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2.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8.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S:\StLouisMO\LOCAL\Business\LM EEP Midwest\Program Development\IN Program Development\Application Tool Development\NIPSCO\C&amp;I\Draft Tools\"/>
    </mc:Choice>
  </mc:AlternateContent>
  <xr:revisionPtr revIDLastSave="0" documentId="13_ncr:1_{4F19FA2B-D9A8-45F4-83E3-BEA74A56E181}" xr6:coauthVersionLast="47" xr6:coauthVersionMax="47" xr10:uidLastSave="{00000000-0000-0000-0000-000000000000}"/>
  <workbookProtection workbookAlgorithmName="SHA-512" workbookHashValue="pQUQxxj+Oub+QFnnaWkq2N/TYMjWcYTT+jHxAkT/jyDpYbqiRHtsEG2MeRRCUZXqlzA71W01RWCxSpUrMkgmYg==" workbookSaltValue="yAzPp0fw2vkkxVfP54fasw==" workbookSpinCount="100000" lockStructure="1"/>
  <bookViews>
    <workbookView showSheetTabs="0" xWindow="38280" yWindow="-120" windowWidth="38640" windowHeight="21840" tabRatio="792" firstSheet="8" activeTab="8" xr2:uid="{00000000-000D-0000-FFFF-FFFF00000000}"/>
  </bookViews>
  <sheets>
    <sheet name="CHANGELOG" sheetId="107" state="hidden" r:id="rId1"/>
    <sheet name="CBDATA" sheetId="108" state="hidden" r:id="rId2"/>
    <sheet name="TEMPLATE" sheetId="3" state="hidden" r:id="rId3"/>
    <sheet name="EXPORT" sheetId="110" state="hidden" r:id="rId4"/>
    <sheet name="DATA TABLES" sheetId="109" state="hidden" r:id="rId5"/>
    <sheet name="PRESCRIPTIVE" sheetId="104" state="hidden" r:id="rId6"/>
    <sheet name="CUSTOMLIGHT" sheetId="106" state="hidden" r:id="rId7"/>
    <sheet name="CUSTOMNONLIGHT" sheetId="114" state="hidden" r:id="rId8"/>
    <sheet name="M01-S01" sheetId="8" r:id="rId9"/>
    <sheet name="M01-S02" sheetId="115" r:id="rId10"/>
    <sheet name="M01-S03" sheetId="49" r:id="rId11"/>
    <sheet name="M01-S04" sheetId="50" r:id="rId12"/>
    <sheet name="M01-S05" sheetId="51" r:id="rId13"/>
    <sheet name="M02-S01" sheetId="116" r:id="rId14"/>
    <sheet name="M02-S02" sheetId="55" r:id="rId15"/>
    <sheet name="M02-S03" sheetId="56" r:id="rId16"/>
    <sheet name="M02-S04" sheetId="57" r:id="rId17"/>
    <sheet name="M03-S01" sheetId="12" r:id="rId18"/>
    <sheet name="M03-S02" sheetId="62" r:id="rId19"/>
    <sheet name="M03-S03" sheetId="63" r:id="rId20"/>
    <sheet name="M03-S04" sheetId="64" r:id="rId21"/>
    <sheet name="M03-S05" sheetId="65" r:id="rId22"/>
    <sheet name="M03-S08" sheetId="117" r:id="rId23"/>
    <sheet name="M03-S09" sheetId="118" r:id="rId24"/>
    <sheet name="M03-S06" sheetId="66" r:id="rId25"/>
    <sheet name="M03-S07" sheetId="113" r:id="rId26"/>
    <sheet name="M04-S01" sheetId="13" r:id="rId27"/>
    <sheet name="M04-S02" sheetId="70" r:id="rId28"/>
    <sheet name="M04-S09" sheetId="111" r:id="rId29"/>
    <sheet name="M04-S03" sheetId="69" r:id="rId30"/>
    <sheet name="M04-S04" sheetId="71" r:id="rId31"/>
    <sheet name="M05-S01" sheetId="14" r:id="rId32"/>
    <sheet name="M05-S02" sheetId="76" r:id="rId33"/>
    <sheet name="M05-S04" sheetId="78" state="hidden" r:id="rId34"/>
    <sheet name="M05-S05" sheetId="79" state="hidden" r:id="rId35"/>
    <sheet name="M05-S06" sheetId="80" state="hidden" r:id="rId36"/>
    <sheet name="M05-S07" sheetId="81" state="hidden" r:id="rId37"/>
  </sheets>
  <definedNames>
    <definedName name="APPTITLE">TEMPLATE!$B$3</definedName>
    <definedName name="BLDGSPCTypeList">INDEX(BLDGSPCType[Space Type],MATCH(M02S02F52,BLDGSPCType[Building Type],0),1):INDEX(BLDGSPCType[Space Type],MATCH(M02S02F52,BLDGSPCType[Building Type],1),1)</definedName>
    <definedName name="BUILDING">LightingWHF[Building/Space Type]</definedName>
    <definedName name="CAMeasureSelect">PRESCRIPTIVE!$AV$183:$AV$195</definedName>
    <definedName name="CAShift">CAShifts[Shift]</definedName>
    <definedName name="CBALL">TEMPLATE!$K$48</definedName>
    <definedName name="CBCUSE">TEMPLATE!$K$46</definedName>
    <definedName name="CBCUSG">TEMPLATE!$K$47</definedName>
    <definedName name="CBPRESE">TEMPLATE!$K$44</definedName>
    <definedName name="CBPRESG">TEMPLATE!$K$45</definedName>
    <definedName name="CMELIGHTACTUALW">CMLIGHTBASE[Base Watt 2]</definedName>
    <definedName name="CMELIGHTBASE1">CMLIGHTBASE[Base Desc 1]</definedName>
    <definedName name="CMELIGHTBASEW">CMLIGHTBASE[Base Watt 1]</definedName>
    <definedName name="CMELIGHTEFF1">CMLIGHTEFF[Eff Desc 1]</definedName>
    <definedName name="CMELIGHTEFF2">CMLIGHTEFF[Eff Desc 2]</definedName>
    <definedName name="CMELIGHTEFF3">CMLIGHTEFF[Eff Desc 3]</definedName>
    <definedName name="CMELIGHTEFFBASEW">CMLIGHTEFF[Eff Watt 1]</definedName>
    <definedName name="COSTTOTAL">TEMPLATE!$I$48</definedName>
    <definedName name="COSTTOTALCUSE">TEMPLATE!$I$46</definedName>
    <definedName name="COSTTOTALCUSG">TEMPLATE!$I$47</definedName>
    <definedName name="COSTTOTALPRESE">TEMPLATE!$I$44</definedName>
    <definedName name="COSTTOTALPRESG">TEMPLATE!$I$45</definedName>
    <definedName name="CUSTINFOLIST">CUSTINFO[Customer Info]</definedName>
    <definedName name="CUSTLIGHTUNIT">CMLIGHTBASE[Unit]</definedName>
    <definedName name="CUSTNONLIGHTEUNIT">PROGRAMECAT[Unit]</definedName>
    <definedName name="CUSTNONLIGHTGUNIT">PROGRAMGCAT[Unit]</definedName>
    <definedName name="DIVERSITYBUSTYPE">DIVERSITYTYPE[Diversity Business Type]</definedName>
    <definedName name="DIVERSITYORG">DIVERSITYISSUED[Diversity Issued Org]</definedName>
    <definedName name="DTBuildingType">BLDGSPCType[Building Type]</definedName>
    <definedName name="DTSpaceType">BLDGSPCType[Space Type]</definedName>
    <definedName name="EDR">CBDATA!$B$7</definedName>
    <definedName name="ELOSS">CBDATA!$B$6</definedName>
    <definedName name="ELOSSKW">CBDATA!$C$6</definedName>
    <definedName name="ENDDATE">'M05-S04'!#REF!</definedName>
    <definedName name="ENDUSECAT">ENDUSEALL[End Use]</definedName>
    <definedName name="ENGCALC">'M05-S04'!$O$43</definedName>
    <definedName name="ENGDATE">'M05-S04'!$AG$42</definedName>
    <definedName name="ENGINEERZNAME">ENGINEERZ[Engineer]</definedName>
    <definedName name="ENGSIGN">'M05-S04'!$O$42</definedName>
    <definedName name="EXPIRATION">'M01-S01'!$O$82</definedName>
    <definedName name="FACILITYOPHOURS">'M01-S05'!$AH$16</definedName>
    <definedName name="FOOT1">'M01-S01'!$B$200</definedName>
    <definedName name="FOOT2">'M01-S01'!$B$201</definedName>
    <definedName name="FOOT3">'M01-S01'!$B$202</definedName>
    <definedName name="FOOT4">'M01-S01'!$M$200:$AG$201</definedName>
    <definedName name="FOOT5">'M01-S01'!$AR$201</definedName>
    <definedName name="FOOT6">'M01-S01'!$AR$202</definedName>
    <definedName name="FOOTDISCLAIM">'M01-S01'!$AR$200</definedName>
    <definedName name="GDR">CBDATA!$N$7</definedName>
    <definedName name="GLOSS">CBDATA!$N$6</definedName>
    <definedName name="HEAD4">'M01-S01'!$AR$4</definedName>
    <definedName name="HP">PROGRAMECAT[Unit]</definedName>
    <definedName name="IMPLSPECNAME">IMPLSPEC[Impl. Specialist]</definedName>
    <definedName name="INCENSTATUS">TEMPLATE!$F$3</definedName>
    <definedName name="INCENTOTAL">TEMPLATE!$J$48</definedName>
    <definedName name="INCENTOTALCUSE">TEMPLATE!$J$46</definedName>
    <definedName name="INCENTOTALCUSG">TEMPLATE!$J$47</definedName>
    <definedName name="INCENTOTALPRESE">TEMPLATE!$J$44</definedName>
    <definedName name="INCENTOTALPRESG">TEMPLATE!$J$45</definedName>
    <definedName name="INSTALL">INSTALLER[Installer]</definedName>
    <definedName name="KWHSTATUS">TEMPLATE!$F$1</definedName>
    <definedName name="KWHTOTAL">TEMPLATE!$F$48</definedName>
    <definedName name="KWHTOTALCUSE">TEMPLATE!$F$46</definedName>
    <definedName name="KWHTOTALPRESE">TEMPLATE!$F$44</definedName>
    <definedName name="KWTOTAL">TEMPLATE!$G$48</definedName>
    <definedName name="KWTOTALCUSE">TEMPLATE!$G$46</definedName>
    <definedName name="KWTOTALPRESE">TEMPLATE!$G$44</definedName>
    <definedName name="LPDOPHR">LPDWATT[Fixture Annual Operating Hours]</definedName>
    <definedName name="LPDSPACE">LPDWATT[Building Area Type]</definedName>
    <definedName name="M02S02F01">'M02-S02'!$C$15</definedName>
    <definedName name="M02S02F02">'M02-S02'!$J$15</definedName>
    <definedName name="M02S02F03">'M02-S02'!$Q$15</definedName>
    <definedName name="M02S02F04">'M02-S02'!$X$15</definedName>
    <definedName name="M02S02F05">'M02-S02'!$AE$15</definedName>
    <definedName name="M02S02F06">'M02-S02'!$AL$15</definedName>
    <definedName name="M02S02F07">'M02-S02'!$C$18</definedName>
    <definedName name="M02S02F08">'M02-S02'!$J$18</definedName>
    <definedName name="M02S02F09">'M02-S02'!$Q$18</definedName>
    <definedName name="M02S02F10">'M02-S02'!$X$18</definedName>
    <definedName name="M02S02F11">'M02-S02'!$AE$18</definedName>
    <definedName name="M02S02F11.1">'M02-S02'!$AL$18</definedName>
    <definedName name="M02S02F12">'M02-S02'!$C$31</definedName>
    <definedName name="M02S02F13">'M02-S02'!$J$31</definedName>
    <definedName name="M02S02F14">'M02-S02'!$AB$31</definedName>
    <definedName name="M02S02F15">'M02-S02'!$AP$31</definedName>
    <definedName name="M02S02F16">'M02-S02'!$C$34</definedName>
    <definedName name="M02S02F17">'M02-S02'!$J$34</definedName>
    <definedName name="M02S02F18">'M02-S02'!$Q$34</definedName>
    <definedName name="M02S02F19">'M02-S02'!$X$34</definedName>
    <definedName name="M02S02F20">'M02-S02'!$AE$34</definedName>
    <definedName name="M02S02F21">'M02-S02'!$AL$34</definedName>
    <definedName name="M02S02F22">'M02-S02'!$J$37</definedName>
    <definedName name="M02S02F23">'M02-S02'!$Q$37</definedName>
    <definedName name="M02S02F24">'M02-S02'!$X$37</definedName>
    <definedName name="M02S02F25">'M02-S02'!$AE$37</definedName>
    <definedName name="M02S02F26">'M02-S02'!$J$40</definedName>
    <definedName name="M02S02F27">'M02-S02'!$AL$37</definedName>
    <definedName name="M02S02F28">'M02-S02'!$Q$40</definedName>
    <definedName name="M02S02F29">'M02-S02'!$X$40</definedName>
    <definedName name="M02S02F30">'M02-S02'!$AE$40</definedName>
    <definedName name="M02S02F31">'M02-S02'!$AL$40</definedName>
    <definedName name="M02S02F32">'M02-S02'!$C$43</definedName>
    <definedName name="M02S02F33">'M02-S02'!$J$43</definedName>
    <definedName name="M02S02F34">'M02-S02'!$C$37</definedName>
    <definedName name="M02S02F35">'M02-S02'!$Q$43</definedName>
    <definedName name="M02S02F36">'M02-S02'!$X$43</definedName>
    <definedName name="M02S02F37">'M02-S02'!$C$46</definedName>
    <definedName name="M02S02F38">'M02-S02'!$J$46</definedName>
    <definedName name="M02S02F39">'M02-S02'!$Q$46</definedName>
    <definedName name="M02S02F40">'M02-S02'!$X$46</definedName>
    <definedName name="M02S02F45">'M02-S02'!$C$49</definedName>
    <definedName name="M02S02F46">'M02-S02'!$AE$43</definedName>
    <definedName name="M02S02F47">'M02-S02'!$C$24</definedName>
    <definedName name="M02S02F48">'M02-S02'!$Q$24</definedName>
    <definedName name="M02S02F49">'M02-S02'!$X$24</definedName>
    <definedName name="M02S02F50">'M02-S02'!$AE$24</definedName>
    <definedName name="M02S02F51">'M02-S02'!$AL$24</definedName>
    <definedName name="M02S02F52">'M02-S02'!$C$40</definedName>
    <definedName name="M02S03F01">'M02-S03'!$C$14</definedName>
    <definedName name="M02S03F02">'M02-S03'!$C$17</definedName>
    <definedName name="M02S03F03">'M02-S03'!$J$17</definedName>
    <definedName name="M02S03F04">'M02-S03'!$Q$17</definedName>
    <definedName name="M02S03F05">'M02-S03'!$X$17</definedName>
    <definedName name="M02S03F06">'M02-S03'!$AE$17</definedName>
    <definedName name="M02S03F07">'M02-S03'!$AL$17</definedName>
    <definedName name="M02S03F08">'M02-S03'!$C$20</definedName>
    <definedName name="M02S03F09">'M02-S03'!$J$20</definedName>
    <definedName name="M02S03F10">'M02-S03'!$Q$20</definedName>
    <definedName name="M02S03F11">'M02-S03'!$X$20</definedName>
    <definedName name="M02S03F12">'M02-S03'!$AE$20</definedName>
    <definedName name="M02S03F13">'M02-S03'!$C$26</definedName>
    <definedName name="M02S03F14">'M02-S03'!$Q$26</definedName>
    <definedName name="M02S03F15">'M02-S03'!$X$26</definedName>
    <definedName name="M02S03F16">'M02-S03'!$AE$26</definedName>
    <definedName name="M02S03F17">'M02-S03'!$AL$26</definedName>
    <definedName name="M02S04F01">'M02-S04'!$J$13</definedName>
    <definedName name="M02S04F02">'M02-S04'!$C$16</definedName>
    <definedName name="M02S04F03">'M02-S04'!$J$16</definedName>
    <definedName name="M02S04F04">'M02-S04'!$Q$16</definedName>
    <definedName name="M02S04F05">'M02-S04'!$X$16</definedName>
    <definedName name="M02S04F06">'M02-S04'!$AE$16</definedName>
    <definedName name="M02S04F06.1">'M02-S04'!$AL$16</definedName>
    <definedName name="M02S04F07">'M02-S04'!$C$19</definedName>
    <definedName name="M02S04F08">'M02-S04'!$J$19</definedName>
    <definedName name="M02S04F09">'M02-S04'!$Q$19</definedName>
    <definedName name="M02S04F10">'M02-S04'!$X$19</definedName>
    <definedName name="M02S04F11">'M02-S04'!$AE$19</definedName>
    <definedName name="M02S04F12">'M02-S04'!$AL$19</definedName>
    <definedName name="M02S04F12.1">'M02-S04'!$AN$19</definedName>
    <definedName name="M04S09F01">'M04-S09'!$D$6</definedName>
    <definedName name="M04S09F02">'M04-S09'!$H$39</definedName>
    <definedName name="M04S09F03">'M04-S09'!$M$6</definedName>
    <definedName name="M04S09F04">'M04-S09'!$Q$39</definedName>
    <definedName name="M04S09F05">'M04-S09'!$V$6</definedName>
    <definedName name="M04S09F06">'M04-S09'!$Z$39</definedName>
    <definedName name="M04S09F07">'M04-S09'!$D$43</definedName>
    <definedName name="M04S09F08">'M04-S09'!$H$76</definedName>
    <definedName name="M04S09F09">'M04-S09'!$M$43</definedName>
    <definedName name="M04S09F10">'M04-S09'!$Q$76</definedName>
    <definedName name="M04S09F11">'M04-S09'!$V$43</definedName>
    <definedName name="M04S09F12">'M04-S09'!$Z$76</definedName>
    <definedName name="M05S02F01" comment="Customer Signature">'M02-S01'!$C$132</definedName>
    <definedName name="M05S02F02" comment="Signatory Title">'M02-S01'!$X$132</definedName>
    <definedName name="M05S02F03" comment="Signed date">'M02-S01'!$AL$132</definedName>
    <definedName name="M05S02F04">'M05-S02'!$R$31</definedName>
    <definedName name="M05S02F06">'M02-S01'!$K$139</definedName>
    <definedName name="M05S02F07">'M02-S01'!$AC$139</definedName>
    <definedName name="M05S03F01">'M05-S02'!$X$31</definedName>
    <definedName name="M05S05F01">'M05-S05'!$K$58</definedName>
    <definedName name="M05S05F02">'M05-S05'!$S$58</definedName>
    <definedName name="M05S07F02">'M05-S07'!$AI$15</definedName>
    <definedName name="M05S07F03">'M05-S07'!$AI$16</definedName>
    <definedName name="M05S07F04">'M05-S07'!$AI$17</definedName>
    <definedName name="M05S07F05">'M05-S07'!$AI$18</definedName>
    <definedName name="M05S07F06">'M05-S07'!$AI$19</definedName>
    <definedName name="M05S07F07">'M05-S07'!#REF!</definedName>
    <definedName name="M05S07F08">'M05-S07'!$AI$49</definedName>
    <definedName name="M05S07F09">'M05-S07'!$AI$50</definedName>
    <definedName name="M05S07F10">'M05-S07'!$AI$51</definedName>
    <definedName name="M05S07F11">'M05-S07'!$AI$53</definedName>
    <definedName name="M05S07F12">'M05-S07'!$AI$54</definedName>
    <definedName name="M1S1">TEMPLATE!$B$8</definedName>
    <definedName name="M1S2">TEMPLATE!$B$9</definedName>
    <definedName name="M1S3">TEMPLATE!$B$10</definedName>
    <definedName name="M1S4">TEMPLATE!$B$11</definedName>
    <definedName name="M1S5">TEMPLATE!$B$12</definedName>
    <definedName name="M1S6">TEMPLATE!$B$13</definedName>
    <definedName name="M1S7">TEMPLATE!$B$14</definedName>
    <definedName name="M1S8">TEMPLATE!$B$15</definedName>
    <definedName name="M2S1">TEMPLATE!$B$17</definedName>
    <definedName name="M2S2">TEMPLATE!$B$18</definedName>
    <definedName name="M2S3">TEMPLATE!$B$19</definedName>
    <definedName name="M2S4">TEMPLATE!$B$20</definedName>
    <definedName name="M2S5">TEMPLATE!$B$21</definedName>
    <definedName name="M2S6">TEMPLATE!$B$22</definedName>
    <definedName name="M2S7">TEMPLATE!$B$23</definedName>
    <definedName name="M2S8">TEMPLATE!$B$24</definedName>
    <definedName name="M3S1">TEMPLATE!$B$26</definedName>
    <definedName name="M3S2">TEMPLATE!$B$27</definedName>
    <definedName name="M3S3">TEMPLATE!$B$28</definedName>
    <definedName name="M3S4">TEMPLATE!$B$29</definedName>
    <definedName name="M3S5">TEMPLATE!$B$30</definedName>
    <definedName name="M3S6">TEMPLATE!$B$31</definedName>
    <definedName name="M3S7">TEMPLATE!$B$32</definedName>
    <definedName name="M3S8">TEMPLATE!$B$33</definedName>
    <definedName name="M3S9">TEMPLATE!$B$34</definedName>
    <definedName name="M4S1">TEMPLATE!$B$36</definedName>
    <definedName name="M4S2">TEMPLATE!$B$37</definedName>
    <definedName name="M4S3">TEMPLATE!$B$38</definedName>
    <definedName name="M4S4">TEMPLATE!$B$39</definedName>
    <definedName name="M4S5">TEMPLATE!$B$40</definedName>
    <definedName name="M4S6">TEMPLATE!$B$41</definedName>
    <definedName name="M4S7">TEMPLATE!$B$42</definedName>
    <definedName name="M4S8">TEMPLATE!$B$43</definedName>
    <definedName name="M5S1">TEMPLATE!$B$45</definedName>
    <definedName name="M5S2">TEMPLATE!$B$46</definedName>
    <definedName name="M5S3">TEMPLATE!$B$47</definedName>
    <definedName name="M5S4">TEMPLATE!$B$48</definedName>
    <definedName name="M5S5">TEMPLATE!$B$49</definedName>
    <definedName name="M5S6">TEMPLATE!$B$50</definedName>
    <definedName name="M5S7">TEMPLATE!$B$51</definedName>
    <definedName name="M5S8">TEMPLATE!$B$52</definedName>
    <definedName name="M6S1">TEMPLATE!$B$54</definedName>
    <definedName name="M6S2">TEMPLATE!$B$55</definedName>
    <definedName name="M6S3">TEMPLATE!$B$56</definedName>
    <definedName name="M6S4">TEMPLATE!$B$57</definedName>
    <definedName name="M6S5">TEMPLATE!$B$58</definedName>
    <definedName name="M6S6">TEMPLATE!$B$59</definedName>
    <definedName name="M6S7">TEMPLATE!$B$60</definedName>
    <definedName name="M6S8">TEMPLATE!$B$61</definedName>
    <definedName name="M7S1">TEMPLATE!$B$63</definedName>
    <definedName name="M7S2">TEMPLATE!$B$64</definedName>
    <definedName name="M7S3">TEMPLATE!$B$65</definedName>
    <definedName name="M7S4">TEMPLATE!$B$66</definedName>
    <definedName name="M7S5">TEMPLATE!$B$67</definedName>
    <definedName name="M7S6">TEMPLATE!$B$68</definedName>
    <definedName name="M7S7">TEMPLATE!$B$69</definedName>
    <definedName name="M7S8">TEMPLATE!$B$70</definedName>
    <definedName name="MAIN1">TEMPLATE!$B$7</definedName>
    <definedName name="MAIN2">TEMPLATE!$B$16</definedName>
    <definedName name="MAIN3">TEMPLATE!$B$25</definedName>
    <definedName name="MAIN4">TEMPLATE!$B$35</definedName>
    <definedName name="MAIN5">TEMPLATE!$B$44</definedName>
    <definedName name="MAIN6">TEMPLATE!$B$53</definedName>
    <definedName name="MAIN7">TEMPLATE!$B$62</definedName>
    <definedName name="MEASUREBLDG">'DATA TABLES'!$J$36</definedName>
    <definedName name="MEASURECB">'DATA TABLES'!$J$32</definedName>
    <definedName name="MEASUREELI">'DATA TABLES'!$J$29</definedName>
    <definedName name="MEASUREPAY">'DATA TABLES'!$J$31</definedName>
    <definedName name="MEASURERATE">'DATA TABLES'!$J$34</definedName>
    <definedName name="MEASURESAVE">'DATA TABLES'!$J$30</definedName>
    <definedName name="MEASURESUBMIT">'DATA TABLES'!$J$33</definedName>
    <definedName name="NONPRESCPROGRAM">PROGRAMTYPE[Program]</definedName>
    <definedName name="PAYALL">TEMPLATE!$L$48</definedName>
    <definedName name="PAYCUSE">TEMPLATE!$L$46</definedName>
    <definedName name="PAYCUSG">TEMPLATE!$L$47</definedName>
    <definedName name="PayeeChckBox">TEMPLATE!$C$169</definedName>
    <definedName name="PAYOPS">PAYMENT[Payment to]</definedName>
    <definedName name="PAYPRESE">TEMPLATE!$L$44</definedName>
    <definedName name="PAYPRESG">TEMPLATE!$L$45</definedName>
    <definedName name="PAYTO">PAYMENT[Payment to]</definedName>
    <definedName name="PEAKTD">CBDATA!$B$8</definedName>
    <definedName name="PMEAGGEFF1">PMEAGG[Eff Desc 1]</definedName>
    <definedName name="PMECAEFF1">INDEX(CABaseline[Baseline],MATCH('M03-S08'!XEX1,CABaseline[Option],0),1):INDEX(CABaseline[Baseline],MATCH('M03-S08'!XEX1,CABaseline[Option],1),1)</definedName>
    <definedName name="PMECAEFF2">PMECA[Eff Desc 1]</definedName>
    <definedName name="PMECAEFFW1">PMECA[Eff Watt]</definedName>
    <definedName name="PMECAEFFW2">PMECA[Eff Watt 2]</definedName>
    <definedName name="PMEHVACEFF1">PMEHVAC[Eff Desc 1]</definedName>
    <definedName name="PMEHVACEFFW1">PMEHVAC[Eff Watt]</definedName>
    <definedName name="PMEHVACEFFW2">PMEHVAC[Eff Watt 2]</definedName>
    <definedName name="PMEKITCHENEFF1">PMEKITCHEN[Eff Desc 1]</definedName>
    <definedName name="PMELIGHTBASE1">PMELIGHTTYPE[Base Desc 1]</definedName>
    <definedName name="PMELIGHTBASEAUTO">PMELIGHTTYPE[Base Autofill]</definedName>
    <definedName name="PMELIGHTBASEW1">PMELIGHTTYPE[Base Watt]</definedName>
    <definedName name="PMELIGHTBASEW2">PMELIGHTTYPE[Base W 2]</definedName>
    <definedName name="PMELIGHTCONEFF1">PMELIGHTCON[Eff Desc 1]</definedName>
    <definedName name="PMELIGHTCONEFFW1">PMELIGHTCON[Eff Watt]</definedName>
    <definedName name="PMELIGHTCONEFFW2">PMELIGHTCON[Eff Watt 2]</definedName>
    <definedName name="PMELIGHTEFF1">INDEX(PMELIGHT[Eff Desc 1],MATCH('M03-S01'!XEW1,PMELIGHT[Base Desc 1],0),1):INDEX(PMELIGHT[Eff Desc 1],MATCH('M03-S01'!XEW1,PMELIGHT[Base Desc 1],1),1)</definedName>
    <definedName name="PMELIGHTEFFLIST">PMELIGHT[Eff Desc 1]</definedName>
    <definedName name="PMELIGHTEFFW1">PMELIGHT[Eff Watt]</definedName>
    <definedName name="PMELIGHTEFFW2">PMELIGHT[Eff Watt 2]</definedName>
    <definedName name="PMELIGHTOPHR1">PMELIGHT[Op Hr 1]</definedName>
    <definedName name="PMELIGHTOPHR2">PMELIGHT[Order]</definedName>
    <definedName name="PMEMOTOREFF1">PMEHVAC[Eff Desc 1]</definedName>
    <definedName name="PMEMOTORLIM">PMEHVAC[Eff Watt]</definedName>
    <definedName name="PMEMOTORLIM2">PMEHVAC[Eff Watt 2]</definedName>
    <definedName name="PMEREFRIEFF1">PMEREFRI[Eff Desc 1]</definedName>
    <definedName name="PMGAGGEFF1">PMGAGG[Eff Desc 1]</definedName>
    <definedName name="PMGHVACEFF1">PMGHVAC[Eff Desc 1]</definedName>
    <definedName name="PMGHVACEFFW1">PMGHVAC[Eff Watt]</definedName>
    <definedName name="PMGHVACEFFW2">PMGHVAC[Eff Watt 2]</definedName>
    <definedName name="PMGKITCHENEFF1">PMGKITCHEN[Eff Desc 1]</definedName>
    <definedName name="PMGWATEREFF1">PMGWATER[Eff Desc 1]</definedName>
    <definedName name="PNAME">TEMPLATE!$B$2</definedName>
    <definedName name="_xlnm.Print_Area" localSheetId="11">'M01-S04'!$D$9:$AP$131</definedName>
    <definedName name="_xlnm.Print_Area" localSheetId="28">'M04-S09'!$1:$78</definedName>
    <definedName name="_xlnm.Print_Area" localSheetId="31">'M05-S01'!$J$14:$AJ$75</definedName>
    <definedName name="_xlnm.Print_Area" localSheetId="33">'M05-S04'!$J$14:$AJ$73</definedName>
    <definedName name="_xlnm.Print_Area" localSheetId="34">'M05-S05'!$J$15:$AJ$73</definedName>
    <definedName name="_xlnm.Print_Area" localSheetId="35">'M05-S06'!$J$14:$AJ$75</definedName>
    <definedName name="_xlnm.Print_Area" localSheetId="36">'M05-S07'!$C$10:$AQ$52</definedName>
    <definedName name="PROGRAM">PROGRAMS[Program]</definedName>
    <definedName name="PROGRAMECAT1">INDEX(PROGRAMECAT[Category 1],MATCH('M04-S03'!XFB1,PROGRAMECAT[Program],0),1):INDEX(PROGRAMECAT[Category 1],MATCH('M04-S03'!XFB1,PROGRAMECAT[Program],1),1)</definedName>
    <definedName name="PROGRAMGCAT1">INDEX(PROGRAMGCAT[Category 1],MATCH('M04-S04'!XFB1,PROGRAMGCAT[Program],0),1):INDEX(PROGRAMGCAT[Category 1],MATCH('M04-S04'!XFB1,PROGRAMGCAT[Program],1),1)</definedName>
    <definedName name="PROGRESSSTATUS">TEMPLATE!$F$5</definedName>
    <definedName name="PROJID">'M05-S07'!$AI$14</definedName>
    <definedName name="PROJSTATCAP">'DATA TABLES'!$A$84</definedName>
    <definedName name="PROJSTATELI">'DATA TABLES'!$A$82</definedName>
    <definedName name="PROJSTATEXP">'DATA TABLES'!$A$81</definedName>
    <definedName name="PROJSTATINSPECT">'DATA TABLES'!$A$79</definedName>
    <definedName name="PROJSTATMEASURE">'DATA TABLES'!$A$76</definedName>
    <definedName name="PROJSTATPREAPPROVE">'DATA TABLES'!$A$78</definedName>
    <definedName name="PROJSTATREVIEW">'DATA TABLES'!$A$80</definedName>
    <definedName name="PROJSTATSTANDARD">'DATA TABLES'!$A$77</definedName>
    <definedName name="PROJSTATUNDER">'DATA TABLES'!$A$83</definedName>
    <definedName name="PROJSTATUS">TEMPLATE!$F$4</definedName>
    <definedName name="RATECAT">RATECLASS[Rate Schedules]</definedName>
    <definedName name="SHEAT">SPACEHEAT[Space Conditioning]</definedName>
    <definedName name="STATESABBREV">STATES[Abbrev]</definedName>
    <definedName name="STDHVACEFFMIN">PMEHVAC[Base Desc 2]</definedName>
    <definedName name="STDHVACEFFMIN2">PMEHVAC[Base Watt 2]</definedName>
    <definedName name="TAX">TAXENTITY[Tax Entity]</definedName>
    <definedName name="THERMSTATUS">TEMPLATE!$F$2</definedName>
    <definedName name="THERMTOTAL">TEMPLATE!$H$48</definedName>
    <definedName name="THERMTOTALCUSG">TEMPLATE!$H$47</definedName>
    <definedName name="THERMTOTALPRESG">TEMPLATE!$H$45</definedName>
    <definedName name="VERSION">'M01-S01'!$W$202</definedName>
    <definedName name="WHEAT">WATERHEAT[Water Heating]</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24" i="12" l="1"/>
  <c r="AE26" i="12"/>
  <c r="AE28" i="12"/>
  <c r="AE30" i="12"/>
  <c r="AE32" i="12"/>
  <c r="AE34" i="12"/>
  <c r="Q24" i="12"/>
  <c r="Q26" i="12"/>
  <c r="Q28" i="12"/>
  <c r="Q30" i="12"/>
  <c r="Q32" i="12"/>
  <c r="Q34" i="12"/>
  <c r="BG18" i="12"/>
  <c r="BG20" i="12"/>
  <c r="BG22" i="12"/>
  <c r="BG38" i="12"/>
  <c r="BG40" i="12"/>
  <c r="BG42" i="12"/>
  <c r="BG44" i="12"/>
  <c r="BG16" i="12"/>
  <c r="BF18" i="12"/>
  <c r="BF20" i="12"/>
  <c r="BF22" i="12"/>
  <c r="BF38" i="12"/>
  <c r="BF40" i="12"/>
  <c r="BF42" i="12"/>
  <c r="BF44" i="12"/>
  <c r="BF16" i="12"/>
  <c r="AI22" i="65"/>
  <c r="BE42" i="64"/>
  <c r="BE38" i="64"/>
  <c r="T22" i="63"/>
  <c r="T24" i="63"/>
  <c r="T26" i="63"/>
  <c r="N22" i="63"/>
  <c r="N24" i="63"/>
  <c r="BE30" i="63"/>
  <c r="BE32" i="63"/>
  <c r="BE34" i="63"/>
  <c r="BE16" i="63"/>
  <c r="AW42" i="64"/>
  <c r="AW38" i="64"/>
  <c r="AW18" i="64"/>
  <c r="AW20" i="64"/>
  <c r="AW22" i="64"/>
  <c r="AW24" i="64"/>
  <c r="AW26" i="64"/>
  <c r="AW28" i="64"/>
  <c r="AW30" i="64"/>
  <c r="AW32" i="64"/>
  <c r="AW34" i="64"/>
  <c r="AW16" i="64"/>
  <c r="A240" i="110"/>
  <c r="I240" i="110"/>
  <c r="J240" i="110"/>
  <c r="K240" i="110"/>
  <c r="Z240" i="110"/>
  <c r="AD240" i="110"/>
  <c r="BE16" i="66"/>
  <c r="BE18" i="66"/>
  <c r="BE20" i="66"/>
  <c r="BE38" i="66"/>
  <c r="BE40" i="66"/>
  <c r="BE42" i="66"/>
  <c r="BE44" i="66"/>
  <c r="Q16" i="12"/>
  <c r="Q18" i="12"/>
  <c r="Q20" i="12"/>
  <c r="AE16" i="12"/>
  <c r="AE18" i="12"/>
  <c r="AE20" i="12"/>
  <c r="AV18" i="64"/>
  <c r="AV20" i="64"/>
  <c r="AV22" i="64"/>
  <c r="AV24" i="64"/>
  <c r="AV26" i="64"/>
  <c r="AV28" i="64"/>
  <c r="AV30" i="64"/>
  <c r="AV32" i="64"/>
  <c r="AV34" i="64"/>
  <c r="AV16" i="64"/>
  <c r="X22" i="69"/>
  <c r="Z22" i="69"/>
  <c r="AB22" i="69"/>
  <c r="AF22" i="69"/>
  <c r="X24" i="69"/>
  <c r="Z24" i="69"/>
  <c r="AB24" i="69"/>
  <c r="AF24" i="69"/>
  <c r="T22" i="69"/>
  <c r="T24" i="69"/>
  <c r="T26" i="69"/>
  <c r="T28" i="69"/>
  <c r="P22" i="69"/>
  <c r="R22" i="69"/>
  <c r="P24" i="69"/>
  <c r="R24" i="69"/>
  <c r="L22" i="69"/>
  <c r="L24" i="69"/>
  <c r="O22" i="13"/>
  <c r="V22" i="62" l="1"/>
  <c r="Q22" i="12"/>
  <c r="AE22" i="12"/>
  <c r="AZ40" i="117" l="1"/>
  <c r="AZ42" i="117"/>
  <c r="AZ38" i="117"/>
  <c r="AX40" i="117"/>
  <c r="AX42" i="117"/>
  <c r="AX38" i="117"/>
  <c r="A197" i="110" l="1"/>
  <c r="G197" i="110"/>
  <c r="K197" i="110"/>
  <c r="Z197" i="110"/>
  <c r="AD197" i="110"/>
  <c r="A195" i="110"/>
  <c r="G195" i="110"/>
  <c r="I195" i="110"/>
  <c r="J195" i="110"/>
  <c r="K195" i="110"/>
  <c r="M195" i="110"/>
  <c r="Z195" i="110"/>
  <c r="AB195" i="110"/>
  <c r="AO195" i="110" s="1"/>
  <c r="AD195" i="110"/>
  <c r="A196" i="110"/>
  <c r="G196" i="110"/>
  <c r="I196" i="110"/>
  <c r="J196" i="110"/>
  <c r="K196" i="110"/>
  <c r="M196" i="110"/>
  <c r="Z196" i="110"/>
  <c r="AB196" i="110"/>
  <c r="AO196" i="110" s="1"/>
  <c r="AD196" i="110"/>
  <c r="AU40" i="117"/>
  <c r="AU42" i="117"/>
  <c r="AU38" i="117"/>
  <c r="K210" i="110" s="1"/>
  <c r="AV40" i="117"/>
  <c r="AW40" i="117"/>
  <c r="AV42" i="117"/>
  <c r="AW42" i="117"/>
  <c r="AO40" i="117"/>
  <c r="O211" i="110" s="1"/>
  <c r="AO42" i="117"/>
  <c r="H212" i="110" s="1"/>
  <c r="AK40" i="117"/>
  <c r="AK42" i="117"/>
  <c r="AI40" i="117"/>
  <c r="AI42" i="117"/>
  <c r="AE40" i="117"/>
  <c r="AE42" i="117"/>
  <c r="T40" i="117"/>
  <c r="T42" i="117"/>
  <c r="P40" i="117"/>
  <c r="P42" i="117"/>
  <c r="AI38" i="117"/>
  <c r="AE38" i="117"/>
  <c r="AN38" i="117" s="1"/>
  <c r="T38" i="117"/>
  <c r="P38" i="117"/>
  <c r="A210" i="110"/>
  <c r="I210" i="110"/>
  <c r="J210" i="110"/>
  <c r="M210" i="110"/>
  <c r="Z210" i="110"/>
  <c r="AA210" i="110"/>
  <c r="AB210" i="110"/>
  <c r="AO210" i="110" s="1"/>
  <c r="AD210" i="110"/>
  <c r="A211" i="110"/>
  <c r="I211" i="110"/>
  <c r="J211" i="110"/>
  <c r="K211" i="110"/>
  <c r="M211" i="110"/>
  <c r="Z211" i="110"/>
  <c r="AA211" i="110"/>
  <c r="AB211" i="110"/>
  <c r="AO211" i="110" s="1"/>
  <c r="AD211" i="110"/>
  <c r="A212" i="110"/>
  <c r="I212" i="110"/>
  <c r="J212" i="110"/>
  <c r="K212" i="110"/>
  <c r="M212" i="110"/>
  <c r="Z212" i="110"/>
  <c r="AB212" i="110"/>
  <c r="AO212" i="110" s="1"/>
  <c r="AD212" i="110"/>
  <c r="AA212" i="110"/>
  <c r="AW18" i="117"/>
  <c r="AW20" i="117"/>
  <c r="AW22" i="117"/>
  <c r="AW24" i="117"/>
  <c r="AW26" i="117"/>
  <c r="AW28" i="117"/>
  <c r="AW30" i="117"/>
  <c r="AW32" i="117"/>
  <c r="AW16" i="117"/>
  <c r="AV18" i="117"/>
  <c r="AV20" i="117"/>
  <c r="AV30" i="117"/>
  <c r="AV32" i="117"/>
  <c r="AV16" i="117"/>
  <c r="N211" i="110" l="1"/>
  <c r="BC42" i="117"/>
  <c r="W212" i="110" s="1"/>
  <c r="H211" i="110"/>
  <c r="BC40" i="117"/>
  <c r="W211" i="110" s="1"/>
  <c r="AN40" i="117"/>
  <c r="R211" i="110"/>
  <c r="C211" i="110" s="1"/>
  <c r="B211" i="110" s="1"/>
  <c r="AN42" i="117"/>
  <c r="AY42" i="117"/>
  <c r="AY40" i="117"/>
  <c r="BC38" i="117"/>
  <c r="AV38" i="117" s="1"/>
  <c r="AK38" i="117" s="1"/>
  <c r="AY38" i="117" s="1"/>
  <c r="AO38" i="117" s="1"/>
  <c r="H210" i="110" s="1"/>
  <c r="N212" i="110"/>
  <c r="R212" i="110"/>
  <c r="C212" i="110" s="1"/>
  <c r="B212" i="110" s="1"/>
  <c r="O212" i="110"/>
  <c r="W210" i="110" l="1"/>
  <c r="L211" i="110"/>
  <c r="N210" i="110"/>
  <c r="AW38" i="117"/>
  <c r="O210" i="110" s="1"/>
  <c r="R210" i="110"/>
  <c r="BE38" i="117"/>
  <c r="L212" i="110"/>
  <c r="C210" i="110" l="1"/>
  <c r="B210" i="110" s="1"/>
  <c r="L210" i="110"/>
  <c r="F52" i="110" l="1"/>
  <c r="G52" i="110"/>
  <c r="Z52" i="110"/>
  <c r="AD52" i="110"/>
  <c r="X16" i="69" l="1"/>
  <c r="Z16" i="69"/>
  <c r="AB16" i="69"/>
  <c r="AF16" i="69"/>
  <c r="T16" i="69"/>
  <c r="P16" i="69"/>
  <c r="R16" i="69"/>
  <c r="L16" i="69"/>
  <c r="D387" i="110"/>
  <c r="D388" i="110"/>
  <c r="D389" i="110"/>
  <c r="D390" i="110"/>
  <c r="D391" i="110"/>
  <c r="D392" i="110"/>
  <c r="D393" i="110"/>
  <c r="D394" i="110"/>
  <c r="D395" i="110"/>
  <c r="AF16" i="71"/>
  <c r="AB16" i="71"/>
  <c r="D438" i="110"/>
  <c r="D439" i="110"/>
  <c r="D440" i="110"/>
  <c r="D441" i="110"/>
  <c r="D442" i="110"/>
  <c r="D443" i="110"/>
  <c r="D444" i="110"/>
  <c r="D445" i="110"/>
  <c r="D446" i="110"/>
  <c r="DI2" i="110"/>
  <c r="A187" i="110"/>
  <c r="G187" i="110"/>
  <c r="I187" i="110"/>
  <c r="J187" i="110"/>
  <c r="K187" i="110"/>
  <c r="M187" i="110"/>
  <c r="Z187" i="110"/>
  <c r="AB187" i="110"/>
  <c r="AO187" i="110" s="1"/>
  <c r="AD187" i="110"/>
  <c r="A188" i="110"/>
  <c r="G188" i="110"/>
  <c r="I188" i="110"/>
  <c r="J188" i="110"/>
  <c r="K188" i="110"/>
  <c r="M188" i="110"/>
  <c r="Z188" i="110"/>
  <c r="AB188" i="110"/>
  <c r="AO188" i="110" s="1"/>
  <c r="AD188" i="110"/>
  <c r="A189" i="110"/>
  <c r="G189" i="110"/>
  <c r="I189" i="110"/>
  <c r="J189" i="110"/>
  <c r="M189" i="110"/>
  <c r="Z189" i="110"/>
  <c r="AB189" i="110"/>
  <c r="AO189" i="110" s="1"/>
  <c r="AD189" i="110"/>
  <c r="A190" i="110"/>
  <c r="G190" i="110"/>
  <c r="I190" i="110"/>
  <c r="J190" i="110"/>
  <c r="K190" i="110"/>
  <c r="M190" i="110"/>
  <c r="Z190" i="110"/>
  <c r="AB190" i="110"/>
  <c r="AO190" i="110" s="1"/>
  <c r="AD190" i="110"/>
  <c r="A191" i="110"/>
  <c r="G191" i="110"/>
  <c r="I191" i="110"/>
  <c r="J191" i="110"/>
  <c r="K191" i="110"/>
  <c r="M191" i="110"/>
  <c r="Z191" i="110"/>
  <c r="AB191" i="110"/>
  <c r="AO191" i="110" s="1"/>
  <c r="AD191" i="110"/>
  <c r="A192" i="110"/>
  <c r="G192" i="110"/>
  <c r="I192" i="110"/>
  <c r="J192" i="110"/>
  <c r="K192" i="110"/>
  <c r="M192" i="110"/>
  <c r="Z192" i="110"/>
  <c r="AB192" i="110"/>
  <c r="AO192" i="110" s="1"/>
  <c r="AD192" i="110"/>
  <c r="A193" i="110"/>
  <c r="G193" i="110"/>
  <c r="I193" i="110"/>
  <c r="J193" i="110"/>
  <c r="K193" i="110"/>
  <c r="M193" i="110"/>
  <c r="Z193" i="110"/>
  <c r="AB193" i="110"/>
  <c r="AO193" i="110" s="1"/>
  <c r="AD193" i="110"/>
  <c r="A194" i="110"/>
  <c r="G194" i="110"/>
  <c r="I194" i="110"/>
  <c r="J194" i="110"/>
  <c r="K194" i="110"/>
  <c r="M194" i="110"/>
  <c r="Z194" i="110"/>
  <c r="AB194" i="110"/>
  <c r="AO194" i="110" s="1"/>
  <c r="AD194" i="110"/>
  <c r="N42" i="65"/>
  <c r="AA187" i="110" s="1"/>
  <c r="N44" i="65"/>
  <c r="AA188" i="110" s="1"/>
  <c r="N46" i="65"/>
  <c r="AA189" i="110" s="1"/>
  <c r="N48" i="65"/>
  <c r="AA190" i="110" s="1"/>
  <c r="N50" i="65"/>
  <c r="AA191" i="110" s="1"/>
  <c r="N52" i="65"/>
  <c r="AA192" i="110" s="1"/>
  <c r="N54" i="65"/>
  <c r="AA193" i="110" s="1"/>
  <c r="N56" i="65"/>
  <c r="AA194" i="110" s="1"/>
  <c r="N58" i="65"/>
  <c r="AA195" i="110" s="1"/>
  <c r="N60" i="65"/>
  <c r="AA196" i="110" s="1"/>
  <c r="T42" i="65"/>
  <c r="BC42" i="65" s="1"/>
  <c r="T44" i="65"/>
  <c r="T46" i="65"/>
  <c r="T48" i="65"/>
  <c r="T50" i="65"/>
  <c r="BC50" i="65" s="1"/>
  <c r="T52" i="65"/>
  <c r="T54" i="65"/>
  <c r="T56" i="65"/>
  <c r="T58" i="65"/>
  <c r="BC58" i="65" s="1"/>
  <c r="T60" i="65"/>
  <c r="AI42" i="65"/>
  <c r="AI44" i="65"/>
  <c r="AI46" i="65"/>
  <c r="AI48" i="65"/>
  <c r="AI50" i="65"/>
  <c r="AI52" i="65"/>
  <c r="AI54" i="65"/>
  <c r="AI56" i="65"/>
  <c r="AI58" i="65"/>
  <c r="AI60" i="65"/>
  <c r="AK42" i="65"/>
  <c r="AK44" i="65"/>
  <c r="AK46" i="65"/>
  <c r="AK48" i="65"/>
  <c r="AK50" i="65"/>
  <c r="AK52" i="65"/>
  <c r="AK54" i="65"/>
  <c r="AK56" i="65"/>
  <c r="AK58" i="65"/>
  <c r="AK60" i="65"/>
  <c r="AN42" i="65"/>
  <c r="H187" i="110" s="1"/>
  <c r="AN44" i="65"/>
  <c r="H188" i="110" s="1"/>
  <c r="AN48" i="65"/>
  <c r="R190" i="110" s="1"/>
  <c r="L190" i="110" s="1"/>
  <c r="AN50" i="65"/>
  <c r="P191" i="110" s="1"/>
  <c r="AN52" i="65"/>
  <c r="AN54" i="65"/>
  <c r="R193" i="110" s="1"/>
  <c r="AN56" i="65"/>
  <c r="H194" i="110" s="1"/>
  <c r="AN58" i="65"/>
  <c r="AN60" i="65"/>
  <c r="AK40" i="65"/>
  <c r="AI40" i="65"/>
  <c r="T40" i="65"/>
  <c r="N40" i="65"/>
  <c r="AU44" i="65"/>
  <c r="AU46" i="65"/>
  <c r="K189" i="110" s="1"/>
  <c r="AU48" i="65"/>
  <c r="AU50" i="65"/>
  <c r="AU52" i="65"/>
  <c r="AU54" i="65"/>
  <c r="AU56" i="65"/>
  <c r="AU58" i="65"/>
  <c r="AU60" i="65"/>
  <c r="AN40" i="65"/>
  <c r="P186" i="110" s="1"/>
  <c r="AY50" i="118"/>
  <c r="P195" i="110" l="1"/>
  <c r="R195" i="110"/>
  <c r="W195" i="110"/>
  <c r="H195" i="110"/>
  <c r="H196" i="110"/>
  <c r="P196" i="110"/>
  <c r="R196" i="110"/>
  <c r="BC60" i="65"/>
  <c r="W196" i="110" s="1"/>
  <c r="BC52" i="65"/>
  <c r="BC44" i="65"/>
  <c r="W188" i="110" s="1"/>
  <c r="BC54" i="65"/>
  <c r="W193" i="110" s="1"/>
  <c r="BC56" i="65"/>
  <c r="W194" i="110" s="1"/>
  <c r="W192" i="110"/>
  <c r="BC48" i="65"/>
  <c r="W190" i="110" s="1"/>
  <c r="BC40" i="65"/>
  <c r="BC46" i="65"/>
  <c r="P193" i="110"/>
  <c r="H190" i="110"/>
  <c r="P190" i="110"/>
  <c r="R192" i="110"/>
  <c r="C192" i="110" s="1"/>
  <c r="B192" i="110" s="1"/>
  <c r="R188" i="110"/>
  <c r="L188" i="110" s="1"/>
  <c r="P188" i="110"/>
  <c r="H193" i="110"/>
  <c r="H192" i="110"/>
  <c r="P194" i="110"/>
  <c r="R194" i="110"/>
  <c r="L194" i="110" s="1"/>
  <c r="H191" i="110"/>
  <c r="R187" i="110"/>
  <c r="C187" i="110" s="1"/>
  <c r="B187" i="110" s="1"/>
  <c r="P192" i="110"/>
  <c r="P187" i="110"/>
  <c r="W191" i="110"/>
  <c r="R191" i="110"/>
  <c r="C191" i="110" s="1"/>
  <c r="B191" i="110" s="1"/>
  <c r="W187" i="110"/>
  <c r="AX200" i="65"/>
  <c r="C190" i="110"/>
  <c r="B190" i="110" s="1"/>
  <c r="C193" i="110"/>
  <c r="B193" i="110" s="1"/>
  <c r="L193" i="110"/>
  <c r="AW18" i="118"/>
  <c r="AW20" i="118"/>
  <c r="AW22" i="118"/>
  <c r="AW24" i="118"/>
  <c r="AW26" i="118"/>
  <c r="AW28" i="118"/>
  <c r="AW30" i="118"/>
  <c r="AW32" i="118"/>
  <c r="AW34" i="118"/>
  <c r="AW36" i="118"/>
  <c r="AW38" i="118"/>
  <c r="AW40" i="118"/>
  <c r="AW42" i="118"/>
  <c r="AW44" i="118"/>
  <c r="AW16" i="118"/>
  <c r="L195" i="110" l="1"/>
  <c r="C195" i="110"/>
  <c r="B195" i="110" s="1"/>
  <c r="C196" i="110"/>
  <c r="B196" i="110" s="1"/>
  <c r="L196" i="110"/>
  <c r="C188" i="110"/>
  <c r="B188" i="110" s="1"/>
  <c r="L191" i="110"/>
  <c r="L192" i="110"/>
  <c r="AN46" i="65"/>
  <c r="BA200" i="65" s="1"/>
  <c r="C194" i="110"/>
  <c r="B194" i="110" s="1"/>
  <c r="L187" i="110"/>
  <c r="AY52" i="118"/>
  <c r="AY54" i="118"/>
  <c r="AY56" i="118"/>
  <c r="AY58" i="118"/>
  <c r="AY60" i="118"/>
  <c r="AY62" i="118"/>
  <c r="AY64" i="118"/>
  <c r="H189" i="110" l="1"/>
  <c r="AE12" i="65"/>
  <c r="P189" i="110"/>
  <c r="R189" i="110"/>
  <c r="W189" i="110"/>
  <c r="T18" i="63"/>
  <c r="T20" i="63"/>
  <c r="T28" i="63"/>
  <c r="T30" i="63"/>
  <c r="T32" i="63"/>
  <c r="T34" i="63"/>
  <c r="T16" i="63"/>
  <c r="H439" i="110"/>
  <c r="H440" i="110"/>
  <c r="H441" i="110"/>
  <c r="H442" i="110"/>
  <c r="H443" i="110"/>
  <c r="H445" i="110"/>
  <c r="H446" i="110"/>
  <c r="H367" i="110"/>
  <c r="H366" i="110"/>
  <c r="G304" i="110"/>
  <c r="G305" i="110"/>
  <c r="H276" i="110"/>
  <c r="H277" i="110"/>
  <c r="H278" i="110"/>
  <c r="H279" i="110"/>
  <c r="H280" i="110"/>
  <c r="H167" i="110"/>
  <c r="BC30" i="63"/>
  <c r="BC32" i="63"/>
  <c r="BC34" i="63"/>
  <c r="N20" i="63"/>
  <c r="G29" i="81"/>
  <c r="BC40" i="64"/>
  <c r="BC42" i="64"/>
  <c r="BC44" i="64"/>
  <c r="BC38" i="64"/>
  <c r="J19" i="57"/>
  <c r="C19" i="57"/>
  <c r="AE16" i="57"/>
  <c r="X16" i="57"/>
  <c r="R8" i="109"/>
  <c r="S8" i="109"/>
  <c r="T8" i="109"/>
  <c r="U8" i="109"/>
  <c r="V8" i="109"/>
  <c r="W8" i="109"/>
  <c r="X8" i="109"/>
  <c r="V7" i="109"/>
  <c r="V6" i="109"/>
  <c r="V5" i="109"/>
  <c r="U7" i="109"/>
  <c r="U6" i="109"/>
  <c r="U5" i="109"/>
  <c r="T7" i="109"/>
  <c r="T6" i="109"/>
  <c r="T5" i="109"/>
  <c r="S7" i="109"/>
  <c r="S6" i="109"/>
  <c r="S5" i="109"/>
  <c r="BC20" i="63" l="1"/>
  <c r="L189" i="110"/>
  <c r="C189" i="110"/>
  <c r="B189" i="110" s="1"/>
  <c r="X20" i="69"/>
  <c r="Z20" i="69"/>
  <c r="AB20" i="69"/>
  <c r="AF20" i="69"/>
  <c r="T20" i="69"/>
  <c r="P20" i="69"/>
  <c r="R20" i="69"/>
  <c r="L20" i="69"/>
  <c r="BF20" i="69" s="1"/>
  <c r="AI22" i="64"/>
  <c r="N26" i="63"/>
  <c r="BC26" i="63" s="1"/>
  <c r="N28" i="63"/>
  <c r="N30" i="63"/>
  <c r="N32" i="63"/>
  <c r="L18" i="70"/>
  <c r="L22" i="70"/>
  <c r="L24" i="70"/>
  <c r="L26" i="70"/>
  <c r="L16" i="70"/>
  <c r="BS2" i="110"/>
  <c r="BF18" i="69"/>
  <c r="BF26" i="69"/>
  <c r="BF28" i="69"/>
  <c r="BF30" i="69"/>
  <c r="BF32" i="69"/>
  <c r="BF34" i="69"/>
  <c r="H387" i="110"/>
  <c r="H391" i="110"/>
  <c r="H392" i="110"/>
  <c r="H393" i="110"/>
  <c r="H394" i="110"/>
  <c r="H395" i="110"/>
  <c r="H386" i="110"/>
  <c r="L366" i="110"/>
  <c r="L367" i="110"/>
  <c r="L368" i="110"/>
  <c r="L369" i="110"/>
  <c r="L370" i="110"/>
  <c r="L371" i="110"/>
  <c r="L372" i="110"/>
  <c r="L373" i="110"/>
  <c r="L374" i="110"/>
  <c r="L375" i="110"/>
  <c r="L376" i="110"/>
  <c r="L377" i="110"/>
  <c r="L378" i="110"/>
  <c r="L379" i="110"/>
  <c r="L380" i="110"/>
  <c r="L381" i="110"/>
  <c r="L382" i="110"/>
  <c r="L383" i="110"/>
  <c r="L384" i="110"/>
  <c r="Q18" i="70"/>
  <c r="Q22" i="70"/>
  <c r="Q24" i="70"/>
  <c r="Q26" i="70"/>
  <c r="Q16" i="70"/>
  <c r="E126" i="3"/>
  <c r="B126" i="3"/>
  <c r="C126" i="3"/>
  <c r="BC28" i="63" l="1"/>
  <c r="BC24" i="63"/>
  <c r="L98" i="109"/>
  <c r="L97" i="109"/>
  <c r="L96" i="109"/>
  <c r="L77" i="109"/>
  <c r="L91" i="109"/>
  <c r="L78" i="109"/>
  <c r="L79" i="109"/>
  <c r="L80" i="109"/>
  <c r="L81" i="109"/>
  <c r="L82" i="109"/>
  <c r="L83" i="109"/>
  <c r="L84" i="109"/>
  <c r="L85" i="109"/>
  <c r="L86" i="109"/>
  <c r="L87" i="109"/>
  <c r="L88" i="109"/>
  <c r="L89" i="109"/>
  <c r="L90" i="109"/>
  <c r="L92" i="109"/>
  <c r="L93" i="109"/>
  <c r="L94" i="109"/>
  <c r="L95" i="109"/>
  <c r="L99" i="109"/>
  <c r="L76" i="109"/>
  <c r="N18" i="63" l="1"/>
  <c r="N34" i="63"/>
  <c r="N16" i="63"/>
  <c r="BC16" i="63" s="1"/>
  <c r="BC18" i="63" l="1"/>
  <c r="X26" i="69"/>
  <c r="Z26" i="69"/>
  <c r="AB26" i="69"/>
  <c r="AF26" i="69"/>
  <c r="X28" i="69"/>
  <c r="Z28" i="69"/>
  <c r="AB28" i="69"/>
  <c r="AF28" i="69"/>
  <c r="X30" i="69"/>
  <c r="Z30" i="69"/>
  <c r="AB30" i="69"/>
  <c r="AF30" i="69"/>
  <c r="T30" i="69"/>
  <c r="R26" i="69"/>
  <c r="R28" i="69"/>
  <c r="R30" i="69"/>
  <c r="P26" i="69"/>
  <c r="P28" i="69"/>
  <c r="P30" i="69"/>
  <c r="L26" i="69"/>
  <c r="L28" i="69"/>
  <c r="L30" i="69"/>
  <c r="AZ114" i="69"/>
  <c r="AN114" i="69" s="1"/>
  <c r="H390" i="110" l="1"/>
  <c r="BF24" i="69"/>
  <c r="BH18" i="69"/>
  <c r="BH26" i="69"/>
  <c r="BH30" i="69"/>
  <c r="BH32" i="69"/>
  <c r="BH34" i="69"/>
  <c r="V24" i="62" l="1"/>
  <c r="AK30" i="117"/>
  <c r="AK32" i="117"/>
  <c r="AI62" i="81"/>
  <c r="H389" i="110" l="1"/>
  <c r="BH22" i="69"/>
  <c r="BH28" i="69"/>
  <c r="Z307" i="110"/>
  <c r="AD307" i="110"/>
  <c r="K307" i="110"/>
  <c r="J307" i="110"/>
  <c r="I307" i="110"/>
  <c r="G307" i="110"/>
  <c r="A307" i="110"/>
  <c r="A172" i="110"/>
  <c r="G172" i="110"/>
  <c r="I172" i="110"/>
  <c r="J172" i="110"/>
  <c r="K172" i="110"/>
  <c r="Z172" i="110"/>
  <c r="AD172" i="110"/>
  <c r="A213" i="110"/>
  <c r="I213" i="110"/>
  <c r="J213" i="110"/>
  <c r="K213" i="110"/>
  <c r="Z213" i="110"/>
  <c r="AD213" i="110"/>
  <c r="AB18" i="69" l="1"/>
  <c r="AF18" i="69" s="1"/>
  <c r="C137" i="116"/>
  <c r="K137" i="116"/>
  <c r="E79" i="3"/>
  <c r="C78" i="3"/>
  <c r="B78" i="3"/>
  <c r="D78" i="3"/>
  <c r="E78" i="3"/>
  <c r="C79" i="3"/>
  <c r="B79" i="3"/>
  <c r="D79" i="3"/>
  <c r="BG16" i="69" l="1"/>
  <c r="D386" i="110" s="1"/>
  <c r="BH16" i="69"/>
  <c r="X32" i="69"/>
  <c r="Z32" i="69"/>
  <c r="AB32" i="69"/>
  <c r="X34" i="69"/>
  <c r="Z34" i="69"/>
  <c r="AB34" i="69"/>
  <c r="AF34" i="69" s="1"/>
  <c r="AF32" i="69"/>
  <c r="H388" i="110" l="1"/>
  <c r="I24" i="12"/>
  <c r="D12" i="8"/>
  <c r="D10" i="8"/>
  <c r="BA30" i="69"/>
  <c r="BA32" i="69"/>
  <c r="BA34" i="69"/>
  <c r="O24" i="13"/>
  <c r="BH24" i="13" s="1"/>
  <c r="I22" i="12"/>
  <c r="BB22" i="12" l="1"/>
  <c r="BB24" i="12"/>
  <c r="Z18" i="69"/>
  <c r="X18" i="69"/>
  <c r="T18" i="69"/>
  <c r="T32" i="69"/>
  <c r="T34" i="69"/>
  <c r="R18" i="69"/>
  <c r="BE18" i="69" s="1" a="1"/>
  <c r="BE18" i="69" s="1"/>
  <c r="R32" i="69"/>
  <c r="R34" i="69"/>
  <c r="P18" i="69"/>
  <c r="AK28" i="69"/>
  <c r="P32" i="69"/>
  <c r="P34" i="69"/>
  <c r="L18" i="69"/>
  <c r="L32" i="69"/>
  <c r="L34" i="69"/>
  <c r="AK34" i="69"/>
  <c r="AU18" i="69"/>
  <c r="BB18" i="69"/>
  <c r="AU20" i="69"/>
  <c r="AX20" i="69"/>
  <c r="BB20" i="69"/>
  <c r="AU22" i="69"/>
  <c r="BB22" i="69"/>
  <c r="AU24" i="69"/>
  <c r="BB24" i="69"/>
  <c r="AU26" i="69"/>
  <c r="BB26" i="69"/>
  <c r="AU28" i="69"/>
  <c r="BB28" i="69"/>
  <c r="AU30" i="69"/>
  <c r="BB30" i="69"/>
  <c r="AU32" i="69"/>
  <c r="BB32" i="69"/>
  <c r="AU34" i="69"/>
  <c r="AV34" i="69"/>
  <c r="AX34" i="69"/>
  <c r="AY34" i="69"/>
  <c r="AZ34" i="69"/>
  <c r="BB34" i="69"/>
  <c r="BD34" i="69"/>
  <c r="BE34" i="69" a="1"/>
  <c r="BE34" i="69" s="1"/>
  <c r="AK20" i="69" l="1"/>
  <c r="BH20" i="69"/>
  <c r="AX28" i="69"/>
  <c r="AK22" i="69"/>
  <c r="AX22" i="69"/>
  <c r="AK32" i="69"/>
  <c r="BD32" i="69"/>
  <c r="BE32" i="69" a="1"/>
  <c r="BE32" i="69" s="1"/>
  <c r="AY32" i="69"/>
  <c r="AZ32" i="69"/>
  <c r="AX32" i="69"/>
  <c r="AV32" i="69"/>
  <c r="I56" i="110" l="1"/>
  <c r="J56" i="110"/>
  <c r="I57" i="110"/>
  <c r="J57" i="110"/>
  <c r="I58" i="110"/>
  <c r="J58" i="110"/>
  <c r="I59" i="110"/>
  <c r="J59" i="110"/>
  <c r="I60" i="110"/>
  <c r="J60" i="110"/>
  <c r="I61" i="110"/>
  <c r="J61" i="110"/>
  <c r="I62" i="110"/>
  <c r="J62" i="110"/>
  <c r="I63" i="110"/>
  <c r="J63" i="110"/>
  <c r="I64" i="110"/>
  <c r="J64" i="110"/>
  <c r="I65" i="110"/>
  <c r="J65" i="110"/>
  <c r="I66" i="110"/>
  <c r="J66" i="110"/>
  <c r="I67" i="110"/>
  <c r="J67" i="110"/>
  <c r="I68" i="110"/>
  <c r="J68" i="110"/>
  <c r="I69" i="110"/>
  <c r="J69" i="110"/>
  <c r="I70" i="110"/>
  <c r="J70" i="110"/>
  <c r="I71" i="110"/>
  <c r="J71" i="110"/>
  <c r="I72" i="110"/>
  <c r="J72" i="110"/>
  <c r="I73" i="110"/>
  <c r="J73" i="110"/>
  <c r="I74" i="110"/>
  <c r="J74" i="110"/>
  <c r="I75" i="110"/>
  <c r="J75" i="110"/>
  <c r="I76" i="110"/>
  <c r="J76" i="110"/>
  <c r="I77" i="110"/>
  <c r="J77" i="110"/>
  <c r="I78" i="110"/>
  <c r="J78" i="110"/>
  <c r="I79" i="110"/>
  <c r="J79" i="110"/>
  <c r="I80" i="110"/>
  <c r="J80" i="110"/>
  <c r="I81" i="110"/>
  <c r="J81" i="110"/>
  <c r="I82" i="110"/>
  <c r="J82" i="110"/>
  <c r="I83" i="110"/>
  <c r="J83" i="110"/>
  <c r="I84" i="110"/>
  <c r="J84" i="110"/>
  <c r="I85" i="110"/>
  <c r="J85" i="110"/>
  <c r="I86" i="110"/>
  <c r="J86" i="110"/>
  <c r="I87" i="110"/>
  <c r="J87" i="110"/>
  <c r="I88" i="110"/>
  <c r="J88" i="110"/>
  <c r="I89" i="110"/>
  <c r="J89" i="110"/>
  <c r="I90" i="110"/>
  <c r="J90" i="110"/>
  <c r="I91" i="110"/>
  <c r="J91" i="110"/>
  <c r="I92" i="110"/>
  <c r="J92" i="110"/>
  <c r="I93" i="110"/>
  <c r="J93" i="110"/>
  <c r="I94" i="110"/>
  <c r="J94" i="110"/>
  <c r="I95" i="110"/>
  <c r="J95" i="110"/>
  <c r="I96" i="110"/>
  <c r="J96" i="110"/>
  <c r="I97" i="110"/>
  <c r="J97" i="110"/>
  <c r="I98" i="110"/>
  <c r="J98" i="110"/>
  <c r="I99" i="110"/>
  <c r="J99" i="110"/>
  <c r="I100" i="110"/>
  <c r="J100" i="110"/>
  <c r="I101" i="110"/>
  <c r="J101" i="110"/>
  <c r="I102" i="110"/>
  <c r="J102" i="110"/>
  <c r="I103" i="110"/>
  <c r="J103" i="110"/>
  <c r="I104" i="110"/>
  <c r="J104" i="110"/>
  <c r="J55" i="110"/>
  <c r="I55" i="110"/>
  <c r="AV18" i="69" l="1"/>
  <c r="AX18" i="69"/>
  <c r="BD110" i="69"/>
  <c r="BB110" i="69"/>
  <c r="AU110" i="69"/>
  <c r="AV110" i="69"/>
  <c r="AX110" i="69"/>
  <c r="Y8" i="110"/>
  <c r="BE110" i="69"/>
  <c r="AH110" i="69"/>
  <c r="AK18" i="69" l="1"/>
  <c r="AK110" i="69"/>
  <c r="BC110" i="69" s="1"/>
  <c r="AN110" i="69"/>
  <c r="AI31" i="81" l="1"/>
  <c r="G31" i="81"/>
  <c r="DH2" i="110" l="1"/>
  <c r="DG2" i="110"/>
  <c r="AE37" i="55"/>
  <c r="Q37" i="55"/>
  <c r="J37" i="55"/>
  <c r="C37" i="55"/>
  <c r="AL34" i="55"/>
  <c r="AE34" i="55"/>
  <c r="X34" i="55"/>
  <c r="Q34" i="55"/>
  <c r="J34" i="55"/>
  <c r="C34" i="55"/>
  <c r="AU108" i="13"/>
  <c r="AU110" i="13"/>
  <c r="AU112" i="13"/>
  <c r="O108" i="13"/>
  <c r="O110" i="13"/>
  <c r="AK110" i="13" s="1"/>
  <c r="O112" i="13"/>
  <c r="B150" i="3"/>
  <c r="C127" i="3"/>
  <c r="C128" i="3"/>
  <c r="D128" i="3"/>
  <c r="B148" i="3"/>
  <c r="E151" i="3"/>
  <c r="B130" i="3"/>
  <c r="D129" i="3"/>
  <c r="D125" i="3"/>
  <c r="B125" i="3"/>
  <c r="D120" i="3"/>
  <c r="C151" i="3"/>
  <c r="B147" i="3"/>
  <c r="E127" i="3"/>
  <c r="C148" i="3"/>
  <c r="E129" i="3"/>
  <c r="C129" i="3"/>
  <c r="D150" i="3"/>
  <c r="C149" i="3"/>
  <c r="B149" i="3"/>
  <c r="D127" i="3"/>
  <c r="B128" i="3"/>
  <c r="E149" i="3"/>
  <c r="C147" i="3"/>
  <c r="B129" i="3"/>
  <c r="B151" i="3"/>
  <c r="D148" i="3"/>
  <c r="E147" i="3"/>
  <c r="D151" i="3"/>
  <c r="E148" i="3"/>
  <c r="D130" i="3"/>
  <c r="D149" i="3"/>
  <c r="E150" i="3"/>
  <c r="D147" i="3"/>
  <c r="B127" i="3"/>
  <c r="C130" i="3"/>
  <c r="E128" i="3"/>
  <c r="E130" i="3"/>
  <c r="E125" i="3"/>
  <c r="C150" i="3"/>
  <c r="C125" i="3"/>
  <c r="BE110" i="13" l="1"/>
  <c r="BH110" i="13"/>
  <c r="BF112" i="13"/>
  <c r="BH112" i="13"/>
  <c r="BD108" i="13"/>
  <c r="BH108" i="13"/>
  <c r="AH112" i="13"/>
  <c r="AX112" i="13"/>
  <c r="BB110" i="13"/>
  <c r="BE112" i="13"/>
  <c r="BB112" i="13"/>
  <c r="AX110" i="13"/>
  <c r="BD110" i="13"/>
  <c r="AX108" i="13"/>
  <c r="AH110" i="13"/>
  <c r="AN112" i="13"/>
  <c r="BA112" i="13"/>
  <c r="BC112" i="13" s="1"/>
  <c r="AW112" i="13"/>
  <c r="BA110" i="13"/>
  <c r="AW110" i="13"/>
  <c r="BA108" i="13"/>
  <c r="AW108" i="13"/>
  <c r="BD112" i="13"/>
  <c r="BF108" i="13"/>
  <c r="BB108" i="13"/>
  <c r="AK112" i="13"/>
  <c r="AK108" i="13"/>
  <c r="AN110" i="13"/>
  <c r="AZ112" i="13"/>
  <c r="AV112" i="13"/>
  <c r="AZ110" i="13"/>
  <c r="AV110" i="13"/>
  <c r="AZ108" i="13"/>
  <c r="AV108" i="13"/>
  <c r="BF110" i="13"/>
  <c r="BE108" i="13"/>
  <c r="AH108" i="13"/>
  <c r="AN108" i="13"/>
  <c r="AY112" i="13"/>
  <c r="AY110" i="13"/>
  <c r="AY108" i="13"/>
  <c r="BE18" i="71" a="1"/>
  <c r="BE18" i="71" s="1"/>
  <c r="BE20" i="71" a="1"/>
  <c r="BE20" i="71" s="1"/>
  <c r="BE22" i="71" a="1"/>
  <c r="BE22" i="71" s="1"/>
  <c r="BE24" i="71" a="1"/>
  <c r="BE24" i="71" s="1"/>
  <c r="BE26" i="71" a="1"/>
  <c r="BE26" i="71" s="1"/>
  <c r="BE28" i="71" a="1"/>
  <c r="BE28" i="71" s="1"/>
  <c r="BE30" i="71" a="1"/>
  <c r="BE30" i="71" s="1"/>
  <c r="BE32" i="71" a="1"/>
  <c r="BE32" i="71" s="1"/>
  <c r="BE34" i="71" a="1"/>
  <c r="BE34" i="71" s="1"/>
  <c r="I216" i="110"/>
  <c r="J216" i="110"/>
  <c r="I217" i="110"/>
  <c r="J217" i="110"/>
  <c r="I218" i="110"/>
  <c r="J218" i="110"/>
  <c r="I219" i="110"/>
  <c r="J219" i="110"/>
  <c r="I220" i="110"/>
  <c r="J220" i="110"/>
  <c r="I221" i="110"/>
  <c r="J221" i="110"/>
  <c r="I222" i="110"/>
  <c r="J222" i="110"/>
  <c r="I223" i="110"/>
  <c r="J223" i="110"/>
  <c r="I224" i="110"/>
  <c r="J224" i="110"/>
  <c r="I225" i="110"/>
  <c r="J225" i="110"/>
  <c r="I226" i="110"/>
  <c r="J226" i="110"/>
  <c r="I227" i="110"/>
  <c r="J227" i="110"/>
  <c r="I228" i="110"/>
  <c r="J228" i="110"/>
  <c r="I229" i="110"/>
  <c r="J229" i="110"/>
  <c r="I230" i="110"/>
  <c r="J230" i="110"/>
  <c r="I231" i="110"/>
  <c r="J231" i="110"/>
  <c r="I232" i="110"/>
  <c r="J232" i="110"/>
  <c r="I233" i="110"/>
  <c r="J233" i="110"/>
  <c r="I234" i="110"/>
  <c r="J234" i="110"/>
  <c r="I235" i="110"/>
  <c r="J235" i="110"/>
  <c r="I236" i="110"/>
  <c r="J236" i="110"/>
  <c r="I237" i="110"/>
  <c r="J237" i="110"/>
  <c r="I238" i="110"/>
  <c r="J238" i="110"/>
  <c r="I239" i="110"/>
  <c r="J239" i="110"/>
  <c r="I241" i="110"/>
  <c r="J241" i="110"/>
  <c r="I242" i="110"/>
  <c r="J242" i="110"/>
  <c r="I243" i="110"/>
  <c r="J243" i="110"/>
  <c r="I244" i="110"/>
  <c r="J244" i="110"/>
  <c r="I245" i="110"/>
  <c r="J245" i="110"/>
  <c r="I246" i="110"/>
  <c r="J246" i="110"/>
  <c r="I247" i="110"/>
  <c r="J247" i="110"/>
  <c r="I248" i="110"/>
  <c r="J248" i="110"/>
  <c r="I249" i="110"/>
  <c r="J249" i="110"/>
  <c r="I250" i="110"/>
  <c r="J250" i="110"/>
  <c r="I251" i="110"/>
  <c r="J251" i="110"/>
  <c r="I252" i="110"/>
  <c r="J252" i="110"/>
  <c r="I253" i="110"/>
  <c r="J253" i="110"/>
  <c r="I254" i="110"/>
  <c r="J254" i="110"/>
  <c r="I255" i="110"/>
  <c r="J255" i="110"/>
  <c r="I256" i="110"/>
  <c r="J256" i="110"/>
  <c r="I257" i="110"/>
  <c r="J257" i="110"/>
  <c r="I258" i="110"/>
  <c r="J258" i="110"/>
  <c r="I259" i="110"/>
  <c r="J259" i="110"/>
  <c r="I260" i="110"/>
  <c r="J260" i="110"/>
  <c r="I261" i="110"/>
  <c r="J261" i="110"/>
  <c r="I262" i="110"/>
  <c r="J262" i="110"/>
  <c r="I263" i="110"/>
  <c r="J263" i="110"/>
  <c r="I264" i="110"/>
  <c r="J264" i="110"/>
  <c r="I215" i="110"/>
  <c r="J215" i="110"/>
  <c r="J158" i="110"/>
  <c r="J159" i="110"/>
  <c r="J160" i="110"/>
  <c r="J161" i="110"/>
  <c r="J162" i="110"/>
  <c r="J163" i="110"/>
  <c r="J164" i="110"/>
  <c r="J165" i="110"/>
  <c r="J166" i="110"/>
  <c r="J167" i="110"/>
  <c r="J168" i="110"/>
  <c r="J169" i="110"/>
  <c r="J170" i="110"/>
  <c r="J171" i="110"/>
  <c r="J157" i="110"/>
  <c r="I158" i="110"/>
  <c r="I159" i="110"/>
  <c r="I160" i="110"/>
  <c r="I161" i="110"/>
  <c r="I162" i="110"/>
  <c r="I163" i="110"/>
  <c r="I164" i="110"/>
  <c r="I165" i="110"/>
  <c r="I166" i="110"/>
  <c r="I167" i="110"/>
  <c r="I168" i="110"/>
  <c r="I169" i="110"/>
  <c r="I170" i="110"/>
  <c r="I171" i="110"/>
  <c r="I157" i="110"/>
  <c r="AU69" i="104"/>
  <c r="AU70" i="104"/>
  <c r="AU71" i="104"/>
  <c r="AU72" i="104"/>
  <c r="AU73" i="104"/>
  <c r="AU74" i="104"/>
  <c r="AU75" i="104"/>
  <c r="AU76" i="104"/>
  <c r="AU77" i="104"/>
  <c r="AU78" i="104"/>
  <c r="AU79" i="104"/>
  <c r="AU80" i="104"/>
  <c r="AU68" i="104"/>
  <c r="H357" i="110" l="1"/>
  <c r="Q357" i="110"/>
  <c r="H355" i="110"/>
  <c r="Q355" i="110"/>
  <c r="H356" i="110"/>
  <c r="Q356" i="110"/>
  <c r="BC110" i="13"/>
  <c r="BC108" i="13"/>
  <c r="I16" i="12" l="1"/>
  <c r="M299" i="110"/>
  <c r="G107" i="110"/>
  <c r="G108" i="110"/>
  <c r="G109" i="110"/>
  <c r="G110" i="110"/>
  <c r="G111" i="110"/>
  <c r="G112" i="110"/>
  <c r="G113" i="110"/>
  <c r="G114" i="110"/>
  <c r="G115" i="110"/>
  <c r="G116" i="110"/>
  <c r="G117" i="110"/>
  <c r="G118" i="110"/>
  <c r="G119" i="110"/>
  <c r="G120" i="110"/>
  <c r="G121" i="110"/>
  <c r="G122" i="110"/>
  <c r="G123" i="110"/>
  <c r="G124" i="110"/>
  <c r="G125" i="110"/>
  <c r="G126" i="110"/>
  <c r="G127" i="110"/>
  <c r="G128" i="110"/>
  <c r="G129" i="110"/>
  <c r="G130" i="110"/>
  <c r="G131" i="110"/>
  <c r="G132" i="110"/>
  <c r="G133" i="110"/>
  <c r="G134" i="110"/>
  <c r="G135" i="110"/>
  <c r="G136" i="110"/>
  <c r="G137" i="110"/>
  <c r="G138" i="110"/>
  <c r="G139" i="110"/>
  <c r="G140" i="110"/>
  <c r="G141" i="110"/>
  <c r="G142" i="110"/>
  <c r="G143" i="110"/>
  <c r="G144" i="110"/>
  <c r="G145" i="110"/>
  <c r="G146" i="110"/>
  <c r="G147" i="110"/>
  <c r="G148" i="110"/>
  <c r="G149" i="110"/>
  <c r="G150" i="110"/>
  <c r="G151" i="110"/>
  <c r="G152" i="110"/>
  <c r="G153" i="110"/>
  <c r="G154" i="110"/>
  <c r="G155" i="110"/>
  <c r="G106" i="110"/>
  <c r="M56" i="110"/>
  <c r="M57" i="110"/>
  <c r="M58" i="110"/>
  <c r="M59" i="110"/>
  <c r="M60" i="110"/>
  <c r="M61" i="110"/>
  <c r="M62" i="110"/>
  <c r="M63" i="110"/>
  <c r="M64" i="110"/>
  <c r="M65" i="110"/>
  <c r="M66" i="110"/>
  <c r="M67" i="110"/>
  <c r="M68" i="110"/>
  <c r="M69" i="110"/>
  <c r="M70" i="110"/>
  <c r="M71" i="110"/>
  <c r="M72" i="110"/>
  <c r="M73"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55" i="110"/>
  <c r="R9" i="118"/>
  <c r="V20" i="62"/>
  <c r="I18" i="12"/>
  <c r="I20" i="12"/>
  <c r="AK16" i="63" l="1"/>
  <c r="D119" i="3"/>
  <c r="I106" i="110" l="1"/>
  <c r="J106" i="110"/>
  <c r="M106" i="110"/>
  <c r="I107" i="110"/>
  <c r="J107" i="110"/>
  <c r="M107" i="110"/>
  <c r="I108" i="110"/>
  <c r="J108" i="110"/>
  <c r="M108" i="110"/>
  <c r="J109" i="110"/>
  <c r="J110" i="110"/>
  <c r="J111" i="110"/>
  <c r="J112" i="110"/>
  <c r="J113" i="110"/>
  <c r="J114" i="110"/>
  <c r="J115" i="110"/>
  <c r="J116" i="110"/>
  <c r="J117" i="110"/>
  <c r="J118" i="110"/>
  <c r="J119" i="110"/>
  <c r="J120" i="110"/>
  <c r="J121" i="110"/>
  <c r="J122" i="110"/>
  <c r="J123" i="110"/>
  <c r="J124" i="110"/>
  <c r="J125" i="110"/>
  <c r="J126" i="110"/>
  <c r="J127" i="110"/>
  <c r="J128" i="110"/>
  <c r="J129" i="110"/>
  <c r="J130" i="110"/>
  <c r="J131" i="110"/>
  <c r="J132" i="110"/>
  <c r="J133" i="110"/>
  <c r="J134" i="110"/>
  <c r="J135" i="110"/>
  <c r="J136" i="110"/>
  <c r="J137" i="110"/>
  <c r="J138" i="110"/>
  <c r="J139" i="110"/>
  <c r="J140" i="110"/>
  <c r="J141" i="110"/>
  <c r="J142" i="110"/>
  <c r="J143" i="110"/>
  <c r="J144" i="110"/>
  <c r="J145" i="110"/>
  <c r="J146" i="110"/>
  <c r="J147" i="110"/>
  <c r="J148" i="110"/>
  <c r="J149" i="110"/>
  <c r="J150" i="110"/>
  <c r="J151" i="110"/>
  <c r="J152" i="110"/>
  <c r="J153" i="110"/>
  <c r="J154" i="110"/>
  <c r="J155" i="110"/>
  <c r="I111" i="110"/>
  <c r="I112" i="110"/>
  <c r="I113" i="110"/>
  <c r="I114" i="110"/>
  <c r="I115" i="110"/>
  <c r="I116" i="110"/>
  <c r="I117" i="110"/>
  <c r="I118" i="110"/>
  <c r="I119" i="110"/>
  <c r="I120" i="110"/>
  <c r="I121" i="110"/>
  <c r="I122" i="110"/>
  <c r="I123" i="110"/>
  <c r="I124" i="110"/>
  <c r="I125" i="110"/>
  <c r="I126" i="110"/>
  <c r="I127" i="110"/>
  <c r="I128" i="110"/>
  <c r="I129" i="110"/>
  <c r="I130" i="110"/>
  <c r="I131" i="110"/>
  <c r="I132" i="110"/>
  <c r="I133" i="110"/>
  <c r="I134" i="110"/>
  <c r="I135" i="110"/>
  <c r="I136" i="110"/>
  <c r="I137" i="110"/>
  <c r="I138" i="110"/>
  <c r="I139" i="110"/>
  <c r="I140" i="110"/>
  <c r="I141" i="110"/>
  <c r="I142" i="110"/>
  <c r="I143" i="110"/>
  <c r="I144" i="110"/>
  <c r="I145" i="110"/>
  <c r="I146" i="110"/>
  <c r="I147" i="110"/>
  <c r="I148" i="110"/>
  <c r="I149" i="110"/>
  <c r="I150" i="110"/>
  <c r="I151" i="110"/>
  <c r="I152" i="110"/>
  <c r="I153" i="110"/>
  <c r="I154" i="110"/>
  <c r="I155" i="110"/>
  <c r="I109" i="110"/>
  <c r="I110" i="110"/>
  <c r="AW36" i="63"/>
  <c r="AW38" i="63"/>
  <c r="AW40" i="63"/>
  <c r="AW42" i="63"/>
  <c r="AW44" i="63"/>
  <c r="AW46" i="63"/>
  <c r="AW48" i="63"/>
  <c r="AW50" i="63"/>
  <c r="AW52" i="63"/>
  <c r="AW56" i="63"/>
  <c r="AW58" i="63"/>
  <c r="AW60" i="63"/>
  <c r="AW62" i="63"/>
  <c r="AW64" i="63"/>
  <c r="AW66" i="63"/>
  <c r="AW68" i="63"/>
  <c r="AW70" i="63"/>
  <c r="AW72" i="63"/>
  <c r="AW74" i="63"/>
  <c r="AW76" i="63"/>
  <c r="AW78" i="63"/>
  <c r="AW80" i="63"/>
  <c r="AW82" i="63"/>
  <c r="AW84" i="63"/>
  <c r="AW86" i="63"/>
  <c r="AW88" i="63"/>
  <c r="AW90" i="63"/>
  <c r="AW92" i="63"/>
  <c r="AW94" i="63"/>
  <c r="AW96" i="63"/>
  <c r="AW98" i="63"/>
  <c r="AW100" i="63"/>
  <c r="AW102" i="63"/>
  <c r="AW104" i="63"/>
  <c r="AW106" i="63"/>
  <c r="AW108" i="63"/>
  <c r="AW110" i="63"/>
  <c r="AW112" i="63"/>
  <c r="AW114" i="63"/>
  <c r="AO36" i="63"/>
  <c r="H116" i="110" s="1"/>
  <c r="AO38" i="63"/>
  <c r="H117" i="110" s="1"/>
  <c r="AO40" i="63"/>
  <c r="H118" i="110" s="1"/>
  <c r="AO42" i="63"/>
  <c r="H119" i="110" s="1"/>
  <c r="AO44" i="63"/>
  <c r="H120" i="110" s="1"/>
  <c r="AO46" i="63"/>
  <c r="H121" i="110" s="1"/>
  <c r="AO48" i="63"/>
  <c r="H122" i="110" s="1"/>
  <c r="AO50" i="63"/>
  <c r="H123" i="110" s="1"/>
  <c r="AO52" i="63"/>
  <c r="H124" i="110" s="1"/>
  <c r="AO56" i="63"/>
  <c r="AO58" i="63"/>
  <c r="AO60" i="63"/>
  <c r="AO62" i="63"/>
  <c r="AO64" i="63"/>
  <c r="AO66" i="63"/>
  <c r="AO68" i="63"/>
  <c r="AO70" i="63"/>
  <c r="AO72" i="63"/>
  <c r="AO74" i="63"/>
  <c r="AO76" i="63"/>
  <c r="AO78" i="63"/>
  <c r="AO80" i="63"/>
  <c r="AO82" i="63"/>
  <c r="AO84" i="63"/>
  <c r="AO86" i="63"/>
  <c r="AO88" i="63"/>
  <c r="AO90" i="63"/>
  <c r="AO92" i="63"/>
  <c r="AO94" i="63"/>
  <c r="AO96" i="63"/>
  <c r="AO98" i="63"/>
  <c r="AO100" i="63"/>
  <c r="AO102" i="63"/>
  <c r="AO104" i="63"/>
  <c r="AO106" i="63"/>
  <c r="AO108" i="63"/>
  <c r="AO110" i="63"/>
  <c r="AO112" i="63"/>
  <c r="AO114" i="63"/>
  <c r="AK36" i="63"/>
  <c r="AK38" i="63"/>
  <c r="AK40" i="63"/>
  <c r="AK42" i="63"/>
  <c r="AK44" i="63"/>
  <c r="AK46" i="63"/>
  <c r="AK48" i="63"/>
  <c r="AK50" i="63"/>
  <c r="AK52" i="63"/>
  <c r="AK56" i="63"/>
  <c r="AK58" i="63"/>
  <c r="AK60" i="63"/>
  <c r="AK62" i="63"/>
  <c r="AK64" i="63"/>
  <c r="AK66" i="63"/>
  <c r="AK68" i="63"/>
  <c r="AK70" i="63"/>
  <c r="AK72" i="63"/>
  <c r="AK74" i="63"/>
  <c r="AK76" i="63"/>
  <c r="AK78" i="63"/>
  <c r="AK80" i="63"/>
  <c r="AK82" i="63"/>
  <c r="AK84" i="63"/>
  <c r="AK86" i="63"/>
  <c r="AK88" i="63"/>
  <c r="AK90" i="63"/>
  <c r="AK92" i="63"/>
  <c r="AK94" i="63"/>
  <c r="AK96" i="63"/>
  <c r="AK98" i="63"/>
  <c r="AK100" i="63"/>
  <c r="AK102" i="63"/>
  <c r="AK104" i="63"/>
  <c r="AK106" i="63"/>
  <c r="AK108" i="63"/>
  <c r="AK110" i="63"/>
  <c r="AK112" i="63"/>
  <c r="AK114" i="63"/>
  <c r="AI36" i="63"/>
  <c r="AI38" i="63"/>
  <c r="AI40" i="63"/>
  <c r="AI42" i="63"/>
  <c r="AI44" i="63"/>
  <c r="AI46" i="63"/>
  <c r="AI48" i="63"/>
  <c r="AI50" i="63"/>
  <c r="AI52" i="63"/>
  <c r="AI56" i="63"/>
  <c r="AI58" i="63"/>
  <c r="AI60" i="63"/>
  <c r="AI62" i="63"/>
  <c r="AI64" i="63"/>
  <c r="AI66" i="63"/>
  <c r="AI68" i="63"/>
  <c r="AI70" i="63"/>
  <c r="AI72" i="63"/>
  <c r="AI74" i="63"/>
  <c r="AI76" i="63"/>
  <c r="AI78" i="63"/>
  <c r="AI80" i="63"/>
  <c r="AI82" i="63"/>
  <c r="AI84" i="63"/>
  <c r="AI86" i="63"/>
  <c r="AI88" i="63"/>
  <c r="AI90" i="63"/>
  <c r="AI92" i="63"/>
  <c r="AI94" i="63"/>
  <c r="AI96" i="63"/>
  <c r="AI98" i="63"/>
  <c r="AI100" i="63"/>
  <c r="AI102" i="63"/>
  <c r="AI104" i="63"/>
  <c r="AI106" i="63"/>
  <c r="AI108" i="63"/>
  <c r="AI110" i="63"/>
  <c r="AI112" i="63"/>
  <c r="AI114" i="63"/>
  <c r="AE36" i="63"/>
  <c r="AU36" i="63" s="1"/>
  <c r="AE38" i="63"/>
  <c r="AU38" i="63" s="1"/>
  <c r="AE40" i="63"/>
  <c r="AU40" i="63" s="1"/>
  <c r="AE42" i="63"/>
  <c r="AU42" i="63" s="1"/>
  <c r="AE44" i="63"/>
  <c r="AU44" i="63" s="1"/>
  <c r="AE46" i="63"/>
  <c r="AU46" i="63" s="1"/>
  <c r="AE48" i="63"/>
  <c r="AU48" i="63" s="1"/>
  <c r="AE50" i="63"/>
  <c r="AU50" i="63" s="1"/>
  <c r="AE52" i="63"/>
  <c r="AU52" i="63" s="1"/>
  <c r="AE56" i="63"/>
  <c r="AU56" i="63" s="1"/>
  <c r="AE58" i="63"/>
  <c r="AU58" i="63" s="1"/>
  <c r="AE60" i="63"/>
  <c r="AU60" i="63" s="1"/>
  <c r="AE62" i="63"/>
  <c r="AU62" i="63" s="1"/>
  <c r="AE64" i="63"/>
  <c r="AU64" i="63" s="1"/>
  <c r="AE66" i="63"/>
  <c r="AU66" i="63" s="1"/>
  <c r="AE68" i="63"/>
  <c r="AU68" i="63" s="1"/>
  <c r="AE70" i="63"/>
  <c r="AU70" i="63" s="1"/>
  <c r="AE72" i="63"/>
  <c r="AU72" i="63" s="1"/>
  <c r="AE74" i="63"/>
  <c r="AU74" i="63" s="1"/>
  <c r="AE76" i="63"/>
  <c r="AU76" i="63" s="1"/>
  <c r="AE78" i="63"/>
  <c r="AU78" i="63" s="1"/>
  <c r="AE80" i="63"/>
  <c r="AU80" i="63" s="1"/>
  <c r="AE82" i="63"/>
  <c r="AU82" i="63" s="1"/>
  <c r="AE84" i="63"/>
  <c r="AU84" i="63" s="1"/>
  <c r="AE86" i="63"/>
  <c r="AU86" i="63" s="1"/>
  <c r="AE88" i="63"/>
  <c r="AU88" i="63" s="1"/>
  <c r="AE90" i="63"/>
  <c r="AU90" i="63" s="1"/>
  <c r="AE92" i="63"/>
  <c r="AU92" i="63" s="1"/>
  <c r="AE94" i="63"/>
  <c r="AU94" i="63" s="1"/>
  <c r="AE96" i="63"/>
  <c r="AU96" i="63" s="1"/>
  <c r="AE98" i="63"/>
  <c r="AU98" i="63" s="1"/>
  <c r="AE100" i="63"/>
  <c r="AU100" i="63" s="1"/>
  <c r="AE102" i="63"/>
  <c r="AU102" i="63" s="1"/>
  <c r="AE104" i="63"/>
  <c r="AU104" i="63" s="1"/>
  <c r="AE106" i="63"/>
  <c r="AU106" i="63" s="1"/>
  <c r="AE108" i="63"/>
  <c r="AU108" i="63" s="1"/>
  <c r="AE110" i="63"/>
  <c r="AU110" i="63" s="1"/>
  <c r="AE112" i="63"/>
  <c r="AU112" i="63" s="1"/>
  <c r="AE114" i="63"/>
  <c r="AU114" i="63" s="1"/>
  <c r="L36" i="63"/>
  <c r="AA116" i="110" s="1"/>
  <c r="P36" i="63"/>
  <c r="R36" i="63"/>
  <c r="L38" i="63"/>
  <c r="AA117" i="110" s="1"/>
  <c r="P38" i="63"/>
  <c r="R38" i="63"/>
  <c r="L40" i="63"/>
  <c r="AA118" i="110" s="1"/>
  <c r="P40" i="63"/>
  <c r="R40" i="63"/>
  <c r="L42" i="63"/>
  <c r="AA119" i="110" s="1"/>
  <c r="P42" i="63"/>
  <c r="R42" i="63"/>
  <c r="L44" i="63"/>
  <c r="AA120" i="110" s="1"/>
  <c r="P44" i="63"/>
  <c r="R44" i="63"/>
  <c r="L46" i="63"/>
  <c r="AA121" i="110" s="1"/>
  <c r="P46" i="63"/>
  <c r="R46" i="63"/>
  <c r="L48" i="63"/>
  <c r="AA122" i="110" s="1"/>
  <c r="P48" i="63"/>
  <c r="R48" i="63"/>
  <c r="L50" i="63"/>
  <c r="AA123" i="110" s="1"/>
  <c r="P50" i="63"/>
  <c r="R50" i="63"/>
  <c r="L52" i="63"/>
  <c r="AA124" i="110" s="1"/>
  <c r="P52" i="63"/>
  <c r="R52" i="63"/>
  <c r="L56" i="63"/>
  <c r="AA126" i="110" s="1"/>
  <c r="P56" i="63"/>
  <c r="R56" i="63"/>
  <c r="L58" i="63"/>
  <c r="AA127" i="110" s="1"/>
  <c r="P58" i="63"/>
  <c r="R58" i="63"/>
  <c r="L60" i="63"/>
  <c r="AA128" i="110" s="1"/>
  <c r="P60" i="63"/>
  <c r="R60" i="63"/>
  <c r="L62" i="63"/>
  <c r="AA129" i="110" s="1"/>
  <c r="P62" i="63"/>
  <c r="R62" i="63"/>
  <c r="L64" i="63"/>
  <c r="AA130" i="110" s="1"/>
  <c r="P64" i="63"/>
  <c r="R64" i="63"/>
  <c r="L66" i="63"/>
  <c r="AA131" i="110" s="1"/>
  <c r="P66" i="63"/>
  <c r="R66" i="63"/>
  <c r="L68" i="63"/>
  <c r="AA132" i="110" s="1"/>
  <c r="P68" i="63"/>
  <c r="R68" i="63"/>
  <c r="L70" i="63"/>
  <c r="AA133" i="110" s="1"/>
  <c r="P70" i="63"/>
  <c r="R70" i="63"/>
  <c r="L72" i="63"/>
  <c r="AA134" i="110" s="1"/>
  <c r="P72" i="63"/>
  <c r="R72" i="63"/>
  <c r="L74" i="63"/>
  <c r="AA135" i="110" s="1"/>
  <c r="P74" i="63"/>
  <c r="R74" i="63"/>
  <c r="L76" i="63"/>
  <c r="AA136" i="110" s="1"/>
  <c r="P76" i="63"/>
  <c r="R76" i="63"/>
  <c r="L78" i="63"/>
  <c r="AA137" i="110" s="1"/>
  <c r="P78" i="63"/>
  <c r="R78" i="63"/>
  <c r="L80" i="63"/>
  <c r="AA138" i="110" s="1"/>
  <c r="P80" i="63"/>
  <c r="R80" i="63"/>
  <c r="L82" i="63"/>
  <c r="AA139" i="110" s="1"/>
  <c r="P82" i="63"/>
  <c r="R82" i="63"/>
  <c r="L84" i="63"/>
  <c r="AA140" i="110" s="1"/>
  <c r="P84" i="63"/>
  <c r="R84" i="63"/>
  <c r="L86" i="63"/>
  <c r="AA141" i="110" s="1"/>
  <c r="P86" i="63"/>
  <c r="R86" i="63"/>
  <c r="L88" i="63"/>
  <c r="AA142" i="110" s="1"/>
  <c r="P88" i="63"/>
  <c r="R88" i="63"/>
  <c r="L90" i="63"/>
  <c r="AA143" i="110" s="1"/>
  <c r="P90" i="63"/>
  <c r="R90" i="63"/>
  <c r="L92" i="63"/>
  <c r="AA144" i="110" s="1"/>
  <c r="P92" i="63"/>
  <c r="R92" i="63"/>
  <c r="L94" i="63"/>
  <c r="AA145" i="110" s="1"/>
  <c r="P94" i="63"/>
  <c r="R94" i="63"/>
  <c r="L96" i="63"/>
  <c r="AA146" i="110" s="1"/>
  <c r="P96" i="63"/>
  <c r="R96" i="63"/>
  <c r="L98" i="63"/>
  <c r="AA147" i="110" s="1"/>
  <c r="P98" i="63"/>
  <c r="R98" i="63"/>
  <c r="L100" i="63"/>
  <c r="AA148" i="110" s="1"/>
  <c r="P100" i="63"/>
  <c r="R100" i="63"/>
  <c r="L102" i="63"/>
  <c r="AA149" i="110" s="1"/>
  <c r="P102" i="63"/>
  <c r="R102" i="63"/>
  <c r="L104" i="63"/>
  <c r="AA150" i="110" s="1"/>
  <c r="P104" i="63"/>
  <c r="R104" i="63"/>
  <c r="L106" i="63"/>
  <c r="AA151" i="110" s="1"/>
  <c r="P106" i="63"/>
  <c r="R106" i="63"/>
  <c r="L108" i="63"/>
  <c r="AA152" i="110" s="1"/>
  <c r="P108" i="63"/>
  <c r="R108" i="63"/>
  <c r="L110" i="63"/>
  <c r="AA153" i="110" s="1"/>
  <c r="P110" i="63"/>
  <c r="R110" i="63"/>
  <c r="L112" i="63"/>
  <c r="AA154" i="110" s="1"/>
  <c r="P112" i="63"/>
  <c r="R112" i="63"/>
  <c r="L114" i="63"/>
  <c r="AA155" i="110" s="1"/>
  <c r="P114" i="63"/>
  <c r="R114" i="63"/>
  <c r="J36" i="63"/>
  <c r="J38" i="63"/>
  <c r="J40" i="63"/>
  <c r="J42" i="63"/>
  <c r="J44" i="63"/>
  <c r="J46" i="63"/>
  <c r="J48" i="63"/>
  <c r="J50" i="63"/>
  <c r="J52" i="63"/>
  <c r="J56" i="63"/>
  <c r="J58" i="63"/>
  <c r="J60" i="63"/>
  <c r="J62" i="63"/>
  <c r="J64" i="63"/>
  <c r="J66" i="63"/>
  <c r="J68" i="63"/>
  <c r="J70" i="63"/>
  <c r="J72" i="63"/>
  <c r="J74" i="63"/>
  <c r="J76" i="63"/>
  <c r="J78" i="63"/>
  <c r="J80" i="63"/>
  <c r="J82" i="63"/>
  <c r="J84" i="63"/>
  <c r="J86" i="63"/>
  <c r="J88" i="63"/>
  <c r="J90" i="63"/>
  <c r="J92" i="63"/>
  <c r="J94" i="63"/>
  <c r="J96" i="63"/>
  <c r="J98" i="63"/>
  <c r="J100" i="63"/>
  <c r="J102" i="63"/>
  <c r="J104" i="63"/>
  <c r="J106" i="63"/>
  <c r="J108" i="63"/>
  <c r="J110" i="63"/>
  <c r="J112" i="63"/>
  <c r="J114" i="63"/>
  <c r="R116" i="110"/>
  <c r="L116" i="110" s="1"/>
  <c r="R117" i="110"/>
  <c r="L117" i="110" s="1"/>
  <c r="R118" i="110"/>
  <c r="L118" i="110" s="1"/>
  <c r="R119" i="110"/>
  <c r="L119" i="110" s="1"/>
  <c r="R120" i="110"/>
  <c r="L120" i="110" s="1"/>
  <c r="R121" i="110"/>
  <c r="L121" i="110" s="1"/>
  <c r="R122" i="110"/>
  <c r="L122" i="110" s="1"/>
  <c r="R123" i="110"/>
  <c r="L123" i="110" s="1"/>
  <c r="R124" i="110"/>
  <c r="L124" i="110" s="1"/>
  <c r="R126" i="110"/>
  <c r="R127" i="110"/>
  <c r="R128" i="110"/>
  <c r="R129" i="110"/>
  <c r="R130" i="110"/>
  <c r="R131" i="110"/>
  <c r="R132" i="110"/>
  <c r="R133" i="110"/>
  <c r="R134" i="110"/>
  <c r="R135" i="110"/>
  <c r="R136" i="110"/>
  <c r="R137" i="110"/>
  <c r="R138" i="110"/>
  <c r="R139" i="110"/>
  <c r="R140" i="110"/>
  <c r="R141" i="110"/>
  <c r="R142" i="110"/>
  <c r="R143" i="110"/>
  <c r="R144" i="110"/>
  <c r="R145" i="110"/>
  <c r="R146" i="110"/>
  <c r="R147" i="110"/>
  <c r="R148" i="110"/>
  <c r="R149" i="110"/>
  <c r="R150" i="110"/>
  <c r="R151" i="110"/>
  <c r="R152" i="110"/>
  <c r="R153" i="110"/>
  <c r="R154" i="110"/>
  <c r="R155" i="110"/>
  <c r="BB18" i="12" l="1"/>
  <c r="AK18" i="12"/>
  <c r="BE18" i="12"/>
  <c r="W152" i="110"/>
  <c r="P152" i="110"/>
  <c r="W148" i="110"/>
  <c r="P148" i="110"/>
  <c r="W144" i="110"/>
  <c r="P144" i="110"/>
  <c r="W140" i="110"/>
  <c r="P140" i="110"/>
  <c r="W136" i="110"/>
  <c r="P136" i="110"/>
  <c r="W132" i="110"/>
  <c r="P132" i="110"/>
  <c r="W128" i="110"/>
  <c r="P128" i="110"/>
  <c r="W123" i="110"/>
  <c r="P123" i="110"/>
  <c r="W119" i="110"/>
  <c r="P119" i="110"/>
  <c r="W155" i="110"/>
  <c r="P155" i="110"/>
  <c r="W151" i="110"/>
  <c r="P151" i="110"/>
  <c r="W147" i="110"/>
  <c r="P147" i="110"/>
  <c r="W143" i="110"/>
  <c r="P143" i="110"/>
  <c r="W139" i="110"/>
  <c r="P139" i="110"/>
  <c r="W135" i="110"/>
  <c r="P135" i="110"/>
  <c r="W131" i="110"/>
  <c r="P131" i="110"/>
  <c r="W127" i="110"/>
  <c r="P127" i="110"/>
  <c r="W122" i="110"/>
  <c r="P122" i="110"/>
  <c r="W118" i="110"/>
  <c r="P118" i="110"/>
  <c r="W154" i="110"/>
  <c r="P154" i="110"/>
  <c r="W150" i="110"/>
  <c r="P150" i="110"/>
  <c r="W146" i="110"/>
  <c r="P146" i="110"/>
  <c r="W142" i="110"/>
  <c r="P142" i="110"/>
  <c r="W138" i="110"/>
  <c r="P138" i="110"/>
  <c r="W134" i="110"/>
  <c r="P134" i="110"/>
  <c r="W130" i="110"/>
  <c r="P130" i="110"/>
  <c r="W126" i="110"/>
  <c r="P126" i="110"/>
  <c r="W121" i="110"/>
  <c r="P121" i="110"/>
  <c r="W117" i="110"/>
  <c r="P117" i="110"/>
  <c r="W153" i="110"/>
  <c r="P153" i="110"/>
  <c r="W149" i="110"/>
  <c r="P149" i="110"/>
  <c r="W145" i="110"/>
  <c r="P145" i="110"/>
  <c r="W141" i="110"/>
  <c r="P141" i="110"/>
  <c r="W137" i="110"/>
  <c r="P137" i="110"/>
  <c r="W133" i="110"/>
  <c r="P133" i="110"/>
  <c r="W129" i="110"/>
  <c r="P129" i="110"/>
  <c r="W124" i="110"/>
  <c r="P124" i="110"/>
  <c r="W120" i="110"/>
  <c r="P120" i="110"/>
  <c r="W116" i="110"/>
  <c r="P116" i="110"/>
  <c r="AC154" i="110"/>
  <c r="AD154" i="110"/>
  <c r="AC146" i="110"/>
  <c r="AD146" i="110"/>
  <c r="AC138" i="110"/>
  <c r="AD138" i="110"/>
  <c r="AC126" i="110"/>
  <c r="AD126" i="110"/>
  <c r="AC153" i="110"/>
  <c r="AD153" i="110"/>
  <c r="AC149" i="110"/>
  <c r="AD149" i="110"/>
  <c r="AC145" i="110"/>
  <c r="AD145" i="110"/>
  <c r="AC141" i="110"/>
  <c r="AD141" i="110"/>
  <c r="AC137" i="110"/>
  <c r="AD137" i="110"/>
  <c r="AC133" i="110"/>
  <c r="AD133" i="110"/>
  <c r="AC129" i="110"/>
  <c r="AD129" i="110"/>
  <c r="AD125" i="110"/>
  <c r="AC121" i="110"/>
  <c r="AD121" i="110"/>
  <c r="AC117" i="110"/>
  <c r="AD117" i="110"/>
  <c r="AC150" i="110"/>
  <c r="AD150" i="110"/>
  <c r="AC142" i="110"/>
  <c r="AD142" i="110"/>
  <c r="AC134" i="110"/>
  <c r="AD134" i="110"/>
  <c r="AC130" i="110"/>
  <c r="AD130" i="110"/>
  <c r="AC122" i="110"/>
  <c r="AD122" i="110"/>
  <c r="AC118" i="110"/>
  <c r="AD118" i="110"/>
  <c r="AD152" i="110"/>
  <c r="AC152" i="110"/>
  <c r="AD148" i="110"/>
  <c r="AC148" i="110"/>
  <c r="AD144" i="110"/>
  <c r="AC144" i="110"/>
  <c r="AD140" i="110"/>
  <c r="AC140" i="110"/>
  <c r="AD136" i="110"/>
  <c r="AC136" i="110"/>
  <c r="AD132" i="110"/>
  <c r="AC132" i="110"/>
  <c r="AD128" i="110"/>
  <c r="AC128" i="110"/>
  <c r="AD124" i="110"/>
  <c r="AC124" i="110"/>
  <c r="AD120" i="110"/>
  <c r="AC120" i="110"/>
  <c r="AD116" i="110"/>
  <c r="AC116" i="110"/>
  <c r="AD155" i="110"/>
  <c r="AC155" i="110"/>
  <c r="AD151" i="110"/>
  <c r="AC151" i="110"/>
  <c r="AD147" i="110"/>
  <c r="AC147" i="110"/>
  <c r="AD143" i="110"/>
  <c r="AC143" i="110"/>
  <c r="AD139" i="110"/>
  <c r="AC139" i="110"/>
  <c r="AD135" i="110"/>
  <c r="AC135" i="110"/>
  <c r="AD131" i="110"/>
  <c r="AC131" i="110"/>
  <c r="AD127" i="110"/>
  <c r="AC127" i="110"/>
  <c r="AD123" i="110"/>
  <c r="AC123" i="110"/>
  <c r="AD119" i="110"/>
  <c r="AC119" i="110"/>
  <c r="AX96" i="63"/>
  <c r="AX46" i="63"/>
  <c r="AX78" i="63"/>
  <c r="AX64" i="63"/>
  <c r="AX110" i="63"/>
  <c r="AX92" i="63"/>
  <c r="N152" i="110"/>
  <c r="N148" i="110"/>
  <c r="N144" i="110"/>
  <c r="N140" i="110"/>
  <c r="N136" i="110"/>
  <c r="N132" i="110"/>
  <c r="N128" i="110"/>
  <c r="N124" i="110"/>
  <c r="N120" i="110"/>
  <c r="N116" i="110"/>
  <c r="O152" i="110"/>
  <c r="O148" i="110"/>
  <c r="O144" i="110"/>
  <c r="O140" i="110"/>
  <c r="O136" i="110"/>
  <c r="O132" i="110"/>
  <c r="O128" i="110"/>
  <c r="O124" i="110"/>
  <c r="O120" i="110"/>
  <c r="O116" i="110"/>
  <c r="AX104" i="63"/>
  <c r="AX100" i="63"/>
  <c r="AX86" i="63"/>
  <c r="AX72" i="63"/>
  <c r="AX68" i="63"/>
  <c r="AX40" i="63"/>
  <c r="AX36" i="63"/>
  <c r="N155" i="110"/>
  <c r="N151" i="110"/>
  <c r="N147" i="110"/>
  <c r="N143" i="110"/>
  <c r="N139" i="110"/>
  <c r="N135" i="110"/>
  <c r="N131" i="110"/>
  <c r="N127" i="110"/>
  <c r="N123" i="110"/>
  <c r="N119" i="110"/>
  <c r="O155" i="110"/>
  <c r="O151" i="110"/>
  <c r="O147" i="110"/>
  <c r="O143" i="110"/>
  <c r="O139" i="110"/>
  <c r="O135" i="110"/>
  <c r="O131" i="110"/>
  <c r="O127" i="110"/>
  <c r="O123" i="110"/>
  <c r="O119" i="110"/>
  <c r="AX112" i="63"/>
  <c r="AX108" i="63"/>
  <c r="AX94" i="63"/>
  <c r="AX80" i="63"/>
  <c r="AX76" i="63"/>
  <c r="AX62" i="63"/>
  <c r="AX48" i="63"/>
  <c r="AX44" i="63"/>
  <c r="N154" i="110"/>
  <c r="N150" i="110"/>
  <c r="N146" i="110"/>
  <c r="N142" i="110"/>
  <c r="N138" i="110"/>
  <c r="N134" i="110"/>
  <c r="N130" i="110"/>
  <c r="N126" i="110"/>
  <c r="N122" i="110"/>
  <c r="N118" i="110"/>
  <c r="O154" i="110"/>
  <c r="O150" i="110"/>
  <c r="O146" i="110"/>
  <c r="O142" i="110"/>
  <c r="O138" i="110"/>
  <c r="O134" i="110"/>
  <c r="O130" i="110"/>
  <c r="O126" i="110"/>
  <c r="O122" i="110"/>
  <c r="O118" i="110"/>
  <c r="AX60" i="63"/>
  <c r="AX102" i="63"/>
  <c r="AX88" i="63"/>
  <c r="AX84" i="63"/>
  <c r="AX70" i="63"/>
  <c r="AX56" i="63"/>
  <c r="AX52" i="63"/>
  <c r="AX38" i="63"/>
  <c r="N153" i="110"/>
  <c r="N149" i="110"/>
  <c r="N145" i="110"/>
  <c r="N141" i="110"/>
  <c r="N137" i="110"/>
  <c r="N133" i="110"/>
  <c r="N129" i="110"/>
  <c r="N121" i="110"/>
  <c r="N117" i="110"/>
  <c r="O153" i="110"/>
  <c r="O149" i="110"/>
  <c r="O145" i="110"/>
  <c r="O141" i="110"/>
  <c r="O137" i="110"/>
  <c r="O133" i="110"/>
  <c r="O129" i="110"/>
  <c r="O121" i="110"/>
  <c r="O117" i="110"/>
  <c r="AX106" i="63"/>
  <c r="AX90" i="63"/>
  <c r="AX74" i="63"/>
  <c r="AX66" i="63"/>
  <c r="AX58" i="63"/>
  <c r="AX50" i="63"/>
  <c r="AX42" i="63"/>
  <c r="AX114" i="63"/>
  <c r="AV114" i="63"/>
  <c r="AV112" i="63"/>
  <c r="AV110" i="63"/>
  <c r="AV108" i="63"/>
  <c r="AV106" i="63"/>
  <c r="AV104" i="63"/>
  <c r="AV102" i="63"/>
  <c r="AV100" i="63"/>
  <c r="AV98" i="63"/>
  <c r="AV96" i="63"/>
  <c r="AV94" i="63"/>
  <c r="AV92" i="63"/>
  <c r="AV90" i="63"/>
  <c r="AV88" i="63"/>
  <c r="AV86" i="63"/>
  <c r="AV84" i="63"/>
  <c r="AV82" i="63"/>
  <c r="AV80" i="63"/>
  <c r="AV78" i="63"/>
  <c r="AV76" i="63"/>
  <c r="AV74" i="63"/>
  <c r="AV72" i="63"/>
  <c r="AV70" i="63"/>
  <c r="AV68" i="63"/>
  <c r="AV66" i="63"/>
  <c r="AV64" i="63"/>
  <c r="AV62" i="63"/>
  <c r="AV60" i="63"/>
  <c r="AV58" i="63"/>
  <c r="AV56" i="63"/>
  <c r="AV52" i="63"/>
  <c r="AV50" i="63"/>
  <c r="AV48" i="63"/>
  <c r="AV46" i="63"/>
  <c r="AV44" i="63"/>
  <c r="AV42" i="63"/>
  <c r="AV40" i="63"/>
  <c r="AV38" i="63"/>
  <c r="AV36" i="63"/>
  <c r="AX98" i="63"/>
  <c r="AX82" i="63"/>
  <c r="M18" i="62"/>
  <c r="M20" i="62"/>
  <c r="M22" i="62"/>
  <c r="M24" i="62"/>
  <c r="M26" i="62"/>
  <c r="M28" i="62"/>
  <c r="M30" i="62"/>
  <c r="M32" i="62"/>
  <c r="M34" i="62"/>
  <c r="V18" i="62"/>
  <c r="V26" i="62"/>
  <c r="V28" i="62"/>
  <c r="V30" i="62"/>
  <c r="V32" i="62"/>
  <c r="V34" i="62"/>
  <c r="V16" i="62"/>
  <c r="X34" i="108"/>
  <c r="Y34" i="108"/>
  <c r="X35" i="108"/>
  <c r="Y35" i="108"/>
  <c r="X36" i="108"/>
  <c r="Y36" i="108"/>
  <c r="X37" i="108"/>
  <c r="Y37" i="108"/>
  <c r="X38" i="108"/>
  <c r="Y38" i="108"/>
  <c r="X39" i="108"/>
  <c r="Y39" i="108"/>
  <c r="AU18" i="13" l="1"/>
  <c r="AU20" i="13"/>
  <c r="AU22" i="13"/>
  <c r="AU24" i="13"/>
  <c r="AU26" i="13"/>
  <c r="AU28" i="13"/>
  <c r="AU30" i="13"/>
  <c r="AU32" i="13"/>
  <c r="AU34" i="13"/>
  <c r="AU36" i="13"/>
  <c r="AU38" i="13"/>
  <c r="AU40" i="13"/>
  <c r="AU42" i="13"/>
  <c r="AU44" i="13"/>
  <c r="AU46" i="13"/>
  <c r="AU48" i="13"/>
  <c r="AU50" i="13"/>
  <c r="AU52" i="13"/>
  <c r="AU54" i="13"/>
  <c r="AU56" i="13"/>
  <c r="AU58" i="13"/>
  <c r="AU60" i="13"/>
  <c r="AU62" i="13"/>
  <c r="AU64" i="13"/>
  <c r="AU66" i="13"/>
  <c r="AU68" i="13"/>
  <c r="AU70" i="13"/>
  <c r="AU72" i="13"/>
  <c r="AU74" i="13"/>
  <c r="AU76" i="13"/>
  <c r="AU78" i="13"/>
  <c r="AU80" i="13"/>
  <c r="AU82" i="13"/>
  <c r="AU84" i="13"/>
  <c r="AU86" i="13"/>
  <c r="AU88" i="13"/>
  <c r="AU90" i="13"/>
  <c r="AU92" i="13"/>
  <c r="AU94" i="13"/>
  <c r="AU96" i="13"/>
  <c r="AU98" i="13"/>
  <c r="AU100" i="13"/>
  <c r="AU102" i="13"/>
  <c r="AU104" i="13"/>
  <c r="AU106" i="13"/>
  <c r="AI18" i="12"/>
  <c r="AI20" i="12"/>
  <c r="AI22" i="12"/>
  <c r="AI24" i="12"/>
  <c r="AI26" i="12"/>
  <c r="AI28" i="12"/>
  <c r="AI30" i="12"/>
  <c r="AI32" i="12"/>
  <c r="AI34" i="12"/>
  <c r="AI36" i="12"/>
  <c r="AI38" i="12"/>
  <c r="AI40" i="12"/>
  <c r="AI42" i="12"/>
  <c r="AI44" i="12"/>
  <c r="AI18" i="62"/>
  <c r="AI20" i="62"/>
  <c r="AI22" i="62"/>
  <c r="AI24" i="62"/>
  <c r="AI26" i="62"/>
  <c r="AI28" i="62"/>
  <c r="AI30" i="62"/>
  <c r="AI32" i="62"/>
  <c r="AI34" i="62"/>
  <c r="R18" i="63"/>
  <c r="R20" i="63"/>
  <c r="R22" i="63"/>
  <c r="R24" i="63"/>
  <c r="R26" i="63"/>
  <c r="R28" i="63"/>
  <c r="R30" i="63"/>
  <c r="R32" i="63"/>
  <c r="R34" i="63"/>
  <c r="AO34" i="63" s="1"/>
  <c r="H115" i="110" s="1"/>
  <c r="P18" i="63"/>
  <c r="P20" i="63"/>
  <c r="P22" i="63"/>
  <c r="P24" i="63"/>
  <c r="P26" i="63"/>
  <c r="P28" i="63"/>
  <c r="P30" i="63"/>
  <c r="P32" i="63"/>
  <c r="P34" i="63"/>
  <c r="J18" i="63"/>
  <c r="J20" i="63"/>
  <c r="J22" i="63"/>
  <c r="J24" i="63"/>
  <c r="J26" i="63"/>
  <c r="J28" i="63"/>
  <c r="J30" i="63"/>
  <c r="J32" i="63"/>
  <c r="J34" i="63"/>
  <c r="L18" i="63"/>
  <c r="L20" i="63"/>
  <c r="L22" i="63"/>
  <c r="L24" i="63"/>
  <c r="AW24" i="63" s="1"/>
  <c r="L26" i="63"/>
  <c r="AW26" i="63" s="1"/>
  <c r="L28" i="63"/>
  <c r="L30" i="63"/>
  <c r="L32" i="63"/>
  <c r="L34" i="63"/>
  <c r="AW34" i="63" s="1"/>
  <c r="T18" i="64"/>
  <c r="T20" i="64"/>
  <c r="T22" i="64"/>
  <c r="T24" i="64"/>
  <c r="T26" i="64"/>
  <c r="T28" i="64"/>
  <c r="T30" i="64"/>
  <c r="T32" i="64"/>
  <c r="T34" i="64"/>
  <c r="N18" i="64"/>
  <c r="N20" i="64"/>
  <c r="N22" i="64"/>
  <c r="N24" i="64"/>
  <c r="N26" i="64"/>
  <c r="N28" i="64"/>
  <c r="N30" i="64"/>
  <c r="N32" i="64"/>
  <c r="N34" i="64"/>
  <c r="N40" i="64"/>
  <c r="N42" i="64"/>
  <c r="N44" i="64"/>
  <c r="T40" i="64"/>
  <c r="T42" i="64"/>
  <c r="T44" i="64"/>
  <c r="AN42" i="64"/>
  <c r="H170" i="110" s="1"/>
  <c r="AN44" i="64"/>
  <c r="H171" i="110" s="1"/>
  <c r="AK42" i="64"/>
  <c r="AK44" i="64"/>
  <c r="AI40" i="64"/>
  <c r="AI42" i="64"/>
  <c r="AI44" i="64"/>
  <c r="AX40" i="64"/>
  <c r="AW40" i="64" s="1"/>
  <c r="AY40" i="64"/>
  <c r="AV42" i="64"/>
  <c r="AX42" i="64"/>
  <c r="AY42" i="64"/>
  <c r="AV44" i="64"/>
  <c r="AW44" i="64"/>
  <c r="AX44" i="64"/>
  <c r="AY44" i="64"/>
  <c r="AE18" i="117"/>
  <c r="AE20" i="117"/>
  <c r="AE22" i="117"/>
  <c r="AE24" i="117"/>
  <c r="AE26" i="117"/>
  <c r="AE28" i="117"/>
  <c r="AE30" i="117"/>
  <c r="AI18" i="117"/>
  <c r="AI20" i="117"/>
  <c r="AI22" i="117"/>
  <c r="AI24" i="117"/>
  <c r="AI26" i="117"/>
  <c r="AI28" i="117"/>
  <c r="AI30" i="117"/>
  <c r="AU18" i="117"/>
  <c r="AX18" i="117"/>
  <c r="AU20" i="117"/>
  <c r="AX20" i="117"/>
  <c r="AU22" i="117"/>
  <c r="AX22" i="117"/>
  <c r="AU24" i="117"/>
  <c r="AX24" i="117"/>
  <c r="AU26" i="117"/>
  <c r="AX26" i="117"/>
  <c r="AU28" i="117"/>
  <c r="AX28" i="117"/>
  <c r="AU30" i="117"/>
  <c r="AX30" i="117"/>
  <c r="AN36" i="118"/>
  <c r="H292" i="110" s="1"/>
  <c r="AN38" i="118"/>
  <c r="H293" i="110" s="1"/>
  <c r="AN40" i="118"/>
  <c r="H294" i="110" s="1"/>
  <c r="AN42" i="118"/>
  <c r="H295" i="110" s="1"/>
  <c r="AN44" i="118"/>
  <c r="H296" i="110" s="1"/>
  <c r="AK32" i="118"/>
  <c r="AK34" i="118"/>
  <c r="AK36" i="118"/>
  <c r="AK38" i="118"/>
  <c r="AK40" i="118"/>
  <c r="AK42" i="118"/>
  <c r="AK44" i="118"/>
  <c r="AI18" i="118"/>
  <c r="AI20" i="118"/>
  <c r="AI22" i="118"/>
  <c r="AI24" i="118"/>
  <c r="AI26" i="118"/>
  <c r="AI28" i="118"/>
  <c r="AI30" i="118"/>
  <c r="AI32" i="118"/>
  <c r="AI34" i="118"/>
  <c r="AI36" i="118"/>
  <c r="AI38" i="118"/>
  <c r="AI40" i="118"/>
  <c r="AI42" i="118"/>
  <c r="AI44" i="118"/>
  <c r="AK18" i="118"/>
  <c r="AK20" i="118"/>
  <c r="AK22" i="118"/>
  <c r="AK26" i="118"/>
  <c r="AK28" i="118"/>
  <c r="AK30" i="118"/>
  <c r="AI52" i="118"/>
  <c r="AI54" i="118"/>
  <c r="AI56" i="118"/>
  <c r="AI58" i="118"/>
  <c r="AI60" i="118"/>
  <c r="AI62" i="118"/>
  <c r="AI64" i="118"/>
  <c r="AK54" i="118"/>
  <c r="AK56" i="118"/>
  <c r="AK58" i="118"/>
  <c r="AK62" i="118"/>
  <c r="AN56" i="118"/>
  <c r="AN58" i="118"/>
  <c r="AN62" i="118"/>
  <c r="AK52" i="118"/>
  <c r="AK60" i="118"/>
  <c r="AK64" i="118"/>
  <c r="AI18" i="66"/>
  <c r="AI20" i="66"/>
  <c r="AI22" i="66"/>
  <c r="AI24" i="66"/>
  <c r="AI26" i="66"/>
  <c r="AI28" i="66"/>
  <c r="AI30" i="66"/>
  <c r="AI32" i="66"/>
  <c r="AI34" i="66"/>
  <c r="AK20" i="66"/>
  <c r="AK24" i="66"/>
  <c r="AK26" i="66"/>
  <c r="AK32" i="66"/>
  <c r="AN20" i="66"/>
  <c r="H217" i="110" s="1"/>
  <c r="AN24" i="66"/>
  <c r="H219" i="110" s="1"/>
  <c r="AN26" i="66"/>
  <c r="H220" i="110" s="1"/>
  <c r="AN32" i="66"/>
  <c r="H223" i="110" s="1"/>
  <c r="AV18" i="66"/>
  <c r="AK18" i="66" s="1"/>
  <c r="AV20" i="66"/>
  <c r="AV22" i="66"/>
  <c r="AK22" i="66" s="1"/>
  <c r="AV24" i="66"/>
  <c r="AV26" i="66"/>
  <c r="AV28" i="66"/>
  <c r="AK28" i="66" s="1"/>
  <c r="AV30" i="66"/>
  <c r="AK30" i="66" s="1"/>
  <c r="AV32" i="66"/>
  <c r="AV34" i="66"/>
  <c r="AK34" i="66" s="1"/>
  <c r="AI28" i="63"/>
  <c r="AI30" i="63"/>
  <c r="AI32" i="63"/>
  <c r="AE28" i="63"/>
  <c r="BE28" i="63" s="1"/>
  <c r="AE30" i="63"/>
  <c r="AE32" i="63"/>
  <c r="AE34" i="63"/>
  <c r="BE30" i="64" l="1"/>
  <c r="BE34" i="64"/>
  <c r="BE44" i="64"/>
  <c r="BE32" i="64"/>
  <c r="BE28" i="64"/>
  <c r="AW22" i="63"/>
  <c r="AK22" i="63" s="1"/>
  <c r="BC22" i="63"/>
  <c r="BE18" i="64"/>
  <c r="AW18" i="63"/>
  <c r="AW20" i="63"/>
  <c r="AK20" i="63" s="1"/>
  <c r="AW30" i="63"/>
  <c r="AW32" i="63"/>
  <c r="AK32" i="63" s="1"/>
  <c r="AY32" i="63"/>
  <c r="AI34" i="63"/>
  <c r="P115" i="110"/>
  <c r="AV34" i="63"/>
  <c r="AK24" i="63"/>
  <c r="AW28" i="63"/>
  <c r="AK28" i="63" s="1"/>
  <c r="AK34" i="63"/>
  <c r="AK30" i="63"/>
  <c r="AA115" i="110"/>
  <c r="AY34" i="63"/>
  <c r="AY28" i="63"/>
  <c r="AY30" i="63"/>
  <c r="BC28" i="64"/>
  <c r="BC20" i="64"/>
  <c r="BC30" i="64"/>
  <c r="BC22" i="64"/>
  <c r="BC32" i="64"/>
  <c r="BC24" i="64"/>
  <c r="AA109" i="110"/>
  <c r="AN28" i="117"/>
  <c r="AN20" i="117"/>
  <c r="AN18" i="117"/>
  <c r="AN30" i="117"/>
  <c r="BC34" i="64"/>
  <c r="BC26" i="64"/>
  <c r="BC18" i="64"/>
  <c r="AA114" i="110"/>
  <c r="AA113" i="110"/>
  <c r="AA112" i="110"/>
  <c r="AN22" i="117"/>
  <c r="AN26" i="117"/>
  <c r="AN24" i="117"/>
  <c r="AU34" i="63"/>
  <c r="AA111" i="110"/>
  <c r="AK26" i="63"/>
  <c r="AC113" i="110"/>
  <c r="AD113" i="110"/>
  <c r="AC109" i="110"/>
  <c r="AD109" i="110"/>
  <c r="AD112" i="110"/>
  <c r="AC112" i="110"/>
  <c r="AD108" i="110"/>
  <c r="AC108" i="110"/>
  <c r="AD115" i="110"/>
  <c r="AC115" i="110"/>
  <c r="AD111" i="110"/>
  <c r="AC111" i="110"/>
  <c r="AD107" i="110"/>
  <c r="AC107" i="110"/>
  <c r="AC114" i="110"/>
  <c r="AD114" i="110"/>
  <c r="AC110" i="110"/>
  <c r="AD110" i="110"/>
  <c r="AA108" i="110"/>
  <c r="AK18" i="63"/>
  <c r="AA107" i="110"/>
  <c r="AA110" i="110"/>
  <c r="AU44" i="64"/>
  <c r="AU32" i="64"/>
  <c r="AU34" i="64"/>
  <c r="AU28" i="64"/>
  <c r="AU30" i="64"/>
  <c r="AX28" i="63"/>
  <c r="AV28" i="63" s="1"/>
  <c r="AU42" i="64"/>
  <c r="AX32" i="63"/>
  <c r="AV32" i="63" s="1"/>
  <c r="AX30" i="63"/>
  <c r="AV30" i="63" s="1"/>
  <c r="AX34" i="63"/>
  <c r="AK24" i="118"/>
  <c r="AV16" i="66"/>
  <c r="AK16" i="66" s="1"/>
  <c r="AU32" i="63" l="1"/>
  <c r="AO32" i="63" s="1"/>
  <c r="H114" i="110" s="1"/>
  <c r="N115" i="110"/>
  <c r="AU30" i="63"/>
  <c r="AO30" i="63" s="1"/>
  <c r="H113" i="110" s="1"/>
  <c r="O115" i="110"/>
  <c r="W115" i="110"/>
  <c r="AU28" i="63"/>
  <c r="R115" i="110"/>
  <c r="L115" i="110" s="1"/>
  <c r="AO28" i="63" l="1"/>
  <c r="A283" i="110"/>
  <c r="A284" i="110"/>
  <c r="A285" i="110"/>
  <c r="A286" i="110"/>
  <c r="A287" i="110"/>
  <c r="A288" i="110"/>
  <c r="A289" i="110"/>
  <c r="A290" i="110"/>
  <c r="A291" i="110"/>
  <c r="A292" i="110"/>
  <c r="A293" i="110"/>
  <c r="A294" i="110"/>
  <c r="A295" i="110"/>
  <c r="A296" i="110"/>
  <c r="A299" i="110"/>
  <c r="A300" i="110"/>
  <c r="A301" i="110"/>
  <c r="A302" i="110"/>
  <c r="A303" i="110"/>
  <c r="A304" i="110"/>
  <c r="A305" i="110"/>
  <c r="A306" i="110"/>
  <c r="I299" i="110"/>
  <c r="J299" i="110"/>
  <c r="I300" i="110"/>
  <c r="J300" i="110"/>
  <c r="M300" i="110"/>
  <c r="I301" i="110"/>
  <c r="J301" i="110"/>
  <c r="M301" i="110"/>
  <c r="I302" i="110"/>
  <c r="J302" i="110"/>
  <c r="M302" i="110"/>
  <c r="I303" i="110"/>
  <c r="J303" i="110"/>
  <c r="M303" i="110"/>
  <c r="I304" i="110"/>
  <c r="J304" i="110"/>
  <c r="M304" i="110"/>
  <c r="I305" i="110"/>
  <c r="J305" i="110"/>
  <c r="M305" i="110"/>
  <c r="I306" i="110"/>
  <c r="J306" i="110"/>
  <c r="M306" i="110"/>
  <c r="AD300" i="110"/>
  <c r="AD301" i="110"/>
  <c r="AD302" i="110"/>
  <c r="AD303" i="110"/>
  <c r="AD304" i="110"/>
  <c r="AD305" i="110"/>
  <c r="AD306" i="110"/>
  <c r="Z301" i="110"/>
  <c r="AB301" i="110"/>
  <c r="AO301" i="110" s="1"/>
  <c r="Z302" i="110"/>
  <c r="AB302" i="110"/>
  <c r="AO302" i="110" s="1"/>
  <c r="Z303" i="110"/>
  <c r="AB303" i="110"/>
  <c r="AO303" i="110" s="1"/>
  <c r="Z304" i="110"/>
  <c r="AB304" i="110"/>
  <c r="AO304" i="110" s="1"/>
  <c r="Z305" i="110"/>
  <c r="AB305" i="110"/>
  <c r="AO305" i="110" s="1"/>
  <c r="Z306" i="110"/>
  <c r="AB306" i="110"/>
  <c r="AO306" i="110" s="1"/>
  <c r="Z299" i="110"/>
  <c r="AB299" i="110"/>
  <c r="AO299" i="110" s="1"/>
  <c r="AD299" i="110"/>
  <c r="Z300" i="110"/>
  <c r="AB300" i="110"/>
  <c r="AO300" i="110" s="1"/>
  <c r="AD283" i="110"/>
  <c r="AD284" i="110"/>
  <c r="AD285" i="110"/>
  <c r="AD286" i="110"/>
  <c r="AD287" i="110"/>
  <c r="AD288" i="110"/>
  <c r="AD289" i="110"/>
  <c r="AD290" i="110"/>
  <c r="AD291" i="110"/>
  <c r="AD292" i="110"/>
  <c r="AD293" i="110"/>
  <c r="AD294" i="110"/>
  <c r="AD295" i="110"/>
  <c r="AD296" i="110"/>
  <c r="Z283" i="110"/>
  <c r="AB283" i="110"/>
  <c r="AO283" i="110" s="1"/>
  <c r="Z284" i="110"/>
  <c r="AB284" i="110"/>
  <c r="AO284" i="110" s="1"/>
  <c r="Z285" i="110"/>
  <c r="AB285" i="110"/>
  <c r="AO285" i="110" s="1"/>
  <c r="Z286" i="110"/>
  <c r="AB286" i="110"/>
  <c r="AO286" i="110" s="1"/>
  <c r="Z287" i="110"/>
  <c r="AB287" i="110"/>
  <c r="AO287" i="110" s="1"/>
  <c r="Z288" i="110"/>
  <c r="AB288" i="110"/>
  <c r="AO288" i="110" s="1"/>
  <c r="Z289" i="110"/>
  <c r="AB289" i="110"/>
  <c r="AO289" i="110" s="1"/>
  <c r="Z290" i="110"/>
  <c r="AB290" i="110"/>
  <c r="AO290" i="110" s="1"/>
  <c r="Z291" i="110"/>
  <c r="AB291" i="110"/>
  <c r="AO291" i="110" s="1"/>
  <c r="Z292" i="110"/>
  <c r="AB292" i="110"/>
  <c r="AO292" i="110" s="1"/>
  <c r="Z293" i="110"/>
  <c r="AB293" i="110"/>
  <c r="AO293" i="110" s="1"/>
  <c r="Z294" i="110"/>
  <c r="AB294" i="110"/>
  <c r="AO294" i="110" s="1"/>
  <c r="Z295" i="110"/>
  <c r="AB295" i="110"/>
  <c r="AO295" i="110" s="1"/>
  <c r="Z296" i="110"/>
  <c r="AB296" i="110"/>
  <c r="AO296" i="110" s="1"/>
  <c r="AD282" i="110"/>
  <c r="AB282" i="110"/>
  <c r="AO282" i="110" s="1"/>
  <c r="Z282" i="110"/>
  <c r="M283" i="110"/>
  <c r="M284" i="110"/>
  <c r="M285" i="110"/>
  <c r="M286" i="110"/>
  <c r="M287" i="110"/>
  <c r="M288" i="110"/>
  <c r="M289" i="110"/>
  <c r="M290" i="110"/>
  <c r="M291" i="110"/>
  <c r="M292" i="110"/>
  <c r="M293" i="110"/>
  <c r="M294" i="110"/>
  <c r="M295" i="110"/>
  <c r="M296" i="110"/>
  <c r="J283" i="110"/>
  <c r="J284" i="110"/>
  <c r="J285" i="110"/>
  <c r="J286" i="110"/>
  <c r="J287" i="110"/>
  <c r="J288" i="110"/>
  <c r="J289" i="110"/>
  <c r="J290" i="110"/>
  <c r="J291" i="110"/>
  <c r="J292" i="110"/>
  <c r="J293" i="110"/>
  <c r="J294" i="110"/>
  <c r="J295" i="110"/>
  <c r="J296" i="110"/>
  <c r="I283" i="110"/>
  <c r="I284" i="110"/>
  <c r="I285" i="110"/>
  <c r="I286" i="110"/>
  <c r="I287" i="110"/>
  <c r="I288" i="110"/>
  <c r="I289" i="110"/>
  <c r="I290" i="110"/>
  <c r="I291" i="110"/>
  <c r="I292" i="110"/>
  <c r="I293" i="110"/>
  <c r="I294" i="110"/>
  <c r="I295" i="110"/>
  <c r="I296" i="110"/>
  <c r="M282" i="110"/>
  <c r="J282" i="110"/>
  <c r="I282" i="110"/>
  <c r="G283" i="110"/>
  <c r="G284" i="110"/>
  <c r="G285" i="110"/>
  <c r="G286" i="110"/>
  <c r="G287" i="110"/>
  <c r="G288" i="110"/>
  <c r="G289" i="110"/>
  <c r="G290" i="110"/>
  <c r="G291" i="110"/>
  <c r="G292" i="110"/>
  <c r="G293" i="110"/>
  <c r="G294" i="110"/>
  <c r="G295" i="110"/>
  <c r="G296" i="110"/>
  <c r="G299" i="110"/>
  <c r="G300" i="110"/>
  <c r="G301" i="110"/>
  <c r="G302" i="110"/>
  <c r="G303" i="110"/>
  <c r="G306" i="110"/>
  <c r="G282" i="110"/>
  <c r="A282" i="110"/>
  <c r="N64" i="118"/>
  <c r="T64" i="118"/>
  <c r="N54" i="118"/>
  <c r="T54" i="118"/>
  <c r="N56" i="118"/>
  <c r="T56" i="118"/>
  <c r="P302" i="110"/>
  <c r="N58" i="118"/>
  <c r="T58" i="118"/>
  <c r="R303" i="110"/>
  <c r="C303" i="110" s="1"/>
  <c r="B303" i="110" s="1"/>
  <c r="N60" i="118"/>
  <c r="T60" i="118"/>
  <c r="N62" i="118"/>
  <c r="T62" i="118"/>
  <c r="P305" i="110"/>
  <c r="N52" i="118"/>
  <c r="T52" i="118"/>
  <c r="AI50" i="118"/>
  <c r="T50" i="118"/>
  <c r="N50" i="118"/>
  <c r="AA299" i="110" s="1"/>
  <c r="N36" i="118"/>
  <c r="T36" i="118"/>
  <c r="R292" i="110"/>
  <c r="C292" i="110" s="1"/>
  <c r="B292" i="110" s="1"/>
  <c r="N38" i="118"/>
  <c r="T38" i="118"/>
  <c r="R293" i="110"/>
  <c r="C293" i="110" s="1"/>
  <c r="B293" i="110" s="1"/>
  <c r="N40" i="118"/>
  <c r="T40" i="118"/>
  <c r="R294" i="110"/>
  <c r="C294" i="110" s="1"/>
  <c r="B294" i="110" s="1"/>
  <c r="N42" i="118"/>
  <c r="T42" i="118"/>
  <c r="O295" i="110"/>
  <c r="N44" i="118"/>
  <c r="T44" i="118"/>
  <c r="R296" i="110"/>
  <c r="C296" i="110" s="1"/>
  <c r="B296" i="110" s="1"/>
  <c r="AW200" i="118"/>
  <c r="N20" i="118"/>
  <c r="T20" i="118"/>
  <c r="N22" i="118"/>
  <c r="T22" i="118"/>
  <c r="N24" i="118"/>
  <c r="T24" i="118"/>
  <c r="N26" i="118"/>
  <c r="T26" i="118"/>
  <c r="N28" i="118"/>
  <c r="T28" i="118"/>
  <c r="N30" i="118"/>
  <c r="T30" i="118"/>
  <c r="N32" i="118"/>
  <c r="T32" i="118"/>
  <c r="N34" i="118"/>
  <c r="T34" i="118"/>
  <c r="T18" i="118"/>
  <c r="N18" i="118"/>
  <c r="P112" i="110" l="1"/>
  <c r="H112" i="110"/>
  <c r="O112" i="110"/>
  <c r="N112" i="110"/>
  <c r="R112" i="110"/>
  <c r="W112" i="110"/>
  <c r="P114" i="110"/>
  <c r="R114" i="110"/>
  <c r="O114" i="110"/>
  <c r="N114" i="110"/>
  <c r="W114" i="110"/>
  <c r="O113" i="110"/>
  <c r="P113" i="110"/>
  <c r="N113" i="110"/>
  <c r="W113" i="110"/>
  <c r="R113" i="110"/>
  <c r="BC38" i="118"/>
  <c r="BE34" i="118"/>
  <c r="BE30" i="118"/>
  <c r="BE44" i="118"/>
  <c r="BE36" i="118"/>
  <c r="BE18" i="118"/>
  <c r="BC32" i="118"/>
  <c r="AN32" i="118" s="1"/>
  <c r="N290" i="110" s="1"/>
  <c r="BC28" i="118"/>
  <c r="BC24" i="118"/>
  <c r="BC20" i="118"/>
  <c r="BE42" i="118"/>
  <c r="BC40" i="118"/>
  <c r="BC42" i="118"/>
  <c r="BC34" i="118"/>
  <c r="BC30" i="118"/>
  <c r="BC26" i="118"/>
  <c r="BC22" i="118"/>
  <c r="BC44" i="118"/>
  <c r="BE38" i="118"/>
  <c r="BC36" i="118"/>
  <c r="BC18" i="118"/>
  <c r="BE32" i="118"/>
  <c r="BE28" i="118"/>
  <c r="BE24" i="118"/>
  <c r="BE20" i="118"/>
  <c r="BE40" i="118"/>
  <c r="AK50" i="118"/>
  <c r="AY200" i="118"/>
  <c r="AU22" i="118"/>
  <c r="AN22" i="118" s="1"/>
  <c r="AA287" i="110"/>
  <c r="AX26" i="118"/>
  <c r="AV26" i="118"/>
  <c r="AX40" i="118"/>
  <c r="AV40" i="118"/>
  <c r="AU40" i="118"/>
  <c r="K294" i="110" s="1"/>
  <c r="AA283" i="110"/>
  <c r="AV18" i="118"/>
  <c r="AX18" i="118"/>
  <c r="AA295" i="110"/>
  <c r="AX42" i="118"/>
  <c r="AU42" i="118"/>
  <c r="K295" i="110" s="1"/>
  <c r="AV42" i="118"/>
  <c r="AA301" i="110"/>
  <c r="AU54" i="118"/>
  <c r="AX54" i="118"/>
  <c r="AA289" i="110"/>
  <c r="AV30" i="118"/>
  <c r="AX30" i="118"/>
  <c r="AA306" i="110"/>
  <c r="AX64" i="118"/>
  <c r="AU64" i="118"/>
  <c r="AA288" i="110"/>
  <c r="AV28" i="118"/>
  <c r="AX28" i="118"/>
  <c r="AA284" i="110"/>
  <c r="AX20" i="118"/>
  <c r="AV20" i="118"/>
  <c r="AU20" i="118"/>
  <c r="AN20" i="118" s="1"/>
  <c r="AA296" i="110"/>
  <c r="AX44" i="118"/>
  <c r="AU44" i="118"/>
  <c r="K296" i="110" s="1"/>
  <c r="AV44" i="118"/>
  <c r="AA292" i="110"/>
  <c r="AU36" i="118"/>
  <c r="K292" i="110" s="1"/>
  <c r="AV36" i="118"/>
  <c r="AX36" i="118"/>
  <c r="AA305" i="110"/>
  <c r="AU62" i="118"/>
  <c r="K305" i="110" s="1"/>
  <c r="AX62" i="118"/>
  <c r="AA302" i="110"/>
  <c r="AX56" i="118"/>
  <c r="AU56" i="118"/>
  <c r="K302" i="110" s="1"/>
  <c r="AA291" i="110"/>
  <c r="AU34" i="118"/>
  <c r="K291" i="110" s="1"/>
  <c r="AV34" i="118"/>
  <c r="AX34" i="118"/>
  <c r="AA285" i="110"/>
  <c r="AV22" i="118"/>
  <c r="AX22" i="118"/>
  <c r="AU26" i="118"/>
  <c r="AN26" i="118" s="1"/>
  <c r="AA304" i="110"/>
  <c r="AX60" i="118"/>
  <c r="AU60" i="118"/>
  <c r="AN60" i="118" s="1"/>
  <c r="AV32" i="118"/>
  <c r="AU32" i="118"/>
  <c r="K290" i="110" s="1"/>
  <c r="AX32" i="118"/>
  <c r="AX24" i="118"/>
  <c r="AV24" i="118"/>
  <c r="AU30" i="118"/>
  <c r="AN30" i="118" s="1"/>
  <c r="AU28" i="118"/>
  <c r="AN28" i="118" s="1"/>
  <c r="AU18" i="118"/>
  <c r="AN18" i="118" s="1"/>
  <c r="AU38" i="118"/>
  <c r="K293" i="110" s="1"/>
  <c r="AV38" i="118"/>
  <c r="AX38" i="118"/>
  <c r="AA300" i="110"/>
  <c r="AX52" i="118"/>
  <c r="AU52" i="118"/>
  <c r="AN52" i="118" s="1"/>
  <c r="AA303" i="110"/>
  <c r="AU58" i="118"/>
  <c r="K303" i="110" s="1"/>
  <c r="AX58" i="118"/>
  <c r="N295" i="110"/>
  <c r="O294" i="110"/>
  <c r="R295" i="110"/>
  <c r="C295" i="110" s="1"/>
  <c r="B295" i="110" s="1"/>
  <c r="O293" i="110"/>
  <c r="P303" i="110"/>
  <c r="R302" i="110"/>
  <c r="C302" i="110" s="1"/>
  <c r="B302" i="110" s="1"/>
  <c r="N294" i="110"/>
  <c r="O296" i="110"/>
  <c r="O292" i="110"/>
  <c r="AA294" i="110"/>
  <c r="AA290" i="110"/>
  <c r="AA286" i="110"/>
  <c r="R305" i="110"/>
  <c r="C305" i="110" s="1"/>
  <c r="B305" i="110" s="1"/>
  <c r="AA293" i="110"/>
  <c r="N293" i="110"/>
  <c r="N296" i="110"/>
  <c r="N292" i="110"/>
  <c r="AX50" i="118"/>
  <c r="AU50" i="118"/>
  <c r="AU24" i="118"/>
  <c r="AK16" i="118"/>
  <c r="AI16" i="118"/>
  <c r="T16" i="118"/>
  <c r="N16" i="118"/>
  <c r="BE22" i="118" l="1"/>
  <c r="BE26" i="118"/>
  <c r="AN34" i="118"/>
  <c r="H290" i="110"/>
  <c r="O290" i="110"/>
  <c r="R290" i="110"/>
  <c r="C290" i="110" s="1"/>
  <c r="B290" i="110" s="1"/>
  <c r="K301" i="110"/>
  <c r="AN54" i="118"/>
  <c r="AX200" i="118"/>
  <c r="H304" i="110"/>
  <c r="H287" i="110"/>
  <c r="H300" i="110"/>
  <c r="H283" i="110"/>
  <c r="H284" i="110"/>
  <c r="H301" i="110"/>
  <c r="H306" i="110"/>
  <c r="H289" i="110"/>
  <c r="H302" i="110"/>
  <c r="H285" i="110"/>
  <c r="H288" i="110"/>
  <c r="H305" i="110"/>
  <c r="K285" i="110"/>
  <c r="BE16" i="118"/>
  <c r="AA282" i="110"/>
  <c r="BC16" i="118"/>
  <c r="K287" i="110"/>
  <c r="K284" i="110"/>
  <c r="K299" i="110"/>
  <c r="K288" i="110"/>
  <c r="AN24" i="118"/>
  <c r="K306" i="110"/>
  <c r="AN64" i="118"/>
  <c r="K300" i="110"/>
  <c r="K304" i="110"/>
  <c r="K283" i="110"/>
  <c r="K289" i="110"/>
  <c r="R287" i="110"/>
  <c r="C287" i="110" s="1"/>
  <c r="B287" i="110" s="1"/>
  <c r="P304" i="110"/>
  <c r="N283" i="110"/>
  <c r="N289" i="110"/>
  <c r="N285" i="110"/>
  <c r="R288" i="110"/>
  <c r="C288" i="110" s="1"/>
  <c r="B288" i="110" s="1"/>
  <c r="K286" i="110"/>
  <c r="O287" i="110"/>
  <c r="AN50" i="118"/>
  <c r="AV16" i="118"/>
  <c r="AV200" i="118" s="1"/>
  <c r="G34" i="3" s="1"/>
  <c r="AX16" i="118"/>
  <c r="AU16" i="118"/>
  <c r="AU200" i="118" s="1"/>
  <c r="AI18" i="63"/>
  <c r="AI20" i="63"/>
  <c r="AI22" i="63"/>
  <c r="AI24" i="63"/>
  <c r="AI26" i="63"/>
  <c r="AE18" i="63"/>
  <c r="BE18" i="63" s="1"/>
  <c r="AE20" i="63"/>
  <c r="BE20" i="63" s="1"/>
  <c r="AE22" i="63"/>
  <c r="AE24" i="63"/>
  <c r="AE26" i="63"/>
  <c r="R16" i="63"/>
  <c r="AE16" i="63"/>
  <c r="AV16" i="63" s="1"/>
  <c r="P16" i="63"/>
  <c r="L16" i="63"/>
  <c r="AW16" i="63" s="1"/>
  <c r="J16" i="63"/>
  <c r="C66" i="118" l="1"/>
  <c r="V66" i="118" s="1"/>
  <c r="M307" i="110" s="1"/>
  <c r="N66" i="118"/>
  <c r="AA307" i="110" s="1"/>
  <c r="H291" i="110"/>
  <c r="O291" i="110"/>
  <c r="R291" i="110"/>
  <c r="C291" i="110" s="1"/>
  <c r="B291" i="110" s="1"/>
  <c r="N291" i="110"/>
  <c r="P301" i="110"/>
  <c r="R301" i="110"/>
  <c r="C301" i="110" s="1"/>
  <c r="B301" i="110" s="1"/>
  <c r="H286" i="110"/>
  <c r="H303" i="110"/>
  <c r="AV18" i="63"/>
  <c r="AY24" i="63"/>
  <c r="AY22" i="63"/>
  <c r="AY18" i="63"/>
  <c r="AY20" i="63"/>
  <c r="AY26" i="63"/>
  <c r="AY16" i="63"/>
  <c r="BA200" i="118"/>
  <c r="AA106" i="110"/>
  <c r="AD106" i="110"/>
  <c r="AC106" i="110"/>
  <c r="P306" i="110"/>
  <c r="R306" i="110"/>
  <c r="C306" i="110" s="1"/>
  <c r="B306" i="110" s="1"/>
  <c r="AX24" i="63"/>
  <c r="AV24" i="63" s="1"/>
  <c r="AU24" i="63"/>
  <c r="AX22" i="63"/>
  <c r="AV22" i="63" s="1"/>
  <c r="AU22" i="63"/>
  <c r="AO22" i="63" s="1"/>
  <c r="H109" i="110" s="1"/>
  <c r="AU20" i="63"/>
  <c r="AO20" i="63" s="1"/>
  <c r="H108" i="110" s="1"/>
  <c r="AX20" i="63"/>
  <c r="AV20" i="63" s="1"/>
  <c r="AU18" i="63"/>
  <c r="K107" i="110" s="1"/>
  <c r="AX18" i="63"/>
  <c r="N287" i="110"/>
  <c r="AU26" i="63"/>
  <c r="AX26" i="63"/>
  <c r="AV26" i="63" s="1"/>
  <c r="O288" i="110"/>
  <c r="R304" i="110"/>
  <c r="C304" i="110" s="1"/>
  <c r="B304" i="110" s="1"/>
  <c r="R283" i="110"/>
  <c r="C283" i="110" s="1"/>
  <c r="B283" i="110" s="1"/>
  <c r="O289" i="110"/>
  <c r="O283" i="110"/>
  <c r="R289" i="110"/>
  <c r="C289" i="110" s="1"/>
  <c r="B289" i="110" s="1"/>
  <c r="R285" i="110"/>
  <c r="C285" i="110" s="1"/>
  <c r="B285" i="110" s="1"/>
  <c r="O285" i="110"/>
  <c r="N288" i="110"/>
  <c r="P300" i="110"/>
  <c r="R300" i="110"/>
  <c r="C300" i="110" s="1"/>
  <c r="B300" i="110" s="1"/>
  <c r="AX16" i="63"/>
  <c r="AN16" i="118"/>
  <c r="K282" i="110"/>
  <c r="R299" i="110"/>
  <c r="C299" i="110" s="1"/>
  <c r="B299" i="110" s="1"/>
  <c r="P299" i="110"/>
  <c r="O286" i="110"/>
  <c r="R286" i="110"/>
  <c r="C286" i="110" s="1"/>
  <c r="B286" i="110" s="1"/>
  <c r="N286" i="110"/>
  <c r="R284" i="110"/>
  <c r="C284" i="110" s="1"/>
  <c r="B284" i="110" s="1"/>
  <c r="N284" i="110"/>
  <c r="O284" i="110"/>
  <c r="BE22" i="63" l="1"/>
  <c r="AO26" i="63"/>
  <c r="H111" i="110" s="1"/>
  <c r="BE26" i="63"/>
  <c r="H282" i="110"/>
  <c r="H299" i="110"/>
  <c r="P108" i="110"/>
  <c r="AO24" i="63"/>
  <c r="BE24" i="63" s="1"/>
  <c r="AO18" i="63"/>
  <c r="P109" i="110"/>
  <c r="P111" i="110"/>
  <c r="N111" i="110"/>
  <c r="N109" i="110"/>
  <c r="K108" i="110"/>
  <c r="AZ200" i="118"/>
  <c r="R12" i="118"/>
  <c r="AB307" i="110"/>
  <c r="AO307" i="110" s="1"/>
  <c r="BA66" i="118"/>
  <c r="AN66" i="118" s="1"/>
  <c r="AJ12" i="118" s="1"/>
  <c r="O282" i="110"/>
  <c r="N282" i="110"/>
  <c r="Z12" i="118"/>
  <c r="F34" i="3" s="1"/>
  <c r="R282" i="110"/>
  <c r="C282" i="110" s="1"/>
  <c r="B282" i="110" s="1"/>
  <c r="AU16" i="63"/>
  <c r="P34" i="3" l="1"/>
  <c r="P107" i="110"/>
  <c r="H107" i="110"/>
  <c r="P110" i="110"/>
  <c r="H110" i="110"/>
  <c r="W110" i="110"/>
  <c r="O110" i="110"/>
  <c r="R110" i="110"/>
  <c r="N110" i="110"/>
  <c r="W109" i="110"/>
  <c r="R111" i="110"/>
  <c r="O111" i="110"/>
  <c r="W111" i="110"/>
  <c r="O109" i="110"/>
  <c r="R109" i="110"/>
  <c r="K106" i="110"/>
  <c r="N108" i="110"/>
  <c r="O108" i="110"/>
  <c r="R108" i="110"/>
  <c r="W108" i="110"/>
  <c r="R307" i="110"/>
  <c r="C307" i="110" s="1"/>
  <c r="B307" i="110" s="1"/>
  <c r="AE12" i="118"/>
  <c r="H34" i="3" s="1"/>
  <c r="N107" i="110"/>
  <c r="O107" i="110"/>
  <c r="R107" i="110"/>
  <c r="AI16" i="63"/>
  <c r="AA170" i="110"/>
  <c r="AA171" i="110"/>
  <c r="M171" i="110"/>
  <c r="M170" i="110"/>
  <c r="M169" i="110"/>
  <c r="K170" i="110"/>
  <c r="K171" i="110"/>
  <c r="A169" i="110"/>
  <c r="G169" i="110"/>
  <c r="Z169" i="110"/>
  <c r="AA169" i="110"/>
  <c r="AB169" i="110"/>
  <c r="AO169" i="110" s="1"/>
  <c r="AD169" i="110"/>
  <c r="A170" i="110"/>
  <c r="G170" i="110"/>
  <c r="Z170" i="110"/>
  <c r="AB170" i="110"/>
  <c r="AO170" i="110" s="1"/>
  <c r="AD170" i="110"/>
  <c r="A171" i="110"/>
  <c r="G171" i="110"/>
  <c r="Z171" i="110"/>
  <c r="AB171" i="110"/>
  <c r="AO171" i="110" s="1"/>
  <c r="AD171" i="110"/>
  <c r="AY38" i="64"/>
  <c r="M168" i="110" s="1"/>
  <c r="AI38" i="64"/>
  <c r="AX38" i="64"/>
  <c r="T38" i="64"/>
  <c r="N38" i="64"/>
  <c r="L226" i="104"/>
  <c r="K226" i="104"/>
  <c r="L225" i="104"/>
  <c r="K225" i="104"/>
  <c r="L224" i="104"/>
  <c r="K224" i="104"/>
  <c r="AK18" i="64"/>
  <c r="AU18" i="64" s="1"/>
  <c r="AK22" i="64"/>
  <c r="AK20" i="64"/>
  <c r="AK24" i="64"/>
  <c r="AK26" i="64"/>
  <c r="AK28" i="64"/>
  <c r="AK30" i="64"/>
  <c r="AK32" i="64"/>
  <c r="AK34" i="64"/>
  <c r="AK16" i="64"/>
  <c r="AU24" i="64" l="1"/>
  <c r="AU22" i="64"/>
  <c r="AV40" i="64"/>
  <c r="AU26" i="64"/>
  <c r="AO16" i="63"/>
  <c r="AU20" i="64"/>
  <c r="AN20" i="64" s="1"/>
  <c r="H159" i="110" s="1"/>
  <c r="AV38" i="64"/>
  <c r="BE20" i="64" l="1"/>
  <c r="AK40" i="64"/>
  <c r="C54" i="63"/>
  <c r="V54" i="63" s="1"/>
  <c r="AK54" i="63" s="1"/>
  <c r="L54" i="63"/>
  <c r="P106" i="110"/>
  <c r="H106" i="110"/>
  <c r="O106" i="110"/>
  <c r="R106" i="110"/>
  <c r="R12" i="63"/>
  <c r="N106" i="110"/>
  <c r="AK38" i="64"/>
  <c r="AU38" i="64" s="1"/>
  <c r="AU40" i="64" l="1"/>
  <c r="AN40" i="64" s="1"/>
  <c r="H169" i="110" s="1"/>
  <c r="K169" i="110"/>
  <c r="AW54" i="63"/>
  <c r="AA125" i="110"/>
  <c r="AC125" i="110"/>
  <c r="BA54" i="63"/>
  <c r="AO54" i="63" s="1"/>
  <c r="AF12" i="63" s="1"/>
  <c r="AI54" i="63"/>
  <c r="BE40" i="64" l="1"/>
  <c r="N125" i="110"/>
  <c r="R125" i="110"/>
  <c r="P28" i="3"/>
  <c r="W125" i="110"/>
  <c r="Z12" i="63"/>
  <c r="AZ16" i="62"/>
  <c r="AW16" i="62" s="1"/>
  <c r="AY16" i="62"/>
  <c r="AX16" i="62"/>
  <c r="AU16" i="62"/>
  <c r="M16" i="62"/>
  <c r="AK16" i="62" l="1"/>
  <c r="N55" i="110" s="1"/>
  <c r="AY16" i="12" l="1"/>
  <c r="A281" i="110" l="1"/>
  <c r="AR202" i="118" l="1"/>
  <c r="W202" i="118"/>
  <c r="AR201" i="118"/>
  <c r="B201" i="118"/>
  <c r="M200" i="118"/>
  <c r="B200" i="118"/>
  <c r="V12" i="118"/>
  <c r="I34" i="3" s="1"/>
  <c r="J34" i="3"/>
  <c r="AV6" i="118"/>
  <c r="E34" i="3"/>
  <c r="C119" i="3"/>
  <c r="E119" i="3"/>
  <c r="B119" i="3"/>
  <c r="A315" i="110" l="1"/>
  <c r="F315" i="110"/>
  <c r="G315" i="110"/>
  <c r="Y315" i="110"/>
  <c r="Z315" i="110"/>
  <c r="AA315" i="110"/>
  <c r="AB315" i="110"/>
  <c r="AC315" i="110"/>
  <c r="AD315" i="110"/>
  <c r="A316" i="110"/>
  <c r="F316" i="110"/>
  <c r="G316" i="110"/>
  <c r="Y316" i="110"/>
  <c r="Z316" i="110"/>
  <c r="AA316" i="110"/>
  <c r="AB316" i="110"/>
  <c r="AC316" i="110"/>
  <c r="AD316" i="110"/>
  <c r="A317" i="110"/>
  <c r="F317" i="110"/>
  <c r="G317" i="110"/>
  <c r="Y317" i="110"/>
  <c r="Z317" i="110"/>
  <c r="AA317" i="110"/>
  <c r="AB317" i="110"/>
  <c r="AC317" i="110"/>
  <c r="AD317" i="110"/>
  <c r="A318" i="110"/>
  <c r="F318" i="110"/>
  <c r="G318" i="110"/>
  <c r="Y318" i="110"/>
  <c r="Z318" i="110"/>
  <c r="AA318" i="110"/>
  <c r="AB318" i="110"/>
  <c r="AC318" i="110"/>
  <c r="AD318" i="110"/>
  <c r="A319" i="110"/>
  <c r="F319" i="110"/>
  <c r="G319" i="110"/>
  <c r="Y319" i="110"/>
  <c r="Z319" i="110"/>
  <c r="AA319" i="110"/>
  <c r="AB319" i="110"/>
  <c r="AC319" i="110"/>
  <c r="AD319" i="110"/>
  <c r="A320" i="110"/>
  <c r="F320" i="110"/>
  <c r="G320" i="110"/>
  <c r="Y320" i="110"/>
  <c r="Z320" i="110"/>
  <c r="AA320" i="110"/>
  <c r="AB320" i="110"/>
  <c r="AC320" i="110"/>
  <c r="AD320" i="110"/>
  <c r="A321" i="110"/>
  <c r="F321" i="110"/>
  <c r="G321" i="110"/>
  <c r="Y321" i="110"/>
  <c r="Z321" i="110"/>
  <c r="AA321" i="110"/>
  <c r="AB321" i="110"/>
  <c r="AC321" i="110"/>
  <c r="AD321" i="110"/>
  <c r="A322" i="110"/>
  <c r="F322" i="110"/>
  <c r="G322" i="110"/>
  <c r="Y322" i="110"/>
  <c r="Z322" i="110"/>
  <c r="AA322" i="110"/>
  <c r="AB322" i="110"/>
  <c r="AC322" i="110"/>
  <c r="AD322" i="110"/>
  <c r="A323" i="110"/>
  <c r="F323" i="110"/>
  <c r="G323" i="110"/>
  <c r="Y323" i="110"/>
  <c r="Z323" i="110"/>
  <c r="AA323" i="110"/>
  <c r="AB323" i="110"/>
  <c r="AC323" i="110"/>
  <c r="AD323" i="110"/>
  <c r="A324" i="110"/>
  <c r="F324" i="110"/>
  <c r="G324" i="110"/>
  <c r="Y324" i="110"/>
  <c r="Z324" i="110"/>
  <c r="AA324" i="110"/>
  <c r="AB324" i="110"/>
  <c r="AC324" i="110"/>
  <c r="AD324" i="110"/>
  <c r="A325" i="110"/>
  <c r="F325" i="110"/>
  <c r="G325" i="110"/>
  <c r="Y325" i="110"/>
  <c r="Z325" i="110"/>
  <c r="AA325" i="110"/>
  <c r="AB325" i="110"/>
  <c r="AC325" i="110"/>
  <c r="AD325" i="110"/>
  <c r="A326" i="110"/>
  <c r="F326" i="110"/>
  <c r="G326" i="110"/>
  <c r="Y326" i="110"/>
  <c r="Z326" i="110"/>
  <c r="AA326" i="110"/>
  <c r="AB326" i="110"/>
  <c r="AC326" i="110"/>
  <c r="AD326" i="110"/>
  <c r="A327" i="110"/>
  <c r="F327" i="110"/>
  <c r="G327" i="110"/>
  <c r="Y327" i="110"/>
  <c r="Z327" i="110"/>
  <c r="AA327" i="110"/>
  <c r="AB327" i="110"/>
  <c r="AC327" i="110"/>
  <c r="AD327" i="110"/>
  <c r="A328" i="110"/>
  <c r="F328" i="110"/>
  <c r="G328" i="110"/>
  <c r="Y328" i="110"/>
  <c r="Z328" i="110"/>
  <c r="AA328" i="110"/>
  <c r="AB328" i="110"/>
  <c r="AC328" i="110"/>
  <c r="AD328" i="110"/>
  <c r="A329" i="110"/>
  <c r="F329" i="110"/>
  <c r="G329" i="110"/>
  <c r="Y329" i="110"/>
  <c r="Z329" i="110"/>
  <c r="AA329" i="110"/>
  <c r="AB329" i="110"/>
  <c r="AC329" i="110"/>
  <c r="AD329" i="110"/>
  <c r="A330" i="110"/>
  <c r="F330" i="110"/>
  <c r="G330" i="110"/>
  <c r="Y330" i="110"/>
  <c r="Z330" i="110"/>
  <c r="AA330" i="110"/>
  <c r="AB330" i="110"/>
  <c r="AC330" i="110"/>
  <c r="AD330" i="110"/>
  <c r="A331" i="110"/>
  <c r="F331" i="110"/>
  <c r="G331" i="110"/>
  <c r="Y331" i="110"/>
  <c r="Z331" i="110"/>
  <c r="AA331" i="110"/>
  <c r="AB331" i="110"/>
  <c r="AC331" i="110"/>
  <c r="AD331" i="110"/>
  <c r="A332" i="110"/>
  <c r="F332" i="110"/>
  <c r="G332" i="110"/>
  <c r="Y332" i="110"/>
  <c r="Z332" i="110"/>
  <c r="AA332" i="110"/>
  <c r="AB332" i="110"/>
  <c r="AC332" i="110"/>
  <c r="AD332" i="110"/>
  <c r="A333" i="110"/>
  <c r="F333" i="110"/>
  <c r="G333" i="110"/>
  <c r="Y333" i="110"/>
  <c r="Z333" i="110"/>
  <c r="AA333" i="110"/>
  <c r="AB333" i="110"/>
  <c r="AC333" i="110"/>
  <c r="AD333" i="110"/>
  <c r="A334" i="110"/>
  <c r="F334" i="110"/>
  <c r="G334" i="110"/>
  <c r="Y334" i="110"/>
  <c r="Z334" i="110"/>
  <c r="AA334" i="110"/>
  <c r="AB334" i="110"/>
  <c r="AC334" i="110"/>
  <c r="AD334" i="110"/>
  <c r="A335" i="110"/>
  <c r="F335" i="110"/>
  <c r="G335" i="110"/>
  <c r="Y335" i="110"/>
  <c r="Z335" i="110"/>
  <c r="AA335" i="110"/>
  <c r="AB335" i="110"/>
  <c r="AC335" i="110"/>
  <c r="AD335" i="110"/>
  <c r="A336" i="110"/>
  <c r="F336" i="110"/>
  <c r="G336" i="110"/>
  <c r="Y336" i="110"/>
  <c r="Z336" i="110"/>
  <c r="AA336" i="110"/>
  <c r="AB336" i="110"/>
  <c r="AC336" i="110"/>
  <c r="AD336" i="110"/>
  <c r="A337" i="110"/>
  <c r="F337" i="110"/>
  <c r="G337" i="110"/>
  <c r="Y337" i="110"/>
  <c r="Z337" i="110"/>
  <c r="AA337" i="110"/>
  <c r="AB337" i="110"/>
  <c r="AC337" i="110"/>
  <c r="AD337" i="110"/>
  <c r="A338" i="110"/>
  <c r="F338" i="110"/>
  <c r="G338" i="110"/>
  <c r="Y338" i="110"/>
  <c r="Z338" i="110"/>
  <c r="AA338" i="110"/>
  <c r="AB338" i="110"/>
  <c r="AC338" i="110"/>
  <c r="AD338" i="110"/>
  <c r="A339" i="110"/>
  <c r="F339" i="110"/>
  <c r="G339" i="110"/>
  <c r="Y339" i="110"/>
  <c r="Z339" i="110"/>
  <c r="AA339" i="110"/>
  <c r="AB339" i="110"/>
  <c r="AC339" i="110"/>
  <c r="AD339" i="110"/>
  <c r="A340" i="110"/>
  <c r="F340" i="110"/>
  <c r="G340" i="110"/>
  <c r="Y340" i="110"/>
  <c r="Z340" i="110"/>
  <c r="AA340" i="110"/>
  <c r="AB340" i="110"/>
  <c r="AC340" i="110"/>
  <c r="AD340" i="110"/>
  <c r="A341" i="110"/>
  <c r="F341" i="110"/>
  <c r="G341" i="110"/>
  <c r="Y341" i="110"/>
  <c r="Z341" i="110"/>
  <c r="AA341" i="110"/>
  <c r="AB341" i="110"/>
  <c r="AC341" i="110"/>
  <c r="AD341" i="110"/>
  <c r="A342" i="110"/>
  <c r="F342" i="110"/>
  <c r="G342" i="110"/>
  <c r="Y342" i="110"/>
  <c r="Z342" i="110"/>
  <c r="AA342" i="110"/>
  <c r="AB342" i="110"/>
  <c r="AC342" i="110"/>
  <c r="AD342" i="110"/>
  <c r="A343" i="110"/>
  <c r="F343" i="110"/>
  <c r="G343" i="110"/>
  <c r="Y343" i="110"/>
  <c r="Z343" i="110"/>
  <c r="AA343" i="110"/>
  <c r="AB343" i="110"/>
  <c r="AC343" i="110"/>
  <c r="AD343" i="110"/>
  <c r="A344" i="110"/>
  <c r="F344" i="110"/>
  <c r="G344" i="110"/>
  <c r="Y344" i="110"/>
  <c r="Z344" i="110"/>
  <c r="AA344" i="110"/>
  <c r="AB344" i="110"/>
  <c r="AC344" i="110"/>
  <c r="AD344" i="110"/>
  <c r="A345" i="110"/>
  <c r="F345" i="110"/>
  <c r="G345" i="110"/>
  <c r="Y345" i="110"/>
  <c r="Z345" i="110"/>
  <c r="AA345" i="110"/>
  <c r="AB345" i="110"/>
  <c r="AC345" i="110"/>
  <c r="AD345" i="110"/>
  <c r="A346" i="110"/>
  <c r="F346" i="110"/>
  <c r="G346" i="110"/>
  <c r="Y346" i="110"/>
  <c r="Z346" i="110"/>
  <c r="AA346" i="110"/>
  <c r="AB346" i="110"/>
  <c r="AC346" i="110"/>
  <c r="AD346" i="110"/>
  <c r="A347" i="110"/>
  <c r="F347" i="110"/>
  <c r="G347" i="110"/>
  <c r="Y347" i="110"/>
  <c r="Z347" i="110"/>
  <c r="AA347" i="110"/>
  <c r="AB347" i="110"/>
  <c r="AC347" i="110"/>
  <c r="AD347" i="110"/>
  <c r="A348" i="110"/>
  <c r="F348" i="110"/>
  <c r="G348" i="110"/>
  <c r="Y348" i="110"/>
  <c r="Z348" i="110"/>
  <c r="AA348" i="110"/>
  <c r="AB348" i="110"/>
  <c r="AC348" i="110"/>
  <c r="AD348" i="110"/>
  <c r="A349" i="110"/>
  <c r="F349" i="110"/>
  <c r="G349" i="110"/>
  <c r="Y349" i="110"/>
  <c r="Z349" i="110"/>
  <c r="AA349" i="110"/>
  <c r="AB349" i="110"/>
  <c r="AC349" i="110"/>
  <c r="AD349" i="110"/>
  <c r="A350" i="110"/>
  <c r="F350" i="110"/>
  <c r="G350" i="110"/>
  <c r="Y350" i="110"/>
  <c r="Z350" i="110"/>
  <c r="AA350" i="110"/>
  <c r="AB350" i="110"/>
  <c r="AC350" i="110"/>
  <c r="AD350" i="110"/>
  <c r="A351" i="110"/>
  <c r="F351" i="110"/>
  <c r="G351" i="110"/>
  <c r="Y351" i="110"/>
  <c r="Z351" i="110"/>
  <c r="AA351" i="110"/>
  <c r="AB351" i="110"/>
  <c r="AC351" i="110"/>
  <c r="AD351" i="110"/>
  <c r="A352" i="110"/>
  <c r="F352" i="110"/>
  <c r="G352" i="110"/>
  <c r="Y352" i="110"/>
  <c r="Z352" i="110"/>
  <c r="AA352" i="110"/>
  <c r="AB352" i="110"/>
  <c r="AC352" i="110"/>
  <c r="AD352" i="110"/>
  <c r="A353" i="110"/>
  <c r="F353" i="110"/>
  <c r="G353" i="110"/>
  <c r="Y353" i="110"/>
  <c r="Z353" i="110"/>
  <c r="AA353" i="110"/>
  <c r="AB353" i="110"/>
  <c r="AC353" i="110"/>
  <c r="AD353" i="110"/>
  <c r="A354" i="110"/>
  <c r="F354" i="110"/>
  <c r="G354" i="110"/>
  <c r="Y354" i="110"/>
  <c r="Z354" i="110"/>
  <c r="AA354" i="110"/>
  <c r="AB354" i="110"/>
  <c r="AC354" i="110"/>
  <c r="AD354" i="110"/>
  <c r="A355" i="110"/>
  <c r="F355" i="110"/>
  <c r="G355" i="110"/>
  <c r="Y355" i="110"/>
  <c r="Z355" i="110"/>
  <c r="AA355" i="110"/>
  <c r="AB355" i="110"/>
  <c r="AC355" i="110"/>
  <c r="AD355" i="110"/>
  <c r="A356" i="110"/>
  <c r="F356" i="110"/>
  <c r="G356" i="110"/>
  <c r="Y356" i="110"/>
  <c r="Z356" i="110"/>
  <c r="AA356" i="110"/>
  <c r="AB356" i="110"/>
  <c r="AC356" i="110"/>
  <c r="AD356" i="110"/>
  <c r="A357" i="110"/>
  <c r="F357" i="110"/>
  <c r="G357" i="110"/>
  <c r="Y357" i="110"/>
  <c r="Z357" i="110"/>
  <c r="AA357" i="110"/>
  <c r="AB357" i="110"/>
  <c r="AC357" i="110"/>
  <c r="AD357" i="110"/>
  <c r="A358" i="110"/>
  <c r="F358" i="110"/>
  <c r="G358" i="110"/>
  <c r="Y358" i="110"/>
  <c r="Z358" i="110"/>
  <c r="AC358" i="110"/>
  <c r="AD358" i="110"/>
  <c r="A362" i="110"/>
  <c r="Z362" i="110"/>
  <c r="A363" i="110"/>
  <c r="Y363" i="110"/>
  <c r="Z363" i="110"/>
  <c r="AC363" i="110"/>
  <c r="AD363" i="110"/>
  <c r="A364" i="110"/>
  <c r="Y364" i="110"/>
  <c r="Z364" i="110"/>
  <c r="AC364" i="110"/>
  <c r="AD364" i="110"/>
  <c r="A365" i="110"/>
  <c r="Z365" i="110"/>
  <c r="A366" i="110"/>
  <c r="I366" i="110"/>
  <c r="J366" i="110"/>
  <c r="K366" i="110"/>
  <c r="M366" i="110"/>
  <c r="N366" i="110"/>
  <c r="O366" i="110"/>
  <c r="R366" i="110"/>
  <c r="S366" i="110"/>
  <c r="T366" i="110"/>
  <c r="U366" i="110"/>
  <c r="W366" i="110"/>
  <c r="X366" i="110"/>
  <c r="Y366" i="110"/>
  <c r="Z366" i="110"/>
  <c r="AC366" i="110"/>
  <c r="AD366" i="110"/>
  <c r="AG366" i="110"/>
  <c r="AH366" i="110"/>
  <c r="AK366" i="110"/>
  <c r="AL366" i="110"/>
  <c r="AM366" i="110"/>
  <c r="AN366" i="110"/>
  <c r="A367" i="110"/>
  <c r="I367" i="110"/>
  <c r="J367" i="110"/>
  <c r="K367" i="110"/>
  <c r="M367" i="110"/>
  <c r="N367" i="110"/>
  <c r="O367" i="110"/>
  <c r="R367" i="110"/>
  <c r="S367" i="110"/>
  <c r="T367" i="110"/>
  <c r="U367" i="110"/>
  <c r="W367" i="110"/>
  <c r="X367" i="110"/>
  <c r="Y367" i="110"/>
  <c r="Z367" i="110"/>
  <c r="AC367" i="110"/>
  <c r="AD367" i="110"/>
  <c r="AG367" i="110"/>
  <c r="AH367" i="110"/>
  <c r="AK367" i="110"/>
  <c r="AL367" i="110"/>
  <c r="AM367" i="110"/>
  <c r="AN367" i="110"/>
  <c r="A368" i="110"/>
  <c r="I368" i="110"/>
  <c r="J368" i="110"/>
  <c r="K368" i="110"/>
  <c r="M368" i="110"/>
  <c r="N368" i="110"/>
  <c r="O368" i="110"/>
  <c r="R368" i="110"/>
  <c r="S368" i="110"/>
  <c r="T368" i="110"/>
  <c r="U368" i="110"/>
  <c r="W368" i="110"/>
  <c r="X368" i="110"/>
  <c r="Y368" i="110"/>
  <c r="Z368" i="110"/>
  <c r="AC368" i="110"/>
  <c r="AD368" i="110"/>
  <c r="AG368" i="110"/>
  <c r="AH368" i="110"/>
  <c r="AK368" i="110"/>
  <c r="AL368" i="110"/>
  <c r="AM368" i="110"/>
  <c r="AN368" i="110"/>
  <c r="A369" i="110"/>
  <c r="I369" i="110"/>
  <c r="J369" i="110"/>
  <c r="K369" i="110"/>
  <c r="M369" i="110"/>
  <c r="N369" i="110"/>
  <c r="O369" i="110"/>
  <c r="R369" i="110"/>
  <c r="S369" i="110"/>
  <c r="T369" i="110"/>
  <c r="U369" i="110"/>
  <c r="W369" i="110"/>
  <c r="X369" i="110"/>
  <c r="Y369" i="110"/>
  <c r="Z369" i="110"/>
  <c r="AC369" i="110"/>
  <c r="AD369" i="110"/>
  <c r="AG369" i="110"/>
  <c r="AH369" i="110"/>
  <c r="AK369" i="110"/>
  <c r="AL369" i="110"/>
  <c r="AM369" i="110"/>
  <c r="AN369" i="110"/>
  <c r="A370" i="110"/>
  <c r="I370" i="110"/>
  <c r="J370" i="110"/>
  <c r="K370" i="110"/>
  <c r="M370" i="110"/>
  <c r="N370" i="110"/>
  <c r="O370" i="110"/>
  <c r="R370" i="110"/>
  <c r="S370" i="110"/>
  <c r="T370" i="110"/>
  <c r="U370" i="110"/>
  <c r="W370" i="110"/>
  <c r="X370" i="110"/>
  <c r="Y370" i="110"/>
  <c r="Z370" i="110"/>
  <c r="AC370" i="110"/>
  <c r="AD370" i="110"/>
  <c r="AG370" i="110"/>
  <c r="AH370" i="110"/>
  <c r="AK370" i="110"/>
  <c r="AL370" i="110"/>
  <c r="AM370" i="110"/>
  <c r="AN370" i="110"/>
  <c r="A371" i="110"/>
  <c r="I371" i="110"/>
  <c r="J371" i="110"/>
  <c r="K371" i="110"/>
  <c r="M371" i="110"/>
  <c r="N371" i="110"/>
  <c r="O371" i="110"/>
  <c r="R371" i="110"/>
  <c r="S371" i="110"/>
  <c r="T371" i="110"/>
  <c r="U371" i="110"/>
  <c r="W371" i="110"/>
  <c r="X371" i="110"/>
  <c r="Y371" i="110"/>
  <c r="Z371" i="110"/>
  <c r="AC371" i="110"/>
  <c r="AD371" i="110"/>
  <c r="AG371" i="110"/>
  <c r="AH371" i="110"/>
  <c r="AK371" i="110"/>
  <c r="AL371" i="110"/>
  <c r="AM371" i="110"/>
  <c r="AN371" i="110"/>
  <c r="A372" i="110"/>
  <c r="I372" i="110"/>
  <c r="J372" i="110"/>
  <c r="K372" i="110"/>
  <c r="M372" i="110"/>
  <c r="N372" i="110"/>
  <c r="O372" i="110"/>
  <c r="R372" i="110"/>
  <c r="S372" i="110"/>
  <c r="T372" i="110"/>
  <c r="U372" i="110"/>
  <c r="W372" i="110"/>
  <c r="X372" i="110"/>
  <c r="Y372" i="110"/>
  <c r="Z372" i="110"/>
  <c r="AC372" i="110"/>
  <c r="AD372" i="110"/>
  <c r="AG372" i="110"/>
  <c r="AH372" i="110"/>
  <c r="AK372" i="110"/>
  <c r="AL372" i="110"/>
  <c r="AM372" i="110"/>
  <c r="AN372" i="110"/>
  <c r="A373" i="110"/>
  <c r="I373" i="110"/>
  <c r="J373" i="110"/>
  <c r="K373" i="110"/>
  <c r="M373" i="110"/>
  <c r="N373" i="110"/>
  <c r="O373" i="110"/>
  <c r="R373" i="110"/>
  <c r="S373" i="110"/>
  <c r="T373" i="110"/>
  <c r="U373" i="110"/>
  <c r="W373" i="110"/>
  <c r="X373" i="110"/>
  <c r="Y373" i="110"/>
  <c r="Z373" i="110"/>
  <c r="AC373" i="110"/>
  <c r="AD373" i="110"/>
  <c r="AG373" i="110"/>
  <c r="AH373" i="110"/>
  <c r="AK373" i="110"/>
  <c r="AL373" i="110"/>
  <c r="AM373" i="110"/>
  <c r="AN373" i="110"/>
  <c r="A374" i="110"/>
  <c r="I374" i="110"/>
  <c r="J374" i="110"/>
  <c r="K374" i="110"/>
  <c r="M374" i="110"/>
  <c r="N374" i="110"/>
  <c r="O374" i="110"/>
  <c r="R374" i="110"/>
  <c r="S374" i="110"/>
  <c r="T374" i="110"/>
  <c r="U374" i="110"/>
  <c r="W374" i="110"/>
  <c r="X374" i="110"/>
  <c r="Y374" i="110"/>
  <c r="Z374" i="110"/>
  <c r="AC374" i="110"/>
  <c r="AD374" i="110"/>
  <c r="AG374" i="110"/>
  <c r="AH374" i="110"/>
  <c r="AK374" i="110"/>
  <c r="AL374" i="110"/>
  <c r="AM374" i="110"/>
  <c r="AN374" i="110"/>
  <c r="A375" i="110"/>
  <c r="I375" i="110"/>
  <c r="J375" i="110"/>
  <c r="K375" i="110"/>
  <c r="M375" i="110"/>
  <c r="N375" i="110"/>
  <c r="O375" i="110"/>
  <c r="R375" i="110"/>
  <c r="S375" i="110"/>
  <c r="T375" i="110"/>
  <c r="U375" i="110"/>
  <c r="W375" i="110"/>
  <c r="X375" i="110"/>
  <c r="Y375" i="110"/>
  <c r="Z375" i="110"/>
  <c r="AC375" i="110"/>
  <c r="AD375" i="110"/>
  <c r="AG375" i="110"/>
  <c r="AH375" i="110"/>
  <c r="AK375" i="110"/>
  <c r="AL375" i="110"/>
  <c r="AM375" i="110"/>
  <c r="AN375" i="110"/>
  <c r="A376" i="110"/>
  <c r="I376" i="110"/>
  <c r="J376" i="110"/>
  <c r="K376" i="110"/>
  <c r="M376" i="110"/>
  <c r="N376" i="110"/>
  <c r="O376" i="110"/>
  <c r="R376" i="110"/>
  <c r="S376" i="110"/>
  <c r="T376" i="110"/>
  <c r="U376" i="110"/>
  <c r="W376" i="110"/>
  <c r="X376" i="110"/>
  <c r="Y376" i="110"/>
  <c r="Z376" i="110"/>
  <c r="AC376" i="110"/>
  <c r="AD376" i="110"/>
  <c r="AG376" i="110"/>
  <c r="AH376" i="110"/>
  <c r="AK376" i="110"/>
  <c r="AL376" i="110"/>
  <c r="AM376" i="110"/>
  <c r="AN376" i="110"/>
  <c r="A377" i="110"/>
  <c r="I377" i="110"/>
  <c r="J377" i="110"/>
  <c r="K377" i="110"/>
  <c r="M377" i="110"/>
  <c r="N377" i="110"/>
  <c r="O377" i="110"/>
  <c r="R377" i="110"/>
  <c r="S377" i="110"/>
  <c r="T377" i="110"/>
  <c r="U377" i="110"/>
  <c r="W377" i="110"/>
  <c r="X377" i="110"/>
  <c r="Y377" i="110"/>
  <c r="Z377" i="110"/>
  <c r="AC377" i="110"/>
  <c r="AD377" i="110"/>
  <c r="AG377" i="110"/>
  <c r="AH377" i="110"/>
  <c r="AK377" i="110"/>
  <c r="AL377" i="110"/>
  <c r="AM377" i="110"/>
  <c r="AN377" i="110"/>
  <c r="A378" i="110"/>
  <c r="I378" i="110"/>
  <c r="J378" i="110"/>
  <c r="K378" i="110"/>
  <c r="M378" i="110"/>
  <c r="N378" i="110"/>
  <c r="O378" i="110"/>
  <c r="R378" i="110"/>
  <c r="S378" i="110"/>
  <c r="T378" i="110"/>
  <c r="U378" i="110"/>
  <c r="W378" i="110"/>
  <c r="X378" i="110"/>
  <c r="Y378" i="110"/>
  <c r="Z378" i="110"/>
  <c r="AC378" i="110"/>
  <c r="AD378" i="110"/>
  <c r="AG378" i="110"/>
  <c r="AH378" i="110"/>
  <c r="AK378" i="110"/>
  <c r="AL378" i="110"/>
  <c r="AM378" i="110"/>
  <c r="AN378" i="110"/>
  <c r="A379" i="110"/>
  <c r="I379" i="110"/>
  <c r="J379" i="110"/>
  <c r="K379" i="110"/>
  <c r="M379" i="110"/>
  <c r="N379" i="110"/>
  <c r="O379" i="110"/>
  <c r="R379" i="110"/>
  <c r="S379" i="110"/>
  <c r="T379" i="110"/>
  <c r="U379" i="110"/>
  <c r="W379" i="110"/>
  <c r="X379" i="110"/>
  <c r="Y379" i="110"/>
  <c r="Z379" i="110"/>
  <c r="AC379" i="110"/>
  <c r="AD379" i="110"/>
  <c r="AG379" i="110"/>
  <c r="AH379" i="110"/>
  <c r="AK379" i="110"/>
  <c r="AL379" i="110"/>
  <c r="AM379" i="110"/>
  <c r="AN379" i="110"/>
  <c r="A380" i="110"/>
  <c r="I380" i="110"/>
  <c r="J380" i="110"/>
  <c r="K380" i="110"/>
  <c r="M380" i="110"/>
  <c r="N380" i="110"/>
  <c r="O380" i="110"/>
  <c r="R380" i="110"/>
  <c r="S380" i="110"/>
  <c r="T380" i="110"/>
  <c r="U380" i="110"/>
  <c r="W380" i="110"/>
  <c r="X380" i="110"/>
  <c r="Y380" i="110"/>
  <c r="Z380" i="110"/>
  <c r="AC380" i="110"/>
  <c r="AD380" i="110"/>
  <c r="AG380" i="110"/>
  <c r="AH380" i="110"/>
  <c r="AK380" i="110"/>
  <c r="AL380" i="110"/>
  <c r="AM380" i="110"/>
  <c r="AN380" i="110"/>
  <c r="A381" i="110"/>
  <c r="I381" i="110"/>
  <c r="J381" i="110"/>
  <c r="K381" i="110"/>
  <c r="M381" i="110"/>
  <c r="N381" i="110"/>
  <c r="O381" i="110"/>
  <c r="R381" i="110"/>
  <c r="S381" i="110"/>
  <c r="T381" i="110"/>
  <c r="U381" i="110"/>
  <c r="W381" i="110"/>
  <c r="X381" i="110"/>
  <c r="Y381" i="110"/>
  <c r="Z381" i="110"/>
  <c r="AC381" i="110"/>
  <c r="AD381" i="110"/>
  <c r="AG381" i="110"/>
  <c r="AH381" i="110"/>
  <c r="AK381" i="110"/>
  <c r="AL381" i="110"/>
  <c r="AM381" i="110"/>
  <c r="AN381" i="110"/>
  <c r="A382" i="110"/>
  <c r="I382" i="110"/>
  <c r="J382" i="110"/>
  <c r="K382" i="110"/>
  <c r="M382" i="110"/>
  <c r="N382" i="110"/>
  <c r="O382" i="110"/>
  <c r="R382" i="110"/>
  <c r="S382" i="110"/>
  <c r="T382" i="110"/>
  <c r="U382" i="110"/>
  <c r="W382" i="110"/>
  <c r="X382" i="110"/>
  <c r="Y382" i="110"/>
  <c r="Z382" i="110"/>
  <c r="AC382" i="110"/>
  <c r="AD382" i="110"/>
  <c r="AG382" i="110"/>
  <c r="AH382" i="110"/>
  <c r="AK382" i="110"/>
  <c r="AL382" i="110"/>
  <c r="AM382" i="110"/>
  <c r="AN382" i="110"/>
  <c r="A383" i="110"/>
  <c r="I383" i="110"/>
  <c r="J383" i="110"/>
  <c r="K383" i="110"/>
  <c r="M383" i="110"/>
  <c r="N383" i="110"/>
  <c r="O383" i="110"/>
  <c r="R383" i="110"/>
  <c r="S383" i="110"/>
  <c r="T383" i="110"/>
  <c r="U383" i="110"/>
  <c r="W383" i="110"/>
  <c r="X383" i="110"/>
  <c r="Y383" i="110"/>
  <c r="Z383" i="110"/>
  <c r="AC383" i="110"/>
  <c r="AD383" i="110"/>
  <c r="AG383" i="110"/>
  <c r="AH383" i="110"/>
  <c r="AK383" i="110"/>
  <c r="AL383" i="110"/>
  <c r="AM383" i="110"/>
  <c r="AN383" i="110"/>
  <c r="A384" i="110"/>
  <c r="I384" i="110"/>
  <c r="J384" i="110"/>
  <c r="K384" i="110"/>
  <c r="M384" i="110"/>
  <c r="N384" i="110"/>
  <c r="O384" i="110"/>
  <c r="R384" i="110"/>
  <c r="S384" i="110"/>
  <c r="T384" i="110"/>
  <c r="U384" i="110"/>
  <c r="W384" i="110"/>
  <c r="X384" i="110"/>
  <c r="Y384" i="110"/>
  <c r="Z384" i="110"/>
  <c r="AC384" i="110"/>
  <c r="AD384" i="110"/>
  <c r="AG384" i="110"/>
  <c r="AH384" i="110"/>
  <c r="AK384" i="110"/>
  <c r="AL384" i="110"/>
  <c r="AM384" i="110"/>
  <c r="AN384" i="110"/>
  <c r="A403" i="110"/>
  <c r="Z403" i="110"/>
  <c r="AB403" i="110"/>
  <c r="AC403" i="110"/>
  <c r="AD403" i="110"/>
  <c r="AG403" i="110"/>
  <c r="AH403" i="110"/>
  <c r="A404" i="110"/>
  <c r="Z404" i="110"/>
  <c r="AB404" i="110"/>
  <c r="AC404" i="110"/>
  <c r="AD404" i="110"/>
  <c r="AG404" i="110"/>
  <c r="AH404" i="110"/>
  <c r="A405" i="110"/>
  <c r="Z405" i="110"/>
  <c r="AB405" i="110"/>
  <c r="AC405" i="110"/>
  <c r="AD405" i="110"/>
  <c r="AG405" i="110"/>
  <c r="AH405" i="110"/>
  <c r="A406" i="110"/>
  <c r="Z406" i="110"/>
  <c r="AB406" i="110"/>
  <c r="AC406" i="110"/>
  <c r="AD406" i="110"/>
  <c r="AG406" i="110"/>
  <c r="AH406" i="110"/>
  <c r="A407" i="110"/>
  <c r="Z407" i="110"/>
  <c r="AB407" i="110"/>
  <c r="AC407" i="110"/>
  <c r="AD407" i="110"/>
  <c r="AG407" i="110"/>
  <c r="AH407" i="110"/>
  <c r="A408" i="110"/>
  <c r="Z408" i="110"/>
  <c r="AB408" i="110"/>
  <c r="AC408" i="110"/>
  <c r="AD408" i="110"/>
  <c r="AG408" i="110"/>
  <c r="AH408" i="110"/>
  <c r="A409" i="110"/>
  <c r="Z409" i="110"/>
  <c r="AB409" i="110"/>
  <c r="AC409" i="110"/>
  <c r="AD409" i="110"/>
  <c r="AG409" i="110"/>
  <c r="AH409" i="110"/>
  <c r="A410" i="110"/>
  <c r="Z410" i="110"/>
  <c r="AB410" i="110"/>
  <c r="AC410" i="110"/>
  <c r="AD410" i="110"/>
  <c r="AG410" i="110"/>
  <c r="AH410" i="110"/>
  <c r="A411" i="110"/>
  <c r="Z411" i="110"/>
  <c r="AB411" i="110"/>
  <c r="AC411" i="110"/>
  <c r="AD411" i="110"/>
  <c r="AG411" i="110"/>
  <c r="AH411" i="110"/>
  <c r="A412" i="110"/>
  <c r="Z412" i="110"/>
  <c r="AB412" i="110"/>
  <c r="AC412" i="110"/>
  <c r="AD412" i="110"/>
  <c r="AG412" i="110"/>
  <c r="AH412" i="110"/>
  <c r="A413" i="110"/>
  <c r="Z413" i="110"/>
  <c r="AB413" i="110"/>
  <c r="AC413" i="110"/>
  <c r="AD413" i="110"/>
  <c r="AG413" i="110"/>
  <c r="AH413" i="110"/>
  <c r="A414" i="110"/>
  <c r="Z414" i="110"/>
  <c r="AB414" i="110"/>
  <c r="AC414" i="110"/>
  <c r="AD414" i="110"/>
  <c r="AG414" i="110"/>
  <c r="AH414" i="110"/>
  <c r="A415" i="110"/>
  <c r="Z415" i="110"/>
  <c r="AB415" i="110"/>
  <c r="AC415" i="110"/>
  <c r="AD415" i="110"/>
  <c r="AG415" i="110"/>
  <c r="AH415" i="110"/>
  <c r="A416" i="110"/>
  <c r="Z416" i="110"/>
  <c r="AB416" i="110"/>
  <c r="AC416" i="110"/>
  <c r="AD416" i="110"/>
  <c r="AG416" i="110"/>
  <c r="AH416" i="110"/>
  <c r="A417" i="110"/>
  <c r="Z417" i="110"/>
  <c r="AB417" i="110"/>
  <c r="AC417" i="110"/>
  <c r="AD417" i="110"/>
  <c r="AG417" i="110"/>
  <c r="AH417" i="110"/>
  <c r="A418" i="110"/>
  <c r="Z418" i="110"/>
  <c r="AB418" i="110"/>
  <c r="AC418" i="110"/>
  <c r="AD418" i="110"/>
  <c r="AG418" i="110"/>
  <c r="AH418" i="110"/>
  <c r="A419" i="110"/>
  <c r="Z419" i="110"/>
  <c r="AB419" i="110"/>
  <c r="AC419" i="110"/>
  <c r="AD419" i="110"/>
  <c r="AG419" i="110"/>
  <c r="AH419" i="110"/>
  <c r="A420" i="110"/>
  <c r="Z420" i="110"/>
  <c r="AB420" i="110"/>
  <c r="AC420" i="110"/>
  <c r="AD420" i="110"/>
  <c r="AG420" i="110"/>
  <c r="AH420" i="110"/>
  <c r="A421" i="110"/>
  <c r="Z421" i="110"/>
  <c r="AB421" i="110"/>
  <c r="AC421" i="110"/>
  <c r="AD421" i="110"/>
  <c r="AG421" i="110"/>
  <c r="AH421" i="110"/>
  <c r="A422" i="110"/>
  <c r="Z422" i="110"/>
  <c r="AB422" i="110"/>
  <c r="AC422" i="110"/>
  <c r="AD422" i="110"/>
  <c r="AG422" i="110"/>
  <c r="AH422" i="110"/>
  <c r="A423" i="110"/>
  <c r="Z423" i="110"/>
  <c r="AB423" i="110"/>
  <c r="AC423" i="110"/>
  <c r="AD423" i="110"/>
  <c r="AG423" i="110"/>
  <c r="AH423" i="110"/>
  <c r="A424" i="110"/>
  <c r="Z424" i="110"/>
  <c r="AB424" i="110"/>
  <c r="AC424" i="110"/>
  <c r="AD424" i="110"/>
  <c r="AG424" i="110"/>
  <c r="AH424" i="110"/>
  <c r="A425" i="110"/>
  <c r="Z425" i="110"/>
  <c r="AB425" i="110"/>
  <c r="AC425" i="110"/>
  <c r="AD425" i="110"/>
  <c r="AG425" i="110"/>
  <c r="AH425" i="110"/>
  <c r="A426" i="110"/>
  <c r="Z426" i="110"/>
  <c r="AB426" i="110"/>
  <c r="AC426" i="110"/>
  <c r="AD426" i="110"/>
  <c r="AG426" i="110"/>
  <c r="AH426" i="110"/>
  <c r="A427" i="110"/>
  <c r="Z427" i="110"/>
  <c r="AB427" i="110"/>
  <c r="AC427" i="110"/>
  <c r="AD427" i="110"/>
  <c r="AG427" i="110"/>
  <c r="AH427" i="110"/>
  <c r="A428" i="110"/>
  <c r="Z428" i="110"/>
  <c r="AB428" i="110"/>
  <c r="AC428" i="110"/>
  <c r="AD428" i="110"/>
  <c r="AG428" i="110"/>
  <c r="AH428" i="110"/>
  <c r="A429" i="110"/>
  <c r="Z429" i="110"/>
  <c r="AB429" i="110"/>
  <c r="AC429" i="110"/>
  <c r="AD429" i="110"/>
  <c r="AG429" i="110"/>
  <c r="AH429" i="110"/>
  <c r="A430" i="110"/>
  <c r="Z430" i="110"/>
  <c r="AB430" i="110"/>
  <c r="AC430" i="110"/>
  <c r="AD430" i="110"/>
  <c r="AG430" i="110"/>
  <c r="AH430" i="110"/>
  <c r="A431" i="110"/>
  <c r="Z431" i="110"/>
  <c r="AB431" i="110"/>
  <c r="AC431" i="110"/>
  <c r="AD431" i="110"/>
  <c r="AG431" i="110"/>
  <c r="AH431" i="110"/>
  <c r="A432" i="110"/>
  <c r="Z432" i="110"/>
  <c r="AB432" i="110"/>
  <c r="AC432" i="110"/>
  <c r="AD432" i="110"/>
  <c r="AG432" i="110"/>
  <c r="AH432" i="110"/>
  <c r="A433" i="110"/>
  <c r="Z433" i="110"/>
  <c r="AB433" i="110"/>
  <c r="AC433" i="110"/>
  <c r="AD433" i="110"/>
  <c r="AG433" i="110"/>
  <c r="AH433" i="110"/>
  <c r="A434" i="110"/>
  <c r="Z434" i="110"/>
  <c r="AG434" i="110"/>
  <c r="AH434" i="110"/>
  <c r="A435" i="110"/>
  <c r="Z435" i="110"/>
  <c r="AG435" i="110"/>
  <c r="AH435" i="110"/>
  <c r="K155" i="110"/>
  <c r="C155" i="110"/>
  <c r="B155" i="110" s="1"/>
  <c r="AV114" i="62"/>
  <c r="O104" i="110" s="1"/>
  <c r="AU114" i="62"/>
  <c r="K104" i="110" s="1"/>
  <c r="AN114" i="62"/>
  <c r="AK114" i="62"/>
  <c r="N104" i="110" s="1"/>
  <c r="AI114" i="62"/>
  <c r="T114" i="62"/>
  <c r="M114" i="62"/>
  <c r="I114" i="62"/>
  <c r="AA104" i="110" s="1"/>
  <c r="A397" i="110"/>
  <c r="Z397" i="110"/>
  <c r="AB397" i="110"/>
  <c r="AC397" i="110"/>
  <c r="AD397" i="110"/>
  <c r="AG397" i="110"/>
  <c r="AH397" i="110"/>
  <c r="A398" i="110"/>
  <c r="Z398" i="110"/>
  <c r="AB398" i="110"/>
  <c r="AC398" i="110"/>
  <c r="AD398" i="110"/>
  <c r="AG398" i="110"/>
  <c r="AH398" i="110"/>
  <c r="A399" i="110"/>
  <c r="Z399" i="110"/>
  <c r="AB399" i="110"/>
  <c r="AC399" i="110"/>
  <c r="AD399" i="110"/>
  <c r="AG399" i="110"/>
  <c r="AH399" i="110"/>
  <c r="A400" i="110"/>
  <c r="Z400" i="110"/>
  <c r="AB400" i="110"/>
  <c r="AC400" i="110"/>
  <c r="AD400" i="110"/>
  <c r="AG400" i="110"/>
  <c r="AH400" i="110"/>
  <c r="A401" i="110"/>
  <c r="Z401" i="110"/>
  <c r="AB401" i="110"/>
  <c r="AC401" i="110"/>
  <c r="AD401" i="110"/>
  <c r="AG401" i="110"/>
  <c r="AH401" i="110"/>
  <c r="A402" i="110"/>
  <c r="Z402" i="110"/>
  <c r="AB402" i="110"/>
  <c r="AC402" i="110"/>
  <c r="AD402" i="110"/>
  <c r="AG402" i="110"/>
  <c r="AH402" i="110"/>
  <c r="A264" i="110"/>
  <c r="G264" i="110"/>
  <c r="M264" i="110"/>
  <c r="Z264" i="110"/>
  <c r="AB264" i="110"/>
  <c r="AO264" i="110" s="1"/>
  <c r="AD264" i="110"/>
  <c r="A155" i="110"/>
  <c r="M155" i="110"/>
  <c r="Z155" i="110"/>
  <c r="AB155" i="110"/>
  <c r="AO155" i="110" s="1"/>
  <c r="A104" i="110"/>
  <c r="G104" i="110"/>
  <c r="Z104" i="110"/>
  <c r="AB104" i="110"/>
  <c r="AO104" i="110" s="1"/>
  <c r="AD104" i="110"/>
  <c r="A53" i="110"/>
  <c r="F53" i="110"/>
  <c r="G53" i="110"/>
  <c r="Z53" i="110"/>
  <c r="AD53" i="110"/>
  <c r="BB20" i="12" l="1"/>
  <c r="P104" i="110"/>
  <c r="R104" i="110"/>
  <c r="C104" i="110" s="1"/>
  <c r="B104" i="110" s="1"/>
  <c r="AZ20" i="12"/>
  <c r="BC20" i="12"/>
  <c r="AW20" i="12"/>
  <c r="BA20" i="12"/>
  <c r="AX20" i="12"/>
  <c r="AY20" i="12"/>
  <c r="W171" i="110"/>
  <c r="N171" i="110"/>
  <c r="O171" i="110"/>
  <c r="R171" i="110"/>
  <c r="L171" i="110" s="1"/>
  <c r="C383" i="110"/>
  <c r="B383" i="110" s="1"/>
  <c r="C381" i="110"/>
  <c r="B381" i="110" s="1"/>
  <c r="C375" i="110"/>
  <c r="B375" i="110" s="1"/>
  <c r="C369" i="110"/>
  <c r="B369" i="110" s="1"/>
  <c r="C367" i="110"/>
  <c r="B367" i="110" s="1"/>
  <c r="C377" i="110"/>
  <c r="B377" i="110" s="1"/>
  <c r="C374" i="110"/>
  <c r="B374" i="110" s="1"/>
  <c r="C379" i="110"/>
  <c r="B379" i="110" s="1"/>
  <c r="C370" i="110"/>
  <c r="B370" i="110" s="1"/>
  <c r="C380" i="110"/>
  <c r="B380" i="110" s="1"/>
  <c r="C376" i="110"/>
  <c r="B376" i="110" s="1"/>
  <c r="C371" i="110"/>
  <c r="B371" i="110" s="1"/>
  <c r="C384" i="110"/>
  <c r="B384" i="110" s="1"/>
  <c r="C378" i="110"/>
  <c r="B378" i="110" s="1"/>
  <c r="C373" i="110"/>
  <c r="B373" i="110" s="1"/>
  <c r="C368" i="110"/>
  <c r="B368" i="110" s="1"/>
  <c r="C382" i="110"/>
  <c r="B382" i="110" s="1"/>
  <c r="C372" i="110"/>
  <c r="B372" i="110" s="1"/>
  <c r="C366" i="110"/>
  <c r="B366" i="110" s="1"/>
  <c r="AK433" i="110"/>
  <c r="W104" i="110"/>
  <c r="AK20" i="12" l="1"/>
  <c r="C171" i="110"/>
  <c r="B171" i="110" s="1"/>
  <c r="AK94" i="64"/>
  <c r="AU20" i="12" l="1"/>
  <c r="AN20" i="12" s="1"/>
  <c r="AV20" i="12"/>
  <c r="AK24" i="69"/>
  <c r="AX24" i="69"/>
  <c r="I433" i="110"/>
  <c r="N433" i="110"/>
  <c r="T433" i="110"/>
  <c r="AN433" i="110"/>
  <c r="K433" i="110"/>
  <c r="R433" i="110"/>
  <c r="W433" i="110"/>
  <c r="AL433" i="110"/>
  <c r="S433" i="110"/>
  <c r="J433" i="110"/>
  <c r="U433" i="110"/>
  <c r="AM433" i="110"/>
  <c r="M433" i="110"/>
  <c r="O433" i="110"/>
  <c r="Q6" i="110" l="1"/>
  <c r="H6" i="110"/>
  <c r="C433" i="110"/>
  <c r="B433" i="110" s="1"/>
  <c r="Q104" i="12"/>
  <c r="Y48" i="110" s="1"/>
  <c r="P47" i="3"/>
  <c r="P45" i="3"/>
  <c r="BE20" i="12" l="1"/>
  <c r="AX211" i="104"/>
  <c r="AW211" i="104"/>
  <c r="Z361" i="110" l="1"/>
  <c r="AX32" i="117" l="1"/>
  <c r="AB200" i="110"/>
  <c r="AB201" i="110"/>
  <c r="AB202" i="110"/>
  <c r="AB203" i="110"/>
  <c r="AB204" i="110"/>
  <c r="AB205" i="110"/>
  <c r="AB206" i="110"/>
  <c r="AB207" i="110"/>
  <c r="AA200" i="110"/>
  <c r="AA201" i="110"/>
  <c r="AA202" i="110"/>
  <c r="AA203" i="110"/>
  <c r="AA204" i="110"/>
  <c r="AA205" i="110"/>
  <c r="AA206" i="110"/>
  <c r="AA207" i="110"/>
  <c r="AX16" i="117"/>
  <c r="P18" i="117" l="1"/>
  <c r="P20" i="117"/>
  <c r="P22" i="117"/>
  <c r="P24" i="117"/>
  <c r="P26" i="117"/>
  <c r="P28" i="117"/>
  <c r="P30" i="117"/>
  <c r="P32" i="117"/>
  <c r="T18" i="117"/>
  <c r="T20" i="117"/>
  <c r="T22" i="117"/>
  <c r="T24" i="117"/>
  <c r="T26" i="117"/>
  <c r="T28" i="117"/>
  <c r="T30" i="117"/>
  <c r="T32" i="117"/>
  <c r="AY30" i="117"/>
  <c r="AO30" i="117" s="1"/>
  <c r="H206" i="110" s="1"/>
  <c r="AI32" i="117"/>
  <c r="AO32" i="117"/>
  <c r="H207" i="110" s="1"/>
  <c r="K200" i="110"/>
  <c r="K201" i="110"/>
  <c r="K202" i="110"/>
  <c r="K203" i="110"/>
  <c r="K204" i="110"/>
  <c r="K205" i="110"/>
  <c r="K206" i="110"/>
  <c r="AU32" i="117"/>
  <c r="K207" i="110" s="1"/>
  <c r="A198" i="110"/>
  <c r="A173" i="110"/>
  <c r="AO200" i="110"/>
  <c r="AO201" i="110"/>
  <c r="AO202" i="110"/>
  <c r="AO203" i="110"/>
  <c r="AO204" i="110"/>
  <c r="AO205" i="110"/>
  <c r="AO206" i="110"/>
  <c r="AO207" i="110"/>
  <c r="I200" i="110"/>
  <c r="J200" i="110"/>
  <c r="I201" i="110"/>
  <c r="J201" i="110"/>
  <c r="I202" i="110"/>
  <c r="J202" i="110"/>
  <c r="I203" i="110"/>
  <c r="J203" i="110"/>
  <c r="I204" i="110"/>
  <c r="J204" i="110"/>
  <c r="I205" i="110"/>
  <c r="J205" i="110"/>
  <c r="I206" i="110"/>
  <c r="J206" i="110"/>
  <c r="I207" i="110"/>
  <c r="J207" i="110"/>
  <c r="M200" i="110"/>
  <c r="M201" i="110"/>
  <c r="M202" i="110"/>
  <c r="M203" i="110"/>
  <c r="M204" i="110"/>
  <c r="M205" i="110"/>
  <c r="M206" i="110"/>
  <c r="M207" i="110"/>
  <c r="AA199" i="110"/>
  <c r="AE32" i="117"/>
  <c r="AB199" i="110"/>
  <c r="AO199" i="110" s="1"/>
  <c r="AD200" i="110"/>
  <c r="AD201" i="110"/>
  <c r="AD202" i="110"/>
  <c r="AD203" i="110"/>
  <c r="AD204" i="110"/>
  <c r="AD205" i="110"/>
  <c r="AD206" i="110"/>
  <c r="AD207" i="110"/>
  <c r="AD199" i="110"/>
  <c r="M199" i="110"/>
  <c r="J199" i="110"/>
  <c r="I199" i="110"/>
  <c r="Z200" i="110"/>
  <c r="Z201" i="110"/>
  <c r="Z202" i="110"/>
  <c r="Z203" i="110"/>
  <c r="Z204" i="110"/>
  <c r="Z205" i="110"/>
  <c r="Z206" i="110"/>
  <c r="Z207" i="110"/>
  <c r="Z199" i="110"/>
  <c r="A207" i="110"/>
  <c r="A206" i="110"/>
  <c r="A205" i="110"/>
  <c r="A204" i="110"/>
  <c r="A203" i="110"/>
  <c r="A202" i="110"/>
  <c r="A201" i="110"/>
  <c r="A200" i="110"/>
  <c r="A199" i="110"/>
  <c r="A214" i="110"/>
  <c r="BE32" i="117" l="1"/>
  <c r="BE30" i="117"/>
  <c r="BE20" i="117"/>
  <c r="BE18" i="117"/>
  <c r="BC30" i="117"/>
  <c r="BC22" i="117"/>
  <c r="AV22" i="117" s="1"/>
  <c r="AK22" i="117" s="1"/>
  <c r="AY22" i="117" s="1"/>
  <c r="AO22" i="117" s="1"/>
  <c r="H202" i="110" s="1"/>
  <c r="BC32" i="117"/>
  <c r="W207" i="110" s="1"/>
  <c r="AN32" i="117"/>
  <c r="BC28" i="117"/>
  <c r="AV28" i="117" s="1"/>
  <c r="BC20" i="117"/>
  <c r="BC18" i="117"/>
  <c r="AK18" i="117" s="1"/>
  <c r="BC24" i="117"/>
  <c r="AV24" i="117" s="1"/>
  <c r="BC26" i="117"/>
  <c r="AV26" i="117" s="1"/>
  <c r="R206" i="110"/>
  <c r="O207" i="110"/>
  <c r="R207" i="110"/>
  <c r="AY32" i="117"/>
  <c r="N207" i="110"/>
  <c r="N202" i="110" l="1"/>
  <c r="BE22" i="117"/>
  <c r="AK28" i="117"/>
  <c r="AK26" i="117"/>
  <c r="AK24" i="117"/>
  <c r="AY18" i="117"/>
  <c r="AO18" i="117" s="1"/>
  <c r="H200" i="110" s="1"/>
  <c r="C206" i="110"/>
  <c r="B206" i="110" s="1"/>
  <c r="L206" i="110"/>
  <c r="C207" i="110"/>
  <c r="B207" i="110" s="1"/>
  <c r="L207" i="110"/>
  <c r="W206" i="110"/>
  <c r="O206" i="110"/>
  <c r="N206" i="110"/>
  <c r="R202" i="110"/>
  <c r="W202" i="110"/>
  <c r="O202" i="110"/>
  <c r="AY28" i="117" l="1"/>
  <c r="AO28" i="117" s="1"/>
  <c r="BE28" i="117" s="1"/>
  <c r="AY26" i="117"/>
  <c r="AO26" i="117" s="1"/>
  <c r="BE26" i="117" s="1"/>
  <c r="AY24" i="117"/>
  <c r="AO24" i="117" s="1"/>
  <c r="BE24" i="117" s="1"/>
  <c r="C202" i="110"/>
  <c r="B202" i="110" s="1"/>
  <c r="L202" i="110"/>
  <c r="AK20" i="117"/>
  <c r="AY20" i="117" s="1"/>
  <c r="AO20" i="117" s="1"/>
  <c r="H201" i="110" s="1"/>
  <c r="R200" i="110"/>
  <c r="AU16" i="117"/>
  <c r="K199" i="110" s="1"/>
  <c r="AE16" i="117"/>
  <c r="T16" i="117"/>
  <c r="AI16" i="117"/>
  <c r="P16" i="117"/>
  <c r="R9" i="117"/>
  <c r="H205" i="110" l="1"/>
  <c r="O205" i="110"/>
  <c r="R205" i="110"/>
  <c r="N205" i="110"/>
  <c r="W205" i="110"/>
  <c r="BE16" i="117"/>
  <c r="H204" i="110"/>
  <c r="N204" i="110"/>
  <c r="W204" i="110"/>
  <c r="O204" i="110"/>
  <c r="R204" i="110"/>
  <c r="H203" i="110"/>
  <c r="W203" i="110"/>
  <c r="N203" i="110"/>
  <c r="O203" i="110"/>
  <c r="R203" i="110"/>
  <c r="C200" i="110"/>
  <c r="B200" i="110" s="1"/>
  <c r="L200" i="110"/>
  <c r="N201" i="110"/>
  <c r="W201" i="110"/>
  <c r="O201" i="110"/>
  <c r="R201" i="110"/>
  <c r="AN16" i="117"/>
  <c r="BC16" i="117"/>
  <c r="AK16" i="117" s="1"/>
  <c r="C44" i="117" l="1"/>
  <c r="J44" i="117" s="1"/>
  <c r="V44" i="117" s="1"/>
  <c r="M213" i="110" s="1"/>
  <c r="C205" i="110"/>
  <c r="B205" i="110" s="1"/>
  <c r="L205" i="110"/>
  <c r="C204" i="110"/>
  <c r="B204" i="110" s="1"/>
  <c r="L204" i="110"/>
  <c r="C203" i="110"/>
  <c r="B203" i="110" s="1"/>
  <c r="L203" i="110"/>
  <c r="C201" i="110"/>
  <c r="B201" i="110" s="1"/>
  <c r="L201" i="110"/>
  <c r="AY16" i="117"/>
  <c r="O200" i="110"/>
  <c r="W200" i="110"/>
  <c r="N200" i="110"/>
  <c r="AB213" i="110" l="1"/>
  <c r="AO213" i="110" s="1"/>
  <c r="P44" i="117"/>
  <c r="AZ44" i="117"/>
  <c r="AO44" i="117" s="1"/>
  <c r="AF12" i="117" s="1"/>
  <c r="AA213" i="110"/>
  <c r="AR202" i="117"/>
  <c r="W202" i="117"/>
  <c r="AR201" i="117"/>
  <c r="B201" i="117"/>
  <c r="M200" i="117"/>
  <c r="B200" i="117"/>
  <c r="AV6" i="117"/>
  <c r="AV200" i="117" l="1"/>
  <c r="AW200" i="117"/>
  <c r="G33" i="3" s="1"/>
  <c r="AX200" i="117"/>
  <c r="AU200" i="117"/>
  <c r="V12" i="117" s="1"/>
  <c r="I33" i="3" s="1"/>
  <c r="AO16" i="117"/>
  <c r="Z12" i="117" s="1"/>
  <c r="AK18" i="113"/>
  <c r="AK20" i="113"/>
  <c r="AK22" i="113"/>
  <c r="AK24" i="113"/>
  <c r="AK26" i="113"/>
  <c r="AK28" i="113"/>
  <c r="AK30" i="113"/>
  <c r="AK32" i="113"/>
  <c r="AK34" i="113"/>
  <c r="AK16" i="113"/>
  <c r="AK18" i="65"/>
  <c r="AK20" i="65"/>
  <c r="AK22" i="65"/>
  <c r="AK24" i="65"/>
  <c r="AK26" i="65"/>
  <c r="AK28" i="65"/>
  <c r="AK30" i="65"/>
  <c r="AK32" i="65"/>
  <c r="AK34" i="65"/>
  <c r="AK16" i="65"/>
  <c r="H199" i="110" l="1"/>
  <c r="R12" i="117"/>
  <c r="J33" i="3" s="1"/>
  <c r="P33" i="3"/>
  <c r="W213" i="110"/>
  <c r="R213" i="110"/>
  <c r="C213" i="110" s="1"/>
  <c r="B213" i="110" s="1"/>
  <c r="F33" i="3"/>
  <c r="O199" i="110"/>
  <c r="N199" i="110"/>
  <c r="W199" i="110"/>
  <c r="R199" i="110"/>
  <c r="AY200" i="117"/>
  <c r="C199" i="110" l="1"/>
  <c r="B199" i="110" s="1"/>
  <c r="L199" i="110"/>
  <c r="Y310" i="110"/>
  <c r="Y311" i="110"/>
  <c r="Y312" i="110"/>
  <c r="Y313" i="110"/>
  <c r="Y314" i="110"/>
  <c r="Y309" i="110"/>
  <c r="B202" i="78" l="1"/>
  <c r="B202" i="79"/>
  <c r="AR202" i="116" l="1"/>
  <c r="W202" i="116"/>
  <c r="B201" i="116"/>
  <c r="M200" i="116"/>
  <c r="B200" i="116"/>
  <c r="AR202" i="115"/>
  <c r="W202" i="115"/>
  <c r="B201" i="115"/>
  <c r="M200" i="115"/>
  <c r="B200" i="115"/>
  <c r="O16" i="13"/>
  <c r="BH16" i="13" s="1"/>
  <c r="I267" i="110"/>
  <c r="J267" i="110"/>
  <c r="I268" i="110"/>
  <c r="J268" i="110"/>
  <c r="I269" i="110"/>
  <c r="J269" i="110"/>
  <c r="I270" i="110"/>
  <c r="J270" i="110"/>
  <c r="I271" i="110"/>
  <c r="J271" i="110"/>
  <c r="I272" i="110"/>
  <c r="J272" i="110"/>
  <c r="I273" i="110"/>
  <c r="J273" i="110"/>
  <c r="I274" i="110"/>
  <c r="J274" i="110"/>
  <c r="I275" i="110"/>
  <c r="J275" i="110"/>
  <c r="I276" i="110"/>
  <c r="J276" i="110"/>
  <c r="K276" i="110"/>
  <c r="I277" i="110"/>
  <c r="J277" i="110"/>
  <c r="K277" i="110"/>
  <c r="I278" i="110"/>
  <c r="J278" i="110"/>
  <c r="K278" i="110"/>
  <c r="I279" i="110"/>
  <c r="J279" i="110"/>
  <c r="K279" i="110"/>
  <c r="I280" i="110"/>
  <c r="J280" i="110"/>
  <c r="K280" i="110"/>
  <c r="J266" i="110"/>
  <c r="I266" i="110"/>
  <c r="I175" i="110"/>
  <c r="J175" i="110"/>
  <c r="I176" i="110"/>
  <c r="J176" i="110"/>
  <c r="I177" i="110"/>
  <c r="J177" i="110"/>
  <c r="I178" i="110"/>
  <c r="J178" i="110"/>
  <c r="I179" i="110"/>
  <c r="J179" i="110"/>
  <c r="I180" i="110"/>
  <c r="J180" i="110"/>
  <c r="I181" i="110"/>
  <c r="J181" i="110"/>
  <c r="I182" i="110"/>
  <c r="J182" i="110"/>
  <c r="I183" i="110"/>
  <c r="J183" i="110"/>
  <c r="I186" i="110"/>
  <c r="J186" i="110"/>
  <c r="J174" i="110"/>
  <c r="I174" i="110"/>
  <c r="J5" i="110"/>
  <c r="J6" i="110"/>
  <c r="J7" i="110"/>
  <c r="J8" i="110"/>
  <c r="J9" i="110"/>
  <c r="J10" i="110"/>
  <c r="J11" i="110"/>
  <c r="J12" i="110"/>
  <c r="J13" i="110"/>
  <c r="J14" i="110"/>
  <c r="J15" i="110"/>
  <c r="J16" i="110"/>
  <c r="J17" i="110"/>
  <c r="J18" i="110"/>
  <c r="J19" i="110"/>
  <c r="J20" i="110"/>
  <c r="J21" i="110"/>
  <c r="J22" i="110"/>
  <c r="J23" i="110"/>
  <c r="J24" i="110"/>
  <c r="J25" i="110"/>
  <c r="J26" i="110"/>
  <c r="J27" i="110"/>
  <c r="J28" i="110"/>
  <c r="J29" i="110"/>
  <c r="J30" i="110"/>
  <c r="J31" i="110"/>
  <c r="J32" i="110"/>
  <c r="J33" i="110"/>
  <c r="J34" i="110"/>
  <c r="J35" i="110"/>
  <c r="J36" i="110"/>
  <c r="J37" i="110"/>
  <c r="J38" i="110"/>
  <c r="J39" i="110"/>
  <c r="J40" i="110"/>
  <c r="J41" i="110"/>
  <c r="J42" i="110"/>
  <c r="J43" i="110"/>
  <c r="J44" i="110"/>
  <c r="J45" i="110"/>
  <c r="J46" i="110"/>
  <c r="J47" i="110"/>
  <c r="J48" i="110"/>
  <c r="J49" i="110"/>
  <c r="J50" i="110"/>
  <c r="J4" i="110"/>
  <c r="I4" i="110"/>
  <c r="A438" i="110"/>
  <c r="Z438" i="110"/>
  <c r="AB438" i="110"/>
  <c r="AC438" i="110"/>
  <c r="AD438" i="110"/>
  <c r="AI438" i="110"/>
  <c r="AJ438" i="110"/>
  <c r="A439" i="110"/>
  <c r="Z439" i="110"/>
  <c r="AB439" i="110"/>
  <c r="AC439" i="110"/>
  <c r="AD439" i="110"/>
  <c r="AI439" i="110"/>
  <c r="AJ439" i="110"/>
  <c r="A440" i="110"/>
  <c r="Z440" i="110"/>
  <c r="AB440" i="110"/>
  <c r="AC440" i="110"/>
  <c r="AD440" i="110"/>
  <c r="AI440" i="110"/>
  <c r="AJ440" i="110"/>
  <c r="A441" i="110"/>
  <c r="Z441" i="110"/>
  <c r="AB441" i="110"/>
  <c r="AC441" i="110"/>
  <c r="AD441" i="110"/>
  <c r="AI441" i="110"/>
  <c r="AJ441" i="110"/>
  <c r="A442" i="110"/>
  <c r="Z442" i="110"/>
  <c r="AB442" i="110"/>
  <c r="AC442" i="110"/>
  <c r="AD442" i="110"/>
  <c r="AI442" i="110"/>
  <c r="AJ442" i="110"/>
  <c r="A443" i="110"/>
  <c r="Z443" i="110"/>
  <c r="AB443" i="110"/>
  <c r="AC443" i="110"/>
  <c r="AD443" i="110"/>
  <c r="AI443" i="110"/>
  <c r="AJ443" i="110"/>
  <c r="A444" i="110"/>
  <c r="Z444" i="110"/>
  <c r="AB444" i="110"/>
  <c r="AC444" i="110"/>
  <c r="AD444" i="110"/>
  <c r="AI444" i="110"/>
  <c r="AJ444" i="110"/>
  <c r="A445" i="110"/>
  <c r="Z445" i="110"/>
  <c r="AB445" i="110"/>
  <c r="AC445" i="110"/>
  <c r="AD445" i="110"/>
  <c r="AI445" i="110"/>
  <c r="AJ445" i="110"/>
  <c r="A446" i="110"/>
  <c r="Z446" i="110"/>
  <c r="AB446" i="110"/>
  <c r="AC446" i="110"/>
  <c r="AD446" i="110"/>
  <c r="AI446" i="110"/>
  <c r="AJ446" i="110"/>
  <c r="A447" i="110"/>
  <c r="Z447" i="110"/>
  <c r="AB447" i="110"/>
  <c r="AC447" i="110"/>
  <c r="AD447" i="110"/>
  <c r="AI447" i="110"/>
  <c r="AJ447" i="110"/>
  <c r="A448" i="110"/>
  <c r="Z448" i="110"/>
  <c r="AB448" i="110"/>
  <c r="AC448" i="110"/>
  <c r="AD448" i="110"/>
  <c r="AI448" i="110"/>
  <c r="AJ448" i="110"/>
  <c r="A449" i="110"/>
  <c r="Z449" i="110"/>
  <c r="AB449" i="110"/>
  <c r="AC449" i="110"/>
  <c r="AD449" i="110"/>
  <c r="AI449" i="110"/>
  <c r="AJ449" i="110"/>
  <c r="A450" i="110"/>
  <c r="Z450" i="110"/>
  <c r="AB450" i="110"/>
  <c r="AC450" i="110"/>
  <c r="AD450" i="110"/>
  <c r="AI450" i="110"/>
  <c r="AJ450" i="110"/>
  <c r="A451" i="110"/>
  <c r="Z451" i="110"/>
  <c r="AB451" i="110"/>
  <c r="AC451" i="110"/>
  <c r="AD451" i="110"/>
  <c r="AI451" i="110"/>
  <c r="AJ451" i="110"/>
  <c r="A452" i="110"/>
  <c r="Z452" i="110"/>
  <c r="AB452" i="110"/>
  <c r="AC452" i="110"/>
  <c r="AD452" i="110"/>
  <c r="AI452" i="110"/>
  <c r="AJ452" i="110"/>
  <c r="A453" i="110"/>
  <c r="Z453" i="110"/>
  <c r="AB453" i="110"/>
  <c r="AC453" i="110"/>
  <c r="AD453" i="110"/>
  <c r="AI453" i="110"/>
  <c r="AJ453" i="110"/>
  <c r="A454" i="110"/>
  <c r="Z454" i="110"/>
  <c r="AB454" i="110"/>
  <c r="AC454" i="110"/>
  <c r="AD454" i="110"/>
  <c r="AI454" i="110"/>
  <c r="AJ454" i="110"/>
  <c r="A455" i="110"/>
  <c r="Z455" i="110"/>
  <c r="AB455" i="110"/>
  <c r="AC455" i="110"/>
  <c r="AD455" i="110"/>
  <c r="AI455" i="110"/>
  <c r="AJ455" i="110"/>
  <c r="A456" i="110"/>
  <c r="Z456" i="110"/>
  <c r="AB456" i="110"/>
  <c r="AC456" i="110"/>
  <c r="AD456" i="110"/>
  <c r="AI456" i="110"/>
  <c r="AJ456" i="110"/>
  <c r="A457" i="110"/>
  <c r="Z457" i="110"/>
  <c r="AB457" i="110"/>
  <c r="AC457" i="110"/>
  <c r="AD457" i="110"/>
  <c r="AI457" i="110"/>
  <c r="AJ457" i="110"/>
  <c r="A458" i="110"/>
  <c r="Z458" i="110"/>
  <c r="AB458" i="110"/>
  <c r="AC458" i="110"/>
  <c r="AD458" i="110"/>
  <c r="AI458" i="110"/>
  <c r="AJ458" i="110"/>
  <c r="A459" i="110"/>
  <c r="Z459" i="110"/>
  <c r="AB459" i="110"/>
  <c r="AC459" i="110"/>
  <c r="AD459" i="110"/>
  <c r="AI459" i="110"/>
  <c r="AJ459" i="110"/>
  <c r="A460" i="110"/>
  <c r="Z460" i="110"/>
  <c r="AB460" i="110"/>
  <c r="AC460" i="110"/>
  <c r="AD460" i="110"/>
  <c r="AI460" i="110"/>
  <c r="AJ460" i="110"/>
  <c r="A461" i="110"/>
  <c r="Z461" i="110"/>
  <c r="AB461" i="110"/>
  <c r="AC461" i="110"/>
  <c r="AD461" i="110"/>
  <c r="AI461" i="110"/>
  <c r="AJ461" i="110"/>
  <c r="A462" i="110"/>
  <c r="Z462" i="110"/>
  <c r="AB462" i="110"/>
  <c r="AC462" i="110"/>
  <c r="AD462" i="110"/>
  <c r="AI462" i="110"/>
  <c r="AJ462" i="110"/>
  <c r="A463" i="110"/>
  <c r="Z463" i="110"/>
  <c r="AB463" i="110"/>
  <c r="AC463" i="110"/>
  <c r="AD463" i="110"/>
  <c r="AI463" i="110"/>
  <c r="AJ463" i="110"/>
  <c r="A464" i="110"/>
  <c r="Z464" i="110"/>
  <c r="AB464" i="110"/>
  <c r="AC464" i="110"/>
  <c r="AD464" i="110"/>
  <c r="AI464" i="110"/>
  <c r="AJ464" i="110"/>
  <c r="A465" i="110"/>
  <c r="Z465" i="110"/>
  <c r="AB465" i="110"/>
  <c r="AC465" i="110"/>
  <c r="AD465" i="110"/>
  <c r="AI465" i="110"/>
  <c r="AJ465" i="110"/>
  <c r="A466" i="110"/>
  <c r="Z466" i="110"/>
  <c r="AB466" i="110"/>
  <c r="AC466" i="110"/>
  <c r="AD466" i="110"/>
  <c r="AI466" i="110"/>
  <c r="AJ466" i="110"/>
  <c r="A467" i="110"/>
  <c r="Z467" i="110"/>
  <c r="AB467" i="110"/>
  <c r="AC467" i="110"/>
  <c r="AD467" i="110"/>
  <c r="AI467" i="110"/>
  <c r="AJ467" i="110"/>
  <c r="A468" i="110"/>
  <c r="Z468" i="110"/>
  <c r="AB468" i="110"/>
  <c r="AC468" i="110"/>
  <c r="AD468" i="110"/>
  <c r="AI468" i="110"/>
  <c r="AJ468" i="110"/>
  <c r="A469" i="110"/>
  <c r="Z469" i="110"/>
  <c r="AB469" i="110"/>
  <c r="AC469" i="110"/>
  <c r="AD469" i="110"/>
  <c r="AI469" i="110"/>
  <c r="AJ469" i="110"/>
  <c r="A470" i="110"/>
  <c r="Z470" i="110"/>
  <c r="AB470" i="110"/>
  <c r="AC470" i="110"/>
  <c r="AD470" i="110"/>
  <c r="AI470" i="110"/>
  <c r="AJ470" i="110"/>
  <c r="A471" i="110"/>
  <c r="Z471" i="110"/>
  <c r="AB471" i="110"/>
  <c r="AC471" i="110"/>
  <c r="AD471" i="110"/>
  <c r="AI471" i="110"/>
  <c r="AJ471" i="110"/>
  <c r="A472" i="110"/>
  <c r="Z472" i="110"/>
  <c r="AB472" i="110"/>
  <c r="AC472" i="110"/>
  <c r="AD472" i="110"/>
  <c r="AI472" i="110"/>
  <c r="AJ472" i="110"/>
  <c r="A387" i="110"/>
  <c r="Z387" i="110"/>
  <c r="AB387" i="110"/>
  <c r="AC387" i="110"/>
  <c r="AD387" i="110"/>
  <c r="AG387" i="110"/>
  <c r="AH387" i="110"/>
  <c r="A388" i="110"/>
  <c r="Z388" i="110"/>
  <c r="AB388" i="110"/>
  <c r="AC388" i="110"/>
  <c r="AD388" i="110"/>
  <c r="AG388" i="110"/>
  <c r="AH388" i="110"/>
  <c r="A389" i="110"/>
  <c r="Z389" i="110"/>
  <c r="AB389" i="110"/>
  <c r="AC389" i="110"/>
  <c r="AD389" i="110"/>
  <c r="AG389" i="110"/>
  <c r="AH389" i="110"/>
  <c r="A390" i="110"/>
  <c r="Z390" i="110"/>
  <c r="AB390" i="110"/>
  <c r="AC390" i="110"/>
  <c r="AD390" i="110"/>
  <c r="AG390" i="110"/>
  <c r="AH390" i="110"/>
  <c r="A391" i="110"/>
  <c r="Z391" i="110"/>
  <c r="AB391" i="110"/>
  <c r="AC391" i="110"/>
  <c r="AD391" i="110"/>
  <c r="AG391" i="110"/>
  <c r="AH391" i="110"/>
  <c r="A392" i="110"/>
  <c r="Z392" i="110"/>
  <c r="AB392" i="110"/>
  <c r="AC392" i="110"/>
  <c r="AD392" i="110"/>
  <c r="AG392" i="110"/>
  <c r="AH392" i="110"/>
  <c r="A393" i="110"/>
  <c r="Z393" i="110"/>
  <c r="AB393" i="110"/>
  <c r="AC393" i="110"/>
  <c r="AD393" i="110"/>
  <c r="AG393" i="110"/>
  <c r="AH393" i="110"/>
  <c r="A394" i="110"/>
  <c r="Z394" i="110"/>
  <c r="AB394" i="110"/>
  <c r="AC394" i="110"/>
  <c r="AD394" i="110"/>
  <c r="AG394" i="110"/>
  <c r="AH394" i="110"/>
  <c r="A395" i="110"/>
  <c r="Z395" i="110"/>
  <c r="AB395" i="110"/>
  <c r="AC395" i="110"/>
  <c r="AD395" i="110"/>
  <c r="AG395" i="110"/>
  <c r="AH395" i="110"/>
  <c r="A396" i="110"/>
  <c r="Z396" i="110"/>
  <c r="AB396" i="110"/>
  <c r="AC396" i="110"/>
  <c r="AD396" i="110"/>
  <c r="AG396" i="110"/>
  <c r="AH396" i="110"/>
  <c r="A216" i="110"/>
  <c r="G216" i="110"/>
  <c r="M216" i="110"/>
  <c r="Z216" i="110"/>
  <c r="AB216" i="110"/>
  <c r="AO216" i="110" s="1"/>
  <c r="AD216" i="110"/>
  <c r="A217" i="110"/>
  <c r="G217" i="110"/>
  <c r="M217" i="110"/>
  <c r="Z217" i="110"/>
  <c r="AB217" i="110"/>
  <c r="AO217" i="110" s="1"/>
  <c r="AD217" i="110"/>
  <c r="A218" i="110"/>
  <c r="G218" i="110"/>
  <c r="M218" i="110"/>
  <c r="Z218" i="110"/>
  <c r="AB218" i="110"/>
  <c r="AO218" i="110" s="1"/>
  <c r="AD218" i="110"/>
  <c r="A219" i="110"/>
  <c r="G219" i="110"/>
  <c r="M219" i="110"/>
  <c r="Z219" i="110"/>
  <c r="AB219" i="110"/>
  <c r="AO219" i="110" s="1"/>
  <c r="AD219" i="110"/>
  <c r="A220" i="110"/>
  <c r="G220" i="110"/>
  <c r="M220" i="110"/>
  <c r="Z220" i="110"/>
  <c r="AB220" i="110"/>
  <c r="AO220" i="110" s="1"/>
  <c r="AD220" i="110"/>
  <c r="A221" i="110"/>
  <c r="G221" i="110"/>
  <c r="M221" i="110"/>
  <c r="Z221" i="110"/>
  <c r="AB221" i="110"/>
  <c r="AO221" i="110" s="1"/>
  <c r="AD221" i="110"/>
  <c r="A222" i="110"/>
  <c r="G222" i="110"/>
  <c r="M222" i="110"/>
  <c r="Z222" i="110"/>
  <c r="AB222" i="110"/>
  <c r="AO222" i="110" s="1"/>
  <c r="AD222" i="110"/>
  <c r="A223" i="110"/>
  <c r="G223" i="110"/>
  <c r="M223" i="110"/>
  <c r="Z223" i="110"/>
  <c r="AB223" i="110"/>
  <c r="AO223" i="110" s="1"/>
  <c r="AD223" i="110"/>
  <c r="A224" i="110"/>
  <c r="G224" i="110"/>
  <c r="M224" i="110"/>
  <c r="Z224" i="110"/>
  <c r="AB224" i="110"/>
  <c r="AO224" i="110" s="1"/>
  <c r="AD224" i="110"/>
  <c r="A225" i="110"/>
  <c r="G225" i="110"/>
  <c r="M225" i="110"/>
  <c r="Z225" i="110"/>
  <c r="AB225" i="110"/>
  <c r="AO225" i="110" s="1"/>
  <c r="AD225" i="110"/>
  <c r="A226" i="110"/>
  <c r="G226" i="110"/>
  <c r="M226" i="110"/>
  <c r="Z226" i="110"/>
  <c r="AB226" i="110"/>
  <c r="AO226" i="110" s="1"/>
  <c r="AD226" i="110"/>
  <c r="A227" i="110"/>
  <c r="G227" i="110"/>
  <c r="M227" i="110"/>
  <c r="Z227" i="110"/>
  <c r="AB227" i="110"/>
  <c r="AO227" i="110" s="1"/>
  <c r="AD227" i="110"/>
  <c r="A228" i="110"/>
  <c r="G228" i="110"/>
  <c r="M228" i="110"/>
  <c r="Z228" i="110"/>
  <c r="AB228" i="110"/>
  <c r="AO228" i="110" s="1"/>
  <c r="AD228" i="110"/>
  <c r="A229" i="110"/>
  <c r="G229" i="110"/>
  <c r="M229" i="110"/>
  <c r="Z229" i="110"/>
  <c r="AB229" i="110"/>
  <c r="AO229" i="110" s="1"/>
  <c r="AD229" i="110"/>
  <c r="A230" i="110"/>
  <c r="G230" i="110"/>
  <c r="M230" i="110"/>
  <c r="Z230" i="110"/>
  <c r="AB230" i="110"/>
  <c r="AO230" i="110" s="1"/>
  <c r="AD230" i="110"/>
  <c r="A231" i="110"/>
  <c r="G231" i="110"/>
  <c r="M231" i="110"/>
  <c r="Z231" i="110"/>
  <c r="AB231" i="110"/>
  <c r="AO231" i="110" s="1"/>
  <c r="AD231" i="110"/>
  <c r="A232" i="110"/>
  <c r="G232" i="110"/>
  <c r="M232" i="110"/>
  <c r="Z232" i="110"/>
  <c r="AB232" i="110"/>
  <c r="AO232" i="110" s="1"/>
  <c r="AD232" i="110"/>
  <c r="A233" i="110"/>
  <c r="G233" i="110"/>
  <c r="M233" i="110"/>
  <c r="Z233" i="110"/>
  <c r="AB233" i="110"/>
  <c r="AO233" i="110" s="1"/>
  <c r="AD233" i="110"/>
  <c r="A234" i="110"/>
  <c r="G234" i="110"/>
  <c r="M234" i="110"/>
  <c r="Z234" i="110"/>
  <c r="AB234" i="110"/>
  <c r="AO234" i="110" s="1"/>
  <c r="AD234" i="110"/>
  <c r="A235" i="110"/>
  <c r="G235" i="110"/>
  <c r="M235" i="110"/>
  <c r="Z235" i="110"/>
  <c r="AB235" i="110"/>
  <c r="AO235" i="110" s="1"/>
  <c r="AD235" i="110"/>
  <c r="A236" i="110"/>
  <c r="G236" i="110"/>
  <c r="M236" i="110"/>
  <c r="Z236" i="110"/>
  <c r="AB236" i="110"/>
  <c r="AO236" i="110" s="1"/>
  <c r="AD236" i="110"/>
  <c r="A237" i="110"/>
  <c r="G237" i="110"/>
  <c r="M237" i="110"/>
  <c r="Z237" i="110"/>
  <c r="AB237" i="110"/>
  <c r="AO237" i="110" s="1"/>
  <c r="AD237" i="110"/>
  <c r="A238" i="110"/>
  <c r="G238" i="110"/>
  <c r="M238" i="110"/>
  <c r="Z238" i="110"/>
  <c r="AB238" i="110"/>
  <c r="AO238" i="110" s="1"/>
  <c r="AD238" i="110"/>
  <c r="A239" i="110"/>
  <c r="G239" i="110"/>
  <c r="M239" i="110"/>
  <c r="Z239" i="110"/>
  <c r="AB239" i="110"/>
  <c r="AO239" i="110" s="1"/>
  <c r="AD239" i="110"/>
  <c r="A241" i="110"/>
  <c r="G241" i="110"/>
  <c r="M241" i="110"/>
  <c r="Z241" i="110"/>
  <c r="AB241" i="110"/>
  <c r="AO241" i="110" s="1"/>
  <c r="AD241" i="110"/>
  <c r="A242" i="110"/>
  <c r="G242" i="110"/>
  <c r="M242" i="110"/>
  <c r="Z242" i="110"/>
  <c r="AB242" i="110"/>
  <c r="AO242" i="110" s="1"/>
  <c r="AD242" i="110"/>
  <c r="A243" i="110"/>
  <c r="G243" i="110"/>
  <c r="M243" i="110"/>
  <c r="Z243" i="110"/>
  <c r="AB243" i="110"/>
  <c r="AO243" i="110" s="1"/>
  <c r="AD243" i="110"/>
  <c r="A244" i="110"/>
  <c r="G244" i="110"/>
  <c r="M244" i="110"/>
  <c r="Z244" i="110"/>
  <c r="AB244" i="110"/>
  <c r="AO244" i="110" s="1"/>
  <c r="AD244" i="110"/>
  <c r="A245" i="110"/>
  <c r="G245" i="110"/>
  <c r="M245" i="110"/>
  <c r="Z245" i="110"/>
  <c r="AB245" i="110"/>
  <c r="AO245" i="110" s="1"/>
  <c r="AD245" i="110"/>
  <c r="A246" i="110"/>
  <c r="G246" i="110"/>
  <c r="M246" i="110"/>
  <c r="Z246" i="110"/>
  <c r="AB246" i="110"/>
  <c r="AO246" i="110" s="1"/>
  <c r="AD246" i="110"/>
  <c r="A247" i="110"/>
  <c r="G247" i="110"/>
  <c r="M247" i="110"/>
  <c r="Z247" i="110"/>
  <c r="AB247" i="110"/>
  <c r="AO247" i="110" s="1"/>
  <c r="AD247" i="110"/>
  <c r="A248" i="110"/>
  <c r="G248" i="110"/>
  <c r="M248" i="110"/>
  <c r="Z248" i="110"/>
  <c r="AB248" i="110"/>
  <c r="AO248" i="110" s="1"/>
  <c r="AD248" i="110"/>
  <c r="A249" i="110"/>
  <c r="G249" i="110"/>
  <c r="M249" i="110"/>
  <c r="Z249" i="110"/>
  <c r="AB249" i="110"/>
  <c r="AO249" i="110" s="1"/>
  <c r="AD249" i="110"/>
  <c r="A250" i="110"/>
  <c r="G250" i="110"/>
  <c r="M250" i="110"/>
  <c r="Z250" i="110"/>
  <c r="AB250" i="110"/>
  <c r="AO250" i="110" s="1"/>
  <c r="AD250" i="110"/>
  <c r="A107" i="110"/>
  <c r="Z107" i="110"/>
  <c r="AB107" i="110"/>
  <c r="A108" i="110"/>
  <c r="Z108" i="110"/>
  <c r="AB108" i="110"/>
  <c r="A109" i="110"/>
  <c r="M109" i="110"/>
  <c r="Z109" i="110"/>
  <c r="AB109" i="110"/>
  <c r="A110" i="110"/>
  <c r="M110" i="110"/>
  <c r="Z110" i="110"/>
  <c r="AB110" i="110"/>
  <c r="A111" i="110"/>
  <c r="M111" i="110"/>
  <c r="Z111" i="110"/>
  <c r="AB111" i="110"/>
  <c r="A112" i="110"/>
  <c r="M112" i="110"/>
  <c r="Z112" i="110"/>
  <c r="AB112" i="110"/>
  <c r="A113" i="110"/>
  <c r="M113" i="110"/>
  <c r="Z113" i="110"/>
  <c r="AB113" i="110"/>
  <c r="A114" i="110"/>
  <c r="M114" i="110"/>
  <c r="Z114" i="110"/>
  <c r="AB114" i="110"/>
  <c r="A115" i="110"/>
  <c r="M115" i="110"/>
  <c r="Z115" i="110"/>
  <c r="AB115" i="110"/>
  <c r="AO115" i="110" s="1"/>
  <c r="A116" i="110"/>
  <c r="M116" i="110"/>
  <c r="Z116" i="110"/>
  <c r="AB116" i="110"/>
  <c r="AO116" i="110" s="1"/>
  <c r="A117" i="110"/>
  <c r="M117" i="110"/>
  <c r="Z117" i="110"/>
  <c r="AB117" i="110"/>
  <c r="AO117" i="110" s="1"/>
  <c r="A118" i="110"/>
  <c r="M118" i="110"/>
  <c r="Z118" i="110"/>
  <c r="AB118" i="110"/>
  <c r="AO118" i="110" s="1"/>
  <c r="A119" i="110"/>
  <c r="M119" i="110"/>
  <c r="Z119" i="110"/>
  <c r="AB119" i="110"/>
  <c r="AO119" i="110" s="1"/>
  <c r="A120" i="110"/>
  <c r="M120" i="110"/>
  <c r="Z120" i="110"/>
  <c r="AB120" i="110"/>
  <c r="AO120" i="110" s="1"/>
  <c r="A121" i="110"/>
  <c r="M121" i="110"/>
  <c r="Z121" i="110"/>
  <c r="AB121" i="110"/>
  <c r="AO121" i="110" s="1"/>
  <c r="A122" i="110"/>
  <c r="M122" i="110"/>
  <c r="Z122" i="110"/>
  <c r="AB122" i="110"/>
  <c r="AO122" i="110" s="1"/>
  <c r="A123" i="110"/>
  <c r="M123" i="110"/>
  <c r="Z123" i="110"/>
  <c r="AB123" i="110"/>
  <c r="AO123" i="110" s="1"/>
  <c r="A124" i="110"/>
  <c r="M124" i="110"/>
  <c r="Z124" i="110"/>
  <c r="AB124" i="110"/>
  <c r="AO124" i="110" s="1"/>
  <c r="A125" i="110"/>
  <c r="M125" i="110"/>
  <c r="Z125" i="110"/>
  <c r="AB125" i="110"/>
  <c r="AO125" i="110" s="1"/>
  <c r="A126" i="110"/>
  <c r="M126" i="110"/>
  <c r="Z126" i="110"/>
  <c r="AB126" i="110"/>
  <c r="AO126" i="110" s="1"/>
  <c r="A127" i="110"/>
  <c r="M127" i="110"/>
  <c r="Z127" i="110"/>
  <c r="AB127" i="110"/>
  <c r="AO127" i="110" s="1"/>
  <c r="A128" i="110"/>
  <c r="M128" i="110"/>
  <c r="Z128" i="110"/>
  <c r="AB128" i="110"/>
  <c r="AO128" i="110" s="1"/>
  <c r="A129" i="110"/>
  <c r="M129" i="110"/>
  <c r="Z129" i="110"/>
  <c r="AB129" i="110"/>
  <c r="AO129" i="110" s="1"/>
  <c r="A130" i="110"/>
  <c r="M130" i="110"/>
  <c r="Z130" i="110"/>
  <c r="AB130" i="110"/>
  <c r="AO130" i="110" s="1"/>
  <c r="A131" i="110"/>
  <c r="M131" i="110"/>
  <c r="Z131" i="110"/>
  <c r="AB131" i="110"/>
  <c r="AO131" i="110" s="1"/>
  <c r="A132" i="110"/>
  <c r="M132" i="110"/>
  <c r="Z132" i="110"/>
  <c r="AB132" i="110"/>
  <c r="AO132" i="110" s="1"/>
  <c r="A133" i="110"/>
  <c r="M133" i="110"/>
  <c r="Z133" i="110"/>
  <c r="AB133" i="110"/>
  <c r="AO133" i="110" s="1"/>
  <c r="A134" i="110"/>
  <c r="M134" i="110"/>
  <c r="Z134" i="110"/>
  <c r="AB134" i="110"/>
  <c r="AO134" i="110" s="1"/>
  <c r="A135" i="110"/>
  <c r="M135" i="110"/>
  <c r="Z135" i="110"/>
  <c r="AB135" i="110"/>
  <c r="AO135" i="110" s="1"/>
  <c r="A136" i="110"/>
  <c r="M136" i="110"/>
  <c r="Z136" i="110"/>
  <c r="AB136" i="110"/>
  <c r="AO136" i="110" s="1"/>
  <c r="A137" i="110"/>
  <c r="M137" i="110"/>
  <c r="Z137" i="110"/>
  <c r="AB137" i="110"/>
  <c r="AO137" i="110" s="1"/>
  <c r="A138" i="110"/>
  <c r="M138" i="110"/>
  <c r="Z138" i="110"/>
  <c r="AB138" i="110"/>
  <c r="AO138" i="110" s="1"/>
  <c r="A139" i="110"/>
  <c r="M139" i="110"/>
  <c r="Z139" i="110"/>
  <c r="AB139" i="110"/>
  <c r="AO139" i="110" s="1"/>
  <c r="A140" i="110"/>
  <c r="M140" i="110"/>
  <c r="Z140" i="110"/>
  <c r="AB140" i="110"/>
  <c r="AO140" i="110" s="1"/>
  <c r="A141" i="110"/>
  <c r="M141" i="110"/>
  <c r="Z141" i="110"/>
  <c r="AB141" i="110"/>
  <c r="AO141" i="110" s="1"/>
  <c r="A56" i="110"/>
  <c r="G56" i="110"/>
  <c r="Z56" i="110"/>
  <c r="AB56" i="110"/>
  <c r="AO56" i="110" s="1"/>
  <c r="AD56" i="110"/>
  <c r="A57" i="110"/>
  <c r="G57" i="110"/>
  <c r="Z57" i="110"/>
  <c r="AB57" i="110"/>
  <c r="AO57" i="110" s="1"/>
  <c r="AD57" i="110"/>
  <c r="A58" i="110"/>
  <c r="G58" i="110"/>
  <c r="Z58" i="110"/>
  <c r="AB58" i="110"/>
  <c r="AO58" i="110" s="1"/>
  <c r="AD58" i="110"/>
  <c r="A59" i="110"/>
  <c r="G59" i="110"/>
  <c r="Z59" i="110"/>
  <c r="AB59" i="110"/>
  <c r="AO59" i="110" s="1"/>
  <c r="AD59" i="110"/>
  <c r="A60" i="110"/>
  <c r="G60" i="110"/>
  <c r="Z60" i="110"/>
  <c r="AB60" i="110"/>
  <c r="AO60" i="110" s="1"/>
  <c r="AD60" i="110"/>
  <c r="A61" i="110"/>
  <c r="G61" i="110"/>
  <c r="Z61" i="110"/>
  <c r="AB61" i="110"/>
  <c r="AO61" i="110" s="1"/>
  <c r="AD61" i="110"/>
  <c r="A62" i="110"/>
  <c r="G62" i="110"/>
  <c r="Z62" i="110"/>
  <c r="AB62" i="110"/>
  <c r="AO62" i="110" s="1"/>
  <c r="AD62" i="110"/>
  <c r="A63" i="110"/>
  <c r="G63" i="110"/>
  <c r="Z63" i="110"/>
  <c r="AB63" i="110"/>
  <c r="AO63" i="110" s="1"/>
  <c r="AD63" i="110"/>
  <c r="A64" i="110"/>
  <c r="G64" i="110"/>
  <c r="Z64" i="110"/>
  <c r="AB64" i="110"/>
  <c r="AO64" i="110" s="1"/>
  <c r="AD64" i="110"/>
  <c r="A65" i="110"/>
  <c r="G65" i="110"/>
  <c r="Z65" i="110"/>
  <c r="AB65" i="110"/>
  <c r="AO65" i="110" s="1"/>
  <c r="AD65" i="110"/>
  <c r="A66" i="110"/>
  <c r="G66" i="110"/>
  <c r="Z66" i="110"/>
  <c r="AB66" i="110"/>
  <c r="AO66" i="110" s="1"/>
  <c r="AD66" i="110"/>
  <c r="A67" i="110"/>
  <c r="G67" i="110"/>
  <c r="Z67" i="110"/>
  <c r="AB67" i="110"/>
  <c r="AO67" i="110" s="1"/>
  <c r="AD67" i="110"/>
  <c r="A68" i="110"/>
  <c r="G68" i="110"/>
  <c r="Z68" i="110"/>
  <c r="AB68" i="110"/>
  <c r="AO68" i="110" s="1"/>
  <c r="AD68" i="110"/>
  <c r="A69" i="110"/>
  <c r="G69" i="110"/>
  <c r="Z69" i="110"/>
  <c r="AB69" i="110"/>
  <c r="AO69" i="110" s="1"/>
  <c r="AD69" i="110"/>
  <c r="A70" i="110"/>
  <c r="G70" i="110"/>
  <c r="Z70" i="110"/>
  <c r="AB70" i="110"/>
  <c r="AO70" i="110" s="1"/>
  <c r="AD70" i="110"/>
  <c r="A71" i="110"/>
  <c r="G71" i="110"/>
  <c r="Z71" i="110"/>
  <c r="AB71" i="110"/>
  <c r="AO71" i="110" s="1"/>
  <c r="AD71" i="110"/>
  <c r="A72" i="110"/>
  <c r="G72" i="110"/>
  <c r="Z72" i="110"/>
  <c r="AB72" i="110"/>
  <c r="AO72" i="110" s="1"/>
  <c r="AD72" i="110"/>
  <c r="A73" i="110"/>
  <c r="G73" i="110"/>
  <c r="Z73" i="110"/>
  <c r="AB73" i="110"/>
  <c r="AO73" i="110" s="1"/>
  <c r="AD73" i="110"/>
  <c r="A74" i="110"/>
  <c r="G74" i="110"/>
  <c r="Z74" i="110"/>
  <c r="AD74" i="110"/>
  <c r="A75" i="110"/>
  <c r="G75" i="110"/>
  <c r="Z75" i="110"/>
  <c r="AB75" i="110"/>
  <c r="AO75" i="110" s="1"/>
  <c r="AD75" i="110"/>
  <c r="A76" i="110"/>
  <c r="G76" i="110"/>
  <c r="Z76" i="110"/>
  <c r="AB76" i="110"/>
  <c r="AO76" i="110" s="1"/>
  <c r="AD76" i="110"/>
  <c r="A77" i="110"/>
  <c r="G77" i="110"/>
  <c r="Z77" i="110"/>
  <c r="AB77" i="110"/>
  <c r="AO77" i="110" s="1"/>
  <c r="AD77" i="110"/>
  <c r="A78" i="110"/>
  <c r="G78" i="110"/>
  <c r="Z78" i="110"/>
  <c r="AB78" i="110"/>
  <c r="AO78" i="110" s="1"/>
  <c r="AD78" i="110"/>
  <c r="A79" i="110"/>
  <c r="G79" i="110"/>
  <c r="Z79" i="110"/>
  <c r="AB79" i="110"/>
  <c r="AO79" i="110" s="1"/>
  <c r="AD79" i="110"/>
  <c r="A80" i="110"/>
  <c r="G80" i="110"/>
  <c r="Z80" i="110"/>
  <c r="AB80" i="110"/>
  <c r="AO80" i="110" s="1"/>
  <c r="AD80" i="110"/>
  <c r="A81" i="110"/>
  <c r="G81" i="110"/>
  <c r="Z81" i="110"/>
  <c r="AB81" i="110"/>
  <c r="AO81" i="110" s="1"/>
  <c r="AD81" i="110"/>
  <c r="A82" i="110"/>
  <c r="G82" i="110"/>
  <c r="Z82" i="110"/>
  <c r="AB82" i="110"/>
  <c r="AO82" i="110" s="1"/>
  <c r="AD82" i="110"/>
  <c r="A83" i="110"/>
  <c r="G83" i="110"/>
  <c r="Z83" i="110"/>
  <c r="AB83" i="110"/>
  <c r="AO83" i="110" s="1"/>
  <c r="AD83" i="110"/>
  <c r="A84" i="110"/>
  <c r="G84" i="110"/>
  <c r="Z84" i="110"/>
  <c r="AB84" i="110"/>
  <c r="AO84" i="110" s="1"/>
  <c r="AD84" i="110"/>
  <c r="A85" i="110"/>
  <c r="G85" i="110"/>
  <c r="Z85" i="110"/>
  <c r="AB85" i="110"/>
  <c r="AO85" i="110" s="1"/>
  <c r="AD85" i="110"/>
  <c r="A86" i="110"/>
  <c r="G86" i="110"/>
  <c r="Z86" i="110"/>
  <c r="AB86" i="110"/>
  <c r="AO86" i="110" s="1"/>
  <c r="AD86" i="110"/>
  <c r="A87" i="110"/>
  <c r="G87" i="110"/>
  <c r="Z87" i="110"/>
  <c r="AB87" i="110"/>
  <c r="AO87" i="110" s="1"/>
  <c r="AD87" i="110"/>
  <c r="A88" i="110"/>
  <c r="G88" i="110"/>
  <c r="Z88" i="110"/>
  <c r="AB88" i="110"/>
  <c r="AO88" i="110" s="1"/>
  <c r="AD88" i="110"/>
  <c r="A89" i="110"/>
  <c r="G89" i="110"/>
  <c r="Z89" i="110"/>
  <c r="AB89" i="110"/>
  <c r="AO89" i="110" s="1"/>
  <c r="AD89" i="110"/>
  <c r="A90" i="110"/>
  <c r="G90" i="110"/>
  <c r="Z90" i="110"/>
  <c r="AB90" i="110"/>
  <c r="AO90" i="110" s="1"/>
  <c r="AD90" i="110"/>
  <c r="A22" i="110"/>
  <c r="F22" i="110"/>
  <c r="G22" i="110"/>
  <c r="M22" i="110"/>
  <c r="Z22" i="110"/>
  <c r="AA22" i="110"/>
  <c r="AB22" i="110"/>
  <c r="AO22" i="110" s="1"/>
  <c r="AD22" i="110"/>
  <c r="A23" i="110"/>
  <c r="F23" i="110"/>
  <c r="G23" i="110"/>
  <c r="M23" i="110"/>
  <c r="Z23" i="110"/>
  <c r="AA23" i="110"/>
  <c r="AB23" i="110"/>
  <c r="AO23" i="110" s="1"/>
  <c r="AD23" i="110"/>
  <c r="A24" i="110"/>
  <c r="F24" i="110"/>
  <c r="G24" i="110"/>
  <c r="M24" i="110"/>
  <c r="Z24" i="110"/>
  <c r="AA24" i="110"/>
  <c r="AB24" i="110"/>
  <c r="AO24" i="110" s="1"/>
  <c r="AD24" i="110"/>
  <c r="A25" i="110"/>
  <c r="F25" i="110"/>
  <c r="G25" i="110"/>
  <c r="M25" i="110"/>
  <c r="Z25" i="110"/>
  <c r="AA25" i="110"/>
  <c r="AB25" i="110"/>
  <c r="AO25" i="110" s="1"/>
  <c r="AD25" i="110"/>
  <c r="A26" i="110"/>
  <c r="F26" i="110"/>
  <c r="G26" i="110"/>
  <c r="M26" i="110"/>
  <c r="Z26" i="110"/>
  <c r="AA26" i="110"/>
  <c r="AB26" i="110"/>
  <c r="AO26" i="110" s="1"/>
  <c r="AD26" i="110"/>
  <c r="A27" i="110"/>
  <c r="F27" i="110"/>
  <c r="G27" i="110"/>
  <c r="M27" i="110"/>
  <c r="Z27" i="110"/>
  <c r="AA27" i="110"/>
  <c r="AB27" i="110"/>
  <c r="AO27" i="110" s="1"/>
  <c r="AD27" i="110"/>
  <c r="A28" i="110"/>
  <c r="F28" i="110"/>
  <c r="G28" i="110"/>
  <c r="M28" i="110"/>
  <c r="Z28" i="110"/>
  <c r="AA28" i="110"/>
  <c r="AB28" i="110"/>
  <c r="AO28" i="110" s="1"/>
  <c r="AD28" i="110"/>
  <c r="A29" i="110"/>
  <c r="F29" i="110"/>
  <c r="G29" i="110"/>
  <c r="M29" i="110"/>
  <c r="Z29" i="110"/>
  <c r="AA29" i="110"/>
  <c r="AB29" i="110"/>
  <c r="AO29" i="110" s="1"/>
  <c r="AD29" i="110"/>
  <c r="A30" i="110"/>
  <c r="F30" i="110"/>
  <c r="G30" i="110"/>
  <c r="M30" i="110"/>
  <c r="Z30" i="110"/>
  <c r="AA30" i="110"/>
  <c r="AB30" i="110"/>
  <c r="AO30" i="110" s="1"/>
  <c r="AD30" i="110"/>
  <c r="A31" i="110"/>
  <c r="F31" i="110"/>
  <c r="G31" i="110"/>
  <c r="M31" i="110"/>
  <c r="Z31" i="110"/>
  <c r="AA31" i="110"/>
  <c r="AB31" i="110"/>
  <c r="AO31" i="110" s="1"/>
  <c r="AD31" i="110"/>
  <c r="A32" i="110"/>
  <c r="F32" i="110"/>
  <c r="G32" i="110"/>
  <c r="M32" i="110"/>
  <c r="Z32" i="110"/>
  <c r="AA32" i="110"/>
  <c r="AB32" i="110"/>
  <c r="AO32" i="110" s="1"/>
  <c r="AD32" i="110"/>
  <c r="A33" i="110"/>
  <c r="F33" i="110"/>
  <c r="G33" i="110"/>
  <c r="M33" i="110"/>
  <c r="Z33" i="110"/>
  <c r="AA33" i="110"/>
  <c r="AB33" i="110"/>
  <c r="AO33" i="110" s="1"/>
  <c r="AD33" i="110"/>
  <c r="A34" i="110"/>
  <c r="F34" i="110"/>
  <c r="G34" i="110"/>
  <c r="M34" i="110"/>
  <c r="Z34" i="110"/>
  <c r="AA34" i="110"/>
  <c r="AB34" i="110"/>
  <c r="AO34" i="110" s="1"/>
  <c r="AD34" i="110"/>
  <c r="A35" i="110"/>
  <c r="F35" i="110"/>
  <c r="G35" i="110"/>
  <c r="M35" i="110"/>
  <c r="Z35" i="110"/>
  <c r="AA35" i="110"/>
  <c r="AB35" i="110"/>
  <c r="AO35" i="110" s="1"/>
  <c r="AD35" i="110"/>
  <c r="A36" i="110"/>
  <c r="F36" i="110"/>
  <c r="G36" i="110"/>
  <c r="M36" i="110"/>
  <c r="Z36" i="110"/>
  <c r="AA36" i="110"/>
  <c r="AB36" i="110"/>
  <c r="AO36" i="110" s="1"/>
  <c r="AD36" i="110"/>
  <c r="A37" i="110"/>
  <c r="F37" i="110"/>
  <c r="G37" i="110"/>
  <c r="M37" i="110"/>
  <c r="Z37" i="110"/>
  <c r="AA37" i="110"/>
  <c r="AB37" i="110"/>
  <c r="AO37" i="110" s="1"/>
  <c r="AD37" i="110"/>
  <c r="AU36" i="69"/>
  <c r="BB36" i="69"/>
  <c r="BE36" i="69"/>
  <c r="AU38" i="69"/>
  <c r="BB38" i="69"/>
  <c r="BE38" i="69"/>
  <c r="AU40" i="69"/>
  <c r="BB40" i="69"/>
  <c r="BE40" i="69"/>
  <c r="AU42" i="69"/>
  <c r="BB42" i="69"/>
  <c r="BE42" i="69"/>
  <c r="AU44" i="69"/>
  <c r="BB44" i="69"/>
  <c r="BE44" i="69"/>
  <c r="AU46" i="69"/>
  <c r="BB46" i="69"/>
  <c r="BE46" i="69"/>
  <c r="AU48" i="69"/>
  <c r="BB48" i="69"/>
  <c r="BE48" i="69"/>
  <c r="AU50" i="69"/>
  <c r="BB50" i="69"/>
  <c r="BE50" i="69"/>
  <c r="AU52" i="69"/>
  <c r="BB52" i="69"/>
  <c r="BE52" i="69"/>
  <c r="AU54" i="69"/>
  <c r="BB54" i="69"/>
  <c r="BE54" i="69"/>
  <c r="AU56" i="69"/>
  <c r="BB56" i="69"/>
  <c r="BE56" i="69"/>
  <c r="AU58" i="69"/>
  <c r="BB58" i="69"/>
  <c r="BE58" i="69"/>
  <c r="AU60" i="69"/>
  <c r="BB60" i="69"/>
  <c r="BE60" i="69"/>
  <c r="AU62" i="69"/>
  <c r="BB62" i="69"/>
  <c r="BE62" i="69"/>
  <c r="AU64" i="69"/>
  <c r="BB64" i="69"/>
  <c r="BE64" i="69"/>
  <c r="AU66" i="69"/>
  <c r="BB66" i="69"/>
  <c r="BE66" i="69"/>
  <c r="AU68" i="69"/>
  <c r="BB68" i="69"/>
  <c r="BE68" i="69"/>
  <c r="AU70" i="69"/>
  <c r="BB70" i="69"/>
  <c r="BE70" i="69"/>
  <c r="AU72" i="69"/>
  <c r="BB72" i="69"/>
  <c r="BE72" i="69"/>
  <c r="AU74" i="69"/>
  <c r="BB74" i="69"/>
  <c r="BE74" i="69"/>
  <c r="AU76" i="69"/>
  <c r="BB76" i="69"/>
  <c r="BE76" i="69"/>
  <c r="AU78" i="69"/>
  <c r="BB78" i="69"/>
  <c r="BE78" i="69"/>
  <c r="AU80" i="69"/>
  <c r="BB80" i="69"/>
  <c r="BE80" i="69"/>
  <c r="AU82" i="69"/>
  <c r="BB82" i="69"/>
  <c r="BE82" i="69"/>
  <c r="AU84" i="69"/>
  <c r="BB84" i="69"/>
  <c r="BE84" i="69"/>
  <c r="AU86" i="69"/>
  <c r="BB86" i="69"/>
  <c r="BE86" i="69"/>
  <c r="AU88" i="69"/>
  <c r="BB88" i="69"/>
  <c r="BE88" i="69"/>
  <c r="AU90" i="69"/>
  <c r="BB90" i="69"/>
  <c r="BE90" i="69"/>
  <c r="AU92" i="69"/>
  <c r="BB92" i="69"/>
  <c r="BE92" i="69"/>
  <c r="AU94" i="69"/>
  <c r="BB94" i="69"/>
  <c r="BE94" i="69"/>
  <c r="AU96" i="69"/>
  <c r="BB96" i="69"/>
  <c r="BE96" i="69"/>
  <c r="AU98" i="69"/>
  <c r="BB98" i="69"/>
  <c r="BE98" i="69"/>
  <c r="AU100" i="69"/>
  <c r="BB100" i="69"/>
  <c r="BE100" i="69"/>
  <c r="AU102" i="69"/>
  <c r="BB102" i="69"/>
  <c r="BE102" i="69"/>
  <c r="AU104" i="69"/>
  <c r="BB104" i="69"/>
  <c r="BE104" i="69"/>
  <c r="AU106" i="69"/>
  <c r="BB106" i="69"/>
  <c r="BE106" i="69"/>
  <c r="AU108" i="69"/>
  <c r="BB108" i="69"/>
  <c r="BE108" i="69"/>
  <c r="AB36" i="69"/>
  <c r="AB38" i="69"/>
  <c r="AB40" i="69"/>
  <c r="AB42" i="69"/>
  <c r="AB44" i="69"/>
  <c r="AB46" i="69"/>
  <c r="AB48" i="69"/>
  <c r="AB50" i="69"/>
  <c r="AB52" i="69"/>
  <c r="AB54" i="69"/>
  <c r="AB56" i="69"/>
  <c r="AB58" i="69"/>
  <c r="AB60" i="69"/>
  <c r="AB62" i="69"/>
  <c r="AB64" i="69"/>
  <c r="AB66" i="69"/>
  <c r="AB68" i="69"/>
  <c r="AB70" i="69"/>
  <c r="AB72" i="69"/>
  <c r="AB74" i="69"/>
  <c r="AB76" i="69"/>
  <c r="AB78" i="69"/>
  <c r="AB80" i="69"/>
  <c r="AB82" i="69"/>
  <c r="AB84" i="69"/>
  <c r="AB86" i="69"/>
  <c r="AB88" i="69"/>
  <c r="AB90" i="69"/>
  <c r="AB92" i="69"/>
  <c r="AB94" i="69"/>
  <c r="AB96" i="69"/>
  <c r="AB98" i="69"/>
  <c r="AB100" i="69"/>
  <c r="AB102" i="69"/>
  <c r="AB104" i="69"/>
  <c r="AB106" i="69"/>
  <c r="AB108" i="69"/>
  <c r="AU34" i="71"/>
  <c r="BA34" i="71"/>
  <c r="AU36" i="71"/>
  <c r="BA36" i="71"/>
  <c r="BD36" i="71"/>
  <c r="AU38" i="71"/>
  <c r="BA38" i="71"/>
  <c r="BD38" i="71"/>
  <c r="AU40" i="71"/>
  <c r="BA40" i="71"/>
  <c r="BD40" i="71"/>
  <c r="AU42" i="71"/>
  <c r="BA42" i="71"/>
  <c r="BD42" i="71"/>
  <c r="AU44" i="71"/>
  <c r="BA44" i="71"/>
  <c r="BD44" i="71"/>
  <c r="AU46" i="71"/>
  <c r="BA46" i="71"/>
  <c r="BD46" i="71"/>
  <c r="AU48" i="71"/>
  <c r="BA48" i="71"/>
  <c r="BD48" i="71"/>
  <c r="AU50" i="71"/>
  <c r="BA50" i="71"/>
  <c r="BD50" i="71"/>
  <c r="AU52" i="71"/>
  <c r="BA52" i="71"/>
  <c r="BD52" i="71"/>
  <c r="AU54" i="71"/>
  <c r="BA54" i="71"/>
  <c r="BD54" i="71"/>
  <c r="AU56" i="71"/>
  <c r="BA56" i="71"/>
  <c r="BD56" i="71"/>
  <c r="AU58" i="71"/>
  <c r="BA58" i="71"/>
  <c r="BD58" i="71"/>
  <c r="AU60" i="71"/>
  <c r="BA60" i="71"/>
  <c r="BD60" i="71"/>
  <c r="AU62" i="71"/>
  <c r="BA62" i="71"/>
  <c r="BD62" i="71"/>
  <c r="AU64" i="71"/>
  <c r="BA64" i="71"/>
  <c r="BD64" i="71"/>
  <c r="AU66" i="71"/>
  <c r="BA66" i="71"/>
  <c r="BD66" i="71"/>
  <c r="AU68" i="71"/>
  <c r="BA68" i="71"/>
  <c r="BD68" i="71"/>
  <c r="AU70" i="71"/>
  <c r="BA70" i="71"/>
  <c r="BD70" i="71"/>
  <c r="AU72" i="71"/>
  <c r="BA72" i="71"/>
  <c r="BD72" i="71"/>
  <c r="AU74" i="71"/>
  <c r="BA74" i="71"/>
  <c r="BD74" i="71"/>
  <c r="AU76" i="71"/>
  <c r="BA76" i="71"/>
  <c r="BD76" i="71"/>
  <c r="AU78" i="71"/>
  <c r="BA78" i="71"/>
  <c r="BD78" i="71"/>
  <c r="AU80" i="71"/>
  <c r="BA80" i="71"/>
  <c r="BD80" i="71"/>
  <c r="AU82" i="71"/>
  <c r="BA82" i="71"/>
  <c r="BD82" i="71"/>
  <c r="AU84" i="71"/>
  <c r="BA84" i="71"/>
  <c r="BD84" i="71"/>
  <c r="AU86" i="71"/>
  <c r="BA86" i="71"/>
  <c r="BD86" i="71"/>
  <c r="AU88" i="71"/>
  <c r="BA88" i="71"/>
  <c r="BD88" i="71"/>
  <c r="AU90" i="71"/>
  <c r="BA90" i="71"/>
  <c r="BD90" i="71"/>
  <c r="AU92" i="71"/>
  <c r="BA92" i="71"/>
  <c r="BD92" i="71"/>
  <c r="AU94" i="71"/>
  <c r="BA94" i="71"/>
  <c r="BD94" i="71"/>
  <c r="AU96" i="71"/>
  <c r="BA96" i="71"/>
  <c r="BD96" i="71"/>
  <c r="AU98" i="71"/>
  <c r="BA98" i="71"/>
  <c r="BD98" i="71"/>
  <c r="AU100" i="71"/>
  <c r="BA100" i="71"/>
  <c r="BD100" i="71"/>
  <c r="AU102" i="71"/>
  <c r="BA102" i="71"/>
  <c r="BD102" i="71"/>
  <c r="AU104" i="71"/>
  <c r="BA104" i="71"/>
  <c r="BD104" i="71"/>
  <c r="AU106" i="71"/>
  <c r="BA106" i="71"/>
  <c r="BD106" i="71"/>
  <c r="AU108" i="71"/>
  <c r="BA108" i="71"/>
  <c r="BD108" i="71"/>
  <c r="AU110" i="71"/>
  <c r="BA110" i="71"/>
  <c r="BD110" i="71"/>
  <c r="AU112" i="71"/>
  <c r="BA112" i="71"/>
  <c r="BD112" i="71"/>
  <c r="AU114" i="71"/>
  <c r="BA114" i="71"/>
  <c r="BD114" i="71"/>
  <c r="AB34" i="71"/>
  <c r="AB36" i="71"/>
  <c r="AB38" i="71"/>
  <c r="AB40" i="71"/>
  <c r="AB42" i="71"/>
  <c r="AB44" i="71"/>
  <c r="AF44" i="71" s="1"/>
  <c r="AB46" i="71"/>
  <c r="AB48" i="71"/>
  <c r="AB50" i="71"/>
  <c r="AF50" i="71" s="1"/>
  <c r="AB52" i="71"/>
  <c r="AF52" i="71" s="1"/>
  <c r="AH52" i="71" s="1"/>
  <c r="AB54" i="71"/>
  <c r="AB56" i="71"/>
  <c r="AB58" i="71"/>
  <c r="AB60" i="71"/>
  <c r="AF60" i="71" s="1"/>
  <c r="AB62" i="71"/>
  <c r="AB64" i="71"/>
  <c r="AB66" i="71"/>
  <c r="AB68" i="71"/>
  <c r="AF68" i="71"/>
  <c r="AK68" i="71" s="1"/>
  <c r="AB70" i="71"/>
  <c r="AB72" i="71"/>
  <c r="AB74" i="71"/>
  <c r="AF74" i="71"/>
  <c r="AB76" i="71"/>
  <c r="AF76" i="71"/>
  <c r="AB78" i="71"/>
  <c r="AB80" i="71"/>
  <c r="AB82" i="71"/>
  <c r="AB84" i="71"/>
  <c r="AF84" i="71" s="1"/>
  <c r="AB86" i="71"/>
  <c r="AB88" i="71"/>
  <c r="AB90" i="71"/>
  <c r="AF90" i="71"/>
  <c r="AB92" i="71"/>
  <c r="AF92" i="71"/>
  <c r="AH92" i="71" s="1"/>
  <c r="AB94" i="71"/>
  <c r="AB96" i="71"/>
  <c r="AF96" i="71"/>
  <c r="AB98" i="71"/>
  <c r="AB100" i="71"/>
  <c r="AB102" i="71"/>
  <c r="AB104" i="71"/>
  <c r="AB106" i="71"/>
  <c r="AB108" i="71"/>
  <c r="AF108" i="71" s="1"/>
  <c r="AB110" i="71"/>
  <c r="AB112" i="71"/>
  <c r="AB114" i="71"/>
  <c r="AF114" i="71"/>
  <c r="BC114" i="71" s="1"/>
  <c r="O62" i="13"/>
  <c r="O64" i="13"/>
  <c r="O66" i="13"/>
  <c r="BH66" i="13" s="1"/>
  <c r="O68" i="13"/>
  <c r="BH68" i="13" s="1"/>
  <c r="O70" i="13"/>
  <c r="BH70" i="13" s="1"/>
  <c r="O72" i="13"/>
  <c r="BH72" i="13" s="1"/>
  <c r="O74" i="13"/>
  <c r="BH74" i="13" s="1"/>
  <c r="O76" i="13"/>
  <c r="BH76" i="13" s="1"/>
  <c r="O78" i="13"/>
  <c r="BH78" i="13" s="1"/>
  <c r="O80" i="13"/>
  <c r="BH80" i="13" s="1"/>
  <c r="O82" i="13"/>
  <c r="BH82" i="13" s="1"/>
  <c r="O84" i="13"/>
  <c r="BH84" i="13" s="1"/>
  <c r="O86" i="13"/>
  <c r="BH86" i="13" s="1"/>
  <c r="O88" i="13"/>
  <c r="BH88" i="13" s="1"/>
  <c r="O90" i="13"/>
  <c r="BH90" i="13" s="1"/>
  <c r="O92" i="13"/>
  <c r="BH92" i="13" s="1"/>
  <c r="O94" i="13"/>
  <c r="BH94" i="13" s="1"/>
  <c r="O96" i="13"/>
  <c r="BH96" i="13" s="1"/>
  <c r="O98" i="13"/>
  <c r="BH98" i="13" s="1"/>
  <c r="O100" i="13"/>
  <c r="BH100" i="13" s="1"/>
  <c r="O102" i="13"/>
  <c r="BH102" i="13" s="1"/>
  <c r="O104" i="13"/>
  <c r="BH104" i="13" s="1"/>
  <c r="O106" i="13"/>
  <c r="BH106" i="13" s="1"/>
  <c r="AU36" i="66"/>
  <c r="K225" i="110" s="1"/>
  <c r="AU38" i="66"/>
  <c r="K226" i="110" s="1"/>
  <c r="AU40" i="66"/>
  <c r="K227" i="110" s="1"/>
  <c r="AU42" i="66"/>
  <c r="K228" i="110" s="1"/>
  <c r="AU44" i="66"/>
  <c r="K229" i="110" s="1"/>
  <c r="AU46" i="66"/>
  <c r="K230" i="110" s="1"/>
  <c r="AU48" i="66"/>
  <c r="K231" i="110" s="1"/>
  <c r="AU50" i="66"/>
  <c r="K232" i="110" s="1"/>
  <c r="AU52" i="66"/>
  <c r="K233" i="110" s="1"/>
  <c r="AU54" i="66"/>
  <c r="K234" i="110" s="1"/>
  <c r="AU56" i="66"/>
  <c r="K235" i="110" s="1"/>
  <c r="AU58" i="66"/>
  <c r="K236" i="110" s="1"/>
  <c r="AU60" i="66"/>
  <c r="K237" i="110" s="1"/>
  <c r="AU62" i="66"/>
  <c r="K238" i="110" s="1"/>
  <c r="AU64" i="66"/>
  <c r="K239" i="110" s="1"/>
  <c r="AU68" i="66"/>
  <c r="K241" i="110" s="1"/>
  <c r="AU70" i="66"/>
  <c r="K242" i="110" s="1"/>
  <c r="AU72" i="66"/>
  <c r="K243" i="110" s="1"/>
  <c r="AU74" i="66"/>
  <c r="K244" i="110" s="1"/>
  <c r="AU76" i="66"/>
  <c r="K245" i="110" s="1"/>
  <c r="AU78" i="66"/>
  <c r="K246" i="110" s="1"/>
  <c r="AU80" i="66"/>
  <c r="K247" i="110" s="1"/>
  <c r="AU82" i="66"/>
  <c r="K248" i="110" s="1"/>
  <c r="AU84" i="66"/>
  <c r="K249" i="110" s="1"/>
  <c r="AU86" i="66"/>
  <c r="K250" i="110" s="1"/>
  <c r="AU88" i="66"/>
  <c r="K251" i="110" s="1"/>
  <c r="AU90" i="66"/>
  <c r="K252" i="110" s="1"/>
  <c r="AU92" i="66"/>
  <c r="K253" i="110" s="1"/>
  <c r="AU94" i="66"/>
  <c r="K254" i="110" s="1"/>
  <c r="AU96" i="66"/>
  <c r="K255" i="110" s="1"/>
  <c r="AU98" i="66"/>
  <c r="K256" i="110" s="1"/>
  <c r="AU100" i="66"/>
  <c r="K257" i="110" s="1"/>
  <c r="AU102" i="66"/>
  <c r="K258" i="110" s="1"/>
  <c r="AU104" i="66"/>
  <c r="K259" i="110" s="1"/>
  <c r="AU106" i="66"/>
  <c r="K260" i="110" s="1"/>
  <c r="AU108" i="66"/>
  <c r="K261" i="110" s="1"/>
  <c r="AU110" i="66"/>
  <c r="K262" i="110" s="1"/>
  <c r="AU112" i="66"/>
  <c r="K263" i="110" s="1"/>
  <c r="AU114" i="66"/>
  <c r="K264" i="110" s="1"/>
  <c r="AN36" i="66"/>
  <c r="AN38" i="66"/>
  <c r="AN40" i="66"/>
  <c r="AN42" i="66"/>
  <c r="AN44" i="66"/>
  <c r="AN46" i="66"/>
  <c r="H230" i="110" s="1"/>
  <c r="AN48" i="66"/>
  <c r="AN50" i="66"/>
  <c r="AN52" i="66"/>
  <c r="AN54" i="66"/>
  <c r="H234" i="110" s="1"/>
  <c r="AN56" i="66"/>
  <c r="AN58" i="66"/>
  <c r="AN60" i="66"/>
  <c r="AN62" i="66"/>
  <c r="AN64" i="66"/>
  <c r="AN68" i="66"/>
  <c r="AN70" i="66"/>
  <c r="H242" i="110" s="1"/>
  <c r="AN72" i="66"/>
  <c r="AN74" i="66"/>
  <c r="AN76" i="66"/>
  <c r="AN78" i="66"/>
  <c r="AN80" i="66"/>
  <c r="AN82" i="66"/>
  <c r="H248" i="110" s="1"/>
  <c r="AN84" i="66"/>
  <c r="H249" i="110" s="1"/>
  <c r="AN86" i="66"/>
  <c r="AN88" i="66"/>
  <c r="AN90" i="66"/>
  <c r="AN92" i="66"/>
  <c r="AN94" i="66"/>
  <c r="AN96" i="66"/>
  <c r="AN98" i="66"/>
  <c r="AN100" i="66"/>
  <c r="AN102" i="66"/>
  <c r="AN104" i="66"/>
  <c r="AN106" i="66"/>
  <c r="AN108" i="66"/>
  <c r="AN110" i="66"/>
  <c r="AN112" i="66"/>
  <c r="AN114" i="66"/>
  <c r="AK36" i="66"/>
  <c r="AK38" i="66"/>
  <c r="AK40" i="66"/>
  <c r="AK42" i="66"/>
  <c r="AK44" i="66"/>
  <c r="AK46" i="66"/>
  <c r="AK48" i="66"/>
  <c r="AK50" i="66"/>
  <c r="AK52" i="66"/>
  <c r="AK54" i="66"/>
  <c r="AK56" i="66"/>
  <c r="AK58" i="66"/>
  <c r="AK60" i="66"/>
  <c r="AK62" i="66"/>
  <c r="AK64" i="66"/>
  <c r="AK68" i="66"/>
  <c r="AK70" i="66"/>
  <c r="AK72" i="66"/>
  <c r="AK74" i="66"/>
  <c r="AK76" i="66"/>
  <c r="AK78" i="66"/>
  <c r="AK80" i="66"/>
  <c r="AK82" i="66"/>
  <c r="AK84" i="66"/>
  <c r="AK86" i="66"/>
  <c r="AK88" i="66"/>
  <c r="AK90" i="66"/>
  <c r="AK92" i="66"/>
  <c r="AK94" i="66"/>
  <c r="AK96" i="66"/>
  <c r="AK98" i="66"/>
  <c r="AK100" i="66"/>
  <c r="AK102" i="66"/>
  <c r="AK104" i="66"/>
  <c r="AK106" i="66"/>
  <c r="AK108" i="66"/>
  <c r="AK110" i="66"/>
  <c r="AK112" i="66"/>
  <c r="AK114" i="66"/>
  <c r="AI36" i="66"/>
  <c r="AI38" i="66"/>
  <c r="AI40" i="66"/>
  <c r="AI42" i="66"/>
  <c r="AI44" i="66"/>
  <c r="AI46" i="66"/>
  <c r="AI48" i="66"/>
  <c r="AI50" i="66"/>
  <c r="AI52" i="66"/>
  <c r="AI54" i="66"/>
  <c r="AI56" i="66"/>
  <c r="AI58" i="66"/>
  <c r="AI60" i="66"/>
  <c r="AI62" i="66"/>
  <c r="AI64" i="66"/>
  <c r="AI68" i="66"/>
  <c r="AI70" i="66"/>
  <c r="AI72" i="66"/>
  <c r="AI74" i="66"/>
  <c r="AI76" i="66"/>
  <c r="AI78" i="66"/>
  <c r="AI80" i="66"/>
  <c r="AI82" i="66"/>
  <c r="AI84" i="66"/>
  <c r="AI86" i="66"/>
  <c r="AI88" i="66"/>
  <c r="AI90" i="66"/>
  <c r="AI92" i="66"/>
  <c r="AI94" i="66"/>
  <c r="AI96" i="66"/>
  <c r="AI98" i="66"/>
  <c r="AI100" i="66"/>
  <c r="AI102" i="66"/>
  <c r="AI104" i="66"/>
  <c r="AI106" i="66"/>
  <c r="AI108" i="66"/>
  <c r="AI110" i="66"/>
  <c r="AI112" i="66"/>
  <c r="AI114" i="66"/>
  <c r="T36" i="66"/>
  <c r="T38" i="66"/>
  <c r="T40" i="66"/>
  <c r="T42" i="66"/>
  <c r="T44" i="66"/>
  <c r="T46" i="66"/>
  <c r="T48" i="66"/>
  <c r="T50" i="66"/>
  <c r="T52" i="66"/>
  <c r="T54" i="66"/>
  <c r="T56" i="66"/>
  <c r="T58" i="66"/>
  <c r="T60" i="66"/>
  <c r="T62" i="66"/>
  <c r="T64" i="66"/>
  <c r="T68" i="66"/>
  <c r="T70" i="66"/>
  <c r="T72" i="66"/>
  <c r="T74" i="66"/>
  <c r="T76" i="66"/>
  <c r="T78" i="66"/>
  <c r="T80" i="66"/>
  <c r="T82" i="66"/>
  <c r="T84" i="66"/>
  <c r="T86" i="66"/>
  <c r="T88" i="66"/>
  <c r="T90" i="66"/>
  <c r="T92" i="66"/>
  <c r="T94" i="66"/>
  <c r="T96" i="66"/>
  <c r="T98" i="66"/>
  <c r="T100" i="66"/>
  <c r="T102" i="66"/>
  <c r="T104" i="66"/>
  <c r="T106" i="66"/>
  <c r="T108" i="66"/>
  <c r="T110" i="66"/>
  <c r="T112" i="66"/>
  <c r="T114" i="66"/>
  <c r="N36" i="66"/>
  <c r="AA225" i="110" s="1"/>
  <c r="N38" i="66"/>
  <c r="AA226" i="110" s="1"/>
  <c r="N40" i="66"/>
  <c r="AA227" i="110" s="1"/>
  <c r="N42" i="66"/>
  <c r="AA228" i="110" s="1"/>
  <c r="N44" i="66"/>
  <c r="AA229" i="110" s="1"/>
  <c r="N46" i="66"/>
  <c r="AA230" i="110" s="1"/>
  <c r="N48" i="66"/>
  <c r="AA231" i="110" s="1"/>
  <c r="N50" i="66"/>
  <c r="AA232" i="110" s="1"/>
  <c r="N52" i="66"/>
  <c r="AA233" i="110" s="1"/>
  <c r="N54" i="66"/>
  <c r="AA234" i="110" s="1"/>
  <c r="N56" i="66"/>
  <c r="AA235" i="110" s="1"/>
  <c r="N58" i="66"/>
  <c r="AA236" i="110" s="1"/>
  <c r="N60" i="66"/>
  <c r="AA237" i="110" s="1"/>
  <c r="N62" i="66"/>
  <c r="AA238" i="110" s="1"/>
  <c r="N64" i="66"/>
  <c r="AA239" i="110" s="1"/>
  <c r="N68" i="66"/>
  <c r="AA241" i="110" s="1"/>
  <c r="N70" i="66"/>
  <c r="AA242" i="110" s="1"/>
  <c r="N72" i="66"/>
  <c r="AA243" i="110" s="1"/>
  <c r="N74" i="66"/>
  <c r="AA244" i="110" s="1"/>
  <c r="N76" i="66"/>
  <c r="AA245" i="110" s="1"/>
  <c r="N78" i="66"/>
  <c r="AA246" i="110" s="1"/>
  <c r="N80" i="66"/>
  <c r="AA247" i="110" s="1"/>
  <c r="N82" i="66"/>
  <c r="AA248" i="110" s="1"/>
  <c r="N84" i="66"/>
  <c r="AA249" i="110" s="1"/>
  <c r="N86" i="66"/>
  <c r="AA250" i="110" s="1"/>
  <c r="N88" i="66"/>
  <c r="AA251" i="110" s="1"/>
  <c r="N90" i="66"/>
  <c r="AA252" i="110" s="1"/>
  <c r="N92" i="66"/>
  <c r="AA253" i="110" s="1"/>
  <c r="N94" i="66"/>
  <c r="AA254" i="110" s="1"/>
  <c r="N96" i="66"/>
  <c r="AA255" i="110" s="1"/>
  <c r="N98" i="66"/>
  <c r="AA256" i="110" s="1"/>
  <c r="N100" i="66"/>
  <c r="AA257" i="110" s="1"/>
  <c r="N102" i="66"/>
  <c r="AA258" i="110" s="1"/>
  <c r="N104" i="66"/>
  <c r="AA259" i="110" s="1"/>
  <c r="N106" i="66"/>
  <c r="AA260" i="110" s="1"/>
  <c r="N108" i="66"/>
  <c r="AA261" i="110" s="1"/>
  <c r="N110" i="66"/>
  <c r="AA262" i="110" s="1"/>
  <c r="N112" i="66"/>
  <c r="AA263" i="110" s="1"/>
  <c r="N114" i="66"/>
  <c r="AA264" i="110" s="1"/>
  <c r="K115" i="110"/>
  <c r="K116" i="110"/>
  <c r="K117" i="110"/>
  <c r="K118" i="110"/>
  <c r="K119" i="110"/>
  <c r="K120" i="110"/>
  <c r="K121" i="110"/>
  <c r="K122" i="110"/>
  <c r="K123" i="110"/>
  <c r="K124" i="110"/>
  <c r="K125" i="110"/>
  <c r="K126" i="110"/>
  <c r="K127" i="110"/>
  <c r="K128" i="110"/>
  <c r="K129" i="110"/>
  <c r="K130" i="110"/>
  <c r="K131" i="110"/>
  <c r="K132" i="110"/>
  <c r="K133" i="110"/>
  <c r="K134" i="110"/>
  <c r="K135" i="110"/>
  <c r="K136" i="110"/>
  <c r="K137" i="110"/>
  <c r="K138" i="110"/>
  <c r="K139" i="110"/>
  <c r="K140" i="110"/>
  <c r="K141" i="110"/>
  <c r="K142" i="110"/>
  <c r="K143" i="110"/>
  <c r="K144" i="110"/>
  <c r="K145" i="110"/>
  <c r="K146" i="110"/>
  <c r="K147" i="110"/>
  <c r="K148" i="110"/>
  <c r="K149" i="110"/>
  <c r="K150" i="110"/>
  <c r="K151" i="110"/>
  <c r="K152" i="110"/>
  <c r="K153" i="110"/>
  <c r="K154" i="110"/>
  <c r="C115" i="110"/>
  <c r="B115" i="110" s="1"/>
  <c r="C116" i="110"/>
  <c r="B116" i="110" s="1"/>
  <c r="C117" i="110"/>
  <c r="B117" i="110" s="1"/>
  <c r="C120" i="110"/>
  <c r="B120" i="110" s="1"/>
  <c r="C124" i="110"/>
  <c r="B124" i="110" s="1"/>
  <c r="C126" i="110"/>
  <c r="B126" i="110" s="1"/>
  <c r="C145" i="110"/>
  <c r="B145" i="110" s="1"/>
  <c r="AV36" i="62"/>
  <c r="O65" i="110" s="1"/>
  <c r="AV38" i="62"/>
  <c r="O66" i="110" s="1"/>
  <c r="AV40" i="62"/>
  <c r="O67" i="110" s="1"/>
  <c r="AV42" i="62"/>
  <c r="O68" i="110" s="1"/>
  <c r="AV44" i="62"/>
  <c r="O69" i="110" s="1"/>
  <c r="AV46" i="62"/>
  <c r="O70" i="110" s="1"/>
  <c r="AV48" i="62"/>
  <c r="O71" i="110" s="1"/>
  <c r="AV50" i="62"/>
  <c r="O72" i="110" s="1"/>
  <c r="AV52" i="62"/>
  <c r="O73" i="110" s="1"/>
  <c r="AV56" i="62"/>
  <c r="O75" i="110" s="1"/>
  <c r="AV58" i="62"/>
  <c r="O76" i="110" s="1"/>
  <c r="AV60" i="62"/>
  <c r="O77" i="110" s="1"/>
  <c r="AV62" i="62"/>
  <c r="O78" i="110" s="1"/>
  <c r="AV64" i="62"/>
  <c r="O79" i="110" s="1"/>
  <c r="AV66" i="62"/>
  <c r="O80" i="110" s="1"/>
  <c r="AV68" i="62"/>
  <c r="O81" i="110" s="1"/>
  <c r="AV70" i="62"/>
  <c r="O82" i="110" s="1"/>
  <c r="AV72" i="62"/>
  <c r="O83" i="110" s="1"/>
  <c r="AV74" i="62"/>
  <c r="O84" i="110" s="1"/>
  <c r="AV76" i="62"/>
  <c r="O85" i="110" s="1"/>
  <c r="AV78" i="62"/>
  <c r="O86" i="110" s="1"/>
  <c r="AV80" i="62"/>
  <c r="O87" i="110" s="1"/>
  <c r="AV82" i="62"/>
  <c r="O88" i="110" s="1"/>
  <c r="AV84" i="62"/>
  <c r="O89" i="110" s="1"/>
  <c r="AV86" i="62"/>
  <c r="O90" i="110" s="1"/>
  <c r="AV88" i="62"/>
  <c r="O91" i="110" s="1"/>
  <c r="AV90" i="62"/>
  <c r="O92" i="110" s="1"/>
  <c r="AV92" i="62"/>
  <c r="O93" i="110" s="1"/>
  <c r="AV94" i="62"/>
  <c r="O94" i="110" s="1"/>
  <c r="AV96" i="62"/>
  <c r="O95" i="110" s="1"/>
  <c r="AV98" i="62"/>
  <c r="O96" i="110" s="1"/>
  <c r="AV100" i="62"/>
  <c r="O97" i="110" s="1"/>
  <c r="AV102" i="62"/>
  <c r="O98" i="110" s="1"/>
  <c r="AV104" i="62"/>
  <c r="O99" i="110" s="1"/>
  <c r="AV106" i="62"/>
  <c r="O100" i="110" s="1"/>
  <c r="AV108" i="62"/>
  <c r="O101" i="110" s="1"/>
  <c r="AV110" i="62"/>
  <c r="O102" i="110" s="1"/>
  <c r="AV112" i="62"/>
  <c r="O103" i="110" s="1"/>
  <c r="AU36" i="62"/>
  <c r="K65" i="110" s="1"/>
  <c r="AU38" i="62"/>
  <c r="K66" i="110" s="1"/>
  <c r="AU40" i="62"/>
  <c r="K67" i="110" s="1"/>
  <c r="AU42" i="62"/>
  <c r="K68" i="110" s="1"/>
  <c r="AU44" i="62"/>
  <c r="K69" i="110" s="1"/>
  <c r="AU46" i="62"/>
  <c r="K70" i="110" s="1"/>
  <c r="AU48" i="62"/>
  <c r="K71" i="110" s="1"/>
  <c r="AU50" i="62"/>
  <c r="K72" i="110" s="1"/>
  <c r="AU52" i="62"/>
  <c r="K73" i="110" s="1"/>
  <c r="AU56" i="62"/>
  <c r="K75" i="110" s="1"/>
  <c r="AU58" i="62"/>
  <c r="K76" i="110" s="1"/>
  <c r="AU60" i="62"/>
  <c r="K77" i="110" s="1"/>
  <c r="AU62" i="62"/>
  <c r="K78" i="110" s="1"/>
  <c r="AU64" i="62"/>
  <c r="K79" i="110" s="1"/>
  <c r="AU66" i="62"/>
  <c r="K80" i="110" s="1"/>
  <c r="AU68" i="62"/>
  <c r="K81" i="110" s="1"/>
  <c r="AU70" i="62"/>
  <c r="K82" i="110" s="1"/>
  <c r="AU72" i="62"/>
  <c r="K83" i="110" s="1"/>
  <c r="AU74" i="62"/>
  <c r="K84" i="110" s="1"/>
  <c r="AU76" i="62"/>
  <c r="K85" i="110" s="1"/>
  <c r="AU78" i="62"/>
  <c r="K86" i="110" s="1"/>
  <c r="AU80" i="62"/>
  <c r="K87" i="110" s="1"/>
  <c r="AU82" i="62"/>
  <c r="K88" i="110" s="1"/>
  <c r="AU84" i="62"/>
  <c r="K89" i="110" s="1"/>
  <c r="AU86" i="62"/>
  <c r="K90" i="110" s="1"/>
  <c r="AU88" i="62"/>
  <c r="K91" i="110" s="1"/>
  <c r="AU90" i="62"/>
  <c r="K92" i="110" s="1"/>
  <c r="AU92" i="62"/>
  <c r="K93" i="110" s="1"/>
  <c r="AU94" i="62"/>
  <c r="K94" i="110" s="1"/>
  <c r="AU96" i="62"/>
  <c r="K95" i="110" s="1"/>
  <c r="AU98" i="62"/>
  <c r="K96" i="110" s="1"/>
  <c r="AU100" i="62"/>
  <c r="K97" i="110" s="1"/>
  <c r="AU102" i="62"/>
  <c r="K98" i="110" s="1"/>
  <c r="AU104" i="62"/>
  <c r="K99" i="110" s="1"/>
  <c r="AU106" i="62"/>
  <c r="K100" i="110" s="1"/>
  <c r="AU108" i="62"/>
  <c r="K101" i="110" s="1"/>
  <c r="AU110" i="62"/>
  <c r="K102" i="110" s="1"/>
  <c r="AU112" i="62"/>
  <c r="K103" i="110" s="1"/>
  <c r="AN36" i="62"/>
  <c r="AN38" i="62"/>
  <c r="AN40" i="62"/>
  <c r="AN42" i="62"/>
  <c r="AN44" i="62"/>
  <c r="AN46" i="62"/>
  <c r="AN48" i="62"/>
  <c r="AN50" i="62"/>
  <c r="AN52" i="62"/>
  <c r="AN56" i="62"/>
  <c r="AN58" i="62"/>
  <c r="AN60" i="62"/>
  <c r="AN62" i="62"/>
  <c r="AN64" i="62"/>
  <c r="AN66" i="62"/>
  <c r="AN68" i="62"/>
  <c r="AN70" i="62"/>
  <c r="AN72" i="62"/>
  <c r="AN74" i="62"/>
  <c r="AN76" i="62"/>
  <c r="AN78" i="62"/>
  <c r="AN80" i="62"/>
  <c r="AN82" i="62"/>
  <c r="AN84" i="62"/>
  <c r="AN86" i="62"/>
  <c r="AN88" i="62"/>
  <c r="AN90" i="62"/>
  <c r="AN92" i="62"/>
  <c r="AN94" i="62"/>
  <c r="AN96" i="62"/>
  <c r="AN98" i="62"/>
  <c r="AN100" i="62"/>
  <c r="AN102" i="62"/>
  <c r="AN104" i="62"/>
  <c r="AN106" i="62"/>
  <c r="AN108" i="62"/>
  <c r="AN110" i="62"/>
  <c r="AN112" i="62"/>
  <c r="AK36" i="62"/>
  <c r="N65" i="110" s="1"/>
  <c r="AK38" i="62"/>
  <c r="N66" i="110" s="1"/>
  <c r="AK40" i="62"/>
  <c r="N67" i="110" s="1"/>
  <c r="AK42" i="62"/>
  <c r="N68" i="110" s="1"/>
  <c r="AK44" i="62"/>
  <c r="N69" i="110" s="1"/>
  <c r="AK46" i="62"/>
  <c r="N70" i="110" s="1"/>
  <c r="AK48" i="62"/>
  <c r="N71" i="110" s="1"/>
  <c r="AK50" i="62"/>
  <c r="N72" i="110" s="1"/>
  <c r="AK52" i="62"/>
  <c r="N73" i="110" s="1"/>
  <c r="AK56" i="62"/>
  <c r="N75" i="110" s="1"/>
  <c r="AK58" i="62"/>
  <c r="N76" i="110" s="1"/>
  <c r="AK60" i="62"/>
  <c r="N77" i="110" s="1"/>
  <c r="AK62" i="62"/>
  <c r="N78" i="110" s="1"/>
  <c r="AK64" i="62"/>
  <c r="N79" i="110" s="1"/>
  <c r="AK66" i="62"/>
  <c r="N80" i="110" s="1"/>
  <c r="AK68" i="62"/>
  <c r="N81" i="110" s="1"/>
  <c r="AK70" i="62"/>
  <c r="N82" i="110" s="1"/>
  <c r="AK72" i="62"/>
  <c r="N83" i="110" s="1"/>
  <c r="AK74" i="62"/>
  <c r="N84" i="110" s="1"/>
  <c r="AK76" i="62"/>
  <c r="N85" i="110" s="1"/>
  <c r="AK78" i="62"/>
  <c r="N86" i="110" s="1"/>
  <c r="AK80" i="62"/>
  <c r="N87" i="110" s="1"/>
  <c r="AK82" i="62"/>
  <c r="N88" i="110" s="1"/>
  <c r="AK84" i="62"/>
  <c r="N89" i="110" s="1"/>
  <c r="AK86" i="62"/>
  <c r="N90" i="110" s="1"/>
  <c r="AK88" i="62"/>
  <c r="N91" i="110" s="1"/>
  <c r="AK90" i="62"/>
  <c r="N92" i="110" s="1"/>
  <c r="AK92" i="62"/>
  <c r="N93" i="110" s="1"/>
  <c r="AK94" i="62"/>
  <c r="N94" i="110" s="1"/>
  <c r="AK96" i="62"/>
  <c r="N95" i="110" s="1"/>
  <c r="AK98" i="62"/>
  <c r="N96" i="110" s="1"/>
  <c r="AK100" i="62"/>
  <c r="N97" i="110" s="1"/>
  <c r="AK102" i="62"/>
  <c r="N98" i="110" s="1"/>
  <c r="AK104" i="62"/>
  <c r="N99" i="110" s="1"/>
  <c r="AK106" i="62"/>
  <c r="N100" i="110" s="1"/>
  <c r="AK108" i="62"/>
  <c r="N101" i="110" s="1"/>
  <c r="AK110" i="62"/>
  <c r="N102" i="110" s="1"/>
  <c r="AK112" i="62"/>
  <c r="N103" i="110" s="1"/>
  <c r="AI36" i="62"/>
  <c r="AI38" i="62"/>
  <c r="AI40" i="62"/>
  <c r="AI42" i="62"/>
  <c r="AI44" i="62"/>
  <c r="AI46" i="62"/>
  <c r="AI48" i="62"/>
  <c r="AI50" i="62"/>
  <c r="AI52" i="62"/>
  <c r="AI56" i="62"/>
  <c r="AI58" i="62"/>
  <c r="AI60" i="62"/>
  <c r="AI62" i="62"/>
  <c r="AI64" i="62"/>
  <c r="AI66" i="62"/>
  <c r="AI68" i="62"/>
  <c r="AI70" i="62"/>
  <c r="AI72" i="62"/>
  <c r="AI74" i="62"/>
  <c r="AI76" i="62"/>
  <c r="AI78" i="62"/>
  <c r="AI80" i="62"/>
  <c r="AI82" i="62"/>
  <c r="AI84" i="62"/>
  <c r="AI86" i="62"/>
  <c r="AI88" i="62"/>
  <c r="AI90" i="62"/>
  <c r="AI92" i="62"/>
  <c r="AI94" i="62"/>
  <c r="AI96" i="62"/>
  <c r="AI98" i="62"/>
  <c r="AI100" i="62"/>
  <c r="AI102" i="62"/>
  <c r="AI104" i="62"/>
  <c r="AI106" i="62"/>
  <c r="AI108" i="62"/>
  <c r="AI110" i="62"/>
  <c r="AI112" i="62"/>
  <c r="T36" i="62"/>
  <c r="T38" i="62"/>
  <c r="T40" i="62"/>
  <c r="T42" i="62"/>
  <c r="T44" i="62"/>
  <c r="T46" i="62"/>
  <c r="T48" i="62"/>
  <c r="T50" i="62"/>
  <c r="T52" i="62"/>
  <c r="T56" i="62"/>
  <c r="T58" i="62"/>
  <c r="T60" i="62"/>
  <c r="T62" i="62"/>
  <c r="T64" i="62"/>
  <c r="T66" i="62"/>
  <c r="T68" i="62"/>
  <c r="T70" i="62"/>
  <c r="T72" i="62"/>
  <c r="T74" i="62"/>
  <c r="T76" i="62"/>
  <c r="T78" i="62"/>
  <c r="T80" i="62"/>
  <c r="T82" i="62"/>
  <c r="T84" i="62"/>
  <c r="T86" i="62"/>
  <c r="T88" i="62"/>
  <c r="T90" i="62"/>
  <c r="T92" i="62"/>
  <c r="T94" i="62"/>
  <c r="T96" i="62"/>
  <c r="T98" i="62"/>
  <c r="T100" i="62"/>
  <c r="T102" i="62"/>
  <c r="T104" i="62"/>
  <c r="T106" i="62"/>
  <c r="T108" i="62"/>
  <c r="T110" i="62"/>
  <c r="T112" i="62"/>
  <c r="M36" i="62"/>
  <c r="M38" i="62"/>
  <c r="M40" i="62"/>
  <c r="M42" i="62"/>
  <c r="M44" i="62"/>
  <c r="M46" i="62"/>
  <c r="M48" i="62"/>
  <c r="M50" i="62"/>
  <c r="M52" i="62"/>
  <c r="M56" i="62"/>
  <c r="M58" i="62"/>
  <c r="M60" i="62"/>
  <c r="M62" i="62"/>
  <c r="M64" i="62"/>
  <c r="M66" i="62"/>
  <c r="M68" i="62"/>
  <c r="M70" i="62"/>
  <c r="M72" i="62"/>
  <c r="M74" i="62"/>
  <c r="M76" i="62"/>
  <c r="M78" i="62"/>
  <c r="M80" i="62"/>
  <c r="M82" i="62"/>
  <c r="M84" i="62"/>
  <c r="M86" i="62"/>
  <c r="M88" i="62"/>
  <c r="M90" i="62"/>
  <c r="M92" i="62"/>
  <c r="M94" i="62"/>
  <c r="M96" i="62"/>
  <c r="M98" i="62"/>
  <c r="M100" i="62"/>
  <c r="M102" i="62"/>
  <c r="M104" i="62"/>
  <c r="M106" i="62"/>
  <c r="M108" i="62"/>
  <c r="M110" i="62"/>
  <c r="M112" i="62"/>
  <c r="I34" i="62"/>
  <c r="I36" i="62"/>
  <c r="AA65" i="110" s="1"/>
  <c r="I38" i="62"/>
  <c r="AA66" i="110" s="1"/>
  <c r="I40" i="62"/>
  <c r="AA67" i="110" s="1"/>
  <c r="I42" i="62"/>
  <c r="AA68" i="110" s="1"/>
  <c r="I44" i="62"/>
  <c r="AA69" i="110" s="1"/>
  <c r="I46" i="62"/>
  <c r="AA70" i="110" s="1"/>
  <c r="I48" i="62"/>
  <c r="AA71" i="110" s="1"/>
  <c r="I50" i="62"/>
  <c r="AA72" i="110" s="1"/>
  <c r="I52" i="62"/>
  <c r="AA73" i="110" s="1"/>
  <c r="I56" i="62"/>
  <c r="AA75" i="110" s="1"/>
  <c r="I58" i="62"/>
  <c r="AA76" i="110" s="1"/>
  <c r="I60" i="62"/>
  <c r="AA77" i="110" s="1"/>
  <c r="I62" i="62"/>
  <c r="AA78" i="110" s="1"/>
  <c r="I64" i="62"/>
  <c r="AA79" i="110" s="1"/>
  <c r="I66" i="62"/>
  <c r="AA80" i="110" s="1"/>
  <c r="I68" i="62"/>
  <c r="AA81" i="110" s="1"/>
  <c r="I70" i="62"/>
  <c r="AA82" i="110" s="1"/>
  <c r="I72" i="62"/>
  <c r="AA83" i="110" s="1"/>
  <c r="I74" i="62"/>
  <c r="AA84" i="110" s="1"/>
  <c r="I76" i="62"/>
  <c r="AA85" i="110" s="1"/>
  <c r="I78" i="62"/>
  <c r="AA86" i="110" s="1"/>
  <c r="I80" i="62"/>
  <c r="AA87" i="110" s="1"/>
  <c r="I82" i="62"/>
  <c r="AA88" i="110" s="1"/>
  <c r="I84" i="62"/>
  <c r="AA89" i="110" s="1"/>
  <c r="I86" i="62"/>
  <c r="AA90" i="110" s="1"/>
  <c r="I88" i="62"/>
  <c r="AA91" i="110" s="1"/>
  <c r="I90" i="62"/>
  <c r="AA92" i="110" s="1"/>
  <c r="I92" i="62"/>
  <c r="AA93" i="110" s="1"/>
  <c r="I94" i="62"/>
  <c r="AA94" i="110" s="1"/>
  <c r="I96" i="62"/>
  <c r="AA95" i="110" s="1"/>
  <c r="I98" i="62"/>
  <c r="AA96" i="110" s="1"/>
  <c r="I100" i="62"/>
  <c r="AA97" i="110" s="1"/>
  <c r="I102" i="62"/>
  <c r="AA98" i="110" s="1"/>
  <c r="I104" i="62"/>
  <c r="AA99" i="110" s="1"/>
  <c r="I106" i="62"/>
  <c r="AA100" i="110" s="1"/>
  <c r="I108" i="62"/>
  <c r="AA101" i="110" s="1"/>
  <c r="I110" i="62"/>
  <c r="AA102" i="110" s="1"/>
  <c r="I112" i="62"/>
  <c r="AA103" i="110" s="1"/>
  <c r="AI46" i="12"/>
  <c r="AI48" i="12"/>
  <c r="AI50" i="12"/>
  <c r="AI52" i="12"/>
  <c r="AI54" i="12"/>
  <c r="AI56" i="12"/>
  <c r="AI58" i="12"/>
  <c r="AI60" i="12"/>
  <c r="AI62" i="12"/>
  <c r="AI64" i="12"/>
  <c r="AI66" i="12"/>
  <c r="AI68" i="12"/>
  <c r="AI70" i="12"/>
  <c r="AI72" i="12"/>
  <c r="AI74" i="12"/>
  <c r="AI76" i="12"/>
  <c r="AI78" i="12"/>
  <c r="AI80" i="12"/>
  <c r="AI82" i="12"/>
  <c r="AI84" i="12"/>
  <c r="AI86" i="12"/>
  <c r="AI88" i="12"/>
  <c r="AI90" i="12"/>
  <c r="AI92" i="12"/>
  <c r="AI94" i="12"/>
  <c r="AI96" i="12"/>
  <c r="AI98" i="12"/>
  <c r="AI100" i="12"/>
  <c r="AI102" i="12"/>
  <c r="AI104" i="12"/>
  <c r="AI106" i="12"/>
  <c r="AI108" i="12"/>
  <c r="AE46" i="12"/>
  <c r="I19" i="110" s="1"/>
  <c r="AE48" i="12"/>
  <c r="I20" i="110" s="1"/>
  <c r="AE50" i="12"/>
  <c r="I21" i="110" s="1"/>
  <c r="AE52" i="12"/>
  <c r="I22" i="110" s="1"/>
  <c r="AE54" i="12"/>
  <c r="I23" i="110" s="1"/>
  <c r="AE56" i="12"/>
  <c r="I24" i="110" s="1"/>
  <c r="AE58" i="12"/>
  <c r="I25" i="110" s="1"/>
  <c r="AE60" i="12"/>
  <c r="I26" i="110" s="1"/>
  <c r="AE62" i="12"/>
  <c r="I27" i="110" s="1"/>
  <c r="AE64" i="12"/>
  <c r="I28" i="110" s="1"/>
  <c r="AE66" i="12"/>
  <c r="I29" i="110" s="1"/>
  <c r="AE68" i="12"/>
  <c r="I30" i="110" s="1"/>
  <c r="AE70" i="12"/>
  <c r="I31" i="110" s="1"/>
  <c r="AE72" i="12"/>
  <c r="I32" i="110" s="1"/>
  <c r="AE74" i="12"/>
  <c r="I33" i="110" s="1"/>
  <c r="AE76" i="12"/>
  <c r="I34" i="110" s="1"/>
  <c r="AE78" i="12"/>
  <c r="I35" i="110" s="1"/>
  <c r="AE80" i="12"/>
  <c r="I36" i="110" s="1"/>
  <c r="AE82" i="12"/>
  <c r="I37" i="110" s="1"/>
  <c r="AE84" i="12"/>
  <c r="I38" i="110" s="1"/>
  <c r="AE86" i="12"/>
  <c r="I39" i="110" s="1"/>
  <c r="AE88" i="12"/>
  <c r="I40" i="110" s="1"/>
  <c r="AE90" i="12"/>
  <c r="I41" i="110" s="1"/>
  <c r="AE92" i="12"/>
  <c r="I42" i="110" s="1"/>
  <c r="AE94" i="12"/>
  <c r="I43" i="110" s="1"/>
  <c r="AE96" i="12"/>
  <c r="I44" i="110" s="1"/>
  <c r="AE98" i="12"/>
  <c r="I45" i="110" s="1"/>
  <c r="AE100" i="12"/>
  <c r="I46" i="110" s="1"/>
  <c r="AE102" i="12"/>
  <c r="I47" i="110" s="1"/>
  <c r="I48" i="110"/>
  <c r="AE106" i="12"/>
  <c r="I49" i="110" s="1"/>
  <c r="AE108" i="12"/>
  <c r="I50" i="110" s="1"/>
  <c r="Q46" i="12"/>
  <c r="Y19" i="110" s="1"/>
  <c r="Q48" i="12"/>
  <c r="Y20" i="110" s="1"/>
  <c r="Q50" i="12"/>
  <c r="Y21" i="110" s="1"/>
  <c r="Q52" i="12"/>
  <c r="Q54" i="12"/>
  <c r="Y23" i="110" s="1"/>
  <c r="Q56" i="12"/>
  <c r="Y24" i="110" s="1"/>
  <c r="Q58" i="12"/>
  <c r="Y25" i="110" s="1"/>
  <c r="Q60" i="12"/>
  <c r="Q62" i="12"/>
  <c r="Y27" i="110" s="1"/>
  <c r="Q64" i="12"/>
  <c r="Y28" i="110" s="1"/>
  <c r="Q66" i="12"/>
  <c r="Y29" i="110" s="1"/>
  <c r="Q68" i="12"/>
  <c r="Q70" i="12"/>
  <c r="Y31" i="110" s="1"/>
  <c r="Q72" i="12"/>
  <c r="Y32" i="110" s="1"/>
  <c r="Q74" i="12"/>
  <c r="Y33" i="110" s="1"/>
  <c r="Q76" i="12"/>
  <c r="Q78" i="12"/>
  <c r="Y35" i="110" s="1"/>
  <c r="Q80" i="12"/>
  <c r="Y36" i="110" s="1"/>
  <c r="Q82" i="12"/>
  <c r="Y37" i="110" s="1"/>
  <c r="Q84" i="12"/>
  <c r="Q86" i="12"/>
  <c r="Y39" i="110" s="1"/>
  <c r="Q88" i="12"/>
  <c r="Y40" i="110" s="1"/>
  <c r="Q90" i="12"/>
  <c r="Y41" i="110" s="1"/>
  <c r="Q92" i="12"/>
  <c r="Q94" i="12"/>
  <c r="Y43" i="110" s="1"/>
  <c r="Q96" i="12"/>
  <c r="Y44" i="110" s="1"/>
  <c r="Q98" i="12"/>
  <c r="Y45" i="110" s="1"/>
  <c r="Q100" i="12"/>
  <c r="Q102" i="12"/>
  <c r="Y47" i="110" s="1"/>
  <c r="Q106" i="12"/>
  <c r="Y49" i="110" s="1"/>
  <c r="Q108" i="12"/>
  <c r="I46" i="12"/>
  <c r="I48" i="12"/>
  <c r="I50" i="12"/>
  <c r="X21" i="110" s="1"/>
  <c r="I52" i="12"/>
  <c r="X22" i="110" s="1"/>
  <c r="I54" i="12"/>
  <c r="I56" i="12"/>
  <c r="I58" i="12"/>
  <c r="X25" i="110" s="1"/>
  <c r="I60" i="12"/>
  <c r="X26" i="110" s="1"/>
  <c r="I62" i="12"/>
  <c r="I64" i="12"/>
  <c r="I66" i="12"/>
  <c r="X29" i="110" s="1"/>
  <c r="I68" i="12"/>
  <c r="X30" i="110" s="1"/>
  <c r="I70" i="12"/>
  <c r="I72" i="12"/>
  <c r="I74" i="12"/>
  <c r="X33" i="110" s="1"/>
  <c r="I76" i="12"/>
  <c r="X34" i="110" s="1"/>
  <c r="I78" i="12"/>
  <c r="I80" i="12"/>
  <c r="I82" i="12"/>
  <c r="X37" i="110" s="1"/>
  <c r="I84" i="12"/>
  <c r="X38" i="110" s="1"/>
  <c r="I86" i="12"/>
  <c r="I88" i="12"/>
  <c r="I90" i="12"/>
  <c r="X41" i="110" s="1"/>
  <c r="I92" i="12"/>
  <c r="X42" i="110" s="1"/>
  <c r="I94" i="12"/>
  <c r="I96" i="12"/>
  <c r="I98" i="12"/>
  <c r="X45" i="110" s="1"/>
  <c r="I100" i="12"/>
  <c r="X46" i="110" s="1"/>
  <c r="I102" i="12"/>
  <c r="I104" i="12"/>
  <c r="AW104" i="12" s="1"/>
  <c r="AG48" i="110" s="1"/>
  <c r="I106" i="12"/>
  <c r="X49" i="110" s="1"/>
  <c r="I108" i="12"/>
  <c r="AH68" i="71"/>
  <c r="AF36" i="71"/>
  <c r="AN114" i="71"/>
  <c r="I486" i="110" s="1"/>
  <c r="AH114" i="71"/>
  <c r="AK114" i="71"/>
  <c r="AV114" i="71"/>
  <c r="AK486" i="110" s="1"/>
  <c r="BC90" i="71"/>
  <c r="AH90" i="71"/>
  <c r="AN90" i="71"/>
  <c r="K474" i="110" s="1"/>
  <c r="AK90" i="71"/>
  <c r="AV90" i="71"/>
  <c r="AK474" i="110" s="1"/>
  <c r="BC74" i="71"/>
  <c r="AK74" i="71"/>
  <c r="AN74" i="71"/>
  <c r="P466" i="110" s="1"/>
  <c r="AH74" i="71"/>
  <c r="AV74" i="71"/>
  <c r="AK466" i="110"/>
  <c r="AK50" i="71"/>
  <c r="BC96" i="71"/>
  <c r="AV96" i="71"/>
  <c r="AF66" i="71"/>
  <c r="AX66" i="71"/>
  <c r="AX96" i="71"/>
  <c r="AF88" i="71"/>
  <c r="AY88" i="71" s="1"/>
  <c r="AF80" i="71"/>
  <c r="AY80" i="71" s="1"/>
  <c r="AF64" i="71"/>
  <c r="AF56" i="71"/>
  <c r="AX56" i="71"/>
  <c r="AF48" i="71"/>
  <c r="AY48" i="71"/>
  <c r="AF104" i="71"/>
  <c r="AX104" i="71"/>
  <c r="AV92" i="71"/>
  <c r="AN92" i="71"/>
  <c r="K475" i="110" s="1"/>
  <c r="AZ92" i="71"/>
  <c r="AV60" i="71"/>
  <c r="AK459" i="110" s="1"/>
  <c r="AN60" i="71"/>
  <c r="P459" i="110" s="1"/>
  <c r="AH60" i="71"/>
  <c r="AZ60" i="71"/>
  <c r="AK60" i="71"/>
  <c r="AK96" i="71"/>
  <c r="BC92" i="71"/>
  <c r="AF110" i="71"/>
  <c r="AX110" i="71"/>
  <c r="AF102" i="71"/>
  <c r="AY102" i="71" s="1"/>
  <c r="AZ102" i="71"/>
  <c r="AF86" i="71"/>
  <c r="AF78" i="71"/>
  <c r="AX78" i="71" s="1"/>
  <c r="AF70" i="71"/>
  <c r="AY70" i="71" s="1"/>
  <c r="AF62" i="71"/>
  <c r="AX62" i="71" s="1"/>
  <c r="AF54" i="71"/>
  <c r="AF46" i="71"/>
  <c r="AX46" i="71" s="1"/>
  <c r="AF38" i="71"/>
  <c r="AZ38" i="71" s="1"/>
  <c r="AF112" i="71"/>
  <c r="AY112" i="71" s="1"/>
  <c r="AF58" i="71"/>
  <c r="AX58" i="71"/>
  <c r="AF42" i="71"/>
  <c r="AZ42" i="71"/>
  <c r="AH96" i="71"/>
  <c r="AN96" i="71"/>
  <c r="K477" i="110" s="1"/>
  <c r="AX114" i="71"/>
  <c r="AY114" i="71"/>
  <c r="AZ114" i="71"/>
  <c r="AX90" i="71"/>
  <c r="AY90" i="71"/>
  <c r="AZ90" i="71"/>
  <c r="AX74" i="71"/>
  <c r="AY74" i="71"/>
  <c r="AZ74" i="71"/>
  <c r="AY50" i="71"/>
  <c r="AF106" i="71"/>
  <c r="AX106" i="71" s="1"/>
  <c r="AF82" i="71"/>
  <c r="AY96" i="71"/>
  <c r="AZ96" i="71"/>
  <c r="AF72" i="71"/>
  <c r="AY72" i="71"/>
  <c r="AF40" i="71"/>
  <c r="AX40" i="71"/>
  <c r="AV76" i="71"/>
  <c r="AK467" i="110" s="1"/>
  <c r="AN76" i="71"/>
  <c r="P467" i="110" s="1"/>
  <c r="AH76" i="71"/>
  <c r="AK76" i="71"/>
  <c r="AZ76" i="71"/>
  <c r="AV44" i="71"/>
  <c r="AK451" i="110" s="1"/>
  <c r="AN44" i="71"/>
  <c r="W451" i="110" s="1"/>
  <c r="AH44" i="71"/>
  <c r="AK44" i="71"/>
  <c r="BC76" i="71"/>
  <c r="BC60" i="71"/>
  <c r="BC44" i="71"/>
  <c r="AZ44" i="71"/>
  <c r="AF98" i="71"/>
  <c r="AN84" i="71"/>
  <c r="J471" i="110" s="1"/>
  <c r="AV68" i="71"/>
  <c r="AK463" i="110" s="1"/>
  <c r="AN68" i="71"/>
  <c r="AZ68" i="71"/>
  <c r="AV52" i="71"/>
  <c r="AK455" i="110" s="1"/>
  <c r="AN52" i="71"/>
  <c r="J455" i="110" s="1"/>
  <c r="AZ52" i="71"/>
  <c r="AV36" i="71"/>
  <c r="AK447" i="110" s="1"/>
  <c r="AN36" i="71"/>
  <c r="I447" i="110" s="1"/>
  <c r="AK92" i="71"/>
  <c r="BB92" i="71"/>
  <c r="AK52" i="71"/>
  <c r="BB52" i="71"/>
  <c r="BC68" i="71"/>
  <c r="BC52" i="71"/>
  <c r="BC36" i="71"/>
  <c r="AX92" i="71"/>
  <c r="AX84" i="71"/>
  <c r="AX76" i="71"/>
  <c r="AX68" i="71"/>
  <c r="AX60" i="71"/>
  <c r="AX52" i="71"/>
  <c r="AX44" i="71"/>
  <c r="AX36" i="71"/>
  <c r="AY92" i="71"/>
  <c r="AY76" i="71"/>
  <c r="AY68" i="71"/>
  <c r="AY60" i="71"/>
  <c r="AY52" i="71"/>
  <c r="AY44" i="71"/>
  <c r="AY36" i="71"/>
  <c r="AK395" i="110"/>
  <c r="AN34" i="69"/>
  <c r="AH34" i="69"/>
  <c r="BC34" i="69" s="1"/>
  <c r="AV18" i="65"/>
  <c r="AV20" i="65"/>
  <c r="AV22" i="65"/>
  <c r="AV24" i="65"/>
  <c r="AV26" i="65"/>
  <c r="AV28" i="65"/>
  <c r="AV30" i="65"/>
  <c r="AV32" i="65"/>
  <c r="AV34" i="65"/>
  <c r="AV16" i="65"/>
  <c r="AY38" i="71"/>
  <c r="BB76" i="71"/>
  <c r="AZ40" i="71"/>
  <c r="AZ46" i="71"/>
  <c r="AZ48" i="71"/>
  <c r="BB68" i="71"/>
  <c r="BB96" i="71"/>
  <c r="AY40" i="71"/>
  <c r="AX88" i="71"/>
  <c r="AZ70" i="71"/>
  <c r="AY56" i="71"/>
  <c r="AZ88" i="71"/>
  <c r="AY58" i="71"/>
  <c r="AY106" i="71"/>
  <c r="BB60" i="71"/>
  <c r="BB90" i="71"/>
  <c r="AH36" i="71"/>
  <c r="AK36" i="71"/>
  <c r="AZ112" i="71"/>
  <c r="AZ36" i="71"/>
  <c r="BC82" i="71"/>
  <c r="AK82" i="71"/>
  <c r="AH82" i="71"/>
  <c r="AN82" i="71"/>
  <c r="M470" i="110" s="1"/>
  <c r="AV82" i="71"/>
  <c r="AK470" i="110" s="1"/>
  <c r="BC42" i="71"/>
  <c r="AK42" i="71"/>
  <c r="AN42" i="71"/>
  <c r="P450" i="110" s="1"/>
  <c r="AH42" i="71"/>
  <c r="AV42" i="71"/>
  <c r="AK450" i="110" s="1"/>
  <c r="AV46" i="71"/>
  <c r="AK452" i="110" s="1"/>
  <c r="AN46" i="71"/>
  <c r="AK46" i="71"/>
  <c r="BC46" i="71"/>
  <c r="AH46" i="71"/>
  <c r="AY46" i="71"/>
  <c r="AV62" i="71"/>
  <c r="AK460" i="110" s="1"/>
  <c r="AN62" i="71"/>
  <c r="K460" i="110" s="1"/>
  <c r="AK62" i="71"/>
  <c r="BC62" i="71"/>
  <c r="AH62" i="71"/>
  <c r="AY62" i="71"/>
  <c r="AV78" i="71"/>
  <c r="AK468" i="110" s="1"/>
  <c r="AN78" i="71"/>
  <c r="AK78" i="71"/>
  <c r="BC78" i="71"/>
  <c r="AH78" i="71"/>
  <c r="AY78" i="71"/>
  <c r="AV110" i="71"/>
  <c r="AK484" i="110" s="1"/>
  <c r="AN110" i="71"/>
  <c r="J484" i="110" s="1"/>
  <c r="AH110" i="71"/>
  <c r="AK110" i="71"/>
  <c r="BC110" i="71"/>
  <c r="AY110" i="71"/>
  <c r="BC64" i="71"/>
  <c r="AK64" i="71"/>
  <c r="AV64" i="71"/>
  <c r="AK461" i="110" s="1"/>
  <c r="AH64" i="71"/>
  <c r="AX64" i="71"/>
  <c r="AN64" i="71"/>
  <c r="S461" i="110" s="1"/>
  <c r="AZ80" i="71"/>
  <c r="BC66" i="71"/>
  <c r="AK66" i="71"/>
  <c r="AH66" i="71"/>
  <c r="AN66" i="71"/>
  <c r="J462" i="110" s="1"/>
  <c r="AV66" i="71"/>
  <c r="AK462" i="110" s="1"/>
  <c r="AY42" i="71"/>
  <c r="AZ82" i="71"/>
  <c r="AY98" i="71"/>
  <c r="BB114" i="71"/>
  <c r="BC72" i="71"/>
  <c r="AN72" i="71"/>
  <c r="I465" i="110" s="1"/>
  <c r="AV72" i="71"/>
  <c r="AK465" i="110" s="1"/>
  <c r="AH72" i="71"/>
  <c r="AK72" i="71"/>
  <c r="BC106" i="71"/>
  <c r="AH106" i="71"/>
  <c r="AK106" i="71"/>
  <c r="AN106" i="71"/>
  <c r="AL482" i="110" s="1"/>
  <c r="AV106" i="71"/>
  <c r="AK482" i="110" s="1"/>
  <c r="BC58" i="71"/>
  <c r="AK58" i="71"/>
  <c r="AN58" i="71"/>
  <c r="S458" i="110" s="1"/>
  <c r="AH58" i="71"/>
  <c r="AV58" i="71"/>
  <c r="AK458" i="110" s="1"/>
  <c r="BC112" i="71"/>
  <c r="AV112" i="71"/>
  <c r="AK485" i="110" s="1"/>
  <c r="AN112" i="71"/>
  <c r="J485" i="110" s="1"/>
  <c r="AH112" i="71"/>
  <c r="AK112" i="71"/>
  <c r="AX112" i="71"/>
  <c r="AZ62" i="71"/>
  <c r="AZ78" i="71"/>
  <c r="AZ110" i="71"/>
  <c r="BC104" i="71"/>
  <c r="AN104" i="71"/>
  <c r="AL481" i="110" s="1"/>
  <c r="AV104" i="71"/>
  <c r="AK481" i="110" s="1"/>
  <c r="AK104" i="71"/>
  <c r="AH104" i="71"/>
  <c r="BC56" i="71"/>
  <c r="AN56" i="71"/>
  <c r="J457" i="110" s="1"/>
  <c r="AV56" i="71"/>
  <c r="AK457" i="110" s="1"/>
  <c r="AH56" i="71"/>
  <c r="AK56" i="71"/>
  <c r="AZ64" i="71"/>
  <c r="AZ104" i="71"/>
  <c r="AX42" i="71"/>
  <c r="AZ66" i="71"/>
  <c r="AY82" i="71"/>
  <c r="BB74" i="71"/>
  <c r="BC80" i="71"/>
  <c r="AK80" i="71"/>
  <c r="AV80" i="71"/>
  <c r="AK469" i="110" s="1"/>
  <c r="AH80" i="71"/>
  <c r="AN80" i="71"/>
  <c r="AX80" i="71"/>
  <c r="AK98" i="71"/>
  <c r="BB44" i="71"/>
  <c r="BC40" i="71"/>
  <c r="AN40" i="71"/>
  <c r="R449" i="110" s="1"/>
  <c r="AV40" i="71"/>
  <c r="AK449" i="110" s="1"/>
  <c r="AH40" i="71"/>
  <c r="AK40" i="71"/>
  <c r="AZ72" i="71"/>
  <c r="AV38" i="71"/>
  <c r="AK448" i="110" s="1"/>
  <c r="AN38" i="71"/>
  <c r="J448" i="110" s="1"/>
  <c r="AK38" i="71"/>
  <c r="AH38" i="71"/>
  <c r="BC38" i="71"/>
  <c r="AX38" i="71"/>
  <c r="AV54" i="71"/>
  <c r="AK456" i="110" s="1"/>
  <c r="AH54" i="71"/>
  <c r="AV70" i="71"/>
  <c r="AK464" i="110" s="1"/>
  <c r="AN70" i="71"/>
  <c r="J464" i="110" s="1"/>
  <c r="AK70" i="71"/>
  <c r="AH70" i="71"/>
  <c r="BC70" i="71"/>
  <c r="AX70" i="71"/>
  <c r="AN86" i="71"/>
  <c r="AL472" i="110" s="1"/>
  <c r="AX86" i="71"/>
  <c r="AV102" i="71"/>
  <c r="AK480" i="110" s="1"/>
  <c r="AN102" i="71"/>
  <c r="S480" i="110" s="1"/>
  <c r="AH102" i="71"/>
  <c r="AK102" i="71"/>
  <c r="BC102" i="71"/>
  <c r="AX102" i="71"/>
  <c r="BC48" i="71"/>
  <c r="AK48" i="71"/>
  <c r="AV48" i="71"/>
  <c r="AK453" i="110" s="1"/>
  <c r="AH48" i="71"/>
  <c r="AX48" i="71"/>
  <c r="AN48" i="71"/>
  <c r="I453" i="110" s="1"/>
  <c r="AZ56" i="71"/>
  <c r="AY64" i="71"/>
  <c r="BC88" i="71"/>
  <c r="AN88" i="71"/>
  <c r="I473" i="110" s="1"/>
  <c r="AV88" i="71"/>
  <c r="AK473" i="110" s="1"/>
  <c r="AK88" i="71"/>
  <c r="AH88" i="71"/>
  <c r="AY104" i="71"/>
  <c r="AZ58" i="71"/>
  <c r="AY66" i="71"/>
  <c r="AX82" i="71"/>
  <c r="AZ106" i="71"/>
  <c r="AX72" i="71"/>
  <c r="BB64" i="71"/>
  <c r="BB46" i="71"/>
  <c r="BB70" i="71"/>
  <c r="BB38" i="71"/>
  <c r="BB82" i="71"/>
  <c r="BB72" i="71"/>
  <c r="BB36" i="71"/>
  <c r="BB104" i="71"/>
  <c r="BB112" i="71"/>
  <c r="BB106" i="71"/>
  <c r="BB88" i="71"/>
  <c r="BB102" i="71"/>
  <c r="BB56" i="71"/>
  <c r="BB58" i="71"/>
  <c r="BB66" i="71"/>
  <c r="BB48" i="71"/>
  <c r="BB40" i="71"/>
  <c r="BB80" i="71"/>
  <c r="BB62" i="71"/>
  <c r="BB42" i="71"/>
  <c r="BA55" i="14"/>
  <c r="D95" i="106"/>
  <c r="AU18" i="71"/>
  <c r="AU20" i="71"/>
  <c r="AU22" i="71"/>
  <c r="AU24" i="71"/>
  <c r="AU26" i="71"/>
  <c r="AU28" i="71"/>
  <c r="AU30" i="71"/>
  <c r="AU32" i="71"/>
  <c r="AU16" i="71"/>
  <c r="AU16" i="13"/>
  <c r="AU16" i="69"/>
  <c r="I16" i="62"/>
  <c r="BE16" i="62" s="1"/>
  <c r="AW55" i="14"/>
  <c r="AC23" i="14"/>
  <c r="AC22" i="14"/>
  <c r="O22" i="14"/>
  <c r="AC21" i="14"/>
  <c r="AI18" i="113"/>
  <c r="AI20" i="113"/>
  <c r="AI22" i="113"/>
  <c r="AI24" i="113"/>
  <c r="AI26" i="113"/>
  <c r="AI28" i="113"/>
  <c r="AI30" i="113"/>
  <c r="AI32" i="113"/>
  <c r="AI34" i="113"/>
  <c r="AI16" i="113"/>
  <c r="T18" i="113"/>
  <c r="T20" i="113"/>
  <c r="T22" i="113"/>
  <c r="T24" i="113"/>
  <c r="T26" i="113"/>
  <c r="T28" i="113"/>
  <c r="T30" i="113"/>
  <c r="T32" i="113"/>
  <c r="T34" i="113"/>
  <c r="T16" i="113"/>
  <c r="N18" i="113"/>
  <c r="AA267" i="110" s="1"/>
  <c r="N20" i="113"/>
  <c r="AA268" i="110" s="1"/>
  <c r="N22" i="113"/>
  <c r="AA269" i="110" s="1"/>
  <c r="N24" i="113"/>
  <c r="AA270" i="110" s="1"/>
  <c r="N26" i="113"/>
  <c r="AA271" i="110" s="1"/>
  <c r="N28" i="113"/>
  <c r="AA272" i="110" s="1"/>
  <c r="N30" i="113"/>
  <c r="AA273" i="110" s="1"/>
  <c r="N32" i="113"/>
  <c r="AA274" i="110" s="1"/>
  <c r="N34" i="113"/>
  <c r="AA275" i="110" s="1"/>
  <c r="N16" i="113"/>
  <c r="AA266" i="110" s="1"/>
  <c r="AI16" i="66"/>
  <c r="T18" i="66"/>
  <c r="T20" i="66"/>
  <c r="T22" i="66"/>
  <c r="T24" i="66"/>
  <c r="T26" i="66"/>
  <c r="BE26" i="66" s="1"/>
  <c r="T28" i="66"/>
  <c r="BE28" i="66" s="1"/>
  <c r="T30" i="66"/>
  <c r="T32" i="66"/>
  <c r="T34" i="66"/>
  <c r="T16" i="66"/>
  <c r="N18" i="66"/>
  <c r="N20" i="66"/>
  <c r="N22" i="66"/>
  <c r="N24" i="66"/>
  <c r="N26" i="66"/>
  <c r="N28" i="66"/>
  <c r="N30" i="66"/>
  <c r="N32" i="66"/>
  <c r="N34" i="66"/>
  <c r="N16" i="66"/>
  <c r="AI18" i="65"/>
  <c r="AI20" i="65"/>
  <c r="AI24" i="65"/>
  <c r="AI26" i="65"/>
  <c r="AI28" i="65"/>
  <c r="AI30" i="65"/>
  <c r="AI32" i="65"/>
  <c r="AI34" i="65"/>
  <c r="AI16" i="65"/>
  <c r="T18" i="65"/>
  <c r="T20" i="65"/>
  <c r="T22" i="65"/>
  <c r="T24" i="65"/>
  <c r="T26" i="65"/>
  <c r="T28" i="65"/>
  <c r="T30" i="65"/>
  <c r="T32" i="65"/>
  <c r="T34" i="65"/>
  <c r="T16" i="65"/>
  <c r="N18" i="65"/>
  <c r="N20" i="65"/>
  <c r="N22" i="65"/>
  <c r="N24" i="65"/>
  <c r="N26" i="65"/>
  <c r="N28" i="65"/>
  <c r="N30" i="65"/>
  <c r="N32" i="65"/>
  <c r="N34" i="65"/>
  <c r="N16" i="65"/>
  <c r="AI18" i="64"/>
  <c r="AI20" i="64"/>
  <c r="AI24" i="64"/>
  <c r="AI26" i="64"/>
  <c r="AI28" i="64"/>
  <c r="AI30" i="64"/>
  <c r="AI32" i="64"/>
  <c r="AI34" i="64"/>
  <c r="AI16" i="64"/>
  <c r="T16" i="64"/>
  <c r="AA158" i="110"/>
  <c r="AA159" i="110"/>
  <c r="AA160" i="110"/>
  <c r="AA161" i="110"/>
  <c r="AA162" i="110"/>
  <c r="AA163" i="110"/>
  <c r="AA164" i="110"/>
  <c r="AA165" i="110"/>
  <c r="AA166" i="110"/>
  <c r="N16" i="64"/>
  <c r="AI16" i="62"/>
  <c r="AN16" i="62" s="1"/>
  <c r="I18" i="62"/>
  <c r="I20" i="62"/>
  <c r="I22" i="62"/>
  <c r="I24" i="62"/>
  <c r="I26" i="62"/>
  <c r="I28" i="62"/>
  <c r="I30" i="62"/>
  <c r="I32" i="62"/>
  <c r="AI16" i="12"/>
  <c r="Y5" i="110"/>
  <c r="Y6" i="110"/>
  <c r="Y7" i="110"/>
  <c r="Y9" i="110"/>
  <c r="Y10" i="110"/>
  <c r="Y11" i="110"/>
  <c r="Y12" i="110"/>
  <c r="Q36" i="12"/>
  <c r="Q38" i="12"/>
  <c r="Y15" i="110" s="1"/>
  <c r="Q40" i="12"/>
  <c r="Y16" i="110" s="1"/>
  <c r="Q42" i="12"/>
  <c r="Y17" i="110" s="1"/>
  <c r="Q44" i="12"/>
  <c r="Y18" i="110" s="1"/>
  <c r="Y4" i="110"/>
  <c r="I26" i="12"/>
  <c r="I28" i="12"/>
  <c r="I30" i="12"/>
  <c r="I32" i="12"/>
  <c r="I34" i="12"/>
  <c r="I36" i="12"/>
  <c r="I38" i="12"/>
  <c r="I40" i="12"/>
  <c r="I42" i="12"/>
  <c r="I44" i="12"/>
  <c r="I6" i="110"/>
  <c r="I9" i="110"/>
  <c r="I10" i="110"/>
  <c r="I12" i="110"/>
  <c r="I13" i="110"/>
  <c r="AE36" i="12"/>
  <c r="I14" i="110" s="1"/>
  <c r="AE38" i="12"/>
  <c r="AE40" i="12"/>
  <c r="I16" i="110" s="1"/>
  <c r="AE42" i="12"/>
  <c r="I17" i="110" s="1"/>
  <c r="AE44" i="12"/>
  <c r="I18" i="110" s="1"/>
  <c r="AB5" i="110"/>
  <c r="AO5" i="110" s="1"/>
  <c r="AB6" i="110"/>
  <c r="AO6" i="110" s="1"/>
  <c r="AB7" i="110"/>
  <c r="AO7" i="110" s="1"/>
  <c r="AB8" i="110"/>
  <c r="AO8" i="110" s="1"/>
  <c r="AB9" i="110"/>
  <c r="AO9" i="110" s="1"/>
  <c r="AB10" i="110"/>
  <c r="AO10" i="110" s="1"/>
  <c r="AB11" i="110"/>
  <c r="AO11" i="110" s="1"/>
  <c r="AB12" i="110"/>
  <c r="AO12" i="110" s="1"/>
  <c r="AB13" i="110"/>
  <c r="AO13" i="110" s="1"/>
  <c r="AB14" i="110"/>
  <c r="AO14" i="110" s="1"/>
  <c r="AB15" i="110"/>
  <c r="AO15" i="110" s="1"/>
  <c r="AB16" i="110"/>
  <c r="AO16" i="110" s="1"/>
  <c r="AB17" i="110"/>
  <c r="AO17" i="110" s="1"/>
  <c r="AB18" i="110"/>
  <c r="AO18" i="110" s="1"/>
  <c r="AB19" i="110"/>
  <c r="AO19" i="110" s="1"/>
  <c r="AB20" i="110"/>
  <c r="AO20" i="110" s="1"/>
  <c r="AB21" i="110"/>
  <c r="AO21" i="110" s="1"/>
  <c r="AB38" i="110"/>
  <c r="AO38" i="110" s="1"/>
  <c r="AB39" i="110"/>
  <c r="AO39" i="110" s="1"/>
  <c r="AB40" i="110"/>
  <c r="AO40" i="110" s="1"/>
  <c r="AB41" i="110"/>
  <c r="AO41" i="110" s="1"/>
  <c r="AB42" i="110"/>
  <c r="AO42" i="110" s="1"/>
  <c r="AB43" i="110"/>
  <c r="AO43" i="110" s="1"/>
  <c r="AB44" i="110"/>
  <c r="AO44" i="110" s="1"/>
  <c r="AB45" i="110"/>
  <c r="AO45" i="110" s="1"/>
  <c r="AB46" i="110"/>
  <c r="AO46" i="110" s="1"/>
  <c r="AB47" i="110"/>
  <c r="AO47" i="110" s="1"/>
  <c r="AB48" i="110"/>
  <c r="AO48" i="110" s="1"/>
  <c r="AB49" i="110"/>
  <c r="AO49" i="110" s="1"/>
  <c r="AB50" i="110"/>
  <c r="AO50" i="110" s="1"/>
  <c r="AB4" i="110"/>
  <c r="AO4" i="110" s="1"/>
  <c r="AA5" i="110"/>
  <c r="AA6" i="110"/>
  <c r="AA7" i="110"/>
  <c r="AA8" i="110"/>
  <c r="AA9" i="110"/>
  <c r="AA10" i="110"/>
  <c r="AA11" i="110"/>
  <c r="AA12" i="110"/>
  <c r="AA13" i="110"/>
  <c r="AA14" i="110"/>
  <c r="AA15" i="110"/>
  <c r="AA16" i="110"/>
  <c r="AA17" i="110"/>
  <c r="AA18" i="110"/>
  <c r="AA19" i="110"/>
  <c r="AA20" i="110"/>
  <c r="AA21" i="110"/>
  <c r="AA38" i="110"/>
  <c r="AA39" i="110"/>
  <c r="AA40" i="110"/>
  <c r="AA41" i="110"/>
  <c r="AA42" i="110"/>
  <c r="AA43" i="110"/>
  <c r="AA44" i="110"/>
  <c r="AA45" i="110"/>
  <c r="AA46" i="110"/>
  <c r="AA47" i="110"/>
  <c r="AA48" i="110"/>
  <c r="AA49" i="110"/>
  <c r="AA50" i="110"/>
  <c r="AA4" i="110"/>
  <c r="M5" i="110"/>
  <c r="M6" i="110"/>
  <c r="M7" i="110"/>
  <c r="M8" i="110"/>
  <c r="M9" i="110"/>
  <c r="M10" i="110"/>
  <c r="M11" i="110"/>
  <c r="M12" i="110"/>
  <c r="M13" i="110"/>
  <c r="M14" i="110"/>
  <c r="M15" i="110"/>
  <c r="M16" i="110"/>
  <c r="M17" i="110"/>
  <c r="M18" i="110"/>
  <c r="M19" i="110"/>
  <c r="M20" i="110"/>
  <c r="M21" i="110"/>
  <c r="M38" i="110"/>
  <c r="M39" i="110"/>
  <c r="M40" i="110"/>
  <c r="M41" i="110"/>
  <c r="M42" i="110"/>
  <c r="M43" i="110"/>
  <c r="M44" i="110"/>
  <c r="M45" i="110"/>
  <c r="M46" i="110"/>
  <c r="M47" i="110"/>
  <c r="M48" i="110"/>
  <c r="M49" i="110"/>
  <c r="M50" i="110"/>
  <c r="M4" i="110"/>
  <c r="O20" i="13"/>
  <c r="AB18" i="71"/>
  <c r="AB20" i="71"/>
  <c r="AF20" i="71" s="1"/>
  <c r="I5" i="110"/>
  <c r="A46" i="110"/>
  <c r="F46" i="110"/>
  <c r="G46" i="110"/>
  <c r="Z46" i="110"/>
  <c r="AD46" i="110"/>
  <c r="A47" i="110"/>
  <c r="F47" i="110"/>
  <c r="G47" i="110"/>
  <c r="Z47" i="110"/>
  <c r="AD47" i="110"/>
  <c r="A48" i="110"/>
  <c r="F48" i="110"/>
  <c r="G48" i="110"/>
  <c r="Z48" i="110"/>
  <c r="AD48" i="110"/>
  <c r="A49" i="110"/>
  <c r="F49" i="110"/>
  <c r="G49" i="110"/>
  <c r="Z49" i="110"/>
  <c r="AD49" i="110"/>
  <c r="AA186" i="110"/>
  <c r="H186" i="110"/>
  <c r="AN34" i="64"/>
  <c r="AA168" i="110"/>
  <c r="AN38" i="64"/>
  <c r="H168" i="110" s="1"/>
  <c r="N50" i="64"/>
  <c r="T50" i="64"/>
  <c r="AI50" i="64"/>
  <c r="AK50" i="64"/>
  <c r="AN50" i="64"/>
  <c r="N52" i="64"/>
  <c r="T52" i="64"/>
  <c r="AI52" i="64"/>
  <c r="AK52" i="64"/>
  <c r="AN52" i="64"/>
  <c r="N56" i="64"/>
  <c r="T56" i="64"/>
  <c r="AI56" i="64"/>
  <c r="AK56" i="64"/>
  <c r="AN56" i="64"/>
  <c r="N58" i="64"/>
  <c r="T58" i="64"/>
  <c r="AI58" i="64"/>
  <c r="AK58" i="64"/>
  <c r="AN58" i="64"/>
  <c r="N60" i="64"/>
  <c r="T60" i="64"/>
  <c r="AI60" i="64"/>
  <c r="AK60" i="64"/>
  <c r="AN60" i="64"/>
  <c r="N62" i="64"/>
  <c r="T62" i="64"/>
  <c r="AI62" i="64"/>
  <c r="AK62" i="64"/>
  <c r="AN62" i="64"/>
  <c r="N64" i="64"/>
  <c r="T64" i="64"/>
  <c r="AI64" i="64"/>
  <c r="AK64" i="64"/>
  <c r="AN64" i="64"/>
  <c r="N66" i="64"/>
  <c r="T66" i="64"/>
  <c r="AI66" i="64"/>
  <c r="AK66" i="64"/>
  <c r="AN66" i="64"/>
  <c r="N68" i="64"/>
  <c r="T68" i="64"/>
  <c r="AI68" i="64"/>
  <c r="AK68" i="64"/>
  <c r="AN68" i="64"/>
  <c r="N70" i="64"/>
  <c r="T70" i="64"/>
  <c r="AI70" i="64"/>
  <c r="AK70" i="64"/>
  <c r="AN70" i="64"/>
  <c r="N72" i="64"/>
  <c r="T72" i="64"/>
  <c r="AI72" i="64"/>
  <c r="AK72" i="64"/>
  <c r="AN72" i="64"/>
  <c r="N74" i="64"/>
  <c r="T74" i="64"/>
  <c r="AI74" i="64"/>
  <c r="AK74" i="64"/>
  <c r="AN74" i="64"/>
  <c r="N76" i="64"/>
  <c r="T76" i="64"/>
  <c r="AI76" i="64"/>
  <c r="AK76" i="64"/>
  <c r="AN76" i="64"/>
  <c r="N78" i="64"/>
  <c r="T78" i="64"/>
  <c r="AI78" i="64"/>
  <c r="AK78" i="64"/>
  <c r="AN78" i="64"/>
  <c r="N80" i="64"/>
  <c r="T80" i="64"/>
  <c r="AI80" i="64"/>
  <c r="AK80" i="64"/>
  <c r="AN80" i="64"/>
  <c r="N82" i="64"/>
  <c r="T82" i="64"/>
  <c r="AI82" i="64"/>
  <c r="AK82" i="64"/>
  <c r="AN82" i="64"/>
  <c r="N84" i="64"/>
  <c r="T84" i="64"/>
  <c r="AI84" i="64"/>
  <c r="AK84" i="64"/>
  <c r="AN84" i="64"/>
  <c r="N86" i="64"/>
  <c r="T86" i="64"/>
  <c r="AI86" i="64"/>
  <c r="AK86" i="64"/>
  <c r="AN86" i="64"/>
  <c r="N88" i="64"/>
  <c r="T88" i="64"/>
  <c r="AI88" i="64"/>
  <c r="AK88" i="64"/>
  <c r="AN88" i="64"/>
  <c r="N90" i="64"/>
  <c r="T90" i="64"/>
  <c r="AI90" i="64"/>
  <c r="AK90" i="64"/>
  <c r="AN90" i="64"/>
  <c r="N92" i="64"/>
  <c r="T92" i="64"/>
  <c r="AI92" i="64"/>
  <c r="AK92" i="64"/>
  <c r="AN92" i="64"/>
  <c r="AJ473" i="110"/>
  <c r="AJ474" i="110"/>
  <c r="AJ475" i="110"/>
  <c r="AJ476" i="110"/>
  <c r="AJ477" i="110"/>
  <c r="AJ478" i="110"/>
  <c r="AJ479" i="110"/>
  <c r="AJ480" i="110"/>
  <c r="AJ481" i="110"/>
  <c r="AJ482" i="110"/>
  <c r="AJ483" i="110"/>
  <c r="AJ484" i="110"/>
  <c r="AJ485" i="110"/>
  <c r="AJ486" i="110"/>
  <c r="AJ437" i="110"/>
  <c r="AD473" i="110"/>
  <c r="AD474" i="110"/>
  <c r="AD475" i="110"/>
  <c r="AD476" i="110"/>
  <c r="AD477" i="110"/>
  <c r="AD478" i="110"/>
  <c r="AD479" i="110"/>
  <c r="AD480" i="110"/>
  <c r="AD481" i="110"/>
  <c r="AD482" i="110"/>
  <c r="AD483" i="110"/>
  <c r="AD484" i="110"/>
  <c r="AD485" i="110"/>
  <c r="AD486" i="110"/>
  <c r="AD437" i="110"/>
  <c r="O18" i="13"/>
  <c r="O26" i="13"/>
  <c r="O28" i="13"/>
  <c r="BH28" i="13" s="1"/>
  <c r="O30" i="13"/>
  <c r="O32" i="13"/>
  <c r="O34" i="13"/>
  <c r="O36" i="13"/>
  <c r="O38" i="13"/>
  <c r="O40" i="13"/>
  <c r="O42" i="13"/>
  <c r="O44" i="13"/>
  <c r="O46" i="13"/>
  <c r="O48" i="13"/>
  <c r="O50" i="13"/>
  <c r="O52" i="13"/>
  <c r="O54" i="13"/>
  <c r="O56" i="13"/>
  <c r="O58" i="13"/>
  <c r="O60" i="13"/>
  <c r="AB32" i="71"/>
  <c r="AB30" i="71"/>
  <c r="H444" i="110" s="1"/>
  <c r="AB28" i="71"/>
  <c r="AF28" i="71"/>
  <c r="AH28" i="71" s="1"/>
  <c r="AB26" i="71"/>
  <c r="AF26" i="71" s="1"/>
  <c r="AB24" i="71"/>
  <c r="AF24" i="71"/>
  <c r="AB22" i="71"/>
  <c r="AB91" i="110"/>
  <c r="AO91" i="110" s="1"/>
  <c r="AB92" i="110"/>
  <c r="AO92" i="110" s="1"/>
  <c r="AB93" i="110"/>
  <c r="AO93" i="110" s="1"/>
  <c r="AB94" i="110"/>
  <c r="AO94" i="110" s="1"/>
  <c r="AB95" i="110"/>
  <c r="AO95" i="110" s="1"/>
  <c r="AB96" i="110"/>
  <c r="AO96" i="110" s="1"/>
  <c r="AB97" i="110"/>
  <c r="AO97" i="110" s="1"/>
  <c r="AB98" i="110"/>
  <c r="AO98" i="110" s="1"/>
  <c r="AB99" i="110"/>
  <c r="AO99" i="110" s="1"/>
  <c r="AB100" i="110"/>
  <c r="AO100" i="110" s="1"/>
  <c r="AB101" i="110"/>
  <c r="AO101" i="110" s="1"/>
  <c r="AB102" i="110"/>
  <c r="AO102" i="110" s="1"/>
  <c r="AB103" i="110"/>
  <c r="AO103" i="110" s="1"/>
  <c r="AB55" i="110"/>
  <c r="AO55" i="110" s="1"/>
  <c r="AU2" i="110"/>
  <c r="AK394" i="110"/>
  <c r="BZ2" i="110"/>
  <c r="BY2" i="110"/>
  <c r="M200" i="80"/>
  <c r="BB16" i="69"/>
  <c r="AV6" i="70"/>
  <c r="AV6" i="113"/>
  <c r="AV6" i="66"/>
  <c r="AV6" i="65"/>
  <c r="AV6" i="64"/>
  <c r="AV6" i="63"/>
  <c r="AV6" i="62"/>
  <c r="AV6" i="12"/>
  <c r="AN26" i="65"/>
  <c r="AN28" i="65"/>
  <c r="AN30" i="65"/>
  <c r="H181" i="110" s="1"/>
  <c r="AN32" i="65"/>
  <c r="AN34" i="65"/>
  <c r="AN18" i="65"/>
  <c r="AN28" i="64"/>
  <c r="AN32" i="64"/>
  <c r="M267" i="110"/>
  <c r="M268" i="110"/>
  <c r="M269" i="110"/>
  <c r="M270" i="110"/>
  <c r="M271" i="110"/>
  <c r="M272" i="110"/>
  <c r="M273" i="110"/>
  <c r="M274" i="110"/>
  <c r="M275" i="110"/>
  <c r="M276" i="110"/>
  <c r="P276" i="110"/>
  <c r="R276" i="110"/>
  <c r="C276" i="110" s="1"/>
  <c r="B276" i="110" s="1"/>
  <c r="W276" i="110"/>
  <c r="M277" i="110"/>
  <c r="P277" i="110"/>
  <c r="R277" i="110"/>
  <c r="C277" i="110" s="1"/>
  <c r="B277" i="110" s="1"/>
  <c r="W277" i="110"/>
  <c r="M278" i="110"/>
  <c r="P278" i="110"/>
  <c r="R278" i="110"/>
  <c r="C278" i="110" s="1"/>
  <c r="B278" i="110" s="1"/>
  <c r="W278" i="110"/>
  <c r="M279" i="110"/>
  <c r="P279" i="110"/>
  <c r="R279" i="110"/>
  <c r="C279" i="110" s="1"/>
  <c r="B279" i="110" s="1"/>
  <c r="W279" i="110"/>
  <c r="M280" i="110"/>
  <c r="P280" i="110"/>
  <c r="R280" i="110"/>
  <c r="C280" i="110" s="1"/>
  <c r="B280" i="110" s="1"/>
  <c r="W280" i="110"/>
  <c r="M266" i="110"/>
  <c r="M251" i="110"/>
  <c r="M252" i="110"/>
  <c r="M253" i="110"/>
  <c r="M254" i="110"/>
  <c r="M255" i="110"/>
  <c r="M256" i="110"/>
  <c r="M257" i="110"/>
  <c r="M258" i="110"/>
  <c r="M259" i="110"/>
  <c r="M260" i="110"/>
  <c r="M261" i="110"/>
  <c r="M262" i="110"/>
  <c r="M263" i="110"/>
  <c r="AN20" i="113"/>
  <c r="AN22" i="113"/>
  <c r="AN24" i="113"/>
  <c r="AN26" i="113"/>
  <c r="AN28" i="113"/>
  <c r="H272" i="110" s="1"/>
  <c r="AN30" i="113"/>
  <c r="AN32" i="113"/>
  <c r="AN34" i="113"/>
  <c r="AN18" i="113"/>
  <c r="H267" i="110" s="1"/>
  <c r="W217" i="110"/>
  <c r="R219" i="110"/>
  <c r="C219" i="110" s="1"/>
  <c r="B219" i="110" s="1"/>
  <c r="W220" i="110"/>
  <c r="R223" i="110"/>
  <c r="C223" i="110" s="1"/>
  <c r="B223" i="110" s="1"/>
  <c r="M175" i="110"/>
  <c r="M176" i="110"/>
  <c r="M177" i="110"/>
  <c r="M178" i="110"/>
  <c r="M179" i="110"/>
  <c r="M180" i="110"/>
  <c r="M181" i="110"/>
  <c r="M182" i="110"/>
  <c r="M183" i="110"/>
  <c r="M186" i="110"/>
  <c r="M158" i="110"/>
  <c r="M159" i="110"/>
  <c r="M160" i="110"/>
  <c r="M161" i="110"/>
  <c r="M162" i="110"/>
  <c r="M163" i="110"/>
  <c r="M164" i="110"/>
  <c r="M165" i="110"/>
  <c r="M166" i="110"/>
  <c r="M167" i="110"/>
  <c r="M142" i="110"/>
  <c r="M143" i="110"/>
  <c r="M144" i="110"/>
  <c r="M145" i="110"/>
  <c r="M146" i="110"/>
  <c r="M147" i="110"/>
  <c r="M148" i="110"/>
  <c r="M149" i="110"/>
  <c r="M150" i="110"/>
  <c r="M151" i="110"/>
  <c r="M152" i="110"/>
  <c r="M153" i="110"/>
  <c r="M154" i="110"/>
  <c r="M157" i="110"/>
  <c r="F26" i="70"/>
  <c r="F24" i="70"/>
  <c r="Y24" i="70" s="1"/>
  <c r="F22" i="70"/>
  <c r="Z75" i="111"/>
  <c r="Q75" i="111"/>
  <c r="H75" i="111"/>
  <c r="Z74" i="111"/>
  <c r="Q74" i="111"/>
  <c r="H74" i="111"/>
  <c r="Z73" i="111"/>
  <c r="Q73" i="111"/>
  <c r="H73" i="111"/>
  <c r="Z72" i="111"/>
  <c r="Q72" i="111"/>
  <c r="H72" i="111"/>
  <c r="Z71" i="111"/>
  <c r="Q71" i="111"/>
  <c r="H71" i="111"/>
  <c r="Z70" i="111"/>
  <c r="Q70" i="111"/>
  <c r="H70" i="111"/>
  <c r="Z69" i="111"/>
  <c r="Q69" i="111"/>
  <c r="H69" i="111"/>
  <c r="Z68" i="111"/>
  <c r="Q68" i="111"/>
  <c r="H68" i="111"/>
  <c r="Z67" i="111"/>
  <c r="Q67" i="111"/>
  <c r="H67" i="111"/>
  <c r="Z66" i="111"/>
  <c r="Q66" i="111"/>
  <c r="H66" i="111"/>
  <c r="Z65" i="111"/>
  <c r="Q65" i="111"/>
  <c r="H65" i="111"/>
  <c r="Z64" i="111"/>
  <c r="Q64" i="111"/>
  <c r="H64" i="111"/>
  <c r="Z63" i="111"/>
  <c r="Q63" i="111"/>
  <c r="H63" i="111"/>
  <c r="Z62" i="111"/>
  <c r="Q62" i="111"/>
  <c r="H62" i="111"/>
  <c r="Z61" i="111"/>
  <c r="Q61" i="111"/>
  <c r="H61" i="111"/>
  <c r="Z60" i="111"/>
  <c r="Q60" i="111"/>
  <c r="H60" i="111"/>
  <c r="Z59" i="111"/>
  <c r="Q59" i="111"/>
  <c r="H59" i="111"/>
  <c r="Z58" i="111"/>
  <c r="Q58" i="111"/>
  <c r="H58" i="111"/>
  <c r="Z57" i="111"/>
  <c r="Q57" i="111"/>
  <c r="H57" i="111"/>
  <c r="Z56" i="111"/>
  <c r="Q56" i="111"/>
  <c r="H56" i="111"/>
  <c r="Z55" i="111"/>
  <c r="Q55" i="111"/>
  <c r="H55" i="111"/>
  <c r="Z54" i="111"/>
  <c r="Q54" i="111"/>
  <c r="H54" i="111"/>
  <c r="Z53" i="111"/>
  <c r="Q53" i="111"/>
  <c r="H53" i="111"/>
  <c r="Z52" i="111"/>
  <c r="Q52" i="111"/>
  <c r="H52" i="111"/>
  <c r="Z51" i="111"/>
  <c r="Q51" i="111"/>
  <c r="H51" i="111"/>
  <c r="Z50" i="111"/>
  <c r="Q50" i="111"/>
  <c r="H50" i="111"/>
  <c r="Z49" i="111"/>
  <c r="Q49" i="111"/>
  <c r="H49" i="111"/>
  <c r="Z48" i="111"/>
  <c r="Q48" i="111"/>
  <c r="H48" i="111"/>
  <c r="Z47" i="111"/>
  <c r="Q47" i="111"/>
  <c r="Q76" i="111" s="1"/>
  <c r="H47" i="111"/>
  <c r="Z46" i="111"/>
  <c r="Z76" i="111" s="1"/>
  <c r="Q46" i="111"/>
  <c r="H46" i="111"/>
  <c r="H76" i="111" s="1"/>
  <c r="U28" i="81"/>
  <c r="U27" i="81"/>
  <c r="Y14" i="81"/>
  <c r="F16" i="70"/>
  <c r="AH386" i="110"/>
  <c r="AG386" i="110"/>
  <c r="BW2" i="110"/>
  <c r="M200" i="78"/>
  <c r="AH49" i="79"/>
  <c r="CB2" i="110"/>
  <c r="X21" i="78"/>
  <c r="J21" i="78"/>
  <c r="AC18" i="78"/>
  <c r="O43" i="78"/>
  <c r="AD251" i="110"/>
  <c r="AD252" i="110"/>
  <c r="AD253" i="110"/>
  <c r="AD254" i="110"/>
  <c r="AD255" i="110"/>
  <c r="AD256" i="110"/>
  <c r="AD257" i="110"/>
  <c r="AD258" i="110"/>
  <c r="AD259" i="110"/>
  <c r="AD260" i="110"/>
  <c r="AD261" i="110"/>
  <c r="AD262" i="110"/>
  <c r="AD263" i="110"/>
  <c r="AD215" i="110"/>
  <c r="M215" i="110"/>
  <c r="W32" i="78"/>
  <c r="P32" i="78"/>
  <c r="W31" i="78"/>
  <c r="P31" i="78"/>
  <c r="W30" i="78"/>
  <c r="P30" i="78"/>
  <c r="AD27" i="78"/>
  <c r="AD26" i="78"/>
  <c r="AD25" i="78"/>
  <c r="AD24" i="78"/>
  <c r="AC19" i="79"/>
  <c r="X22" i="79"/>
  <c r="AD26" i="79"/>
  <c r="AD25" i="79"/>
  <c r="AD28" i="79"/>
  <c r="AD27" i="79"/>
  <c r="M200" i="79"/>
  <c r="F20" i="70"/>
  <c r="Z38" i="111"/>
  <c r="Z37" i="111"/>
  <c r="Z36" i="111"/>
  <c r="Z35" i="111"/>
  <c r="Z34" i="111"/>
  <c r="Z33" i="111"/>
  <c r="Z32" i="111"/>
  <c r="Z31" i="111"/>
  <c r="Z30" i="111"/>
  <c r="Z29" i="111"/>
  <c r="Z28" i="111"/>
  <c r="Z27" i="111"/>
  <c r="Z26" i="111"/>
  <c r="Z25" i="111"/>
  <c r="Z24" i="111"/>
  <c r="Z23" i="111"/>
  <c r="Z22" i="111"/>
  <c r="Z21" i="111"/>
  <c r="Z20" i="111"/>
  <c r="Z19" i="111"/>
  <c r="Z18" i="111"/>
  <c r="Z17" i="111"/>
  <c r="Z16" i="111"/>
  <c r="Z15" i="111"/>
  <c r="Z14" i="111"/>
  <c r="Z13" i="111"/>
  <c r="Z12" i="111"/>
  <c r="Z39" i="111" s="1"/>
  <c r="Z11" i="111"/>
  <c r="Z10" i="111"/>
  <c r="Z9" i="111"/>
  <c r="H10" i="111"/>
  <c r="H11" i="111"/>
  <c r="H12" i="111"/>
  <c r="H13" i="111"/>
  <c r="H14" i="111"/>
  <c r="H15" i="111"/>
  <c r="H16" i="111"/>
  <c r="H17" i="111"/>
  <c r="H18" i="111"/>
  <c r="H19" i="111"/>
  <c r="H20" i="111"/>
  <c r="H21" i="111"/>
  <c r="H22" i="111"/>
  <c r="H23" i="111"/>
  <c r="H24" i="111"/>
  <c r="H25" i="111"/>
  <c r="H26" i="111"/>
  <c r="H27" i="111"/>
  <c r="H28" i="111"/>
  <c r="H29" i="111"/>
  <c r="H30" i="111"/>
  <c r="H31" i="111"/>
  <c r="H32" i="111"/>
  <c r="H33" i="111"/>
  <c r="H34" i="111"/>
  <c r="H35" i="111"/>
  <c r="H36" i="111"/>
  <c r="H37" i="111"/>
  <c r="H38" i="111"/>
  <c r="H9" i="111"/>
  <c r="Q10" i="111"/>
  <c r="Q11" i="111"/>
  <c r="Q12" i="111"/>
  <c r="Q13" i="111"/>
  <c r="Q14" i="111"/>
  <c r="Q15" i="111"/>
  <c r="Q16" i="111"/>
  <c r="Q17" i="111"/>
  <c r="Q18" i="111"/>
  <c r="Q19" i="111"/>
  <c r="Q20" i="111"/>
  <c r="Q21" i="111"/>
  <c r="Q22" i="111"/>
  <c r="Q23" i="111"/>
  <c r="Q24" i="111"/>
  <c r="Q25" i="111"/>
  <c r="Q26" i="111"/>
  <c r="Q27" i="111"/>
  <c r="Q28" i="111"/>
  <c r="Q29" i="111"/>
  <c r="Q30" i="111"/>
  <c r="Q31" i="111"/>
  <c r="Q32" i="111"/>
  <c r="Q33" i="111"/>
  <c r="Q34" i="111"/>
  <c r="Q35" i="111"/>
  <c r="Q36" i="111"/>
  <c r="Q37" i="111"/>
  <c r="Q38" i="111"/>
  <c r="Q9" i="111"/>
  <c r="F18" i="70"/>
  <c r="AI473" i="110"/>
  <c r="AI474" i="110"/>
  <c r="AI475" i="110"/>
  <c r="AI476" i="110"/>
  <c r="AI477" i="110"/>
  <c r="AI478" i="110"/>
  <c r="AI479" i="110"/>
  <c r="AI480" i="110"/>
  <c r="AI481" i="110"/>
  <c r="AI482" i="110"/>
  <c r="AI483" i="110"/>
  <c r="AI484" i="110"/>
  <c r="AI485" i="110"/>
  <c r="AI486" i="110"/>
  <c r="AI437" i="110"/>
  <c r="AB473" i="110"/>
  <c r="AB474" i="110"/>
  <c r="AB475" i="110"/>
  <c r="AB476" i="110"/>
  <c r="AB477" i="110"/>
  <c r="AB478" i="110"/>
  <c r="AB479" i="110"/>
  <c r="AB480" i="110"/>
  <c r="AB481" i="110"/>
  <c r="AB482" i="110"/>
  <c r="AB483" i="110"/>
  <c r="AB484" i="110"/>
  <c r="AB485" i="110"/>
  <c r="AB486" i="110"/>
  <c r="AB437" i="110"/>
  <c r="AD386" i="110"/>
  <c r="AC386" i="110"/>
  <c r="AB386" i="110"/>
  <c r="Z386" i="110"/>
  <c r="AH22" i="69"/>
  <c r="BF22" i="69" s="1"/>
  <c r="AD267" i="110"/>
  <c r="AD268" i="110"/>
  <c r="AD269" i="110"/>
  <c r="AD270" i="110"/>
  <c r="AD271" i="110"/>
  <c r="AD272" i="110"/>
  <c r="AD273" i="110"/>
  <c r="AD274" i="110"/>
  <c r="AD275" i="110"/>
  <c r="AD276" i="110"/>
  <c r="AD277" i="110"/>
  <c r="AD278" i="110"/>
  <c r="AD279" i="110"/>
  <c r="AD280" i="110"/>
  <c r="AD266" i="110"/>
  <c r="AB267" i="110"/>
  <c r="AO267" i="110" s="1"/>
  <c r="AB268" i="110"/>
  <c r="AO268" i="110" s="1"/>
  <c r="AB269" i="110"/>
  <c r="AO269" i="110" s="1"/>
  <c r="AB270" i="110"/>
  <c r="AO270" i="110" s="1"/>
  <c r="AB271" i="110"/>
  <c r="AO271" i="110" s="1"/>
  <c r="AB272" i="110"/>
  <c r="AO272" i="110" s="1"/>
  <c r="AB273" i="110"/>
  <c r="AO273" i="110" s="1"/>
  <c r="AB274" i="110"/>
  <c r="AO274" i="110" s="1"/>
  <c r="AB275" i="110"/>
  <c r="AO275" i="110" s="1"/>
  <c r="AB276" i="110"/>
  <c r="AO276" i="110" s="1"/>
  <c r="AB277" i="110"/>
  <c r="AO277" i="110" s="1"/>
  <c r="AB278" i="110"/>
  <c r="AO278" i="110" s="1"/>
  <c r="AB279" i="110"/>
  <c r="AO279" i="110" s="1"/>
  <c r="AB280" i="110"/>
  <c r="AO280" i="110" s="1"/>
  <c r="AB266" i="110"/>
  <c r="AO266" i="110" s="1"/>
  <c r="AA276" i="110"/>
  <c r="AA277" i="110"/>
  <c r="AA278" i="110"/>
  <c r="AA279" i="110"/>
  <c r="AA280" i="110"/>
  <c r="Z267" i="110"/>
  <c r="Z268" i="110"/>
  <c r="Z269" i="110"/>
  <c r="Z270" i="110"/>
  <c r="Z271" i="110"/>
  <c r="Z272" i="110"/>
  <c r="Z273" i="110"/>
  <c r="Z274" i="110"/>
  <c r="Z275" i="110"/>
  <c r="Z276" i="110"/>
  <c r="Z277" i="110"/>
  <c r="Z278" i="110"/>
  <c r="Z279" i="110"/>
  <c r="Z280" i="110"/>
  <c r="Z266" i="110"/>
  <c r="G267" i="110"/>
  <c r="G268" i="110"/>
  <c r="G269" i="110"/>
  <c r="G270" i="110"/>
  <c r="G271" i="110"/>
  <c r="G272" i="110"/>
  <c r="G273" i="110"/>
  <c r="G274" i="110"/>
  <c r="G275" i="110"/>
  <c r="G276" i="110"/>
  <c r="G277" i="110"/>
  <c r="G278" i="110"/>
  <c r="G279" i="110"/>
  <c r="G280" i="110"/>
  <c r="G266" i="110"/>
  <c r="A265" i="110"/>
  <c r="A280" i="110"/>
  <c r="A279" i="110"/>
  <c r="A278" i="110"/>
  <c r="A277" i="110"/>
  <c r="A276" i="110"/>
  <c r="A275" i="110"/>
  <c r="A274" i="110"/>
  <c r="A273" i="110"/>
  <c r="A272" i="110"/>
  <c r="A271" i="110"/>
  <c r="A270" i="110"/>
  <c r="A269" i="110"/>
  <c r="A268" i="110"/>
  <c r="A267" i="110"/>
  <c r="A266" i="110"/>
  <c r="Z360" i="110"/>
  <c r="AB310" i="110"/>
  <c r="AB311" i="110"/>
  <c r="AB312" i="110"/>
  <c r="AB313" i="110"/>
  <c r="AB314" i="110"/>
  <c r="AB309" i="110"/>
  <c r="AA310" i="110"/>
  <c r="AA311" i="110"/>
  <c r="AA312" i="110"/>
  <c r="AA313" i="110"/>
  <c r="AA314" i="110"/>
  <c r="AA309" i="110"/>
  <c r="AB251" i="110"/>
  <c r="AO251" i="110" s="1"/>
  <c r="AB252" i="110"/>
  <c r="AO252" i="110" s="1"/>
  <c r="AB253" i="110"/>
  <c r="AO253" i="110" s="1"/>
  <c r="AB254" i="110"/>
  <c r="AO254" i="110" s="1"/>
  <c r="AB255" i="110"/>
  <c r="AO255" i="110" s="1"/>
  <c r="AB256" i="110"/>
  <c r="AO256" i="110" s="1"/>
  <c r="AB257" i="110"/>
  <c r="AO257" i="110" s="1"/>
  <c r="AB258" i="110"/>
  <c r="AO258" i="110" s="1"/>
  <c r="AB259" i="110"/>
  <c r="AO259" i="110" s="1"/>
  <c r="AB260" i="110"/>
  <c r="AO260" i="110" s="1"/>
  <c r="AB261" i="110"/>
  <c r="AO261" i="110" s="1"/>
  <c r="AB262" i="110"/>
  <c r="AO262" i="110" s="1"/>
  <c r="AB263" i="110"/>
  <c r="AO263" i="110" s="1"/>
  <c r="AB215" i="110"/>
  <c r="AO215" i="110" s="1"/>
  <c r="AB175" i="110"/>
  <c r="AO175" i="110" s="1"/>
  <c r="AB176" i="110"/>
  <c r="AO176" i="110" s="1"/>
  <c r="AB177" i="110"/>
  <c r="AO177" i="110" s="1"/>
  <c r="AB178" i="110"/>
  <c r="AO178" i="110" s="1"/>
  <c r="AB179" i="110"/>
  <c r="AO179" i="110" s="1"/>
  <c r="AB180" i="110"/>
  <c r="AO180" i="110" s="1"/>
  <c r="AB181" i="110"/>
  <c r="AO181" i="110" s="1"/>
  <c r="AB182" i="110"/>
  <c r="AO182" i="110" s="1"/>
  <c r="AB183" i="110"/>
  <c r="AO183" i="110" s="1"/>
  <c r="AB186" i="110"/>
  <c r="AO186" i="110" s="1"/>
  <c r="AB174" i="110"/>
  <c r="AO174" i="110" s="1"/>
  <c r="AB158" i="110"/>
  <c r="AO158" i="110" s="1"/>
  <c r="AB159" i="110"/>
  <c r="AO159" i="110" s="1"/>
  <c r="AB160" i="110"/>
  <c r="AO160" i="110" s="1"/>
  <c r="AB161" i="110"/>
  <c r="AO161" i="110" s="1"/>
  <c r="AB162" i="110"/>
  <c r="AO162" i="110" s="1"/>
  <c r="AB163" i="110"/>
  <c r="AO163" i="110" s="1"/>
  <c r="AB164" i="110"/>
  <c r="AO164" i="110" s="1"/>
  <c r="AB165" i="110"/>
  <c r="AO165" i="110" s="1"/>
  <c r="AB166" i="110"/>
  <c r="AO166" i="110" s="1"/>
  <c r="AO167" i="110"/>
  <c r="AB168" i="110"/>
  <c r="AO168" i="110" s="1"/>
  <c r="AB157" i="110"/>
  <c r="AO157" i="110" s="1"/>
  <c r="U30" i="81"/>
  <c r="AU16" i="113"/>
  <c r="K266" i="110" s="1"/>
  <c r="AU20" i="113"/>
  <c r="K268" i="110" s="1"/>
  <c r="AU22" i="113"/>
  <c r="K269" i="110" s="1"/>
  <c r="AU24" i="113"/>
  <c r="K270" i="110" s="1"/>
  <c r="AU26" i="113"/>
  <c r="K271" i="110" s="1"/>
  <c r="AU28" i="113"/>
  <c r="K272" i="110" s="1"/>
  <c r="AU30" i="113"/>
  <c r="K273" i="110" s="1"/>
  <c r="AU32" i="113"/>
  <c r="K274" i="110" s="1"/>
  <c r="AU34" i="113"/>
  <c r="K275" i="110" s="1"/>
  <c r="AU18" i="113"/>
  <c r="K267" i="110" s="1"/>
  <c r="AB106" i="110"/>
  <c r="AB142" i="110"/>
  <c r="AO142" i="110" s="1"/>
  <c r="AB143" i="110"/>
  <c r="AO143" i="110" s="1"/>
  <c r="AB144" i="110"/>
  <c r="AO144" i="110" s="1"/>
  <c r="AB145" i="110"/>
  <c r="AO145" i="110" s="1"/>
  <c r="AB146" i="110"/>
  <c r="AO146" i="110" s="1"/>
  <c r="AB147" i="110"/>
  <c r="AO147" i="110" s="1"/>
  <c r="AB148" i="110"/>
  <c r="AO148" i="110" s="1"/>
  <c r="AB149" i="110"/>
  <c r="AO149" i="110" s="1"/>
  <c r="AB150" i="110"/>
  <c r="AO150" i="110" s="1"/>
  <c r="AB151" i="110"/>
  <c r="AO151" i="110" s="1"/>
  <c r="AB152" i="110"/>
  <c r="AO152" i="110" s="1"/>
  <c r="AB153" i="110"/>
  <c r="AO153" i="110" s="1"/>
  <c r="AB154" i="110"/>
  <c r="AO154" i="110" s="1"/>
  <c r="G30" i="81"/>
  <c r="L16" i="81"/>
  <c r="G16" i="81"/>
  <c r="BA20" i="71"/>
  <c r="BA22" i="71"/>
  <c r="BA24" i="71"/>
  <c r="BA26" i="71"/>
  <c r="BA28" i="71"/>
  <c r="BA30" i="71"/>
  <c r="BA32" i="71"/>
  <c r="BA16" i="71"/>
  <c r="BA18" i="71"/>
  <c r="N9" i="69"/>
  <c r="R9" i="70"/>
  <c r="M200" i="81"/>
  <c r="M200" i="76"/>
  <c r="M200" i="14"/>
  <c r="M200" i="71"/>
  <c r="M200" i="70"/>
  <c r="M200" i="69"/>
  <c r="M200" i="13"/>
  <c r="M200" i="113"/>
  <c r="M200" i="66"/>
  <c r="M200" i="65"/>
  <c r="M200" i="64"/>
  <c r="M200" i="63"/>
  <c r="M200" i="62"/>
  <c r="M200" i="12"/>
  <c r="M200" i="56"/>
  <c r="M200" i="57"/>
  <c r="M200" i="55"/>
  <c r="M200" i="51"/>
  <c r="M200" i="50"/>
  <c r="M200" i="49"/>
  <c r="R9" i="113"/>
  <c r="AR202" i="113"/>
  <c r="W202" i="113"/>
  <c r="B201" i="113"/>
  <c r="B200" i="113"/>
  <c r="B1" i="3"/>
  <c r="AR200" i="8"/>
  <c r="AR200" i="118" s="1"/>
  <c r="U31" i="81"/>
  <c r="AI28" i="81"/>
  <c r="AI27" i="81"/>
  <c r="AI24" i="81"/>
  <c r="AN23" i="81"/>
  <c r="AI23" i="81"/>
  <c r="AI22" i="81"/>
  <c r="G28" i="81"/>
  <c r="G27" i="81"/>
  <c r="G24" i="81"/>
  <c r="L23" i="81"/>
  <c r="G23" i="81"/>
  <c r="G22" i="81"/>
  <c r="R21" i="76"/>
  <c r="CE2" i="110"/>
  <c r="X28" i="51"/>
  <c r="J28" i="51"/>
  <c r="X27" i="51"/>
  <c r="J27" i="51"/>
  <c r="X26" i="51"/>
  <c r="J26" i="51"/>
  <c r="X25" i="51"/>
  <c r="J25" i="51"/>
  <c r="X24" i="51"/>
  <c r="J24" i="51"/>
  <c r="X23" i="51"/>
  <c r="J23" i="51"/>
  <c r="X22" i="51"/>
  <c r="J22" i="51"/>
  <c r="X21" i="51"/>
  <c r="J21" i="51"/>
  <c r="X20" i="51"/>
  <c r="J20" i="51"/>
  <c r="X19" i="51"/>
  <c r="J19" i="51"/>
  <c r="X18" i="51"/>
  <c r="J18" i="51"/>
  <c r="CK2" i="110"/>
  <c r="W28" i="79"/>
  <c r="Z24" i="81"/>
  <c r="U24" i="81"/>
  <c r="W26" i="79"/>
  <c r="AC310" i="110"/>
  <c r="AD310" i="110"/>
  <c r="AC311" i="110"/>
  <c r="AD311" i="110"/>
  <c r="AC312" i="110"/>
  <c r="AD312" i="110"/>
  <c r="AC313" i="110"/>
  <c r="AD313" i="110"/>
  <c r="AC314" i="110"/>
  <c r="AD314" i="110"/>
  <c r="AD309" i="110"/>
  <c r="AC309" i="110"/>
  <c r="Z310" i="110"/>
  <c r="Z311" i="110"/>
  <c r="Z312" i="110"/>
  <c r="Z313" i="110"/>
  <c r="Z314" i="110"/>
  <c r="G310" i="110"/>
  <c r="G311" i="110"/>
  <c r="G312" i="110"/>
  <c r="G313" i="110"/>
  <c r="G314" i="110"/>
  <c r="G309" i="110"/>
  <c r="A310" i="110"/>
  <c r="A311" i="110"/>
  <c r="A312" i="110"/>
  <c r="A313" i="110"/>
  <c r="A314" i="110"/>
  <c r="F310" i="110"/>
  <c r="F311" i="110"/>
  <c r="F312" i="110"/>
  <c r="F313" i="110"/>
  <c r="F314" i="110"/>
  <c r="F309" i="110"/>
  <c r="A361" i="110"/>
  <c r="Z473" i="110"/>
  <c r="Z474" i="110"/>
  <c r="Z475" i="110"/>
  <c r="Z476" i="110"/>
  <c r="Z477" i="110"/>
  <c r="Z478" i="110"/>
  <c r="Z479" i="110"/>
  <c r="Z480" i="110"/>
  <c r="Z481" i="110"/>
  <c r="Z482" i="110"/>
  <c r="Z483" i="110"/>
  <c r="Z484" i="110"/>
  <c r="Z485" i="110"/>
  <c r="Z486" i="110"/>
  <c r="R9" i="62"/>
  <c r="N22" i="70"/>
  <c r="W202" i="50"/>
  <c r="P6" i="109"/>
  <c r="W6" i="109"/>
  <c r="P8" i="109"/>
  <c r="Q8" i="109"/>
  <c r="P7" i="109"/>
  <c r="Q7" i="109"/>
  <c r="R7" i="109"/>
  <c r="U39" i="81"/>
  <c r="W7" i="109"/>
  <c r="X7" i="109"/>
  <c r="AD103" i="110"/>
  <c r="Z103" i="110"/>
  <c r="G103" i="110"/>
  <c r="AD102" i="110"/>
  <c r="Z102" i="110"/>
  <c r="G102" i="110"/>
  <c r="AD101" i="110"/>
  <c r="Z101" i="110"/>
  <c r="G101" i="110"/>
  <c r="AD100" i="110"/>
  <c r="Z100" i="110"/>
  <c r="G100" i="110"/>
  <c r="AD99" i="110"/>
  <c r="Z99" i="110"/>
  <c r="G99" i="110"/>
  <c r="AD98" i="110"/>
  <c r="Z98" i="110"/>
  <c r="G98" i="110"/>
  <c r="AD97" i="110"/>
  <c r="Z97" i="110"/>
  <c r="G97" i="110"/>
  <c r="AD96" i="110"/>
  <c r="Z96" i="110"/>
  <c r="G96" i="110"/>
  <c r="AD95" i="110"/>
  <c r="Z95" i="110"/>
  <c r="G95" i="110"/>
  <c r="AD94" i="110"/>
  <c r="Z94" i="110"/>
  <c r="G94" i="110"/>
  <c r="AD93" i="110"/>
  <c r="Z93" i="110"/>
  <c r="G93" i="110"/>
  <c r="AD92" i="110"/>
  <c r="Z92" i="110"/>
  <c r="G92" i="110"/>
  <c r="AD91" i="110"/>
  <c r="Z91" i="110"/>
  <c r="G91" i="110"/>
  <c r="AD55" i="110"/>
  <c r="Z55" i="110"/>
  <c r="G55" i="110"/>
  <c r="A91" i="110"/>
  <c r="A92" i="110"/>
  <c r="A93" i="110"/>
  <c r="A94" i="110"/>
  <c r="A95" i="110"/>
  <c r="A96" i="110"/>
  <c r="A97" i="110"/>
  <c r="A98" i="110"/>
  <c r="A99" i="110"/>
  <c r="A100" i="110"/>
  <c r="A101" i="110"/>
  <c r="A102" i="110"/>
  <c r="A103" i="110"/>
  <c r="A55" i="110"/>
  <c r="K114" i="110"/>
  <c r="K113" i="110"/>
  <c r="K112" i="110"/>
  <c r="K111" i="110"/>
  <c r="K110" i="110"/>
  <c r="AR202" i="62"/>
  <c r="W202" i="62"/>
  <c r="B201" i="62"/>
  <c r="B200" i="62"/>
  <c r="K55" i="110"/>
  <c r="X42" i="78"/>
  <c r="AB49" i="79"/>
  <c r="AB44" i="79"/>
  <c r="W33" i="79"/>
  <c r="P33" i="79"/>
  <c r="W32" i="79"/>
  <c r="P32" i="79"/>
  <c r="W31" i="79"/>
  <c r="P31" i="79"/>
  <c r="J22" i="79"/>
  <c r="A436" i="110"/>
  <c r="A385" i="110"/>
  <c r="A359" i="110"/>
  <c r="A308" i="110"/>
  <c r="A251" i="110"/>
  <c r="G251" i="110"/>
  <c r="Z251" i="110"/>
  <c r="A252" i="110"/>
  <c r="G252" i="110"/>
  <c r="Z252" i="110"/>
  <c r="A253" i="110"/>
  <c r="G253" i="110"/>
  <c r="Z253" i="110"/>
  <c r="A254" i="110"/>
  <c r="G254" i="110"/>
  <c r="Z254" i="110"/>
  <c r="A255" i="110"/>
  <c r="G255" i="110"/>
  <c r="Z255" i="110"/>
  <c r="A256" i="110"/>
  <c r="G256" i="110"/>
  <c r="Z256" i="110"/>
  <c r="A257" i="110"/>
  <c r="G257" i="110"/>
  <c r="Z257" i="110"/>
  <c r="A258" i="110"/>
  <c r="G258" i="110"/>
  <c r="Z258" i="110"/>
  <c r="A259" i="110"/>
  <c r="G259" i="110"/>
  <c r="Z259" i="110"/>
  <c r="A260" i="110"/>
  <c r="G260" i="110"/>
  <c r="Z260" i="110"/>
  <c r="A261" i="110"/>
  <c r="G261" i="110"/>
  <c r="Z261" i="110"/>
  <c r="A262" i="110"/>
  <c r="G262" i="110"/>
  <c r="Z262" i="110"/>
  <c r="A263" i="110"/>
  <c r="G263" i="110"/>
  <c r="Z263" i="110"/>
  <c r="Z215" i="110"/>
  <c r="G215" i="110"/>
  <c r="A175" i="110"/>
  <c r="G175" i="110"/>
  <c r="A176" i="110"/>
  <c r="G176" i="110"/>
  <c r="A177" i="110"/>
  <c r="G177" i="110"/>
  <c r="A178" i="110"/>
  <c r="G178" i="110"/>
  <c r="A179" i="110"/>
  <c r="G179" i="110"/>
  <c r="A180" i="110"/>
  <c r="G180" i="110"/>
  <c r="A181" i="110"/>
  <c r="G181" i="110"/>
  <c r="A182" i="110"/>
  <c r="G182" i="110"/>
  <c r="A183" i="110"/>
  <c r="G183" i="110"/>
  <c r="A186" i="110"/>
  <c r="G186" i="110"/>
  <c r="A158" i="110"/>
  <c r="G158" i="110"/>
  <c r="A159" i="110"/>
  <c r="G159" i="110"/>
  <c r="A160" i="110"/>
  <c r="G160" i="110"/>
  <c r="A161" i="110"/>
  <c r="G161" i="110"/>
  <c r="A162" i="110"/>
  <c r="G162" i="110"/>
  <c r="A163" i="110"/>
  <c r="G163" i="110"/>
  <c r="A164" i="110"/>
  <c r="G164" i="110"/>
  <c r="A165" i="110"/>
  <c r="G165" i="110"/>
  <c r="A166" i="110"/>
  <c r="G166" i="110"/>
  <c r="A167" i="110"/>
  <c r="G167" i="110"/>
  <c r="A168" i="110"/>
  <c r="G168" i="110"/>
  <c r="A142" i="110"/>
  <c r="A143" i="110"/>
  <c r="A144" i="110"/>
  <c r="A145" i="110"/>
  <c r="A146" i="110"/>
  <c r="A147" i="110"/>
  <c r="A148" i="110"/>
  <c r="A149" i="110"/>
  <c r="A150" i="110"/>
  <c r="A151" i="110"/>
  <c r="A152" i="110"/>
  <c r="A153" i="110"/>
  <c r="A154" i="110"/>
  <c r="A215" i="110"/>
  <c r="A156" i="110"/>
  <c r="A105" i="110"/>
  <c r="A54" i="110"/>
  <c r="A3" i="110"/>
  <c r="K166" i="110"/>
  <c r="K165" i="110"/>
  <c r="K164" i="110"/>
  <c r="K163" i="110"/>
  <c r="K162" i="110"/>
  <c r="K161" i="110"/>
  <c r="K160" i="110"/>
  <c r="K159" i="110"/>
  <c r="K158" i="110"/>
  <c r="AU34" i="65"/>
  <c r="K183" i="110" s="1"/>
  <c r="AU32" i="65"/>
  <c r="K182" i="110" s="1"/>
  <c r="AU30" i="65"/>
  <c r="K181" i="110"/>
  <c r="AU28" i="65"/>
  <c r="K180" i="110" s="1"/>
  <c r="AU26" i="65"/>
  <c r="K179" i="110" s="1"/>
  <c r="AU24" i="65"/>
  <c r="K178" i="110" s="1"/>
  <c r="AU22" i="65"/>
  <c r="AU20" i="65"/>
  <c r="K176" i="110" s="1"/>
  <c r="AU18" i="65"/>
  <c r="K175" i="110" s="1"/>
  <c r="AU16" i="65"/>
  <c r="K174" i="110" s="1"/>
  <c r="U43" i="81"/>
  <c r="BM2" i="110"/>
  <c r="AV6" i="71"/>
  <c r="AW6" i="69"/>
  <c r="AV6" i="13"/>
  <c r="AV2" i="110"/>
  <c r="R4" i="106"/>
  <c r="R3" i="106"/>
  <c r="D92" i="106"/>
  <c r="D93" i="106"/>
  <c r="D94" i="106"/>
  <c r="D91" i="106"/>
  <c r="D4" i="106"/>
  <c r="D5" i="106"/>
  <c r="D3" i="106"/>
  <c r="D161" i="3"/>
  <c r="U42" i="81"/>
  <c r="A4" i="110"/>
  <c r="BK2" i="110"/>
  <c r="C23" i="57"/>
  <c r="AR202" i="81"/>
  <c r="AR202" i="80"/>
  <c r="AR202" i="79"/>
  <c r="AR202" i="78"/>
  <c r="AR202" i="76"/>
  <c r="AR202" i="14"/>
  <c r="AR202" i="71"/>
  <c r="AR202" i="70"/>
  <c r="AR202" i="69"/>
  <c r="AR202" i="13"/>
  <c r="AR202" i="66"/>
  <c r="AR202" i="65"/>
  <c r="AR202" i="64"/>
  <c r="AR202" i="63"/>
  <c r="AR202" i="12"/>
  <c r="AR202" i="57"/>
  <c r="AR202" i="56"/>
  <c r="AR202" i="55"/>
  <c r="AR202" i="51"/>
  <c r="AR202" i="50"/>
  <c r="AR202" i="49"/>
  <c r="AR201" i="8"/>
  <c r="C47" i="81"/>
  <c r="A473" i="110"/>
  <c r="AC473" i="110"/>
  <c r="A474" i="110"/>
  <c r="AC474" i="110"/>
  <c r="A475" i="110"/>
  <c r="AC475" i="110"/>
  <c r="A476" i="110"/>
  <c r="AC476" i="110"/>
  <c r="A477" i="110"/>
  <c r="AC477" i="110"/>
  <c r="A478" i="110"/>
  <c r="AC478" i="110"/>
  <c r="A479" i="110"/>
  <c r="AC479" i="110"/>
  <c r="A480" i="110"/>
  <c r="AC480" i="110"/>
  <c r="A481" i="110"/>
  <c r="AC481" i="110"/>
  <c r="A482" i="110"/>
  <c r="AC482" i="110"/>
  <c r="A483" i="110"/>
  <c r="AC483" i="110"/>
  <c r="A484" i="110"/>
  <c r="AC484" i="110"/>
  <c r="A485" i="110"/>
  <c r="AC485" i="110"/>
  <c r="A486" i="110"/>
  <c r="AC486" i="110"/>
  <c r="AC437" i="110"/>
  <c r="Z437" i="110"/>
  <c r="A437" i="110"/>
  <c r="A386" i="110"/>
  <c r="BV2" i="110"/>
  <c r="BU2" i="110"/>
  <c r="BT2" i="110"/>
  <c r="BR2" i="110"/>
  <c r="BQ2" i="110"/>
  <c r="BP2" i="110"/>
  <c r="BN2" i="110"/>
  <c r="BI2" i="110"/>
  <c r="AX2" i="110"/>
  <c r="AW2" i="110"/>
  <c r="AU40" i="65"/>
  <c r="K186" i="110" s="1"/>
  <c r="AU42" i="65"/>
  <c r="K167" i="110"/>
  <c r="K168" i="110"/>
  <c r="K44" i="109"/>
  <c r="F26" i="51"/>
  <c r="BO2" i="110"/>
  <c r="E39" i="3"/>
  <c r="E40" i="3"/>
  <c r="E41" i="3"/>
  <c r="E42" i="3"/>
  <c r="E43" i="3"/>
  <c r="O9" i="71"/>
  <c r="G18" i="81"/>
  <c r="A2" i="110"/>
  <c r="AY2" i="110"/>
  <c r="BJ2" i="110"/>
  <c r="DF2" i="110"/>
  <c r="DE2" i="110"/>
  <c r="DD2" i="110"/>
  <c r="DC2" i="110"/>
  <c r="DB2" i="110"/>
  <c r="DA2" i="110"/>
  <c r="CZ2" i="110"/>
  <c r="CY2" i="110"/>
  <c r="CX2" i="110"/>
  <c r="CW2" i="110"/>
  <c r="CU2" i="110"/>
  <c r="CT2" i="110"/>
  <c r="CS2" i="110"/>
  <c r="CR2" i="110"/>
  <c r="CQ2" i="110"/>
  <c r="CP2" i="110"/>
  <c r="CO2" i="110"/>
  <c r="CN2" i="110"/>
  <c r="CM2" i="110"/>
  <c r="CL2" i="110"/>
  <c r="A360" i="110"/>
  <c r="Z309" i="110"/>
  <c r="A309" i="110"/>
  <c r="Z175" i="110"/>
  <c r="AD175" i="110"/>
  <c r="Z176" i="110"/>
  <c r="AD176" i="110"/>
  <c r="Z177" i="110"/>
  <c r="AD177" i="110"/>
  <c r="Z178" i="110"/>
  <c r="AD178" i="110"/>
  <c r="Z179" i="110"/>
  <c r="AD179" i="110"/>
  <c r="Z180" i="110"/>
  <c r="AD180" i="110"/>
  <c r="Z181" i="110"/>
  <c r="AD181" i="110"/>
  <c r="Z182" i="110"/>
  <c r="AD182" i="110"/>
  <c r="Z183" i="110"/>
  <c r="AD183" i="110"/>
  <c r="Z186" i="110"/>
  <c r="AD186" i="110"/>
  <c r="M174" i="110"/>
  <c r="G174" i="110"/>
  <c r="AD174" i="110"/>
  <c r="Z174" i="110"/>
  <c r="A174" i="110"/>
  <c r="Z158" i="110"/>
  <c r="AD158" i="110"/>
  <c r="Z159" i="110"/>
  <c r="AD159" i="110"/>
  <c r="Z160" i="110"/>
  <c r="AD160" i="110"/>
  <c r="Z161" i="110"/>
  <c r="AD161" i="110"/>
  <c r="Z162" i="110"/>
  <c r="AD162" i="110"/>
  <c r="Z163" i="110"/>
  <c r="AD163" i="110"/>
  <c r="Z164" i="110"/>
  <c r="AD164" i="110"/>
  <c r="Z165" i="110"/>
  <c r="AD165" i="110"/>
  <c r="Z166" i="110"/>
  <c r="AD166" i="110"/>
  <c r="Z167" i="110"/>
  <c r="AD167" i="110"/>
  <c r="Z168" i="110"/>
  <c r="AD168" i="110"/>
  <c r="G157" i="110"/>
  <c r="AD157" i="110"/>
  <c r="Z157" i="110"/>
  <c r="A157" i="110"/>
  <c r="Z142" i="110"/>
  <c r="Z143" i="110"/>
  <c r="Z144" i="110"/>
  <c r="Z145" i="110"/>
  <c r="Z146" i="110"/>
  <c r="Z147" i="110"/>
  <c r="Z148" i="110"/>
  <c r="Z149" i="110"/>
  <c r="Z150" i="110"/>
  <c r="Z151" i="110"/>
  <c r="Z152" i="110"/>
  <c r="Z153" i="110"/>
  <c r="Z154" i="110"/>
  <c r="Z106" i="110"/>
  <c r="A106" i="110"/>
  <c r="A5" i="110"/>
  <c r="Z5" i="110"/>
  <c r="AD5" i="110"/>
  <c r="G5" i="110"/>
  <c r="F5" i="110"/>
  <c r="A6" i="110"/>
  <c r="Z6" i="110"/>
  <c r="AD6" i="110"/>
  <c r="G6" i="110"/>
  <c r="F6" i="110"/>
  <c r="A7" i="110"/>
  <c r="Z7" i="110"/>
  <c r="AD7" i="110"/>
  <c r="G7" i="110"/>
  <c r="F7" i="110"/>
  <c r="A8" i="110"/>
  <c r="Z8" i="110"/>
  <c r="AD8" i="110"/>
  <c r="G8" i="110"/>
  <c r="F8" i="110"/>
  <c r="A9" i="110"/>
  <c r="Z9" i="110"/>
  <c r="AD9" i="110"/>
  <c r="G9" i="110"/>
  <c r="F9" i="110"/>
  <c r="A10" i="110"/>
  <c r="Z10" i="110"/>
  <c r="AD10" i="110"/>
  <c r="G10" i="110"/>
  <c r="F10" i="110"/>
  <c r="A11" i="110"/>
  <c r="Z11" i="110"/>
  <c r="AD11" i="110"/>
  <c r="G11" i="110"/>
  <c r="F11" i="110"/>
  <c r="A12" i="110"/>
  <c r="Z12" i="110"/>
  <c r="AD12" i="110"/>
  <c r="G12" i="110"/>
  <c r="F12" i="110"/>
  <c r="A13" i="110"/>
  <c r="Z13" i="110"/>
  <c r="AD13" i="110"/>
  <c r="G13" i="110"/>
  <c r="F13" i="110"/>
  <c r="A14" i="110"/>
  <c r="Z14" i="110"/>
  <c r="AD14" i="110"/>
  <c r="G14" i="110"/>
  <c r="F14" i="110"/>
  <c r="A15" i="110"/>
  <c r="Z15" i="110"/>
  <c r="AD15" i="110"/>
  <c r="G15" i="110"/>
  <c r="F15" i="110"/>
  <c r="A16" i="110"/>
  <c r="Z16" i="110"/>
  <c r="AD16" i="110"/>
  <c r="G16" i="110"/>
  <c r="F16" i="110"/>
  <c r="A17" i="110"/>
  <c r="Z17" i="110"/>
  <c r="AD17" i="110"/>
  <c r="G17" i="110"/>
  <c r="F17" i="110"/>
  <c r="A18" i="110"/>
  <c r="Z18" i="110"/>
  <c r="AD18" i="110"/>
  <c r="G18" i="110"/>
  <c r="F18" i="110"/>
  <c r="A19" i="110"/>
  <c r="Z19" i="110"/>
  <c r="AD19" i="110"/>
  <c r="G19" i="110"/>
  <c r="F19" i="110"/>
  <c r="A20" i="110"/>
  <c r="Z20" i="110"/>
  <c r="AD20" i="110"/>
  <c r="G20" i="110"/>
  <c r="F20" i="110"/>
  <c r="A21" i="110"/>
  <c r="Z21" i="110"/>
  <c r="AD21" i="110"/>
  <c r="G21" i="110"/>
  <c r="F21" i="110"/>
  <c r="A38" i="110"/>
  <c r="Z38" i="110"/>
  <c r="AD38" i="110"/>
  <c r="G38" i="110"/>
  <c r="F38" i="110"/>
  <c r="A39" i="110"/>
  <c r="Z39" i="110"/>
  <c r="AD39" i="110"/>
  <c r="G39" i="110"/>
  <c r="F39" i="110"/>
  <c r="A40" i="110"/>
  <c r="Z40" i="110"/>
  <c r="AD40" i="110"/>
  <c r="G40" i="110"/>
  <c r="F40" i="110"/>
  <c r="A41" i="110"/>
  <c r="Z41" i="110"/>
  <c r="AD41" i="110"/>
  <c r="G41" i="110"/>
  <c r="F41" i="110"/>
  <c r="A42" i="110"/>
  <c r="Z42" i="110"/>
  <c r="AD42" i="110"/>
  <c r="G42" i="110"/>
  <c r="F42" i="110"/>
  <c r="A43" i="110"/>
  <c r="Z43" i="110"/>
  <c r="AD43" i="110"/>
  <c r="G43" i="110"/>
  <c r="F43" i="110"/>
  <c r="A44" i="110"/>
  <c r="Z44" i="110"/>
  <c r="AD44" i="110"/>
  <c r="G44" i="110"/>
  <c r="F44" i="110"/>
  <c r="A45" i="110"/>
  <c r="Z45" i="110"/>
  <c r="AD45" i="110"/>
  <c r="G45" i="110"/>
  <c r="F45" i="110"/>
  <c r="A50" i="110"/>
  <c r="Z50" i="110"/>
  <c r="AD50" i="110"/>
  <c r="G50" i="110"/>
  <c r="F50" i="110"/>
  <c r="A51" i="110"/>
  <c r="Z51" i="110"/>
  <c r="AD51" i="110"/>
  <c r="G51" i="110"/>
  <c r="F51" i="110"/>
  <c r="A52" i="110"/>
  <c r="F4" i="110"/>
  <c r="G4" i="110"/>
  <c r="AD4" i="110"/>
  <c r="Z4" i="110"/>
  <c r="J73" i="80"/>
  <c r="AH38" i="80"/>
  <c r="AE38" i="80"/>
  <c r="V38" i="80"/>
  <c r="J38" i="80"/>
  <c r="AB36" i="80"/>
  <c r="S36" i="80"/>
  <c r="J36" i="80"/>
  <c r="AD34" i="80"/>
  <c r="W34" i="80"/>
  <c r="J34" i="80"/>
  <c r="AH24" i="80"/>
  <c r="AE24" i="80"/>
  <c r="V24" i="80"/>
  <c r="J24" i="80"/>
  <c r="AB22" i="80"/>
  <c r="S22" i="80"/>
  <c r="J22" i="80"/>
  <c r="AD20" i="80"/>
  <c r="W20" i="80"/>
  <c r="J20" i="80"/>
  <c r="J18" i="80"/>
  <c r="N16" i="80"/>
  <c r="E25" i="3"/>
  <c r="U41" i="81"/>
  <c r="U40" i="81"/>
  <c r="AP28" i="81"/>
  <c r="AN28" i="81"/>
  <c r="AI26" i="81"/>
  <c r="AN25" i="81"/>
  <c r="AI25" i="81"/>
  <c r="N28" i="81"/>
  <c r="L28" i="81"/>
  <c r="G26" i="81"/>
  <c r="L25" i="81"/>
  <c r="G25" i="81"/>
  <c r="G44" i="81"/>
  <c r="G43" i="81"/>
  <c r="G42" i="81"/>
  <c r="G41" i="81"/>
  <c r="G40" i="81"/>
  <c r="G39" i="81"/>
  <c r="G38" i="81"/>
  <c r="G37" i="81"/>
  <c r="G34" i="81"/>
  <c r="G19" i="81"/>
  <c r="L15" i="81"/>
  <c r="G15" i="81"/>
  <c r="B74" i="3"/>
  <c r="D169" i="3"/>
  <c r="B181" i="3"/>
  <c r="R9" i="13"/>
  <c r="R9" i="66"/>
  <c r="R9" i="65"/>
  <c r="R9" i="64"/>
  <c r="R9" i="63"/>
  <c r="R9" i="12"/>
  <c r="P2" i="3"/>
  <c r="X5" i="109"/>
  <c r="X19" i="57" s="1"/>
  <c r="AB37" i="81" s="1"/>
  <c r="W5" i="109"/>
  <c r="Q19" i="57" s="1"/>
  <c r="Z37" i="81" s="1"/>
  <c r="U36" i="81"/>
  <c r="R5" i="109"/>
  <c r="Q16" i="57" s="1"/>
  <c r="Q5" i="109"/>
  <c r="J16" i="57"/>
  <c r="P5" i="109"/>
  <c r="C16" i="57" s="1"/>
  <c r="BB2" i="110" s="1"/>
  <c r="CJ2" i="110"/>
  <c r="AE30" i="80"/>
  <c r="L36" i="81"/>
  <c r="B154" i="3"/>
  <c r="B134" i="3"/>
  <c r="B81" i="3"/>
  <c r="E35" i="3"/>
  <c r="E36" i="3"/>
  <c r="E37" i="3"/>
  <c r="E38" i="3"/>
  <c r="E27" i="3"/>
  <c r="E28" i="3"/>
  <c r="E29" i="3"/>
  <c r="E30" i="3"/>
  <c r="E31" i="3"/>
  <c r="E32" i="3"/>
  <c r="E33" i="3"/>
  <c r="E26" i="3"/>
  <c r="W202" i="81"/>
  <c r="B202" i="81"/>
  <c r="B201" i="81"/>
  <c r="B200" i="81"/>
  <c r="W202" i="80"/>
  <c r="B202" i="80"/>
  <c r="B201" i="80"/>
  <c r="B200" i="80"/>
  <c r="W202" i="79"/>
  <c r="B201" i="79"/>
  <c r="B200" i="79"/>
  <c r="W202" i="78"/>
  <c r="B201" i="78"/>
  <c r="B200" i="78"/>
  <c r="W202" i="76"/>
  <c r="B201" i="76"/>
  <c r="B200" i="76"/>
  <c r="W202" i="14"/>
  <c r="B201" i="14"/>
  <c r="B200" i="14"/>
  <c r="W202" i="71"/>
  <c r="B201" i="71"/>
  <c r="B200" i="71"/>
  <c r="W202" i="70"/>
  <c r="B201" i="70"/>
  <c r="B200" i="70"/>
  <c r="W202" i="69"/>
  <c r="B201" i="69"/>
  <c r="B200" i="69"/>
  <c r="W202" i="13"/>
  <c r="B201" i="13"/>
  <c r="B200" i="13"/>
  <c r="W202" i="66"/>
  <c r="B201" i="66"/>
  <c r="B200" i="66"/>
  <c r="W202" i="65"/>
  <c r="B201" i="65"/>
  <c r="B200" i="65"/>
  <c r="W202" i="64"/>
  <c r="B201" i="64"/>
  <c r="B200" i="64"/>
  <c r="W202" i="63"/>
  <c r="B201" i="63"/>
  <c r="B200" i="63"/>
  <c r="W202" i="12"/>
  <c r="B201" i="12"/>
  <c r="B200" i="12"/>
  <c r="W202" i="57"/>
  <c r="B201" i="57"/>
  <c r="B200" i="57"/>
  <c r="W202" i="56"/>
  <c r="B201" i="56"/>
  <c r="B200" i="56"/>
  <c r="W202" i="55"/>
  <c r="B201" i="55"/>
  <c r="B200" i="55"/>
  <c r="W202" i="51"/>
  <c r="B201" i="51"/>
  <c r="B200" i="51"/>
  <c r="B201" i="50"/>
  <c r="B200" i="50"/>
  <c r="W202" i="49"/>
  <c r="B201" i="49"/>
  <c r="B200" i="49"/>
  <c r="AR201" i="113"/>
  <c r="AR201" i="116"/>
  <c r="AR201" i="115"/>
  <c r="AR201" i="51"/>
  <c r="AR201" i="57"/>
  <c r="AR201" i="55"/>
  <c r="AR201" i="70"/>
  <c r="AR201" i="49"/>
  <c r="AR201" i="80"/>
  <c r="AR201" i="56"/>
  <c r="AR201" i="71"/>
  <c r="AR201" i="69"/>
  <c r="AY28" i="71"/>
  <c r="P25" i="78"/>
  <c r="U22" i="81"/>
  <c r="AR201" i="81"/>
  <c r="AR201" i="63"/>
  <c r="AR201" i="78"/>
  <c r="AR201" i="64"/>
  <c r="AR201" i="62"/>
  <c r="AR201" i="12"/>
  <c r="AR201" i="65"/>
  <c r="AR201" i="76"/>
  <c r="AV24" i="71"/>
  <c r="AK441" i="110" s="1"/>
  <c r="AR201" i="79"/>
  <c r="AF22" i="71"/>
  <c r="AK22" i="71" s="1"/>
  <c r="AF30" i="71"/>
  <c r="AK30" i="71" s="1"/>
  <c r="AR201" i="50"/>
  <c r="AR201" i="66"/>
  <c r="AR201" i="13"/>
  <c r="AR201" i="14"/>
  <c r="AH26" i="71"/>
  <c r="BE18" i="70"/>
  <c r="AR200" i="71"/>
  <c r="CC2" i="110"/>
  <c r="CH2" i="110"/>
  <c r="P27" i="79"/>
  <c r="AK477" i="110"/>
  <c r="Y11" i="108"/>
  <c r="BC22" i="71"/>
  <c r="Y12" i="108"/>
  <c r="AX20" i="71"/>
  <c r="AK475" i="110"/>
  <c r="Y13" i="108"/>
  <c r="X11" i="108"/>
  <c r="AY20" i="71"/>
  <c r="X13" i="108"/>
  <c r="X12" i="108"/>
  <c r="X14" i="108"/>
  <c r="Y15" i="108"/>
  <c r="Y14" i="108"/>
  <c r="X15" i="108"/>
  <c r="Y16" i="108"/>
  <c r="X16" i="108"/>
  <c r="X18" i="108"/>
  <c r="Y17" i="108"/>
  <c r="Y18" i="108"/>
  <c r="X17" i="108"/>
  <c r="X19" i="108"/>
  <c r="Y19" i="108"/>
  <c r="X20" i="108"/>
  <c r="X21" i="108"/>
  <c r="Y20" i="108"/>
  <c r="X22" i="108"/>
  <c r="Y21" i="108"/>
  <c r="Y22" i="108"/>
  <c r="Y23" i="108"/>
  <c r="Y24" i="108"/>
  <c r="X23" i="108"/>
  <c r="X25" i="108"/>
  <c r="Y25" i="108"/>
  <c r="X24" i="108"/>
  <c r="X26" i="108"/>
  <c r="Y26" i="108"/>
  <c r="Y27" i="108"/>
  <c r="X27" i="108"/>
  <c r="X29" i="108"/>
  <c r="Y28" i="108"/>
  <c r="X28" i="108"/>
  <c r="X30" i="108"/>
  <c r="Y30" i="108"/>
  <c r="Y29" i="108"/>
  <c r="X31" i="108"/>
  <c r="Y31" i="108"/>
  <c r="X32" i="108"/>
  <c r="X33" i="108"/>
  <c r="Y33" i="108"/>
  <c r="Y32" i="108"/>
  <c r="Y14" i="110" l="1"/>
  <c r="BG36" i="12"/>
  <c r="BF36" i="12"/>
  <c r="Y13" i="110"/>
  <c r="BF34" i="12"/>
  <c r="BG34" i="12"/>
  <c r="BG30" i="12"/>
  <c r="BF30" i="12"/>
  <c r="BF26" i="12"/>
  <c r="BG26" i="12"/>
  <c r="BE26" i="12"/>
  <c r="BE32" i="66"/>
  <c r="BE24" i="66"/>
  <c r="BE30" i="66"/>
  <c r="BE36" i="66"/>
  <c r="H264" i="110"/>
  <c r="BE16" i="64"/>
  <c r="BE44" i="12"/>
  <c r="BE36" i="12"/>
  <c r="BE42" i="12"/>
  <c r="BE34" i="12"/>
  <c r="BE40" i="12"/>
  <c r="BE38" i="12"/>
  <c r="AF18" i="71"/>
  <c r="H438" i="110"/>
  <c r="BD16" i="71"/>
  <c r="D437" i="110" s="1"/>
  <c r="H437" i="110"/>
  <c r="AV30" i="71"/>
  <c r="AK444" i="110" s="1"/>
  <c r="AY30" i="71"/>
  <c r="BC30" i="71"/>
  <c r="AH30" i="71"/>
  <c r="BB30" i="71" s="1"/>
  <c r="AZ30" i="71"/>
  <c r="AN30" i="71"/>
  <c r="K444" i="110" s="1"/>
  <c r="AX30" i="71"/>
  <c r="K177" i="110"/>
  <c r="AU200" i="65"/>
  <c r="V12" i="65" s="1"/>
  <c r="I30" i="3" s="1"/>
  <c r="AR200" i="56"/>
  <c r="AR200" i="62"/>
  <c r="AR200" i="51"/>
  <c r="AR200" i="81"/>
  <c r="W262" i="110"/>
  <c r="H262" i="110"/>
  <c r="P258" i="110"/>
  <c r="H258" i="110"/>
  <c r="P254" i="110"/>
  <c r="H254" i="110"/>
  <c r="R250" i="110"/>
  <c r="C250" i="110" s="1"/>
  <c r="B250" i="110" s="1"/>
  <c r="H250" i="110"/>
  <c r="R246" i="110"/>
  <c r="C246" i="110" s="1"/>
  <c r="B246" i="110" s="1"/>
  <c r="H246" i="110"/>
  <c r="P238" i="110"/>
  <c r="H238" i="110"/>
  <c r="R226" i="110"/>
  <c r="C226" i="110" s="1"/>
  <c r="B226" i="110" s="1"/>
  <c r="H226" i="110"/>
  <c r="P261" i="110"/>
  <c r="H261" i="110"/>
  <c r="R257" i="110"/>
  <c r="C257" i="110" s="1"/>
  <c r="B257" i="110" s="1"/>
  <c r="H257" i="110"/>
  <c r="R253" i="110"/>
  <c r="C253" i="110" s="1"/>
  <c r="B253" i="110" s="1"/>
  <c r="H253" i="110"/>
  <c r="W245" i="110"/>
  <c r="H245" i="110"/>
  <c r="P241" i="110"/>
  <c r="H241" i="110"/>
  <c r="W237" i="110"/>
  <c r="H237" i="110"/>
  <c r="R233" i="110"/>
  <c r="C233" i="110" s="1"/>
  <c r="B233" i="110" s="1"/>
  <c r="H233" i="110"/>
  <c r="R229" i="110"/>
  <c r="C229" i="110" s="1"/>
  <c r="B229" i="110" s="1"/>
  <c r="H229" i="110"/>
  <c r="W225" i="110"/>
  <c r="H225" i="110"/>
  <c r="P260" i="110"/>
  <c r="H260" i="110"/>
  <c r="W256" i="110"/>
  <c r="H256" i="110"/>
  <c r="W252" i="110"/>
  <c r="H252" i="110"/>
  <c r="R244" i="110"/>
  <c r="C244" i="110" s="1"/>
  <c r="B244" i="110" s="1"/>
  <c r="H244" i="110"/>
  <c r="R236" i="110"/>
  <c r="C236" i="110" s="1"/>
  <c r="B236" i="110" s="1"/>
  <c r="H236" i="110"/>
  <c r="P232" i="110"/>
  <c r="H232" i="110"/>
  <c r="P228" i="110"/>
  <c r="H228" i="110"/>
  <c r="W263" i="110"/>
  <c r="H263" i="110"/>
  <c r="R259" i="110"/>
  <c r="C259" i="110" s="1"/>
  <c r="B259" i="110" s="1"/>
  <c r="H259" i="110"/>
  <c r="R255" i="110"/>
  <c r="C255" i="110" s="1"/>
  <c r="B255" i="110" s="1"/>
  <c r="H255" i="110"/>
  <c r="W251" i="110"/>
  <c r="H251" i="110"/>
  <c r="R247" i="110"/>
  <c r="C247" i="110" s="1"/>
  <c r="B247" i="110" s="1"/>
  <c r="H247" i="110"/>
  <c r="R243" i="110"/>
  <c r="C243" i="110" s="1"/>
  <c r="B243" i="110" s="1"/>
  <c r="H243" i="110"/>
  <c r="R239" i="110"/>
  <c r="C239" i="110" s="1"/>
  <c r="B239" i="110" s="1"/>
  <c r="H239" i="110"/>
  <c r="P235" i="110"/>
  <c r="H235" i="110"/>
  <c r="R231" i="110"/>
  <c r="C231" i="110" s="1"/>
  <c r="B231" i="110" s="1"/>
  <c r="H231" i="110"/>
  <c r="R227" i="110"/>
  <c r="C227" i="110" s="1"/>
  <c r="B227" i="110" s="1"/>
  <c r="H227" i="110"/>
  <c r="Q67" i="110"/>
  <c r="H67" i="110"/>
  <c r="Q70" i="110"/>
  <c r="H70" i="110"/>
  <c r="Q66" i="110"/>
  <c r="H66" i="110"/>
  <c r="Q71" i="110"/>
  <c r="H71" i="110"/>
  <c r="Q73" i="110"/>
  <c r="H73" i="110"/>
  <c r="Q69" i="110"/>
  <c r="H69" i="110"/>
  <c r="Q65" i="110"/>
  <c r="H65" i="110"/>
  <c r="Q72" i="110"/>
  <c r="H72" i="110"/>
  <c r="Q68" i="110"/>
  <c r="H68" i="110"/>
  <c r="N183" i="110"/>
  <c r="H183" i="110"/>
  <c r="R179" i="110"/>
  <c r="C179" i="110" s="1"/>
  <c r="B179" i="110" s="1"/>
  <c r="H179" i="110"/>
  <c r="R166" i="110"/>
  <c r="C166" i="110" s="1"/>
  <c r="B166" i="110" s="1"/>
  <c r="H166" i="110"/>
  <c r="Q55" i="110"/>
  <c r="H55" i="110"/>
  <c r="N165" i="110"/>
  <c r="H165" i="110"/>
  <c r="N182" i="110"/>
  <c r="H182" i="110"/>
  <c r="N163" i="110"/>
  <c r="H163" i="110"/>
  <c r="R175" i="110"/>
  <c r="C175" i="110" s="1"/>
  <c r="B175" i="110" s="1"/>
  <c r="H175" i="110"/>
  <c r="O180" i="110"/>
  <c r="H180" i="110"/>
  <c r="W273" i="110"/>
  <c r="H273" i="110"/>
  <c r="P269" i="110"/>
  <c r="H269" i="110"/>
  <c r="P268" i="110"/>
  <c r="H268" i="110"/>
  <c r="R275" i="110"/>
  <c r="C275" i="110" s="1"/>
  <c r="B275" i="110" s="1"/>
  <c r="H275" i="110"/>
  <c r="R271" i="110"/>
  <c r="C271" i="110" s="1"/>
  <c r="B271" i="110" s="1"/>
  <c r="H271" i="110"/>
  <c r="P274" i="110"/>
  <c r="H274" i="110"/>
  <c r="W270" i="110"/>
  <c r="H270" i="110"/>
  <c r="AO108" i="110"/>
  <c r="L108" i="110"/>
  <c r="Z35" i="81"/>
  <c r="J395" i="110"/>
  <c r="L395" i="110"/>
  <c r="L20" i="70"/>
  <c r="S20" i="70"/>
  <c r="BF22" i="70"/>
  <c r="BC22" i="70"/>
  <c r="AW22" i="70"/>
  <c r="AV22" i="70"/>
  <c r="AO106" i="110"/>
  <c r="L106" i="110"/>
  <c r="AO107" i="110"/>
  <c r="L107" i="110"/>
  <c r="AO113" i="110"/>
  <c r="L113" i="110"/>
  <c r="AO112" i="110"/>
  <c r="L112" i="110"/>
  <c r="AO111" i="110"/>
  <c r="L111" i="110"/>
  <c r="AO114" i="110"/>
  <c r="L114" i="110"/>
  <c r="AO110" i="110"/>
  <c r="L110" i="110"/>
  <c r="AO109" i="110"/>
  <c r="L109" i="110"/>
  <c r="BH56" i="13"/>
  <c r="AK56" i="13"/>
  <c r="AV56" i="13"/>
  <c r="AK329" i="110" s="1"/>
  <c r="AX56" i="13"/>
  <c r="BB56" i="13"/>
  <c r="AY56" i="13"/>
  <c r="BD56" i="13"/>
  <c r="AZ56" i="13"/>
  <c r="BE56" i="13"/>
  <c r="AH56" i="13"/>
  <c r="AN56" i="13"/>
  <c r="Q329" i="110" s="1"/>
  <c r="AW56" i="13"/>
  <c r="BA56" i="13"/>
  <c r="BF56" i="13"/>
  <c r="BH48" i="13"/>
  <c r="AK48" i="13"/>
  <c r="AV48" i="13"/>
  <c r="AK325" i="110" s="1"/>
  <c r="AX48" i="13"/>
  <c r="BB48" i="13"/>
  <c r="AY48" i="13"/>
  <c r="BD48" i="13"/>
  <c r="AZ48" i="13"/>
  <c r="BE48" i="13"/>
  <c r="AH48" i="13"/>
  <c r="AN48" i="13"/>
  <c r="Q325" i="110" s="1"/>
  <c r="AW48" i="13"/>
  <c r="BA48" i="13"/>
  <c r="BF48" i="13"/>
  <c r="BH40" i="13"/>
  <c r="AK40" i="13"/>
  <c r="AV40" i="13"/>
  <c r="AK321" i="110" s="1"/>
  <c r="AX40" i="13"/>
  <c r="BB40" i="13"/>
  <c r="AY40" i="13"/>
  <c r="BD40" i="13"/>
  <c r="AZ40" i="13"/>
  <c r="BE40" i="13"/>
  <c r="AH40" i="13"/>
  <c r="AN40" i="13"/>
  <c r="Q321" i="110" s="1"/>
  <c r="AW40" i="13"/>
  <c r="BA40" i="13"/>
  <c r="BF40" i="13"/>
  <c r="BH32" i="13"/>
  <c r="AK32" i="13"/>
  <c r="AV32" i="13"/>
  <c r="AK317" i="110" s="1"/>
  <c r="AX32" i="13"/>
  <c r="BB32" i="13"/>
  <c r="AY32" i="13"/>
  <c r="BD32" i="13"/>
  <c r="AZ32" i="13"/>
  <c r="BE32" i="13"/>
  <c r="AH32" i="13"/>
  <c r="AN32" i="13"/>
  <c r="Q317" i="110" s="1"/>
  <c r="AW32" i="13"/>
  <c r="BA32" i="13"/>
  <c r="BF32" i="13"/>
  <c r="BH62" i="13"/>
  <c r="AK62" i="13"/>
  <c r="AV62" i="13"/>
  <c r="AK332" i="110" s="1"/>
  <c r="AZ62" i="13"/>
  <c r="BE62" i="13"/>
  <c r="AW62" i="13"/>
  <c r="BA62" i="13"/>
  <c r="BF62" i="13"/>
  <c r="AH62" i="13"/>
  <c r="AN62" i="13"/>
  <c r="Q332" i="110" s="1"/>
  <c r="AX62" i="13"/>
  <c r="BB62" i="13"/>
  <c r="AY62" i="13"/>
  <c r="BD62" i="13"/>
  <c r="BH54" i="13"/>
  <c r="AK54" i="13"/>
  <c r="AV54" i="13"/>
  <c r="AK328" i="110" s="1"/>
  <c r="AZ54" i="13"/>
  <c r="BE54" i="13"/>
  <c r="AW54" i="13"/>
  <c r="BA54" i="13"/>
  <c r="BF54" i="13"/>
  <c r="AH54" i="13"/>
  <c r="AN54" i="13"/>
  <c r="AX54" i="13"/>
  <c r="BB54" i="13"/>
  <c r="AY54" i="13"/>
  <c r="BD54" i="13"/>
  <c r="BH46" i="13"/>
  <c r="AK46" i="13"/>
  <c r="AV46" i="13"/>
  <c r="AK324" i="110" s="1"/>
  <c r="AZ46" i="13"/>
  <c r="BE46" i="13"/>
  <c r="AW46" i="13"/>
  <c r="BA46" i="13"/>
  <c r="BF46" i="13"/>
  <c r="AH46" i="13"/>
  <c r="AN46" i="13"/>
  <c r="Q324" i="110" s="1"/>
  <c r="AX46" i="13"/>
  <c r="BB46" i="13"/>
  <c r="AY46" i="13"/>
  <c r="BD46" i="13"/>
  <c r="BH38" i="13"/>
  <c r="AK38" i="13"/>
  <c r="AV38" i="13"/>
  <c r="AK320" i="110" s="1"/>
  <c r="AZ38" i="13"/>
  <c r="BE38" i="13"/>
  <c r="AW38" i="13"/>
  <c r="BA38" i="13"/>
  <c r="BF38" i="13"/>
  <c r="AH38" i="13"/>
  <c r="AN38" i="13"/>
  <c r="O320" i="110" s="1"/>
  <c r="AX38" i="13"/>
  <c r="BB38" i="13"/>
  <c r="AY38" i="13"/>
  <c r="BD38" i="13"/>
  <c r="BH30" i="13"/>
  <c r="AK30" i="13"/>
  <c r="AV30" i="13"/>
  <c r="AK316" i="110" s="1"/>
  <c r="AZ30" i="13"/>
  <c r="BE30" i="13"/>
  <c r="AW30" i="13"/>
  <c r="BA30" i="13"/>
  <c r="BF30" i="13"/>
  <c r="AH30" i="13"/>
  <c r="AN30" i="13"/>
  <c r="AX30" i="13"/>
  <c r="BB30" i="13"/>
  <c r="AY30" i="13"/>
  <c r="BD30" i="13"/>
  <c r="BH18" i="13"/>
  <c r="AK18" i="13"/>
  <c r="AV18" i="13"/>
  <c r="AH18" i="13"/>
  <c r="AN18" i="13"/>
  <c r="AZ18" i="13"/>
  <c r="BE18" i="13"/>
  <c r="AW18" i="13"/>
  <c r="BA18" i="13"/>
  <c r="BF18" i="13"/>
  <c r="AX18" i="13"/>
  <c r="BB18" i="13"/>
  <c r="AY18" i="13"/>
  <c r="BD18" i="13"/>
  <c r="BH20" i="13"/>
  <c r="AK20" i="13"/>
  <c r="AV20" i="13"/>
  <c r="AX20" i="13"/>
  <c r="BB20" i="13"/>
  <c r="AH20" i="13"/>
  <c r="AN20" i="13"/>
  <c r="AY20" i="13"/>
  <c r="BD20" i="13"/>
  <c r="AZ20" i="13"/>
  <c r="BE20" i="13"/>
  <c r="AW20" i="13"/>
  <c r="BA20" i="13"/>
  <c r="BF20" i="13"/>
  <c r="BH60" i="13"/>
  <c r="AK60" i="13"/>
  <c r="AV60" i="13"/>
  <c r="AK331" i="110" s="1"/>
  <c r="AX60" i="13"/>
  <c r="BB60" i="13"/>
  <c r="AH60" i="13"/>
  <c r="AN60" i="13"/>
  <c r="AY60" i="13"/>
  <c r="BD60" i="13"/>
  <c r="AZ60" i="13"/>
  <c r="BE60" i="13"/>
  <c r="AW60" i="13"/>
  <c r="BA60" i="13"/>
  <c r="BF60" i="13"/>
  <c r="BH52" i="13"/>
  <c r="AK52" i="13"/>
  <c r="AV52" i="13"/>
  <c r="AK327" i="110" s="1"/>
  <c r="AX52" i="13"/>
  <c r="BB52" i="13"/>
  <c r="AH52" i="13"/>
  <c r="AN52" i="13"/>
  <c r="Q327" i="110" s="1"/>
  <c r="AY52" i="13"/>
  <c r="BD52" i="13"/>
  <c r="AZ52" i="13"/>
  <c r="BE52" i="13"/>
  <c r="AW52" i="13"/>
  <c r="BA52" i="13"/>
  <c r="BF52" i="13"/>
  <c r="BH44" i="13"/>
  <c r="AK44" i="13"/>
  <c r="AV44" i="13"/>
  <c r="AK323" i="110" s="1"/>
  <c r="AX44" i="13"/>
  <c r="BB44" i="13"/>
  <c r="AH44" i="13"/>
  <c r="AN44" i="13"/>
  <c r="Q323" i="110" s="1"/>
  <c r="AY44" i="13"/>
  <c r="BD44" i="13"/>
  <c r="AZ44" i="13"/>
  <c r="BE44" i="13"/>
  <c r="AW44" i="13"/>
  <c r="BA44" i="13"/>
  <c r="BF44" i="13"/>
  <c r="BH36" i="13"/>
  <c r="AK36" i="13"/>
  <c r="AV36" i="13"/>
  <c r="AK319" i="110" s="1"/>
  <c r="AX36" i="13"/>
  <c r="BB36" i="13"/>
  <c r="AH36" i="13"/>
  <c r="AN36" i="13"/>
  <c r="Q319" i="110" s="1"/>
  <c r="AY36" i="13"/>
  <c r="BD36" i="13"/>
  <c r="AZ36" i="13"/>
  <c r="BE36" i="13"/>
  <c r="AW36" i="13"/>
  <c r="BA36" i="13"/>
  <c r="BF36" i="13"/>
  <c r="BH58" i="13"/>
  <c r="AK58" i="13"/>
  <c r="AV58" i="13"/>
  <c r="AK330" i="110" s="1"/>
  <c r="AH58" i="13"/>
  <c r="AN58" i="13"/>
  <c r="Q330" i="110" s="1"/>
  <c r="AZ58" i="13"/>
  <c r="BE58" i="13"/>
  <c r="AW58" i="13"/>
  <c r="BA58" i="13"/>
  <c r="BF58" i="13"/>
  <c r="AX58" i="13"/>
  <c r="BB58" i="13"/>
  <c r="AY58" i="13"/>
  <c r="BD58" i="13"/>
  <c r="BH50" i="13"/>
  <c r="AK50" i="13"/>
  <c r="AV50" i="13"/>
  <c r="AK326" i="110" s="1"/>
  <c r="AH50" i="13"/>
  <c r="AN50" i="13"/>
  <c r="Q326" i="110" s="1"/>
  <c r="AZ50" i="13"/>
  <c r="BE50" i="13"/>
  <c r="AW50" i="13"/>
  <c r="BA50" i="13"/>
  <c r="BC50" i="13" s="1"/>
  <c r="BF50" i="13"/>
  <c r="AX50" i="13"/>
  <c r="BB50" i="13"/>
  <c r="AY50" i="13"/>
  <c r="BD50" i="13"/>
  <c r="BH42" i="13"/>
  <c r="AK42" i="13"/>
  <c r="AV42" i="13"/>
  <c r="AK322" i="110" s="1"/>
  <c r="AH42" i="13"/>
  <c r="AN42" i="13"/>
  <c r="Q322" i="110" s="1"/>
  <c r="AZ42" i="13"/>
  <c r="BE42" i="13"/>
  <c r="AW42" i="13"/>
  <c r="BA42" i="13"/>
  <c r="BF42" i="13"/>
  <c r="AX42" i="13"/>
  <c r="BB42" i="13"/>
  <c r="AY42" i="13"/>
  <c r="BD42" i="13"/>
  <c r="BH34" i="13"/>
  <c r="AK34" i="13"/>
  <c r="AV34" i="13"/>
  <c r="AK318" i="110" s="1"/>
  <c r="AH34" i="13"/>
  <c r="AN34" i="13"/>
  <c r="Q318" i="110" s="1"/>
  <c r="AZ34" i="13"/>
  <c r="BE34" i="13"/>
  <c r="AW34" i="13"/>
  <c r="BA34" i="13"/>
  <c r="BC34" i="13" s="1"/>
  <c r="BF34" i="13"/>
  <c r="AX34" i="13"/>
  <c r="BB34" i="13"/>
  <c r="AY34" i="13"/>
  <c r="BD34" i="13"/>
  <c r="BH64" i="13"/>
  <c r="AK64" i="13"/>
  <c r="AV64" i="13"/>
  <c r="AK333" i="110" s="1"/>
  <c r="AX64" i="13"/>
  <c r="BB64" i="13"/>
  <c r="AY64" i="13"/>
  <c r="BD64" i="13"/>
  <c r="AZ64" i="13"/>
  <c r="BE64" i="13"/>
  <c r="AH64" i="13"/>
  <c r="AN64" i="13"/>
  <c r="Q333" i="110" s="1"/>
  <c r="AW64" i="13"/>
  <c r="BA64" i="13"/>
  <c r="BF64" i="13"/>
  <c r="AC362" i="110"/>
  <c r="C106" i="110"/>
  <c r="B106" i="110" s="1"/>
  <c r="BC16" i="64"/>
  <c r="BE34" i="65"/>
  <c r="BE26" i="65"/>
  <c r="BB42" i="12"/>
  <c r="AK42" i="12"/>
  <c r="BB34" i="12"/>
  <c r="AK34" i="12"/>
  <c r="BB26" i="12"/>
  <c r="AK26" i="12"/>
  <c r="AK40" i="12"/>
  <c r="BB40" i="12"/>
  <c r="BB32" i="12"/>
  <c r="BE18" i="65"/>
  <c r="AK38" i="12"/>
  <c r="BB38" i="12"/>
  <c r="BB30" i="12"/>
  <c r="BB44" i="12"/>
  <c r="AK44" i="12"/>
  <c r="BB36" i="12"/>
  <c r="AK36" i="12"/>
  <c r="BB28" i="12"/>
  <c r="BE16" i="65"/>
  <c r="BE28" i="65"/>
  <c r="BE30" i="62"/>
  <c r="BC30" i="62"/>
  <c r="BC22" i="62"/>
  <c r="BE34" i="62"/>
  <c r="BC34" i="62"/>
  <c r="BE28" i="62"/>
  <c r="BC28" i="62"/>
  <c r="BC20" i="62"/>
  <c r="BE32" i="65"/>
  <c r="BE26" i="62"/>
  <c r="BC26" i="62"/>
  <c r="BE18" i="62"/>
  <c r="BC18" i="62"/>
  <c r="BE30" i="65"/>
  <c r="BE32" i="62"/>
  <c r="BC32" i="62"/>
  <c r="BC24" i="62"/>
  <c r="BE24" i="62"/>
  <c r="BC16" i="62"/>
  <c r="W55" i="110" s="1"/>
  <c r="AA181" i="110"/>
  <c r="BC30" i="65"/>
  <c r="W181" i="110" s="1"/>
  <c r="AA174" i="110"/>
  <c r="BC16" i="65"/>
  <c r="AA180" i="110"/>
  <c r="BC28" i="65"/>
  <c r="W180" i="110" s="1"/>
  <c r="AA176" i="110"/>
  <c r="BC20" i="65"/>
  <c r="AA183" i="110"/>
  <c r="BC34" i="65"/>
  <c r="W183" i="110" s="1"/>
  <c r="AA179" i="110"/>
  <c r="BC26" i="65"/>
  <c r="W179" i="110" s="1"/>
  <c r="AA175" i="110"/>
  <c r="BC18" i="65"/>
  <c r="W175" i="110" s="1"/>
  <c r="AA182" i="110"/>
  <c r="BC32" i="65"/>
  <c r="W182" i="110" s="1"/>
  <c r="AA178" i="110"/>
  <c r="BC24" i="65"/>
  <c r="AA177" i="110"/>
  <c r="BC22" i="65"/>
  <c r="AN22" i="65" s="1"/>
  <c r="BE22" i="65" s="1"/>
  <c r="AR200" i="113"/>
  <c r="AR200" i="78"/>
  <c r="AR200" i="70"/>
  <c r="AR200" i="80"/>
  <c r="AR200" i="49"/>
  <c r="AA62" i="110"/>
  <c r="AA61" i="110"/>
  <c r="AV16" i="62"/>
  <c r="O55" i="110" s="1"/>
  <c r="BA22" i="69"/>
  <c r="BE26" i="13"/>
  <c r="AW26" i="13"/>
  <c r="AY26" i="13"/>
  <c r="AH314" i="110" s="1"/>
  <c r="AH26" i="13"/>
  <c r="AX26" i="13"/>
  <c r="BA26" i="13" s="1"/>
  <c r="BB26" i="13"/>
  <c r="BD26" i="13"/>
  <c r="C125" i="110"/>
  <c r="B125" i="110" s="1"/>
  <c r="AA59" i="110"/>
  <c r="BB16" i="13"/>
  <c r="AW16" i="13"/>
  <c r="AF86" i="69"/>
  <c r="BH86" i="69" s="1"/>
  <c r="AF78" i="69"/>
  <c r="BH78" i="69" s="1"/>
  <c r="AF106" i="69"/>
  <c r="BH106" i="69" s="1"/>
  <c r="AF94" i="69"/>
  <c r="BH94" i="69" s="1"/>
  <c r="AF108" i="69"/>
  <c r="BH108" i="69" s="1"/>
  <c r="AF100" i="69"/>
  <c r="BH100" i="69" s="1"/>
  <c r="AF92" i="69"/>
  <c r="BH92" i="69" s="1"/>
  <c r="AF84" i="69"/>
  <c r="BH84" i="69" s="1"/>
  <c r="AF104" i="69"/>
  <c r="BH104" i="69" s="1"/>
  <c r="AY24" i="13"/>
  <c r="BD24" i="13"/>
  <c r="BE24" i="13"/>
  <c r="AH24" i="13"/>
  <c r="AW24" i="13"/>
  <c r="AX24" i="13"/>
  <c r="BB24" i="13"/>
  <c r="W468" i="110"/>
  <c r="W452" i="110"/>
  <c r="J459" i="110"/>
  <c r="AK26" i="69"/>
  <c r="BC22" i="69"/>
  <c r="AY22" i="69"/>
  <c r="AZ22" i="69"/>
  <c r="AV22" i="69"/>
  <c r="AL466" i="110"/>
  <c r="AN475" i="110"/>
  <c r="AF74" i="69"/>
  <c r="AZ74" i="69" s="1"/>
  <c r="AF72" i="69"/>
  <c r="AZ72" i="69" s="1"/>
  <c r="AF64" i="69"/>
  <c r="AH64" i="69" s="1"/>
  <c r="AF48" i="69"/>
  <c r="BH48" i="69" s="1"/>
  <c r="AF40" i="69"/>
  <c r="BH40" i="69" s="1"/>
  <c r="AF70" i="69"/>
  <c r="AZ70" i="69" s="1"/>
  <c r="AF54" i="69"/>
  <c r="AH54" i="69" s="1"/>
  <c r="AF46" i="69"/>
  <c r="BH46" i="69" s="1"/>
  <c r="AF44" i="69"/>
  <c r="AX44" i="69" s="1"/>
  <c r="AF36" i="69"/>
  <c r="AV36" i="69" s="1"/>
  <c r="AK396" i="110" s="1"/>
  <c r="AH16" i="69"/>
  <c r="BF16" i="69" s="1"/>
  <c r="M475" i="110"/>
  <c r="S475" i="110"/>
  <c r="V475" i="110"/>
  <c r="N16" i="70"/>
  <c r="R473" i="110"/>
  <c r="P475" i="110"/>
  <c r="AL475" i="110"/>
  <c r="AL470" i="110"/>
  <c r="S466" i="110"/>
  <c r="R475" i="110"/>
  <c r="AM475" i="110"/>
  <c r="R466" i="110"/>
  <c r="K466" i="110"/>
  <c r="CG2" i="110"/>
  <c r="G14" i="81"/>
  <c r="V466" i="110"/>
  <c r="J475" i="110"/>
  <c r="P26" i="79"/>
  <c r="W26" i="78"/>
  <c r="AL486" i="110"/>
  <c r="AB28" i="80"/>
  <c r="R6" i="109"/>
  <c r="L34" i="81"/>
  <c r="J18" i="14"/>
  <c r="W469" i="110"/>
  <c r="AH28" i="13"/>
  <c r="AW28" i="13"/>
  <c r="BE28" i="13"/>
  <c r="AX28" i="13"/>
  <c r="AG315" i="110" s="1"/>
  <c r="BB28" i="13"/>
  <c r="AY28" i="13"/>
  <c r="AH315" i="110" s="1"/>
  <c r="BD28" i="13"/>
  <c r="X50" i="110"/>
  <c r="BC108" i="12"/>
  <c r="P97" i="110"/>
  <c r="R97" i="110"/>
  <c r="C97" i="110" s="1"/>
  <c r="B97" i="110" s="1"/>
  <c r="P93" i="110"/>
  <c r="R93" i="110"/>
  <c r="C93" i="110" s="1"/>
  <c r="B93" i="110" s="1"/>
  <c r="P85" i="110"/>
  <c r="R85" i="110"/>
  <c r="C85" i="110" s="1"/>
  <c r="B85" i="110" s="1"/>
  <c r="P77" i="110"/>
  <c r="R77" i="110"/>
  <c r="C77" i="110" s="1"/>
  <c r="B77" i="110" s="1"/>
  <c r="W69" i="110"/>
  <c r="R69" i="110"/>
  <c r="P101" i="110"/>
  <c r="R101" i="110"/>
  <c r="C101" i="110" s="1"/>
  <c r="B101" i="110" s="1"/>
  <c r="P89" i="110"/>
  <c r="R89" i="110"/>
  <c r="C89" i="110" s="1"/>
  <c r="B89" i="110" s="1"/>
  <c r="P81" i="110"/>
  <c r="R81" i="110"/>
  <c r="C81" i="110" s="1"/>
  <c r="B81" i="110" s="1"/>
  <c r="R73" i="110"/>
  <c r="R65" i="110"/>
  <c r="P100" i="110"/>
  <c r="R100" i="110"/>
  <c r="C100" i="110" s="1"/>
  <c r="B100" i="110" s="1"/>
  <c r="W96" i="110"/>
  <c r="P96" i="110"/>
  <c r="R96" i="110"/>
  <c r="C96" i="110" s="1"/>
  <c r="B96" i="110" s="1"/>
  <c r="P92" i="110"/>
  <c r="R92" i="110"/>
  <c r="C92" i="110" s="1"/>
  <c r="B92" i="110" s="1"/>
  <c r="P88" i="110"/>
  <c r="R88" i="110"/>
  <c r="C88" i="110" s="1"/>
  <c r="B88" i="110" s="1"/>
  <c r="P84" i="110"/>
  <c r="R84" i="110"/>
  <c r="C84" i="110" s="1"/>
  <c r="B84" i="110" s="1"/>
  <c r="W80" i="110"/>
  <c r="P80" i="110"/>
  <c r="R80" i="110"/>
  <c r="C80" i="110" s="1"/>
  <c r="B80" i="110" s="1"/>
  <c r="W76" i="110"/>
  <c r="P76" i="110"/>
  <c r="R76" i="110"/>
  <c r="C76" i="110" s="1"/>
  <c r="B76" i="110" s="1"/>
  <c r="W72" i="110"/>
  <c r="R72" i="110"/>
  <c r="R68" i="110"/>
  <c r="R103" i="110"/>
  <c r="C103" i="110" s="1"/>
  <c r="B103" i="110" s="1"/>
  <c r="P103" i="110"/>
  <c r="P99" i="110"/>
  <c r="R99" i="110"/>
  <c r="C99" i="110" s="1"/>
  <c r="B99" i="110" s="1"/>
  <c r="P95" i="110"/>
  <c r="R95" i="110"/>
  <c r="C95" i="110" s="1"/>
  <c r="B95" i="110" s="1"/>
  <c r="W91" i="110"/>
  <c r="P91" i="110"/>
  <c r="R91" i="110"/>
  <c r="C91" i="110" s="1"/>
  <c r="B91" i="110" s="1"/>
  <c r="P87" i="110"/>
  <c r="R87" i="110"/>
  <c r="C87" i="110" s="1"/>
  <c r="B87" i="110" s="1"/>
  <c r="P83" i="110"/>
  <c r="R83" i="110"/>
  <c r="C83" i="110" s="1"/>
  <c r="B83" i="110" s="1"/>
  <c r="P79" i="110"/>
  <c r="R79" i="110"/>
  <c r="C79" i="110" s="1"/>
  <c r="B79" i="110" s="1"/>
  <c r="P75" i="110"/>
  <c r="R75" i="110"/>
  <c r="C75" i="110" s="1"/>
  <c r="B75" i="110" s="1"/>
  <c r="R71" i="110"/>
  <c r="R67" i="110"/>
  <c r="W102" i="110"/>
  <c r="P102" i="110"/>
  <c r="R102" i="110"/>
  <c r="C102" i="110" s="1"/>
  <c r="B102" i="110" s="1"/>
  <c r="W98" i="110"/>
  <c r="P98" i="110"/>
  <c r="R98" i="110"/>
  <c r="C98" i="110" s="1"/>
  <c r="B98" i="110" s="1"/>
  <c r="P94" i="110"/>
  <c r="R94" i="110"/>
  <c r="C94" i="110" s="1"/>
  <c r="B94" i="110" s="1"/>
  <c r="W90" i="110"/>
  <c r="P90" i="110"/>
  <c r="R90" i="110"/>
  <c r="C90" i="110" s="1"/>
  <c r="B90" i="110" s="1"/>
  <c r="W86" i="110"/>
  <c r="P86" i="110"/>
  <c r="R86" i="110"/>
  <c r="C86" i="110" s="1"/>
  <c r="B86" i="110" s="1"/>
  <c r="W82" i="110"/>
  <c r="P82" i="110"/>
  <c r="R82" i="110"/>
  <c r="C82" i="110" s="1"/>
  <c r="B82" i="110" s="1"/>
  <c r="P78" i="110"/>
  <c r="R78" i="110"/>
  <c r="C78" i="110" s="1"/>
  <c r="B78" i="110" s="1"/>
  <c r="W70" i="110"/>
  <c r="R70" i="110"/>
  <c r="W66" i="110"/>
  <c r="R66" i="110"/>
  <c r="W235" i="110"/>
  <c r="W259" i="110"/>
  <c r="AK100" i="13"/>
  <c r="AV100" i="13"/>
  <c r="AK351" i="110" s="1"/>
  <c r="AH100" i="13"/>
  <c r="AW100" i="13"/>
  <c r="BA100" i="13"/>
  <c r="BF100" i="13"/>
  <c r="AX100" i="13"/>
  <c r="AG351" i="110" s="1"/>
  <c r="BB100" i="13"/>
  <c r="AN100" i="13"/>
  <c r="Q351" i="110" s="1"/>
  <c r="AY100" i="13"/>
  <c r="AH351" i="110" s="1"/>
  <c r="AZ100" i="13"/>
  <c r="BD100" i="13"/>
  <c r="BE100" i="13"/>
  <c r="AK84" i="13"/>
  <c r="AV84" i="13"/>
  <c r="AK343" i="110" s="1"/>
  <c r="AH84" i="13"/>
  <c r="AW84" i="13"/>
  <c r="BA84" i="13"/>
  <c r="BF84" i="13"/>
  <c r="AX84" i="13"/>
  <c r="AG343" i="110" s="1"/>
  <c r="BB84" i="13"/>
  <c r="AY84" i="13"/>
  <c r="BD84" i="13"/>
  <c r="AZ84" i="13"/>
  <c r="AN84" i="13"/>
  <c r="Q343" i="110" s="1"/>
  <c r="BE84" i="13"/>
  <c r="AK68" i="13"/>
  <c r="AV68" i="13"/>
  <c r="AK335" i="110" s="1"/>
  <c r="AH68" i="13"/>
  <c r="AW68" i="13"/>
  <c r="BA68" i="13"/>
  <c r="BF68" i="13"/>
  <c r="AX68" i="13"/>
  <c r="AG335" i="110" s="1"/>
  <c r="BB68" i="13"/>
  <c r="AN68" i="13"/>
  <c r="Q335" i="110" s="1"/>
  <c r="AY68" i="13"/>
  <c r="AH335" i="110" s="1"/>
  <c r="AZ68" i="13"/>
  <c r="BD68" i="13"/>
  <c r="BE68" i="13"/>
  <c r="AK98" i="13"/>
  <c r="AV98" i="13"/>
  <c r="AK350" i="110" s="1"/>
  <c r="AY98" i="13"/>
  <c r="BD98" i="13"/>
  <c r="AZ98" i="13"/>
  <c r="BE98" i="13"/>
  <c r="AN98" i="13"/>
  <c r="Q350" i="110" s="1"/>
  <c r="BA98" i="13"/>
  <c r="AW98" i="13"/>
  <c r="BB98" i="13"/>
  <c r="BF98" i="13"/>
  <c r="AH98" i="13"/>
  <c r="AX98" i="13"/>
  <c r="AG350" i="110" s="1"/>
  <c r="AK82" i="13"/>
  <c r="AV82" i="13"/>
  <c r="AK342" i="110" s="1"/>
  <c r="AY82" i="13"/>
  <c r="AH342" i="110" s="1"/>
  <c r="BD82" i="13"/>
  <c r="AN82" i="13"/>
  <c r="Q342" i="110" s="1"/>
  <c r="AZ82" i="13"/>
  <c r="BE82" i="13"/>
  <c r="BA82" i="13"/>
  <c r="BF82" i="13"/>
  <c r="AX82" i="13"/>
  <c r="AH82" i="13"/>
  <c r="BB82" i="13"/>
  <c r="AW82" i="13"/>
  <c r="AK66" i="13"/>
  <c r="AV66" i="13"/>
  <c r="AK334" i="110" s="1"/>
  <c r="AY66" i="13"/>
  <c r="AH334" i="110" s="1"/>
  <c r="BD66" i="13"/>
  <c r="AN66" i="13"/>
  <c r="Q334" i="110" s="1"/>
  <c r="AZ66" i="13"/>
  <c r="BE66" i="13"/>
  <c r="BA66" i="13"/>
  <c r="AW66" i="13"/>
  <c r="AH66" i="13"/>
  <c r="BB66" i="13"/>
  <c r="BF66" i="13"/>
  <c r="AX66" i="13"/>
  <c r="AK357" i="110"/>
  <c r="AG357" i="110"/>
  <c r="AH357" i="110"/>
  <c r="AK104" i="13"/>
  <c r="AV104" i="13"/>
  <c r="AK353" i="110" s="1"/>
  <c r="AW104" i="13"/>
  <c r="BA104" i="13"/>
  <c r="BF104" i="13"/>
  <c r="BB104" i="13"/>
  <c r="AH104" i="13"/>
  <c r="AN104" i="13"/>
  <c r="Q353" i="110" s="1"/>
  <c r="AX104" i="13"/>
  <c r="AG353" i="110" s="1"/>
  <c r="AZ104" i="13"/>
  <c r="BE104" i="13"/>
  <c r="AY104" i="13"/>
  <c r="AH353" i="110" s="1"/>
  <c r="BD104" i="13"/>
  <c r="AK96" i="13"/>
  <c r="AV96" i="13"/>
  <c r="AK349" i="110" s="1"/>
  <c r="AW96" i="13"/>
  <c r="BA96" i="13"/>
  <c r="BF96" i="13"/>
  <c r="AN96" i="13"/>
  <c r="Q349" i="110" s="1"/>
  <c r="AX96" i="13"/>
  <c r="AG349" i="110" s="1"/>
  <c r="BB96" i="13"/>
  <c r="AH96" i="13"/>
  <c r="BE96" i="13"/>
  <c r="BD96" i="13"/>
  <c r="AY96" i="13"/>
  <c r="AH349" i="110" s="1"/>
  <c r="AZ96" i="13"/>
  <c r="AK88" i="13"/>
  <c r="AV88" i="13"/>
  <c r="AK345" i="110" s="1"/>
  <c r="AW88" i="13"/>
  <c r="BA88" i="13"/>
  <c r="BF88" i="13"/>
  <c r="AH88" i="13"/>
  <c r="AN88" i="13"/>
  <c r="Q345" i="110" s="1"/>
  <c r="AX88" i="13"/>
  <c r="AG345" i="110" s="1"/>
  <c r="BB88" i="13"/>
  <c r="AZ88" i="13"/>
  <c r="BD88" i="13"/>
  <c r="BE88" i="13"/>
  <c r="AY88" i="13"/>
  <c r="AH345" i="110" s="1"/>
  <c r="AK80" i="13"/>
  <c r="AV80" i="13"/>
  <c r="AK341" i="110" s="1"/>
  <c r="AW80" i="13"/>
  <c r="BA80" i="13"/>
  <c r="BF80" i="13"/>
  <c r="AN80" i="13"/>
  <c r="Q341" i="110" s="1"/>
  <c r="AX80" i="13"/>
  <c r="AG341" i="110" s="1"/>
  <c r="BB80" i="13"/>
  <c r="AH80" i="13"/>
  <c r="BE80" i="13"/>
  <c r="AZ80" i="13"/>
  <c r="AY80" i="13"/>
  <c r="AH341" i="110" s="1"/>
  <c r="BD80" i="13"/>
  <c r="AK72" i="13"/>
  <c r="AV72" i="13"/>
  <c r="AK337" i="110" s="1"/>
  <c r="AW72" i="13"/>
  <c r="BA72" i="13"/>
  <c r="BF72" i="13"/>
  <c r="AH72" i="13"/>
  <c r="AN72" i="13"/>
  <c r="Q337" i="110" s="1"/>
  <c r="AX72" i="13"/>
  <c r="AG337" i="110" s="1"/>
  <c r="BB72" i="13"/>
  <c r="AZ72" i="13"/>
  <c r="BE72" i="13"/>
  <c r="BD72" i="13"/>
  <c r="AY72" i="13"/>
  <c r="AH337" i="110" s="1"/>
  <c r="AK355" i="110"/>
  <c r="AH355" i="110"/>
  <c r="J355" i="110"/>
  <c r="AK92" i="13"/>
  <c r="AV92" i="13"/>
  <c r="AK347" i="110" s="1"/>
  <c r="AH92" i="13"/>
  <c r="AW92" i="13"/>
  <c r="BA92" i="13"/>
  <c r="BF92" i="13"/>
  <c r="AX92" i="13"/>
  <c r="AG347" i="110" s="1"/>
  <c r="BB92" i="13"/>
  <c r="BD92" i="13"/>
  <c r="AN92" i="13"/>
  <c r="Q347" i="110" s="1"/>
  <c r="AZ92" i="13"/>
  <c r="BE92" i="13"/>
  <c r="AY92" i="13"/>
  <c r="AH347" i="110" s="1"/>
  <c r="AK76" i="13"/>
  <c r="AV76" i="13"/>
  <c r="AK339" i="110" s="1"/>
  <c r="AH76" i="13"/>
  <c r="AW76" i="13"/>
  <c r="BA76" i="13"/>
  <c r="BF76" i="13"/>
  <c r="AX76" i="13"/>
  <c r="AG339" i="110" s="1"/>
  <c r="BB76" i="13"/>
  <c r="BD76" i="13"/>
  <c r="AY76" i="13"/>
  <c r="AH339" i="110" s="1"/>
  <c r="AN76" i="13"/>
  <c r="Q339" i="110" s="1"/>
  <c r="BE76" i="13"/>
  <c r="AZ76" i="13"/>
  <c r="AK106" i="13"/>
  <c r="AV106" i="13"/>
  <c r="AK354" i="110" s="1"/>
  <c r="AY106" i="13"/>
  <c r="AH354" i="110" s="1"/>
  <c r="BD106" i="13"/>
  <c r="BE106" i="13"/>
  <c r="AN106" i="13"/>
  <c r="Q354" i="110" s="1"/>
  <c r="AZ106" i="13"/>
  <c r="AH106" i="13"/>
  <c r="AW106" i="13"/>
  <c r="BF106" i="13"/>
  <c r="AX106" i="13"/>
  <c r="AG354" i="110" s="1"/>
  <c r="BA106" i="13"/>
  <c r="BC106" i="13" s="1"/>
  <c r="BB106" i="13"/>
  <c r="AK90" i="13"/>
  <c r="AV90" i="13"/>
  <c r="AK346" i="110" s="1"/>
  <c r="AY90" i="13"/>
  <c r="AH346" i="110" s="1"/>
  <c r="BD90" i="13"/>
  <c r="AN90" i="13"/>
  <c r="Q346" i="110" s="1"/>
  <c r="AZ90" i="13"/>
  <c r="BE90" i="13"/>
  <c r="AW90" i="13"/>
  <c r="BF90" i="13"/>
  <c r="BA90" i="13"/>
  <c r="AX90" i="13"/>
  <c r="AG346" i="110" s="1"/>
  <c r="AH90" i="13"/>
  <c r="BB90" i="13"/>
  <c r="AK74" i="13"/>
  <c r="AV74" i="13"/>
  <c r="AK338" i="110" s="1"/>
  <c r="AY74" i="13"/>
  <c r="AH338" i="110" s="1"/>
  <c r="BD74" i="13"/>
  <c r="AZ74" i="13"/>
  <c r="BE74" i="13"/>
  <c r="AN74" i="13"/>
  <c r="Q338" i="110" s="1"/>
  <c r="AH74" i="13"/>
  <c r="AW74" i="13"/>
  <c r="BF74" i="13"/>
  <c r="BB74" i="13"/>
  <c r="AX74" i="13"/>
  <c r="AG338" i="110" s="1"/>
  <c r="BA74" i="13"/>
  <c r="AK356" i="110"/>
  <c r="AH356" i="110"/>
  <c r="AG356" i="110"/>
  <c r="AK102" i="13"/>
  <c r="AV102" i="13"/>
  <c r="AK352" i="110" s="1"/>
  <c r="AN102" i="13"/>
  <c r="Q352" i="110" s="1"/>
  <c r="AY102" i="13"/>
  <c r="AH352" i="110" s="1"/>
  <c r="BD102" i="13"/>
  <c r="AH102" i="13"/>
  <c r="AZ102" i="13"/>
  <c r="BE102" i="13"/>
  <c r="BB102" i="13"/>
  <c r="AX102" i="13"/>
  <c r="AW102" i="13"/>
  <c r="BF102" i="13"/>
  <c r="BA102" i="13"/>
  <c r="AK94" i="13"/>
  <c r="AV94" i="13"/>
  <c r="AK348" i="110" s="1"/>
  <c r="AN94" i="13"/>
  <c r="Q348" i="110" s="1"/>
  <c r="AY94" i="13"/>
  <c r="AH348" i="110" s="1"/>
  <c r="BD94" i="13"/>
  <c r="AH94" i="13"/>
  <c r="AZ94" i="13"/>
  <c r="BE94" i="13"/>
  <c r="AX94" i="13"/>
  <c r="AG348" i="110" s="1"/>
  <c r="BB94" i="13"/>
  <c r="BF94" i="13"/>
  <c r="BA94" i="13"/>
  <c r="AW94" i="13"/>
  <c r="AK86" i="13"/>
  <c r="AV86" i="13"/>
  <c r="AK344" i="110" s="1"/>
  <c r="AN86" i="13"/>
  <c r="Q344" i="110" s="1"/>
  <c r="AY86" i="13"/>
  <c r="AH344" i="110" s="1"/>
  <c r="BD86" i="13"/>
  <c r="AH86" i="13"/>
  <c r="AZ86" i="13"/>
  <c r="BE86" i="13"/>
  <c r="BB86" i="13"/>
  <c r="BA86" i="13"/>
  <c r="AW86" i="13"/>
  <c r="BF86" i="13"/>
  <c r="AX86" i="13"/>
  <c r="AG344" i="110" s="1"/>
  <c r="AK78" i="13"/>
  <c r="AV78" i="13"/>
  <c r="AK340" i="110" s="1"/>
  <c r="AN78" i="13"/>
  <c r="Q340" i="110" s="1"/>
  <c r="AY78" i="13"/>
  <c r="AH340" i="110" s="1"/>
  <c r="BD78" i="13"/>
  <c r="AH78" i="13"/>
  <c r="AZ78" i="13"/>
  <c r="BE78" i="13"/>
  <c r="AX78" i="13"/>
  <c r="AG340" i="110" s="1"/>
  <c r="AW78" i="13"/>
  <c r="BA78" i="13"/>
  <c r="BB78" i="13"/>
  <c r="BF78" i="13"/>
  <c r="AK70" i="13"/>
  <c r="AV70" i="13"/>
  <c r="AK336" i="110" s="1"/>
  <c r="AN70" i="13"/>
  <c r="Q336" i="110" s="1"/>
  <c r="AY70" i="13"/>
  <c r="AH336" i="110" s="1"/>
  <c r="BD70" i="13"/>
  <c r="AH70" i="13"/>
  <c r="AZ70" i="13"/>
  <c r="BE70" i="13"/>
  <c r="BB70" i="13"/>
  <c r="AX70" i="13"/>
  <c r="AG336" i="110" s="1"/>
  <c r="BA70" i="13"/>
  <c r="AW70" i="13"/>
  <c r="BF70" i="13"/>
  <c r="BE22" i="13"/>
  <c r="AY22" i="13"/>
  <c r="AW22" i="13"/>
  <c r="AH22" i="13"/>
  <c r="AX22" i="13"/>
  <c r="BB22" i="13"/>
  <c r="BD22" i="13"/>
  <c r="I8" i="110"/>
  <c r="AU22" i="70"/>
  <c r="AK22" i="70"/>
  <c r="AH22" i="70"/>
  <c r="X30" i="51"/>
  <c r="AH16" i="51" s="1"/>
  <c r="AC365" i="110"/>
  <c r="AM466" i="110"/>
  <c r="M466" i="110"/>
  <c r="I466" i="110"/>
  <c r="J466" i="110"/>
  <c r="W475" i="110"/>
  <c r="AM473" i="110"/>
  <c r="AN466" i="110"/>
  <c r="I475" i="110"/>
  <c r="AM451" i="110"/>
  <c r="M471" i="110"/>
  <c r="I451" i="110"/>
  <c r="AL477" i="110"/>
  <c r="K470" i="110"/>
  <c r="J486" i="110"/>
  <c r="W480" i="110"/>
  <c r="S470" i="110"/>
  <c r="AM480" i="110"/>
  <c r="V462" i="110"/>
  <c r="R484" i="110"/>
  <c r="P451" i="110"/>
  <c r="AN480" i="110"/>
  <c r="AL460" i="110"/>
  <c r="AN447" i="110"/>
  <c r="R474" i="110"/>
  <c r="V480" i="110"/>
  <c r="R480" i="110"/>
  <c r="P477" i="110"/>
  <c r="P484" i="110"/>
  <c r="P457" i="110"/>
  <c r="K457" i="110"/>
  <c r="AM447" i="110"/>
  <c r="P480" i="110"/>
  <c r="AM474" i="110"/>
  <c r="M477" i="110"/>
  <c r="R462" i="110"/>
  <c r="I462" i="110"/>
  <c r="P447" i="110"/>
  <c r="R471" i="110"/>
  <c r="V474" i="110"/>
  <c r="AL474" i="110"/>
  <c r="AM458" i="110"/>
  <c r="AM459" i="110"/>
  <c r="R451" i="110"/>
  <c r="V451" i="110"/>
  <c r="R447" i="110"/>
  <c r="M447" i="110"/>
  <c r="AL471" i="110"/>
  <c r="K451" i="110"/>
  <c r="I471" i="110"/>
  <c r="P474" i="110"/>
  <c r="AN474" i="110"/>
  <c r="S474" i="110"/>
  <c r="M482" i="110"/>
  <c r="AM482" i="110"/>
  <c r="AN451" i="110"/>
  <c r="AL451" i="110"/>
  <c r="M451" i="110"/>
  <c r="AL447" i="110"/>
  <c r="V447" i="110"/>
  <c r="S471" i="110"/>
  <c r="W471" i="110"/>
  <c r="J451" i="110"/>
  <c r="K471" i="110"/>
  <c r="M474" i="110"/>
  <c r="P482" i="110"/>
  <c r="S451" i="110"/>
  <c r="S447" i="110"/>
  <c r="W447" i="110"/>
  <c r="AM471" i="110"/>
  <c r="P471" i="110"/>
  <c r="AH30" i="80"/>
  <c r="P28" i="79"/>
  <c r="N36" i="81"/>
  <c r="X6" i="109"/>
  <c r="J28" i="80"/>
  <c r="U34" i="81"/>
  <c r="R263" i="110"/>
  <c r="C263" i="110" s="1"/>
  <c r="B263" i="110" s="1"/>
  <c r="W255" i="110"/>
  <c r="R256" i="110"/>
  <c r="C256" i="110" s="1"/>
  <c r="B256" i="110" s="1"/>
  <c r="P256" i="110"/>
  <c r="K447" i="110"/>
  <c r="AN453" i="110"/>
  <c r="J447" i="110"/>
  <c r="AL453" i="110"/>
  <c r="M453" i="110"/>
  <c r="K449" i="110"/>
  <c r="AM457" i="110"/>
  <c r="W260" i="110"/>
  <c r="R260" i="110"/>
  <c r="C260" i="110" s="1"/>
  <c r="B260" i="110" s="1"/>
  <c r="AU28" i="66"/>
  <c r="AU20" i="66"/>
  <c r="K217" i="110" s="1"/>
  <c r="AU34" i="66"/>
  <c r="AU26" i="66"/>
  <c r="K220" i="110" s="1"/>
  <c r="AU18" i="66"/>
  <c r="AN18" i="66" s="1"/>
  <c r="H216" i="110" s="1"/>
  <c r="AU40" i="12"/>
  <c r="K16" i="110" s="1"/>
  <c r="AZ40" i="12"/>
  <c r="AN40" i="12"/>
  <c r="AW40" i="12"/>
  <c r="AG16" i="110" s="1"/>
  <c r="BA40" i="12"/>
  <c r="AX40" i="12"/>
  <c r="AH16" i="110" s="1"/>
  <c r="AY40" i="12"/>
  <c r="BC40" i="12"/>
  <c r="AZ32" i="12"/>
  <c r="AW32" i="12"/>
  <c r="AG12" i="110" s="1"/>
  <c r="BA32" i="12"/>
  <c r="AX32" i="12"/>
  <c r="AH12" i="110" s="1"/>
  <c r="BC32" i="12"/>
  <c r="AY32" i="12"/>
  <c r="AZ24" i="12"/>
  <c r="AW24" i="12"/>
  <c r="AG8" i="110" s="1"/>
  <c r="BA24" i="12"/>
  <c r="AX24" i="12"/>
  <c r="AH8" i="110" s="1"/>
  <c r="BC24" i="12"/>
  <c r="AY24" i="12"/>
  <c r="AA60" i="110"/>
  <c r="AA56" i="110"/>
  <c r="AN26" i="62"/>
  <c r="AY26" i="62"/>
  <c r="AU26" i="62"/>
  <c r="K60" i="110" s="1"/>
  <c r="AZ26" i="62"/>
  <c r="AW26" i="62"/>
  <c r="AK26" i="62"/>
  <c r="AX26" i="62"/>
  <c r="AN18" i="62"/>
  <c r="AY18" i="62"/>
  <c r="AU18" i="62"/>
  <c r="K56" i="110" s="1"/>
  <c r="AZ18" i="62"/>
  <c r="AW18" i="62"/>
  <c r="AK18" i="62"/>
  <c r="AX18" i="62"/>
  <c r="AA157" i="110"/>
  <c r="AU16" i="64"/>
  <c r="K157" i="110" s="1"/>
  <c r="AN38" i="12"/>
  <c r="AX38" i="12"/>
  <c r="AH15" i="110" s="1"/>
  <c r="AY38" i="12"/>
  <c r="BC38" i="12"/>
  <c r="AU38" i="12"/>
  <c r="K15" i="110" s="1"/>
  <c r="AZ38" i="12"/>
  <c r="AW38" i="12"/>
  <c r="AG15" i="110" s="1"/>
  <c r="BA38" i="12"/>
  <c r="AX30" i="12"/>
  <c r="AH11" i="110" s="1"/>
  <c r="AY30" i="12"/>
  <c r="BC30" i="12"/>
  <c r="AZ30" i="12"/>
  <c r="BA30" i="12"/>
  <c r="AW30" i="12"/>
  <c r="AG11" i="110" s="1"/>
  <c r="AA63" i="110"/>
  <c r="AU32" i="62"/>
  <c r="K63" i="110" s="1"/>
  <c r="AY32" i="62"/>
  <c r="AZ32" i="62"/>
  <c r="AK32" i="62"/>
  <c r="AW32" i="62"/>
  <c r="AN32" i="62"/>
  <c r="AX32" i="62"/>
  <c r="AU24" i="62"/>
  <c r="K59" i="110" s="1"/>
  <c r="AZ24" i="62"/>
  <c r="AW24" i="62" s="1"/>
  <c r="AX24" i="62"/>
  <c r="AY24" i="62"/>
  <c r="AU32" i="66"/>
  <c r="K223" i="110" s="1"/>
  <c r="AU24" i="66"/>
  <c r="K219" i="110" s="1"/>
  <c r="AX22" i="12"/>
  <c r="AH7" i="110" s="1"/>
  <c r="AY22" i="12"/>
  <c r="BC22" i="12"/>
  <c r="AZ22" i="12"/>
  <c r="AW22" i="12"/>
  <c r="AG7" i="110" s="1"/>
  <c r="BA22" i="12"/>
  <c r="AU44" i="12"/>
  <c r="K18" i="110" s="1"/>
  <c r="AZ44" i="12"/>
  <c r="BC44" i="12"/>
  <c r="AW44" i="12"/>
  <c r="AG18" i="110" s="1"/>
  <c r="BA44" i="12"/>
  <c r="AX44" i="12"/>
  <c r="AH18" i="110" s="1"/>
  <c r="AN44" i="12"/>
  <c r="AY44" i="12"/>
  <c r="AU36" i="12"/>
  <c r="K14" i="110" s="1"/>
  <c r="AZ36" i="12"/>
  <c r="BC36" i="12"/>
  <c r="AW36" i="12"/>
  <c r="AG14" i="110" s="1"/>
  <c r="BA36" i="12"/>
  <c r="AX36" i="12"/>
  <c r="AH14" i="110" s="1"/>
  <c r="AN36" i="12"/>
  <c r="AY36" i="12"/>
  <c r="AZ28" i="12"/>
  <c r="BC28" i="12"/>
  <c r="AW28" i="12"/>
  <c r="AG10" i="110" s="1"/>
  <c r="BA28" i="12"/>
  <c r="AX28" i="12"/>
  <c r="AH10" i="110" s="1"/>
  <c r="AY28" i="12"/>
  <c r="AA58" i="110"/>
  <c r="AW30" i="62"/>
  <c r="AK30" i="62"/>
  <c r="AX30" i="62"/>
  <c r="AN30" i="62"/>
  <c r="AY30" i="62"/>
  <c r="AU30" i="62"/>
  <c r="K62" i="110" s="1"/>
  <c r="AZ30" i="62"/>
  <c r="AX22" i="62"/>
  <c r="AY22" i="62"/>
  <c r="AZ22" i="62"/>
  <c r="AW22" i="62" s="1"/>
  <c r="AU22" i="62"/>
  <c r="K58" i="110" s="1"/>
  <c r="AU30" i="66"/>
  <c r="AU22" i="66"/>
  <c r="AA64" i="110"/>
  <c r="AN34" i="62"/>
  <c r="AX34" i="62"/>
  <c r="AY34" i="62"/>
  <c r="AU34" i="62"/>
  <c r="K64" i="110" s="1"/>
  <c r="AZ34" i="62"/>
  <c r="AW34" i="62"/>
  <c r="AK34" i="62"/>
  <c r="BC18" i="12"/>
  <c r="AX18" i="12"/>
  <c r="AH5" i="110" s="1"/>
  <c r="AY18" i="12"/>
  <c r="AZ18" i="12"/>
  <c r="BA18" i="12"/>
  <c r="AW18" i="12"/>
  <c r="AG5" i="110" s="1"/>
  <c r="BC42" i="12"/>
  <c r="AX42" i="12"/>
  <c r="AH17" i="110" s="1"/>
  <c r="AY42" i="12"/>
  <c r="AN42" i="12"/>
  <c r="AU42" i="12"/>
  <c r="K17" i="110" s="1"/>
  <c r="AZ42" i="12"/>
  <c r="AW42" i="12"/>
  <c r="AG17" i="110" s="1"/>
  <c r="BA42" i="12"/>
  <c r="BC34" i="12"/>
  <c r="AX34" i="12"/>
  <c r="AH13" i="110" s="1"/>
  <c r="AY34" i="12"/>
  <c r="AN34" i="12"/>
  <c r="AU34" i="12"/>
  <c r="K13" i="110" s="1"/>
  <c r="AZ34" i="12"/>
  <c r="BA34" i="12"/>
  <c r="AW34" i="12"/>
  <c r="AG13" i="110" s="1"/>
  <c r="BC26" i="12"/>
  <c r="AX26" i="12"/>
  <c r="AH9" i="110" s="1"/>
  <c r="AY26" i="12"/>
  <c r="AN26" i="12"/>
  <c r="AU26" i="12"/>
  <c r="AZ26" i="12"/>
  <c r="AW26" i="12"/>
  <c r="AG9" i="110" s="1"/>
  <c r="BA26" i="12"/>
  <c r="AA57" i="110"/>
  <c r="AK28" i="62"/>
  <c r="AX28" i="62"/>
  <c r="AN28" i="62"/>
  <c r="AY28" i="62"/>
  <c r="AU28" i="62"/>
  <c r="K61" i="110" s="1"/>
  <c r="AZ28" i="62"/>
  <c r="AW28" i="62"/>
  <c r="AX20" i="62"/>
  <c r="AY20" i="62"/>
  <c r="AU20" i="62"/>
  <c r="AZ20" i="62"/>
  <c r="AW20" i="62" s="1"/>
  <c r="AA215" i="110"/>
  <c r="AU16" i="66"/>
  <c r="K215" i="110" s="1"/>
  <c r="AA221" i="110"/>
  <c r="AA217" i="110"/>
  <c r="AA224" i="110"/>
  <c r="AA220" i="110"/>
  <c r="AA216" i="110"/>
  <c r="AA222" i="110"/>
  <c r="AA218" i="110"/>
  <c r="AA223" i="110"/>
  <c r="AA219" i="110"/>
  <c r="P251" i="110"/>
  <c r="P263" i="110"/>
  <c r="W247" i="110"/>
  <c r="R251" i="110"/>
  <c r="C251" i="110" s="1"/>
  <c r="B251" i="110" s="1"/>
  <c r="P259" i="110"/>
  <c r="P255" i="110"/>
  <c r="P247" i="110"/>
  <c r="P231" i="110"/>
  <c r="R235" i="110"/>
  <c r="C235" i="110" s="1"/>
  <c r="B235" i="110" s="1"/>
  <c r="W231" i="110"/>
  <c r="W243" i="110"/>
  <c r="P243" i="110"/>
  <c r="X331" i="110"/>
  <c r="X327" i="110"/>
  <c r="X323" i="110"/>
  <c r="X319" i="110"/>
  <c r="X315" i="110"/>
  <c r="X336" i="110"/>
  <c r="X332" i="110"/>
  <c r="X330" i="110"/>
  <c r="X326" i="110"/>
  <c r="X322" i="110"/>
  <c r="X318" i="110"/>
  <c r="X335" i="110"/>
  <c r="BE16" i="13"/>
  <c r="BD16" i="13"/>
  <c r="X329" i="110"/>
  <c r="X325" i="110"/>
  <c r="X321" i="110"/>
  <c r="X317" i="110"/>
  <c r="X338" i="110"/>
  <c r="X334" i="110"/>
  <c r="X328" i="110"/>
  <c r="X324" i="110"/>
  <c r="X320" i="110"/>
  <c r="X316" i="110"/>
  <c r="X337" i="110"/>
  <c r="X333" i="110"/>
  <c r="M465" i="110"/>
  <c r="V461" i="110"/>
  <c r="J452" i="110"/>
  <c r="O170" i="110"/>
  <c r="R170" i="110"/>
  <c r="L170" i="110" s="1"/>
  <c r="N170" i="110"/>
  <c r="W170" i="110"/>
  <c r="W169" i="110"/>
  <c r="R169" i="110"/>
  <c r="L169" i="110" s="1"/>
  <c r="N169" i="110"/>
  <c r="O169" i="110"/>
  <c r="AM448" i="110"/>
  <c r="R464" i="110"/>
  <c r="S469" i="110"/>
  <c r="P458" i="110"/>
  <c r="AL464" i="110"/>
  <c r="AN470" i="110"/>
  <c r="P470" i="110"/>
  <c r="J470" i="110"/>
  <c r="V464" i="110"/>
  <c r="AM470" i="110"/>
  <c r="V470" i="110"/>
  <c r="I470" i="110"/>
  <c r="I458" i="110"/>
  <c r="S464" i="110"/>
  <c r="M464" i="110"/>
  <c r="R470" i="110"/>
  <c r="R395" i="110"/>
  <c r="AN22" i="64"/>
  <c r="BE22" i="64" s="1"/>
  <c r="AA55" i="110"/>
  <c r="W236" i="110"/>
  <c r="P236" i="110"/>
  <c r="R232" i="110"/>
  <c r="C232" i="110" s="1"/>
  <c r="B232" i="110" s="1"/>
  <c r="BC16" i="12"/>
  <c r="BA16" i="12"/>
  <c r="BB16" i="12" s="1"/>
  <c r="AZ16" i="12"/>
  <c r="AX16" i="12"/>
  <c r="AH4" i="110" s="1"/>
  <c r="P264" i="110"/>
  <c r="R264" i="110"/>
  <c r="C264" i="110" s="1"/>
  <c r="B264" i="110" s="1"/>
  <c r="W264" i="110"/>
  <c r="AB45" i="79"/>
  <c r="W474" i="110"/>
  <c r="W470" i="110"/>
  <c r="W466" i="110"/>
  <c r="W458" i="110"/>
  <c r="M472" i="110"/>
  <c r="BF2" i="110"/>
  <c r="X355" i="110"/>
  <c r="X351" i="110"/>
  <c r="X347" i="110"/>
  <c r="X343" i="110"/>
  <c r="X339" i="110"/>
  <c r="X354" i="110"/>
  <c r="X350" i="110"/>
  <c r="X346" i="110"/>
  <c r="X342" i="110"/>
  <c r="X357" i="110"/>
  <c r="X353" i="110"/>
  <c r="X349" i="110"/>
  <c r="X345" i="110"/>
  <c r="X341" i="110"/>
  <c r="X356" i="110"/>
  <c r="X352" i="110"/>
  <c r="X348" i="110"/>
  <c r="X344" i="110"/>
  <c r="X340" i="110"/>
  <c r="V486" i="110"/>
  <c r="M448" i="110"/>
  <c r="P460" i="110"/>
  <c r="R465" i="110"/>
  <c r="I460" i="110"/>
  <c r="I455" i="110"/>
  <c r="V484" i="110"/>
  <c r="M486" i="110"/>
  <c r="AN486" i="110"/>
  <c r="S486" i="110"/>
  <c r="M460" i="110"/>
  <c r="W486" i="110"/>
  <c r="S455" i="110"/>
  <c r="BD2" i="110"/>
  <c r="P486" i="110"/>
  <c r="R486" i="110"/>
  <c r="M485" i="110"/>
  <c r="AM486" i="110"/>
  <c r="S484" i="110"/>
  <c r="S448" i="110"/>
  <c r="S460" i="110"/>
  <c r="P452" i="110"/>
  <c r="I484" i="110"/>
  <c r="W455" i="110"/>
  <c r="P473" i="110"/>
  <c r="AL473" i="110"/>
  <c r="AM477" i="110"/>
  <c r="W477" i="110"/>
  <c r="AB46" i="79"/>
  <c r="X363" i="110"/>
  <c r="BA22" i="70"/>
  <c r="BB22" i="70" s="1"/>
  <c r="AZ22" i="70" s="1"/>
  <c r="BG22" i="70"/>
  <c r="AL448" i="110"/>
  <c r="S462" i="110"/>
  <c r="AL462" i="110"/>
  <c r="M462" i="110"/>
  <c r="S453" i="110"/>
  <c r="W453" i="110"/>
  <c r="R457" i="110"/>
  <c r="V457" i="110"/>
  <c r="I457" i="110"/>
  <c r="J453" i="110"/>
  <c r="I448" i="110"/>
  <c r="K473" i="110"/>
  <c r="W481" i="110"/>
  <c r="W461" i="110"/>
  <c r="I477" i="110"/>
  <c r="N355" i="110"/>
  <c r="K355" i="110"/>
  <c r="V473" i="110"/>
  <c r="S473" i="110"/>
  <c r="R477" i="110"/>
  <c r="S477" i="110"/>
  <c r="V477" i="110"/>
  <c r="AM484" i="110"/>
  <c r="P448" i="110"/>
  <c r="AM460" i="110"/>
  <c r="AN462" i="110"/>
  <c r="W462" i="110"/>
  <c r="AL449" i="110"/>
  <c r="AM453" i="110"/>
  <c r="P453" i="110"/>
  <c r="AN457" i="110"/>
  <c r="AL457" i="110"/>
  <c r="M457" i="110"/>
  <c r="K462" i="110"/>
  <c r="K453" i="110"/>
  <c r="K448" i="110"/>
  <c r="J473" i="110"/>
  <c r="K467" i="110"/>
  <c r="M473" i="110"/>
  <c r="AN473" i="110"/>
  <c r="W473" i="110"/>
  <c r="AN477" i="110"/>
  <c r="AM462" i="110"/>
  <c r="P462" i="110"/>
  <c r="R453" i="110"/>
  <c r="V453" i="110"/>
  <c r="S457" i="110"/>
  <c r="W457" i="110"/>
  <c r="AH364" i="110"/>
  <c r="BE24" i="70"/>
  <c r="S16" i="70"/>
  <c r="AD360" i="110" s="1"/>
  <c r="AC360" i="110"/>
  <c r="AN18" i="64"/>
  <c r="W99" i="110"/>
  <c r="AK94" i="12"/>
  <c r="AV94" i="12" s="1"/>
  <c r="AH26" i="69"/>
  <c r="AK86" i="69"/>
  <c r="AN24" i="64"/>
  <c r="BE24" i="64" s="1"/>
  <c r="BC62" i="12"/>
  <c r="AW54" i="12"/>
  <c r="AG23" i="110" s="1"/>
  <c r="BC46" i="12"/>
  <c r="AW86" i="12"/>
  <c r="AG39" i="110" s="1"/>
  <c r="AW78" i="12"/>
  <c r="AG35" i="110" s="1"/>
  <c r="AW70" i="12"/>
  <c r="AG31" i="110" s="1"/>
  <c r="BD86" i="69"/>
  <c r="BA86" i="69"/>
  <c r="AY86" i="69"/>
  <c r="AN86" i="69"/>
  <c r="AF62" i="69"/>
  <c r="AK62" i="69" s="1"/>
  <c r="AF42" i="69"/>
  <c r="AH42" i="69" s="1"/>
  <c r="AH86" i="69"/>
  <c r="AH104" i="69"/>
  <c r="AF80" i="69"/>
  <c r="BH80" i="69" s="1"/>
  <c r="AF88" i="69"/>
  <c r="BH88" i="69" s="1"/>
  <c r="AF58" i="69"/>
  <c r="AH58" i="69" s="1"/>
  <c r="W100" i="110"/>
  <c r="AN26" i="64"/>
  <c r="BE26" i="64" s="1"/>
  <c r="C151" i="110"/>
  <c r="B151" i="110" s="1"/>
  <c r="C147" i="110"/>
  <c r="B147" i="110" s="1"/>
  <c r="C143" i="110"/>
  <c r="B143" i="110" s="1"/>
  <c r="AN90" i="12"/>
  <c r="AU96" i="12"/>
  <c r="K44" i="110" s="1"/>
  <c r="AN88" i="12"/>
  <c r="AK80" i="12"/>
  <c r="AV80" i="12" s="1"/>
  <c r="BC72" i="12"/>
  <c r="AX64" i="12"/>
  <c r="AH28" i="110" s="1"/>
  <c r="AW56" i="12"/>
  <c r="AG24" i="110" s="1"/>
  <c r="AU48" i="12"/>
  <c r="K20" i="110" s="1"/>
  <c r="W92" i="110"/>
  <c r="W68" i="110"/>
  <c r="W257" i="110"/>
  <c r="P233" i="110"/>
  <c r="AX66" i="12"/>
  <c r="AH29" i="110" s="1"/>
  <c r="W355" i="110"/>
  <c r="U355" i="110"/>
  <c r="C142" i="110"/>
  <c r="B142" i="110" s="1"/>
  <c r="C150" i="110"/>
  <c r="B150" i="110" s="1"/>
  <c r="C146" i="110"/>
  <c r="B146" i="110" s="1"/>
  <c r="C154" i="110"/>
  <c r="B154" i="110" s="1"/>
  <c r="AF98" i="69"/>
  <c r="BH98" i="69" s="1"/>
  <c r="AH94" i="69"/>
  <c r="AF50" i="69"/>
  <c r="AK50" i="69" s="1"/>
  <c r="AF66" i="69"/>
  <c r="AY66" i="69" s="1"/>
  <c r="AK92" i="69"/>
  <c r="N167" i="110"/>
  <c r="AH108" i="69"/>
  <c r="AX108" i="69"/>
  <c r="BD108" i="69"/>
  <c r="AZ86" i="69"/>
  <c r="BD94" i="69"/>
  <c r="AF76" i="69"/>
  <c r="BH76" i="69" s="1"/>
  <c r="AF68" i="69"/>
  <c r="AY68" i="69" s="1"/>
  <c r="AF60" i="69"/>
  <c r="AH60" i="69" s="1"/>
  <c r="AF38" i="69"/>
  <c r="AZ38" i="69" s="1"/>
  <c r="AF96" i="69"/>
  <c r="BH96" i="69" s="1"/>
  <c r="AF90" i="69"/>
  <c r="BH90" i="69" s="1"/>
  <c r="AF82" i="69"/>
  <c r="BH82" i="69" s="1"/>
  <c r="AN108" i="69"/>
  <c r="AV108" i="69"/>
  <c r="AK432" i="110" s="1"/>
  <c r="AF102" i="69"/>
  <c r="BH102" i="69" s="1"/>
  <c r="AX86" i="69"/>
  <c r="AK84" i="69"/>
  <c r="AN20" i="65"/>
  <c r="AN30" i="64"/>
  <c r="BC58" i="12"/>
  <c r="AW74" i="12"/>
  <c r="AG33" i="110" s="1"/>
  <c r="AX50" i="12"/>
  <c r="AH21" i="110" s="1"/>
  <c r="BC74" i="12"/>
  <c r="W71" i="110"/>
  <c r="AW58" i="12"/>
  <c r="AG25" i="110" s="1"/>
  <c r="AX82" i="12"/>
  <c r="AH37" i="110" s="1"/>
  <c r="AU50" i="12"/>
  <c r="K21" i="110" s="1"/>
  <c r="AK50" i="12"/>
  <c r="AV50" i="12" s="1"/>
  <c r="AN58" i="12"/>
  <c r="AU66" i="12"/>
  <c r="K29" i="110" s="1"/>
  <c r="AK66" i="12"/>
  <c r="AV66" i="12" s="1"/>
  <c r="AN74" i="12"/>
  <c r="AU82" i="12"/>
  <c r="K37" i="110" s="1"/>
  <c r="AK82" i="12"/>
  <c r="AV82" i="12" s="1"/>
  <c r="AK90" i="12"/>
  <c r="AV90" i="12" s="1"/>
  <c r="BC50" i="12"/>
  <c r="AW50" i="12"/>
  <c r="AG21" i="110" s="1"/>
  <c r="AX58" i="12"/>
  <c r="AH25" i="110" s="1"/>
  <c r="BC66" i="12"/>
  <c r="AW66" i="12"/>
  <c r="AG29" i="110" s="1"/>
  <c r="AX74" i="12"/>
  <c r="AH33" i="110" s="1"/>
  <c r="BC82" i="12"/>
  <c r="AW82" i="12"/>
  <c r="AG37" i="110" s="1"/>
  <c r="AN98" i="12"/>
  <c r="AN50" i="12"/>
  <c r="AU58" i="12"/>
  <c r="K25" i="110" s="1"/>
  <c r="AK58" i="12"/>
  <c r="AV58" i="12" s="1"/>
  <c r="AN66" i="12"/>
  <c r="AU74" i="12"/>
  <c r="K33" i="110" s="1"/>
  <c r="AK74" i="12"/>
  <c r="AV74" i="12" s="1"/>
  <c r="AN82" i="12"/>
  <c r="BC90" i="12"/>
  <c r="AX98" i="12"/>
  <c r="AH45" i="110" s="1"/>
  <c r="R261" i="110"/>
  <c r="C261" i="110" s="1"/>
  <c r="B261" i="110" s="1"/>
  <c r="AU90" i="12"/>
  <c r="K41" i="110" s="1"/>
  <c r="AW90" i="12"/>
  <c r="AG41" i="110" s="1"/>
  <c r="AK98" i="12"/>
  <c r="AV98" i="12" s="1"/>
  <c r="AU98" i="12"/>
  <c r="K45" i="110" s="1"/>
  <c r="AX106" i="12"/>
  <c r="AH49" i="110" s="1"/>
  <c r="AN106" i="12"/>
  <c r="AX90" i="12"/>
  <c r="AH41" i="110" s="1"/>
  <c r="BC98" i="12"/>
  <c r="AW98" i="12"/>
  <c r="AG45" i="110" s="1"/>
  <c r="AW106" i="12"/>
  <c r="AG49" i="110" s="1"/>
  <c r="BC106" i="12"/>
  <c r="C119" i="110"/>
  <c r="B119" i="110" s="1"/>
  <c r="P257" i="110"/>
  <c r="W233" i="110"/>
  <c r="R225" i="110"/>
  <c r="C225" i="110" s="1"/>
  <c r="B225" i="110" s="1"/>
  <c r="N181" i="110"/>
  <c r="AU106" i="12"/>
  <c r="K49" i="110" s="1"/>
  <c r="AK106" i="12"/>
  <c r="AV106" i="12" s="1"/>
  <c r="R269" i="110"/>
  <c r="C269" i="110" s="1"/>
  <c r="B269" i="110" s="1"/>
  <c r="P253" i="110"/>
  <c r="C128" i="110"/>
  <c r="B128" i="110" s="1"/>
  <c r="W253" i="110"/>
  <c r="C149" i="110"/>
  <c r="B149" i="110" s="1"/>
  <c r="R254" i="110"/>
  <c r="C254" i="110" s="1"/>
  <c r="B254" i="110" s="1"/>
  <c r="AU86" i="12"/>
  <c r="K39" i="110" s="1"/>
  <c r="AK86" i="12"/>
  <c r="AV86" i="12" s="1"/>
  <c r="AN62" i="12"/>
  <c r="R165" i="110"/>
  <c r="C153" i="110"/>
  <c r="B153" i="110" s="1"/>
  <c r="O179" i="110"/>
  <c r="AU94" i="12"/>
  <c r="K43" i="110" s="1"/>
  <c r="AX54" i="12"/>
  <c r="AH23" i="110" s="1"/>
  <c r="AU54" i="12"/>
  <c r="K23" i="110" s="1"/>
  <c r="AW46" i="12"/>
  <c r="AG19" i="110" s="1"/>
  <c r="AK54" i="12"/>
  <c r="AV54" i="12" s="1"/>
  <c r="AX62" i="12"/>
  <c r="AH27" i="110" s="1"/>
  <c r="AU62" i="12"/>
  <c r="K27" i="110" s="1"/>
  <c r="AK62" i="12"/>
  <c r="AV62" i="12" s="1"/>
  <c r="W269" i="110"/>
  <c r="R181" i="110"/>
  <c r="O165" i="110"/>
  <c r="AW60" i="12"/>
  <c r="AG26" i="110" s="1"/>
  <c r="AW72" i="12"/>
  <c r="AG32" i="110" s="1"/>
  <c r="C137" i="110"/>
  <c r="B137" i="110" s="1"/>
  <c r="W232" i="110"/>
  <c r="C127" i="110"/>
  <c r="B127" i="110" s="1"/>
  <c r="C139" i="110"/>
  <c r="B139" i="110" s="1"/>
  <c r="AK48" i="12"/>
  <c r="AV48" i="12" s="1"/>
  <c r="AK56" i="12"/>
  <c r="AV56" i="12" s="1"/>
  <c r="W165" i="110"/>
  <c r="W94" i="110"/>
  <c r="O181" i="110"/>
  <c r="BC64" i="12"/>
  <c r="P250" i="110"/>
  <c r="AW96" i="12"/>
  <c r="AG44" i="110" s="1"/>
  <c r="AN60" i="12"/>
  <c r="AW48" i="12"/>
  <c r="AG20" i="110" s="1"/>
  <c r="C135" i="110"/>
  <c r="B135" i="110" s="1"/>
  <c r="C131" i="110"/>
  <c r="B131" i="110" s="1"/>
  <c r="C152" i="110"/>
  <c r="B152" i="110" s="1"/>
  <c r="C144" i="110"/>
  <c r="B144" i="110" s="1"/>
  <c r="W93" i="110"/>
  <c r="AW92" i="12"/>
  <c r="AG42" i="110" s="1"/>
  <c r="AN108" i="12"/>
  <c r="P226" i="110"/>
  <c r="W250" i="110"/>
  <c r="C136" i="110"/>
  <c r="B136" i="110" s="1"/>
  <c r="W73" i="110"/>
  <c r="AK60" i="12"/>
  <c r="AV60" i="12" s="1"/>
  <c r="P246" i="110"/>
  <c r="W77" i="110"/>
  <c r="C148" i="110"/>
  <c r="B148" i="110" s="1"/>
  <c r="W97" i="110"/>
  <c r="W254" i="110"/>
  <c r="W274" i="110"/>
  <c r="R274" i="110"/>
  <c r="C274" i="110" s="1"/>
  <c r="B274" i="110" s="1"/>
  <c r="W258" i="110"/>
  <c r="W101" i="110"/>
  <c r="AX84" i="12"/>
  <c r="AH38" i="110" s="1"/>
  <c r="BC60" i="12"/>
  <c r="W246" i="110"/>
  <c r="W484" i="110"/>
  <c r="R481" i="110"/>
  <c r="AM481" i="110"/>
  <c r="AB47" i="79"/>
  <c r="BG2" i="110"/>
  <c r="M484" i="110"/>
  <c r="AL484" i="110"/>
  <c r="S485" i="110"/>
  <c r="R448" i="110"/>
  <c r="V448" i="110"/>
  <c r="R460" i="110"/>
  <c r="V460" i="110"/>
  <c r="R461" i="110"/>
  <c r="M461" i="110"/>
  <c r="AL465" i="110"/>
  <c r="V449" i="110"/>
  <c r="C449" i="110" s="1"/>
  <c r="B449" i="110" s="1"/>
  <c r="AN468" i="110"/>
  <c r="I452" i="110"/>
  <c r="K484" i="110"/>
  <c r="J461" i="110"/>
  <c r="K472" i="110"/>
  <c r="P455" i="110"/>
  <c r="S395" i="110"/>
  <c r="K486" i="110"/>
  <c r="V481" i="110"/>
  <c r="AM485" i="110"/>
  <c r="AL461" i="110"/>
  <c r="AN465" i="110"/>
  <c r="P465" i="110"/>
  <c r="R472" i="110"/>
  <c r="AM452" i="110"/>
  <c r="AL468" i="110"/>
  <c r="K468" i="110"/>
  <c r="J465" i="110"/>
  <c r="S467" i="110"/>
  <c r="S481" i="110"/>
  <c r="M481" i="110"/>
  <c r="AN481" i="110"/>
  <c r="P481" i="110"/>
  <c r="P485" i="110"/>
  <c r="R485" i="110"/>
  <c r="V485" i="110"/>
  <c r="AL485" i="110"/>
  <c r="AN448" i="110"/>
  <c r="W448" i="110"/>
  <c r="AN460" i="110"/>
  <c r="W460" i="110"/>
  <c r="AN461" i="110"/>
  <c r="AM465" i="110"/>
  <c r="V465" i="110"/>
  <c r="J460" i="110"/>
  <c r="K485" i="110"/>
  <c r="AM455" i="110"/>
  <c r="O182" i="110"/>
  <c r="W226" i="110"/>
  <c r="W249" i="110"/>
  <c r="R249" i="110"/>
  <c r="C249" i="110" s="1"/>
  <c r="B249" i="110" s="1"/>
  <c r="W229" i="110"/>
  <c r="P229" i="110"/>
  <c r="W261" i="110"/>
  <c r="C114" i="110"/>
  <c r="B114" i="110" s="1"/>
  <c r="R220" i="110"/>
  <c r="C220" i="110" s="1"/>
  <c r="B220" i="110" s="1"/>
  <c r="P249" i="110"/>
  <c r="R245" i="110"/>
  <c r="C245" i="110" s="1"/>
  <c r="B245" i="110" s="1"/>
  <c r="X48" i="110"/>
  <c r="AX104" i="12"/>
  <c r="AH48" i="110" s="1"/>
  <c r="AK104" i="12"/>
  <c r="AV104" i="12" s="1"/>
  <c r="BC104" i="12"/>
  <c r="X44" i="110"/>
  <c r="AK96" i="12"/>
  <c r="AV96" i="12" s="1"/>
  <c r="AN96" i="12"/>
  <c r="X40" i="110"/>
  <c r="AU88" i="12"/>
  <c r="K40" i="110" s="1"/>
  <c r="X36" i="110"/>
  <c r="AN80" i="12"/>
  <c r="AU80" i="12"/>
  <c r="K36" i="110" s="1"/>
  <c r="X32" i="110"/>
  <c r="AX72" i="12"/>
  <c r="AH32" i="110" s="1"/>
  <c r="X28" i="110"/>
  <c r="AW64" i="12"/>
  <c r="AG28" i="110" s="1"/>
  <c r="AK64" i="12"/>
  <c r="AV64" i="12" s="1"/>
  <c r="X24" i="110"/>
  <c r="AX56" i="12"/>
  <c r="AH24" i="110" s="1"/>
  <c r="BC56" i="12"/>
  <c r="X20" i="110"/>
  <c r="AN48" i="12"/>
  <c r="W103" i="110"/>
  <c r="W87" i="110"/>
  <c r="W83" i="110"/>
  <c r="W75" i="110"/>
  <c r="W67" i="110"/>
  <c r="C122" i="110"/>
  <c r="B122" i="110" s="1"/>
  <c r="C118" i="110"/>
  <c r="B118" i="110" s="1"/>
  <c r="P252" i="110"/>
  <c r="R252" i="110"/>
  <c r="C252" i="110" s="1"/>
  <c r="B252" i="110" s="1"/>
  <c r="P248" i="110"/>
  <c r="W248" i="110"/>
  <c r="O163" i="110"/>
  <c r="R163" i="110"/>
  <c r="R242" i="110"/>
  <c r="C242" i="110" s="1"/>
  <c r="B242" i="110" s="1"/>
  <c r="W242" i="110"/>
  <c r="R230" i="110"/>
  <c r="C230" i="110" s="1"/>
  <c r="B230" i="110" s="1"/>
  <c r="W230" i="110"/>
  <c r="P230" i="110"/>
  <c r="W163" i="110"/>
  <c r="W267" i="110"/>
  <c r="P267" i="110"/>
  <c r="P272" i="110"/>
  <c r="R272" i="110"/>
  <c r="C272" i="110" s="1"/>
  <c r="B272" i="110" s="1"/>
  <c r="R267" i="110"/>
  <c r="C267" i="110" s="1"/>
  <c r="B267" i="110" s="1"/>
  <c r="C113" i="110"/>
  <c r="B113" i="110" s="1"/>
  <c r="P220" i="110"/>
  <c r="N166" i="110"/>
  <c r="W166" i="110"/>
  <c r="W186" i="110"/>
  <c r="P242" i="110"/>
  <c r="AK102" i="12"/>
  <c r="AV102" i="12" s="1"/>
  <c r="AU102" i="12"/>
  <c r="K47" i="110" s="1"/>
  <c r="BC94" i="12"/>
  <c r="AW94" i="12"/>
  <c r="AG43" i="110" s="1"/>
  <c r="AN94" i="12"/>
  <c r="AN78" i="12"/>
  <c r="AK78" i="12"/>
  <c r="AV78" i="12" s="1"/>
  <c r="AU78" i="12"/>
  <c r="K35" i="110" s="1"/>
  <c r="BC78" i="12"/>
  <c r="AX70" i="12"/>
  <c r="AH31" i="110" s="1"/>
  <c r="AN70" i="12"/>
  <c r="AK70" i="12"/>
  <c r="AV70" i="12" s="1"/>
  <c r="AU70" i="12"/>
  <c r="K31" i="110" s="1"/>
  <c r="X27" i="110"/>
  <c r="AW62" i="12"/>
  <c r="AG27" i="110" s="1"/>
  <c r="AK46" i="12"/>
  <c r="AV46" i="12" s="1"/>
  <c r="AU46" i="12"/>
  <c r="K19" i="110" s="1"/>
  <c r="AN46" i="12"/>
  <c r="W78" i="110"/>
  <c r="C133" i="110"/>
  <c r="B133" i="110" s="1"/>
  <c r="C129" i="110"/>
  <c r="B129" i="110" s="1"/>
  <c r="AK100" i="12"/>
  <c r="AV100" i="12" s="1"/>
  <c r="BC52" i="12"/>
  <c r="W268" i="110"/>
  <c r="R268" i="110"/>
  <c r="C268" i="110" s="1"/>
  <c r="B268" i="110" s="1"/>
  <c r="N168" i="110"/>
  <c r="W168" i="110"/>
  <c r="R168" i="110"/>
  <c r="L168" i="110" s="1"/>
  <c r="O168" i="110"/>
  <c r="O166" i="110"/>
  <c r="AW68" i="12"/>
  <c r="AG30" i="110" s="1"/>
  <c r="AW100" i="12"/>
  <c r="AG46" i="110" s="1"/>
  <c r="AK68" i="12"/>
  <c r="AV68" i="12" s="1"/>
  <c r="AX52" i="12"/>
  <c r="AH22" i="110" s="1"/>
  <c r="AX92" i="12"/>
  <c r="AH42" i="110" s="1"/>
  <c r="AN76" i="12"/>
  <c r="BC76" i="12"/>
  <c r="AN56" i="12"/>
  <c r="AU72" i="12"/>
  <c r="K32" i="110" s="1"/>
  <c r="AW88" i="12"/>
  <c r="AG40" i="110" s="1"/>
  <c r="AX88" i="12"/>
  <c r="AH40" i="110" s="1"/>
  <c r="AN104" i="12"/>
  <c r="AU68" i="12"/>
  <c r="K30" i="110" s="1"/>
  <c r="AU60" i="12"/>
  <c r="K26" i="110" s="1"/>
  <c r="AX48" i="12"/>
  <c r="AH20" i="110" s="1"/>
  <c r="AN64" i="12"/>
  <c r="BC80" i="12"/>
  <c r="AX96" i="12"/>
  <c r="AH44" i="110" s="1"/>
  <c r="AW76" i="12"/>
  <c r="AG34" i="110" s="1"/>
  <c r="AW108" i="12"/>
  <c r="AG50" i="110" s="1"/>
  <c r="AK76" i="12"/>
  <c r="AV76" i="12" s="1"/>
  <c r="AX100" i="12"/>
  <c r="AH46" i="110" s="1"/>
  <c r="AN84" i="12"/>
  <c r="AU100" i="12"/>
  <c r="K46" i="110" s="1"/>
  <c r="BC68" i="12"/>
  <c r="P275" i="110"/>
  <c r="AW52" i="12"/>
  <c r="AG22" i="110" s="1"/>
  <c r="AW84" i="12"/>
  <c r="AG38" i="110" s="1"/>
  <c r="AK52" i="12"/>
  <c r="AV52" i="12" s="1"/>
  <c r="AK84" i="12"/>
  <c r="AV84" i="12" s="1"/>
  <c r="AX68" i="12"/>
  <c r="AH30" i="110" s="1"/>
  <c r="AN52" i="12"/>
  <c r="AN92" i="12"/>
  <c r="BC100" i="12"/>
  <c r="AU56" i="12"/>
  <c r="K24" i="110" s="1"/>
  <c r="AN72" i="12"/>
  <c r="BC88" i="12"/>
  <c r="AU104" i="12"/>
  <c r="K48" i="110" s="1"/>
  <c r="BC84" i="12"/>
  <c r="BC48" i="12"/>
  <c r="AU64" i="12"/>
  <c r="K28" i="110" s="1"/>
  <c r="AW80" i="12"/>
  <c r="AG36" i="110" s="1"/>
  <c r="AX80" i="12"/>
  <c r="AH36" i="110" s="1"/>
  <c r="BC96" i="12"/>
  <c r="AK72" i="12"/>
  <c r="AV72" i="12" s="1"/>
  <c r="Y22" i="70"/>
  <c r="S22" i="70"/>
  <c r="J463" i="110"/>
  <c r="P463" i="110"/>
  <c r="AM463" i="110"/>
  <c r="K463" i="110"/>
  <c r="W463" i="110"/>
  <c r="S463" i="110"/>
  <c r="M463" i="110"/>
  <c r="AN463" i="110"/>
  <c r="I463" i="110"/>
  <c r="V463" i="110"/>
  <c r="R463" i="110"/>
  <c r="U37" i="81"/>
  <c r="AB48" i="79"/>
  <c r="BE2" i="110"/>
  <c r="BH2" i="110"/>
  <c r="U38" i="81"/>
  <c r="W25" i="78"/>
  <c r="Z22" i="81"/>
  <c r="W27" i="78"/>
  <c r="U25" i="81"/>
  <c r="AL463" i="110"/>
  <c r="U35" i="81"/>
  <c r="BC2" i="110"/>
  <c r="U23" i="81"/>
  <c r="CD2" i="110"/>
  <c r="J30" i="80"/>
  <c r="G35" i="81"/>
  <c r="P26" i="78"/>
  <c r="AR200" i="117"/>
  <c r="AR200" i="79"/>
  <c r="AR200" i="12"/>
  <c r="AR200" i="76"/>
  <c r="AR200" i="65"/>
  <c r="AR200" i="69"/>
  <c r="AR200" i="66"/>
  <c r="AR200" i="63"/>
  <c r="AR200" i="50"/>
  <c r="AR200" i="55"/>
  <c r="AR200" i="57"/>
  <c r="AR200" i="14"/>
  <c r="N26" i="70"/>
  <c r="S26" i="70"/>
  <c r="AD365" i="110" s="1"/>
  <c r="J480" i="110"/>
  <c r="I480" i="110"/>
  <c r="M480" i="110"/>
  <c r="AL480" i="110"/>
  <c r="K480" i="110"/>
  <c r="K464" i="110"/>
  <c r="W464" i="110"/>
  <c r="AN464" i="110"/>
  <c r="I464" i="110"/>
  <c r="P464" i="110"/>
  <c r="AM464" i="110"/>
  <c r="I469" i="110"/>
  <c r="V469" i="110"/>
  <c r="R469" i="110"/>
  <c r="P469" i="110"/>
  <c r="AM469" i="110"/>
  <c r="M469" i="110"/>
  <c r="AL469" i="110"/>
  <c r="AN469" i="110"/>
  <c r="J458" i="110"/>
  <c r="K458" i="110"/>
  <c r="V458" i="110"/>
  <c r="R458" i="110"/>
  <c r="M458" i="110"/>
  <c r="AL458" i="110"/>
  <c r="AN458" i="110"/>
  <c r="K482" i="110"/>
  <c r="W482" i="110"/>
  <c r="J482" i="110"/>
  <c r="S482" i="110"/>
  <c r="I482" i="110"/>
  <c r="AN482" i="110"/>
  <c r="V482" i="110"/>
  <c r="R482" i="110"/>
  <c r="I450" i="110"/>
  <c r="W450" i="110"/>
  <c r="AN450" i="110"/>
  <c r="J450" i="110"/>
  <c r="M450" i="110"/>
  <c r="AL450" i="110"/>
  <c r="S450" i="110"/>
  <c r="AM450" i="110"/>
  <c r="V450" i="110"/>
  <c r="K450" i="110"/>
  <c r="R450" i="110"/>
  <c r="P472" i="110"/>
  <c r="AM472" i="110"/>
  <c r="W472" i="110"/>
  <c r="S472" i="110"/>
  <c r="I449" i="110"/>
  <c r="P449" i="110"/>
  <c r="AM449" i="110"/>
  <c r="J449" i="110"/>
  <c r="W449" i="110"/>
  <c r="S449" i="110"/>
  <c r="J481" i="110"/>
  <c r="K481" i="110"/>
  <c r="I461" i="110"/>
  <c r="K461" i="110"/>
  <c r="J468" i="110"/>
  <c r="M468" i="110"/>
  <c r="R468" i="110"/>
  <c r="P468" i="110"/>
  <c r="AM468" i="110"/>
  <c r="M452" i="110"/>
  <c r="AL452" i="110"/>
  <c r="S452" i="110"/>
  <c r="K452" i="110"/>
  <c r="V452" i="110"/>
  <c r="R452" i="110"/>
  <c r="I467" i="110"/>
  <c r="M467" i="110"/>
  <c r="AL467" i="110"/>
  <c r="AN467" i="110"/>
  <c r="V467" i="110"/>
  <c r="R467" i="110"/>
  <c r="I459" i="110"/>
  <c r="W459" i="110"/>
  <c r="R459" i="110"/>
  <c r="M459" i="110"/>
  <c r="AL459" i="110"/>
  <c r="AN459" i="110"/>
  <c r="I474" i="110"/>
  <c r="J474" i="110"/>
  <c r="I485" i="110"/>
  <c r="W485" i="110"/>
  <c r="S459" i="110"/>
  <c r="AM467" i="110"/>
  <c r="J467" i="110"/>
  <c r="Q6" i="109"/>
  <c r="N24" i="70"/>
  <c r="O21" i="14"/>
  <c r="S24" i="70"/>
  <c r="AN485" i="110"/>
  <c r="AM461" i="110"/>
  <c r="P461" i="110"/>
  <c r="S465" i="110"/>
  <c r="W465" i="110"/>
  <c r="AN449" i="110"/>
  <c r="M449" i="110"/>
  <c r="AN452" i="110"/>
  <c r="S468" i="110"/>
  <c r="I468" i="110"/>
  <c r="K465" i="110"/>
  <c r="I481" i="110"/>
  <c r="V459" i="110"/>
  <c r="W467" i="110"/>
  <c r="K459" i="110"/>
  <c r="R455" i="110"/>
  <c r="V455" i="110"/>
  <c r="K455" i="110"/>
  <c r="J477" i="110"/>
  <c r="AN455" i="110"/>
  <c r="AL455" i="110"/>
  <c r="M455" i="110"/>
  <c r="N20" i="70"/>
  <c r="AD362" i="110"/>
  <c r="AK20" i="71"/>
  <c r="AH20" i="71"/>
  <c r="AV20" i="71"/>
  <c r="AK439" i="110" s="1"/>
  <c r="AN20" i="71"/>
  <c r="W439" i="110" s="1"/>
  <c r="AN22" i="71"/>
  <c r="M440" i="110" s="1"/>
  <c r="W27" i="79"/>
  <c r="BB26" i="71"/>
  <c r="S18" i="70"/>
  <c r="N18" i="70"/>
  <c r="AC361" i="110"/>
  <c r="Y18" i="70"/>
  <c r="Q39" i="111"/>
  <c r="H39" i="111"/>
  <c r="P217" i="110"/>
  <c r="R217" i="110"/>
  <c r="C217" i="110" s="1"/>
  <c r="B217" i="110" s="1"/>
  <c r="P273" i="110"/>
  <c r="R273" i="110"/>
  <c r="C273" i="110" s="1"/>
  <c r="B273" i="110" s="1"/>
  <c r="C107" i="110"/>
  <c r="B107" i="110" s="1"/>
  <c r="W107" i="110"/>
  <c r="C112" i="110"/>
  <c r="B112" i="110" s="1"/>
  <c r="AK24" i="71"/>
  <c r="AN24" i="71"/>
  <c r="W441" i="110" s="1"/>
  <c r="BC24" i="71"/>
  <c r="AX24" i="71"/>
  <c r="AH24" i="71"/>
  <c r="BB24" i="71" s="1"/>
  <c r="AY24" i="71"/>
  <c r="AZ24" i="71"/>
  <c r="AG318" i="110"/>
  <c r="AH318" i="110"/>
  <c r="AH32" i="69"/>
  <c r="BC32" i="69" s="1"/>
  <c r="AN32" i="69"/>
  <c r="AK18" i="71"/>
  <c r="AV18" i="71"/>
  <c r="AK438" i="110" s="1"/>
  <c r="X17" i="110"/>
  <c r="X13" i="110"/>
  <c r="X9" i="110"/>
  <c r="AH24" i="69"/>
  <c r="AH28" i="69"/>
  <c r="AX22" i="71"/>
  <c r="AV22" i="71"/>
  <c r="AK440" i="110" s="1"/>
  <c r="AZ22" i="71"/>
  <c r="CI2" i="110"/>
  <c r="AH329" i="110"/>
  <c r="AG329" i="110"/>
  <c r="AH325" i="110"/>
  <c r="AG325" i="110"/>
  <c r="AH321" i="110"/>
  <c r="AG321" i="110"/>
  <c r="AK16" i="71"/>
  <c r="AH16" i="71"/>
  <c r="I15" i="110"/>
  <c r="I11" i="110"/>
  <c r="I7" i="110"/>
  <c r="G36" i="81"/>
  <c r="P27" i="78"/>
  <c r="AK28" i="71"/>
  <c r="BB28" i="71" s="1"/>
  <c r="AX28" i="71"/>
  <c r="BC28" i="71"/>
  <c r="AZ28" i="71"/>
  <c r="AV28" i="71"/>
  <c r="AK443" i="110" s="1"/>
  <c r="AN28" i="71"/>
  <c r="M443" i="110" s="1"/>
  <c r="AG311" i="110"/>
  <c r="AH311" i="110"/>
  <c r="X311" i="110"/>
  <c r="AN484" i="110"/>
  <c r="BB110" i="71"/>
  <c r="BC20" i="71"/>
  <c r="AZ20" i="71"/>
  <c r="AY22" i="71"/>
  <c r="AH22" i="71"/>
  <c r="BB22" i="71" s="1"/>
  <c r="CF2" i="110"/>
  <c r="S28" i="80"/>
  <c r="V30" i="80"/>
  <c r="X5" i="110"/>
  <c r="AR200" i="116"/>
  <c r="AR200" i="115"/>
  <c r="AR200" i="13"/>
  <c r="AR200" i="64"/>
  <c r="AK26" i="71"/>
  <c r="AX26" i="71"/>
  <c r="AY26" i="71"/>
  <c r="BC26" i="71"/>
  <c r="AV26" i="71"/>
  <c r="AK442" i="110" s="1"/>
  <c r="AZ26" i="71"/>
  <c r="AN26" i="71"/>
  <c r="S442" i="110" s="1"/>
  <c r="AF32" i="71"/>
  <c r="AY32" i="71" s="1"/>
  <c r="AX32" i="71"/>
  <c r="AZ32" i="71"/>
  <c r="BB78" i="71"/>
  <c r="V468" i="110"/>
  <c r="AH6" i="110"/>
  <c r="AG6" i="110"/>
  <c r="X6" i="110"/>
  <c r="AU200" i="63"/>
  <c r="V12" i="63" s="1"/>
  <c r="I28" i="3" s="1"/>
  <c r="AG328" i="110"/>
  <c r="AH328" i="110"/>
  <c r="AG324" i="110"/>
  <c r="AH324" i="110"/>
  <c r="AH317" i="110"/>
  <c r="AG317" i="110"/>
  <c r="X314" i="110"/>
  <c r="AG310" i="110"/>
  <c r="AH310" i="110"/>
  <c r="X310" i="110"/>
  <c r="X16" i="110"/>
  <c r="X12" i="110"/>
  <c r="X8" i="110"/>
  <c r="AH331" i="110"/>
  <c r="AG331" i="110"/>
  <c r="AG327" i="110"/>
  <c r="AH327" i="110"/>
  <c r="AG323" i="110"/>
  <c r="AH323" i="110"/>
  <c r="AG320" i="110"/>
  <c r="AH320" i="110"/>
  <c r="AG316" i="110"/>
  <c r="AH316" i="110"/>
  <c r="AH313" i="110"/>
  <c r="AG313" i="110"/>
  <c r="X313" i="110"/>
  <c r="X15" i="110"/>
  <c r="X11" i="110"/>
  <c r="I472" i="110"/>
  <c r="J472" i="110"/>
  <c r="AX98" i="71"/>
  <c r="AN98" i="71"/>
  <c r="AZ98" i="71"/>
  <c r="BC98" i="71"/>
  <c r="AV98" i="71"/>
  <c r="AK478" i="110" s="1"/>
  <c r="AH98" i="71"/>
  <c r="BB98" i="71" s="1"/>
  <c r="AZ54" i="71"/>
  <c r="BC54" i="71"/>
  <c r="AN54" i="71"/>
  <c r="AX54" i="71"/>
  <c r="AY54" i="71"/>
  <c r="AK54" i="71"/>
  <c r="BB54" i="71" s="1"/>
  <c r="AY86" i="71"/>
  <c r="AH86" i="71"/>
  <c r="AZ86" i="71"/>
  <c r="AV86" i="71"/>
  <c r="AK472" i="110" s="1"/>
  <c r="AK86" i="71"/>
  <c r="V472" i="110" s="1"/>
  <c r="BC86" i="71"/>
  <c r="X7" i="110"/>
  <c r="AG330" i="110"/>
  <c r="AH330" i="110"/>
  <c r="AG326" i="110"/>
  <c r="AH326" i="110"/>
  <c r="AG322" i="110"/>
  <c r="AH322" i="110"/>
  <c r="AG319" i="110"/>
  <c r="AH319" i="110"/>
  <c r="AH312" i="110"/>
  <c r="X312" i="110"/>
  <c r="X18" i="110"/>
  <c r="X14" i="110"/>
  <c r="X10" i="110"/>
  <c r="K469" i="110"/>
  <c r="J469" i="110"/>
  <c r="AH84" i="71"/>
  <c r="AZ84" i="71"/>
  <c r="BC84" i="71"/>
  <c r="AV84" i="71"/>
  <c r="AK471" i="110" s="1"/>
  <c r="AY84" i="71"/>
  <c r="AK84" i="71"/>
  <c r="V471" i="110" s="1"/>
  <c r="AH50" i="71"/>
  <c r="BB50" i="71" s="1"/>
  <c r="AZ50" i="71"/>
  <c r="AN50" i="71"/>
  <c r="BC50" i="71"/>
  <c r="AV50" i="71"/>
  <c r="AK454" i="110" s="1"/>
  <c r="AX50" i="71"/>
  <c r="AF34" i="71"/>
  <c r="AX34" i="71"/>
  <c r="AY34" i="71"/>
  <c r="AF56" i="69"/>
  <c r="BD56" i="69" s="1"/>
  <c r="AH108" i="71"/>
  <c r="AK108" i="71"/>
  <c r="AX108" i="71"/>
  <c r="BC108" i="71"/>
  <c r="AV108" i="71"/>
  <c r="AK483" i="110" s="1"/>
  <c r="AN108" i="71"/>
  <c r="AZ108" i="71"/>
  <c r="AY108" i="71"/>
  <c r="AF100" i="71"/>
  <c r="AZ100" i="71"/>
  <c r="AX100" i="71"/>
  <c r="AX94" i="71"/>
  <c r="AF94" i="71"/>
  <c r="X47" i="110"/>
  <c r="AX102" i="12"/>
  <c r="AH47" i="110" s="1"/>
  <c r="BC102" i="12"/>
  <c r="AN102" i="12"/>
  <c r="AW102" i="12"/>
  <c r="AG47" i="110" s="1"/>
  <c r="X43" i="110"/>
  <c r="AX94" i="12"/>
  <c r="AH43" i="110" s="1"/>
  <c r="X39" i="110"/>
  <c r="BC86" i="12"/>
  <c r="AX86" i="12"/>
  <c r="AH39" i="110" s="1"/>
  <c r="AN86" i="12"/>
  <c r="X35" i="110"/>
  <c r="AX78" i="12"/>
  <c r="AH35" i="110" s="1"/>
  <c r="X31" i="110"/>
  <c r="BC70" i="12"/>
  <c r="X23" i="110"/>
  <c r="BC54" i="12"/>
  <c r="AN54" i="12"/>
  <c r="X19" i="110"/>
  <c r="AX46" i="12"/>
  <c r="AH19" i="110" s="1"/>
  <c r="Y50" i="110"/>
  <c r="AU108" i="12"/>
  <c r="K50" i="110" s="1"/>
  <c r="AX108" i="12"/>
  <c r="AH50" i="110" s="1"/>
  <c r="AK108" i="12"/>
  <c r="AV108" i="12" s="1"/>
  <c r="Y46" i="110"/>
  <c r="AN100" i="12"/>
  <c r="Y42" i="110"/>
  <c r="BC92" i="12"/>
  <c r="AU92" i="12"/>
  <c r="K42" i="110" s="1"/>
  <c r="AK92" i="12"/>
  <c r="AV92" i="12" s="1"/>
  <c r="Y38" i="110"/>
  <c r="AU84" i="12"/>
  <c r="K38" i="110" s="1"/>
  <c r="Y34" i="110"/>
  <c r="AU76" i="12"/>
  <c r="K34" i="110" s="1"/>
  <c r="AX76" i="12"/>
  <c r="AH34" i="110" s="1"/>
  <c r="Y30" i="110"/>
  <c r="AN68" i="12"/>
  <c r="Y26" i="110"/>
  <c r="AX60" i="12"/>
  <c r="AH26" i="110" s="1"/>
  <c r="Y22" i="110"/>
  <c r="AU52" i="12"/>
  <c r="K22" i="110" s="1"/>
  <c r="R238" i="110"/>
  <c r="C238" i="110" s="1"/>
  <c r="B238" i="110" s="1"/>
  <c r="W238" i="110"/>
  <c r="R234" i="110"/>
  <c r="C234" i="110" s="1"/>
  <c r="B234" i="110" s="1"/>
  <c r="W234" i="110"/>
  <c r="P227" i="110"/>
  <c r="W227" i="110"/>
  <c r="P244" i="110"/>
  <c r="W244" i="110"/>
  <c r="R241" i="110"/>
  <c r="C241" i="110" s="1"/>
  <c r="B241" i="110" s="1"/>
  <c r="W241" i="110"/>
  <c r="W65" i="110"/>
  <c r="C140" i="110"/>
  <c r="B140" i="110" s="1"/>
  <c r="C132" i="110"/>
  <c r="B132" i="110" s="1"/>
  <c r="AG355" i="110"/>
  <c r="AH350" i="110"/>
  <c r="AF52" i="69"/>
  <c r="AN52" i="69" s="1"/>
  <c r="W88" i="110"/>
  <c r="AG334" i="110"/>
  <c r="AK88" i="12"/>
  <c r="AV88" i="12" s="1"/>
  <c r="AG352" i="110"/>
  <c r="AG342" i="110"/>
  <c r="AG333" i="110"/>
  <c r="AH333" i="110"/>
  <c r="AY16" i="13"/>
  <c r="AH309" i="110" s="1"/>
  <c r="AX16" i="13"/>
  <c r="AH16" i="13"/>
  <c r="X309" i="110"/>
  <c r="AG332" i="110"/>
  <c r="AH332" i="110"/>
  <c r="AH343" i="110"/>
  <c r="K109" i="110"/>
  <c r="R167" i="110"/>
  <c r="W167" i="110"/>
  <c r="O167" i="110"/>
  <c r="AU200" i="113"/>
  <c r="V12" i="113" s="1"/>
  <c r="I32" i="3" s="1"/>
  <c r="P271" i="110"/>
  <c r="W271" i="110"/>
  <c r="W275" i="110"/>
  <c r="AN16" i="113"/>
  <c r="W272" i="110"/>
  <c r="P270" i="110"/>
  <c r="R270" i="110"/>
  <c r="C270" i="110" s="1"/>
  <c r="B270" i="110" s="1"/>
  <c r="AN16" i="64"/>
  <c r="H157" i="110" s="1"/>
  <c r="W79" i="110"/>
  <c r="W85" i="110"/>
  <c r="W89" i="110"/>
  <c r="W95" i="110"/>
  <c r="W84" i="110"/>
  <c r="W81" i="110"/>
  <c r="R55" i="110"/>
  <c r="R183" i="110"/>
  <c r="O183" i="110"/>
  <c r="AN16" i="65"/>
  <c r="R180" i="110"/>
  <c r="N180" i="110"/>
  <c r="R182" i="110"/>
  <c r="N179" i="110"/>
  <c r="R186" i="110"/>
  <c r="N175" i="110"/>
  <c r="O175" i="110"/>
  <c r="R258" i="110"/>
  <c r="C258" i="110" s="1"/>
  <c r="B258" i="110" s="1"/>
  <c r="P219" i="110"/>
  <c r="P223" i="110"/>
  <c r="R262" i="110"/>
  <c r="C262" i="110" s="1"/>
  <c r="B262" i="110" s="1"/>
  <c r="P225" i="110"/>
  <c r="W228" i="110"/>
  <c r="R248" i="110"/>
  <c r="C248" i="110" s="1"/>
  <c r="B248" i="110" s="1"/>
  <c r="P245" i="110"/>
  <c r="P262" i="110"/>
  <c r="W219" i="110"/>
  <c r="W223" i="110"/>
  <c r="R237" i="110"/>
  <c r="C237" i="110" s="1"/>
  <c r="B237" i="110" s="1"/>
  <c r="W239" i="110"/>
  <c r="R228" i="110"/>
  <c r="C228" i="110" s="1"/>
  <c r="B228" i="110" s="1"/>
  <c r="P234" i="110"/>
  <c r="P237" i="110"/>
  <c r="P239" i="110"/>
  <c r="W106" i="110"/>
  <c r="C111" i="110"/>
  <c r="B111" i="110" s="1"/>
  <c r="C130" i="110"/>
  <c r="B130" i="110" s="1"/>
  <c r="C138" i="110"/>
  <c r="B138" i="110" s="1"/>
  <c r="C123" i="110"/>
  <c r="B123" i="110" s="1"/>
  <c r="C141" i="110"/>
  <c r="B141" i="110" s="1"/>
  <c r="C134" i="110"/>
  <c r="B134" i="110" s="1"/>
  <c r="C121" i="110"/>
  <c r="B121" i="110" s="1"/>
  <c r="AN16" i="66"/>
  <c r="J444" i="110"/>
  <c r="W395" i="110"/>
  <c r="N395" i="110"/>
  <c r="I395" i="110"/>
  <c r="AN395" i="110"/>
  <c r="O395" i="110"/>
  <c r="K395" i="110"/>
  <c r="AM395" i="110"/>
  <c r="AW16" i="12"/>
  <c r="AG4" i="110" s="1"/>
  <c r="X4" i="110"/>
  <c r="I444" i="110"/>
  <c r="R444" i="110"/>
  <c r="AL395" i="110"/>
  <c r="U395" i="110"/>
  <c r="M395" i="110"/>
  <c r="AK32" i="12" l="1"/>
  <c r="AU32" i="12" s="1"/>
  <c r="K12" i="110" s="1"/>
  <c r="AN32" i="12"/>
  <c r="K224" i="110"/>
  <c r="AN34" i="66"/>
  <c r="BE34" i="66"/>
  <c r="AN22" i="66"/>
  <c r="H218" i="110" s="1"/>
  <c r="BE22" i="66"/>
  <c r="K222" i="110"/>
  <c r="AN30" i="66"/>
  <c r="K221" i="110"/>
  <c r="AN28" i="66"/>
  <c r="AN24" i="65"/>
  <c r="R12" i="65" s="1"/>
  <c r="BA84" i="69"/>
  <c r="AV84" i="69"/>
  <c r="AK420" i="110" s="1"/>
  <c r="AX92" i="69"/>
  <c r="AH92" i="69"/>
  <c r="AK30" i="12"/>
  <c r="AV30" i="12" s="1"/>
  <c r="AK24" i="12"/>
  <c r="N46" i="64"/>
  <c r="AN94" i="69"/>
  <c r="I425" i="110" s="1"/>
  <c r="AZ94" i="69"/>
  <c r="BD92" i="69"/>
  <c r="AN92" i="69"/>
  <c r="R424" i="110" s="1"/>
  <c r="AV92" i="69"/>
  <c r="AK424" i="110" s="1"/>
  <c r="AY92" i="69"/>
  <c r="AY94" i="69"/>
  <c r="AX94" i="69"/>
  <c r="BA94" i="69"/>
  <c r="AK94" i="69"/>
  <c r="AZ92" i="69"/>
  <c r="BA92" i="69"/>
  <c r="BD104" i="69"/>
  <c r="AV94" i="69"/>
  <c r="AK425" i="110" s="1"/>
  <c r="C46" i="64"/>
  <c r="N48" i="64"/>
  <c r="AK28" i="12"/>
  <c r="AK22" i="12"/>
  <c r="AY18" i="71"/>
  <c r="AZ18" i="71"/>
  <c r="AH18" i="71"/>
  <c r="BB18" i="71" s="1"/>
  <c r="AN18" i="71"/>
  <c r="BC18" i="71"/>
  <c r="AX18" i="71"/>
  <c r="AV16" i="71"/>
  <c r="AK437" i="110" s="1"/>
  <c r="P444" i="110"/>
  <c r="W444" i="110"/>
  <c r="M444" i="110"/>
  <c r="S444" i="110"/>
  <c r="AL444" i="110"/>
  <c r="V444" i="110"/>
  <c r="AM444" i="110"/>
  <c r="AN444" i="110"/>
  <c r="W320" i="110"/>
  <c r="J331" i="110"/>
  <c r="Q331" i="110"/>
  <c r="H320" i="110"/>
  <c r="Q320" i="110"/>
  <c r="H328" i="110"/>
  <c r="Q328" i="110"/>
  <c r="H311" i="110"/>
  <c r="Q311" i="110"/>
  <c r="H310" i="110"/>
  <c r="Q310" i="110"/>
  <c r="M316" i="110"/>
  <c r="Q316" i="110"/>
  <c r="H174" i="110"/>
  <c r="C186" i="110"/>
  <c r="B186" i="110" s="1"/>
  <c r="L186" i="110"/>
  <c r="AL316" i="110"/>
  <c r="W215" i="110"/>
  <c r="H215" i="110"/>
  <c r="U320" i="110"/>
  <c r="L175" i="110"/>
  <c r="L166" i="110"/>
  <c r="L179" i="110"/>
  <c r="W316" i="110"/>
  <c r="U316" i="110"/>
  <c r="N316" i="110"/>
  <c r="Q32" i="110"/>
  <c r="H32" i="110"/>
  <c r="Q30" i="110"/>
  <c r="H30" i="110"/>
  <c r="Q28" i="110"/>
  <c r="H28" i="110"/>
  <c r="Q48" i="110"/>
  <c r="H48" i="110"/>
  <c r="Q24" i="110"/>
  <c r="H24" i="110"/>
  <c r="Q36" i="110"/>
  <c r="H36" i="110"/>
  <c r="Q44" i="110"/>
  <c r="H44" i="110"/>
  <c r="Q26" i="110"/>
  <c r="H26" i="110"/>
  <c r="Q21" i="110"/>
  <c r="H21" i="110"/>
  <c r="Q25" i="110"/>
  <c r="H25" i="110"/>
  <c r="Q40" i="110"/>
  <c r="H40" i="110"/>
  <c r="N161" i="110"/>
  <c r="H161" i="110"/>
  <c r="W160" i="110"/>
  <c r="H160" i="110"/>
  <c r="Q61" i="110"/>
  <c r="H61" i="110"/>
  <c r="Q9" i="110"/>
  <c r="H9" i="110"/>
  <c r="Q13" i="110"/>
  <c r="H13" i="110"/>
  <c r="Q17" i="110"/>
  <c r="H17" i="110"/>
  <c r="Q64" i="110"/>
  <c r="H64" i="110"/>
  <c r="H348" i="110"/>
  <c r="H346" i="110"/>
  <c r="H354" i="110"/>
  <c r="H339" i="110"/>
  <c r="H353" i="110"/>
  <c r="H334" i="110"/>
  <c r="H350" i="110"/>
  <c r="H322" i="110"/>
  <c r="H330" i="110"/>
  <c r="N319" i="110"/>
  <c r="H319" i="110"/>
  <c r="H327" i="110"/>
  <c r="S321" i="110"/>
  <c r="H321" i="110"/>
  <c r="H329" i="110"/>
  <c r="Q20" i="110"/>
  <c r="H20" i="110"/>
  <c r="Q27" i="110"/>
  <c r="H27" i="110"/>
  <c r="Q49" i="110"/>
  <c r="H49" i="110"/>
  <c r="Q29" i="110"/>
  <c r="H29" i="110"/>
  <c r="Q45" i="110"/>
  <c r="H45" i="110"/>
  <c r="Q33" i="110"/>
  <c r="H33" i="110"/>
  <c r="N158" i="110"/>
  <c r="H158" i="110"/>
  <c r="Q14" i="110"/>
  <c r="H14" i="110"/>
  <c r="Q18" i="110"/>
  <c r="H18" i="110"/>
  <c r="Q63" i="110"/>
  <c r="H63" i="110"/>
  <c r="Q15" i="110"/>
  <c r="H15" i="110"/>
  <c r="Q60" i="110"/>
  <c r="H60" i="110"/>
  <c r="R177" i="110"/>
  <c r="C177" i="110" s="1"/>
  <c r="B177" i="110" s="1"/>
  <c r="H177" i="110"/>
  <c r="H336" i="110"/>
  <c r="H352" i="110"/>
  <c r="H338" i="110"/>
  <c r="H337" i="110"/>
  <c r="H349" i="110"/>
  <c r="H342" i="110"/>
  <c r="H343" i="110"/>
  <c r="H351" i="110"/>
  <c r="H316" i="110"/>
  <c r="H324" i="110"/>
  <c r="H332" i="110"/>
  <c r="Q47" i="110"/>
  <c r="H47" i="110"/>
  <c r="Q38" i="110"/>
  <c r="H38" i="110"/>
  <c r="Q31" i="110"/>
  <c r="H31" i="110"/>
  <c r="Q39" i="110"/>
  <c r="H39" i="110"/>
  <c r="Q42" i="110"/>
  <c r="H42" i="110"/>
  <c r="Q34" i="110"/>
  <c r="H34" i="110"/>
  <c r="Q19" i="110"/>
  <c r="H19" i="110"/>
  <c r="Q35" i="110"/>
  <c r="H35" i="110"/>
  <c r="Q37" i="110"/>
  <c r="H37" i="110"/>
  <c r="O164" i="110"/>
  <c r="H164" i="110"/>
  <c r="Q41" i="110"/>
  <c r="H41" i="110"/>
  <c r="N162" i="110"/>
  <c r="H162" i="110"/>
  <c r="Q56" i="110"/>
  <c r="H56" i="110"/>
  <c r="H340" i="110"/>
  <c r="H347" i="110"/>
  <c r="H333" i="110"/>
  <c r="H318" i="110"/>
  <c r="H326" i="110"/>
  <c r="I323" i="110"/>
  <c r="H323" i="110"/>
  <c r="O331" i="110"/>
  <c r="H331" i="110"/>
  <c r="M317" i="110"/>
  <c r="H317" i="110"/>
  <c r="H325" i="110"/>
  <c r="Q46" i="110"/>
  <c r="H46" i="110"/>
  <c r="Q23" i="110"/>
  <c r="H23" i="110"/>
  <c r="Q22" i="110"/>
  <c r="H22" i="110"/>
  <c r="Q43" i="110"/>
  <c r="H43" i="110"/>
  <c r="Q50" i="110"/>
  <c r="H50" i="110"/>
  <c r="N176" i="110"/>
  <c r="H176" i="110"/>
  <c r="Q62" i="110"/>
  <c r="H62" i="110"/>
  <c r="Q12" i="110"/>
  <c r="H12" i="110"/>
  <c r="Q16" i="110"/>
  <c r="H16" i="110"/>
  <c r="H344" i="110"/>
  <c r="H341" i="110"/>
  <c r="H345" i="110"/>
  <c r="H335" i="110"/>
  <c r="W266" i="110"/>
  <c r="H266" i="110"/>
  <c r="AL319" i="110"/>
  <c r="I319" i="110"/>
  <c r="O321" i="110"/>
  <c r="R319" i="110"/>
  <c r="K321" i="110"/>
  <c r="AN319" i="110"/>
  <c r="N321" i="110"/>
  <c r="S319" i="110"/>
  <c r="M321" i="110"/>
  <c r="W321" i="110"/>
  <c r="J319" i="110"/>
  <c r="U319" i="110"/>
  <c r="S316" i="110"/>
  <c r="J321" i="110"/>
  <c r="AL321" i="110"/>
  <c r="I321" i="110"/>
  <c r="W319" i="110"/>
  <c r="U321" i="110"/>
  <c r="K319" i="110"/>
  <c r="M319" i="110"/>
  <c r="O319" i="110"/>
  <c r="I316" i="110"/>
  <c r="R321" i="110"/>
  <c r="J323" i="110"/>
  <c r="AN323" i="110"/>
  <c r="U331" i="110"/>
  <c r="K331" i="110"/>
  <c r="N323" i="110"/>
  <c r="T331" i="110"/>
  <c r="AM331" i="110" s="1"/>
  <c r="T323" i="110"/>
  <c r="AM323" i="110" s="1"/>
  <c r="W323" i="110"/>
  <c r="S323" i="110"/>
  <c r="R331" i="110"/>
  <c r="M331" i="110"/>
  <c r="J317" i="110"/>
  <c r="AL323" i="110"/>
  <c r="K323" i="110"/>
  <c r="O323" i="110"/>
  <c r="M323" i="110"/>
  <c r="I331" i="110"/>
  <c r="AL331" i="110"/>
  <c r="U317" i="110"/>
  <c r="W331" i="110"/>
  <c r="U323" i="110"/>
  <c r="R323" i="110"/>
  <c r="S331" i="110"/>
  <c r="N331" i="110"/>
  <c r="C475" i="110"/>
  <c r="B475" i="110" s="1"/>
  <c r="T319" i="110"/>
  <c r="AM319" i="110" s="1"/>
  <c r="T321" i="110"/>
  <c r="AM321" i="110" s="1"/>
  <c r="W394" i="110"/>
  <c r="L394" i="110"/>
  <c r="AN316" i="110"/>
  <c r="K316" i="110"/>
  <c r="O316" i="110"/>
  <c r="T316" i="110"/>
  <c r="AM316" i="110" s="1"/>
  <c r="R316" i="110"/>
  <c r="J316" i="110"/>
  <c r="BC18" i="70"/>
  <c r="AW18" i="70"/>
  <c r="AV18" i="70"/>
  <c r="BF18" i="70"/>
  <c r="AV24" i="70"/>
  <c r="BF24" i="70"/>
  <c r="BC24" i="70"/>
  <c r="AW24" i="70"/>
  <c r="AW26" i="70"/>
  <c r="AV26" i="70"/>
  <c r="BF26" i="70"/>
  <c r="BC26" i="70"/>
  <c r="BF16" i="70"/>
  <c r="BC16" i="70"/>
  <c r="AW16" i="70"/>
  <c r="AV16" i="70"/>
  <c r="AN22" i="62"/>
  <c r="C183" i="110"/>
  <c r="B183" i="110" s="1"/>
  <c r="L183" i="110"/>
  <c r="C180" i="110"/>
  <c r="B180" i="110" s="1"/>
  <c r="L180" i="110"/>
  <c r="C182" i="110"/>
  <c r="B182" i="110" s="1"/>
  <c r="L182" i="110"/>
  <c r="C181" i="110"/>
  <c r="B181" i="110" s="1"/>
  <c r="L181" i="110"/>
  <c r="C163" i="110"/>
  <c r="B163" i="110" s="1"/>
  <c r="L163" i="110"/>
  <c r="C165" i="110"/>
  <c r="B165" i="110" s="1"/>
  <c r="L165" i="110"/>
  <c r="C167" i="110"/>
  <c r="B167" i="110" s="1"/>
  <c r="L167" i="110"/>
  <c r="C168" i="110"/>
  <c r="B168" i="110" s="1"/>
  <c r="C66" i="110"/>
  <c r="B66" i="110" s="1"/>
  <c r="L66" i="110"/>
  <c r="C71" i="110"/>
  <c r="B71" i="110" s="1"/>
  <c r="L71" i="110"/>
  <c r="C70" i="110"/>
  <c r="B70" i="110" s="1"/>
  <c r="L70" i="110"/>
  <c r="C68" i="110"/>
  <c r="B68" i="110" s="1"/>
  <c r="L68" i="110"/>
  <c r="C65" i="110"/>
  <c r="B65" i="110" s="1"/>
  <c r="L65" i="110"/>
  <c r="C69" i="110"/>
  <c r="B69" i="110" s="1"/>
  <c r="L69" i="110"/>
  <c r="C55" i="110"/>
  <c r="B55" i="110" s="1"/>
  <c r="L55" i="110"/>
  <c r="C67" i="110"/>
  <c r="B67" i="110" s="1"/>
  <c r="L67" i="110"/>
  <c r="C72" i="110"/>
  <c r="B72" i="110" s="1"/>
  <c r="L72" i="110"/>
  <c r="C73" i="110"/>
  <c r="B73" i="110" s="1"/>
  <c r="L73" i="110"/>
  <c r="BC36" i="13"/>
  <c r="BC52" i="13"/>
  <c r="BC20" i="13"/>
  <c r="BC38" i="13"/>
  <c r="BC32" i="13"/>
  <c r="BC48" i="13"/>
  <c r="BC40" i="13"/>
  <c r="BC42" i="13"/>
  <c r="BC58" i="13"/>
  <c r="BC44" i="13"/>
  <c r="BC60" i="13"/>
  <c r="BC18" i="13"/>
  <c r="BC56" i="13"/>
  <c r="BC64" i="13"/>
  <c r="BC30" i="13"/>
  <c r="BC46" i="13"/>
  <c r="BC62" i="13"/>
  <c r="BC54" i="13"/>
  <c r="AK16" i="12"/>
  <c r="W282" i="110"/>
  <c r="BC92" i="69"/>
  <c r="BD106" i="69"/>
  <c r="AH100" i="69"/>
  <c r="BA106" i="69"/>
  <c r="AY106" i="69"/>
  <c r="AH106" i="69"/>
  <c r="BE20" i="65"/>
  <c r="AG314" i="110"/>
  <c r="R12" i="64"/>
  <c r="J29" i="3" s="1"/>
  <c r="N174" i="110"/>
  <c r="N177" i="110"/>
  <c r="O177" i="110"/>
  <c r="AY108" i="69"/>
  <c r="AK108" i="69"/>
  <c r="BC108" i="69" s="1"/>
  <c r="AN104" i="69"/>
  <c r="K430" i="110" s="1"/>
  <c r="AV104" i="69"/>
  <c r="AK430" i="110" s="1"/>
  <c r="AZ108" i="69"/>
  <c r="BA54" i="69"/>
  <c r="BA78" i="69"/>
  <c r="BA108" i="69"/>
  <c r="AX104" i="69"/>
  <c r="AZ104" i="69"/>
  <c r="AY104" i="69"/>
  <c r="AZ78" i="69"/>
  <c r="BA104" i="69"/>
  <c r="AK104" i="69"/>
  <c r="AN54" i="69"/>
  <c r="I405" i="110" s="1"/>
  <c r="BA26" i="69"/>
  <c r="BC28" i="69"/>
  <c r="AZ28" i="69"/>
  <c r="BA28" i="69"/>
  <c r="AY28" i="69"/>
  <c r="AV28" i="69"/>
  <c r="BH42" i="69"/>
  <c r="BH60" i="69"/>
  <c r="AV86" i="69"/>
  <c r="AK421" i="110" s="1"/>
  <c r="BH54" i="69"/>
  <c r="AK26" i="13"/>
  <c r="BC26" i="13"/>
  <c r="R159" i="110"/>
  <c r="AK24" i="62"/>
  <c r="AV24" i="62" s="1"/>
  <c r="O59" i="110" s="1"/>
  <c r="AN24" i="62"/>
  <c r="W177" i="110"/>
  <c r="AK16" i="13"/>
  <c r="BA16" i="13"/>
  <c r="AA16" i="70"/>
  <c r="AY16" i="71"/>
  <c r="AX16" i="71"/>
  <c r="AZ16" i="71"/>
  <c r="BB16" i="71"/>
  <c r="BE16" i="71" s="1" a="1"/>
  <c r="BE16" i="71" s="1"/>
  <c r="BH56" i="69"/>
  <c r="AH84" i="69"/>
  <c r="BD78" i="69"/>
  <c r="AN100" i="69"/>
  <c r="AL428" i="110" s="1"/>
  <c r="AK100" i="69"/>
  <c r="BD84" i="69"/>
  <c r="AK78" i="69"/>
  <c r="AK106" i="69"/>
  <c r="BC106" i="69" s="1"/>
  <c r="AZ106" i="69"/>
  <c r="AN78" i="69"/>
  <c r="I417" i="110" s="1"/>
  <c r="BH64" i="69"/>
  <c r="BH50" i="69"/>
  <c r="BH36" i="69"/>
  <c r="BH68" i="69"/>
  <c r="BH70" i="69"/>
  <c r="BH74" i="69"/>
  <c r="BH38" i="69"/>
  <c r="BH58" i="69"/>
  <c r="AZ84" i="69"/>
  <c r="AV78" i="69"/>
  <c r="AK417" i="110" s="1"/>
  <c r="AZ100" i="69"/>
  <c r="AX100" i="69"/>
  <c r="AX106" i="69"/>
  <c r="AX84" i="69"/>
  <c r="AN106" i="69"/>
  <c r="I431" i="110" s="1"/>
  <c r="AY84" i="69"/>
  <c r="AY78" i="69"/>
  <c r="BH72" i="69"/>
  <c r="BH66" i="69"/>
  <c r="BH44" i="69"/>
  <c r="BH62" i="69"/>
  <c r="BA100" i="69"/>
  <c r="AH78" i="69"/>
  <c r="AY100" i="69"/>
  <c r="AV100" i="69"/>
  <c r="AK428" i="110" s="1"/>
  <c r="AV106" i="69"/>
  <c r="AK431" i="110" s="1"/>
  <c r="AN84" i="69"/>
  <c r="R420" i="110" s="1"/>
  <c r="AX78" i="69"/>
  <c r="BD100" i="69"/>
  <c r="BH52" i="69"/>
  <c r="BC24" i="69"/>
  <c r="AZ24" i="69"/>
  <c r="BA24" i="69"/>
  <c r="AY24" i="69"/>
  <c r="AV24" i="69"/>
  <c r="AK390" i="110" s="1"/>
  <c r="AX74" i="69"/>
  <c r="AN64" i="69"/>
  <c r="AL410" i="110" s="1"/>
  <c r="AY64" i="69"/>
  <c r="BC68" i="13"/>
  <c r="BC86" i="13"/>
  <c r="AK24" i="13"/>
  <c r="BA24" i="13"/>
  <c r="BC24" i="13" s="1"/>
  <c r="AV24" i="13"/>
  <c r="AY44" i="69"/>
  <c r="BD36" i="69"/>
  <c r="AK36" i="69"/>
  <c r="AK70" i="69"/>
  <c r="AH40" i="69"/>
  <c r="AH36" i="69"/>
  <c r="AX36" i="69"/>
  <c r="BA36" i="69"/>
  <c r="AX30" i="69"/>
  <c r="AH30" i="69"/>
  <c r="AK30" i="69"/>
  <c r="AZ26" i="69"/>
  <c r="AY26" i="69"/>
  <c r="BC26" i="69"/>
  <c r="AX26" i="69"/>
  <c r="AV26" i="69" s="1"/>
  <c r="AK391" i="110" s="1"/>
  <c r="BE22" i="69" a="1"/>
  <c r="BE22" i="69" s="1"/>
  <c r="BD74" i="69"/>
  <c r="BD54" i="69"/>
  <c r="AX54" i="69"/>
  <c r="AZ36" i="69"/>
  <c r="AK74" i="69"/>
  <c r="BA74" i="69"/>
  <c r="AY74" i="69"/>
  <c r="BC86" i="69"/>
  <c r="AX64" i="69"/>
  <c r="BA64" i="69"/>
  <c r="AK64" i="69"/>
  <c r="BC64" i="69" s="1"/>
  <c r="AK54" i="69"/>
  <c r="BC54" i="69" s="1"/>
  <c r="AV74" i="69"/>
  <c r="AK415" i="110" s="1"/>
  <c r="AH74" i="69"/>
  <c r="AY54" i="69"/>
  <c r="AZ54" i="69"/>
  <c r="AV54" i="69"/>
  <c r="AK405" i="110" s="1"/>
  <c r="AY36" i="69"/>
  <c r="AN74" i="69"/>
  <c r="AV40" i="69"/>
  <c r="AK398" i="110" s="1"/>
  <c r="BA40" i="69"/>
  <c r="AZ64" i="69"/>
  <c r="AN36" i="69"/>
  <c r="S396" i="110" s="1"/>
  <c r="AK16" i="69"/>
  <c r="AX16" i="69"/>
  <c r="C473" i="110"/>
  <c r="B473" i="110" s="1"/>
  <c r="AH70" i="69"/>
  <c r="AN48" i="69"/>
  <c r="R402" i="110" s="1"/>
  <c r="AH72" i="69"/>
  <c r="AZ48" i="69"/>
  <c r="AX72" i="69"/>
  <c r="AY70" i="69"/>
  <c r="AN72" i="69"/>
  <c r="W414" i="110" s="1"/>
  <c r="AK48" i="69"/>
  <c r="AX70" i="69"/>
  <c r="AV48" i="69"/>
  <c r="AK402" i="110" s="1"/>
  <c r="BD72" i="69"/>
  <c r="AY72" i="69"/>
  <c r="AK72" i="69"/>
  <c r="AV72" i="69"/>
  <c r="AK414" i="110" s="1"/>
  <c r="BD70" i="69"/>
  <c r="AZ46" i="69"/>
  <c r="AH48" i="69"/>
  <c r="AN70" i="69"/>
  <c r="N413" i="110" s="1"/>
  <c r="BA48" i="69"/>
  <c r="AX48" i="69"/>
  <c r="AV70" i="69"/>
  <c r="AK413" i="110" s="1"/>
  <c r="AV46" i="69"/>
  <c r="AK401" i="110" s="1"/>
  <c r="BA70" i="69"/>
  <c r="AY48" i="69"/>
  <c r="BD44" i="69"/>
  <c r="BA72" i="69"/>
  <c r="BD48" i="69"/>
  <c r="BD64" i="69"/>
  <c r="AY46" i="69"/>
  <c r="AV64" i="69"/>
  <c r="AK410" i="110" s="1"/>
  <c r="AN46" i="69"/>
  <c r="S401" i="110" s="1"/>
  <c r="AX46" i="69"/>
  <c r="BA46" i="69"/>
  <c r="BD46" i="69"/>
  <c r="AH46" i="69"/>
  <c r="AK46" i="69"/>
  <c r="AY96" i="69"/>
  <c r="AH44" i="69"/>
  <c r="AN80" i="69"/>
  <c r="W418" i="110" s="1"/>
  <c r="AN40" i="69"/>
  <c r="J398" i="110" s="1"/>
  <c r="AZ88" i="69"/>
  <c r="AK102" i="69"/>
  <c r="AX82" i="69"/>
  <c r="AZ44" i="69"/>
  <c r="AK44" i="69"/>
  <c r="BA76" i="69"/>
  <c r="AY40" i="69"/>
  <c r="AN44" i="69"/>
  <c r="U400" i="110" s="1"/>
  <c r="AK90" i="69"/>
  <c r="BA44" i="69"/>
  <c r="AV44" i="69"/>
  <c r="AK400" i="110" s="1"/>
  <c r="AN98" i="69"/>
  <c r="K427" i="110" s="1"/>
  <c r="AK40" i="69"/>
  <c r="BD40" i="69"/>
  <c r="AZ40" i="69"/>
  <c r="AX40" i="69"/>
  <c r="C466" i="110"/>
  <c r="B466" i="110" s="1"/>
  <c r="C462" i="110"/>
  <c r="B462" i="110" s="1"/>
  <c r="C465" i="110"/>
  <c r="B465" i="110" s="1"/>
  <c r="M339" i="110"/>
  <c r="BA28" i="13"/>
  <c r="BC28" i="13" s="1"/>
  <c r="AK28" i="13"/>
  <c r="K339" i="110"/>
  <c r="AL339" i="110"/>
  <c r="BC102" i="13"/>
  <c r="BC76" i="13"/>
  <c r="T339" i="110"/>
  <c r="AM339" i="110" s="1"/>
  <c r="I339" i="110"/>
  <c r="U339" i="110"/>
  <c r="BC94" i="13"/>
  <c r="BC82" i="13"/>
  <c r="O160" i="110"/>
  <c r="N159" i="110"/>
  <c r="W339" i="110"/>
  <c r="AL355" i="110"/>
  <c r="BC80" i="13"/>
  <c r="BC88" i="13"/>
  <c r="BC98" i="13"/>
  <c r="S355" i="110"/>
  <c r="O355" i="110"/>
  <c r="BC70" i="13"/>
  <c r="BC74" i="13"/>
  <c r="BC90" i="13"/>
  <c r="BC92" i="13"/>
  <c r="BC104" i="13"/>
  <c r="BC84" i="13"/>
  <c r="M355" i="110"/>
  <c r="I355" i="110"/>
  <c r="T355" i="110"/>
  <c r="AM355" i="110" s="1"/>
  <c r="R355" i="110"/>
  <c r="BC78" i="13"/>
  <c r="BC72" i="13"/>
  <c r="BC96" i="13"/>
  <c r="BC66" i="13"/>
  <c r="BC100" i="13"/>
  <c r="AK22" i="13"/>
  <c r="BA22" i="13"/>
  <c r="AU30" i="12"/>
  <c r="K11" i="110" s="1"/>
  <c r="AV36" i="12"/>
  <c r="AV38" i="12"/>
  <c r="AV26" i="12"/>
  <c r="AV44" i="12"/>
  <c r="AV32" i="12"/>
  <c r="O12" i="110" s="1"/>
  <c r="AV34" i="12"/>
  <c r="AV40" i="12"/>
  <c r="AV42" i="12"/>
  <c r="AU18" i="70"/>
  <c r="AK18" i="70"/>
  <c r="AX18" i="70" s="1"/>
  <c r="AH18" i="70"/>
  <c r="AH24" i="70"/>
  <c r="AU24" i="70"/>
  <c r="AK364" i="110" s="1"/>
  <c r="AK24" i="70"/>
  <c r="AX24" i="70" s="1"/>
  <c r="W64" i="110"/>
  <c r="R64" i="110"/>
  <c r="W62" i="110"/>
  <c r="R62" i="110"/>
  <c r="W56" i="110"/>
  <c r="R56" i="110"/>
  <c r="R61" i="110"/>
  <c r="AV32" i="62"/>
  <c r="O63" i="110" s="1"/>
  <c r="N63" i="110"/>
  <c r="AN20" i="62"/>
  <c r="K57" i="110"/>
  <c r="AV34" i="62"/>
  <c r="O64" i="110" s="1"/>
  <c r="N64" i="110"/>
  <c r="AV30" i="62"/>
  <c r="O62" i="110" s="1"/>
  <c r="N62" i="110"/>
  <c r="AV26" i="62"/>
  <c r="O60" i="110" s="1"/>
  <c r="N60" i="110"/>
  <c r="AV28" i="62"/>
  <c r="O61" i="110" s="1"/>
  <c r="N61" i="110"/>
  <c r="R63" i="110"/>
  <c r="AV18" i="62"/>
  <c r="O56" i="110" s="1"/>
  <c r="N56" i="110"/>
  <c r="W60" i="110"/>
  <c r="R60" i="110"/>
  <c r="X365" i="110"/>
  <c r="AG360" i="110"/>
  <c r="X360" i="110"/>
  <c r="C464" i="110"/>
  <c r="B464" i="110" s="1"/>
  <c r="C447" i="110"/>
  <c r="B447" i="110" s="1"/>
  <c r="C480" i="110"/>
  <c r="B480" i="110" s="1"/>
  <c r="C474" i="110"/>
  <c r="B474" i="110" s="1"/>
  <c r="C484" i="110"/>
  <c r="B484" i="110" s="1"/>
  <c r="I440" i="110"/>
  <c r="C460" i="110"/>
  <c r="B460" i="110" s="1"/>
  <c r="P439" i="110"/>
  <c r="S439" i="110"/>
  <c r="W61" i="110"/>
  <c r="C451" i="110"/>
  <c r="B451" i="110" s="1"/>
  <c r="AN439" i="110"/>
  <c r="I441" i="110"/>
  <c r="S440" i="110"/>
  <c r="W440" i="110"/>
  <c r="AL440" i="110"/>
  <c r="J440" i="110"/>
  <c r="R440" i="110"/>
  <c r="V440" i="110"/>
  <c r="P440" i="110"/>
  <c r="K440" i="110"/>
  <c r="C461" i="110"/>
  <c r="B461" i="110" s="1"/>
  <c r="AV16" i="13"/>
  <c r="AK309" i="110" s="1"/>
  <c r="C169" i="110"/>
  <c r="B169" i="110" s="1"/>
  <c r="C170" i="110"/>
  <c r="B170" i="110" s="1"/>
  <c r="W159" i="110"/>
  <c r="AU200" i="64"/>
  <c r="V12" i="64" s="1"/>
  <c r="I29" i="3" s="1"/>
  <c r="AK22" i="62"/>
  <c r="BE22" i="62" s="1"/>
  <c r="W161" i="110"/>
  <c r="AK20" i="62"/>
  <c r="BE20" i="62" s="1"/>
  <c r="O161" i="110"/>
  <c r="R157" i="110"/>
  <c r="Z12" i="64"/>
  <c r="F29" i="3" s="1"/>
  <c r="AM394" i="110"/>
  <c r="C470" i="110"/>
  <c r="B470" i="110" s="1"/>
  <c r="V441" i="110"/>
  <c r="AL441" i="110"/>
  <c r="J441" i="110"/>
  <c r="AM441" i="110"/>
  <c r="AN441" i="110"/>
  <c r="P441" i="110"/>
  <c r="K320" i="110"/>
  <c r="K317" i="110"/>
  <c r="J339" i="110"/>
  <c r="S339" i="110"/>
  <c r="T320" i="110"/>
  <c r="AM320" i="110" s="1"/>
  <c r="W317" i="110"/>
  <c r="O339" i="110"/>
  <c r="N339" i="110"/>
  <c r="R339" i="110"/>
  <c r="K218" i="110"/>
  <c r="AU200" i="66"/>
  <c r="V12" i="66" s="1"/>
  <c r="I31" i="3" s="1"/>
  <c r="I45" i="3" s="1"/>
  <c r="K216" i="110"/>
  <c r="T317" i="110"/>
  <c r="AM317" i="110" s="1"/>
  <c r="R161" i="110"/>
  <c r="R164" i="110"/>
  <c r="N160" i="110"/>
  <c r="W63" i="110"/>
  <c r="R160" i="110"/>
  <c r="N320" i="110"/>
  <c r="I317" i="110"/>
  <c r="S320" i="110"/>
  <c r="N394" i="110"/>
  <c r="AN394" i="110"/>
  <c r="M320" i="110"/>
  <c r="I320" i="110"/>
  <c r="R317" i="110"/>
  <c r="O317" i="110"/>
  <c r="N317" i="110"/>
  <c r="R394" i="110"/>
  <c r="I394" i="110"/>
  <c r="AL320" i="110"/>
  <c r="J320" i="110"/>
  <c r="R320" i="110"/>
  <c r="AN317" i="110"/>
  <c r="AL317" i="110"/>
  <c r="S317" i="110"/>
  <c r="AN355" i="110"/>
  <c r="AN339" i="110"/>
  <c r="AN320" i="110"/>
  <c r="AN331" i="110"/>
  <c r="AN321" i="110"/>
  <c r="O46" i="110"/>
  <c r="N31" i="110"/>
  <c r="O50" i="110"/>
  <c r="O26" i="110"/>
  <c r="R21" i="110"/>
  <c r="O25" i="110"/>
  <c r="N41" i="110"/>
  <c r="N30" i="110"/>
  <c r="N35" i="110"/>
  <c r="R29" i="110"/>
  <c r="R45" i="110"/>
  <c r="R33" i="110"/>
  <c r="O42" i="110"/>
  <c r="O28" i="110"/>
  <c r="R48" i="110"/>
  <c r="N24" i="110"/>
  <c r="O43" i="110"/>
  <c r="O36" i="110"/>
  <c r="N27" i="110"/>
  <c r="R49" i="110"/>
  <c r="O37" i="110"/>
  <c r="R40" i="110"/>
  <c r="O22" i="110"/>
  <c r="R20" i="110"/>
  <c r="R13" i="110"/>
  <c r="O14" i="110"/>
  <c r="O18" i="110"/>
  <c r="R12" i="110"/>
  <c r="R16" i="110"/>
  <c r="R15" i="110"/>
  <c r="R17" i="110"/>
  <c r="C110" i="110"/>
  <c r="B110" i="110" s="1"/>
  <c r="AM440" i="110"/>
  <c r="W164" i="110"/>
  <c r="N164" i="110"/>
  <c r="O15" i="110"/>
  <c r="C477" i="110"/>
  <c r="B477" i="110" s="1"/>
  <c r="C485" i="110"/>
  <c r="B485" i="110" s="1"/>
  <c r="C486" i="110"/>
  <c r="B486" i="110" s="1"/>
  <c r="AG309" i="110"/>
  <c r="BF16" i="13"/>
  <c r="R439" i="110"/>
  <c r="AM439" i="110"/>
  <c r="P443" i="110"/>
  <c r="S443" i="110"/>
  <c r="I439" i="110"/>
  <c r="AL439" i="110"/>
  <c r="M439" i="110"/>
  <c r="K439" i="110"/>
  <c r="AL443" i="110"/>
  <c r="I443" i="110"/>
  <c r="J439" i="110"/>
  <c r="W443" i="110"/>
  <c r="S441" i="110"/>
  <c r="C481" i="110"/>
  <c r="B481" i="110" s="1"/>
  <c r="C453" i="110"/>
  <c r="B453" i="110" s="1"/>
  <c r="C457" i="110"/>
  <c r="B457" i="110" s="1"/>
  <c r="AH363" i="110"/>
  <c r="BE22" i="70"/>
  <c r="K322" i="110"/>
  <c r="R322" i="110"/>
  <c r="W322" i="110"/>
  <c r="N322" i="110"/>
  <c r="U322" i="110"/>
  <c r="AN322" i="110"/>
  <c r="I322" i="110"/>
  <c r="O322" i="110"/>
  <c r="J322" i="110"/>
  <c r="S322" i="110"/>
  <c r="AL322" i="110"/>
  <c r="M322" i="110"/>
  <c r="T322" i="110"/>
  <c r="AM322" i="110" s="1"/>
  <c r="I328" i="110"/>
  <c r="N328" i="110"/>
  <c r="T328" i="110"/>
  <c r="AM328" i="110" s="1"/>
  <c r="K328" i="110"/>
  <c r="S328" i="110"/>
  <c r="AL328" i="110"/>
  <c r="M328" i="110"/>
  <c r="U328" i="110"/>
  <c r="AN328" i="110"/>
  <c r="O328" i="110"/>
  <c r="W328" i="110"/>
  <c r="R328" i="110"/>
  <c r="J328" i="110"/>
  <c r="K424" i="110"/>
  <c r="I424" i="110"/>
  <c r="M424" i="110"/>
  <c r="U424" i="110"/>
  <c r="K340" i="110"/>
  <c r="R340" i="110"/>
  <c r="W340" i="110"/>
  <c r="AN340" i="110"/>
  <c r="M340" i="110"/>
  <c r="S340" i="110"/>
  <c r="I340" i="110"/>
  <c r="N340" i="110"/>
  <c r="T340" i="110"/>
  <c r="AM340" i="110" s="1"/>
  <c r="J340" i="110"/>
  <c r="AL340" i="110"/>
  <c r="O340" i="110"/>
  <c r="U340" i="110"/>
  <c r="K347" i="110"/>
  <c r="R347" i="110"/>
  <c r="W347" i="110"/>
  <c r="M347" i="110"/>
  <c r="S347" i="110"/>
  <c r="AN347" i="110"/>
  <c r="I347" i="110"/>
  <c r="N347" i="110"/>
  <c r="T347" i="110"/>
  <c r="AM347" i="110" s="1"/>
  <c r="J347" i="110"/>
  <c r="O347" i="110"/>
  <c r="U347" i="110"/>
  <c r="AL347" i="110"/>
  <c r="J338" i="110"/>
  <c r="O338" i="110"/>
  <c r="U338" i="110"/>
  <c r="AL338" i="110"/>
  <c r="K338" i="110"/>
  <c r="R338" i="110"/>
  <c r="W338" i="110"/>
  <c r="M338" i="110"/>
  <c r="S338" i="110"/>
  <c r="AN338" i="110"/>
  <c r="I338" i="110"/>
  <c r="N338" i="110"/>
  <c r="T338" i="110"/>
  <c r="AM338" i="110" s="1"/>
  <c r="K335" i="110"/>
  <c r="R335" i="110"/>
  <c r="W335" i="110"/>
  <c r="M335" i="110"/>
  <c r="T335" i="110"/>
  <c r="AM335" i="110" s="1"/>
  <c r="AL335" i="110"/>
  <c r="N335" i="110"/>
  <c r="U335" i="110"/>
  <c r="AN335" i="110"/>
  <c r="I335" i="110"/>
  <c r="O335" i="110"/>
  <c r="J335" i="110"/>
  <c r="S335" i="110"/>
  <c r="M352" i="110"/>
  <c r="S352" i="110"/>
  <c r="I352" i="110"/>
  <c r="N352" i="110"/>
  <c r="T352" i="110"/>
  <c r="AM352" i="110" s="1"/>
  <c r="J352" i="110"/>
  <c r="O352" i="110"/>
  <c r="U352" i="110"/>
  <c r="AL352" i="110"/>
  <c r="R352" i="110"/>
  <c r="W352" i="110"/>
  <c r="K352" i="110"/>
  <c r="AN352" i="110"/>
  <c r="K348" i="110"/>
  <c r="R348" i="110"/>
  <c r="W348" i="110"/>
  <c r="AN348" i="110"/>
  <c r="M348" i="110"/>
  <c r="S348" i="110"/>
  <c r="I348" i="110"/>
  <c r="N348" i="110"/>
  <c r="T348" i="110"/>
  <c r="AM348" i="110" s="1"/>
  <c r="J348" i="110"/>
  <c r="O348" i="110"/>
  <c r="AL348" i="110"/>
  <c r="U348" i="110"/>
  <c r="J353" i="110"/>
  <c r="O353" i="110"/>
  <c r="U353" i="110"/>
  <c r="AL353" i="110"/>
  <c r="K353" i="110"/>
  <c r="R353" i="110"/>
  <c r="W353" i="110"/>
  <c r="AN353" i="110"/>
  <c r="M353" i="110"/>
  <c r="S353" i="110"/>
  <c r="N353" i="110"/>
  <c r="T353" i="110"/>
  <c r="AM353" i="110" s="1"/>
  <c r="I353" i="110"/>
  <c r="M351" i="110"/>
  <c r="S351" i="110"/>
  <c r="AN351" i="110"/>
  <c r="I351" i="110"/>
  <c r="N351" i="110"/>
  <c r="T351" i="110"/>
  <c r="AM351" i="110" s="1"/>
  <c r="J351" i="110"/>
  <c r="O351" i="110"/>
  <c r="U351" i="110"/>
  <c r="AL351" i="110"/>
  <c r="R351" i="110"/>
  <c r="W351" i="110"/>
  <c r="K351" i="110"/>
  <c r="J332" i="110"/>
  <c r="O332" i="110"/>
  <c r="U332" i="110"/>
  <c r="AL332" i="110"/>
  <c r="N332" i="110"/>
  <c r="W332" i="110"/>
  <c r="I332" i="110"/>
  <c r="R332" i="110"/>
  <c r="K332" i="110"/>
  <c r="S332" i="110"/>
  <c r="AN332" i="110"/>
  <c r="M332" i="110"/>
  <c r="T332" i="110"/>
  <c r="AM332" i="110" s="1"/>
  <c r="AK363" i="110"/>
  <c r="AG363" i="110"/>
  <c r="AN24" i="70"/>
  <c r="K404" i="110"/>
  <c r="R404" i="110"/>
  <c r="W404" i="110"/>
  <c r="AL404" i="110"/>
  <c r="I404" i="110"/>
  <c r="N404" i="110"/>
  <c r="J404" i="110"/>
  <c r="O404" i="110"/>
  <c r="M404" i="110"/>
  <c r="S404" i="110"/>
  <c r="AM404" i="110"/>
  <c r="BA18" i="70"/>
  <c r="BB18" i="70" s="1"/>
  <c r="AZ18" i="70" s="1"/>
  <c r="BG18" i="70"/>
  <c r="K432" i="110"/>
  <c r="R432" i="110"/>
  <c r="W432" i="110"/>
  <c r="AL432" i="110"/>
  <c r="I432" i="110"/>
  <c r="N432" i="110"/>
  <c r="T432" i="110"/>
  <c r="AN432" i="110"/>
  <c r="M432" i="110"/>
  <c r="O432" i="110"/>
  <c r="S432" i="110"/>
  <c r="J432" i="110"/>
  <c r="AM432" i="110"/>
  <c r="U432" i="110"/>
  <c r="K342" i="110"/>
  <c r="R342" i="110"/>
  <c r="W342" i="110"/>
  <c r="M342" i="110"/>
  <c r="S342" i="110"/>
  <c r="AN342" i="110"/>
  <c r="I342" i="110"/>
  <c r="N342" i="110"/>
  <c r="T342" i="110"/>
  <c r="AM342" i="110" s="1"/>
  <c r="O342" i="110"/>
  <c r="U342" i="110"/>
  <c r="J342" i="110"/>
  <c r="AL342" i="110"/>
  <c r="I349" i="110"/>
  <c r="N349" i="110"/>
  <c r="T349" i="110"/>
  <c r="AM349" i="110" s="1"/>
  <c r="J349" i="110"/>
  <c r="O349" i="110"/>
  <c r="U349" i="110"/>
  <c r="AL349" i="110"/>
  <c r="K349" i="110"/>
  <c r="R349" i="110"/>
  <c r="W349" i="110"/>
  <c r="AN349" i="110"/>
  <c r="M349" i="110"/>
  <c r="S349" i="110"/>
  <c r="M345" i="110"/>
  <c r="S345" i="110"/>
  <c r="I345" i="110"/>
  <c r="N345" i="110"/>
  <c r="T345" i="110"/>
  <c r="J345" i="110"/>
  <c r="O345" i="110"/>
  <c r="U345" i="110"/>
  <c r="AL345" i="110"/>
  <c r="K345" i="110"/>
  <c r="R345" i="110"/>
  <c r="W345" i="110"/>
  <c r="AN345" i="110"/>
  <c r="I356" i="110"/>
  <c r="N356" i="110"/>
  <c r="T356" i="110"/>
  <c r="AM356" i="110" s="1"/>
  <c r="J356" i="110"/>
  <c r="O356" i="110"/>
  <c r="U356" i="110"/>
  <c r="AL356" i="110"/>
  <c r="K356" i="110"/>
  <c r="R356" i="110"/>
  <c r="W356" i="110"/>
  <c r="AN356" i="110"/>
  <c r="M356" i="110"/>
  <c r="S356" i="110"/>
  <c r="K357" i="110"/>
  <c r="R357" i="110"/>
  <c r="W357" i="110"/>
  <c r="AN357" i="110"/>
  <c r="M357" i="110"/>
  <c r="S357" i="110"/>
  <c r="I357" i="110"/>
  <c r="N357" i="110"/>
  <c r="T357" i="110"/>
  <c r="J357" i="110"/>
  <c r="AL357" i="110"/>
  <c r="O357" i="110"/>
  <c r="U357" i="110"/>
  <c r="K336" i="110"/>
  <c r="R336" i="110"/>
  <c r="W336" i="110"/>
  <c r="AN336" i="110"/>
  <c r="M336" i="110"/>
  <c r="T336" i="110"/>
  <c r="AM336" i="110" s="1"/>
  <c r="AL336" i="110"/>
  <c r="N336" i="110"/>
  <c r="U336" i="110"/>
  <c r="I336" i="110"/>
  <c r="O336" i="110"/>
  <c r="J336" i="110"/>
  <c r="S336" i="110"/>
  <c r="J325" i="110"/>
  <c r="O325" i="110"/>
  <c r="U325" i="110"/>
  <c r="AL325" i="110"/>
  <c r="N325" i="110"/>
  <c r="W325" i="110"/>
  <c r="I325" i="110"/>
  <c r="R325" i="110"/>
  <c r="K325" i="110"/>
  <c r="S325" i="110"/>
  <c r="AN325" i="110"/>
  <c r="M325" i="110"/>
  <c r="T325" i="110"/>
  <c r="AM325" i="110" s="1"/>
  <c r="K329" i="110"/>
  <c r="R329" i="110"/>
  <c r="W329" i="110"/>
  <c r="AN329" i="110"/>
  <c r="N329" i="110"/>
  <c r="U329" i="110"/>
  <c r="I329" i="110"/>
  <c r="O329" i="110"/>
  <c r="J329" i="110"/>
  <c r="S329" i="110"/>
  <c r="AL329" i="110"/>
  <c r="M329" i="110"/>
  <c r="T329" i="110"/>
  <c r="AM329" i="110" s="1"/>
  <c r="AN18" i="70"/>
  <c r="X362" i="110"/>
  <c r="AG362" i="110"/>
  <c r="I337" i="110"/>
  <c r="N337" i="110"/>
  <c r="T337" i="110"/>
  <c r="AM337" i="110" s="1"/>
  <c r="J337" i="110"/>
  <c r="R337" i="110"/>
  <c r="K337" i="110"/>
  <c r="S337" i="110"/>
  <c r="M337" i="110"/>
  <c r="U337" i="110"/>
  <c r="AL337" i="110"/>
  <c r="AN337" i="110"/>
  <c r="O337" i="110"/>
  <c r="W337" i="110"/>
  <c r="M344" i="110"/>
  <c r="S344" i="110"/>
  <c r="I344" i="110"/>
  <c r="N344" i="110"/>
  <c r="U344" i="110"/>
  <c r="AL344" i="110"/>
  <c r="O344" i="110"/>
  <c r="W344" i="110"/>
  <c r="AN344" i="110"/>
  <c r="J344" i="110"/>
  <c r="R344" i="110"/>
  <c r="K344" i="110"/>
  <c r="T344" i="110"/>
  <c r="AM344" i="110" s="1"/>
  <c r="I421" i="110"/>
  <c r="N421" i="110"/>
  <c r="T421" i="110"/>
  <c r="AN421" i="110"/>
  <c r="K421" i="110"/>
  <c r="R421" i="110"/>
  <c r="W421" i="110"/>
  <c r="AL421" i="110"/>
  <c r="S421" i="110"/>
  <c r="M421" i="110"/>
  <c r="O421" i="110"/>
  <c r="U421" i="110"/>
  <c r="AM421" i="110"/>
  <c r="J421" i="110"/>
  <c r="K417" i="110"/>
  <c r="S417" i="110"/>
  <c r="J334" i="110"/>
  <c r="O334" i="110"/>
  <c r="U334" i="110"/>
  <c r="AL334" i="110"/>
  <c r="K334" i="110"/>
  <c r="S334" i="110"/>
  <c r="M334" i="110"/>
  <c r="T334" i="110"/>
  <c r="AM334" i="110" s="1"/>
  <c r="N334" i="110"/>
  <c r="W334" i="110"/>
  <c r="AN334" i="110"/>
  <c r="I334" i="110"/>
  <c r="R334" i="110"/>
  <c r="M343" i="110"/>
  <c r="S343" i="110"/>
  <c r="AN343" i="110"/>
  <c r="I343" i="110"/>
  <c r="N343" i="110"/>
  <c r="T343" i="110"/>
  <c r="AM343" i="110" s="1"/>
  <c r="J343" i="110"/>
  <c r="O343" i="110"/>
  <c r="R343" i="110"/>
  <c r="AL343" i="110"/>
  <c r="U343" i="110"/>
  <c r="W343" i="110"/>
  <c r="K343" i="110"/>
  <c r="M324" i="110"/>
  <c r="S324" i="110"/>
  <c r="N324" i="110"/>
  <c r="U324" i="110"/>
  <c r="AL324" i="110"/>
  <c r="I324" i="110"/>
  <c r="O324" i="110"/>
  <c r="W324" i="110"/>
  <c r="AN324" i="110"/>
  <c r="J324" i="110"/>
  <c r="R324" i="110"/>
  <c r="T324" i="110"/>
  <c r="AM324" i="110" s="1"/>
  <c r="K324" i="110"/>
  <c r="AX22" i="70"/>
  <c r="AG365" i="110"/>
  <c r="J318" i="110"/>
  <c r="O318" i="110"/>
  <c r="U318" i="110"/>
  <c r="AL318" i="110"/>
  <c r="M318" i="110"/>
  <c r="T318" i="110"/>
  <c r="AM318" i="110" s="1"/>
  <c r="N318" i="110"/>
  <c r="W318" i="110"/>
  <c r="AN318" i="110"/>
  <c r="I318" i="110"/>
  <c r="R318" i="110"/>
  <c r="K318" i="110"/>
  <c r="S318" i="110"/>
  <c r="AG364" i="110"/>
  <c r="X364" i="110"/>
  <c r="BG24" i="70"/>
  <c r="BA24" i="70"/>
  <c r="BB24" i="70" s="1"/>
  <c r="AZ24" i="70" s="1"/>
  <c r="I330" i="110"/>
  <c r="N330" i="110"/>
  <c r="T330" i="110"/>
  <c r="AM330" i="110" s="1"/>
  <c r="K330" i="110"/>
  <c r="S330" i="110"/>
  <c r="AL330" i="110"/>
  <c r="M330" i="110"/>
  <c r="U330" i="110"/>
  <c r="O330" i="110"/>
  <c r="W330" i="110"/>
  <c r="AN330" i="110"/>
  <c r="J330" i="110"/>
  <c r="R330" i="110"/>
  <c r="M333" i="110"/>
  <c r="S333" i="110"/>
  <c r="J333" i="110"/>
  <c r="R333" i="110"/>
  <c r="K333" i="110"/>
  <c r="T333" i="110"/>
  <c r="AM333" i="110" s="1"/>
  <c r="N333" i="110"/>
  <c r="U333" i="110"/>
  <c r="AL333" i="110"/>
  <c r="I333" i="110"/>
  <c r="AN333" i="110"/>
  <c r="O333" i="110"/>
  <c r="W333" i="110"/>
  <c r="M326" i="110"/>
  <c r="S326" i="110"/>
  <c r="AN326" i="110"/>
  <c r="J326" i="110"/>
  <c r="R326" i="110"/>
  <c r="K326" i="110"/>
  <c r="T326" i="110"/>
  <c r="AM326" i="110" s="1"/>
  <c r="N326" i="110"/>
  <c r="U326" i="110"/>
  <c r="AL326" i="110"/>
  <c r="I326" i="110"/>
  <c r="O326" i="110"/>
  <c r="W326" i="110"/>
  <c r="AN425" i="110"/>
  <c r="AL425" i="110"/>
  <c r="M425" i="110"/>
  <c r="S415" i="110"/>
  <c r="K350" i="110"/>
  <c r="R350" i="110"/>
  <c r="W350" i="110"/>
  <c r="M350" i="110"/>
  <c r="S350" i="110"/>
  <c r="AN350" i="110"/>
  <c r="I350" i="110"/>
  <c r="N350" i="110"/>
  <c r="T350" i="110"/>
  <c r="AM350" i="110" s="1"/>
  <c r="O350" i="110"/>
  <c r="U350" i="110"/>
  <c r="J350" i="110"/>
  <c r="AL350" i="110"/>
  <c r="M354" i="110"/>
  <c r="S354" i="110"/>
  <c r="AN354" i="110"/>
  <c r="I354" i="110"/>
  <c r="N354" i="110"/>
  <c r="T354" i="110"/>
  <c r="AM354" i="110" s="1"/>
  <c r="J354" i="110"/>
  <c r="O354" i="110"/>
  <c r="U354" i="110"/>
  <c r="AL354" i="110"/>
  <c r="R354" i="110"/>
  <c r="W354" i="110"/>
  <c r="K354" i="110"/>
  <c r="J346" i="110"/>
  <c r="O346" i="110"/>
  <c r="U346" i="110"/>
  <c r="AL346" i="110"/>
  <c r="K346" i="110"/>
  <c r="R346" i="110"/>
  <c r="W346" i="110"/>
  <c r="M346" i="110"/>
  <c r="S346" i="110"/>
  <c r="AN346" i="110"/>
  <c r="I346" i="110"/>
  <c r="N346" i="110"/>
  <c r="T346" i="110"/>
  <c r="AM346" i="110" s="1"/>
  <c r="I341" i="110"/>
  <c r="N341" i="110"/>
  <c r="T341" i="110"/>
  <c r="AM341" i="110" s="1"/>
  <c r="J341" i="110"/>
  <c r="O341" i="110"/>
  <c r="U341" i="110"/>
  <c r="AL341" i="110"/>
  <c r="K341" i="110"/>
  <c r="R341" i="110"/>
  <c r="W341" i="110"/>
  <c r="AN341" i="110"/>
  <c r="M341" i="110"/>
  <c r="S341" i="110"/>
  <c r="I327" i="110"/>
  <c r="N327" i="110"/>
  <c r="T327" i="110"/>
  <c r="AM327" i="110" s="1"/>
  <c r="K327" i="110"/>
  <c r="S327" i="110"/>
  <c r="AL327" i="110"/>
  <c r="M327" i="110"/>
  <c r="U327" i="110"/>
  <c r="O327" i="110"/>
  <c r="W327" i="110"/>
  <c r="AN327" i="110"/>
  <c r="J327" i="110"/>
  <c r="R327" i="110"/>
  <c r="AN22" i="70"/>
  <c r="O33" i="110"/>
  <c r="BA58" i="69"/>
  <c r="O158" i="110"/>
  <c r="R158" i="110"/>
  <c r="BD42" i="69"/>
  <c r="BA62" i="69"/>
  <c r="W158" i="110"/>
  <c r="N25" i="110"/>
  <c r="O21" i="110"/>
  <c r="N21" i="110"/>
  <c r="W15" i="110"/>
  <c r="N15" i="110"/>
  <c r="N14" i="110"/>
  <c r="W25" i="110"/>
  <c r="W41" i="110"/>
  <c r="R41" i="110"/>
  <c r="O41" i="110"/>
  <c r="BC104" i="69"/>
  <c r="AZ62" i="69"/>
  <c r="AK310" i="110"/>
  <c r="W176" i="110"/>
  <c r="O176" i="110"/>
  <c r="R25" i="110"/>
  <c r="W40" i="110"/>
  <c r="W19" i="110"/>
  <c r="R37" i="110"/>
  <c r="R162" i="110"/>
  <c r="BD90" i="69"/>
  <c r="AN88" i="69"/>
  <c r="AN42" i="69"/>
  <c r="BC94" i="69"/>
  <c r="AV62" i="69"/>
  <c r="AK409" i="110" s="1"/>
  <c r="AH62" i="69"/>
  <c r="BC62" i="69" s="1"/>
  <c r="AN62" i="69"/>
  <c r="AY42" i="69"/>
  <c r="AX62" i="69"/>
  <c r="BD62" i="69"/>
  <c r="AV42" i="69"/>
  <c r="AK399" i="110" s="1"/>
  <c r="AY62" i="69"/>
  <c r="W162" i="110"/>
  <c r="O162" i="110"/>
  <c r="C108" i="110"/>
  <c r="B108" i="110" s="1"/>
  <c r="AK58" i="69"/>
  <c r="AY58" i="69"/>
  <c r="BD58" i="69"/>
  <c r="BA42" i="69"/>
  <c r="AN58" i="69"/>
  <c r="AX58" i="69"/>
  <c r="AZ42" i="69"/>
  <c r="AZ58" i="69"/>
  <c r="AK42" i="69"/>
  <c r="BC42" i="69" s="1"/>
  <c r="AX42" i="69"/>
  <c r="AX88" i="69"/>
  <c r="AH88" i="69"/>
  <c r="BD88" i="69"/>
  <c r="AV88" i="69"/>
  <c r="AK422" i="110" s="1"/>
  <c r="AZ50" i="69"/>
  <c r="BA88" i="69"/>
  <c r="AZ80" i="69"/>
  <c r="AH80" i="69"/>
  <c r="AY80" i="69"/>
  <c r="AX80" i="69"/>
  <c r="BD80" i="69"/>
  <c r="BA80" i="69"/>
  <c r="AK80" i="69"/>
  <c r="AV80" i="69"/>
  <c r="AK418" i="110" s="1"/>
  <c r="AY88" i="69"/>
  <c r="AV58" i="69"/>
  <c r="AK407" i="110" s="1"/>
  <c r="AK88" i="69"/>
  <c r="W37" i="110"/>
  <c r="O49" i="110"/>
  <c r="O40" i="110"/>
  <c r="N40" i="110"/>
  <c r="W21" i="110"/>
  <c r="R14" i="110"/>
  <c r="N37" i="110"/>
  <c r="W14" i="110"/>
  <c r="O29" i="110"/>
  <c r="N33" i="110"/>
  <c r="W33" i="110"/>
  <c r="W29" i="110"/>
  <c r="W32" i="110"/>
  <c r="N29" i="110"/>
  <c r="W45" i="110"/>
  <c r="F28" i="3"/>
  <c r="O159" i="110"/>
  <c r="AV102" i="69"/>
  <c r="AK429" i="110" s="1"/>
  <c r="AV90" i="69"/>
  <c r="AK423" i="110" s="1"/>
  <c r="AY50" i="69"/>
  <c r="BD50" i="69"/>
  <c r="BD66" i="69"/>
  <c r="AK66" i="69"/>
  <c r="BA66" i="69"/>
  <c r="BD38" i="69"/>
  <c r="AX98" i="69"/>
  <c r="AH98" i="69"/>
  <c r="BD98" i="69"/>
  <c r="AV98" i="69"/>
  <c r="AK427" i="110" s="1"/>
  <c r="AZ98" i="69"/>
  <c r="AN38" i="69"/>
  <c r="AN76" i="69"/>
  <c r="AX66" i="69"/>
  <c r="AH66" i="69"/>
  <c r="AZ66" i="69"/>
  <c r="BA98" i="69"/>
  <c r="AV66" i="69"/>
  <c r="AK411" i="110" s="1"/>
  <c r="AK60" i="69"/>
  <c r="BC60" i="69" s="1"/>
  <c r="AV50" i="69"/>
  <c r="AK403" i="110" s="1"/>
  <c r="AH50" i="69"/>
  <c r="BC50" i="69" s="1"/>
  <c r="AX50" i="69"/>
  <c r="AN50" i="69"/>
  <c r="BA50" i="69"/>
  <c r="AK98" i="69"/>
  <c r="AN66" i="69"/>
  <c r="AY98" i="69"/>
  <c r="BD82" i="69"/>
  <c r="BC84" i="69"/>
  <c r="AY82" i="69"/>
  <c r="AK68" i="69"/>
  <c r="AK82" i="69"/>
  <c r="AV68" i="69"/>
  <c r="AK412" i="110" s="1"/>
  <c r="J28" i="3"/>
  <c r="AV200" i="64"/>
  <c r="G29" i="3" s="1"/>
  <c r="BA52" i="69"/>
  <c r="AV82" i="69"/>
  <c r="AK419" i="110" s="1"/>
  <c r="AN60" i="69"/>
  <c r="AN68" i="69"/>
  <c r="BA68" i="69"/>
  <c r="AY76" i="69"/>
  <c r="AK76" i="69"/>
  <c r="AX60" i="69"/>
  <c r="BA60" i="69"/>
  <c r="AX76" i="69"/>
  <c r="BD60" i="69"/>
  <c r="AV60" i="69"/>
  <c r="AK408" i="110" s="1"/>
  <c r="AZ76" i="69"/>
  <c r="AK389" i="110"/>
  <c r="AH102" i="69"/>
  <c r="BD102" i="69"/>
  <c r="AZ102" i="69"/>
  <c r="AX102" i="69"/>
  <c r="BA102" i="69"/>
  <c r="AN102" i="69"/>
  <c r="AH82" i="69"/>
  <c r="BA82" i="69"/>
  <c r="AH90" i="69"/>
  <c r="AX90" i="69"/>
  <c r="AY90" i="69"/>
  <c r="BA90" i="69"/>
  <c r="AN96" i="69"/>
  <c r="AV38" i="69"/>
  <c r="AK397" i="110" s="1"/>
  <c r="AH38" i="69"/>
  <c r="AK38" i="69"/>
  <c r="AX38" i="69"/>
  <c r="BA38" i="69"/>
  <c r="AH68" i="69"/>
  <c r="BD68" i="69"/>
  <c r="AH96" i="69"/>
  <c r="AK96" i="69"/>
  <c r="AV96" i="69"/>
  <c r="AK426" i="110" s="1"/>
  <c r="BA96" i="69"/>
  <c r="AY102" i="69"/>
  <c r="AZ82" i="69"/>
  <c r="AN82" i="69"/>
  <c r="AN90" i="69"/>
  <c r="AZ90" i="69"/>
  <c r="BD96" i="69"/>
  <c r="AY38" i="69"/>
  <c r="AZ60" i="69"/>
  <c r="AY60" i="69"/>
  <c r="AZ68" i="69"/>
  <c r="AX68" i="69"/>
  <c r="AH76" i="69"/>
  <c r="AV76" i="69"/>
  <c r="AK416" i="110" s="1"/>
  <c r="BD76" i="69"/>
  <c r="AX96" i="69"/>
  <c r="AZ96" i="69"/>
  <c r="AG312" i="110"/>
  <c r="C448" i="110"/>
  <c r="B448" i="110" s="1"/>
  <c r="R176" i="110"/>
  <c r="N18" i="110"/>
  <c r="O45" i="110"/>
  <c r="N45" i="110"/>
  <c r="N26" i="110"/>
  <c r="R18" i="110"/>
  <c r="W18" i="110"/>
  <c r="Y16" i="70"/>
  <c r="BA16" i="70"/>
  <c r="N49" i="110"/>
  <c r="W49" i="110"/>
  <c r="W26" i="110"/>
  <c r="R27" i="110"/>
  <c r="O27" i="110"/>
  <c r="W27" i="110"/>
  <c r="W13" i="110"/>
  <c r="O19" i="110"/>
  <c r="R50" i="110"/>
  <c r="O31" i="110"/>
  <c r="R22" i="110"/>
  <c r="N17" i="110"/>
  <c r="N43" i="110"/>
  <c r="N42" i="110"/>
  <c r="R36" i="110"/>
  <c r="R42" i="110"/>
  <c r="W16" i="110"/>
  <c r="R26" i="110"/>
  <c r="W42" i="110"/>
  <c r="O13" i="110"/>
  <c r="N13" i="110"/>
  <c r="W31" i="110"/>
  <c r="W34" i="110"/>
  <c r="R28" i="110"/>
  <c r="W28" i="110"/>
  <c r="N50" i="110"/>
  <c r="W50" i="110"/>
  <c r="N28" i="110"/>
  <c r="R31" i="110"/>
  <c r="J394" i="110"/>
  <c r="K394" i="110"/>
  <c r="AM443" i="110"/>
  <c r="AN443" i="110"/>
  <c r="O35" i="110"/>
  <c r="S394" i="110"/>
  <c r="R443" i="110"/>
  <c r="W48" i="110"/>
  <c r="W35" i="110"/>
  <c r="O34" i="110"/>
  <c r="O17" i="110"/>
  <c r="C472" i="110"/>
  <c r="B472" i="110" s="1"/>
  <c r="W17" i="110"/>
  <c r="W46" i="110"/>
  <c r="O394" i="110"/>
  <c r="U394" i="110"/>
  <c r="R35" i="110"/>
  <c r="N32" i="110"/>
  <c r="AL394" i="110"/>
  <c r="M394" i="110"/>
  <c r="R34" i="110"/>
  <c r="N34" i="110"/>
  <c r="T394" i="110"/>
  <c r="C467" i="110"/>
  <c r="B467" i="110" s="1"/>
  <c r="C482" i="110"/>
  <c r="B482" i="110" s="1"/>
  <c r="R43" i="110"/>
  <c r="W12" i="110"/>
  <c r="W30" i="110"/>
  <c r="N44" i="110"/>
  <c r="O44" i="110"/>
  <c r="R44" i="110"/>
  <c r="N12" i="110"/>
  <c r="W23" i="110"/>
  <c r="N20" i="110"/>
  <c r="O20" i="110"/>
  <c r="W43" i="110"/>
  <c r="N36" i="110"/>
  <c r="W36" i="110"/>
  <c r="W44" i="110"/>
  <c r="W20" i="110"/>
  <c r="N19" i="110"/>
  <c r="R19" i="110"/>
  <c r="C459" i="110"/>
  <c r="B459" i="110" s="1"/>
  <c r="C458" i="110"/>
  <c r="B458" i="110" s="1"/>
  <c r="C455" i="110"/>
  <c r="B455" i="110" s="1"/>
  <c r="C452" i="110"/>
  <c r="B452" i="110" s="1"/>
  <c r="C463" i="110"/>
  <c r="B463" i="110" s="1"/>
  <c r="R24" i="110"/>
  <c r="N22" i="110"/>
  <c r="O24" i="110"/>
  <c r="W22" i="110"/>
  <c r="O48" i="110"/>
  <c r="W24" i="110"/>
  <c r="N48" i="110"/>
  <c r="O32" i="110"/>
  <c r="R32" i="110"/>
  <c r="W38" i="110"/>
  <c r="R38" i="110"/>
  <c r="N38" i="110"/>
  <c r="O38" i="110"/>
  <c r="O16" i="110"/>
  <c r="N16" i="110"/>
  <c r="C450" i="110"/>
  <c r="B450" i="110" s="1"/>
  <c r="AA22" i="70"/>
  <c r="AA24" i="70"/>
  <c r="AA26" i="70"/>
  <c r="AH365" i="110" s="1"/>
  <c r="C468" i="110"/>
  <c r="B468" i="110" s="1"/>
  <c r="C469" i="110"/>
  <c r="B469" i="110" s="1"/>
  <c r="I456" i="110"/>
  <c r="V456" i="110"/>
  <c r="R456" i="110"/>
  <c r="P456" i="110"/>
  <c r="AM456" i="110"/>
  <c r="K456" i="110"/>
  <c r="W456" i="110"/>
  <c r="AN456" i="110"/>
  <c r="J456" i="110"/>
  <c r="M456" i="110"/>
  <c r="AL456" i="110"/>
  <c r="S456" i="110"/>
  <c r="K442" i="110"/>
  <c r="J442" i="110"/>
  <c r="M442" i="110"/>
  <c r="P442" i="110"/>
  <c r="AL442" i="110"/>
  <c r="C471" i="110"/>
  <c r="B471" i="110" s="1"/>
  <c r="AH20" i="69"/>
  <c r="X361" i="110"/>
  <c r="AG361" i="110"/>
  <c r="AA20" i="70"/>
  <c r="AH362" i="110" s="1"/>
  <c r="AH18" i="69"/>
  <c r="AN442" i="110"/>
  <c r="R442" i="110"/>
  <c r="T395" i="110"/>
  <c r="C395" i="110" s="1"/>
  <c r="B395" i="110" s="1"/>
  <c r="N46" i="110"/>
  <c r="R46" i="110"/>
  <c r="I483" i="110"/>
  <c r="J483" i="110"/>
  <c r="AL483" i="110"/>
  <c r="V483" i="110"/>
  <c r="K483" i="110"/>
  <c r="AM483" i="110"/>
  <c r="R483" i="110"/>
  <c r="W483" i="110"/>
  <c r="AN483" i="110"/>
  <c r="M483" i="110"/>
  <c r="S483" i="110"/>
  <c r="P483" i="110"/>
  <c r="AK34" i="71"/>
  <c r="AH34" i="71"/>
  <c r="BB34" i="71" s="1"/>
  <c r="AN34" i="71"/>
  <c r="BC34" i="71"/>
  <c r="AV34" i="71"/>
  <c r="AK446" i="110" s="1"/>
  <c r="AZ34" i="71"/>
  <c r="K454" i="110"/>
  <c r="P454" i="110"/>
  <c r="AM454" i="110"/>
  <c r="W454" i="110"/>
  <c r="AN454" i="110"/>
  <c r="I454" i="110"/>
  <c r="M454" i="110"/>
  <c r="AL454" i="110"/>
  <c r="S454" i="110"/>
  <c r="R454" i="110"/>
  <c r="J454" i="110"/>
  <c r="V454" i="110"/>
  <c r="BB84" i="71"/>
  <c r="AN471" i="110"/>
  <c r="K441" i="110"/>
  <c r="M441" i="110"/>
  <c r="R441" i="110"/>
  <c r="V439" i="110"/>
  <c r="O39" i="110"/>
  <c r="R39" i="110"/>
  <c r="N39" i="110"/>
  <c r="W39" i="110"/>
  <c r="N47" i="110"/>
  <c r="W47" i="110"/>
  <c r="R47" i="110"/>
  <c r="O47" i="110"/>
  <c r="W442" i="110"/>
  <c r="V442" i="110"/>
  <c r="AN440" i="110"/>
  <c r="I442" i="110"/>
  <c r="AM442" i="110"/>
  <c r="AK52" i="69"/>
  <c r="T404" i="110" s="1"/>
  <c r="AZ52" i="69"/>
  <c r="AV52" i="69"/>
  <c r="AK404" i="110" s="1"/>
  <c r="AY52" i="69"/>
  <c r="AH52" i="69"/>
  <c r="AN404" i="110" s="1"/>
  <c r="BD52" i="69"/>
  <c r="AX52" i="69"/>
  <c r="U404" i="110" s="1"/>
  <c r="O30" i="110"/>
  <c r="R30" i="110"/>
  <c r="O23" i="110"/>
  <c r="R23" i="110"/>
  <c r="N23" i="110"/>
  <c r="AN94" i="71"/>
  <c r="AY94" i="71"/>
  <c r="AH94" i="71"/>
  <c r="BB94" i="71" s="1"/>
  <c r="AK94" i="71"/>
  <c r="BC94" i="71"/>
  <c r="AZ94" i="71"/>
  <c r="AV94" i="71"/>
  <c r="AK476" i="110" s="1"/>
  <c r="AH100" i="71"/>
  <c r="BB100" i="71" s="1"/>
  <c r="AN100" i="71"/>
  <c r="AK100" i="71"/>
  <c r="AV100" i="71"/>
  <c r="AK479" i="110" s="1"/>
  <c r="BC100" i="71"/>
  <c r="AY100" i="71"/>
  <c r="BB108" i="71"/>
  <c r="AK56" i="69"/>
  <c r="AX56" i="69"/>
  <c r="AY56" i="69"/>
  <c r="AV56" i="69"/>
  <c r="AK406" i="110" s="1"/>
  <c r="AZ56" i="69"/>
  <c r="AN56" i="69"/>
  <c r="AH56" i="69"/>
  <c r="BA56" i="69"/>
  <c r="AN472" i="110"/>
  <c r="BB86" i="71"/>
  <c r="K478" i="110"/>
  <c r="I478" i="110"/>
  <c r="J478" i="110"/>
  <c r="S478" i="110"/>
  <c r="V478" i="110"/>
  <c r="AL478" i="110"/>
  <c r="P478" i="110"/>
  <c r="R478" i="110"/>
  <c r="W478" i="110"/>
  <c r="M478" i="110"/>
  <c r="AN478" i="110"/>
  <c r="AM478" i="110"/>
  <c r="AK32" i="71"/>
  <c r="AN32" i="71"/>
  <c r="BC32" i="71"/>
  <c r="AH32" i="71"/>
  <c r="AV32" i="71"/>
  <c r="AK445" i="110" s="1"/>
  <c r="K443" i="110"/>
  <c r="J443" i="110"/>
  <c r="V443" i="110"/>
  <c r="Y360" i="110"/>
  <c r="AH360" i="110"/>
  <c r="AD361" i="110"/>
  <c r="AA18" i="70"/>
  <c r="BB20" i="71"/>
  <c r="C109" i="110"/>
  <c r="B109" i="110" s="1"/>
  <c r="N157" i="110"/>
  <c r="O157" i="110"/>
  <c r="Z12" i="113"/>
  <c r="H32" i="3" s="1"/>
  <c r="R266" i="110"/>
  <c r="C266" i="110" s="1"/>
  <c r="P266" i="110"/>
  <c r="R12" i="113"/>
  <c r="J32" i="3" s="1"/>
  <c r="W157" i="110"/>
  <c r="W174" i="110"/>
  <c r="O174" i="110"/>
  <c r="R174" i="110"/>
  <c r="R215" i="110"/>
  <c r="C215" i="110" s="1"/>
  <c r="B215" i="110" s="1"/>
  <c r="P215" i="110"/>
  <c r="C444" i="110"/>
  <c r="B444" i="110" s="1"/>
  <c r="Z12" i="65" l="1"/>
  <c r="AZ200" i="65"/>
  <c r="BF32" i="12"/>
  <c r="BG32" i="12"/>
  <c r="BE32" i="12"/>
  <c r="AU28" i="12"/>
  <c r="K10" i="110" s="1"/>
  <c r="N66" i="66"/>
  <c r="AA240" i="110" s="1"/>
  <c r="H224" i="110"/>
  <c r="W224" i="110"/>
  <c r="P224" i="110"/>
  <c r="R224" i="110"/>
  <c r="C224" i="110" s="1"/>
  <c r="B224" i="110" s="1"/>
  <c r="H222" i="110"/>
  <c r="R222" i="110"/>
  <c r="C222" i="110" s="1"/>
  <c r="B222" i="110" s="1"/>
  <c r="P222" i="110"/>
  <c r="W222" i="110"/>
  <c r="H221" i="110"/>
  <c r="W221" i="110"/>
  <c r="R221" i="110"/>
  <c r="C221" i="110" s="1"/>
  <c r="B221" i="110" s="1"/>
  <c r="P221" i="110"/>
  <c r="C66" i="66"/>
  <c r="H178" i="110"/>
  <c r="N178" i="110"/>
  <c r="O178" i="110"/>
  <c r="BE24" i="65"/>
  <c r="N62" i="65" s="1"/>
  <c r="R178" i="110"/>
  <c r="W178" i="110"/>
  <c r="AM425" i="110"/>
  <c r="W425" i="110"/>
  <c r="T425" i="110"/>
  <c r="U425" i="110"/>
  <c r="J425" i="110"/>
  <c r="R425" i="110"/>
  <c r="N425" i="110"/>
  <c r="BC100" i="69"/>
  <c r="O425" i="110"/>
  <c r="S425" i="110"/>
  <c r="K425" i="110"/>
  <c r="AV28" i="12"/>
  <c r="AN30" i="12"/>
  <c r="H11" i="110" s="1"/>
  <c r="BE30" i="12"/>
  <c r="J424" i="110"/>
  <c r="AN424" i="110"/>
  <c r="AL424" i="110"/>
  <c r="S424" i="110"/>
  <c r="T424" i="110"/>
  <c r="C424" i="110" s="1"/>
  <c r="B424" i="110" s="1"/>
  <c r="W424" i="110"/>
  <c r="AM424" i="110"/>
  <c r="O424" i="110"/>
  <c r="N424" i="110"/>
  <c r="C54" i="62"/>
  <c r="I54" i="62"/>
  <c r="AI48" i="64"/>
  <c r="T48" i="64"/>
  <c r="AK48" i="64"/>
  <c r="AN28" i="12"/>
  <c r="C331" i="110"/>
  <c r="B331" i="110" s="1"/>
  <c r="K438" i="110"/>
  <c r="AN438" i="110"/>
  <c r="AL438" i="110"/>
  <c r="R438" i="110"/>
  <c r="V438" i="110"/>
  <c r="W438" i="110"/>
  <c r="M438" i="110"/>
  <c r="I438" i="110"/>
  <c r="AM438" i="110"/>
  <c r="P438" i="110"/>
  <c r="S438" i="110"/>
  <c r="J438" i="110"/>
  <c r="H361" i="110"/>
  <c r="Q361" i="110"/>
  <c r="H364" i="110"/>
  <c r="Q364" i="110"/>
  <c r="H363" i="110"/>
  <c r="Q363" i="110"/>
  <c r="L177" i="110"/>
  <c r="Q57" i="110"/>
  <c r="H57" i="110"/>
  <c r="Q59" i="110"/>
  <c r="H59" i="110"/>
  <c r="Q58" i="110"/>
  <c r="H58" i="110"/>
  <c r="R58" i="110"/>
  <c r="C58" i="110" s="1"/>
  <c r="B58" i="110" s="1"/>
  <c r="W58" i="110"/>
  <c r="C323" i="110"/>
  <c r="B323" i="110" s="1"/>
  <c r="C316" i="110"/>
  <c r="B316" i="110" s="1"/>
  <c r="C319" i="110"/>
  <c r="B319" i="110" s="1"/>
  <c r="J417" i="110"/>
  <c r="AN417" i="110"/>
  <c r="U417" i="110"/>
  <c r="AL417" i="110"/>
  <c r="N417" i="110"/>
  <c r="M417" i="110"/>
  <c r="O417" i="110"/>
  <c r="R417" i="110"/>
  <c r="C321" i="110"/>
  <c r="B321" i="110" s="1"/>
  <c r="L361" i="110"/>
  <c r="L363" i="110"/>
  <c r="L364" i="110"/>
  <c r="BC20" i="69"/>
  <c r="AY20" i="69"/>
  <c r="AZ20" i="69"/>
  <c r="BA20" i="69"/>
  <c r="AV20" i="69"/>
  <c r="C174" i="110"/>
  <c r="B174" i="110" s="1"/>
  <c r="L174" i="110"/>
  <c r="C176" i="110"/>
  <c r="B176" i="110" s="1"/>
  <c r="L176" i="110"/>
  <c r="C41" i="110"/>
  <c r="B41" i="110" s="1"/>
  <c r="L41" i="110"/>
  <c r="C12" i="110"/>
  <c r="B12" i="110" s="1"/>
  <c r="L12" i="110"/>
  <c r="C29" i="110"/>
  <c r="B29" i="110" s="1"/>
  <c r="L29" i="110"/>
  <c r="C164" i="110"/>
  <c r="B164" i="110" s="1"/>
  <c r="L164" i="110"/>
  <c r="C157" i="110"/>
  <c r="B157" i="110" s="1"/>
  <c r="L157" i="110"/>
  <c r="C47" i="110"/>
  <c r="B47" i="110" s="1"/>
  <c r="L47" i="110"/>
  <c r="C44" i="110"/>
  <c r="B44" i="110" s="1"/>
  <c r="L44" i="110"/>
  <c r="C31" i="110"/>
  <c r="B31" i="110" s="1"/>
  <c r="L31" i="110"/>
  <c r="C26" i="110"/>
  <c r="B26" i="110" s="1"/>
  <c r="L26" i="110"/>
  <c r="C42" i="110"/>
  <c r="B42" i="110" s="1"/>
  <c r="L42" i="110"/>
  <c r="C50" i="110"/>
  <c r="B50" i="110" s="1"/>
  <c r="L50" i="110"/>
  <c r="C18" i="110"/>
  <c r="B18" i="110" s="1"/>
  <c r="L18" i="110"/>
  <c r="C37" i="110"/>
  <c r="B37" i="110" s="1"/>
  <c r="L37" i="110"/>
  <c r="C17" i="110"/>
  <c r="B17" i="110" s="1"/>
  <c r="L17" i="110"/>
  <c r="C20" i="110"/>
  <c r="B20" i="110" s="1"/>
  <c r="L20" i="110"/>
  <c r="C49" i="110"/>
  <c r="B49" i="110" s="1"/>
  <c r="L49" i="110"/>
  <c r="C21" i="110"/>
  <c r="B21" i="110" s="1"/>
  <c r="L21" i="110"/>
  <c r="C160" i="110"/>
  <c r="B160" i="110" s="1"/>
  <c r="L160" i="110"/>
  <c r="C161" i="110"/>
  <c r="B161" i="110" s="1"/>
  <c r="L161" i="110"/>
  <c r="C62" i="110"/>
  <c r="B62" i="110" s="1"/>
  <c r="L62" i="110"/>
  <c r="C159" i="110"/>
  <c r="B159" i="110" s="1"/>
  <c r="L159" i="110"/>
  <c r="C46" i="110"/>
  <c r="B46" i="110" s="1"/>
  <c r="L46" i="110"/>
  <c r="C32" i="110"/>
  <c r="B32" i="110" s="1"/>
  <c r="L32" i="110"/>
  <c r="C24" i="110"/>
  <c r="B24" i="110" s="1"/>
  <c r="L24" i="110"/>
  <c r="C162" i="110"/>
  <c r="B162" i="110" s="1"/>
  <c r="L162" i="110"/>
  <c r="C158" i="110"/>
  <c r="B158" i="110" s="1"/>
  <c r="L158" i="110"/>
  <c r="C30" i="110"/>
  <c r="B30" i="110" s="1"/>
  <c r="L30" i="110"/>
  <c r="C39" i="110"/>
  <c r="B39" i="110" s="1"/>
  <c r="L39" i="110"/>
  <c r="C38" i="110"/>
  <c r="B38" i="110" s="1"/>
  <c r="L38" i="110"/>
  <c r="C19" i="110"/>
  <c r="B19" i="110" s="1"/>
  <c r="L19" i="110"/>
  <c r="C43" i="110"/>
  <c r="B43" i="110" s="1"/>
  <c r="L43" i="110"/>
  <c r="C28" i="110"/>
  <c r="B28" i="110" s="1"/>
  <c r="L28" i="110"/>
  <c r="C27" i="110"/>
  <c r="B27" i="110" s="1"/>
  <c r="L27" i="110"/>
  <c r="C14" i="110"/>
  <c r="B14" i="110" s="1"/>
  <c r="L14" i="110"/>
  <c r="C15" i="110"/>
  <c r="B15" i="110" s="1"/>
  <c r="L15" i="110"/>
  <c r="C48" i="110"/>
  <c r="B48" i="110" s="1"/>
  <c r="L48" i="110"/>
  <c r="C33" i="110"/>
  <c r="B33" i="110" s="1"/>
  <c r="L33" i="110"/>
  <c r="C61" i="110"/>
  <c r="B61" i="110" s="1"/>
  <c r="L61" i="110"/>
  <c r="C23" i="110"/>
  <c r="B23" i="110" s="1"/>
  <c r="L23" i="110"/>
  <c r="C25" i="110"/>
  <c r="B25" i="110" s="1"/>
  <c r="L25" i="110"/>
  <c r="C13" i="110"/>
  <c r="B13" i="110" s="1"/>
  <c r="L13" i="110"/>
  <c r="C34" i="110"/>
  <c r="B34" i="110" s="1"/>
  <c r="L34" i="110"/>
  <c r="C35" i="110"/>
  <c r="B35" i="110" s="1"/>
  <c r="L35" i="110"/>
  <c r="C36" i="110"/>
  <c r="B36" i="110" s="1"/>
  <c r="L36" i="110"/>
  <c r="C22" i="110"/>
  <c r="B22" i="110" s="1"/>
  <c r="L22" i="110"/>
  <c r="C16" i="110"/>
  <c r="B16" i="110" s="1"/>
  <c r="L16" i="110"/>
  <c r="C40" i="110"/>
  <c r="B40" i="110" s="1"/>
  <c r="L40" i="110"/>
  <c r="C45" i="110"/>
  <c r="B45" i="110" s="1"/>
  <c r="L45" i="110"/>
  <c r="C60" i="110"/>
  <c r="B60" i="110" s="1"/>
  <c r="L60" i="110"/>
  <c r="C63" i="110"/>
  <c r="B63" i="110" s="1"/>
  <c r="L63" i="110"/>
  <c r="C56" i="110"/>
  <c r="B56" i="110" s="1"/>
  <c r="L56" i="110"/>
  <c r="C64" i="110"/>
  <c r="B64" i="110" s="1"/>
  <c r="L64" i="110"/>
  <c r="K420" i="110"/>
  <c r="Y362" i="110"/>
  <c r="Y20" i="70"/>
  <c r="BA20" i="70"/>
  <c r="BB20" i="70" s="1"/>
  <c r="AZ20" i="70" s="1"/>
  <c r="W410" i="110"/>
  <c r="T428" i="110"/>
  <c r="AM430" i="110"/>
  <c r="AL430" i="110"/>
  <c r="M405" i="110"/>
  <c r="S431" i="110"/>
  <c r="O420" i="110"/>
  <c r="K431" i="110"/>
  <c r="AM420" i="110"/>
  <c r="O431" i="110"/>
  <c r="I420" i="110"/>
  <c r="M431" i="110"/>
  <c r="AL431" i="110"/>
  <c r="AN431" i="110"/>
  <c r="S430" i="110"/>
  <c r="W430" i="110"/>
  <c r="AL405" i="110"/>
  <c r="S420" i="110"/>
  <c r="AN420" i="110"/>
  <c r="AL420" i="110"/>
  <c r="AM431" i="110"/>
  <c r="W431" i="110"/>
  <c r="N431" i="110"/>
  <c r="AN430" i="110"/>
  <c r="J405" i="110"/>
  <c r="K405" i="110"/>
  <c r="M420" i="110"/>
  <c r="T420" i="110"/>
  <c r="C420" i="110" s="1"/>
  <c r="B420" i="110" s="1"/>
  <c r="W420" i="110"/>
  <c r="J431" i="110"/>
  <c r="R431" i="110"/>
  <c r="T430" i="110"/>
  <c r="O405" i="110"/>
  <c r="AN405" i="110"/>
  <c r="J420" i="110"/>
  <c r="N420" i="110"/>
  <c r="Q11" i="110"/>
  <c r="R59" i="110"/>
  <c r="R12" i="62"/>
  <c r="M410" i="110"/>
  <c r="T417" i="110"/>
  <c r="R410" i="110"/>
  <c r="U420" i="110"/>
  <c r="AV26" i="13"/>
  <c r="AK314" i="110" s="1"/>
  <c r="U431" i="110"/>
  <c r="W428" i="110"/>
  <c r="BC74" i="69"/>
  <c r="U430" i="110"/>
  <c r="O430" i="110"/>
  <c r="N430" i="110"/>
  <c r="R430" i="110"/>
  <c r="AN410" i="110"/>
  <c r="AM405" i="110"/>
  <c r="W405" i="110"/>
  <c r="N405" i="110"/>
  <c r="T431" i="110"/>
  <c r="J430" i="110"/>
  <c r="M430" i="110"/>
  <c r="I430" i="110"/>
  <c r="N410" i="110"/>
  <c r="AM417" i="110"/>
  <c r="W417" i="110"/>
  <c r="S405" i="110"/>
  <c r="R405" i="110"/>
  <c r="U405" i="110"/>
  <c r="W59" i="110"/>
  <c r="BE26" i="69" a="1"/>
  <c r="BE26" i="69" s="1"/>
  <c r="BE28" i="69" a="1"/>
  <c r="BE28" i="69" s="1"/>
  <c r="BC78" i="69"/>
  <c r="BC36" i="69"/>
  <c r="AA172" i="110"/>
  <c r="N59" i="110"/>
  <c r="AU22" i="12"/>
  <c r="AV22" i="12"/>
  <c r="U410" i="110"/>
  <c r="BC18" i="69"/>
  <c r="AY18" i="69"/>
  <c r="AZ18" i="69"/>
  <c r="BA18" i="69"/>
  <c r="BA16" i="69"/>
  <c r="AV16" i="69"/>
  <c r="AN16" i="71"/>
  <c r="R12" i="71" s="1"/>
  <c r="J39" i="3" s="1"/>
  <c r="J47" i="3" s="1"/>
  <c r="S428" i="110"/>
  <c r="C339" i="110"/>
  <c r="B339" i="110" s="1"/>
  <c r="BC16" i="69"/>
  <c r="BE16" i="69" s="1" a="1"/>
  <c r="BE16" i="69" s="1"/>
  <c r="O428" i="110"/>
  <c r="R428" i="110"/>
  <c r="U428" i="110"/>
  <c r="M428" i="110"/>
  <c r="I428" i="110"/>
  <c r="K428" i="110"/>
  <c r="AM410" i="110"/>
  <c r="O410" i="110"/>
  <c r="I410" i="110"/>
  <c r="K410" i="110"/>
  <c r="BC70" i="69"/>
  <c r="T415" i="110"/>
  <c r="AM428" i="110"/>
  <c r="N428" i="110"/>
  <c r="J428" i="110"/>
  <c r="AN428" i="110"/>
  <c r="S410" i="110"/>
  <c r="J410" i="110"/>
  <c r="BE24" i="69" a="1"/>
  <c r="BE24" i="69" s="1"/>
  <c r="J396" i="110"/>
  <c r="K398" i="110"/>
  <c r="N402" i="110"/>
  <c r="K413" i="110"/>
  <c r="AM414" i="110"/>
  <c r="W400" i="110"/>
  <c r="AL401" i="110"/>
  <c r="R414" i="110"/>
  <c r="I413" i="110"/>
  <c r="N427" i="110"/>
  <c r="O400" i="110"/>
  <c r="N401" i="110"/>
  <c r="AK313" i="110"/>
  <c r="BF24" i="13"/>
  <c r="AN24" i="13" s="1"/>
  <c r="M396" i="110"/>
  <c r="R415" i="110"/>
  <c r="O414" i="110"/>
  <c r="U415" i="110"/>
  <c r="K415" i="110"/>
  <c r="T410" i="110"/>
  <c r="AN396" i="110"/>
  <c r="N396" i="110"/>
  <c r="J401" i="110"/>
  <c r="O415" i="110"/>
  <c r="N415" i="110"/>
  <c r="K414" i="110"/>
  <c r="R396" i="110"/>
  <c r="BC40" i="69"/>
  <c r="N398" i="110"/>
  <c r="M402" i="110"/>
  <c r="J413" i="110"/>
  <c r="O396" i="110"/>
  <c r="AM396" i="110"/>
  <c r="AM400" i="110"/>
  <c r="M398" i="110"/>
  <c r="K402" i="110"/>
  <c r="M415" i="110"/>
  <c r="I415" i="110"/>
  <c r="M413" i="110"/>
  <c r="AZ30" i="69"/>
  <c r="AV30" i="69"/>
  <c r="AK393" i="110" s="1"/>
  <c r="AY30" i="69"/>
  <c r="BC30" i="69"/>
  <c r="BE30" i="69" s="1" a="1"/>
  <c r="BE30" i="69" s="1"/>
  <c r="AN30" i="69" s="1"/>
  <c r="S400" i="110"/>
  <c r="J400" i="110"/>
  <c r="AL398" i="110"/>
  <c r="AL402" i="110"/>
  <c r="O413" i="110"/>
  <c r="AL413" i="110"/>
  <c r="AN413" i="110"/>
  <c r="T405" i="110"/>
  <c r="BC102" i="69"/>
  <c r="K396" i="110"/>
  <c r="U396" i="110"/>
  <c r="AL396" i="110"/>
  <c r="I400" i="110"/>
  <c r="M400" i="110"/>
  <c r="K400" i="110"/>
  <c r="T398" i="110"/>
  <c r="AM398" i="110"/>
  <c r="W398" i="110"/>
  <c r="O398" i="110"/>
  <c r="AM402" i="110"/>
  <c r="W402" i="110"/>
  <c r="J402" i="110"/>
  <c r="R418" i="110"/>
  <c r="J415" i="110"/>
  <c r="AL415" i="110"/>
  <c r="AN415" i="110"/>
  <c r="AM413" i="110"/>
  <c r="W413" i="110"/>
  <c r="T413" i="110"/>
  <c r="M427" i="110"/>
  <c r="BC46" i="69"/>
  <c r="R400" i="110"/>
  <c r="I398" i="110"/>
  <c r="U398" i="110"/>
  <c r="I402" i="110"/>
  <c r="O402" i="110"/>
  <c r="U427" i="110"/>
  <c r="I396" i="110"/>
  <c r="T396" i="110"/>
  <c r="W396" i="110"/>
  <c r="N400" i="110"/>
  <c r="AL400" i="110"/>
  <c r="AN398" i="110"/>
  <c r="S398" i="110"/>
  <c r="R398" i="110"/>
  <c r="S402" i="110"/>
  <c r="AM415" i="110"/>
  <c r="W415" i="110"/>
  <c r="S413" i="110"/>
  <c r="R413" i="110"/>
  <c r="AL427" i="110"/>
  <c r="AK386" i="110"/>
  <c r="AZ16" i="69"/>
  <c r="AY16" i="69"/>
  <c r="U402" i="110"/>
  <c r="T402" i="110"/>
  <c r="C402" i="110" s="1"/>
  <c r="B402" i="110" s="1"/>
  <c r="R401" i="110"/>
  <c r="I401" i="110"/>
  <c r="N414" i="110"/>
  <c r="O401" i="110"/>
  <c r="M401" i="110"/>
  <c r="I414" i="110"/>
  <c r="U414" i="110"/>
  <c r="AN402" i="110"/>
  <c r="K401" i="110"/>
  <c r="AN401" i="110"/>
  <c r="AM401" i="110"/>
  <c r="S414" i="110"/>
  <c r="J414" i="110"/>
  <c r="AL414" i="110"/>
  <c r="W401" i="110"/>
  <c r="U401" i="110"/>
  <c r="T401" i="110"/>
  <c r="M414" i="110"/>
  <c r="AN414" i="110"/>
  <c r="T414" i="110"/>
  <c r="U413" i="110"/>
  <c r="BC72" i="69"/>
  <c r="S418" i="110"/>
  <c r="U418" i="110"/>
  <c r="BC48" i="69"/>
  <c r="N418" i="110"/>
  <c r="AN400" i="110"/>
  <c r="AM427" i="110"/>
  <c r="W427" i="110"/>
  <c r="I427" i="110"/>
  <c r="T427" i="110"/>
  <c r="J427" i="110"/>
  <c r="R427" i="110"/>
  <c r="BC44" i="69"/>
  <c r="BC90" i="69"/>
  <c r="AN427" i="110"/>
  <c r="O427" i="110"/>
  <c r="S427" i="110"/>
  <c r="T418" i="110"/>
  <c r="M418" i="110"/>
  <c r="I418" i="110"/>
  <c r="K418" i="110"/>
  <c r="AN418" i="110"/>
  <c r="T400" i="110"/>
  <c r="O418" i="110"/>
  <c r="AL418" i="110"/>
  <c r="AM418" i="110"/>
  <c r="J418" i="110"/>
  <c r="AK392" i="110"/>
  <c r="W57" i="110"/>
  <c r="AV28" i="13"/>
  <c r="AK315" i="110" s="1"/>
  <c r="R11" i="110"/>
  <c r="C355" i="110"/>
  <c r="B355" i="110" s="1"/>
  <c r="AV22" i="13"/>
  <c r="BF22" i="13" s="1"/>
  <c r="AN22" i="13" s="1"/>
  <c r="BH22" i="13" s="1"/>
  <c r="BC22" i="13"/>
  <c r="AV24" i="12"/>
  <c r="AU24" i="12"/>
  <c r="AV16" i="12"/>
  <c r="AV18" i="12"/>
  <c r="R57" i="110"/>
  <c r="AV20" i="62"/>
  <c r="O57" i="110" s="1"/>
  <c r="N57" i="110"/>
  <c r="AV22" i="62"/>
  <c r="O58" i="110" s="1"/>
  <c r="N58" i="110"/>
  <c r="Y365" i="110"/>
  <c r="BA26" i="70"/>
  <c r="BB26" i="70" s="1"/>
  <c r="AZ26" i="70" s="1"/>
  <c r="Y26" i="70"/>
  <c r="AK16" i="70"/>
  <c r="BB16" i="70"/>
  <c r="AZ16" i="70" s="1"/>
  <c r="AH16" i="70" s="1"/>
  <c r="C394" i="110"/>
  <c r="B394" i="110" s="1"/>
  <c r="C440" i="110"/>
  <c r="B440" i="110" s="1"/>
  <c r="C441" i="110"/>
  <c r="B441" i="110" s="1"/>
  <c r="C439" i="110"/>
  <c r="B439" i="110" s="1"/>
  <c r="AU18" i="12"/>
  <c r="K5" i="110" s="1"/>
  <c r="AN18" i="12"/>
  <c r="C320" i="110"/>
  <c r="B320" i="110" s="1"/>
  <c r="C317" i="110"/>
  <c r="B317" i="110" s="1"/>
  <c r="R218" i="110"/>
  <c r="C218" i="110" s="1"/>
  <c r="B218" i="110" s="1"/>
  <c r="P218" i="110"/>
  <c r="W218" i="110"/>
  <c r="R216" i="110"/>
  <c r="C216" i="110" s="1"/>
  <c r="B216" i="110" s="1"/>
  <c r="W216" i="110"/>
  <c r="P216" i="110"/>
  <c r="B266" i="110"/>
  <c r="AU16" i="12"/>
  <c r="AN16" i="12" s="1"/>
  <c r="C443" i="110"/>
  <c r="B443" i="110" s="1"/>
  <c r="BD18" i="70"/>
  <c r="AN16" i="13"/>
  <c r="BC16" i="13"/>
  <c r="C337" i="110"/>
  <c r="B337" i="110" s="1"/>
  <c r="C352" i="110"/>
  <c r="B352" i="110" s="1"/>
  <c r="C326" i="110"/>
  <c r="B326" i="110" s="1"/>
  <c r="C330" i="110"/>
  <c r="B330" i="110" s="1"/>
  <c r="C324" i="110"/>
  <c r="B324" i="110" s="1"/>
  <c r="C345" i="110"/>
  <c r="B345" i="110" s="1"/>
  <c r="C432" i="110"/>
  <c r="B432" i="110" s="1"/>
  <c r="C351" i="110"/>
  <c r="B351" i="110" s="1"/>
  <c r="C348" i="110"/>
  <c r="B348" i="110" s="1"/>
  <c r="C425" i="110"/>
  <c r="B425" i="110" s="1"/>
  <c r="C357" i="110"/>
  <c r="B357" i="110" s="1"/>
  <c r="C328" i="110"/>
  <c r="B328" i="110" s="1"/>
  <c r="I423" i="110"/>
  <c r="N423" i="110"/>
  <c r="T423" i="110"/>
  <c r="AN423" i="110"/>
  <c r="K423" i="110"/>
  <c r="R423" i="110"/>
  <c r="W423" i="110"/>
  <c r="AL423" i="110"/>
  <c r="S423" i="110"/>
  <c r="J423" i="110"/>
  <c r="U423" i="110"/>
  <c r="AM423" i="110"/>
  <c r="M423" i="110"/>
  <c r="O423" i="110"/>
  <c r="K408" i="110"/>
  <c r="R408" i="110"/>
  <c r="W408" i="110"/>
  <c r="AL408" i="110"/>
  <c r="I408" i="110"/>
  <c r="N408" i="110"/>
  <c r="T408" i="110"/>
  <c r="AN408" i="110"/>
  <c r="J408" i="110"/>
  <c r="O408" i="110"/>
  <c r="U408" i="110"/>
  <c r="M408" i="110"/>
  <c r="S408" i="110"/>
  <c r="AM408" i="110"/>
  <c r="C327" i="110"/>
  <c r="B327" i="110" s="1"/>
  <c r="C346" i="110"/>
  <c r="B346" i="110" s="1"/>
  <c r="C343" i="110"/>
  <c r="B343" i="110" s="1"/>
  <c r="C325" i="110"/>
  <c r="B325" i="110" s="1"/>
  <c r="C356" i="110"/>
  <c r="B356" i="110" s="1"/>
  <c r="C349" i="110"/>
  <c r="B349" i="110" s="1"/>
  <c r="C404" i="110"/>
  <c r="B404" i="110" s="1"/>
  <c r="C332" i="110"/>
  <c r="B332" i="110" s="1"/>
  <c r="C353" i="110"/>
  <c r="B353" i="110" s="1"/>
  <c r="C335" i="110"/>
  <c r="B335" i="110" s="1"/>
  <c r="C347" i="110"/>
  <c r="B347" i="110" s="1"/>
  <c r="K406" i="110"/>
  <c r="R406" i="110"/>
  <c r="W406" i="110"/>
  <c r="AL406" i="110"/>
  <c r="I406" i="110"/>
  <c r="N406" i="110"/>
  <c r="T406" i="110"/>
  <c r="AN406" i="110"/>
  <c r="J406" i="110"/>
  <c r="O406" i="110"/>
  <c r="U406" i="110"/>
  <c r="M406" i="110"/>
  <c r="S406" i="110"/>
  <c r="AM406" i="110"/>
  <c r="I419" i="110"/>
  <c r="N419" i="110"/>
  <c r="T419" i="110"/>
  <c r="AN419" i="110"/>
  <c r="K419" i="110"/>
  <c r="R419" i="110"/>
  <c r="W419" i="110"/>
  <c r="AL419" i="110"/>
  <c r="M419" i="110"/>
  <c r="S419" i="110"/>
  <c r="AM419" i="110"/>
  <c r="J419" i="110"/>
  <c r="O419" i="110"/>
  <c r="U419" i="110"/>
  <c r="I403" i="110"/>
  <c r="N403" i="110"/>
  <c r="T403" i="110"/>
  <c r="AN403" i="110"/>
  <c r="K403" i="110"/>
  <c r="R403" i="110"/>
  <c r="W403" i="110"/>
  <c r="AL403" i="110"/>
  <c r="M403" i="110"/>
  <c r="S403" i="110"/>
  <c r="AM403" i="110"/>
  <c r="J403" i="110"/>
  <c r="O403" i="110"/>
  <c r="U403" i="110"/>
  <c r="K422" i="110"/>
  <c r="R422" i="110"/>
  <c r="W422" i="110"/>
  <c r="AL422" i="110"/>
  <c r="I422" i="110"/>
  <c r="N422" i="110"/>
  <c r="T422" i="110"/>
  <c r="AN422" i="110"/>
  <c r="M422" i="110"/>
  <c r="O422" i="110"/>
  <c r="S422" i="110"/>
  <c r="J422" i="110"/>
  <c r="U422" i="110"/>
  <c r="AM422" i="110"/>
  <c r="C341" i="110"/>
  <c r="B341" i="110" s="1"/>
  <c r="C354" i="110"/>
  <c r="B354" i="110" s="1"/>
  <c r="C333" i="110"/>
  <c r="B333" i="110" s="1"/>
  <c r="C318" i="110"/>
  <c r="B318" i="110" s="1"/>
  <c r="BD24" i="70"/>
  <c r="C334" i="110"/>
  <c r="B334" i="110" s="1"/>
  <c r="C421" i="110"/>
  <c r="B421" i="110" s="1"/>
  <c r="C344" i="110"/>
  <c r="B344" i="110" s="1"/>
  <c r="C329" i="110"/>
  <c r="B329" i="110" s="1"/>
  <c r="C336" i="110"/>
  <c r="B336" i="110" s="1"/>
  <c r="BD22" i="70"/>
  <c r="AM345" i="110"/>
  <c r="C340" i="110"/>
  <c r="B340" i="110" s="1"/>
  <c r="I429" i="110"/>
  <c r="N429" i="110"/>
  <c r="T429" i="110"/>
  <c r="AN429" i="110"/>
  <c r="K429" i="110"/>
  <c r="R429" i="110"/>
  <c r="W429" i="110"/>
  <c r="AL429" i="110"/>
  <c r="S429" i="110"/>
  <c r="J429" i="110"/>
  <c r="U429" i="110"/>
  <c r="AM429" i="110"/>
  <c r="M429" i="110"/>
  <c r="O429" i="110"/>
  <c r="I411" i="110"/>
  <c r="N411" i="110"/>
  <c r="T411" i="110"/>
  <c r="AN411" i="110"/>
  <c r="K411" i="110"/>
  <c r="R411" i="110"/>
  <c r="W411" i="110"/>
  <c r="AL411" i="110"/>
  <c r="M411" i="110"/>
  <c r="S411" i="110"/>
  <c r="AM411" i="110"/>
  <c r="J411" i="110"/>
  <c r="O411" i="110"/>
  <c r="U411" i="110"/>
  <c r="I407" i="110"/>
  <c r="N407" i="110"/>
  <c r="T407" i="110"/>
  <c r="AN407" i="110"/>
  <c r="K407" i="110"/>
  <c r="R407" i="110"/>
  <c r="W407" i="110"/>
  <c r="AL407" i="110"/>
  <c r="M407" i="110"/>
  <c r="S407" i="110"/>
  <c r="AM407" i="110"/>
  <c r="J407" i="110"/>
  <c r="O407" i="110"/>
  <c r="U407" i="110"/>
  <c r="I409" i="110"/>
  <c r="N409" i="110"/>
  <c r="T409" i="110"/>
  <c r="AN409" i="110"/>
  <c r="K409" i="110"/>
  <c r="R409" i="110"/>
  <c r="W409" i="110"/>
  <c r="AL409" i="110"/>
  <c r="M409" i="110"/>
  <c r="S409" i="110"/>
  <c r="AM409" i="110"/>
  <c r="O409" i="110"/>
  <c r="U409" i="110"/>
  <c r="J409" i="110"/>
  <c r="M363" i="110"/>
  <c r="S363" i="110"/>
  <c r="I363" i="110"/>
  <c r="O363" i="110"/>
  <c r="W363" i="110"/>
  <c r="AL363" i="110"/>
  <c r="J363" i="110"/>
  <c r="R363" i="110"/>
  <c r="AM363" i="110"/>
  <c r="K363" i="110"/>
  <c r="T363" i="110"/>
  <c r="AN363" i="110"/>
  <c r="N363" i="110"/>
  <c r="U363" i="110"/>
  <c r="C350" i="110"/>
  <c r="B350" i="110" s="1"/>
  <c r="AM357" i="110"/>
  <c r="C338" i="110"/>
  <c r="B338" i="110" s="1"/>
  <c r="C322" i="110"/>
  <c r="B322" i="110" s="1"/>
  <c r="K426" i="110"/>
  <c r="R426" i="110"/>
  <c r="W426" i="110"/>
  <c r="AL426" i="110"/>
  <c r="I426" i="110"/>
  <c r="N426" i="110"/>
  <c r="T426" i="110"/>
  <c r="AN426" i="110"/>
  <c r="M426" i="110"/>
  <c r="O426" i="110"/>
  <c r="S426" i="110"/>
  <c r="J426" i="110"/>
  <c r="U426" i="110"/>
  <c r="AM426" i="110"/>
  <c r="K412" i="110"/>
  <c r="R412" i="110"/>
  <c r="W412" i="110"/>
  <c r="AL412" i="110"/>
  <c r="I412" i="110"/>
  <c r="N412" i="110"/>
  <c r="T412" i="110"/>
  <c r="AN412" i="110"/>
  <c r="J412" i="110"/>
  <c r="O412" i="110"/>
  <c r="U412" i="110"/>
  <c r="M412" i="110"/>
  <c r="S412" i="110"/>
  <c r="AM412" i="110"/>
  <c r="K416" i="110"/>
  <c r="R416" i="110"/>
  <c r="W416" i="110"/>
  <c r="AL416" i="110"/>
  <c r="I416" i="110"/>
  <c r="N416" i="110"/>
  <c r="T416" i="110"/>
  <c r="AN416" i="110"/>
  <c r="J416" i="110"/>
  <c r="O416" i="110"/>
  <c r="U416" i="110"/>
  <c r="M416" i="110"/>
  <c r="S416" i="110"/>
  <c r="AM416" i="110"/>
  <c r="C342" i="110"/>
  <c r="B342" i="110" s="1"/>
  <c r="I364" i="110"/>
  <c r="N364" i="110"/>
  <c r="T364" i="110"/>
  <c r="AM364" i="110"/>
  <c r="J364" i="110"/>
  <c r="O364" i="110"/>
  <c r="U364" i="110"/>
  <c r="AN364" i="110"/>
  <c r="K364" i="110"/>
  <c r="R364" i="110"/>
  <c r="W364" i="110"/>
  <c r="M364" i="110"/>
  <c r="S364" i="110"/>
  <c r="AL364" i="110"/>
  <c r="M399" i="110"/>
  <c r="S399" i="110"/>
  <c r="AM399" i="110"/>
  <c r="I399" i="110"/>
  <c r="N399" i="110"/>
  <c r="T399" i="110"/>
  <c r="AN399" i="110"/>
  <c r="J399" i="110"/>
  <c r="O399" i="110"/>
  <c r="U399" i="110"/>
  <c r="R399" i="110"/>
  <c r="AL399" i="110"/>
  <c r="W399" i="110"/>
  <c r="K399" i="110"/>
  <c r="BC52" i="69"/>
  <c r="M397" i="110"/>
  <c r="S397" i="110"/>
  <c r="AM397" i="110"/>
  <c r="I397" i="110"/>
  <c r="N397" i="110"/>
  <c r="T397" i="110"/>
  <c r="AN397" i="110"/>
  <c r="J397" i="110"/>
  <c r="O397" i="110"/>
  <c r="U397" i="110"/>
  <c r="K397" i="110"/>
  <c r="W397" i="110"/>
  <c r="R397" i="110"/>
  <c r="AL397" i="110"/>
  <c r="AK387" i="110"/>
  <c r="K6" i="110"/>
  <c r="R6" i="110"/>
  <c r="N6" i="110"/>
  <c r="W6" i="110"/>
  <c r="O6" i="110"/>
  <c r="AN26" i="69"/>
  <c r="L391" i="110" s="1"/>
  <c r="AN24" i="69"/>
  <c r="K9" i="110"/>
  <c r="BC66" i="69"/>
  <c r="AK311" i="110"/>
  <c r="BC58" i="69"/>
  <c r="BC88" i="69"/>
  <c r="BC80" i="69"/>
  <c r="BC98" i="69"/>
  <c r="BC82" i="69"/>
  <c r="BC38" i="69"/>
  <c r="BC96" i="69"/>
  <c r="AN22" i="69"/>
  <c r="L389" i="110" s="1"/>
  <c r="AK388" i="110"/>
  <c r="BC56" i="69"/>
  <c r="BC76" i="69"/>
  <c r="BC68" i="69"/>
  <c r="C483" i="110"/>
  <c r="B483" i="110" s="1"/>
  <c r="C456" i="110"/>
  <c r="B456" i="110" s="1"/>
  <c r="C442" i="110"/>
  <c r="B442" i="110" s="1"/>
  <c r="J445" i="110"/>
  <c r="AL445" i="110"/>
  <c r="S445" i="110"/>
  <c r="AM445" i="110"/>
  <c r="AN445" i="110"/>
  <c r="K445" i="110"/>
  <c r="V445" i="110"/>
  <c r="M445" i="110"/>
  <c r="W445" i="110"/>
  <c r="P445" i="110"/>
  <c r="I445" i="110"/>
  <c r="R445" i="110"/>
  <c r="C478" i="110"/>
  <c r="B478" i="110" s="1"/>
  <c r="Y361" i="110"/>
  <c r="AH361" i="110"/>
  <c r="AK361" i="110"/>
  <c r="J479" i="110"/>
  <c r="K479" i="110"/>
  <c r="I479" i="110"/>
  <c r="S479" i="110"/>
  <c r="V479" i="110"/>
  <c r="P479" i="110"/>
  <c r="AM479" i="110"/>
  <c r="R479" i="110"/>
  <c r="W479" i="110"/>
  <c r="M479" i="110"/>
  <c r="AL479" i="110"/>
  <c r="AN479" i="110"/>
  <c r="J476" i="110"/>
  <c r="K476" i="110"/>
  <c r="I476" i="110"/>
  <c r="W476" i="110"/>
  <c r="AN476" i="110"/>
  <c r="M476" i="110"/>
  <c r="S476" i="110"/>
  <c r="V476" i="110"/>
  <c r="R476" i="110"/>
  <c r="AL476" i="110"/>
  <c r="AM476" i="110"/>
  <c r="P476" i="110"/>
  <c r="T361" i="110"/>
  <c r="K446" i="110"/>
  <c r="M446" i="110"/>
  <c r="AL446" i="110"/>
  <c r="S446" i="110"/>
  <c r="V446" i="110"/>
  <c r="R446" i="110"/>
  <c r="I446" i="110"/>
  <c r="P446" i="110"/>
  <c r="AM446" i="110"/>
  <c r="W446" i="110"/>
  <c r="AN446" i="110"/>
  <c r="J446" i="110"/>
  <c r="BB32" i="71"/>
  <c r="C454" i="110"/>
  <c r="B454" i="110" s="1"/>
  <c r="BF28" i="12" l="1"/>
  <c r="BG28" i="12"/>
  <c r="BE28" i="12"/>
  <c r="N11" i="110"/>
  <c r="W11" i="110"/>
  <c r="BA66" i="66"/>
  <c r="AN66" i="66" s="1"/>
  <c r="R12" i="66" s="1"/>
  <c r="J31" i="3" s="1"/>
  <c r="J45" i="3" s="1"/>
  <c r="D175" i="3" s="1"/>
  <c r="AB240" i="110"/>
  <c r="AO240" i="110" s="1"/>
  <c r="V66" i="66"/>
  <c r="M240" i="110" s="1"/>
  <c r="O11" i="110"/>
  <c r="C62" i="65"/>
  <c r="BA62" i="65" s="1"/>
  <c r="L178" i="110"/>
  <c r="C178" i="110"/>
  <c r="B178" i="110" s="1"/>
  <c r="BE16" i="12"/>
  <c r="AA197" i="110"/>
  <c r="C438" i="110"/>
  <c r="B438" i="110" s="1"/>
  <c r="AN48" i="64"/>
  <c r="BA64" i="65"/>
  <c r="Q10" i="110"/>
  <c r="N10" i="110"/>
  <c r="O10" i="110"/>
  <c r="R10" i="110"/>
  <c r="H10" i="110"/>
  <c r="W10" i="110"/>
  <c r="C428" i="110"/>
  <c r="B428" i="110" s="1"/>
  <c r="C417" i="110"/>
  <c r="B417" i="110" s="1"/>
  <c r="H312" i="110"/>
  <c r="Q312" i="110"/>
  <c r="H309" i="110"/>
  <c r="Q309" i="110"/>
  <c r="H313" i="110"/>
  <c r="Q313" i="110"/>
  <c r="C410" i="110"/>
  <c r="B410" i="110" s="1"/>
  <c r="C431" i="110"/>
  <c r="B431" i="110" s="1"/>
  <c r="Z12" i="71"/>
  <c r="H39" i="3" s="1"/>
  <c r="H47" i="3" s="1"/>
  <c r="L58" i="110"/>
  <c r="Q5" i="110"/>
  <c r="H5" i="110"/>
  <c r="Q4" i="110"/>
  <c r="H4" i="110"/>
  <c r="BH24" i="69"/>
  <c r="L390" i="110"/>
  <c r="BD30" i="69"/>
  <c r="L393" i="110"/>
  <c r="AV20" i="70"/>
  <c r="BF20" i="70"/>
  <c r="AW20" i="70"/>
  <c r="BE20" i="69" a="1"/>
  <c r="BE20" i="69" s="1"/>
  <c r="C6" i="110"/>
  <c r="B6" i="110" s="1"/>
  <c r="L6" i="110"/>
  <c r="C11" i="110"/>
  <c r="B11" i="110" s="1"/>
  <c r="L11" i="110"/>
  <c r="C59" i="110"/>
  <c r="B59" i="110" s="1"/>
  <c r="L59" i="110"/>
  <c r="C57" i="110"/>
  <c r="B57" i="110" s="1"/>
  <c r="L57" i="110"/>
  <c r="AH20" i="70"/>
  <c r="V12" i="71"/>
  <c r="I39" i="3" s="1"/>
  <c r="I47" i="3" s="1"/>
  <c r="C430" i="110"/>
  <c r="B430" i="110" s="1"/>
  <c r="BF26" i="13"/>
  <c r="AN26" i="13" s="1"/>
  <c r="Q314" i="110" s="1"/>
  <c r="C414" i="110"/>
  <c r="B414" i="110" s="1"/>
  <c r="C405" i="110"/>
  <c r="B405" i="110" s="1"/>
  <c r="K7" i="110"/>
  <c r="AN22" i="12"/>
  <c r="H7" i="110" s="1"/>
  <c r="C415" i="110"/>
  <c r="B415" i="110" s="1"/>
  <c r="BD26" i="69"/>
  <c r="BD22" i="69"/>
  <c r="BA46" i="64"/>
  <c r="AN46" i="64" s="1"/>
  <c r="AF12" i="64" s="1"/>
  <c r="AB172" i="110"/>
  <c r="AO172" i="110" s="1"/>
  <c r="V46" i="64"/>
  <c r="M172" i="110" s="1"/>
  <c r="AA74" i="110"/>
  <c r="AI54" i="62"/>
  <c r="S437" i="110"/>
  <c r="BC16" i="71"/>
  <c r="K437" i="110"/>
  <c r="M437" i="110"/>
  <c r="P437" i="110"/>
  <c r="X37" i="79" s="1"/>
  <c r="AL437" i="110"/>
  <c r="J437" i="110"/>
  <c r="I437" i="110"/>
  <c r="AM437" i="110"/>
  <c r="R437" i="110"/>
  <c r="V437" i="110"/>
  <c r="AN437" i="110"/>
  <c r="W437" i="110"/>
  <c r="BD24" i="69"/>
  <c r="C396" i="110"/>
  <c r="B396" i="110" s="1"/>
  <c r="AZ24" i="13"/>
  <c r="J313" i="110"/>
  <c r="W313" i="110"/>
  <c r="M313" i="110"/>
  <c r="T313" i="110"/>
  <c r="AM313" i="110" s="1"/>
  <c r="O313" i="110"/>
  <c r="S313" i="110"/>
  <c r="K313" i="110"/>
  <c r="N313" i="110"/>
  <c r="I313" i="110"/>
  <c r="R313" i="110"/>
  <c r="AL313" i="110"/>
  <c r="AN313" i="110"/>
  <c r="U313" i="110"/>
  <c r="C413" i="110"/>
  <c r="B413" i="110" s="1"/>
  <c r="W393" i="110"/>
  <c r="S393" i="110"/>
  <c r="O393" i="110"/>
  <c r="I393" i="110"/>
  <c r="AM393" i="110"/>
  <c r="T393" i="110"/>
  <c r="AN393" i="110"/>
  <c r="K393" i="110"/>
  <c r="U393" i="110"/>
  <c r="R393" i="110"/>
  <c r="AL393" i="110"/>
  <c r="J393" i="110"/>
  <c r="N393" i="110"/>
  <c r="M393" i="110"/>
  <c r="C398" i="110"/>
  <c r="B398" i="110" s="1"/>
  <c r="C418" i="110"/>
  <c r="B418" i="110" s="1"/>
  <c r="C400" i="110"/>
  <c r="B400" i="110" s="1"/>
  <c r="C401" i="110"/>
  <c r="B401" i="110" s="1"/>
  <c r="AN18" i="69"/>
  <c r="C427" i="110"/>
  <c r="B427" i="110" s="1"/>
  <c r="AN28" i="69"/>
  <c r="L392" i="110" s="1"/>
  <c r="AK312" i="110"/>
  <c r="BF28" i="13"/>
  <c r="AN28" i="13" s="1"/>
  <c r="AZ22" i="13"/>
  <c r="K8" i="110"/>
  <c r="AN24" i="12"/>
  <c r="BG24" i="12" s="1"/>
  <c r="C110" i="12" s="1"/>
  <c r="AB51" i="110" s="1"/>
  <c r="O4" i="110"/>
  <c r="N5" i="110"/>
  <c r="R5" i="110"/>
  <c r="AK26" i="70"/>
  <c r="W5" i="110"/>
  <c r="AU26" i="70"/>
  <c r="AK365" i="110" s="1"/>
  <c r="AH26" i="70"/>
  <c r="O5" i="110"/>
  <c r="AZ16" i="13"/>
  <c r="R4" i="110"/>
  <c r="W4" i="110"/>
  <c r="N4" i="110"/>
  <c r="K4" i="110"/>
  <c r="S309" i="110"/>
  <c r="AL309" i="110"/>
  <c r="AN309" i="110"/>
  <c r="J309" i="110"/>
  <c r="I309" i="110"/>
  <c r="W309" i="110"/>
  <c r="R309" i="110"/>
  <c r="K309" i="110"/>
  <c r="N309" i="110"/>
  <c r="U309" i="110"/>
  <c r="T309" i="110"/>
  <c r="AM309" i="110" s="1"/>
  <c r="O309" i="110"/>
  <c r="M309" i="110"/>
  <c r="C412" i="110"/>
  <c r="B412" i="110" s="1"/>
  <c r="C407" i="110"/>
  <c r="B407" i="110" s="1"/>
  <c r="C403" i="110"/>
  <c r="B403" i="110" s="1"/>
  <c r="C406" i="110"/>
  <c r="B406" i="110" s="1"/>
  <c r="C408" i="110"/>
  <c r="B408" i="110" s="1"/>
  <c r="C416" i="110"/>
  <c r="B416" i="110" s="1"/>
  <c r="C426" i="110"/>
  <c r="B426" i="110" s="1"/>
  <c r="C364" i="110"/>
  <c r="B364" i="110" s="1"/>
  <c r="C363" i="110"/>
  <c r="B363" i="110" s="1"/>
  <c r="C409" i="110"/>
  <c r="B409" i="110" s="1"/>
  <c r="C411" i="110"/>
  <c r="B411" i="110" s="1"/>
  <c r="C422" i="110"/>
  <c r="B422" i="110" s="1"/>
  <c r="C419" i="110"/>
  <c r="B419" i="110" s="1"/>
  <c r="C423" i="110"/>
  <c r="B423" i="110" s="1"/>
  <c r="C429" i="110"/>
  <c r="B429" i="110" s="1"/>
  <c r="C397" i="110"/>
  <c r="B397" i="110" s="1"/>
  <c r="C399" i="110"/>
  <c r="B399" i="110" s="1"/>
  <c r="S391" i="110"/>
  <c r="K391" i="110"/>
  <c r="R391" i="110"/>
  <c r="AL391" i="110"/>
  <c r="N391" i="110"/>
  <c r="J391" i="110"/>
  <c r="M391" i="110"/>
  <c r="O391" i="110"/>
  <c r="AN391" i="110"/>
  <c r="AM391" i="110"/>
  <c r="I391" i="110"/>
  <c r="U391" i="110"/>
  <c r="T391" i="110"/>
  <c r="W391" i="110"/>
  <c r="J390" i="110"/>
  <c r="T390" i="110"/>
  <c r="AL390" i="110"/>
  <c r="I390" i="110"/>
  <c r="U390" i="110"/>
  <c r="M390" i="110"/>
  <c r="AM390" i="110"/>
  <c r="N390" i="110"/>
  <c r="O390" i="110"/>
  <c r="S390" i="110"/>
  <c r="AN390" i="110"/>
  <c r="R390" i="110"/>
  <c r="K390" i="110"/>
  <c r="W390" i="110"/>
  <c r="O310" i="110"/>
  <c r="M310" i="110"/>
  <c r="R310" i="110"/>
  <c r="AL310" i="110"/>
  <c r="N310" i="110"/>
  <c r="I310" i="110"/>
  <c r="AN310" i="110"/>
  <c r="S310" i="110"/>
  <c r="K310" i="110"/>
  <c r="J310" i="110"/>
  <c r="U310" i="110"/>
  <c r="T310" i="110"/>
  <c r="AM310" i="110" s="1"/>
  <c r="W310" i="110"/>
  <c r="N9" i="110"/>
  <c r="O9" i="110"/>
  <c r="W9" i="110"/>
  <c r="R9" i="110"/>
  <c r="AM389" i="110"/>
  <c r="I389" i="110"/>
  <c r="AL389" i="110"/>
  <c r="M389" i="110"/>
  <c r="K389" i="110"/>
  <c r="W389" i="110"/>
  <c r="S389" i="110"/>
  <c r="J389" i="110"/>
  <c r="N389" i="110"/>
  <c r="O389" i="110"/>
  <c r="R389" i="110"/>
  <c r="U389" i="110"/>
  <c r="AN389" i="110"/>
  <c r="T389" i="110"/>
  <c r="AN20" i="69"/>
  <c r="J361" i="110"/>
  <c r="I361" i="110"/>
  <c r="K361" i="110"/>
  <c r="W361" i="110"/>
  <c r="AM361" i="110"/>
  <c r="AL361" i="110"/>
  <c r="AN361" i="110"/>
  <c r="U361" i="110"/>
  <c r="C446" i="110"/>
  <c r="B446" i="110" s="1"/>
  <c r="C476" i="110"/>
  <c r="B476" i="110" s="1"/>
  <c r="S361" i="110"/>
  <c r="M361" i="110"/>
  <c r="O361" i="110"/>
  <c r="C445" i="110"/>
  <c r="B445" i="110" s="1"/>
  <c r="N361" i="110"/>
  <c r="R361" i="110"/>
  <c r="C361" i="110" s="1"/>
  <c r="C177" i="3"/>
  <c r="D177" i="3"/>
  <c r="C479" i="110"/>
  <c r="B479" i="110" s="1"/>
  <c r="I110" i="12" l="1"/>
  <c r="BF24" i="12"/>
  <c r="Z12" i="66"/>
  <c r="H31" i="3" s="1"/>
  <c r="AF12" i="66"/>
  <c r="AB197" i="110"/>
  <c r="AO197" i="110" s="1"/>
  <c r="R240" i="110"/>
  <c r="C240" i="110" s="1"/>
  <c r="W240" i="110"/>
  <c r="C175" i="3"/>
  <c r="V62" i="65"/>
  <c r="J197" i="110" s="1"/>
  <c r="BE24" i="12"/>
  <c r="P29" i="3"/>
  <c r="C10" i="110"/>
  <c r="B10" i="110" s="1"/>
  <c r="L10" i="110"/>
  <c r="H315" i="110"/>
  <c r="Q315" i="110"/>
  <c r="L47" i="3"/>
  <c r="AN62" i="65"/>
  <c r="Q8" i="110"/>
  <c r="H8" i="110"/>
  <c r="BH26" i="13"/>
  <c r="S114" i="13" s="1"/>
  <c r="H314" i="110"/>
  <c r="BD20" i="69"/>
  <c r="L388" i="110"/>
  <c r="BD18" i="69"/>
  <c r="L387" i="110"/>
  <c r="C9" i="110"/>
  <c r="B9" i="110" s="1"/>
  <c r="L9" i="110"/>
  <c r="C4" i="110"/>
  <c r="B4" i="110" s="1"/>
  <c r="L4" i="110"/>
  <c r="C5" i="110"/>
  <c r="B5" i="110" s="1"/>
  <c r="L5" i="110"/>
  <c r="AK20" i="70"/>
  <c r="BC20" i="70" s="1"/>
  <c r="K47" i="3"/>
  <c r="J314" i="110"/>
  <c r="O7" i="110"/>
  <c r="Q7" i="110"/>
  <c r="U314" i="110"/>
  <c r="T314" i="110"/>
  <c r="AM314" i="110" s="1"/>
  <c r="AZ26" i="13"/>
  <c r="N314" i="110"/>
  <c r="R314" i="110"/>
  <c r="S314" i="110"/>
  <c r="W314" i="110"/>
  <c r="K314" i="110"/>
  <c r="I314" i="110"/>
  <c r="AN314" i="110"/>
  <c r="O314" i="110"/>
  <c r="AL314" i="110"/>
  <c r="M314" i="110"/>
  <c r="W7" i="110"/>
  <c r="N7" i="110"/>
  <c r="R7" i="110"/>
  <c r="AY110" i="69"/>
  <c r="C112" i="69" s="1"/>
  <c r="BD28" i="69"/>
  <c r="R172" i="110"/>
  <c r="W172" i="110"/>
  <c r="X36" i="78"/>
  <c r="BA54" i="62"/>
  <c r="AN54" i="62" s="1"/>
  <c r="AF12" i="62" s="1"/>
  <c r="M54" i="62"/>
  <c r="AB74" i="110"/>
  <c r="AO74" i="110" s="1"/>
  <c r="Q54" i="62"/>
  <c r="M74" i="110" s="1"/>
  <c r="C437" i="110"/>
  <c r="B437" i="110" s="1"/>
  <c r="C313" i="110"/>
  <c r="B313" i="110" s="1"/>
  <c r="C393" i="110"/>
  <c r="B393" i="110" s="1"/>
  <c r="M387" i="110"/>
  <c r="W387" i="110"/>
  <c r="AM387" i="110"/>
  <c r="U387" i="110"/>
  <c r="T387" i="110"/>
  <c r="AN387" i="110"/>
  <c r="AL387" i="110"/>
  <c r="J387" i="110"/>
  <c r="N387" i="110"/>
  <c r="I387" i="110"/>
  <c r="O387" i="110"/>
  <c r="R387" i="110"/>
  <c r="S387" i="110"/>
  <c r="K387" i="110"/>
  <c r="C114" i="69"/>
  <c r="AB114" i="69" s="1"/>
  <c r="AF114" i="69" s="1"/>
  <c r="O392" i="110"/>
  <c r="M392" i="110"/>
  <c r="R392" i="110"/>
  <c r="AN392" i="110"/>
  <c r="AM392" i="110"/>
  <c r="K392" i="110"/>
  <c r="U392" i="110"/>
  <c r="W392" i="110"/>
  <c r="I392" i="110"/>
  <c r="S392" i="110"/>
  <c r="AL392" i="110"/>
  <c r="J392" i="110"/>
  <c r="T392" i="110"/>
  <c r="N392" i="110"/>
  <c r="AZ28" i="13"/>
  <c r="U315" i="110"/>
  <c r="M315" i="110"/>
  <c r="S315" i="110"/>
  <c r="AL315" i="110"/>
  <c r="W315" i="110"/>
  <c r="T315" i="110"/>
  <c r="AM315" i="110" s="1"/>
  <c r="J315" i="110"/>
  <c r="K315" i="110"/>
  <c r="AN315" i="110"/>
  <c r="I315" i="110"/>
  <c r="O315" i="110"/>
  <c r="R315" i="110"/>
  <c r="N315" i="110"/>
  <c r="N8" i="110"/>
  <c r="W8" i="110"/>
  <c r="R8" i="110"/>
  <c r="O8" i="110"/>
  <c r="BD26" i="70"/>
  <c r="BG26" i="70" s="1"/>
  <c r="AX26" i="70"/>
  <c r="C309" i="110"/>
  <c r="B309" i="110" s="1"/>
  <c r="C310" i="110"/>
  <c r="B310" i="110" s="1"/>
  <c r="C391" i="110"/>
  <c r="B391" i="110" s="1"/>
  <c r="C390" i="110"/>
  <c r="B390" i="110" s="1"/>
  <c r="K311" i="110"/>
  <c r="O311" i="110"/>
  <c r="R311" i="110"/>
  <c r="J311" i="110"/>
  <c r="N311" i="110"/>
  <c r="U311" i="110"/>
  <c r="M311" i="110"/>
  <c r="AL311" i="110"/>
  <c r="T311" i="110"/>
  <c r="AM311" i="110" s="1"/>
  <c r="AN311" i="110"/>
  <c r="I311" i="110"/>
  <c r="W311" i="110"/>
  <c r="S311" i="110"/>
  <c r="V12" i="13"/>
  <c r="I36" i="3" s="1"/>
  <c r="Z12" i="13"/>
  <c r="F36" i="3" s="1"/>
  <c r="R12" i="13"/>
  <c r="J36" i="3" s="1"/>
  <c r="C389" i="110"/>
  <c r="B389" i="110" s="1"/>
  <c r="I388" i="110"/>
  <c r="K388" i="110"/>
  <c r="O388" i="110"/>
  <c r="R388" i="110"/>
  <c r="AM388" i="110"/>
  <c r="T388" i="110"/>
  <c r="J388" i="110"/>
  <c r="N388" i="110"/>
  <c r="M388" i="110"/>
  <c r="AL388" i="110"/>
  <c r="U388" i="110"/>
  <c r="AN388" i="110"/>
  <c r="S388" i="110"/>
  <c r="W388" i="110"/>
  <c r="J312" i="110"/>
  <c r="M312" i="110"/>
  <c r="K312" i="110"/>
  <c r="R312" i="110"/>
  <c r="N312" i="110"/>
  <c r="S312" i="110"/>
  <c r="O312" i="110"/>
  <c r="AL312" i="110"/>
  <c r="AN312" i="110"/>
  <c r="I312" i="110"/>
  <c r="T312" i="110"/>
  <c r="AM312" i="110" s="1"/>
  <c r="U312" i="110"/>
  <c r="W312" i="110"/>
  <c r="B361" i="110"/>
  <c r="B240" i="110" l="1"/>
  <c r="X36" i="79"/>
  <c r="X38" i="79" s="1"/>
  <c r="X35" i="78"/>
  <c r="X37" i="78" s="1"/>
  <c r="M197" i="110"/>
  <c r="I197" i="110"/>
  <c r="BE22" i="12"/>
  <c r="C112" i="12"/>
  <c r="AJ12" i="65"/>
  <c r="P30" i="3" s="1"/>
  <c r="W74" i="110"/>
  <c r="W197" i="110"/>
  <c r="R197" i="110"/>
  <c r="C197" i="110" s="1"/>
  <c r="C8" i="110"/>
  <c r="B8" i="110" s="1"/>
  <c r="L8" i="110"/>
  <c r="C7" i="110"/>
  <c r="B7" i="110" s="1"/>
  <c r="L7" i="110"/>
  <c r="AX20" i="70"/>
  <c r="BD20" i="70"/>
  <c r="C314" i="110"/>
  <c r="B314" i="110" s="1"/>
  <c r="C172" i="110"/>
  <c r="B172" i="110" s="1"/>
  <c r="P27" i="3"/>
  <c r="R74" i="110"/>
  <c r="C74" i="110" s="1"/>
  <c r="B74" i="110" s="1"/>
  <c r="AK54" i="62"/>
  <c r="AU54" i="62"/>
  <c r="K74" i="110" s="1"/>
  <c r="AV54" i="62"/>
  <c r="O74" i="110" s="1"/>
  <c r="Z114" i="13"/>
  <c r="AZ114" i="13"/>
  <c r="BB114" i="13"/>
  <c r="F114" i="13"/>
  <c r="M114" i="13" s="1"/>
  <c r="C387" i="110"/>
  <c r="B387" i="110" s="1"/>
  <c r="F114" i="69"/>
  <c r="C392" i="110"/>
  <c r="B392" i="110" s="1"/>
  <c r="BD114" i="69"/>
  <c r="T114" i="69"/>
  <c r="L114" i="69" s="1"/>
  <c r="C315" i="110"/>
  <c r="B315" i="110" s="1"/>
  <c r="AN26" i="70"/>
  <c r="Q365" i="110" s="1"/>
  <c r="C311" i="110"/>
  <c r="B311" i="110" s="1"/>
  <c r="C388" i="110"/>
  <c r="B388" i="110" s="1"/>
  <c r="C312" i="110"/>
  <c r="B312" i="110" s="1"/>
  <c r="AB52" i="110" l="1"/>
  <c r="AO52" i="110" s="1"/>
  <c r="K112" i="12"/>
  <c r="K110" i="12"/>
  <c r="C114" i="12"/>
  <c r="K114" i="12"/>
  <c r="S114" i="12" s="1"/>
  <c r="J53" i="110" s="1"/>
  <c r="L197" i="110"/>
  <c r="B197" i="110"/>
  <c r="I112" i="12"/>
  <c r="H30" i="3"/>
  <c r="H45" i="3" s="1"/>
  <c r="L365" i="110"/>
  <c r="H365" i="110"/>
  <c r="AU20" i="70"/>
  <c r="BG20" i="70" s="1"/>
  <c r="AN20" i="70" s="1"/>
  <c r="Z12" i="62"/>
  <c r="N74" i="110"/>
  <c r="AU114" i="13"/>
  <c r="AA358" i="110"/>
  <c r="O114" i="13"/>
  <c r="AB358" i="110"/>
  <c r="AB435" i="110"/>
  <c r="X114" i="69"/>
  <c r="S435" i="110" s="1"/>
  <c r="P114" i="69"/>
  <c r="AD435" i="110"/>
  <c r="J435" i="110"/>
  <c r="K12" i="69"/>
  <c r="AL435" i="110"/>
  <c r="I435" i="110"/>
  <c r="R435" i="110"/>
  <c r="AM435" i="110"/>
  <c r="AC435" i="110"/>
  <c r="T365" i="110"/>
  <c r="W365" i="110"/>
  <c r="K365" i="110"/>
  <c r="O365" i="110"/>
  <c r="AL365" i="110"/>
  <c r="I365" i="110"/>
  <c r="S365" i="110"/>
  <c r="M365" i="110"/>
  <c r="U365" i="110"/>
  <c r="R365" i="110"/>
  <c r="N365" i="110"/>
  <c r="BE26" i="70"/>
  <c r="J365" i="110"/>
  <c r="AN365" i="110"/>
  <c r="AM365" i="110"/>
  <c r="AY110" i="12" l="1"/>
  <c r="AA51" i="110"/>
  <c r="AY112" i="12"/>
  <c r="AA52" i="110"/>
  <c r="X52" i="110"/>
  <c r="Q112" i="12"/>
  <c r="Y52" i="110" s="1"/>
  <c r="AI112" i="12"/>
  <c r="S112" i="12"/>
  <c r="M52" i="110" s="1"/>
  <c r="AE112" i="12"/>
  <c r="AN110" i="12"/>
  <c r="I114" i="12"/>
  <c r="AY114" i="12"/>
  <c r="AE110" i="12"/>
  <c r="AI110" i="12"/>
  <c r="Q110" i="12"/>
  <c r="Y51" i="110" s="1"/>
  <c r="S110" i="12"/>
  <c r="J51" i="110" s="1"/>
  <c r="AO51" i="110"/>
  <c r="X51" i="110"/>
  <c r="M53" i="110"/>
  <c r="AE114" i="12"/>
  <c r="I53" i="110" s="1"/>
  <c r="Q114" i="12"/>
  <c r="AB53" i="110"/>
  <c r="AO53" i="110" s="1"/>
  <c r="X53" i="110"/>
  <c r="AA53" i="110"/>
  <c r="AI114" i="12"/>
  <c r="H362" i="110"/>
  <c r="Q362" i="110"/>
  <c r="H48" i="3"/>
  <c r="U362" i="110"/>
  <c r="L362" i="110"/>
  <c r="AN362" i="110"/>
  <c r="N362" i="110"/>
  <c r="S362" i="110"/>
  <c r="BE20" i="70"/>
  <c r="AK362" i="110"/>
  <c r="M362" i="110"/>
  <c r="R362" i="110"/>
  <c r="O362" i="110"/>
  <c r="I362" i="110"/>
  <c r="AM362" i="110"/>
  <c r="J362" i="110"/>
  <c r="AL362" i="110"/>
  <c r="W362" i="110"/>
  <c r="K362" i="110"/>
  <c r="T362" i="110"/>
  <c r="M435" i="110"/>
  <c r="BE114" i="69"/>
  <c r="W435" i="110" s="1"/>
  <c r="AX114" i="69"/>
  <c r="U435" i="110" s="1"/>
  <c r="AK114" i="69"/>
  <c r="T435" i="110" s="1"/>
  <c r="C435" i="110" s="1"/>
  <c r="B435" i="110" s="1"/>
  <c r="AV114" i="69"/>
  <c r="AK435" i="110" s="1"/>
  <c r="AY114" i="69"/>
  <c r="AH114" i="69"/>
  <c r="AN435" i="110" s="1"/>
  <c r="AK114" i="13"/>
  <c r="BF114" i="13"/>
  <c r="BE114" i="13"/>
  <c r="BD114" i="13"/>
  <c r="BA114" i="13"/>
  <c r="AY114" i="13"/>
  <c r="AH358" i="110" s="1"/>
  <c r="AX114" i="13"/>
  <c r="AG358" i="110" s="1"/>
  <c r="AW114" i="13"/>
  <c r="AV114" i="13"/>
  <c r="AK358" i="110" s="1"/>
  <c r="AH114" i="13"/>
  <c r="AN114" i="13"/>
  <c r="AF12" i="13" s="1"/>
  <c r="O435" i="110"/>
  <c r="N435" i="110"/>
  <c r="X358" i="110"/>
  <c r="C365" i="110"/>
  <c r="B365" i="110" s="1"/>
  <c r="AW112" i="12" l="1"/>
  <c r="AG52" i="110" s="1"/>
  <c r="I52" i="110"/>
  <c r="AX112" i="12"/>
  <c r="AH52" i="110" s="1"/>
  <c r="J52" i="110"/>
  <c r="AK112" i="12"/>
  <c r="AV112" i="12" s="1"/>
  <c r="AU112" i="12"/>
  <c r="K52" i="110" s="1"/>
  <c r="BC112" i="12"/>
  <c r="AK110" i="12"/>
  <c r="AV110" i="12" s="1"/>
  <c r="M51" i="110"/>
  <c r="I51" i="110"/>
  <c r="BC110" i="12"/>
  <c r="AN114" i="12"/>
  <c r="AX110" i="12"/>
  <c r="AH51" i="110" s="1"/>
  <c r="AW110" i="12"/>
  <c r="AG51" i="110" s="1"/>
  <c r="AU110" i="12"/>
  <c r="K51" i="110" s="1"/>
  <c r="AX114" i="12"/>
  <c r="AH53" i="110" s="1"/>
  <c r="AK114" i="12"/>
  <c r="AV114" i="12" s="1"/>
  <c r="AW114" i="12"/>
  <c r="AG53" i="110" s="1"/>
  <c r="BC114" i="12"/>
  <c r="Y53" i="110"/>
  <c r="AU114" i="12"/>
  <c r="K53" i="110" s="1"/>
  <c r="K45" i="3"/>
  <c r="L45" i="3"/>
  <c r="J56" i="14"/>
  <c r="F2" i="3"/>
  <c r="BA52" i="14"/>
  <c r="BA53" i="14" s="1"/>
  <c r="P36" i="3"/>
  <c r="H358" i="110"/>
  <c r="C362" i="110"/>
  <c r="B362" i="110" s="1"/>
  <c r="K435" i="110"/>
  <c r="BC114" i="13"/>
  <c r="AN358" i="110"/>
  <c r="W358" i="110"/>
  <c r="R358" i="110"/>
  <c r="AL358" i="110"/>
  <c r="M358" i="110"/>
  <c r="I358" i="110"/>
  <c r="S358" i="110"/>
  <c r="J358" i="110"/>
  <c r="AV200" i="13"/>
  <c r="G36" i="3" s="1"/>
  <c r="N358" i="110"/>
  <c r="T358" i="110"/>
  <c r="O358" i="110"/>
  <c r="U358" i="110"/>
  <c r="K358" i="110"/>
  <c r="AN112" i="12" l="1"/>
  <c r="N52" i="110" s="1"/>
  <c r="R51" i="110"/>
  <c r="C51" i="110" s="1"/>
  <c r="O51" i="110"/>
  <c r="W51" i="110"/>
  <c r="N51" i="110"/>
  <c r="Z12" i="12"/>
  <c r="F26" i="3" s="1"/>
  <c r="R12" i="12"/>
  <c r="J26" i="3" s="1"/>
  <c r="N53" i="110"/>
  <c r="AV200" i="12"/>
  <c r="G26" i="3" s="1"/>
  <c r="AM358" i="110"/>
  <c r="C358" i="110"/>
  <c r="B358" i="110" s="1"/>
  <c r="R53" i="110"/>
  <c r="W53" i="110"/>
  <c r="O53" i="110"/>
  <c r="AU200" i="12"/>
  <c r="V12" i="12" s="1"/>
  <c r="I26" i="3" s="1"/>
  <c r="F27" i="3"/>
  <c r="AV200" i="62"/>
  <c r="G27" i="3" s="1"/>
  <c r="O52" i="110" l="1"/>
  <c r="AF12" i="12"/>
  <c r="R52" i="110"/>
  <c r="C52" i="110" s="1"/>
  <c r="B52" i="110" s="1"/>
  <c r="W52" i="110"/>
  <c r="T35" i="78"/>
  <c r="P26" i="3"/>
  <c r="L51" i="110"/>
  <c r="B51" i="110"/>
  <c r="T36" i="79"/>
  <c r="C53" i="110"/>
  <c r="B53" i="110" s="1"/>
  <c r="J27" i="3"/>
  <c r="J44" i="3" s="1"/>
  <c r="AU200" i="62"/>
  <c r="V12" i="62" s="1"/>
  <c r="I27" i="3" s="1"/>
  <c r="I44" i="3" s="1"/>
  <c r="AI58" i="81" l="1"/>
  <c r="AB36" i="79"/>
  <c r="AB35" i="78"/>
  <c r="AV200" i="65"/>
  <c r="G30" i="3" s="1"/>
  <c r="AF35" i="78" l="1"/>
  <c r="AF36" i="79"/>
  <c r="P44" i="3"/>
  <c r="J30" i="3"/>
  <c r="F30" i="3"/>
  <c r="D174" i="3" l="1"/>
  <c r="F44" i="3"/>
  <c r="L44" i="3" l="1"/>
  <c r="AV10" i="118" s="1"/>
  <c r="C174" i="3"/>
  <c r="AV10" i="71" l="1"/>
  <c r="AW10" i="69"/>
  <c r="AV10" i="63"/>
  <c r="AV10" i="62"/>
  <c r="AV10" i="12"/>
  <c r="AV10" i="70"/>
  <c r="AV10" i="117"/>
  <c r="AV10" i="13"/>
  <c r="AV10" i="113"/>
  <c r="AV10" i="65"/>
  <c r="AV10" i="66"/>
  <c r="AV10" i="64"/>
  <c r="AI60" i="81" l="1"/>
  <c r="AV200" i="63" l="1"/>
  <c r="G28" i="3" s="1"/>
  <c r="G44" i="3" l="1"/>
  <c r="K44" i="3" s="1"/>
  <c r="AV8" i="63" l="1"/>
  <c r="AV8" i="12"/>
  <c r="AV8" i="64"/>
  <c r="AV8" i="113"/>
  <c r="AV8" i="66"/>
  <c r="AV8" i="118"/>
  <c r="AV8" i="70"/>
  <c r="AV8" i="71"/>
  <c r="AW8" i="69"/>
  <c r="AV8" i="65"/>
  <c r="AV8" i="13"/>
  <c r="AV8" i="62"/>
  <c r="AV8" i="117"/>
  <c r="AU16" i="70" l="1"/>
  <c r="AK360" i="110" s="1"/>
  <c r="BD16" i="70"/>
  <c r="BG16" i="70" s="1"/>
  <c r="AX16" i="70"/>
  <c r="AN16" i="70" l="1"/>
  <c r="H360" i="110" l="1"/>
  <c r="Q360" i="110"/>
  <c r="AI52" i="81" s="1"/>
  <c r="AI37" i="81"/>
  <c r="L360" i="110"/>
  <c r="AL360" i="110"/>
  <c r="W360" i="110"/>
  <c r="O360" i="110"/>
  <c r="K360" i="110"/>
  <c r="M360" i="110"/>
  <c r="U360" i="110"/>
  <c r="T360" i="110"/>
  <c r="Z12" i="70"/>
  <c r="F37" i="3" s="1"/>
  <c r="J360" i="110"/>
  <c r="AM360" i="110"/>
  <c r="S360" i="110"/>
  <c r="I360" i="110"/>
  <c r="AV200" i="70"/>
  <c r="G37" i="3" s="1"/>
  <c r="N360" i="110"/>
  <c r="R360" i="110"/>
  <c r="AN360" i="110"/>
  <c r="BE16" i="70"/>
  <c r="V12" i="70"/>
  <c r="I37" i="3" s="1"/>
  <c r="R12" i="70"/>
  <c r="J37" i="3" s="1"/>
  <c r="C360" i="110" l="1"/>
  <c r="B360" i="110" l="1"/>
  <c r="AN16" i="69" l="1"/>
  <c r="O386" i="110" l="1"/>
  <c r="L386" i="110"/>
  <c r="U386" i="110"/>
  <c r="W386" i="110"/>
  <c r="R386" i="110"/>
  <c r="AL386" i="110"/>
  <c r="S386" i="110"/>
  <c r="AM386" i="110"/>
  <c r="T386" i="110"/>
  <c r="BD16" i="69"/>
  <c r="I386" i="110"/>
  <c r="M386" i="110"/>
  <c r="Z12" i="69"/>
  <c r="F38" i="3" s="1"/>
  <c r="AN386" i="110"/>
  <c r="N386" i="110"/>
  <c r="R12" i="69"/>
  <c r="J38" i="3" s="1"/>
  <c r="K386" i="110"/>
  <c r="J386" i="110"/>
  <c r="C386" i="110" l="1"/>
  <c r="B386" i="110" s="1"/>
  <c r="J46" i="3"/>
  <c r="F46" i="3"/>
  <c r="F48" i="3"/>
  <c r="AY112" i="69"/>
  <c r="AN112" i="69" s="1"/>
  <c r="F12" i="69" s="1"/>
  <c r="P38" i="3" l="1"/>
  <c r="P48" i="3" s="1"/>
  <c r="I434" i="110"/>
  <c r="AI39" i="81" s="1"/>
  <c r="R434" i="110"/>
  <c r="AL434" i="110"/>
  <c r="C176" i="3"/>
  <c r="C173" i="3" s="1"/>
  <c r="D176" i="3"/>
  <c r="A173" i="3" s="1"/>
  <c r="T112" i="69"/>
  <c r="AB112" i="69"/>
  <c r="AF112" i="69" s="1"/>
  <c r="J434" i="110" s="1"/>
  <c r="AI40" i="81" s="1"/>
  <c r="BD112" i="69"/>
  <c r="F112" i="69"/>
  <c r="J53" i="14"/>
  <c r="AW52" i="14"/>
  <c r="AW53" i="14" s="1"/>
  <c r="F1" i="3"/>
  <c r="AI57" i="81" l="1"/>
  <c r="AI61" i="81"/>
  <c r="AB434" i="110"/>
  <c r="X112" i="69"/>
  <c r="P112" i="69"/>
  <c r="AM434" i="110"/>
  <c r="AI34" i="81"/>
  <c r="AI59" i="81"/>
  <c r="AF36" i="78"/>
  <c r="AF37" i="78" s="1"/>
  <c r="AF37" i="79"/>
  <c r="AF38" i="79" s="1"/>
  <c r="AE61" i="14"/>
  <c r="V61" i="14"/>
  <c r="M61" i="14"/>
  <c r="K24" i="76"/>
  <c r="U18" i="81"/>
  <c r="P46" i="3"/>
  <c r="L112" i="69"/>
  <c r="AC434" i="110" s="1"/>
  <c r="AD434" i="110"/>
  <c r="J48" i="3" l="1"/>
  <c r="F3" i="3" s="1"/>
  <c r="S434" i="110"/>
  <c r="M434" i="110"/>
  <c r="AI38" i="81" s="1"/>
  <c r="BE112" i="69"/>
  <c r="W434" i="110" s="1"/>
  <c r="AX112" i="69"/>
  <c r="AX200" i="69" s="1"/>
  <c r="G38" i="3" s="1"/>
  <c r="AH112" i="69"/>
  <c r="V12" i="69" s="1"/>
  <c r="I38" i="3" s="1"/>
  <c r="AV112" i="69"/>
  <c r="AK434" i="110" s="1"/>
  <c r="AK112" i="69"/>
  <c r="F4" i="3" l="1"/>
  <c r="AL2" i="113" s="1"/>
  <c r="AW31" i="14"/>
  <c r="X35" i="14" s="1"/>
  <c r="G48" i="3"/>
  <c r="G46" i="3"/>
  <c r="I46" i="3"/>
  <c r="I48" i="3"/>
  <c r="O434" i="110"/>
  <c r="AI36" i="81" s="1"/>
  <c r="U434" i="110"/>
  <c r="N434" i="110"/>
  <c r="AI35" i="81" s="1"/>
  <c r="T434" i="110"/>
  <c r="C434" i="110" s="1"/>
  <c r="K434" i="110"/>
  <c r="AI41" i="81" s="1"/>
  <c r="AN434" i="110"/>
  <c r="AH2" i="51"/>
  <c r="AH2" i="55"/>
  <c r="AH2" i="113"/>
  <c r="AH2" i="76"/>
  <c r="AH2" i="65"/>
  <c r="AH2" i="13"/>
  <c r="AH2" i="14"/>
  <c r="AH2" i="79"/>
  <c r="AH2" i="78"/>
  <c r="AH2" i="12"/>
  <c r="AH2" i="71"/>
  <c r="AH2" i="69"/>
  <c r="AH2" i="80"/>
  <c r="AH2" i="49"/>
  <c r="AH2" i="50"/>
  <c r="AH2" i="66"/>
  <c r="AH2" i="115"/>
  <c r="AH2" i="62"/>
  <c r="AH2" i="64"/>
  <c r="AH2" i="117"/>
  <c r="AH2" i="57"/>
  <c r="AH2" i="56"/>
  <c r="AH2" i="70"/>
  <c r="AH2" i="118"/>
  <c r="AH2" i="63"/>
  <c r="AH2" i="8"/>
  <c r="AH2" i="116"/>
  <c r="AH2" i="81"/>
  <c r="AL2" i="70" l="1"/>
  <c r="AL2" i="63"/>
  <c r="AL2" i="12"/>
  <c r="AL2" i="81"/>
  <c r="AL2" i="66"/>
  <c r="AL2" i="64"/>
  <c r="AL2" i="80"/>
  <c r="AL2" i="49"/>
  <c r="AL2" i="71"/>
  <c r="AL2" i="57"/>
  <c r="AL2" i="62"/>
  <c r="AL2" i="13"/>
  <c r="AL2" i="65"/>
  <c r="AL2" i="69"/>
  <c r="AL2" i="116"/>
  <c r="AL2" i="50"/>
  <c r="AL2" i="8"/>
  <c r="AL2" i="55"/>
  <c r="AL2" i="79"/>
  <c r="AL2" i="115"/>
  <c r="AL2" i="56"/>
  <c r="AL2" i="78"/>
  <c r="AL2" i="118"/>
  <c r="AL2" i="51"/>
  <c r="AL2" i="14"/>
  <c r="AL2" i="76"/>
  <c r="AL2" i="117"/>
  <c r="T37" i="79"/>
  <c r="T38" i="79" s="1"/>
  <c r="K46" i="3"/>
  <c r="AW8" i="70" s="1"/>
  <c r="O42" i="14"/>
  <c r="L48" i="3"/>
  <c r="AB37" i="79"/>
  <c r="AB38" i="79" s="1"/>
  <c r="L46" i="3"/>
  <c r="AB36" i="78"/>
  <c r="AB37" i="78" s="1"/>
  <c r="X42" i="14"/>
  <c r="K48" i="3"/>
  <c r="T36" i="78"/>
  <c r="T37" i="78" s="1"/>
  <c r="AW32" i="14"/>
  <c r="AD25" i="14" s="1"/>
  <c r="AD27" i="14" s="1"/>
  <c r="B434" i="110"/>
  <c r="AI47" i="81"/>
  <c r="AI55" i="81" s="1"/>
  <c r="AI42" i="81"/>
  <c r="AI49" i="81" s="1"/>
  <c r="AI46" i="81"/>
  <c r="AI54" i="81" s="1"/>
  <c r="AI43" i="81"/>
  <c r="AI50" i="81" s="1"/>
  <c r="AI44" i="81"/>
  <c r="AI51" i="81" s="1"/>
  <c r="AI45" i="81"/>
  <c r="AI48" i="81"/>
  <c r="AI56" i="81" s="1"/>
  <c r="AI53" i="81" l="1"/>
  <c r="O44" i="14"/>
  <c r="O46" i="14"/>
  <c r="X44" i="14"/>
  <c r="AW8" i="64"/>
  <c r="AW8" i="71"/>
  <c r="AW8" i="118"/>
  <c r="AX8" i="69"/>
  <c r="AW8" i="117"/>
  <c r="AW8" i="13"/>
  <c r="AW8" i="62"/>
  <c r="AW8" i="66"/>
  <c r="AW8" i="113"/>
  <c r="AW8" i="65"/>
  <c r="AW8" i="12"/>
  <c r="AW8" i="63"/>
  <c r="AX8" i="12"/>
  <c r="AX8" i="63"/>
  <c r="AX8" i="117"/>
  <c r="AX8" i="113"/>
  <c r="AX8" i="70"/>
  <c r="AX8" i="64"/>
  <c r="AX8" i="62"/>
  <c r="AX8" i="118"/>
  <c r="AX8" i="13"/>
  <c r="AY8" i="69"/>
  <c r="AX8" i="66"/>
  <c r="AX8" i="71"/>
  <c r="AX8" i="65"/>
  <c r="AW10" i="63"/>
  <c r="AW10" i="13"/>
  <c r="AX10" i="69"/>
  <c r="AW10" i="118"/>
  <c r="AW10" i="71"/>
  <c r="AW10" i="64"/>
  <c r="AW10" i="65"/>
  <c r="AW10" i="113"/>
  <c r="AW10" i="70"/>
  <c r="AW10" i="117"/>
  <c r="AW10" i="62"/>
  <c r="AW10" i="66"/>
  <c r="AW10" i="12"/>
  <c r="AX10" i="113"/>
  <c r="AX10" i="65"/>
  <c r="AX10" i="63"/>
  <c r="AX10" i="117"/>
  <c r="AX10" i="64"/>
  <c r="AX10" i="66"/>
  <c r="AX10" i="118"/>
  <c r="AY10" i="69"/>
  <c r="AX10" i="62"/>
  <c r="AX10" i="71"/>
  <c r="AX10" i="12"/>
  <c r="AX10" i="70"/>
  <c r="AX10" i="13"/>
  <c r="X46" i="14"/>
  <c r="C97" i="3"/>
  <c r="D163" i="3"/>
  <c r="B166" i="3"/>
  <c r="B105" i="3"/>
  <c r="B121" i="3"/>
  <c r="B104" i="3"/>
  <c r="B108" i="3"/>
  <c r="E155" i="3"/>
  <c r="C158" i="3"/>
  <c r="E157" i="3"/>
  <c r="D110" i="3"/>
  <c r="C162" i="3"/>
  <c r="C100" i="3"/>
  <c r="E117" i="3"/>
  <c r="E138" i="3"/>
  <c r="E98" i="3"/>
  <c r="B138" i="3"/>
  <c r="B136" i="3"/>
  <c r="D114" i="3"/>
  <c r="D98" i="3"/>
  <c r="B157" i="3"/>
  <c r="B77" i="3"/>
  <c r="E91" i="3"/>
  <c r="C155" i="3"/>
  <c r="E76" i="3"/>
  <c r="C111" i="3"/>
  <c r="D117" i="3"/>
  <c r="D82" i="3"/>
  <c r="E136" i="3"/>
  <c r="B167" i="3"/>
  <c r="D94" i="3"/>
  <c r="E115" i="3"/>
  <c r="C182" i="3"/>
  <c r="E139" i="3"/>
  <c r="E100" i="3"/>
  <c r="C91" i="3"/>
  <c r="D77" i="3"/>
  <c r="B120" i="3"/>
  <c r="E156" i="3"/>
  <c r="E77" i="3"/>
  <c r="C103" i="3"/>
  <c r="B102" i="3"/>
  <c r="B142" i="3"/>
  <c r="B165" i="3"/>
  <c r="B100" i="3"/>
  <c r="B160" i="3"/>
  <c r="B109" i="3"/>
  <c r="D105" i="3"/>
  <c r="E183" i="3"/>
  <c r="C108" i="3"/>
  <c r="E166" i="3"/>
  <c r="D75" i="3"/>
  <c r="E159" i="3"/>
  <c r="B123" i="3"/>
  <c r="B107" i="3"/>
  <c r="B97" i="3"/>
  <c r="E103" i="3"/>
  <c r="D138" i="3"/>
  <c r="B95" i="3"/>
  <c r="B83" i="3"/>
  <c r="C89" i="3"/>
  <c r="D146" i="3"/>
  <c r="B135" i="3"/>
  <c r="E106" i="3"/>
  <c r="B118" i="3"/>
  <c r="C124" i="3"/>
  <c r="D83" i="3"/>
  <c r="C142" i="3"/>
  <c r="D183" i="3"/>
  <c r="D137" i="3"/>
  <c r="B75" i="3"/>
  <c r="C138" i="3"/>
  <c r="D116" i="3"/>
  <c r="B99" i="3"/>
  <c r="D158" i="3"/>
  <c r="C159" i="3"/>
  <c r="D104" i="3"/>
  <c r="E112" i="3"/>
  <c r="D160" i="3"/>
  <c r="B163" i="3"/>
  <c r="C145" i="3"/>
  <c r="E84" i="3"/>
  <c r="B122" i="3"/>
  <c r="E108" i="3"/>
  <c r="D76" i="3"/>
  <c r="D101" i="3"/>
  <c r="D167" i="3"/>
  <c r="D90" i="3"/>
  <c r="C121" i="3"/>
  <c r="E114" i="3"/>
  <c r="C113" i="3"/>
  <c r="D103" i="3"/>
  <c r="B145" i="3"/>
  <c r="B168" i="3"/>
  <c r="D162" i="3"/>
  <c r="C160" i="3"/>
  <c r="D168" i="3"/>
  <c r="E124" i="3"/>
  <c r="C96" i="3"/>
  <c r="B89" i="3"/>
  <c r="C167" i="3"/>
  <c r="D93" i="3"/>
  <c r="E89" i="3"/>
  <c r="D86" i="3"/>
  <c r="C166" i="3"/>
  <c r="C94" i="3"/>
  <c r="C98" i="3"/>
  <c r="E146" i="3"/>
  <c r="D89" i="3"/>
  <c r="C135" i="3"/>
  <c r="C92" i="3"/>
  <c r="B164" i="3"/>
  <c r="B90" i="3"/>
  <c r="E163" i="3"/>
  <c r="B86" i="3"/>
  <c r="E110" i="3"/>
  <c r="B110" i="3"/>
  <c r="D95" i="3"/>
  <c r="D165" i="3"/>
  <c r="E123" i="3"/>
  <c r="B88" i="3"/>
  <c r="E121" i="3"/>
  <c r="D157" i="3"/>
  <c r="C102" i="3"/>
  <c r="C106" i="3"/>
  <c r="C168" i="3"/>
  <c r="B116" i="3"/>
  <c r="D156" i="3"/>
  <c r="C76" i="3"/>
  <c r="E135" i="3"/>
  <c r="D144" i="3"/>
  <c r="B144" i="3"/>
  <c r="C105" i="3"/>
  <c r="E167" i="3"/>
  <c r="E141" i="3"/>
  <c r="D145" i="3"/>
  <c r="E75" i="3"/>
  <c r="E104" i="3"/>
  <c r="C144" i="3"/>
  <c r="E118" i="3"/>
  <c r="C112" i="3"/>
  <c r="E160" i="3"/>
  <c r="E113" i="3"/>
  <c r="C136" i="3"/>
  <c r="B82" i="3"/>
  <c r="B96" i="3"/>
  <c r="C114" i="3"/>
  <c r="E97" i="3"/>
  <c r="C117" i="3"/>
  <c r="B111" i="3"/>
  <c r="C140" i="3"/>
  <c r="C88" i="3"/>
  <c r="E111" i="3"/>
  <c r="E120" i="3"/>
  <c r="D164" i="3"/>
  <c r="D136" i="3"/>
  <c r="C115" i="3"/>
  <c r="E92" i="3"/>
  <c r="E182" i="3"/>
  <c r="D107" i="3"/>
  <c r="C139" i="3"/>
  <c r="B137" i="3"/>
  <c r="C141" i="3"/>
  <c r="C161" i="3"/>
  <c r="D140" i="3"/>
  <c r="B162" i="3"/>
  <c r="B93" i="3"/>
  <c r="B182" i="3"/>
  <c r="E101" i="3"/>
  <c r="D124" i="3"/>
  <c r="C123" i="3"/>
  <c r="C109" i="3"/>
  <c r="C116" i="3"/>
  <c r="E86" i="3"/>
  <c r="C163" i="3"/>
  <c r="D84" i="3"/>
  <c r="E143" i="3"/>
  <c r="B143" i="3"/>
  <c r="C82" i="3"/>
  <c r="C137" i="3"/>
  <c r="B91" i="3"/>
  <c r="C95" i="3"/>
  <c r="B124" i="3"/>
  <c r="E140" i="3"/>
  <c r="B156" i="3"/>
  <c r="C104" i="3"/>
  <c r="D97" i="3"/>
  <c r="B106" i="3"/>
  <c r="B141" i="3"/>
  <c r="B85" i="3"/>
  <c r="C146" i="3"/>
  <c r="D109" i="3"/>
  <c r="D88" i="3"/>
  <c r="E94" i="3"/>
  <c r="C77" i="3"/>
  <c r="D100" i="3"/>
  <c r="C165" i="3"/>
  <c r="B103" i="3"/>
  <c r="C156" i="3"/>
  <c r="B94" i="3"/>
  <c r="D115" i="3"/>
  <c r="E116" i="3"/>
  <c r="E165" i="3"/>
  <c r="D182" i="3"/>
  <c r="B117" i="3"/>
  <c r="E88" i="3"/>
  <c r="C183" i="3"/>
  <c r="E82" i="3"/>
  <c r="C99" i="3"/>
  <c r="D118" i="3"/>
  <c r="D166" i="3"/>
  <c r="D159" i="3"/>
  <c r="C107" i="3"/>
  <c r="B159" i="3"/>
  <c r="C157" i="3"/>
  <c r="D99" i="3"/>
  <c r="E87" i="3"/>
  <c r="C118" i="3"/>
  <c r="B140" i="3"/>
  <c r="B87" i="3"/>
  <c r="D92" i="3"/>
  <c r="C122" i="3"/>
  <c r="D108" i="3"/>
  <c r="E145" i="3"/>
  <c r="C101" i="3"/>
  <c r="C84" i="3"/>
  <c r="D85" i="3"/>
  <c r="B139" i="3"/>
  <c r="B113" i="3"/>
  <c r="B146" i="3"/>
  <c r="E83" i="3"/>
  <c r="B84" i="3"/>
  <c r="C83" i="3"/>
  <c r="B101" i="3"/>
  <c r="B114" i="3"/>
  <c r="D91" i="3"/>
  <c r="C120" i="3"/>
  <c r="E158" i="3"/>
  <c r="D135" i="3"/>
  <c r="C86" i="3"/>
  <c r="B92" i="3"/>
  <c r="D142" i="3"/>
  <c r="E109" i="3"/>
  <c r="E105" i="3"/>
  <c r="B183" i="3"/>
  <c r="E137" i="3"/>
  <c r="E168" i="3"/>
  <c r="E122" i="3"/>
  <c r="C164" i="3"/>
  <c r="B76" i="3"/>
  <c r="B155" i="3"/>
  <c r="E93" i="3"/>
  <c r="D96" i="3"/>
  <c r="D143" i="3"/>
  <c r="E102" i="3"/>
  <c r="E142" i="3"/>
  <c r="C85" i="3"/>
  <c r="C110" i="3"/>
  <c r="E164" i="3"/>
  <c r="D155" i="3"/>
  <c r="B161" i="3"/>
  <c r="B112" i="3"/>
  <c r="E162" i="3"/>
  <c r="E107" i="3"/>
  <c r="E144" i="3"/>
  <c r="E161" i="3"/>
  <c r="E99" i="3"/>
  <c r="D139" i="3"/>
  <c r="C90" i="3"/>
  <c r="B115" i="3"/>
  <c r="C93" i="3"/>
  <c r="E90" i="3"/>
  <c r="B158" i="3"/>
  <c r="C143" i="3"/>
  <c r="E95" i="3"/>
  <c r="B98" i="3"/>
  <c r="C87" i="3"/>
  <c r="E85" i="3"/>
  <c r="E96" i="3"/>
  <c r="C75" i="3"/>
  <c r="D122" i="3"/>
  <c r="A181" i="3" l="1"/>
  <c r="D181" i="3"/>
  <c r="D74" i="3"/>
  <c r="A74" i="3"/>
  <c r="C74" i="3"/>
  <c r="C81" i="3"/>
  <c r="A81" i="3"/>
  <c r="D81" i="3"/>
  <c r="D154" i="3"/>
  <c r="A154" i="3"/>
  <c r="D134" i="3"/>
  <c r="A134" i="3"/>
  <c r="C134" i="3"/>
  <c r="C154" i="3"/>
  <c r="C181" i="3"/>
  <c r="U14" i="81" l="1"/>
  <c r="K20" i="76"/>
  <c r="K18" i="76"/>
  <c r="K15" i="76"/>
  <c r="K27" i="76"/>
  <c r="U19" i="81"/>
  <c r="F5" i="3"/>
  <c r="AQ2" i="116" s="1"/>
  <c r="U16" i="81"/>
  <c r="U15" i="81"/>
  <c r="U17" i="81"/>
  <c r="K22" i="76"/>
  <c r="AQ2" i="76" l="1"/>
  <c r="AQ2" i="79"/>
  <c r="AQ2" i="57"/>
  <c r="AQ2" i="49"/>
  <c r="AQ2" i="8"/>
  <c r="AQ2" i="115"/>
  <c r="AQ2" i="70"/>
  <c r="AQ2" i="69"/>
  <c r="AQ2" i="12"/>
  <c r="AQ2" i="62"/>
  <c r="AQ2" i="81"/>
  <c r="AQ2" i="64"/>
  <c r="AQ2" i="63"/>
  <c r="AQ2" i="65"/>
  <c r="AQ2" i="13"/>
  <c r="AQ2" i="71"/>
  <c r="AQ2" i="50"/>
  <c r="AQ2" i="113"/>
  <c r="AQ2" i="80"/>
  <c r="AQ2" i="118"/>
  <c r="AQ2" i="66"/>
  <c r="AQ2" i="117"/>
  <c r="AQ2" i="51"/>
  <c r="AQ2" i="56"/>
  <c r="AQ2" i="78"/>
  <c r="AQ2" i="55"/>
  <c r="AQ2" i="1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<sst xmlns="http://schemas.openxmlformats.org/spreadsheetml/2006/main" count="8260" uniqueCount="2453">
  <si>
    <t>Program</t>
  </si>
  <si>
    <t>Application Name</t>
  </si>
  <si>
    <t>Menu Designation</t>
  </si>
  <si>
    <t>Menu Name</t>
  </si>
  <si>
    <t>M1S1</t>
  </si>
  <si>
    <t>M1S2</t>
  </si>
  <si>
    <t>M1S3</t>
  </si>
  <si>
    <t>M1S4</t>
  </si>
  <si>
    <t>M1S5</t>
  </si>
  <si>
    <t>M1S6</t>
  </si>
  <si>
    <t>M1S7</t>
  </si>
  <si>
    <t>M1S8</t>
  </si>
  <si>
    <t>M2S1</t>
  </si>
  <si>
    <t>M2S2</t>
  </si>
  <si>
    <t>M2S3</t>
  </si>
  <si>
    <t>M2S4</t>
  </si>
  <si>
    <t>M2S5</t>
  </si>
  <si>
    <t>M2S6</t>
  </si>
  <si>
    <t>M2S7</t>
  </si>
  <si>
    <t>M2S8</t>
  </si>
  <si>
    <t>M3S1</t>
  </si>
  <si>
    <t>M3S2</t>
  </si>
  <si>
    <t>M3S3</t>
  </si>
  <si>
    <t>M3S4</t>
  </si>
  <si>
    <t>M3S5</t>
  </si>
  <si>
    <t>M3S6</t>
  </si>
  <si>
    <t>M3S7</t>
  </si>
  <si>
    <t>M3S8</t>
  </si>
  <si>
    <t>M4S1</t>
  </si>
  <si>
    <t>M4S2</t>
  </si>
  <si>
    <t>M4S3</t>
  </si>
  <si>
    <t>M4S4</t>
  </si>
  <si>
    <t>M4S5</t>
  </si>
  <si>
    <t>M4S6</t>
  </si>
  <si>
    <t>M4S7</t>
  </si>
  <si>
    <t>M4S8</t>
  </si>
  <si>
    <t>MAIN1</t>
  </si>
  <si>
    <t>MAIN2</t>
  </si>
  <si>
    <t>M5S1</t>
  </si>
  <si>
    <t>M5S2</t>
  </si>
  <si>
    <t>M5S3</t>
  </si>
  <si>
    <t>M5S4</t>
  </si>
  <si>
    <t>M5S5</t>
  </si>
  <si>
    <t>M5S6</t>
  </si>
  <si>
    <t>M5S7</t>
  </si>
  <si>
    <t>M5S8</t>
  </si>
  <si>
    <t>M6S1</t>
  </si>
  <si>
    <t>M6S2</t>
  </si>
  <si>
    <t>M6S3</t>
  </si>
  <si>
    <t>M6S4</t>
  </si>
  <si>
    <t>M6S5</t>
  </si>
  <si>
    <t>M6S6</t>
  </si>
  <si>
    <t>M6S7</t>
  </si>
  <si>
    <t>M6S8</t>
  </si>
  <si>
    <t>M7S1</t>
  </si>
  <si>
    <t>M7S2</t>
  </si>
  <si>
    <t>M7S3</t>
  </si>
  <si>
    <t>M7S4</t>
  </si>
  <si>
    <t>M7S5</t>
  </si>
  <si>
    <t>M7S6</t>
  </si>
  <si>
    <t>M7S7</t>
  </si>
  <si>
    <t>M7S8</t>
  </si>
  <si>
    <t>MAIN3</t>
  </si>
  <si>
    <t>MAIN4</t>
  </si>
  <si>
    <t>MAIN5</t>
  </si>
  <si>
    <t>MAIN6</t>
  </si>
  <si>
    <t>MAIN7</t>
  </si>
  <si>
    <t>Version</t>
  </si>
  <si>
    <t>Section Incentive</t>
  </si>
  <si>
    <t>Section Cost</t>
  </si>
  <si>
    <t>Section kWh Savings</t>
  </si>
  <si>
    <t>START</t>
  </si>
  <si>
    <t>PROJECT INFORMATION</t>
  </si>
  <si>
    <t>Terms &amp; Conditions</t>
  </si>
  <si>
    <t>Payment Information</t>
  </si>
  <si>
    <t>Project Summary</t>
  </si>
  <si>
    <t>Application Expiration Date:</t>
  </si>
  <si>
    <t>Company and Site Information</t>
  </si>
  <si>
    <t>Title</t>
  </si>
  <si>
    <t>Primary Phone</t>
  </si>
  <si>
    <t>Secondary Phone</t>
  </si>
  <si>
    <t>City</t>
  </si>
  <si>
    <t>State</t>
  </si>
  <si>
    <t>Year Built</t>
  </si>
  <si>
    <t>Square Footage</t>
  </si>
  <si>
    <t># of Floors</t>
  </si>
  <si>
    <t>Mailing Address</t>
  </si>
  <si>
    <t>Payee Company</t>
  </si>
  <si>
    <t>Inefficient Lighting</t>
  </si>
  <si>
    <t>Efficient Lighting</t>
  </si>
  <si>
    <t>Efficient Wattage</t>
  </si>
  <si>
    <t>Quantity</t>
  </si>
  <si>
    <t>Estimated kWh Savings</t>
  </si>
  <si>
    <t>Incentive per Unit</t>
  </si>
  <si>
    <t>Ineff. Wattage</t>
  </si>
  <si>
    <t>Location</t>
  </si>
  <si>
    <t>Annual Hours of Operation</t>
  </si>
  <si>
    <t>Material Cost/Unit</t>
  </si>
  <si>
    <t>Labor Cost/Unit</t>
  </si>
  <si>
    <t xml:space="preserve">Prescriptive Measure </t>
  </si>
  <si>
    <t>Unit of Measure</t>
  </si>
  <si>
    <t>Watts Controlled</t>
  </si>
  <si>
    <t>Inefficient Equipment</t>
  </si>
  <si>
    <t>Inefficient Equipment Description or Condition</t>
  </si>
  <si>
    <t>Installed Location</t>
  </si>
  <si>
    <t>Existing Fixture Type</t>
  </si>
  <si>
    <t>Input Watt</t>
  </si>
  <si>
    <t>New Quantity</t>
  </si>
  <si>
    <t>Incentive Result</t>
  </si>
  <si>
    <t>Total Cost</t>
  </si>
  <si>
    <t>Material</t>
  </si>
  <si>
    <t>Labor</t>
  </si>
  <si>
    <t>Annual kWh/Unit</t>
  </si>
  <si>
    <t>New Fixture Type</t>
  </si>
  <si>
    <t>Description (Brand,Model)</t>
  </si>
  <si>
    <t>Efficient Brand and Model</t>
  </si>
  <si>
    <t>Annual kWh Savings</t>
  </si>
  <si>
    <t>Company Name</t>
  </si>
  <si>
    <t>Address</t>
  </si>
  <si>
    <t>AUTHORIZATION FOR RELEASE OF CUSTOMER ACCOUNT INFORMATION</t>
  </si>
  <si>
    <t>AGREEMENT</t>
  </si>
  <si>
    <t>Offer Form</t>
  </si>
  <si>
    <t>Completion Form</t>
  </si>
  <si>
    <t>Signature</t>
  </si>
  <si>
    <t>Submit Application</t>
  </si>
  <si>
    <t>Incentive Offer</t>
  </si>
  <si>
    <t>Applicant Information</t>
  </si>
  <si>
    <t>Customer Project Name/ID</t>
  </si>
  <si>
    <t>Contact</t>
  </si>
  <si>
    <t>E-mail</t>
  </si>
  <si>
    <t>Zip</t>
  </si>
  <si>
    <t>Alternate Phone</t>
  </si>
  <si>
    <t>Site Information</t>
  </si>
  <si>
    <t>Site Installation Address</t>
  </si>
  <si>
    <t>Trade Ally/Vendor Information</t>
  </si>
  <si>
    <t>Company</t>
  </si>
  <si>
    <t>Incentive</t>
  </si>
  <si>
    <t>Total</t>
  </si>
  <si>
    <t>Date</t>
  </si>
  <si>
    <t>Payee Email</t>
  </si>
  <si>
    <t>Payee Phone</t>
  </si>
  <si>
    <t>Measure Number</t>
  </si>
  <si>
    <t>Energy Type</t>
  </si>
  <si>
    <t>Measure Group</t>
  </si>
  <si>
    <t>Eff Equip Descr</t>
  </si>
  <si>
    <t>Base Equip Descr</t>
  </si>
  <si>
    <t>Unit</t>
  </si>
  <si>
    <t>Inc Rate Unit</t>
  </si>
  <si>
    <t>Measure Life</t>
  </si>
  <si>
    <t>EUL</t>
  </si>
  <si>
    <t>Savings per Unit kWh</t>
  </si>
  <si>
    <t>Incremental Cost</t>
  </si>
  <si>
    <t>SUTO</t>
  </si>
  <si>
    <t>Source</t>
  </si>
  <si>
    <t>Electric</t>
  </si>
  <si>
    <t>Lighting</t>
  </si>
  <si>
    <t>LED</t>
  </si>
  <si>
    <t>Fixture</t>
  </si>
  <si>
    <t>T5</t>
  </si>
  <si>
    <t>T8</t>
  </si>
  <si>
    <t>HVAC</t>
  </si>
  <si>
    <t>Heat Pump</t>
  </si>
  <si>
    <t>Refrigeration</t>
  </si>
  <si>
    <t>Other</t>
  </si>
  <si>
    <t>Compressed Air</t>
  </si>
  <si>
    <t>NA</t>
  </si>
  <si>
    <t>Gas</t>
  </si>
  <si>
    <t>Sq Ft</t>
  </si>
  <si>
    <t>T12</t>
  </si>
  <si>
    <t>Base Desc 1</t>
  </si>
  <si>
    <t>Base Desc 2</t>
  </si>
  <si>
    <t>Eff Desc 1</t>
  </si>
  <si>
    <t>Eff Desc 2</t>
  </si>
  <si>
    <t>Base Watt</t>
  </si>
  <si>
    <t>Eff Watt</t>
  </si>
  <si>
    <t>Change Log</t>
  </si>
  <si>
    <t>Changed By:</t>
  </si>
  <si>
    <t>Version:</t>
  </si>
  <si>
    <t>Date Applied</t>
  </si>
  <si>
    <t>Action Taken</t>
  </si>
  <si>
    <t>T12 - U-Tube - 1 Lamp</t>
  </si>
  <si>
    <t>T12 - U-Tube - 2 Lamp</t>
  </si>
  <si>
    <t>T8 - 4ft - 1 Lamp - 32W</t>
  </si>
  <si>
    <t>T8 - 4ft - 2 Lamp - 32W</t>
  </si>
  <si>
    <t>T8 - 4ft - 3 Lamp - 32W</t>
  </si>
  <si>
    <t>T8 - 4ft - 4 Lamp - 32W</t>
  </si>
  <si>
    <t>Base Watt 1</t>
  </si>
  <si>
    <t>Eff Watt 1</t>
  </si>
  <si>
    <t>Eff Watt 2</t>
  </si>
  <si>
    <t>T5 - 4ft - 1 Lamp - 54W - HO</t>
  </si>
  <si>
    <t>T5 - 4ft - 2 Lamp - 54W - HO</t>
  </si>
  <si>
    <t>T5 - 4ft - 4 Lamp - 54W - HO</t>
  </si>
  <si>
    <t>T5 - 4ft - 6 Lamp - 54W - HO</t>
  </si>
  <si>
    <t>T5 - 4ft - 8 Lamp - 54W - HO</t>
  </si>
  <si>
    <t>T5 - 4ft - 10 Lamp - 54W - HO</t>
  </si>
  <si>
    <t>New Construction</t>
  </si>
  <si>
    <t>Measure Cost</t>
  </si>
  <si>
    <t>kW Savings</t>
  </si>
  <si>
    <t>Section Therm Savings</t>
  </si>
  <si>
    <t>Efficient kWh</t>
  </si>
  <si>
    <t>Year</t>
  </si>
  <si>
    <t>Avoided Capacity Cost $/kW</t>
  </si>
  <si>
    <t>Avoided T&amp;D $/kW</t>
  </si>
  <si>
    <t>Cost Benefit Data</t>
  </si>
  <si>
    <t>Electric and Gas Avoided Cost</t>
  </si>
  <si>
    <t>Electricity Losses</t>
  </si>
  <si>
    <t>AT&amp;D Factor</t>
  </si>
  <si>
    <t>Gas AEC Factor</t>
  </si>
  <si>
    <t>Elec. AEC Factor</t>
  </si>
  <si>
    <t>Elec. ACC Factor</t>
  </si>
  <si>
    <t>Gas Loss</t>
  </si>
  <si>
    <t>Year Number</t>
  </si>
  <si>
    <t>Gas Discount Rate</t>
  </si>
  <si>
    <t>Electricity Discount Rate</t>
  </si>
  <si>
    <t>NPV AEC $/kWh</t>
  </si>
  <si>
    <t>NPV ACC+T&amp;D $/kW</t>
  </si>
  <si>
    <t>NPV GAEC $/therm</t>
  </si>
  <si>
    <t>(1+GLOSS)*(THERM*NPVAEC)/PROJCOST</t>
  </si>
  <si>
    <t>Existing kWh</t>
  </si>
  <si>
    <t>CB Ratio</t>
  </si>
  <si>
    <t>Base Watt 2</t>
  </si>
  <si>
    <t>Incentive Type</t>
  </si>
  <si>
    <t>RCx</t>
  </si>
  <si>
    <t>CMLIGHT</t>
  </si>
  <si>
    <t>CMNONLIGHT</t>
  </si>
  <si>
    <t>NCLIGHT</t>
  </si>
  <si>
    <t>RCX</t>
  </si>
  <si>
    <t>NCNONLIGHT</t>
  </si>
  <si>
    <t>Category 1</t>
  </si>
  <si>
    <t>Category 2</t>
  </si>
  <si>
    <t>Process</t>
  </si>
  <si>
    <t>Custom</t>
  </si>
  <si>
    <t>Water Heating</t>
  </si>
  <si>
    <t>New Equipment Detail</t>
  </si>
  <si>
    <t>Terms and Conditions for Payment of Incentive</t>
  </si>
  <si>
    <t>Inspection Form</t>
  </si>
  <si>
    <t>Email</t>
  </si>
  <si>
    <t>Company Address</t>
  </si>
  <si>
    <t>M02S02F01</t>
  </si>
  <si>
    <t>kWh</t>
  </si>
  <si>
    <t>kW</t>
  </si>
  <si>
    <t>Cost</t>
  </si>
  <si>
    <t>Total Prescriptive Gas</t>
  </si>
  <si>
    <t>Total Prescriptive Electric</t>
  </si>
  <si>
    <t>Total Custom Electric</t>
  </si>
  <si>
    <t>Total Custom Gas</t>
  </si>
  <si>
    <t>Total ALL</t>
  </si>
  <si>
    <t>kWh Status</t>
  </si>
  <si>
    <t>Incentive Status</t>
  </si>
  <si>
    <t>Measures</t>
  </si>
  <si>
    <t>M02S03F01</t>
  </si>
  <si>
    <t>M02S02F02</t>
  </si>
  <si>
    <t>M02S02F03</t>
  </si>
  <si>
    <t>M02S02F04</t>
  </si>
  <si>
    <t>M02S02F05</t>
  </si>
  <si>
    <t>M02S02F06</t>
  </si>
  <si>
    <t>M02S02F07</t>
  </si>
  <si>
    <t>M02S02F08</t>
  </si>
  <si>
    <t>M02S02F09</t>
  </si>
  <si>
    <t>M02S02F10</t>
  </si>
  <si>
    <t>M02S02F11</t>
  </si>
  <si>
    <t>M02S02F12</t>
  </si>
  <si>
    <t>M02S02F13</t>
  </si>
  <si>
    <t>M02S02F14</t>
  </si>
  <si>
    <t>M02S02F15</t>
  </si>
  <si>
    <t>M02S02F16</t>
  </si>
  <si>
    <t>M02S02F17</t>
  </si>
  <si>
    <t>M02S02F18</t>
  </si>
  <si>
    <t>M02S02F19</t>
  </si>
  <si>
    <t>M02S02F20</t>
  </si>
  <si>
    <t>M02S02F21</t>
  </si>
  <si>
    <t>M02S02F22</t>
  </si>
  <si>
    <t>M02S02F23</t>
  </si>
  <si>
    <t>M02S02F24</t>
  </si>
  <si>
    <t>M02S02F25</t>
  </si>
  <si>
    <t>M02S02F26</t>
  </si>
  <si>
    <t>M02S02F27</t>
  </si>
  <si>
    <t>M02S02F28</t>
  </si>
  <si>
    <t>M02S02F29</t>
  </si>
  <si>
    <t>M02S02F30</t>
  </si>
  <si>
    <t>M02S02F31</t>
  </si>
  <si>
    <t>M02S02F32</t>
  </si>
  <si>
    <t>M02S02F33</t>
  </si>
  <si>
    <t>M02S02F34</t>
  </si>
  <si>
    <t>M02S02F36</t>
  </si>
  <si>
    <t>M02S02F37</t>
  </si>
  <si>
    <t>M02S02F38</t>
  </si>
  <si>
    <t>M02S02F39</t>
  </si>
  <si>
    <t>M02S02F40</t>
  </si>
  <si>
    <t>M02S02F45</t>
  </si>
  <si>
    <t>M02S03F02</t>
  </si>
  <si>
    <t>M02S03F03</t>
  </si>
  <si>
    <t>M02S03F04</t>
  </si>
  <si>
    <t>M02S03F05</t>
  </si>
  <si>
    <t>M02S03F06</t>
  </si>
  <si>
    <t>M02S03F07</t>
  </si>
  <si>
    <t>M02S03F08</t>
  </si>
  <si>
    <t>M02S03F09</t>
  </si>
  <si>
    <t>M02S03F10</t>
  </si>
  <si>
    <t>M02S03F11</t>
  </si>
  <si>
    <t>M02S03F12</t>
  </si>
  <si>
    <t>M02S04F01</t>
  </si>
  <si>
    <t>M02S04F02</t>
  </si>
  <si>
    <t>M02S04F03</t>
  </si>
  <si>
    <t>M02S04F04</t>
  </si>
  <si>
    <t>M02S04F05</t>
  </si>
  <si>
    <t>M02S04F06</t>
  </si>
  <si>
    <t>M02S04F07</t>
  </si>
  <si>
    <t>M02S04F08</t>
  </si>
  <si>
    <t>M02S04F09</t>
  </si>
  <si>
    <t>M02S04F10</t>
  </si>
  <si>
    <t>M02S04F11</t>
  </si>
  <si>
    <t>M02S04F12</t>
  </si>
  <si>
    <t>Building Type</t>
  </si>
  <si>
    <t>Automotive Services</t>
  </si>
  <si>
    <t>Education</t>
  </si>
  <si>
    <t>Faith-Based</t>
  </si>
  <si>
    <t>Food &amp; Beverage Service</t>
  </si>
  <si>
    <t>Gas Station</t>
  </si>
  <si>
    <t>Government</t>
  </si>
  <si>
    <t>Grocery and Convenience</t>
  </si>
  <si>
    <t>Healthcare</t>
  </si>
  <si>
    <t>Industrial</t>
  </si>
  <si>
    <t>IT/Data Center</t>
  </si>
  <si>
    <t>Lodging</t>
  </si>
  <si>
    <t>Office</t>
  </si>
  <si>
    <t>Parking Garage</t>
  </si>
  <si>
    <t>Retail</t>
  </si>
  <si>
    <t>Warehouse</t>
  </si>
  <si>
    <t>States</t>
  </si>
  <si>
    <t>Alabama</t>
  </si>
  <si>
    <t>AL</t>
  </si>
  <si>
    <t>Montana</t>
  </si>
  <si>
    <t>MT</t>
  </si>
  <si>
    <t>Alaska</t>
  </si>
  <si>
    <t>AK</t>
  </si>
  <si>
    <t>Nebraska</t>
  </si>
  <si>
    <t>NE</t>
  </si>
  <si>
    <t>Arizona</t>
  </si>
  <si>
    <t>AZ</t>
  </si>
  <si>
    <t>Nevada</t>
  </si>
  <si>
    <t>NV</t>
  </si>
  <si>
    <t>Arkansas</t>
  </si>
  <si>
    <t>AR</t>
  </si>
  <si>
    <t>New Hampshire</t>
  </si>
  <si>
    <t>NH</t>
  </si>
  <si>
    <t>California</t>
  </si>
  <si>
    <t>CA</t>
  </si>
  <si>
    <t>New Jersey</t>
  </si>
  <si>
    <t>NJ</t>
  </si>
  <si>
    <t>Colorado</t>
  </si>
  <si>
    <t>CO</t>
  </si>
  <si>
    <t>New Mexico</t>
  </si>
  <si>
    <t>NM</t>
  </si>
  <si>
    <t>Connecticut</t>
  </si>
  <si>
    <t>CT</t>
  </si>
  <si>
    <t>New York</t>
  </si>
  <si>
    <t>NY</t>
  </si>
  <si>
    <t>Delaware</t>
  </si>
  <si>
    <t>DE</t>
  </si>
  <si>
    <t>North Carolina</t>
  </si>
  <si>
    <t>NC</t>
  </si>
  <si>
    <t>Florida</t>
  </si>
  <si>
    <t>FL</t>
  </si>
  <si>
    <t>North Dakota</t>
  </si>
  <si>
    <t>ND</t>
  </si>
  <si>
    <t>Georgia</t>
  </si>
  <si>
    <t>GA</t>
  </si>
  <si>
    <t>Ohio</t>
  </si>
  <si>
    <t>OH</t>
  </si>
  <si>
    <t>Hawaii</t>
  </si>
  <si>
    <t>HI</t>
  </si>
  <si>
    <t>Oklahoma</t>
  </si>
  <si>
    <t>OK</t>
  </si>
  <si>
    <t>Idaho</t>
  </si>
  <si>
    <t>ID</t>
  </si>
  <si>
    <t>Oregon</t>
  </si>
  <si>
    <t>OR</t>
  </si>
  <si>
    <t>Illinois</t>
  </si>
  <si>
    <t>IL</t>
  </si>
  <si>
    <t>Pennsylvania</t>
  </si>
  <si>
    <t>PA</t>
  </si>
  <si>
    <t>Indiana</t>
  </si>
  <si>
    <t>IN</t>
  </si>
  <si>
    <t>Rhode Island</t>
  </si>
  <si>
    <t>RI</t>
  </si>
  <si>
    <t>Iowa</t>
  </si>
  <si>
    <t>IA</t>
  </si>
  <si>
    <t>South Carolina</t>
  </si>
  <si>
    <t>SC</t>
  </si>
  <si>
    <t>Kansas</t>
  </si>
  <si>
    <t>KS</t>
  </si>
  <si>
    <t>South Dakota</t>
  </si>
  <si>
    <t>SD</t>
  </si>
  <si>
    <t>Kentucky</t>
  </si>
  <si>
    <t>KY</t>
  </si>
  <si>
    <t>Tennessee</t>
  </si>
  <si>
    <t>TN</t>
  </si>
  <si>
    <t>Louisiana</t>
  </si>
  <si>
    <t>LA</t>
  </si>
  <si>
    <t>Texas</t>
  </si>
  <si>
    <t>TX</t>
  </si>
  <si>
    <t>Maine</t>
  </si>
  <si>
    <t>ME</t>
  </si>
  <si>
    <t>Utah</t>
  </si>
  <si>
    <t>UT</t>
  </si>
  <si>
    <t>Maryland</t>
  </si>
  <si>
    <t>MD</t>
  </si>
  <si>
    <t>Vermont</t>
  </si>
  <si>
    <t>VT</t>
  </si>
  <si>
    <t>Massachusetts</t>
  </si>
  <si>
    <t>MA</t>
  </si>
  <si>
    <t>Virginia</t>
  </si>
  <si>
    <t>VA</t>
  </si>
  <si>
    <t>Michigan</t>
  </si>
  <si>
    <t>MI</t>
  </si>
  <si>
    <t>Washington</t>
  </si>
  <si>
    <t>WA</t>
  </si>
  <si>
    <t>Minnesota</t>
  </si>
  <si>
    <t>MN</t>
  </si>
  <si>
    <t>West Virginia</t>
  </si>
  <si>
    <t>WV</t>
  </si>
  <si>
    <t>Mississippi</t>
  </si>
  <si>
    <t>MS</t>
  </si>
  <si>
    <t>Wisconsin</t>
  </si>
  <si>
    <t>WI</t>
  </si>
  <si>
    <t>Missouri</t>
  </si>
  <si>
    <t>MO</t>
  </si>
  <si>
    <t>Wyoming</t>
  </si>
  <si>
    <t>WY</t>
  </si>
  <si>
    <t>Abbrev</t>
  </si>
  <si>
    <t>Space Conditioning</t>
  </si>
  <si>
    <t>Natural Gas</t>
  </si>
  <si>
    <t>Oil</t>
  </si>
  <si>
    <t>AC with Natural Gas Heat</t>
  </si>
  <si>
    <t>AC with Electric Heat</t>
  </si>
  <si>
    <t>Electric Heat Only</t>
  </si>
  <si>
    <t>Natural Gas Heat Only</t>
  </si>
  <si>
    <t>Multiplier</t>
  </si>
  <si>
    <t>Contractor-Installed</t>
  </si>
  <si>
    <t>Self-Installed</t>
  </si>
  <si>
    <t>Installer</t>
  </si>
  <si>
    <t>First</t>
  </si>
  <si>
    <t>Last</t>
  </si>
  <si>
    <t>Site</t>
  </si>
  <si>
    <t>Terms</t>
  </si>
  <si>
    <t>Payment to</t>
  </si>
  <si>
    <t>Tax Entity</t>
  </si>
  <si>
    <t>-</t>
  </si>
  <si>
    <t>M02S04F12.1</t>
  </si>
  <si>
    <t xml:space="preserve">Please fill out the company information below. For the purposes of this application "Company" is the headquarters or primary office that is responsible for a given site(s) where the project is being implemented.  </t>
  </si>
  <si>
    <t>Please fill out the site information below. If there is not a higher business entity than the site where the project is being performed, then "Company" and "Site" are the same.</t>
  </si>
  <si>
    <t>Please enter the Payee Information below. The payee information may be autofilled based on your selection, but you can overwrite the data if necessary.</t>
  </si>
  <si>
    <t>Please review application information and proceed with submission. You can click on the Progress Checklist headings to jump to section.</t>
  </si>
  <si>
    <t>1. Application Completion Progress Checklist</t>
  </si>
  <si>
    <t>2. Application Submittal Attachment Steps</t>
  </si>
  <si>
    <t>3. Submittal and Next Steps</t>
  </si>
  <si>
    <t>Please feel free to contact us with any questions about this project or any other project. (Reference our contact information below).</t>
  </si>
  <si>
    <t>a.</t>
  </si>
  <si>
    <t>b.</t>
  </si>
  <si>
    <t>c.</t>
  </si>
  <si>
    <t>d.</t>
  </si>
  <si>
    <t>e.</t>
  </si>
  <si>
    <t>Save this application with an unique file name.</t>
  </si>
  <si>
    <t>Gather all required documents to submit, such as</t>
  </si>
  <si>
    <t>Corporation</t>
  </si>
  <si>
    <t>Exempt</t>
  </si>
  <si>
    <t>LLC</t>
  </si>
  <si>
    <t>Individual/Sole Proprietor</t>
  </si>
  <si>
    <t>Partnership, LLP</t>
  </si>
  <si>
    <t>Therm</t>
  </si>
  <si>
    <t>Total Incentive</t>
  </si>
  <si>
    <t>Project Status</t>
  </si>
  <si>
    <t>Therm Status</t>
  </si>
  <si>
    <t>Progress</t>
  </si>
  <si>
    <t>Required</t>
  </si>
  <si>
    <t>Measure Data</t>
  </si>
  <si>
    <t>M03S01-M03S05</t>
  </si>
  <si>
    <t>M03S06-M03S08</t>
  </si>
  <si>
    <t>M04S01-M04S02</t>
  </si>
  <si>
    <t>M04S04</t>
  </si>
  <si>
    <t>Progress Status</t>
  </si>
  <si>
    <t>M05S02F01</t>
  </si>
  <si>
    <t>M05S02F02</t>
  </si>
  <si>
    <t>M02S04TB1</t>
  </si>
  <si>
    <t>Payment Agreement Checkbox 1*</t>
  </si>
  <si>
    <t>App Version</t>
  </si>
  <si>
    <t>Incentive Total</t>
  </si>
  <si>
    <t>Engineer</t>
  </si>
  <si>
    <t>Status</t>
  </si>
  <si>
    <t>Review Date</t>
  </si>
  <si>
    <t>Inspection Date</t>
  </si>
  <si>
    <t>Primary Contact / Site Contact</t>
  </si>
  <si>
    <t>Customer Contact / Company Contact</t>
  </si>
  <si>
    <t>Trade Ally Contact / Contractor Contact</t>
  </si>
  <si>
    <t>Application Info</t>
  </si>
  <si>
    <t>Customer Name</t>
  </si>
  <si>
    <t>LMCapture ID</t>
  </si>
  <si>
    <t>Site Address</t>
  </si>
  <si>
    <t>City, State, Zip</t>
  </si>
  <si>
    <t>Phone 1/Phone 2</t>
  </si>
  <si>
    <t>Propane</t>
  </si>
  <si>
    <t>Steam</t>
  </si>
  <si>
    <t>Bldg Heat Source</t>
  </si>
  <si>
    <t>Water Heat Source</t>
  </si>
  <si>
    <t>Owner/Tenant</t>
  </si>
  <si>
    <t>Annual Hrs/Op</t>
  </si>
  <si>
    <t>Contact Name</t>
  </si>
  <si>
    <t>Notes</t>
  </si>
  <si>
    <t>Payee Information</t>
  </si>
  <si>
    <t>Payee Name</t>
  </si>
  <si>
    <t>Payee Address</t>
  </si>
  <si>
    <t>Tax ID</t>
  </si>
  <si>
    <t>Account Name</t>
  </si>
  <si>
    <t>Project Description</t>
  </si>
  <si>
    <t>Inspection Report</t>
  </si>
  <si>
    <t>Inspector Name</t>
  </si>
  <si>
    <t>Inspection Checklist</t>
  </si>
  <si>
    <t>Inspection Info</t>
  </si>
  <si>
    <t>Inspection Type</t>
  </si>
  <si>
    <t>Action items prior to site inspection</t>
  </si>
  <si>
    <t>(Pass or Fail)</t>
  </si>
  <si>
    <t>Result</t>
  </si>
  <si>
    <t>Review record wall, closed activities, and emails for additional project information to note</t>
  </si>
  <si>
    <t>Action items after site inspection</t>
  </si>
  <si>
    <t>Complete this inspection report form</t>
  </si>
  <si>
    <t>Coordinate with involved parties for an inspection, note scheduled date on the project record wall</t>
  </si>
  <si>
    <r>
      <t xml:space="preserve">Review project </t>
    </r>
    <r>
      <rPr>
        <b/>
        <i/>
        <sz val="10"/>
        <color theme="1"/>
        <rFont val="Arial"/>
        <family val="2"/>
      </rPr>
      <t>baseline</t>
    </r>
    <r>
      <rPr>
        <i/>
        <sz val="10"/>
        <color theme="1"/>
        <rFont val="Arial"/>
        <family val="2"/>
      </rPr>
      <t xml:space="preserve"> equipment, quantity, location, and hours of operation</t>
    </r>
  </si>
  <si>
    <r>
      <t xml:space="preserve">Review project </t>
    </r>
    <r>
      <rPr>
        <b/>
        <i/>
        <sz val="10"/>
        <color theme="1"/>
        <rFont val="Arial"/>
        <family val="2"/>
      </rPr>
      <t>efficient</t>
    </r>
    <r>
      <rPr>
        <i/>
        <sz val="10"/>
        <color theme="1"/>
        <rFont val="Arial"/>
        <family val="2"/>
      </rPr>
      <t xml:space="preserve"> equipment, quantity, location, and hours of operation</t>
    </r>
  </si>
  <si>
    <t>Upload photos and additional information into LM-Captures and the project folder</t>
  </si>
  <si>
    <t xml:space="preserve">Complete LM-Captures Inspection fields </t>
  </si>
  <si>
    <t>Additional Information</t>
  </si>
  <si>
    <t>Comments:</t>
  </si>
  <si>
    <t>Potential Future Projects:</t>
  </si>
  <si>
    <t>Report Completion Date</t>
  </si>
  <si>
    <t>Use the following form to complete your inspection report.</t>
  </si>
  <si>
    <t>ProjectID</t>
  </si>
  <si>
    <t>MeasureCode</t>
  </si>
  <si>
    <t>UploadID</t>
  </si>
  <si>
    <t>CostBenefit</t>
  </si>
  <si>
    <t>PayeeCompany</t>
  </si>
  <si>
    <t>PayeeAttnTo</t>
  </si>
  <si>
    <t>PayeeAddress1</t>
  </si>
  <si>
    <t>PayeeCity</t>
  </si>
  <si>
    <t>PayeeState</t>
  </si>
  <si>
    <t>PayeeZipCode</t>
  </si>
  <si>
    <t>PayeePhone</t>
  </si>
  <si>
    <t>LineNumber</t>
  </si>
  <si>
    <t>Follow up and record activities if applicable</t>
  </si>
  <si>
    <t>Account #</t>
  </si>
  <si>
    <t>PrimaryContactFirst</t>
  </si>
  <si>
    <t>PrimaryContactLast</t>
  </si>
  <si>
    <t>PrimaryTitle</t>
  </si>
  <si>
    <t>PrimaryCompany</t>
  </si>
  <si>
    <t>PrimaryPhone</t>
  </si>
  <si>
    <t>PrimaryEmail</t>
  </si>
  <si>
    <t>PrimaryAddress</t>
  </si>
  <si>
    <t>PrimaryCity</t>
  </si>
  <si>
    <t>PrimaryState</t>
  </si>
  <si>
    <t>PrimaryZip</t>
  </si>
  <si>
    <t>CustomerContactFirst</t>
  </si>
  <si>
    <t>CustomerContactLast</t>
  </si>
  <si>
    <t>CustomerTitle</t>
  </si>
  <si>
    <t>CustomerCompany</t>
  </si>
  <si>
    <t>CustomerPhone</t>
  </si>
  <si>
    <t>CustomerEmail</t>
  </si>
  <si>
    <t>CustomerAddress</t>
  </si>
  <si>
    <t>CustomerCity</t>
  </si>
  <si>
    <t>CustomerState</t>
  </si>
  <si>
    <t>CustomerZip</t>
  </si>
  <si>
    <t>TradeAllyContactFirst</t>
  </si>
  <si>
    <t>TradeAllyContactLast</t>
  </si>
  <si>
    <t>TradeAllyTitle</t>
  </si>
  <si>
    <t>TradeAllyCompany</t>
  </si>
  <si>
    <t>TradeAllyPhone</t>
  </si>
  <si>
    <t>TradeAllyEmail</t>
  </si>
  <si>
    <t>TradeAllyAddress</t>
  </si>
  <si>
    <t>TradeAllyCity</t>
  </si>
  <si>
    <t>TradeAllyState</t>
  </si>
  <si>
    <t>TradeAllyZip</t>
  </si>
  <si>
    <t>CUSTOM MEASURES INPUT</t>
  </si>
  <si>
    <t>Payback</t>
  </si>
  <si>
    <t>Welcome</t>
  </si>
  <si>
    <t>2 ft</t>
  </si>
  <si>
    <t>Measure Subgroup 1</t>
  </si>
  <si>
    <t>Measure Subgroup 2</t>
  </si>
  <si>
    <t>1 Lamp</t>
  </si>
  <si>
    <t>T12 VHO - 8 ft - 4 Lamp</t>
  </si>
  <si>
    <t>Fixture Quantity</t>
  </si>
  <si>
    <t>Pulse Start MH - 200 Watt</t>
  </si>
  <si>
    <t>Order</t>
  </si>
  <si>
    <t>Incandescent (Please Describe)</t>
  </si>
  <si>
    <t>CFL (Please Describe)</t>
  </si>
  <si>
    <t>T12 - 2 ft - 1 Lamp</t>
  </si>
  <si>
    <t>T12 - 2 ft - 2 Lamp</t>
  </si>
  <si>
    <t>T12 - 3 ft - 1 Lamp</t>
  </si>
  <si>
    <t>T12 - 3 ft - 2 Lamp</t>
  </si>
  <si>
    <t>T12 - 4 ft - 1 Lamp</t>
  </si>
  <si>
    <t>T12 - 4 ft - 2 Lamp</t>
  </si>
  <si>
    <t>T12 - 4 ft - 3 Lamp</t>
  </si>
  <si>
    <t>T12 - 4 ft - 4 Lamp</t>
  </si>
  <si>
    <t>T12 - 8 ft - 1 Lamp</t>
  </si>
  <si>
    <t>T12 - 8 ft - 2 Lamp</t>
  </si>
  <si>
    <t>T12 - 8 ft - 3 Lamp</t>
  </si>
  <si>
    <t>T12 - 8 ft - 4 Lamp</t>
  </si>
  <si>
    <t>T12 HO - 8 ft - 1 Lamp</t>
  </si>
  <si>
    <t>T12 HO - 8 ft - 2 Lamp</t>
  </si>
  <si>
    <t>T12 HO - 8 ft - 3 Lamp</t>
  </si>
  <si>
    <t>T12 HO - 8 ft - 4 Lamp</t>
  </si>
  <si>
    <t>T12 VHO - 8 ft - 1 Lamp</t>
  </si>
  <si>
    <t>T12 VHO - 8 ft - 2 Lamp</t>
  </si>
  <si>
    <t>T12 VHO - 8 ft - 3 Lamp</t>
  </si>
  <si>
    <t>T8 - 2 ft - 1 Lamp</t>
  </si>
  <si>
    <t>T8 - 2 ft - 2 Lamp</t>
  </si>
  <si>
    <t>T8 - 3 ft - 1 Lamp</t>
  </si>
  <si>
    <t>T8 - 3 ft - 2 Lamp</t>
  </si>
  <si>
    <t>T8 - 4 ft - 1 Lamp</t>
  </si>
  <si>
    <t>T8 - 4 ft - 2 Lamp</t>
  </si>
  <si>
    <t>T8 - 4 ft - 3 Lamp</t>
  </si>
  <si>
    <t>T8 - 4 ft - 4 Lamp</t>
  </si>
  <si>
    <t>T8 - 8 ft - 1 Lamp</t>
  </si>
  <si>
    <t>T8 - 8 ft - 2 Lamp</t>
  </si>
  <si>
    <t>T8 - 8 ft - 3 Lamp</t>
  </si>
  <si>
    <t>T8 - 8 ft - 4 Lamp</t>
  </si>
  <si>
    <t>T8 HO - 8 ft - 1 Lamp</t>
  </si>
  <si>
    <t>T8 HO - 8 ft - 2 Lamp</t>
  </si>
  <si>
    <t>T8 HO - 8 ft - 3 Lamp</t>
  </si>
  <si>
    <t>T8 HO - 8 ft - 4 Lamp</t>
  </si>
  <si>
    <t>T8 - U-Tube - 1 Lamp</t>
  </si>
  <si>
    <t>T8 - U-Tube - 2 Lamp</t>
  </si>
  <si>
    <t>MH - 70 Watt</t>
  </si>
  <si>
    <t>MH - 100 Watt</t>
  </si>
  <si>
    <t>MH - 175 Watt</t>
  </si>
  <si>
    <t>MH - 250 Watt</t>
  </si>
  <si>
    <t>MH - 400 Watt</t>
  </si>
  <si>
    <t>MH - 1000 Watt</t>
  </si>
  <si>
    <t>Pulse Start MH - 320 Watt</t>
  </si>
  <si>
    <t>Pulse Start MH - 400 Watt</t>
  </si>
  <si>
    <t>HPS - 35 Watt</t>
  </si>
  <si>
    <t>HPS - 50 Watt</t>
  </si>
  <si>
    <t>HPS - 70 watt</t>
  </si>
  <si>
    <t>HPS - 100 Watt</t>
  </si>
  <si>
    <t>HPS - 150 Watt</t>
  </si>
  <si>
    <t>HPS - 200 Watt</t>
  </si>
  <si>
    <t>HPS - 250 Watt</t>
  </si>
  <si>
    <t>HPS - 400 Watt</t>
  </si>
  <si>
    <t>HPS - 1000 Watt</t>
  </si>
  <si>
    <t>MV - 40 Watt</t>
  </si>
  <si>
    <t>MV - 50 Watt</t>
  </si>
  <si>
    <t>MV - 75 Watt</t>
  </si>
  <si>
    <t>MV - 100 Watt</t>
  </si>
  <si>
    <t>MV - 175 Watt</t>
  </si>
  <si>
    <t>MV - 250 Watt</t>
  </si>
  <si>
    <t>MV - 400 Watt</t>
  </si>
  <si>
    <t>Incandescent Lamp</t>
  </si>
  <si>
    <t>CFL Lamp</t>
  </si>
  <si>
    <t>2 Lamp</t>
  </si>
  <si>
    <t>3 ft</t>
  </si>
  <si>
    <t>4 ft</t>
  </si>
  <si>
    <t>3 Lamp</t>
  </si>
  <si>
    <t>4 Lamp</t>
  </si>
  <si>
    <t>8 ft</t>
  </si>
  <si>
    <t>T12 HO</t>
  </si>
  <si>
    <t>T12 VHO</t>
  </si>
  <si>
    <t>U-Tube</t>
  </si>
  <si>
    <t>T8 HO</t>
  </si>
  <si>
    <t>6 Lamp</t>
  </si>
  <si>
    <t>8 Lamp</t>
  </si>
  <si>
    <t>10 Lamp</t>
  </si>
  <si>
    <t>Metal Halide</t>
  </si>
  <si>
    <t>70 Watt</t>
  </si>
  <si>
    <t>100 Watt</t>
  </si>
  <si>
    <t>175 Watt</t>
  </si>
  <si>
    <t>250 Watt</t>
  </si>
  <si>
    <t>400 Watt</t>
  </si>
  <si>
    <t>1000 Watt</t>
  </si>
  <si>
    <t>Pulse Start Metal Halide</t>
  </si>
  <si>
    <t>200 Watt</t>
  </si>
  <si>
    <t>320 Watt</t>
  </si>
  <si>
    <t>High Pressure Sodium</t>
  </si>
  <si>
    <t>35 Watt</t>
  </si>
  <si>
    <t>50 Watt</t>
  </si>
  <si>
    <t>70 watt</t>
  </si>
  <si>
    <t>150 Watt</t>
  </si>
  <si>
    <t>Mercury Vapor</t>
  </si>
  <si>
    <t>40 Watt</t>
  </si>
  <si>
    <t>75 Watt</t>
  </si>
  <si>
    <t>End Use Category</t>
  </si>
  <si>
    <t>Units</t>
  </si>
  <si>
    <t>Invalid</t>
  </si>
  <si>
    <t>T8 - 2ft - 1 Lamp - 18W</t>
  </si>
  <si>
    <t>T8 - 2ft - 2 Lamp - 18W</t>
  </si>
  <si>
    <t>T8 - 3ft - 1 Lamp - 28W</t>
  </si>
  <si>
    <t>T8 - 3ft - 2 Lamp - 28W</t>
  </si>
  <si>
    <t>T8 - 8ft - 1 Lamp - 59W</t>
  </si>
  <si>
    <t>T8 - 8ft - 2 Lamp - 59W</t>
  </si>
  <si>
    <t>T8 - 8ft - 3 Lamp - 59W</t>
  </si>
  <si>
    <t>T8 - 8ft - 4 Lamp - 59W</t>
  </si>
  <si>
    <t>T8 - 8ft - 1 Lamp - 86W - HO</t>
  </si>
  <si>
    <t>T8 - 8ft - 2 Lamp - 86W - HO</t>
  </si>
  <si>
    <t>T8 - 8ft - 3 Lamp - 86W - HO</t>
  </si>
  <si>
    <t>T8 - 8ft - 4 Lamp - 86W - HO</t>
  </si>
  <si>
    <t>T8 - U-Tube - 1 Lamp - 30W</t>
  </si>
  <si>
    <t>T8 - U-Tube - 2 Lamp - 30W</t>
  </si>
  <si>
    <t>MV 40W</t>
  </si>
  <si>
    <t>MV 50W</t>
  </si>
  <si>
    <t>MV 75W</t>
  </si>
  <si>
    <t>MV 100W</t>
  </si>
  <si>
    <t>MV 175W</t>
  </si>
  <si>
    <t>MV 250W</t>
  </si>
  <si>
    <t>MV 400W</t>
  </si>
  <si>
    <t>HPS 35W</t>
  </si>
  <si>
    <t>HPS 50W</t>
  </si>
  <si>
    <t>HPS 70W</t>
  </si>
  <si>
    <t>HPS 100W</t>
  </si>
  <si>
    <t>HPS 150W</t>
  </si>
  <si>
    <t>HPS 200W</t>
  </si>
  <si>
    <t>HPS 250W</t>
  </si>
  <si>
    <t>HPS 400W</t>
  </si>
  <si>
    <t>HPS 1000W</t>
  </si>
  <si>
    <t>MH 70W</t>
  </si>
  <si>
    <t>MH 100W</t>
  </si>
  <si>
    <t>MH 175W</t>
  </si>
  <si>
    <t>MH 250W</t>
  </si>
  <si>
    <t>MH 400W</t>
  </si>
  <si>
    <t>MH 1000W</t>
  </si>
  <si>
    <t>Source (Standard Wattage Table)</t>
  </si>
  <si>
    <t>T5 HO - 4 ft - 1 Lamp</t>
  </si>
  <si>
    <t>T5 HO - 4 ft - 2 Lamp</t>
  </si>
  <si>
    <t>T5 HO - 4 ft - 4 Lamp</t>
  </si>
  <si>
    <t>T5 HO - 4 ft - 6 Lamp</t>
  </si>
  <si>
    <t>T5 HO - 4 ft - 8 Lamp</t>
  </si>
  <si>
    <t>T5 HO - 4 ft - 10 Lamp</t>
  </si>
  <si>
    <t>T5 HO</t>
  </si>
  <si>
    <t>Base Equipment Detail</t>
  </si>
  <si>
    <t>Base kWh</t>
  </si>
  <si>
    <t>Application Status</t>
  </si>
  <si>
    <t>Measure Type</t>
  </si>
  <si>
    <t>THIS CONTRACT CONTAINS A BINDING ARBITRATION PROVISION WHICH MAY BE ENFORCED BY THE PARTIES</t>
  </si>
  <si>
    <r>
      <t>Legal Company Name</t>
    </r>
    <r>
      <rPr>
        <sz val="11"/>
        <color rgb="FFFF0000"/>
        <rFont val="Arial"/>
        <family val="2"/>
      </rPr>
      <t>*</t>
    </r>
  </si>
  <si>
    <r>
      <t>First Name</t>
    </r>
    <r>
      <rPr>
        <sz val="11"/>
        <color rgb="FFFF0000"/>
        <rFont val="Arial"/>
        <family val="2"/>
      </rPr>
      <t>*</t>
    </r>
  </si>
  <si>
    <r>
      <t>Last Name</t>
    </r>
    <r>
      <rPr>
        <sz val="11"/>
        <color rgb="FFFF0000"/>
        <rFont val="Arial"/>
        <family val="2"/>
      </rPr>
      <t>*</t>
    </r>
  </si>
  <si>
    <r>
      <t>Title</t>
    </r>
    <r>
      <rPr>
        <sz val="11"/>
        <color rgb="FFFF0000"/>
        <rFont val="Arial"/>
        <family val="2"/>
      </rPr>
      <t>*</t>
    </r>
  </si>
  <si>
    <r>
      <t>Primary Phone</t>
    </r>
    <r>
      <rPr>
        <sz val="11"/>
        <color rgb="FFFF0000"/>
        <rFont val="Arial"/>
        <family val="2"/>
      </rPr>
      <t>*</t>
    </r>
  </si>
  <si>
    <r>
      <t>Email</t>
    </r>
    <r>
      <rPr>
        <sz val="11"/>
        <color rgb="FFFF0000"/>
        <rFont val="Arial"/>
        <family val="2"/>
      </rPr>
      <t>*</t>
    </r>
  </si>
  <si>
    <r>
      <t>Company Address</t>
    </r>
    <r>
      <rPr>
        <sz val="11"/>
        <color rgb="FFFF0000"/>
        <rFont val="Arial"/>
        <family val="2"/>
      </rPr>
      <t>*</t>
    </r>
  </si>
  <si>
    <r>
      <t>City</t>
    </r>
    <r>
      <rPr>
        <sz val="11"/>
        <color rgb="FFFF0000"/>
        <rFont val="Arial"/>
        <family val="2"/>
      </rPr>
      <t>*</t>
    </r>
  </si>
  <si>
    <r>
      <t>State</t>
    </r>
    <r>
      <rPr>
        <sz val="11"/>
        <color rgb="FFFF0000"/>
        <rFont val="Arial"/>
        <family val="2"/>
      </rPr>
      <t>*</t>
    </r>
  </si>
  <si>
    <r>
      <t>Zip Code</t>
    </r>
    <r>
      <rPr>
        <sz val="11"/>
        <color rgb="FFFF0000"/>
        <rFont val="Arial"/>
        <family val="2"/>
      </rPr>
      <t>*</t>
    </r>
  </si>
  <si>
    <r>
      <t>Project Type</t>
    </r>
    <r>
      <rPr>
        <sz val="11"/>
        <color rgb="FFFF0000"/>
        <rFont val="Arial"/>
        <family val="2"/>
      </rPr>
      <t>*</t>
    </r>
  </si>
  <si>
    <r>
      <t>Project ID</t>
    </r>
    <r>
      <rPr>
        <sz val="11"/>
        <color rgb="FFFF0000"/>
        <rFont val="Arial"/>
        <family val="2"/>
      </rPr>
      <t>*</t>
    </r>
  </si>
  <si>
    <r>
      <t>Site Address</t>
    </r>
    <r>
      <rPr>
        <sz val="11"/>
        <color rgb="FFFF0000"/>
        <rFont val="Arial"/>
        <family val="2"/>
      </rPr>
      <t>*</t>
    </r>
  </si>
  <si>
    <r>
      <t>Building Type</t>
    </r>
    <r>
      <rPr>
        <sz val="11"/>
        <color rgb="FFFF0000"/>
        <rFont val="Arial"/>
        <family val="2"/>
      </rPr>
      <t>*</t>
    </r>
  </si>
  <si>
    <r>
      <t>Building Ownership</t>
    </r>
    <r>
      <rPr>
        <sz val="11"/>
        <color rgb="FFFF0000"/>
        <rFont val="Arial"/>
        <family val="2"/>
      </rPr>
      <t>*</t>
    </r>
  </si>
  <si>
    <r>
      <t>Annual Operating Hours</t>
    </r>
    <r>
      <rPr>
        <sz val="11"/>
        <color rgb="FFFF0000"/>
        <rFont val="Arial"/>
        <family val="2"/>
      </rPr>
      <t>*</t>
    </r>
  </si>
  <si>
    <r>
      <t>Space Conditioning Type</t>
    </r>
    <r>
      <rPr>
        <sz val="11"/>
        <color rgb="FFFF0000"/>
        <rFont val="Arial"/>
        <family val="2"/>
      </rPr>
      <t>*</t>
    </r>
  </si>
  <si>
    <r>
      <t>Water Heating Type</t>
    </r>
    <r>
      <rPr>
        <sz val="11"/>
        <color rgb="FFFF0000"/>
        <rFont val="Arial"/>
        <family val="2"/>
      </rPr>
      <t>*</t>
    </r>
  </si>
  <si>
    <r>
      <t>Electric Utility Rate</t>
    </r>
    <r>
      <rPr>
        <sz val="11"/>
        <color rgb="FFFF0000"/>
        <rFont val="Arial"/>
        <family val="2"/>
      </rPr>
      <t>*</t>
    </r>
    <r>
      <rPr>
        <sz val="11"/>
        <color theme="1"/>
        <rFont val="Arial"/>
        <family val="2"/>
      </rPr>
      <t xml:space="preserve"> ($/kWh)</t>
    </r>
  </si>
  <si>
    <r>
      <t>Project Description</t>
    </r>
    <r>
      <rPr>
        <sz val="11"/>
        <color rgb="FFFF0000"/>
        <rFont val="Arial"/>
        <family val="2"/>
      </rPr>
      <t>*</t>
    </r>
  </si>
  <si>
    <r>
      <t>Mailing Address</t>
    </r>
    <r>
      <rPr>
        <sz val="11"/>
        <color rgb="FFFF0000"/>
        <rFont val="Arial"/>
        <family val="2"/>
      </rPr>
      <t>*</t>
    </r>
  </si>
  <si>
    <r>
      <t>Payee Company Name</t>
    </r>
    <r>
      <rPr>
        <sz val="11"/>
        <color rgb="FFFF0000"/>
        <rFont val="Arial"/>
        <family val="2"/>
      </rPr>
      <t>*</t>
    </r>
  </si>
  <si>
    <r>
      <t>Payee First Name</t>
    </r>
    <r>
      <rPr>
        <sz val="11"/>
        <color rgb="FFFF0000"/>
        <rFont val="Arial"/>
        <family val="2"/>
      </rPr>
      <t>*</t>
    </r>
  </si>
  <si>
    <r>
      <t>Payee Last Name</t>
    </r>
    <r>
      <rPr>
        <sz val="11"/>
        <color rgb="FFFF0000"/>
        <rFont val="Arial"/>
        <family val="2"/>
      </rPr>
      <t>*</t>
    </r>
  </si>
  <si>
    <r>
      <t>Phone Number</t>
    </r>
    <r>
      <rPr>
        <sz val="11"/>
        <color rgb="FFFF0000"/>
        <rFont val="Arial"/>
        <family val="2"/>
      </rPr>
      <t>*</t>
    </r>
  </si>
  <si>
    <r>
      <t>Tax Entity</t>
    </r>
    <r>
      <rPr>
        <sz val="11"/>
        <color rgb="FFFF0000"/>
        <rFont val="Arial"/>
        <family val="2"/>
      </rPr>
      <t>*</t>
    </r>
  </si>
  <si>
    <r>
      <t>Federal Tax ID Number</t>
    </r>
    <r>
      <rPr>
        <sz val="11"/>
        <color rgb="FFFF0000"/>
        <rFont val="Arial"/>
        <family val="2"/>
      </rPr>
      <t>*</t>
    </r>
  </si>
  <si>
    <r>
      <t>Electronic Signature (Account Owner or Authorized Representative)</t>
    </r>
    <r>
      <rPr>
        <sz val="11"/>
        <color rgb="FFFF0000"/>
        <rFont val="Arial"/>
        <family val="2"/>
      </rPr>
      <t>*</t>
    </r>
  </si>
  <si>
    <r>
      <t>Signatory Title</t>
    </r>
    <r>
      <rPr>
        <sz val="11"/>
        <color rgb="FFFF0000"/>
        <rFont val="Arial"/>
        <family val="2"/>
      </rPr>
      <t>*</t>
    </r>
  </si>
  <si>
    <r>
      <t>Date Signed</t>
    </r>
    <r>
      <rPr>
        <sz val="11"/>
        <color rgb="FFFF0000"/>
        <rFont val="Arial"/>
        <family val="2"/>
      </rPr>
      <t>*</t>
    </r>
  </si>
  <si>
    <t>Operating Hours Calculator</t>
  </si>
  <si>
    <t>Operating Hours</t>
  </si>
  <si>
    <t>Total Operating Hours:</t>
  </si>
  <si>
    <t>Weekday</t>
  </si>
  <si>
    <t>Holiday Name</t>
  </si>
  <si>
    <t>Select</t>
  </si>
  <si>
    <t>Monday</t>
  </si>
  <si>
    <t>Martin Luther King Day</t>
  </si>
  <si>
    <t>Weeks</t>
  </si>
  <si>
    <t>Tuesday</t>
  </si>
  <si>
    <t>Presidents' Day</t>
  </si>
  <si>
    <t>Wednesday</t>
  </si>
  <si>
    <t>Memorial Day</t>
  </si>
  <si>
    <t>Thursday</t>
  </si>
  <si>
    <t>Friday</t>
  </si>
  <si>
    <t>Labor Day</t>
  </si>
  <si>
    <t>Saturday</t>
  </si>
  <si>
    <t>Columbus Day</t>
  </si>
  <si>
    <t>Sunday</t>
  </si>
  <si>
    <t>WEEKLY HOURS</t>
  </si>
  <si>
    <t>Thanksgiving Day</t>
  </si>
  <si>
    <t xml:space="preserve">24/7 hours of operation all year = 8,760  (52.14 weeks per year)
</t>
  </si>
  <si>
    <t>Christmas Eve</t>
  </si>
  <si>
    <t>TOTAL HOLIDAY  HOURS</t>
  </si>
  <si>
    <t>Not Applicable</t>
  </si>
  <si>
    <t>Base W 2</t>
  </si>
  <si>
    <t>Company Information</t>
  </si>
  <si>
    <t>APPLICATION REVIEW</t>
  </si>
  <si>
    <t>Halogen (Please Describe)</t>
  </si>
  <si>
    <t>T5 - 4 ft - 1 Lamp</t>
  </si>
  <si>
    <t>T5 - 4 ft - 2 Lamp</t>
  </si>
  <si>
    <t>T5 - 4 ft - 4 Lamp</t>
  </si>
  <si>
    <t>T5 - 4 ft - 6 Lamp</t>
  </si>
  <si>
    <t>Signage Fixture (Please Describe)</t>
  </si>
  <si>
    <t>Neon Fixture (Please Describe)</t>
  </si>
  <si>
    <t>Induction Fixture (Please Describe)</t>
  </si>
  <si>
    <t>Inefficient Signage Fixture</t>
  </si>
  <si>
    <t>Inefficient Neon Fixture</t>
  </si>
  <si>
    <t>Inefficient Induction Fixture</t>
  </si>
  <si>
    <t>Project Type</t>
  </si>
  <si>
    <t>Information Links</t>
  </si>
  <si>
    <t>Inc Rate</t>
  </si>
  <si>
    <t>Diversity Business Type</t>
  </si>
  <si>
    <t>Minority Business Enterprise (MBE)</t>
  </si>
  <si>
    <t>Diversity Issued Org</t>
  </si>
  <si>
    <t>Federal</t>
  </si>
  <si>
    <t>City/County</t>
  </si>
  <si>
    <t>3rd Party</t>
  </si>
  <si>
    <t>Cost Basis</t>
  </si>
  <si>
    <t>Existing Inefficient Lighting Fixture</t>
  </si>
  <si>
    <t>Read and Accept Program Terms and Conditions</t>
  </si>
  <si>
    <t>Spillover Text</t>
  </si>
  <si>
    <t>Spillover Reason</t>
  </si>
  <si>
    <t>Enter Measures</t>
  </si>
  <si>
    <t>No Savings</t>
  </si>
  <si>
    <t>Payback Too Fast, Submit for Review</t>
  </si>
  <si>
    <t>Not Cost Effective Submit for Review</t>
  </si>
  <si>
    <t>Submit for Review</t>
  </si>
  <si>
    <t>Rate Schedules</t>
  </si>
  <si>
    <t>Rate</t>
  </si>
  <si>
    <t>Small General Service (2M)</t>
  </si>
  <si>
    <t>Large General Service (3M)</t>
  </si>
  <si>
    <t>Small Primary (4M)</t>
  </si>
  <si>
    <t>Large Primary (11M)</t>
  </si>
  <si>
    <t>Enter Rate Manually</t>
  </si>
  <si>
    <t>APP EXPIRED</t>
  </si>
  <si>
    <t>Please Review and Sign Form</t>
  </si>
  <si>
    <t>Measure Not Eligible</t>
  </si>
  <si>
    <t>Not Cost Effective</t>
  </si>
  <si>
    <t>Payback Under 18 Months</t>
  </si>
  <si>
    <t>Not Eligible</t>
  </si>
  <si>
    <t>ProjectNumber</t>
  </si>
  <si>
    <t>ProjectNameID</t>
  </si>
  <si>
    <t>MethodReceived</t>
  </si>
  <si>
    <t>AnnualHrs/Op</t>
  </si>
  <si>
    <t>YearBuilt</t>
  </si>
  <si>
    <t>#ofFloors</t>
  </si>
  <si>
    <t>WaterHeatSrce</t>
  </si>
  <si>
    <t>BldgHeatSrce</t>
  </si>
  <si>
    <t>System Text</t>
  </si>
  <si>
    <t>Terms and Conditions</t>
  </si>
  <si>
    <t>Project Site Information</t>
  </si>
  <si>
    <t>Trade Ally / Vendor Information</t>
  </si>
  <si>
    <t>Measure #</t>
  </si>
  <si>
    <t>Measure Name</t>
  </si>
  <si>
    <t>Equipment Description</t>
  </si>
  <si>
    <t>Eff Category</t>
  </si>
  <si>
    <t>Eff Measure Group</t>
  </si>
  <si>
    <t>Base Category</t>
  </si>
  <si>
    <t>Base Measure Group</t>
  </si>
  <si>
    <t>TRM Reference No.</t>
  </si>
  <si>
    <t>Created On</t>
  </si>
  <si>
    <t>Savings per Unit kW</t>
  </si>
  <si>
    <t>Inc Rate kWh</t>
  </si>
  <si>
    <t>Inc Rate kW</t>
  </si>
  <si>
    <t>Lighting vs Non Lighting</t>
  </si>
  <si>
    <t>Typical Unit Size</t>
  </si>
  <si>
    <t>Standard</t>
  </si>
  <si>
    <t xml:space="preserve">Please read through the program terms and conditions and sign at the bottom of the page to indicate you understand and agree to the terms and conditions.
</t>
  </si>
  <si>
    <t>Summary Form</t>
  </si>
  <si>
    <t>v</t>
  </si>
  <si>
    <t>Project Number :</t>
  </si>
  <si>
    <t>*click on section titles to jump to section</t>
  </si>
  <si>
    <t>Enter Utility Rate (Project Info Tab)</t>
  </si>
  <si>
    <t>Each measure could have unique operating hours depending on the technology and use. Use this calculator to record the specific operating hours for each measure as required.</t>
  </si>
  <si>
    <t>InvoiceDate</t>
  </si>
  <si>
    <t>Installed Date*</t>
  </si>
  <si>
    <t>f.</t>
  </si>
  <si>
    <t>Invoice and Installation Date Filled</t>
  </si>
  <si>
    <t>Invoice Date*</t>
  </si>
  <si>
    <t>Application Progress</t>
  </si>
  <si>
    <t>Company and Site</t>
  </si>
  <si>
    <t>Trade Ally</t>
  </si>
  <si>
    <t>Payment</t>
  </si>
  <si>
    <t>End Dates(Standard)</t>
  </si>
  <si>
    <t>Spillover kWh</t>
  </si>
  <si>
    <t>Spillover kW</t>
  </si>
  <si>
    <t>Step 1:  
Select how many hours per day the technology is being utilized.</t>
  </si>
  <si>
    <t>Hours per Year</t>
  </si>
  <si>
    <t>Project ID/Site Name</t>
  </si>
  <si>
    <t>Facility Operating Hours Calculator</t>
  </si>
  <si>
    <r>
      <t>Payment Type</t>
    </r>
    <r>
      <rPr>
        <sz val="11"/>
        <color rgb="FFFF0000"/>
        <rFont val="Arial"/>
        <family val="2"/>
      </rPr>
      <t>*</t>
    </r>
  </si>
  <si>
    <t>TA</t>
  </si>
  <si>
    <t>Project</t>
  </si>
  <si>
    <t>Step 3:  
Enter weeks per year the technology is being utilized.</t>
  </si>
  <si>
    <r>
      <rPr>
        <b/>
        <sz val="10"/>
        <color theme="3"/>
        <rFont val="Arial"/>
        <family val="2"/>
      </rPr>
      <t>Additional Considerations:</t>
    </r>
    <r>
      <rPr>
        <sz val="10"/>
        <color theme="1"/>
        <rFont val="Arial"/>
        <family val="2"/>
      </rPr>
      <t xml:space="preserve">
1.)  </t>
    </r>
    <r>
      <rPr>
        <i/>
        <sz val="10"/>
        <color rgb="FFC00000"/>
        <rFont val="Arial"/>
        <family val="2"/>
      </rPr>
      <t>Each measure could have unique operating hours depending on the     technology and use.  Use this calculator to record the specific operating hours for each measure as required.</t>
    </r>
    <r>
      <rPr>
        <sz val="10"/>
        <color theme="1"/>
        <rFont val="Arial"/>
        <family val="2"/>
      </rPr>
      <t xml:space="preserve">
2.)  24/7 hours of operation all year = 8,760  (52.14 Weeks per year)
3.)  Dusk to dawn operating hours are 4,300 for the Ameren Missouri territory.
</t>
    </r>
  </si>
  <si>
    <t>M02S04F06.1</t>
  </si>
  <si>
    <t>Bill Credit Acc</t>
  </si>
  <si>
    <t>Payment Preference</t>
  </si>
  <si>
    <t>Invoiced Date</t>
  </si>
  <si>
    <t>Installed Date</t>
  </si>
  <si>
    <t>Impl. Specialist</t>
  </si>
  <si>
    <t>Tax Exempt Letter</t>
  </si>
  <si>
    <t>ProgramContactPC</t>
  </si>
  <si>
    <t>Is there a Trade Ally or vendor for this project?</t>
  </si>
  <si>
    <t>Please fill out the Trade Ally / vendor information below. If this is a self-install, select "No" and proceed to the next tab.</t>
  </si>
  <si>
    <r>
      <t>Trade Ally / Vendor Company</t>
    </r>
    <r>
      <rPr>
        <sz val="11"/>
        <color rgb="FFFF0000"/>
        <rFont val="Arial"/>
        <family val="2"/>
      </rPr>
      <t>*</t>
    </r>
  </si>
  <si>
    <t>Incentive Less Than $150</t>
  </si>
  <si>
    <t>Project #</t>
  </si>
  <si>
    <t>ProjectType</t>
  </si>
  <si>
    <t>Op Hr 1</t>
  </si>
  <si>
    <t>Op Hr 2</t>
  </si>
  <si>
    <t>Hours</t>
  </si>
  <si>
    <t>Custom Holiday</t>
  </si>
  <si>
    <t>(enter date range)</t>
  </si>
  <si>
    <t>(enter description)</t>
  </si>
  <si>
    <t>If you should like to add a custom holiday schedule, use the last line to provide a date or date range, a description, and the total amount of work hours removed due to the holiday. Example: 12/26-12/30, Post Christmas to NYE Break, 40 hours total (8hrs/day x 5 work days)</t>
  </si>
  <si>
    <t>Payee Type</t>
  </si>
  <si>
    <t>X.0.0</t>
  </si>
  <si>
    <t>0.X.0</t>
  </si>
  <si>
    <t>0.0.X</t>
  </si>
  <si>
    <t>Complete application redesign or program year changes</t>
  </si>
  <si>
    <t>Versioning Guidelines (using the highest hierarchy in a group of changes)</t>
  </si>
  <si>
    <t>bug fixes, calculation adjustments, additional custom options, additional features that does not affect program guideline, LM Captures changes that would not affect compatability</t>
  </si>
  <si>
    <t>Measure Validator</t>
  </si>
  <si>
    <t>End of Expiration changes, program guideline changes, prescriptive measure additions, LM Captures compatibility related changes</t>
  </si>
  <si>
    <t>Freezer</t>
  </si>
  <si>
    <t>Cabinet</t>
  </si>
  <si>
    <r>
      <t>Is Site Contact same as Company Contact?</t>
    </r>
    <r>
      <rPr>
        <sz val="11"/>
        <color rgb="FFFF0000"/>
        <rFont val="Arial"/>
        <family val="2"/>
      </rPr>
      <t>*</t>
    </r>
  </si>
  <si>
    <r>
      <t>Is Site Location same as Company Location?</t>
    </r>
    <r>
      <rPr>
        <sz val="11"/>
        <color rgb="FFFF0000"/>
        <rFont val="Arial"/>
        <family val="2"/>
      </rPr>
      <t>*</t>
    </r>
  </si>
  <si>
    <t>,IFERROR(IF(AX18&gt;AW18,MEASURESAVE,IF(BB18&gt;INDEX(PMELIGHTLIN[Eff Watt 1],MATCH(AZ18,PMELIGHTLIN[Measure Validator],0)),"Eff. Wattage Not Met",IF(BD18&lt;BE18,"Linear Feet Exceeded",IF(K18&lt;INDEX(PMELIGHTLIN[Op Hr 1],MATCH(AZ18,PMELIGHTLIN[Measure Validator],0)),"Operating Hours Invalid","")))),"ERROR"))</t>
  </si>
  <si>
    <t>Eff. Wattage Not Met</t>
  </si>
  <si>
    <t>Operating Hours Invalid</t>
  </si>
  <si>
    <t>Project Site Address</t>
  </si>
  <si>
    <t>Project Contact</t>
  </si>
  <si>
    <t>Approving Engineer</t>
  </si>
  <si>
    <t>Program Type</t>
  </si>
  <si>
    <t>3. Customer Signature</t>
  </si>
  <si>
    <t>Sign and date here. We encourage electronic submission. A typewritten signature is acceptable and will have the same effect as a pen signature.</t>
  </si>
  <si>
    <t>1. Update Installed Measures</t>
  </si>
  <si>
    <t>2. Review Payee Information</t>
  </si>
  <si>
    <t>Payment Type</t>
  </si>
  <si>
    <t>Payment To</t>
  </si>
  <si>
    <r>
      <t>Is the following payment information correct? If not, change your selection in the</t>
    </r>
    <r>
      <rPr>
        <sz val="11"/>
        <color rgb="FF0000FF"/>
        <rFont val="Arial"/>
        <family val="2"/>
      </rPr>
      <t xml:space="preserve"> Payee</t>
    </r>
    <r>
      <rPr>
        <sz val="11"/>
        <color theme="1"/>
        <rFont val="Arial"/>
        <family val="2"/>
      </rPr>
      <t xml:space="preserve"> tab.</t>
    </r>
  </si>
  <si>
    <t>Custom and Prescriptive Application</t>
  </si>
  <si>
    <t>Custom/Prescriptive</t>
  </si>
  <si>
    <t>Prescriptive Measure List</t>
  </si>
  <si>
    <t>PRESCRIPTIVE MEASURES INPUT</t>
  </si>
  <si>
    <t>Prescriptive</t>
  </si>
  <si>
    <t>HID 1000W</t>
  </si>
  <si>
    <t>LED Exit Sign</t>
  </si>
  <si>
    <t>CFL or Incandescent Exit Sign</t>
  </si>
  <si>
    <t>LED - Exterior</t>
  </si>
  <si>
    <t>LED - Interior</t>
  </si>
  <si>
    <t>Refrigerator</t>
  </si>
  <si>
    <t>Door</t>
  </si>
  <si>
    <t>Motor</t>
  </si>
  <si>
    <t>Machine</t>
  </si>
  <si>
    <t>VFD added to 1-20 hp Process Pump</t>
  </si>
  <si>
    <t>HP</t>
  </si>
  <si>
    <t>VFD added to 1-20 hp HVAC Fans</t>
  </si>
  <si>
    <t>VFD added to 1-20 hp Chilled Water</t>
  </si>
  <si>
    <t>VFD added to 1-20 hp Heated Water</t>
  </si>
  <si>
    <t>Fryer</t>
  </si>
  <si>
    <t>Dishwasher</t>
  </si>
  <si>
    <t>C&amp;I Energy Efficiency Prescriptive Measures</t>
  </si>
  <si>
    <t>Annual kWh Reduction</t>
  </si>
  <si>
    <t>Building Area Type</t>
  </si>
  <si>
    <t>Automotive Facility</t>
  </si>
  <si>
    <t>Exterior Canopies</t>
  </si>
  <si>
    <t>Convention Center</t>
  </si>
  <si>
    <t>Courthouse</t>
  </si>
  <si>
    <t>Dining: Bar Lounge/Leisure</t>
  </si>
  <si>
    <t>Dining: Cafeteria/Fast Food</t>
  </si>
  <si>
    <t>Dining: Family</t>
  </si>
  <si>
    <t>Dormitory</t>
  </si>
  <si>
    <t>Exercise Center</t>
  </si>
  <si>
    <t>Gymnasium</t>
  </si>
  <si>
    <t>Healthcare – clinic</t>
  </si>
  <si>
    <t>Hospital</t>
  </si>
  <si>
    <t>Hotel</t>
  </si>
  <si>
    <t>Library</t>
  </si>
  <si>
    <t>Motel</t>
  </si>
  <si>
    <t>Motion Picture Theater</t>
  </si>
  <si>
    <t>Multi-Family</t>
  </si>
  <si>
    <t>Museum</t>
  </si>
  <si>
    <t>Penitentiary</t>
  </si>
  <si>
    <t>Performing Arts Theaters</t>
  </si>
  <si>
    <t>Post Office</t>
  </si>
  <si>
    <t>Religious Building</t>
  </si>
  <si>
    <t>Sports Arena</t>
  </si>
  <si>
    <t>Exterior Stairways</t>
  </si>
  <si>
    <t>Town Hall</t>
  </si>
  <si>
    <t>Transportation</t>
  </si>
  <si>
    <t>Exterior Walkways &lt;10ft Wide (W/linear ft.)</t>
  </si>
  <si>
    <t>Exterior Walkways &gt;10ft Wide/ Plaza Areas</t>
  </si>
  <si>
    <t>Workshop</t>
  </si>
  <si>
    <t>ASHRAE Standard 90.1 – 2007  (Watts/ Sq. Ft.)</t>
  </si>
  <si>
    <t>Annual Hours</t>
  </si>
  <si>
    <t>New Construction Lighting</t>
  </si>
  <si>
    <t>Anti-Sweat Heater Controls - Cooler</t>
  </si>
  <si>
    <t>IN Prescriptive</t>
  </si>
  <si>
    <t>IN TRM 2.2</t>
  </si>
  <si>
    <t>Active</t>
  </si>
  <si>
    <t>Anti-Sweat Heater Controls - Freezer</t>
  </si>
  <si>
    <t>Compressed Air - Engineered Nozzle - 1/4" Nozzle</t>
  </si>
  <si>
    <t>Nozzle</t>
  </si>
  <si>
    <t>1/4" Nozzle</t>
  </si>
  <si>
    <t>Regular Nozzle</t>
  </si>
  <si>
    <t>Compressed Air - Engineered Nozzle - 1/8" Nozzle</t>
  </si>
  <si>
    <t>1/8" Nozzle</t>
  </si>
  <si>
    <t>Controls</t>
  </si>
  <si>
    <t>No control</t>
  </si>
  <si>
    <t>ECM</t>
  </si>
  <si>
    <t>260909</t>
  </si>
  <si>
    <t>260909-Motor-ECM - HVAC Motor</t>
  </si>
  <si>
    <t>ECM - HVAC Motor</t>
  </si>
  <si>
    <t>ECM HVAC Motor</t>
  </si>
  <si>
    <t>No ECM</t>
  </si>
  <si>
    <t>2017 MEMD</t>
  </si>
  <si>
    <t>Kitchen</t>
  </si>
  <si>
    <t>Griddle</t>
  </si>
  <si>
    <t>Linear Ft</t>
  </si>
  <si>
    <t>262889</t>
  </si>
  <si>
    <t>262889-Motor-VFD added to 1-20 hp Chilled Water</t>
  </si>
  <si>
    <t>VFD</t>
  </si>
  <si>
    <t>Chilled Water</t>
  </si>
  <si>
    <t>262890</t>
  </si>
  <si>
    <t>262890-Motor-VFD added to 1-20 hp Heated Water</t>
  </si>
  <si>
    <t>262809</t>
  </si>
  <si>
    <t>262809-Motor-VFD added to 1-20 hp HVAC Fans</t>
  </si>
  <si>
    <t>Process Pump</t>
  </si>
  <si>
    <t>Standard Efficiency Pump/Motor Combination</t>
  </si>
  <si>
    <t>O</t>
  </si>
  <si>
    <t>No Pre-approval Required</t>
  </si>
  <si>
    <t>Pre-approval Required</t>
  </si>
  <si>
    <t>Inspection Required</t>
  </si>
  <si>
    <t>HID ≤ 175W</t>
  </si>
  <si>
    <r>
      <t xml:space="preserve">Enter invoice and installed date below for </t>
    </r>
    <r>
      <rPr>
        <b/>
        <sz val="11"/>
        <color theme="1"/>
        <rFont val="Arial"/>
        <family val="2"/>
      </rPr>
      <t>prescriptive</t>
    </r>
    <r>
      <rPr>
        <sz val="11"/>
        <color theme="1"/>
        <rFont val="Arial"/>
        <family val="2"/>
      </rPr>
      <t xml:space="preserve"> </t>
    </r>
    <r>
      <rPr>
        <b/>
        <sz val="11"/>
        <color theme="1"/>
        <rFont val="Arial"/>
        <family val="2"/>
      </rPr>
      <t>projects with incentives less than $10,000</t>
    </r>
    <r>
      <rPr>
        <sz val="11"/>
        <color theme="1"/>
        <rFont val="Arial"/>
        <family val="2"/>
      </rPr>
      <t>.</t>
    </r>
  </si>
  <si>
    <t>Lucas Roach</t>
  </si>
  <si>
    <t>2.0.0</t>
  </si>
  <si>
    <t>Total Watts</t>
  </si>
  <si>
    <t>Retro-Commissioning</t>
  </si>
  <si>
    <t>Material and labor invoices</t>
  </si>
  <si>
    <t>Specification sheets of all new equipment</t>
  </si>
  <si>
    <t>Payee Company's W-9</t>
  </si>
  <si>
    <t>If applicable</t>
  </si>
  <si>
    <t>Additional project assumption documents</t>
  </si>
  <si>
    <t>Calculation or model output</t>
  </si>
  <si>
    <t>Please review the Offer Form below and fill in the highlighted fields. If you have any questions, please contact us.</t>
  </si>
  <si>
    <r>
      <t xml:space="preserve">Please review the Completion Form for accuracy. If there have been adjustments to the project, please click on the associated tab name highlighted in </t>
    </r>
    <r>
      <rPr>
        <sz val="13"/>
        <color rgb="FF0000FF"/>
        <rFont val="Arial"/>
        <family val="2"/>
      </rPr>
      <t>blue</t>
    </r>
    <r>
      <rPr>
        <sz val="13"/>
        <rFont val="Arial"/>
        <family val="2"/>
      </rPr>
      <t xml:space="preserve"> in steps 1 and 2 below.  
</t>
    </r>
  </si>
  <si>
    <t>Mike</t>
  </si>
  <si>
    <t>Taylor</t>
  </si>
  <si>
    <t>PASS</t>
  </si>
  <si>
    <t>Electric $/kWh</t>
  </si>
  <si>
    <t>T&amp;C/Signatory</t>
  </si>
  <si>
    <r>
      <t>Site Name</t>
    </r>
    <r>
      <rPr>
        <sz val="11"/>
        <color rgb="FFFF0000"/>
        <rFont val="Arial"/>
        <family val="2"/>
      </rPr>
      <t>*</t>
    </r>
  </si>
  <si>
    <t>Taylor Sizemore</t>
  </si>
  <si>
    <t>(NONE)</t>
  </si>
  <si>
    <t>NIPSCO Energy Efficiency Program</t>
  </si>
  <si>
    <t>Energy Efficiency Programs</t>
  </si>
  <si>
    <t>NIPSCO</t>
  </si>
  <si>
    <t>LED 2x2 Fixture</t>
  </si>
  <si>
    <t>LED 2x4 Fixture</t>
  </si>
  <si>
    <t>No Existing Controls</t>
  </si>
  <si>
    <t>Non-ENERGY STAR Model</t>
  </si>
  <si>
    <t>ENERGY STAR Fryer</t>
  </si>
  <si>
    <t>ENERGY STAR Oven - Combo</t>
  </si>
  <si>
    <t>Oven</t>
  </si>
  <si>
    <t>ENERGY STAR Oven - Convection</t>
  </si>
  <si>
    <t>ENERGY STAR Steamer - 3 Pan</t>
  </si>
  <si>
    <t>Steamer</t>
  </si>
  <si>
    <t>ENERGY STAR Steamer - 4 Pan</t>
  </si>
  <si>
    <t>ENERGY STAR Steamer - 5 Pan</t>
  </si>
  <si>
    <t>ENERGY STAR Steamer - 6 Pan</t>
  </si>
  <si>
    <t>Fluorescent Case Lighting</t>
  </si>
  <si>
    <t>MBH</t>
  </si>
  <si>
    <t>No Controls</t>
  </si>
  <si>
    <t>No Insulation</t>
  </si>
  <si>
    <t>Boiler</t>
  </si>
  <si>
    <t>Infrared Heater</t>
  </si>
  <si>
    <t>Heater</t>
  </si>
  <si>
    <t>Dry Cleaning Steam Trap Replacement</t>
  </si>
  <si>
    <t>Failed Steam Trap</t>
  </si>
  <si>
    <t>Trap</t>
  </si>
  <si>
    <t>Industrial Steam Trap Replacement</t>
  </si>
  <si>
    <t>Water Heater</t>
  </si>
  <si>
    <t>MBH Input</t>
  </si>
  <si>
    <t>I authorize NIPSCO to access energy usage data for the specified accounts at the physical site address of the project listed above and release to the Trade Ally listed on this application. I agree that NIPSCO may include my name, city or county of business, Program services/incentives and resulting energy-savings in reports or other documentation submitted to NIPSCO and relevant agencies administering energy programs. NIPSCO will treat all other information gathered through the Program as confidential.</t>
  </si>
  <si>
    <t xml:space="preserve">I understand and agree to comply with the Terms and Conditions of the NIPSCO Energy Efficiency Program and that all energy efficiency measures identified in this application comply with program rules. </t>
  </si>
  <si>
    <r>
      <t>How did you hear about this program?</t>
    </r>
    <r>
      <rPr>
        <sz val="11"/>
        <color rgb="FFFF0000"/>
        <rFont val="Arial"/>
        <family val="2"/>
      </rPr>
      <t>*</t>
    </r>
  </si>
  <si>
    <t>Customer Info</t>
  </si>
  <si>
    <r>
      <t>Gas Utility Rate</t>
    </r>
    <r>
      <rPr>
        <sz val="11"/>
        <color rgb="FFFF0000"/>
        <rFont val="Arial"/>
        <family val="2"/>
      </rPr>
      <t>*</t>
    </r>
    <r>
      <rPr>
        <sz val="11"/>
        <color theme="1"/>
        <rFont val="Arial"/>
        <family val="2"/>
      </rPr>
      <t xml:space="preserve"> ($/Therm)</t>
    </r>
  </si>
  <si>
    <t xml:space="preserve">Tax Liability:  NIPSCO is not responsible for any taxes that may be imposed on you as a result of your receipt of this incentive. Incentive Amounts could be taxable to you if greater than $600. You should consult your tax advisor for any questions concerning the taxability of incentives. </t>
  </si>
  <si>
    <t>Tax Liability:  NIPSCO is not responsible for any taxes that may be imposed on you as a result of your receipt of this incentive. Incentive Amounts could be taxable to you if greater than $600. You should consult your tax advisor for any questions concerning the taxability of incentives.</t>
  </si>
  <si>
    <t>I am authorizing this payment of my incentive to the third party (“Payee”) named above and I understand that I will not be receiving the incentive check from NIPSCO.  I also understand that my release of the payment to the third party does not exempt me from the incentive requirements outlined in this application.   Tax Liability:  NIPSCO is not responsible for any taxes that may be imposed on you as a result of your receipt of this incentive. Incentive Amounts could be taxable to you if greater than $600. You should consult your tax advisor for any questions concerning the taxability of incentives.</t>
  </si>
  <si>
    <t>810121-Lighting-LED-LED Exit Sign</t>
  </si>
  <si>
    <t>810110-Lighting-LED-LED Exterior Replacing HID ≤ 175W</t>
  </si>
  <si>
    <t>810112-Lighting-LED-LED Exterior Replacing HID 251-400W</t>
  </si>
  <si>
    <t>810113-Lighting-LED-LED Exterior Replacing HID 1000W</t>
  </si>
  <si>
    <t>810114-Lighting-LED-LED Interior Replacing HID ≤ 175W</t>
  </si>
  <si>
    <t>810117-Lighting-LED-LED Interior Replacing HID 251-400W</t>
  </si>
  <si>
    <t>810118-Lighting-LED-LED Interior Replacing HID 1000W</t>
  </si>
  <si>
    <t>Delamping</t>
  </si>
  <si>
    <t>LED Exterior Replacing HID ≤ 175W</t>
  </si>
  <si>
    <t>LED Exterior Replacing HID176-250W</t>
  </si>
  <si>
    <t>LED Exterior Replacing HID 251-400W</t>
  </si>
  <si>
    <t>LED Exterior Replacing HID 1000W</t>
  </si>
  <si>
    <t>LED Interior Replacing HID ≤ 175W</t>
  </si>
  <si>
    <t>LED Interior Replacing HID176-250W</t>
  </si>
  <si>
    <t>LED Interior Replacing HID 251-400W</t>
  </si>
  <si>
    <t>LED Interior Replacing HID 1000W</t>
  </si>
  <si>
    <t>HID 251-400W</t>
  </si>
  <si>
    <t>Fixture (Lamp Wattage)</t>
  </si>
  <si>
    <r>
      <t xml:space="preserve">I understand and agree to comply with the Payment Terms and Conditions of the NIPSCO Energy Efficiency Program. </t>
    </r>
    <r>
      <rPr>
        <b/>
        <sz val="14"/>
        <color rgb="FFFF0000"/>
        <rFont val="Arial"/>
        <family val="2"/>
      </rPr>
      <t>*</t>
    </r>
  </si>
  <si>
    <t>Hot Water Pump</t>
  </si>
  <si>
    <t>Chilled Water Pump</t>
  </si>
  <si>
    <t>1000 Sq Ft</t>
  </si>
  <si>
    <t>831301-Lighting-Refrigerator-LED Freezer Display Case Lighting</t>
  </si>
  <si>
    <t>831201-Lighting-Controls-Motion Sensors on LED cases</t>
  </si>
  <si>
    <t>LED Freezer Display Case Lighting Replacing T12</t>
  </si>
  <si>
    <t>LED Refrigerated Case Lighting Replacing T12 4ft 4 Lamp</t>
  </si>
  <si>
    <t>Motion Sensors on LED cases Replacing No Existing Controls</t>
  </si>
  <si>
    <t>ENERGY STAR Ice Machine - 500-1000 lb/Day Replacing Non-ENERGY STAR Model</t>
  </si>
  <si>
    <t>ENERGY STAR Ice Machine - &gt;=1000 lb/Day Replacing Non-ENERGY STAR Model</t>
  </si>
  <si>
    <t>ECM Cooler Motors Replacing Shaded Pole or PSC Motors</t>
  </si>
  <si>
    <t>ECM Freezer Motors Replacing Shaded Pole or PSC Motors</t>
  </si>
  <si>
    <t>Anti-Sweat Heater Controls - Cooler Replacing No Controls</t>
  </si>
  <si>
    <t>Anti-Sweat Heater Controls - Freezer Replacing No Controls</t>
  </si>
  <si>
    <t>Ice Machine</t>
  </si>
  <si>
    <t>LED Freezer Display Case Lighting</t>
  </si>
  <si>
    <t>LED Refrigerated Case Lighting</t>
  </si>
  <si>
    <t>Motion Sensors on LED cases</t>
  </si>
  <si>
    <t>ENERGY STAR Ice Machine - 500-1000 lb/Day</t>
  </si>
  <si>
    <t>ENERGY STAR Ice Machine - &gt;=1000 lb/Day</t>
  </si>
  <si>
    <t>ECM Cooler Motors</t>
  </si>
  <si>
    <t>ECM Freezer Motors</t>
  </si>
  <si>
    <t>Shaded Pole or PSC Motors</t>
  </si>
  <si>
    <t>851001-Kitchen-Steamer-ENERGY STAR Steamer - 3 Pan</t>
  </si>
  <si>
    <t>851002-Kitchen-Steamer-ENERGY STAR Steamer - 4 Pan</t>
  </si>
  <si>
    <t>851008-Kitchen-Fryer-ENERGY STAR</t>
  </si>
  <si>
    <t>851013-Kitchen-Holding Cabinet-ENERGY STAR - 1/2 Size</t>
  </si>
  <si>
    <t>ENERGY STAR Steamer - 3 Pan Replacing Non-ENERGY STAR model</t>
  </si>
  <si>
    <t>ENERGY STAR Steamer - 4 Pan Replacing Non-ENERGY STAR model</t>
  </si>
  <si>
    <t>ENERGY STAR Steamer - 5 Pan Replacing Non-ENERGY STAR model</t>
  </si>
  <si>
    <t>ENERGY STAR Steamer - 6 Pan Replacing Non-ENERGY STAR model</t>
  </si>
  <si>
    <t>ENERGY STAR Replacing Non-ENERGY STAR model</t>
  </si>
  <si>
    <t>ENERGY STAR - 1/2 Size Replacing Non-ENERGY STAR model</t>
  </si>
  <si>
    <t>ENERGY STAR - Full Size Replacing Non-ENERGY STAR model</t>
  </si>
  <si>
    <t>ENERGY STAR Oven - Combo Replacing Non-ENERGY STAR model</t>
  </si>
  <si>
    <t>ENERGY STAR Oven - Convection Replacing Non-ENERGY STAR model</t>
  </si>
  <si>
    <t>Holding Cabinet</t>
  </si>
  <si>
    <t>ENERGY STAR - Holding Cabinet - 1/2 Size</t>
  </si>
  <si>
    <t>ENERGY STAR - Holding Cabinet - Full Size</t>
  </si>
  <si>
    <t>Non-ENERGY STAR model</t>
  </si>
  <si>
    <t>Boiler Hot Water Lockout/Reset</t>
  </si>
  <si>
    <t>910114-HVAC-Boiler-Commercial Heating Steam Trap Replacement</t>
  </si>
  <si>
    <t>Commercial Heating Steam Trap Replacement</t>
  </si>
  <si>
    <t>Commercial Heating Steam Trap Replacement Replacing Failed Steam Trap</t>
  </si>
  <si>
    <t>Industrial Steam Trap Replacement Replacing Failed Steam Trap</t>
  </si>
  <si>
    <t>Furnace</t>
  </si>
  <si>
    <t>Std. Space Heater</t>
  </si>
  <si>
    <t>Infrared Heater Replacing Std. Space Heater</t>
  </si>
  <si>
    <t>Water Heat</t>
  </si>
  <si>
    <t>Annual Therm Savings</t>
  </si>
  <si>
    <t>Custom Lighting</t>
  </si>
  <si>
    <t>NIPSCO Program Approval</t>
  </si>
  <si>
    <t>kWh Savings</t>
  </si>
  <si>
    <t>Motors &amp; Drives</t>
  </si>
  <si>
    <t>NC - Whole Building Design</t>
  </si>
  <si>
    <t>NC - HVAC</t>
  </si>
  <si>
    <t>NC - Refrigeration</t>
  </si>
  <si>
    <t>NC - Motors &amp; Drives</t>
  </si>
  <si>
    <t>NC - Envelope</t>
  </si>
  <si>
    <t>NC - Process</t>
  </si>
  <si>
    <t>Bldg Optimization - Lighting</t>
  </si>
  <si>
    <t>Lighting controls optimization</t>
  </si>
  <si>
    <t>Leak Repair</t>
  </si>
  <si>
    <t>Custom RCx - HVAC</t>
  </si>
  <si>
    <t>Custom RCx - Refrigeration</t>
  </si>
  <si>
    <t>Custom RCx - Motors &amp; Drives</t>
  </si>
  <si>
    <t>Custom RCx - Comp Air</t>
  </si>
  <si>
    <t>Custom RCx - EMS</t>
  </si>
  <si>
    <t>Custom RCx - Process</t>
  </si>
  <si>
    <t>Custom RCx - Other</t>
  </si>
  <si>
    <t>Boilers</t>
  </si>
  <si>
    <t>Furnaces</t>
  </si>
  <si>
    <t>Ventilation</t>
  </si>
  <si>
    <t>EMS</t>
  </si>
  <si>
    <t>Pumps/Fans/VFDs</t>
  </si>
  <si>
    <t>IT</t>
  </si>
  <si>
    <t>NC - Compressed Air</t>
  </si>
  <si>
    <t>NC - Pumps/Fans/VFDs</t>
  </si>
  <si>
    <t>Custom RCx - Pumps/Fans/VFDs</t>
  </si>
  <si>
    <t>NC - Other</t>
  </si>
  <si>
    <t>NC - EMS</t>
  </si>
  <si>
    <t>Lighting Controls</t>
  </si>
  <si>
    <t>Water Heating / Others (Gas)</t>
  </si>
  <si>
    <t>M02S02F11.1</t>
  </si>
  <si>
    <r>
      <t>Account Number 1</t>
    </r>
    <r>
      <rPr>
        <sz val="11"/>
        <color rgb="FFFF0000"/>
        <rFont val="Arial"/>
        <family val="2"/>
      </rPr>
      <t>*</t>
    </r>
  </si>
  <si>
    <t>Account Number 2</t>
  </si>
  <si>
    <r>
      <t>Meter Number 1</t>
    </r>
    <r>
      <rPr>
        <sz val="11"/>
        <color rgb="FFFF0000"/>
        <rFont val="Arial"/>
        <family val="2"/>
      </rPr>
      <t>*</t>
    </r>
  </si>
  <si>
    <t>Meter Number 2</t>
  </si>
  <si>
    <t>M02S02F35</t>
  </si>
  <si>
    <t>Meter #</t>
  </si>
  <si>
    <t>How did you hear about this program?</t>
  </si>
  <si>
    <t>Gas $/therm</t>
  </si>
  <si>
    <t>Spillover therms</t>
  </si>
  <si>
    <t>Savings per Unit Therm</t>
  </si>
  <si>
    <t>NA2</t>
  </si>
  <si>
    <t>NA3</t>
  </si>
  <si>
    <t>Exterior Parking Lots and Drives</t>
  </si>
  <si>
    <t>Custom / RCx / New Construction
 Non-Lighting (Electric)</t>
  </si>
  <si>
    <t>Custom / RCx / New Construction
 (Gas)</t>
  </si>
  <si>
    <t>(1+ELOSS)*((KWH*NPVAEC)+(KW*NPVACCTD))/PROJCOST</t>
  </si>
  <si>
    <t>Initial AEC</t>
  </si>
  <si>
    <t>Initial ACC</t>
  </si>
  <si>
    <t>Initial T&amp;D</t>
  </si>
  <si>
    <t>Initial Gas AEC</t>
  </si>
  <si>
    <t>Avoid Energy Cost $/kWh</t>
  </si>
  <si>
    <t>Avoided Energy Cost $/therm</t>
  </si>
  <si>
    <t>Watts/Unit</t>
  </si>
  <si>
    <t>Fixture Description (Brand/Model/Type)</t>
  </si>
  <si>
    <t>Select Space Type #1</t>
  </si>
  <si>
    <t>Select Space Type #2</t>
  </si>
  <si>
    <t>Select Space Type #3</t>
  </si>
  <si>
    <t>Lighting Coincidence Factor</t>
  </si>
  <si>
    <t>Non-Lighting Other</t>
  </si>
  <si>
    <t>End Use</t>
  </si>
  <si>
    <t>Commercial Cooking</t>
  </si>
  <si>
    <t>Pump/Fans/VFDs</t>
  </si>
  <si>
    <t>Building Envelope</t>
  </si>
  <si>
    <t>HVAC 
(Gas)</t>
  </si>
  <si>
    <t>4. Submit Documents</t>
  </si>
  <si>
    <t>Trade Ally / Vendor</t>
  </si>
  <si>
    <t>Project Information</t>
  </si>
  <si>
    <t>Measure Costs</t>
  </si>
  <si>
    <t>Therm Savings</t>
  </si>
  <si>
    <t>Tax Information</t>
  </si>
  <si>
    <t>Verify the above Measures Summary is accurate. Has your energy efficiency project scope changed from the original plan? If so, please review and update the measures, quantities, and costs associated with each line item.</t>
  </si>
  <si>
    <r>
      <rPr>
        <sz val="11"/>
        <rFont val="Arial"/>
        <family val="2"/>
      </rPr>
      <t xml:space="preserve">Reviewed </t>
    </r>
    <r>
      <rPr>
        <sz val="11"/>
        <color rgb="FF0000FF"/>
        <rFont val="Arial"/>
        <family val="2"/>
      </rPr>
      <t>Custom</t>
    </r>
    <r>
      <rPr>
        <sz val="11"/>
        <rFont val="Arial"/>
        <family val="2"/>
      </rPr>
      <t xml:space="preserve"> Measures Input tab</t>
    </r>
  </si>
  <si>
    <r>
      <rPr>
        <sz val="11"/>
        <rFont val="Arial"/>
        <family val="2"/>
      </rPr>
      <t>Reviewed</t>
    </r>
    <r>
      <rPr>
        <sz val="11"/>
        <color rgb="FF0000FF"/>
        <rFont val="Arial"/>
        <family val="2"/>
      </rPr>
      <t xml:space="preserve"> Prescriptive </t>
    </r>
    <r>
      <rPr>
        <sz val="11"/>
        <rFont val="Arial"/>
        <family val="2"/>
      </rPr>
      <t>Measures Input tab</t>
    </r>
  </si>
  <si>
    <t>Incentive Summary</t>
  </si>
  <si>
    <t>Customer Signature</t>
  </si>
  <si>
    <t>Itemized project invoices (including equipment and labor costs)</t>
  </si>
  <si>
    <r>
      <rPr>
        <sz val="11"/>
        <rFont val="Arial"/>
        <family val="2"/>
      </rPr>
      <t>Updated and</t>
    </r>
    <r>
      <rPr>
        <sz val="11"/>
        <color rgb="FF0000FF"/>
        <rFont val="Arial"/>
        <family val="2"/>
      </rPr>
      <t xml:space="preserve"> Signed </t>
    </r>
    <r>
      <rPr>
        <sz val="11"/>
        <rFont val="Arial"/>
        <family val="2"/>
      </rPr>
      <t>Completion Form (as Excel)</t>
    </r>
  </si>
  <si>
    <t>2. Customer Signature</t>
  </si>
  <si>
    <t>1. Project Timeline</t>
  </si>
  <si>
    <t>Please provide an estimated timeline for your project.The second line should contain the date you expect to send the completion form and invoices to us.</t>
  </si>
  <si>
    <t>Submit Offer Form</t>
  </si>
  <si>
    <t>3.</t>
  </si>
  <si>
    <t>EffEquip</t>
  </si>
  <si>
    <t>BaseEquip</t>
  </si>
  <si>
    <t>EffEquipDescr</t>
  </si>
  <si>
    <t>CostLabor</t>
  </si>
  <si>
    <t>CostEquipment</t>
  </si>
  <si>
    <t>WattsBase</t>
  </si>
  <si>
    <t>WattsEff</t>
  </si>
  <si>
    <t>TotalCost</t>
  </si>
  <si>
    <t>AnnualHoursAfter</t>
  </si>
  <si>
    <t>kWhBase</t>
  </si>
  <si>
    <t>kWhEff</t>
  </si>
  <si>
    <t>ThmBase</t>
  </si>
  <si>
    <t>ThmEff</t>
  </si>
  <si>
    <t>SpilloverkWhSavings</t>
  </si>
  <si>
    <t>SpilloverkWSavings</t>
  </si>
  <si>
    <t>SpilloverThmSavings</t>
  </si>
  <si>
    <t>SpilloverReason</t>
  </si>
  <si>
    <t>SpilloverUnits</t>
  </si>
  <si>
    <t>IncTotal</t>
  </si>
  <si>
    <t>SavingskWh</t>
  </si>
  <si>
    <t>SavingskW</t>
  </si>
  <si>
    <t>SavingsThm</t>
  </si>
  <si>
    <t>How Did You Hear About the Program?</t>
  </si>
  <si>
    <t>PayeePreference</t>
  </si>
  <si>
    <t>PayeeEntity</t>
  </si>
  <si>
    <t>TaxId</t>
  </si>
  <si>
    <t>Installation Date</t>
  </si>
  <si>
    <t>AppVersion</t>
  </si>
  <si>
    <t>kWBase</t>
  </si>
  <si>
    <t>kWEff</t>
  </si>
  <si>
    <t>BaseEquipDescr</t>
  </si>
  <si>
    <t>Unconditioned</t>
  </si>
  <si>
    <t>Pipe Insulation</t>
  </si>
  <si>
    <t>CFL/Incandescent</t>
  </si>
  <si>
    <t>Exterior</t>
  </si>
  <si>
    <t>HID</t>
  </si>
  <si>
    <t>Incandescent</t>
  </si>
  <si>
    <t>Gary Gao</t>
  </si>
  <si>
    <t>.1</t>
  </si>
  <si>
    <t>Initial Template File</t>
  </si>
  <si>
    <t>1</t>
  </si>
  <si>
    <t>Release version for NIPSCO</t>
  </si>
  <si>
    <t>1.1</t>
  </si>
  <si>
    <t>Made all account number, tax ID number, etc text formatted with data validation to allow leading 0, payment terms now locked.</t>
  </si>
  <si>
    <t>1.11</t>
  </si>
  <si>
    <t>Fixed naming of completion from from XXXX to 2200</t>
  </si>
  <si>
    <t>1.12</t>
  </si>
  <si>
    <t>Made project number format as text for all fields. EXPORT file incentive values are empty when text output for Scribe compatibility</t>
  </si>
  <si>
    <t>1.13</t>
  </si>
  <si>
    <t>Changed incentive level for A-line to LED, used 60W instead of 40W measure.</t>
  </si>
  <si>
    <t>1.14</t>
  </si>
  <si>
    <t>Custom lighting using actual T12 wattage instead of T8 baseline</t>
  </si>
  <si>
    <t>1.15</t>
  </si>
  <si>
    <t>Added Prescriptive HVAC measure, combined with Motors/VFD tab</t>
  </si>
  <si>
    <t>1.16</t>
  </si>
  <si>
    <t>Word wrap inspection form, additional formatting for export file.</t>
  </si>
  <si>
    <t>1.2.0</t>
  </si>
  <si>
    <t>Updated all prescriptive measures and rates
Prescriptive lighting quantity field specifies T12 for delamping
Clarified hours of operation in measure fields to be measure AOH as popup box
Hide export file column G and I since it's not needed
Updated offer form language to 2018 date instead of 2016
Wattage inputs automatically show decimal when entered and does not round
Revised program description to exclude rate 626 from SBDI
Fixed export file of quantity value in occ sensor linking to wrong cell
fixed rounding at the end of total cost calculation instead of beginning
added Hirsh to PC dropdown and Lucas to Engineering
Removed Prescriptive Gas Cooking Tab
Added temporary measure number filler for custom measures during initial csv upload
summary calculations exclude spillover measures
custom measures in export file show measure number without uploadID</t>
  </si>
  <si>
    <t>1.2.1</t>
  </si>
  <si>
    <t>Added language on qualifying gas rates in SBDI program details</t>
  </si>
  <si>
    <t>1.3.0</t>
  </si>
  <si>
    <t>Updated all prescriptive measures and rates</t>
  </si>
  <si>
    <t>1.3.2</t>
  </si>
  <si>
    <t>Moved gas dishwasher measures into Water Heating/Others tab. Made terms and conditions a text box</t>
  </si>
  <si>
    <t>1.3.3</t>
  </si>
  <si>
    <t>Adusted tax liability language to eliminate 1099 info</t>
  </si>
  <si>
    <t>1.4.0</t>
  </si>
  <si>
    <t>Updated measures based on budget rollover redesign</t>
  </si>
  <si>
    <t>1.4.1</t>
  </si>
  <si>
    <t>Added install/invoice date fields for project submission and pushed expiration date to the end of the year. Also highlited pre-approval requirements and added "how customer heard about program" field</t>
  </si>
  <si>
    <t>1.5.0</t>
  </si>
  <si>
    <t>Updated version number and expiration date
Updated Progress percentage to start at 0</t>
  </si>
  <si>
    <t>Nathan Williams</t>
  </si>
  <si>
    <t>M05S02F03</t>
  </si>
  <si>
    <t>M05S03F01</t>
  </si>
  <si>
    <t>M05S02F04</t>
  </si>
  <si>
    <t>Taylor Sizemore &amp; Jordan Thompson</t>
  </si>
  <si>
    <t>Transfered to new application template
Kept all range names consistent with the older application (allows for easier programming with the transfer tool)
Updated marketing material and colors
Added in unique custom meausre numbers
Included lighting coincidence factor for all electric tabs
Removed RCx timeline
Updated Offer and Completion Form tabs
Changed Export tab to only include relevant data fields. All other fields will automatically populate based on the measure template in LM Captures 
Corrected help messages to match the appopriate fields
Updated the New Construction Lighting tab to pull in LPD information</t>
  </si>
  <si>
    <t>Space Type</t>
  </si>
  <si>
    <t>Space Area 
(sq.ft.)</t>
  </si>
  <si>
    <t>Total Wattage</t>
  </si>
  <si>
    <t xml:space="preserve">Efficient </t>
  </si>
  <si>
    <t>Baseline</t>
  </si>
  <si>
    <t>Lighting Schedule Section</t>
  </si>
  <si>
    <t>public assembly</t>
  </si>
  <si>
    <t>Industrial shifts</t>
  </si>
  <si>
    <t>food service</t>
  </si>
  <si>
    <t>health care</t>
  </si>
  <si>
    <t>hotel/motel</t>
  </si>
  <si>
    <t>office</t>
  </si>
  <si>
    <t>retail</t>
  </si>
  <si>
    <t>public services</t>
  </si>
  <si>
    <t>warehouse</t>
  </si>
  <si>
    <t>exterior</t>
  </si>
  <si>
    <t>Indiana July 2015 v2.2 TRM Building Type</t>
  </si>
  <si>
    <t>School</t>
  </si>
  <si>
    <t>College</t>
  </si>
  <si>
    <t>Select Space Type #4</t>
  </si>
  <si>
    <t>Select Space Type #5</t>
  </si>
  <si>
    <t>Select Space Type #6</t>
  </si>
  <si>
    <t>Lighting Schedule</t>
  </si>
  <si>
    <t>Back to 
Measure Input</t>
  </si>
  <si>
    <t>Please enter the project lighting schedules per space type in the sections below. Use the arrow to return to the New Construction Lighting tab.</t>
  </si>
  <si>
    <t>Compressed Air Optimization</t>
  </si>
  <si>
    <t>RCx - Compressed Air</t>
  </si>
  <si>
    <t>RCx - EMS</t>
  </si>
  <si>
    <t>RCx - HVAC</t>
  </si>
  <si>
    <t>RCx - Motors &amp; Drives</t>
  </si>
  <si>
    <t>RCx - Process</t>
  </si>
  <si>
    <t>RCx - Refrigeration</t>
  </si>
  <si>
    <t>RCx - Pumps/Fans/VFDs</t>
  </si>
  <si>
    <t>RCx - Other</t>
  </si>
  <si>
    <t>Estimated Thm Savings</t>
  </si>
  <si>
    <t>Incent. NC</t>
  </si>
  <si>
    <t>Incent. Custom</t>
  </si>
  <si>
    <t>Incent. RCx</t>
  </si>
  <si>
    <t>HID 176-250W</t>
  </si>
  <si>
    <t>LED Interior Replacing HID 176-250W</t>
  </si>
  <si>
    <t>LED Exterior Replacing HID 176-250W</t>
  </si>
  <si>
    <t>NC - Boilers</t>
  </si>
  <si>
    <t>NC - Furnaces</t>
  </si>
  <si>
    <t>NC - Water Heating</t>
  </si>
  <si>
    <t>RCx - Boiler</t>
  </si>
  <si>
    <t>RCx - Furnace</t>
  </si>
  <si>
    <t>((1+ELOSS)*((AK18*INDEX(ELECCB[NPV AEC $/kWh],MATCH(AZ18,ELECCB[Year Number],1)))+(AV18*INDEX(ELECCB[NPV ACC+T&amp;D $/kW],MATCH(AZ18,ELECCB[Year Number],1)))))/AH18)</t>
  </si>
  <si>
    <t>Updated measure list. Updated progress to allow for default rates but still require rates if it is deleted</t>
  </si>
  <si>
    <t>2.0.1</t>
  </si>
  <si>
    <t>Updated the LPD watts/sqft to call correct number</t>
  </si>
  <si>
    <t>2.0.2</t>
  </si>
  <si>
    <t xml:space="preserve">Corrected Prescriptive HID measures. Incentives were not populating. Double checked all other prescriptive incentives. </t>
  </si>
  <si>
    <t>2.0.3</t>
  </si>
  <si>
    <t xml:space="preserve">Updated Export tab lighting controls section to use correct eff. description </t>
  </si>
  <si>
    <t>----------------HID  MEASURES----------------</t>
  </si>
  <si>
    <t>------------INCANDESCENT /CFL------------</t>
  </si>
  <si>
    <t xml:space="preserve">
LED 2x4 Fixture</t>
  </si>
  <si>
    <t xml:space="preserve"> LED 2x4 Fixture</t>
  </si>
  <si>
    <t>2.1.0</t>
  </si>
  <si>
    <t>Updated prescriptive lighting to match I&amp;M desing
Added 8ft options to the list. Same 4ft meausre numbers
Unlocked PC summary fields</t>
  </si>
  <si>
    <t>Adj. kW</t>
  </si>
  <si>
    <t>Peak kW</t>
  </si>
  <si>
    <t>Cost Type</t>
  </si>
  <si>
    <t>Annual thms/unit</t>
  </si>
  <si>
    <t>~~~~~T12 FIXTURES~~~~~</t>
  </si>
  <si>
    <t>~~~~~T8 FIXTURES~~~~~</t>
  </si>
  <si>
    <t>~~~~~T5 FIXTURES~~~~~</t>
  </si>
  <si>
    <t>~~MERCURY VAPOR~~</t>
  </si>
  <si>
    <t>~~~~METAL HALIDE~~~~</t>
  </si>
  <si>
    <t>~~~~~~~~~HPS~~~~~~~~~</t>
  </si>
  <si>
    <t>~~~~~~~~~MISC.~~~~~~~~~</t>
  </si>
  <si>
    <t>~~~INCAND/HAL/CFL~~~</t>
  </si>
  <si>
    <t>~~~~~LED FIXTURES~~~~~</t>
  </si>
  <si>
    <t>Base Autofill</t>
  </si>
  <si>
    <t>Updated Offer language
Moved peak kw column to the background for custom non lighting. Updated conditional formatting to highlight kW if not filled in
Labor will zero out if incrmental cost type is chosen
Updated Non-Lighting electric tab to have cost type and calculate incremental at 100% of total cost. when new construction is selected it will autoselect incremental cost.
Reviewed/Updated export for non lighting electric and gas tabs
Updated custom lighting tab to have one title line per dropdown section. when title is selected an error will prompt the user to select a different fixture type. Not sure if i should make sure this does not go to spillover but it currently does.
Updated autofill wattage for prescriptive measures. The maxes and mins arent working with data validation?
Updated Lighting Schedule print area. Increased wattage limit to allow for combined wattage line item.
Updated presc efficient lighting wattage to allow for zero</t>
  </si>
  <si>
    <t>Dry Cleaning Steam Trap Replacement Replacing Failed Steam Trap</t>
  </si>
  <si>
    <t>Jordan Thompson</t>
  </si>
  <si>
    <t>Spillover Labor $</t>
  </si>
  <si>
    <t>Updated Custom Lighting to search new fixture type for exterior and make kW savings zero if fixture is exterior
Fixed inefficient limits on standard lighting tab
Added autofill zero watts for delamping measures and removed delamping qualifier from kWh savings calculations
Added "4ft" to unit of measure for one-for-one lamp replacements in measure list
Updated measure tab totals to not include spillover cost, kWh,kW
Updated offer form to pull cost from template instead of export
Updated PC Summary and added spillover costs
Limited material cost to $0.01 for prescriptive non-lighting
Unlocked peak kW field</t>
  </si>
  <si>
    <t>A measure is not cost effective. Verify savings and cost values. Use incremental cost if base equipment is past its useful life.</t>
  </si>
  <si>
    <t>Added minimum and maximum wattages to baseline range in prescriptive background tab</t>
  </si>
  <si>
    <t>T12 - 2ft - 1 Lamp - 20W Lamps</t>
  </si>
  <si>
    <t>T12 - 2ft - 2 Lamp - 20W Lamps</t>
  </si>
  <si>
    <t>T12 - 3ft - 1 Lamp - 30W Lamps</t>
  </si>
  <si>
    <t>T12 - 3ft - 2 Lamp - 30W Lamps</t>
  </si>
  <si>
    <t>T12 - 4ft - 1 Lamp - 34W Lamps w/ ES Mag Ballast</t>
  </si>
  <si>
    <t>T12 - 4ft - 2 Lamp - 34W Lamps w/ ES Mag Ballast</t>
  </si>
  <si>
    <t>T12 - 4ft - 3 Lamp - 34W Lamps w/ ES Mag Ballast</t>
  </si>
  <si>
    <t>T12 - 4ft - 4 Lamp - 34W Lamps w/ ES Mag Ballast</t>
  </si>
  <si>
    <t>T12 - 8ft - 1 Lamp - 75W Lamps w/ ES Mag Ballast</t>
  </si>
  <si>
    <t>T12 - 8ft - 2 Lamp - 75W Lamps w/ ES Mag Ballast</t>
  </si>
  <si>
    <t>T12 - 8ft - 4 Lamp - 75W Lamps w/ ES Mag Ballast</t>
  </si>
  <si>
    <t>T12 - 8ft - 1 Lamp - HO - 95W Lamps w/ ES Mag Ballast</t>
  </si>
  <si>
    <t>T12 - 8ft - 2 Lamp - HO - 95W Lamps w/ ES Mag Ballast</t>
  </si>
  <si>
    <t>T12 - 8ft - 3 Lamp - HO - 95W Lamps w/ ES Mag Ballast</t>
  </si>
  <si>
    <t>T12 - 8ft - 4 Lamp - HO - 95W Lamps w/ ES Mag Ballast</t>
  </si>
  <si>
    <t>T12 - 8ft - 1 Lamp  - VHO - 185W Lamps w/ ES Mag Ballast</t>
  </si>
  <si>
    <t>T12 - 8ft - 2 Lamp - VHO - 185W Lamps w/ ES Mag Ballast</t>
  </si>
  <si>
    <t>T12 - 8ft - 3 Lamp - VHO - 185W Lamps w/ ES Mag Ballast</t>
  </si>
  <si>
    <t>T12 - 8ft - 4 Lamp - VHO - 185W Lamps w/ ES Mag Ballast</t>
  </si>
  <si>
    <t>T12 - U-Tube - 1 Lamp - 34W Lamps</t>
  </si>
  <si>
    <t>T12 - U-Tube - 2 Lamp - 34W Lamps</t>
  </si>
  <si>
    <t>T12 - 8ft - 3 Lamp - 75W Lamps w/ Stnd Mag Ballast</t>
  </si>
  <si>
    <t>Prj Savings kWh</t>
  </si>
  <si>
    <t>Prj Savings kW</t>
  </si>
  <si>
    <t>Prj Savings therms</t>
  </si>
  <si>
    <t>Prj Labor Cost</t>
  </si>
  <si>
    <t>Spillover Total $</t>
  </si>
  <si>
    <t>Spillover Units</t>
  </si>
  <si>
    <t>Eligb Savings kWh</t>
  </si>
  <si>
    <t>Eligb Savings kW</t>
  </si>
  <si>
    <t>Eligb Savings therms</t>
  </si>
  <si>
    <t>Eligb Units</t>
  </si>
  <si>
    <t>Eligb Labor Cost</t>
  </si>
  <si>
    <t>Eligb Total Cost</t>
  </si>
  <si>
    <t>Eligb Equip Cost</t>
  </si>
  <si>
    <t>Prj Equip Cost</t>
  </si>
  <si>
    <t>Prj Units</t>
  </si>
  <si>
    <t>Spillover Equip $</t>
  </si>
  <si>
    <t>Prj Total Cost</t>
  </si>
  <si>
    <t>SpilloverCostEquipment</t>
  </si>
  <si>
    <t>SpilloverCostLabor</t>
  </si>
  <si>
    <t>SpilloverTotalCost</t>
  </si>
  <si>
    <t xml:space="preserve">Added lamp for lamp language to prescriptive tab
Updated custom autofill wattages to ComEd default fixture wattages and MH typical wattages
Added spillover material, labor, and total costs columns to the Export tab. 
Updated PC Summary to split out spillover meausres from eligb measures. </t>
  </si>
  <si>
    <t>2.1.1</t>
  </si>
  <si>
    <t>Updated Prescriptive measures list baseline descriptions to match brochure.
Updated export tab to look translate all 8ft prescriptive measures to 4ft increments
Added IFERROR to prescriptive tab columns affected by overriden dropdown lists
Rounded NC efficient LPD to the nearest hundredth.</t>
  </si>
  <si>
    <t>Program Design</t>
  </si>
  <si>
    <t>ProgramDesign</t>
  </si>
  <si>
    <t>Added Program Design column to prescriptive background tables and Export tab
Deleted date that was already populated with the install date
Changed Measure List description to "4ft of Lamp"</t>
  </si>
  <si>
    <t>2.1.2</t>
  </si>
  <si>
    <t xml:space="preserve">Updated quantity limits on HVAC / VFD / Other (Electric) tab to reflect limits stated in measure name. </t>
  </si>
  <si>
    <t>LPD</t>
  </si>
  <si>
    <t>Updated Export tab all custom spillover units to calculate from the main tab and not refer to the units column in the export
Update NC lighting W/sq ft columns to say LPD</t>
  </si>
  <si>
    <t>3.0.0</t>
  </si>
  <si>
    <t>810111-Lighting-LED-LED Exterior Replacing HID 176-250W</t>
  </si>
  <si>
    <t>810116-Lighting-LED-LED Interior Replacing HID 176-250W</t>
  </si>
  <si>
    <t>Energy Efficiency Incentive Report</t>
  </si>
  <si>
    <t>Project Address:</t>
  </si>
  <si>
    <t>Contractor:</t>
  </si>
  <si>
    <t>Assessment Date:</t>
  </si>
  <si>
    <t>Contact:</t>
  </si>
  <si>
    <t>Phone:</t>
  </si>
  <si>
    <t>Over 5 years you could save</t>
  </si>
  <si>
    <t>Estimated Rebate</t>
  </si>
  <si>
    <t>Annual Cost Savings</t>
  </si>
  <si>
    <t>Project Cost</t>
  </si>
  <si>
    <r>
      <t>1</t>
    </r>
    <r>
      <rPr>
        <vertAlign val="superscript"/>
        <sz val="14"/>
        <rFont val="Arial"/>
        <family val="2"/>
      </rPr>
      <t>st</t>
    </r>
    <r>
      <rPr>
        <sz val="14"/>
        <rFont val="Arial"/>
        <family val="2"/>
      </rPr>
      <t xml:space="preserve"> Year ROI</t>
    </r>
  </si>
  <si>
    <t>Impact Summary</t>
  </si>
  <si>
    <t>metric tons CO2/kWh</t>
  </si>
  <si>
    <t xml:space="preserve">Saving </t>
  </si>
  <si>
    <t>metric tons CO2</t>
  </si>
  <si>
    <t>metric tons C02E/vehicle/year</t>
  </si>
  <si>
    <t>metric tons CO2/home/month.</t>
  </si>
  <si>
    <t>metric tons CO2E/ton of waste recycled instead of landfilled</t>
  </si>
  <si>
    <t xml:space="preserve">vehicles removed </t>
  </si>
  <si>
    <t>homes powered</t>
  </si>
  <si>
    <r>
      <t>tons of landfill CO</t>
    </r>
    <r>
      <rPr>
        <vertAlign val="subscript"/>
        <sz val="13"/>
        <color theme="1"/>
        <rFont val="Arial"/>
        <family val="2"/>
      </rPr>
      <t>2</t>
    </r>
  </si>
  <si>
    <t>from the road</t>
  </si>
  <si>
    <t>for one month</t>
  </si>
  <si>
    <t xml:space="preserve"> emissions eliminated</t>
  </si>
  <si>
    <t>Additional Resources</t>
  </si>
  <si>
    <t>Already planning future projects?</t>
  </si>
  <si>
    <t>Online:</t>
  </si>
  <si>
    <t>Learn more online or contact 
a program representative today!</t>
  </si>
  <si>
    <t>Email:</t>
  </si>
  <si>
    <t>Updated Project Summary tab to new design. Updated fills and fonts to NIPSCO colors. Updated print area for tab. Waiting on marketing logos</t>
  </si>
  <si>
    <t>Tons</t>
  </si>
  <si>
    <t>Equipment</t>
  </si>
  <si>
    <t>Others - Interior</t>
  </si>
  <si>
    <t>Others - Exterior</t>
  </si>
  <si>
    <t>Other - Interior</t>
  </si>
  <si>
    <t>Other - Exterior</t>
  </si>
  <si>
    <t>Eff Desc 3</t>
  </si>
  <si>
    <t>Updated version number and expiration date for 2019
Updated program design, removed source and TRM Reference (hid columns) on prescriptive measure tab
Removed prescriptive lighting measures with efficient desc other than LED (T8  &amp; T5). Removed engineered nozzles. Added T5HO and T5 to LED measures (see program design)
Updated incentive rate on customlight tab from 0.06 to 0.07
Updated incentive table on customnonlight tab to match program design
Added application expiration warning for 2 weeks from expiration and past date with instructions for downloading new app
Updated avoided cost table via program design v2.3</t>
  </si>
  <si>
    <t>metric tons CO2/therm</t>
  </si>
  <si>
    <t>therm Savings</t>
  </si>
  <si>
    <t>800-299-2501</t>
  </si>
  <si>
    <t>www.nipsco.com/save-energy</t>
  </si>
  <si>
    <t>Estimated Incentive</t>
  </si>
  <si>
    <t>Update Project Summary with new marketing pngs
Added measure list picture and link</t>
  </si>
  <si>
    <t>Exterior Facades (W/linear ft. of illuminated wall or surface length)</t>
  </si>
  <si>
    <t>Exterior Outdoor Sales Open Area</t>
  </si>
  <si>
    <t xml:space="preserve">Note: If unit type is not specified in the Space Type name then it is W/square ft) </t>
  </si>
  <si>
    <t>Updated LPD table</t>
  </si>
  <si>
    <t>Without Incentive</t>
  </si>
  <si>
    <t>With Incentive</t>
  </si>
  <si>
    <t>Changed Measure List link to Prescriptive Page on NIPSCO website
Updated T&amp;Cs and legal notes on Offer and Completion Form
Changed "Rebate" to "Incentive" on all Prescriptive Measure Input tabs
Updated holiday dates on AOH calculator tab</t>
  </si>
  <si>
    <t>Project Start Date</t>
  </si>
  <si>
    <t>Jaime</t>
  </si>
  <si>
    <t>3.0.1</t>
  </si>
  <si>
    <t>Marketing removed RCx program description from program informational graphic. Updated T&amp;Cs based on NISPCO edits.
Fixed lighting measure input to show T5HO incentives
Removed T12-4ft-2lamp from inefficient selection</t>
  </si>
  <si>
    <t>Qualifying Prescriptive or Custom Measure(s) entered</t>
  </si>
  <si>
    <t>3.0.2</t>
  </si>
  <si>
    <t>&amp;</t>
  </si>
  <si>
    <t>Added therms to Project Summary
Updated version number
Updated expiration date to 8/30/19</t>
  </si>
  <si>
    <t>is equivalent to…</t>
  </si>
  <si>
    <t>T8 - 4 ft - 6 Lamp</t>
  </si>
  <si>
    <t>T8 - 4 ft - 8 Lamp</t>
  </si>
  <si>
    <t>T8 - 4ft - 6 Lamp - 32W</t>
  </si>
  <si>
    <t>T8 - 4ft - 8 Lamp - 32W</t>
  </si>
  <si>
    <t>6 lamp</t>
  </si>
  <si>
    <t>8 lamp</t>
  </si>
  <si>
    <t>T8 - 4ft - 12 Lamp - 32W</t>
  </si>
  <si>
    <t>12 lamp</t>
  </si>
  <si>
    <t>T8 - 4 ft - 12 Lamp</t>
  </si>
  <si>
    <t>Updated typo on Project Summary tab
Added  T8 - 4ft - 6lamp/8lamp/12lamp existing options to custom lighting
Changed Site Name and Project ID font size on Offer and Completion Forms to Arial - 18
Updated units to 3 decimal places on Export tab
Updated Status alert on custom electric and gas tabs to not show submit for review for Misc Others when the engineer field is filled in on the PC Summary</t>
  </si>
  <si>
    <t>As part of our commitment to achieve realized savings, all projects are subject to random inspections. If you receive a visit from one of our inspectors they will refer to this project, ask a couple of questions, and perform a verification.</t>
  </si>
  <si>
    <t>After your application has been emailed you can expect to see a confirmation email within 5 business days. If you applied for a custom application, you will receive an offer or request for additional information. You may proceed with installation after signing offer.</t>
  </si>
  <si>
    <t>Submit this Excel application and related documents as email attachments.</t>
  </si>
  <si>
    <t>Update PC Summary decimals showing
Removed email draft button</t>
  </si>
  <si>
    <t>We encourage electronic submission. A typewritten signature is acceptable and will have the same effect as a pen signature.</t>
  </si>
  <si>
    <t>Rounded new construction lighting kWh to whole number.
Added note under T&amp;Cs signature field encouraging electronic submission</t>
  </si>
  <si>
    <t>Added rounding to two decimals for equip cost, labor cost, and total cost on Export</t>
  </si>
  <si>
    <t>Non-Profit</t>
  </si>
  <si>
    <t>Agriculture/Farming</t>
  </si>
  <si>
    <t>Entertainment/Recreation</t>
  </si>
  <si>
    <t>Updated the LMC payee info options
Updated the building type options to match LMC</t>
  </si>
  <si>
    <t>3.0.3</t>
  </si>
  <si>
    <t>Removed RCx from Information tab</t>
  </si>
  <si>
    <t>John</t>
  </si>
  <si>
    <t>3.1.0</t>
  </si>
  <si>
    <t>Added user to engineering field.  Adjused savings and incentive on steam pipe insulation to align with EM&amp;V recommendation and new calculations.</t>
  </si>
  <si>
    <t>3.2.0</t>
  </si>
  <si>
    <t>NIPSCO.Savings@TRCcompanies.com</t>
  </si>
  <si>
    <r>
      <t xml:space="preserve">Once you're ready to submit, </t>
    </r>
    <r>
      <rPr>
        <b/>
        <sz val="11"/>
        <color theme="1"/>
        <rFont val="Arial"/>
        <family val="2"/>
      </rPr>
      <t>attach all required documents and your saved application</t>
    </r>
    <r>
      <rPr>
        <sz val="11"/>
        <color theme="1"/>
        <rFont val="Arial"/>
        <family val="2"/>
      </rPr>
      <t xml:space="preserve"> to an email and send it to: </t>
    </r>
    <r>
      <rPr>
        <sz val="11"/>
        <color theme="8"/>
        <rFont val="Arial"/>
        <family val="2"/>
      </rPr>
      <t>NIPSCO.Savings@TRCcompanies.com</t>
    </r>
    <r>
      <rPr>
        <sz val="11"/>
        <color theme="1"/>
        <rFont val="Arial"/>
        <family val="2"/>
      </rPr>
      <t xml:space="preserve"> </t>
    </r>
  </si>
  <si>
    <t>NIPSCO’s energy efficiency programs are administered by TRC, a third‐party implementation specialist that helps homes and businesses save energy.</t>
  </si>
  <si>
    <t>Product of TRC</t>
  </si>
  <si>
    <t xml:space="preserve">Contractor/Vendor </t>
  </si>
  <si>
    <t xml:space="preserve">Direct Mail </t>
  </si>
  <si>
    <t xml:space="preserve">NIPSCO Website </t>
  </si>
  <si>
    <t xml:space="preserve">NIPSCO/Program Representative </t>
  </si>
  <si>
    <t xml:space="preserve">Program Email </t>
  </si>
  <si>
    <t xml:space="preserve">TV or Cinema </t>
  </si>
  <si>
    <t xml:space="preserve">Online or mobile ad </t>
  </si>
  <si>
    <t xml:space="preserve">Billboards or Outdoor Advertising </t>
  </si>
  <si>
    <t xml:space="preserve">Radio </t>
  </si>
  <si>
    <t xml:space="preserve">Other </t>
  </si>
  <si>
    <t>Changed expiration date to 7/3/2020, adjusted holiday schedule to 2020, changed company references to TRC Companies from Lockheed Martin.  Changed referenced program design to v2.5.  Added Taylor Nixon to IS drop down.  Changed rounding on kWh export to zero decimal places.</t>
  </si>
  <si>
    <r>
      <t xml:space="preserve">Please submit the below items to </t>
    </r>
    <r>
      <rPr>
        <sz val="11"/>
        <color rgb="FF0000FF"/>
        <rFont val="Arial"/>
        <family val="2"/>
      </rPr>
      <t>NIPSCO.Savings@TRCcompanies.com</t>
    </r>
    <r>
      <rPr>
        <sz val="11"/>
        <color theme="1"/>
        <rFont val="Arial"/>
        <family val="2"/>
      </rPr>
      <t xml:space="preserve"> for final review.</t>
    </r>
  </si>
  <si>
    <t>NIPSCO Energy Efficiency Program • 800.299.2501 • NIPSCO.Savings@TRCcompanies.com • https://www.nipsco.com/save-energy</t>
  </si>
  <si>
    <r>
      <rPr>
        <sz val="11"/>
        <rFont val="Arial"/>
        <family val="2"/>
      </rPr>
      <t xml:space="preserve">To move forward with the incentive process submit your completed Offer Form to </t>
    </r>
    <r>
      <rPr>
        <sz val="11"/>
        <color rgb="FF0000FF"/>
        <rFont val="Arial"/>
        <family val="2"/>
      </rPr>
      <t xml:space="preserve">NIPSCO.Savings@TRCcompanies.com.  </t>
    </r>
    <r>
      <rPr>
        <sz val="11"/>
        <rFont val="Arial"/>
        <family val="2"/>
      </rPr>
      <t>Please do not order or purchase anything before returning this signed Offer Form. If you have any question feel free to email or call at 800.299.2501.</t>
    </r>
  </si>
  <si>
    <t>Estimated annual energy cost savings of efficient equipment</t>
  </si>
  <si>
    <t>3.2.1</t>
  </si>
  <si>
    <t>Adjusted rounding on kWh and therm savings values to whole numbers.</t>
  </si>
  <si>
    <t>3.2.2</t>
  </si>
  <si>
    <t>Adjusted rounding back to 2 decimal places on kWh and therms.  Fixed naming so T8 8FT lamp replacements would pull correct measure number (was pulling T5).</t>
  </si>
  <si>
    <t>3.2.3</t>
  </si>
  <si>
    <t>Changed date reference on operating hours tab, step 2 to 2020.</t>
  </si>
  <si>
    <t>3.2.4</t>
  </si>
  <si>
    <t>Corrected sorting on prescriptive tables.</t>
  </si>
  <si>
    <t>3.2.5</t>
  </si>
  <si>
    <t>Corrected reference cell for company name on the export tab.</t>
  </si>
  <si>
    <t>Compressed Air Leak Repair</t>
  </si>
  <si>
    <r>
      <t xml:space="preserve">VSD on Air Compressor </t>
    </r>
    <r>
      <rPr>
        <sz val="11"/>
        <color theme="1"/>
        <rFont val="Calibri"/>
        <family val="2"/>
      </rPr>
      <t>≤</t>
    </r>
    <r>
      <rPr>
        <sz val="7.7"/>
        <color theme="1"/>
        <rFont val="Calibri"/>
        <family val="2"/>
      </rPr>
      <t xml:space="preserve"> 200 HP</t>
    </r>
  </si>
  <si>
    <t>VSD on Air Compressor ≤ 200 HP</t>
  </si>
  <si>
    <t>CFM</t>
  </si>
  <si>
    <t>Calculated kWh</t>
  </si>
  <si>
    <t>Calculated kW</t>
  </si>
  <si>
    <t>Efficient Brand and Model #</t>
  </si>
  <si>
    <t>Total Measure Cost</t>
  </si>
  <si>
    <t>Incentive Unit Type</t>
  </si>
  <si>
    <t>Total Measure Incentive</t>
  </si>
  <si>
    <t>Proposed</t>
  </si>
  <si>
    <r>
      <t>CFb (</t>
    </r>
    <r>
      <rPr>
        <sz val="11"/>
        <color theme="1"/>
        <rFont val="Calibri"/>
        <family val="2"/>
      </rPr>
      <t>≤ 40 HP)</t>
    </r>
  </si>
  <si>
    <t>CFb (50-200HP)</t>
  </si>
  <si>
    <t>Modulating w/ Blowdown</t>
  </si>
  <si>
    <t>Load/No Load w/ 1 Gallon/CFM</t>
  </si>
  <si>
    <t>Load/No Load w/ 3 Gallon/CFM</t>
  </si>
  <si>
    <t>Load/No Load w/ 5 Gallon/CFM</t>
  </si>
  <si>
    <t>Shift</t>
  </si>
  <si>
    <t>CF</t>
  </si>
  <si>
    <t>Unknown</t>
  </si>
  <si>
    <t>Leaks Repaired</t>
  </si>
  <si>
    <t>VSD Installed</t>
  </si>
  <si>
    <t>Option</t>
  </si>
  <si>
    <t>Unit(s)</t>
  </si>
  <si>
    <t>IMC</t>
  </si>
  <si>
    <t>$/HP Controlled</t>
  </si>
  <si>
    <t>LED 1x4 Fixture</t>
  </si>
  <si>
    <t>LED 1x4 Fixture Replacing 2-Lamp Fluor.</t>
  </si>
  <si>
    <t>LED 2x2 Fixture Replacing 2-Lamp Fluor.</t>
  </si>
  <si>
    <t>LED 2x4 Fixture Replacing 2-Lamp Fluor.</t>
  </si>
  <si>
    <t>2-Lamp Fluor.</t>
  </si>
  <si>
    <t xml:space="preserve"> LED 2x2 Fixture</t>
  </si>
  <si>
    <t>TRM Incr. Cost</t>
  </si>
  <si>
    <t>% Below Code</t>
  </si>
  <si>
    <t>Cost Cap</t>
  </si>
  <si>
    <t>WI Incremental Cost ($/sq ft)</t>
  </si>
  <si>
    <t>MEMD 2020</t>
  </si>
  <si>
    <t>3.3.0</t>
  </si>
  <si>
    <t>Added 2-lamp lighting measures and new compressed air measures.  Compressed air measures required new tab.  Reworked application to integrate new tab.  Reworked NC lighting to mimic other applications.</t>
  </si>
  <si>
    <t>VSD - Air Compressor</t>
  </si>
  <si>
    <t>840908-Compressed Air Leak Repair</t>
  </si>
  <si>
    <t>Air Compressor</t>
  </si>
  <si>
    <t>Work Shifts</t>
  </si>
  <si>
    <t>AVG</t>
  </si>
  <si>
    <t>Load/No Load</t>
  </si>
  <si>
    <t>Total Costs</t>
  </si>
  <si>
    <t>Efficient</t>
  </si>
  <si>
    <t>Use Per IN TRM default</t>
  </si>
  <si>
    <t>Bonus $</t>
  </si>
  <si>
    <t>Electric Only</t>
  </si>
  <si>
    <t>Custom Bonus</t>
  </si>
  <si>
    <t>NC Bonus</t>
  </si>
  <si>
    <t>Prescriptive Bonus</t>
  </si>
  <si>
    <t>Original Incentive</t>
  </si>
  <si>
    <t>No Bonus</t>
  </si>
  <si>
    <t>3.3.1</t>
  </si>
  <si>
    <t>Added bonus measures to prescriptive tab, and bonus inputs on templates and pc summary tab.  Adjusted final row of export tab for each electric program to incoroprate bonus measures.  Row on each electric tab, corresponding to bottom row on export tab (per program) is also adjusted and no longer congruent to above rows.  Bottom row on each tab now attempts to incorporate bonus.  Bonus is 20% incentive increase for all electric measures.  Removed fax number because line is no longer operational.</t>
  </si>
  <si>
    <t>Toll-Free 800-299-2501</t>
  </si>
  <si>
    <t>3.3.3</t>
  </si>
  <si>
    <t>Updated prescriptive compressed air table to pull correct measure numbers.  Updated formulas within bonus framework to be compatible with older versions of Excel.</t>
  </si>
  <si>
    <t>3.3.4</t>
  </si>
  <si>
    <t>Updated bonus calculation formulas to cap at total invoiced cost for all measures.  Total cost - incentive = $ available for bonus.  Bonus is min between remaining dollars or total max bonus.</t>
  </si>
  <si>
    <t>Danielle Sitton</t>
  </si>
  <si>
    <t>3.3.5</t>
  </si>
  <si>
    <t>Removed any cells related to bonus.  Removed Perry Boone and Taylor Nixon from engineering and PC tables.  Added Danielle Sitton to PC table.  Removed $150,000 incentive cap.  Set expiration date to EoY.</t>
  </si>
  <si>
    <t>Efficiency Details</t>
  </si>
  <si>
    <t>Rating</t>
  </si>
  <si>
    <t>Building/Space Type</t>
  </si>
  <si>
    <t>Fixture Annual Operating Hours</t>
  </si>
  <si>
    <t>Screw Based Bulb Annual Operating Hours</t>
  </si>
  <si>
    <t>Waste Heat Cooling Energy WHFe</t>
  </si>
  <si>
    <t>Waste Heat Cooling Demand WHFd</t>
  </si>
  <si>
    <t>Coincidence Factor CF</t>
  </si>
  <si>
    <t>Waste Heat Gas Heating IFTherms</t>
  </si>
  <si>
    <t>Waste Heat Electric Heat Pump Heating IFkWh</t>
  </si>
  <si>
    <t>Agriculture - Chicken Layers</t>
  </si>
  <si>
    <t>Agriculture - Turkey Hens</t>
  </si>
  <si>
    <t>Agriculture - Turkey Toms</t>
  </si>
  <si>
    <t>Agriculture Turkey Breeder Hens</t>
  </si>
  <si>
    <t>Agriculture - Turkey Breeder Toms</t>
  </si>
  <si>
    <t>Agriculture - Dairy Long Day Lighting</t>
  </si>
  <si>
    <t>Assisted Living</t>
  </si>
  <si>
    <t>Auto Dealership</t>
  </si>
  <si>
    <t>Childcare/Pre-School</t>
  </si>
  <si>
    <t>Convenience Store</t>
  </si>
  <si>
    <t>Drug Store</t>
  </si>
  <si>
    <t>Elementary School</t>
  </si>
  <si>
    <t>Emergency Services</t>
  </si>
  <si>
    <t>Garage</t>
  </si>
  <si>
    <t>Garage, 24/7 Lighting</t>
  </si>
  <si>
    <t>Grocery</t>
  </si>
  <si>
    <t>Healthcare Clinic</t>
  </si>
  <si>
    <t>High School</t>
  </si>
  <si>
    <t>Hospital - CAV No Econ</t>
  </si>
  <si>
    <t>Hospital - CAV Econ</t>
  </si>
  <si>
    <t>Hospital - VAV Econ</t>
  </si>
  <si>
    <t>Hospital - FCU</t>
  </si>
  <si>
    <t>Manufacturing Facility</t>
  </si>
  <si>
    <t>MF - High Rise - Common</t>
  </si>
  <si>
    <t>MF - Mid Rise - Common</t>
  </si>
  <si>
    <t>Hotel/Motel - Guest</t>
  </si>
  <si>
    <t>Hotel/Motel - Common</t>
  </si>
  <si>
    <t>Movie Theater</t>
  </si>
  <si>
    <t>Office - High Rise - CAV No Econ</t>
  </si>
  <si>
    <t>Office - High Rise - FCU</t>
  </si>
  <si>
    <t>Office - High Rise - VAV Econ</t>
  </si>
  <si>
    <t>Office - High Rise - CAV Econ</t>
  </si>
  <si>
    <t>Office - Low Rise</t>
  </si>
  <si>
    <t>Office - Mid Rise</t>
  </si>
  <si>
    <t>Restaurant</t>
  </si>
  <si>
    <t>Retail - Department Store</t>
  </si>
  <si>
    <t>Retail - Strip Mall</t>
  </si>
  <si>
    <t>Exterior - Dusk to Dawn</t>
  </si>
  <si>
    <t>Exterior - Dusk to Business Close</t>
  </si>
  <si>
    <t>Low-Use Small Business</t>
  </si>
  <si>
    <t>Uncooled Building</t>
  </si>
  <si>
    <t>Refrigerated Cases</t>
  </si>
  <si>
    <t>Freezer Cases</t>
  </si>
  <si>
    <t>Waste Heat Electric Resistance Heating IFkWh</t>
  </si>
  <si>
    <t>IF kWh</t>
  </si>
  <si>
    <t>IF Therms</t>
  </si>
  <si>
    <t>WHFe</t>
  </si>
  <si>
    <t/>
  </si>
  <si>
    <t>Account Type</t>
  </si>
  <si>
    <t>Gas Only</t>
  </si>
  <si>
    <t>Column1</t>
  </si>
  <si>
    <r>
      <t>Account Type</t>
    </r>
    <r>
      <rPr>
        <sz val="11"/>
        <color rgb="FFFF0000"/>
        <rFont val="Arial"/>
        <family val="2"/>
      </rPr>
      <t>*</t>
    </r>
  </si>
  <si>
    <t>M02S02F46</t>
  </si>
  <si>
    <t>Agriculture</t>
  </si>
  <si>
    <t>M3S9</t>
  </si>
  <si>
    <t>Dairy Refrigeration Heat Recovery - Electric</t>
  </si>
  <si>
    <t>VSD Milk Pump w/ Plate Cooler Heat Exchanger</t>
  </si>
  <si>
    <t>Low Pressure Sprinkler Nozzle</t>
  </si>
  <si>
    <t>Scroll Compressor for Dairy Refrigeration</t>
  </si>
  <si>
    <t>Milk Pre-Cooler</t>
  </si>
  <si>
    <t>Dairy Refrigeration Heat Recovery - Natural Gas</t>
  </si>
  <si>
    <t>Greenhouse Thermal Curtains</t>
  </si>
  <si>
    <t>High Speed Fans (36-47 in.)</t>
  </si>
  <si>
    <t>High Speed Fans (24-35 in.)</t>
  </si>
  <si>
    <t>High Speed Fans (48-71 in.)</t>
  </si>
  <si>
    <t>Infrared Film for Greenhouse</t>
  </si>
  <si>
    <t>Engine Block Timer</t>
  </si>
  <si>
    <t>Agriculture (Elec/Gas)</t>
  </si>
  <si>
    <t>LED 1x4 Fixture Replacing 1-Lamp Fluor.</t>
  </si>
  <si>
    <t>LED Tube Relamp Replacing 8 Ft Fluor.</t>
  </si>
  <si>
    <t>LED 2x4 Fixture Replacing 4-Lamp Fluor.</t>
  </si>
  <si>
    <t>LED Tube Relamp Replacing 4 Ft Fluor.</t>
  </si>
  <si>
    <t>LED 2x4 Fixture Replacing 3-Lamp Fluor.</t>
  </si>
  <si>
    <t>LED Tube Relamp Replacing 2 Ft Fluor.</t>
  </si>
  <si>
    <t>LED Tube Relamp Replacing 4 Ft HO Fluor.</t>
  </si>
  <si>
    <t>LED 1x4 Fixture Replacing 3-Lamp Fluor.</t>
  </si>
  <si>
    <t>LED High Bay Replacing 8-Lamp Fluor.</t>
  </si>
  <si>
    <t>LED High Bay Replacing 4-Lamp Fluor.</t>
  </si>
  <si>
    <t>LED High Bay Replacing 6-Lamp Fluor.</t>
  </si>
  <si>
    <t>LED 2x2 Fixture Replacing 3-Lamp Fluor.</t>
  </si>
  <si>
    <t>LED Low Bay Replacing 3-Lamp Fluor.</t>
  </si>
  <si>
    <t>Delamping 8 Ft Fluor.</t>
  </si>
  <si>
    <t>Delamping 4 Ft Fluor.</t>
  </si>
  <si>
    <t>810140-Lighting-LED 1x4 Fixture Replacing 1-Lamp Fluor.</t>
  </si>
  <si>
    <t>810141-Lighting-LED Tube Relamp Replacing 8 Ft Fluor.</t>
  </si>
  <si>
    <t>810142-Lighting-LED 2x4 Fixture Replacing 4-Lamp Fluor.</t>
  </si>
  <si>
    <t>810143-Lighting-LED Tube Relamp Replacing 4 Ft Fluor.</t>
  </si>
  <si>
    <t>810144-Lighting-LED 2x4 Fixture Replacing 3-Lamp Fluor.</t>
  </si>
  <si>
    <t>810145-Lighting-LED 2x4 Fixture Replacing 2-Lamp Fluor.</t>
  </si>
  <si>
    <t>810146-Lighting-LED Tube Relamp Replacing 2 Ft Fluor.</t>
  </si>
  <si>
    <t>810147-Lighting-LED Tube Relamp Replacing 4 Ft HO Fluor.</t>
  </si>
  <si>
    <t>810148-Lighting-LED 1x4 Fixture Replacing 2-Lamp Fluor.</t>
  </si>
  <si>
    <t>810149-Lighting-LED 1x4 Fixture Replacing 3-Lamp Fluor.</t>
  </si>
  <si>
    <t>810150-Lighting-LED High Bay Replacing 8-Lamp Fluor.</t>
  </si>
  <si>
    <t>810151-Lighting-LED High Bay Replacing 4-Lamp Fluor.</t>
  </si>
  <si>
    <t>810152-Lighting-LED High Bay Replacing 6-Lamp Fluor.</t>
  </si>
  <si>
    <t>810153-Lighting-LED 2x2 Fixture Replacing 3-Lamp Fluor.</t>
  </si>
  <si>
    <t>810154-Lighting-LED Low Bay Replacing 3-Lamp Fluor.</t>
  </si>
  <si>
    <t>810155-Lighting-LED 2x2 Fixture Replacing 2-Lamp Fluor.</t>
  </si>
  <si>
    <t>810156-Lighting-Delamping 8 Ft Fluor.</t>
  </si>
  <si>
    <t>810157-Lighting-Delamping 4 Ft Fluor.</t>
  </si>
  <si>
    <t>LED Tube</t>
  </si>
  <si>
    <t>LED High Bay</t>
  </si>
  <si>
    <t>LED Low Bay</t>
  </si>
  <si>
    <t>8Ft Delamping</t>
  </si>
  <si>
    <t>4Ft Delamping</t>
  </si>
  <si>
    <t>2022-2023 v1.0.0</t>
  </si>
  <si>
    <t>1-Lamp Fluor.</t>
  </si>
  <si>
    <t>8Ft Fluor.</t>
  </si>
  <si>
    <t>4-Lamp Fluor.</t>
  </si>
  <si>
    <t>4Ft Fluor.</t>
  </si>
  <si>
    <t>2Ft Fluor.</t>
  </si>
  <si>
    <t>4Ft HO Fluor.</t>
  </si>
  <si>
    <t>3-Lamp Fluor.</t>
  </si>
  <si>
    <t>8-Lamp Fluor.</t>
  </si>
  <si>
    <t>6-Lamp Fluor.</t>
  </si>
  <si>
    <t xml:space="preserve"> LED 1x4 Fixture</t>
  </si>
  <si>
    <t xml:space="preserve">
LED 1x4 Fixture</t>
  </si>
  <si>
    <t xml:space="preserve"> LED High Bay</t>
  </si>
  <si>
    <t xml:space="preserve">
LED High Bay</t>
  </si>
  <si>
    <t xml:space="preserve">
 LED High Bay</t>
  </si>
  <si>
    <t>4Ft of Lamp</t>
  </si>
  <si>
    <t>8Ft Of Lamp</t>
  </si>
  <si>
    <t>8Ft Of Lamp Removed</t>
  </si>
  <si>
    <t>4Ft of Lamp Removed</t>
  </si>
  <si>
    <t>-----------Fluor.  MEASURES-----------</t>
  </si>
  <si>
    <t>1-Lamp 8Ft Fluor.</t>
  </si>
  <si>
    <t>1-Lamp 4Ft Fluor.</t>
  </si>
  <si>
    <t>1-Lamp 4Ft HO Fluor.</t>
  </si>
  <si>
    <t>2-Lamp 4Ft Fluor.</t>
  </si>
  <si>
    <t>3-Lamp 4Ft Fluor.</t>
  </si>
  <si>
    <t>4-Lamp 4Ft Fluor.</t>
  </si>
  <si>
    <t>6-Lamp 4Ft Fluor.</t>
  </si>
  <si>
    <t>8-Lamp 4Ft Fluor.</t>
  </si>
  <si>
    <t>Independence Day</t>
  </si>
  <si>
    <r>
      <t>LED Low Bay (</t>
    </r>
    <r>
      <rPr>
        <sz val="11"/>
        <color theme="1"/>
        <rFont val="Calibri"/>
        <family val="2"/>
      </rPr>
      <t>≤ 10,000 lumens)</t>
    </r>
  </si>
  <si>
    <t>Daylight Sensor (Indoor Only)</t>
  </si>
  <si>
    <t>Dual Occupancy &amp; Daylight Sensor (Indoor Only)</t>
  </si>
  <si>
    <t>Occupancy Sensor</t>
  </si>
  <si>
    <t>Exterior Occupancy Sensor</t>
  </si>
  <si>
    <t>810503-Lighting-Daylight Sensor (Indoor Only)</t>
  </si>
  <si>
    <t>810505-Lighting-Occupancy Sensor</t>
  </si>
  <si>
    <t>810506-Lighting-Exterior Occupancy Sensor</t>
  </si>
  <si>
    <t>Total Watts Controlled</t>
  </si>
  <si>
    <t>ENERGY STAR® Commercial Glass Door Freezers &lt; 15 ft³</t>
  </si>
  <si>
    <t>Non Energy-Star Freezer</t>
  </si>
  <si>
    <t>ENERGY STAR® Commercial Glass Door Freezers &gt; 50 ft³</t>
  </si>
  <si>
    <t>ENERGY STAR® Commercial Glass Door Freezers 15-30 ft³</t>
  </si>
  <si>
    <t>15-30 ft³</t>
  </si>
  <si>
    <t>ENERGY STAR® Commercial Glass Door Freezers 30-50 ft³</t>
  </si>
  <si>
    <t>30-50 ft³</t>
  </si>
  <si>
    <t>ENERGY STAR® Commercial Glass Door Refrigerators &lt; 15 ft³</t>
  </si>
  <si>
    <t>Non Energy-Star Refrigerator</t>
  </si>
  <si>
    <t>ENERGY STAR® Commercial Glass Door Refrigerators &gt; 50 ft³</t>
  </si>
  <si>
    <t>ENERGY STAR® Commercial Glass Door Refrigerators 15-30 ft³</t>
  </si>
  <si>
    <t>ENERGY STAR® Commercial Glass Door Refrigerators 30-50 ft³</t>
  </si>
  <si>
    <t>ENERGY STAR® Commercial Solid Door Freezers &lt; 15 ft³</t>
  </si>
  <si>
    <t>ENERGY STAR® Commercial Solid Door Freezers &gt; 50 ft³</t>
  </si>
  <si>
    <t>ENERGY STAR® Commercial Solid Door Freezers 15-30 ft³</t>
  </si>
  <si>
    <t>ENERGY STAR® Commercial Solid Door Freezers 30-50 ft³</t>
  </si>
  <si>
    <t>ENERGY STAR® Commercial Solid Door Refrigerators &lt; 15 ft³</t>
  </si>
  <si>
    <t>ENERGY STAR® Commercial Solid Door Refrigerators &gt; 50 ft³</t>
  </si>
  <si>
    <t>ENERGY STAR® Commercial Solid Door Refrigerators 15-30 ft³</t>
  </si>
  <si>
    <t>ENERGY STAR® Commercial Solid Door Refrigerators 30-50 ft³</t>
  </si>
  <si>
    <t>Automatic High Speed Doors - Cooler to Dock</t>
  </si>
  <si>
    <t>Automatic High Speed Doors - Freezer to Cooler</t>
  </si>
  <si>
    <t>Automatic High Speed Doors - Freezer to Dock</t>
  </si>
  <si>
    <t>&lt; 15 ft³</t>
  </si>
  <si>
    <t>&gt; 50 ft³</t>
  </si>
  <si>
    <t xml:space="preserve"> &gt; 50 ft³</t>
  </si>
  <si>
    <t>Sq. Ft.</t>
  </si>
  <si>
    <t>Strip Curtain</t>
  </si>
  <si>
    <t>Please Enter Automatic High Speed Door Measures Below</t>
  </si>
  <si>
    <t>QTY</t>
  </si>
  <si>
    <t>Width</t>
  </si>
  <si>
    <t>Height</t>
  </si>
  <si>
    <t>Model</t>
  </si>
  <si>
    <t>Type</t>
  </si>
  <si>
    <t>Qs/A</t>
  </si>
  <si>
    <t>Rs</t>
  </si>
  <si>
    <t>Df</t>
  </si>
  <si>
    <t>Efficiency</t>
  </si>
  <si>
    <t>Dtb</t>
  </si>
  <si>
    <t>Dte</t>
  </si>
  <si>
    <t>Dtm</t>
  </si>
  <si>
    <t>Eb</t>
  </si>
  <si>
    <t>Ee</t>
  </si>
  <si>
    <t>t</t>
  </si>
  <si>
    <t>Total Units</t>
  </si>
  <si>
    <t>q</t>
  </si>
  <si>
    <t>AC</t>
  </si>
  <si>
    <t>Non-Lighting</t>
  </si>
  <si>
    <t>$/SEER 
improvement/ton</t>
  </si>
  <si>
    <t>$/EER 
improvement/ton</t>
  </si>
  <si>
    <t>$/IEER 
improvement/ton</t>
  </si>
  <si>
    <t>EER</t>
  </si>
  <si>
    <t>IEER</t>
  </si>
  <si>
    <t>COP</t>
  </si>
  <si>
    <t>EFLHcool</t>
  </si>
  <si>
    <t>EFLHheat</t>
  </si>
  <si>
    <t>VSD for HVAC Pumps</t>
  </si>
  <si>
    <t>Compressed Air Digital Scroll Air Dryer Replacing Non-Cycling Dryer</t>
  </si>
  <si>
    <t>Compressed Air Variable Speed Air Dryer Replacing Non-Cycling Dryer</t>
  </si>
  <si>
    <t>Compressed Air Thermal Mass Air Dryer Replacing Non-Cycling Dryer</t>
  </si>
  <si>
    <t>Compressed Air Nozzle</t>
  </si>
  <si>
    <t>Compressed Air Low Pressure Drop Filter</t>
  </si>
  <si>
    <t>Compressed Air No-Loss Condensate Drains</t>
  </si>
  <si>
    <t>Tankless Water Heater Electric, ≥ 0.95 UEF</t>
  </si>
  <si>
    <t>Non-Cycling Dryer</t>
  </si>
  <si>
    <t>Standard Nozzle</t>
  </si>
  <si>
    <t>Digital Scroll Dryer</t>
  </si>
  <si>
    <t>Variable Speed Dryer</t>
  </si>
  <si>
    <t>Thermal Mass Dryer</t>
  </si>
  <si>
    <t>$/Unit</t>
  </si>
  <si>
    <t>$/CFM</t>
  </si>
  <si>
    <t>$/Nozzle</t>
  </si>
  <si>
    <t>$/HP</t>
  </si>
  <si>
    <t>$/Drain</t>
  </si>
  <si>
    <t>Compressed Air VS Air Dryer Replacing Non-Cycling Dryer</t>
  </si>
  <si>
    <t>Heated DA Dryer</t>
  </si>
  <si>
    <t>Blower Purge DA Dryer</t>
  </si>
  <si>
    <t>Reciprocating - Load/Unload</t>
  </si>
  <si>
    <t>Reciprocating - On/Off Control</t>
  </si>
  <si>
    <t>Screw - Load/Unload</t>
  </si>
  <si>
    <t>Screw - Variable Displacement</t>
  </si>
  <si>
    <t>Screw - VFD</t>
  </si>
  <si>
    <t>Coalescing Filter</t>
  </si>
  <si>
    <t>Standard Condensate Drain</t>
  </si>
  <si>
    <t>Drain</t>
  </si>
  <si>
    <t xml:space="preserve">
Non-Cycling Dryer</t>
  </si>
  <si>
    <t xml:space="preserve"> Reciprocating - Load/Unload</t>
  </si>
  <si>
    <t xml:space="preserve">
Reciprocating - Load/Unload</t>
  </si>
  <si>
    <t xml:space="preserve">
 Reciprocating - Load/Unload</t>
  </si>
  <si>
    <t xml:space="preserve"> Reciprocating - On/Off Control</t>
  </si>
  <si>
    <t xml:space="preserve">
Reciprocating - On/Off Control</t>
  </si>
  <si>
    <t xml:space="preserve">
 Reciprocating - On/Off Control</t>
  </si>
  <si>
    <t xml:space="preserve"> Screw - Load/Unload</t>
  </si>
  <si>
    <t xml:space="preserve"> Screw - Variable Displacement</t>
  </si>
  <si>
    <t xml:space="preserve"> Screw - VFD</t>
  </si>
  <si>
    <t xml:space="preserve">
Screw - Load/Unload</t>
  </si>
  <si>
    <t xml:space="preserve">
Screw - Inlet/Modulation</t>
  </si>
  <si>
    <t xml:space="preserve">
Screw - Variable Displacement</t>
  </si>
  <si>
    <t xml:space="preserve">
Screw - VFD</t>
  </si>
  <si>
    <t xml:space="preserve">
Unknown</t>
  </si>
  <si>
    <t xml:space="preserve">
 Screw - Load/Unload</t>
  </si>
  <si>
    <t xml:space="preserve"> 
 Screw - Inlet/Modulation</t>
  </si>
  <si>
    <t xml:space="preserve">
 Screw - Variable Displacement</t>
  </si>
  <si>
    <t xml:space="preserve">
 Screw - VFD</t>
  </si>
  <si>
    <t xml:space="preserve">
 Unknown</t>
  </si>
  <si>
    <t>Heating Run Hours</t>
  </si>
  <si>
    <t>Cooling Run Hours</t>
  </si>
  <si>
    <t>Cooling Tower Fan</t>
  </si>
  <si>
    <t xml:space="preserve">
  Reciprocating - Load/Unload</t>
  </si>
  <si>
    <t xml:space="preserve">
  Screw - Load/Unload</t>
  </si>
  <si>
    <t xml:space="preserve"> 
  Screw - Inlet/Modulation</t>
  </si>
  <si>
    <t xml:space="preserve">
  Screw - Variable Displacement</t>
  </si>
  <si>
    <t xml:space="preserve">
  Screw - VFD</t>
  </si>
  <si>
    <t xml:space="preserve">
 Screw - Inlet Mod. w/ Unloading</t>
  </si>
  <si>
    <t xml:space="preserve">
  Screw - Inlet Mod. w/ Unloading</t>
  </si>
  <si>
    <t xml:space="preserve">
Screw - Inlet Mod. w/ Unloading</t>
  </si>
  <si>
    <t>Elec. Storage Water Heater</t>
  </si>
  <si>
    <t xml:space="preserve">
  Recip. - On/Off Control</t>
  </si>
  <si>
    <t>No RHR</t>
  </si>
  <si>
    <t>Constant Speed Milk Transfer Pump</t>
  </si>
  <si>
    <r>
      <t xml:space="preserve">Sprinkler Nozzle </t>
    </r>
    <r>
      <rPr>
        <sz val="11"/>
        <color theme="1"/>
        <rFont val="Calibri"/>
        <family val="2"/>
      </rPr>
      <t>≥</t>
    </r>
    <r>
      <rPr>
        <sz val="7.7"/>
        <color theme="1"/>
        <rFont val="Calibri"/>
        <family val="2"/>
      </rPr>
      <t xml:space="preserve"> 50 PSI</t>
    </r>
  </si>
  <si>
    <t>Nozzles</t>
  </si>
  <si>
    <t>Timers</t>
  </si>
  <si>
    <t>Reciprocating Compressor</t>
  </si>
  <si>
    <t>Milk Bulk Tank W/O Cooler</t>
  </si>
  <si>
    <t>Non HVLS Fan</t>
  </si>
  <si>
    <t>Fans</t>
  </si>
  <si>
    <t>Existing Fan</t>
  </si>
  <si>
    <t>Manual Engine Block Heater</t>
  </si>
  <si>
    <t>Calculated Thm</t>
  </si>
  <si>
    <t>Please Enter Natural Gas Agriculture Measures Below</t>
  </si>
  <si>
    <t>PE Glazing / No Curtain</t>
  </si>
  <si>
    <t>PE Glazing / No Film</t>
  </si>
  <si>
    <t>Taylor Potter</t>
  </si>
  <si>
    <t>Matthew</t>
  </si>
  <si>
    <t>840911-CA-Compressed Air Digital Scroll Air Dryer Replacing Non-Cycling Dryer</t>
  </si>
  <si>
    <t>840912-CA-Compressed Air Variable Speed Air Dryer Replacing Non-Cycling Dryer</t>
  </si>
  <si>
    <t>840913-CA-Compressed Air Thermal Mass Air Dryer Replacing Non-Cycling Dryer</t>
  </si>
  <si>
    <t>840915-CA-Compressed Air Nozzle</t>
  </si>
  <si>
    <t>840917-CA-Compressed Air Low Pressure Drop Filter</t>
  </si>
  <si>
    <t>840918-CA-Compressed Air No-Loss Condensate Drains</t>
  </si>
  <si>
    <t>860000-AG-Dairy Refrigeration Heat Recovery - Electric</t>
  </si>
  <si>
    <t>860001-AG-VSD Milk Pump w/ Plate Cooler Heat Exchanger</t>
  </si>
  <si>
    <t>860002-AG-Low Pressure Sprinkler Nozzle</t>
  </si>
  <si>
    <t>860003-AG-Scroll Compressor for Dairy Refrigeration</t>
  </si>
  <si>
    <t>860004-AG-Milk Pre-Cooler</t>
  </si>
  <si>
    <t>860009-AG-High Speed Fans (36-47 in.)</t>
  </si>
  <si>
    <t>860008-AG-High Speed Fans (24-35 in.)</t>
  </si>
  <si>
    <t>860010-AG-High Speed Fans (48-71 in.)</t>
  </si>
  <si>
    <t>860011-AG-Engine Block Timer</t>
  </si>
  <si>
    <t>960000-AG-Dairy Refrigeration Heat Recovery - Natural Gas</t>
  </si>
  <si>
    <t>960001-AG-Greenhouse Thermal Curtains</t>
  </si>
  <si>
    <t>960002-AG-Infrared Film for Greenhouse</t>
  </si>
  <si>
    <t>Space Heating Boiler Tune-Up</t>
  </si>
  <si>
    <t>Space Heating Furnace Tune-Up</t>
  </si>
  <si>
    <t>Tankless Water Heater Natural Gas, ≥ 0.87 UEF</t>
  </si>
  <si>
    <t>High-Efficiency Tank-Style Domestic Water Heater &gt; 55 Gal, ≤ 75 MBH, ≥ 0.80 UEF</t>
  </si>
  <si>
    <t>High-Efficiency Tank-Style Domestic Water Heater ≤  55 Gal, ≤ 75 MBH, ≥ 0.68 UEF</t>
  </si>
  <si>
    <t>(≥ 93% AFUE) Natural Gas Furnace Replacing Standard Unit (≤225 MBH)</t>
  </si>
  <si>
    <t>Heating EFLH</t>
  </si>
  <si>
    <t>Cooling EFLH</t>
  </si>
  <si>
    <t>Per MBH</t>
  </si>
  <si>
    <t>(≥ 93% AFUE) Natural Gas Furnace (≤225 MBH)</t>
  </si>
  <si>
    <t>No Tune-Up</t>
  </si>
  <si>
    <t>No Heat Recovery</t>
  </si>
  <si>
    <t>Standard Boiler</t>
  </si>
  <si>
    <t>Standard Unit (≤225 MBH)</t>
  </si>
  <si>
    <t>No Tune-Up Past 36 Months</t>
  </si>
  <si>
    <r>
      <t xml:space="preserve">Existing Furnace AFUE </t>
    </r>
    <r>
      <rPr>
        <sz val="11"/>
        <color theme="1"/>
        <rFont val="Calibri"/>
        <family val="2"/>
      </rPr>
      <t>≤</t>
    </r>
    <r>
      <rPr>
        <sz val="7.7"/>
        <color theme="1"/>
        <rFont val="Calibri"/>
        <family val="2"/>
      </rPr>
      <t xml:space="preserve"> 80%</t>
    </r>
  </si>
  <si>
    <r>
      <t xml:space="preserve">Compressed Air Heat Recovery </t>
    </r>
    <r>
      <rPr>
        <sz val="11"/>
        <color theme="1"/>
        <rFont val="Calibri"/>
        <family val="2"/>
      </rPr>
      <t>≤</t>
    </r>
    <r>
      <rPr>
        <sz val="7.7"/>
        <color theme="1"/>
        <rFont val="Calibri"/>
        <family val="2"/>
      </rPr>
      <t xml:space="preserve"> 100 HP</t>
    </r>
  </si>
  <si>
    <t>Exhaust Ducted to Unconditioned Space</t>
  </si>
  <si>
    <r>
      <t xml:space="preserve">Existing Boiler AFUE </t>
    </r>
    <r>
      <rPr>
        <sz val="11"/>
        <color theme="1"/>
        <rFont val="Calibri"/>
        <family val="2"/>
      </rPr>
      <t>≤</t>
    </r>
    <r>
      <rPr>
        <sz val="7.7"/>
        <color theme="1"/>
        <rFont val="Calibri"/>
        <family val="2"/>
      </rPr>
      <t xml:space="preserve"> 84%</t>
    </r>
  </si>
  <si>
    <t>Existing Boiler AFUE ≤ 82%</t>
  </si>
  <si>
    <r>
      <t xml:space="preserve">Existing Boiler TE </t>
    </r>
    <r>
      <rPr>
        <sz val="11"/>
        <color theme="1"/>
        <rFont val="Calibri"/>
        <family val="2"/>
      </rPr>
      <t>≤</t>
    </r>
    <r>
      <rPr>
        <sz val="7.7"/>
        <color theme="1"/>
        <rFont val="Calibri"/>
        <family val="2"/>
      </rPr>
      <t xml:space="preserve"> 80%</t>
    </r>
  </si>
  <si>
    <t>Existing Boiler TE ≤ 80%</t>
  </si>
  <si>
    <t>Hot Water Boiler &lt; 300 MBH and ≥ 96% AFUE</t>
  </si>
  <si>
    <t>Hot Water Boiler ≥ 300 MBH ≤ 2500 MBH and ≥ 92% TE</t>
  </si>
  <si>
    <t>Steam Boiler &lt; 300 MBH  and ≥ 92% AFUE</t>
  </si>
  <si>
    <r>
      <t xml:space="preserve">Steam Boiler ≥ 300 MBH ≤ 2500 MBH and </t>
    </r>
    <r>
      <rPr>
        <sz val="11"/>
        <color theme="1"/>
        <rFont val="Calibri"/>
        <family val="2"/>
      </rPr>
      <t>≥</t>
    </r>
    <r>
      <rPr>
        <sz val="7.7"/>
        <color theme="1"/>
        <rFont val="Calibri"/>
        <family val="2"/>
      </rPr>
      <t xml:space="preserve"> </t>
    </r>
    <r>
      <rPr>
        <sz val="11"/>
        <color theme="1"/>
        <rFont val="Calibri"/>
        <family val="2"/>
        <scheme val="minor"/>
      </rPr>
      <t>92% TE</t>
    </r>
  </si>
  <si>
    <r>
      <t xml:space="preserve">High Draw </t>
    </r>
    <r>
      <rPr>
        <sz val="11"/>
        <color theme="1"/>
        <rFont val="Calibri"/>
        <family val="2"/>
      </rPr>
      <t xml:space="preserve">≤ </t>
    </r>
    <r>
      <rPr>
        <sz val="11"/>
        <color theme="1"/>
        <rFont val="Calibri"/>
        <family val="2"/>
        <scheme val="minor"/>
      </rPr>
      <t>55 Gallon Storage Water Heater</t>
    </r>
  </si>
  <si>
    <r>
      <t xml:space="preserve">High Draw </t>
    </r>
    <r>
      <rPr>
        <sz val="11"/>
        <color theme="1"/>
        <rFont val="Calibri"/>
        <family val="2"/>
      </rPr>
      <t>≤</t>
    </r>
    <r>
      <rPr>
        <sz val="11"/>
        <color theme="1"/>
        <rFont val="Calibri"/>
        <family val="2"/>
        <scheme val="minor"/>
      </rPr>
      <t xml:space="preserve"> 55 Gallon Storage Water Heater</t>
    </r>
  </si>
  <si>
    <t>Standard Efficiency Pool Heater 78% Eff.</t>
  </si>
  <si>
    <t>High Draw ≤ 55 Gallon Storage Water Heater</t>
  </si>
  <si>
    <t>Misc / Compressed Air / VFDs</t>
  </si>
  <si>
    <t>HVAC (Electric)</t>
  </si>
  <si>
    <t>Doors</t>
  </si>
  <si>
    <t>Updated by Michael Flatt 1/9/2022</t>
  </si>
  <si>
    <t>Based on 2022-23 NIPSCO Program Design v1.0.0</t>
  </si>
  <si>
    <t>830846-Refrigeration-Automatic High Speed Doors - Cooler to Dock</t>
  </si>
  <si>
    <t>830847-Refrigeration-Automatic High Speed Doors - Freezer to Cooler</t>
  </si>
  <si>
    <t>830848-Refrigeration-Automatic High Speed Doors - Freezer to Dock</t>
  </si>
  <si>
    <t>Sprinkler Nozzle ≥ 50 PSI</t>
  </si>
  <si>
    <t>Standard Coalescing Filter</t>
  </si>
  <si>
    <t>Electric Storage Water Heater</t>
  </si>
  <si>
    <t>No VSD</t>
  </si>
  <si>
    <t>Heatless Regenerative Desiccant Dryer</t>
  </si>
  <si>
    <t>840919-Water Heat-Tankless Water Heater Electric, ≥ 0.95 UEF</t>
  </si>
  <si>
    <t>930806-Water Heat-High-Efficiency Tank-Style Domestic Water Heater ≤  55 Gal, ≤ 75 MBH, ≥ 0.68 UEF</t>
  </si>
  <si>
    <t>930804-Water Heat-Tankless Water Heater Natural Gas, ≥ 0.87 UEF</t>
  </si>
  <si>
    <t>910127-HVAC-(≥ 93% AFUE) Natural Gas Furnace Replacing Standard Unit (≤225 MBH)</t>
  </si>
  <si>
    <t>910130-HVAC-Space Heating Boiler Tune-Up</t>
  </si>
  <si>
    <t>910131-HVAC-Space Heating Furnace Tune-Up</t>
  </si>
  <si>
    <t>851018-Kitchen-ENERGY STAR - Full Size Replacing Non-ENERGY STAR model</t>
  </si>
  <si>
    <t>851017-Kitchen-ENERGY STAR Oven - Combo Replacing Non-ENERGY STAR model</t>
  </si>
  <si>
    <t>851014-Kitchen-ENERGY STAR Oven - Convection Replacing Non-ENERGY STAR model</t>
  </si>
  <si>
    <t>851015-Kitchen-ENERGY STAR Steamer - 5 Pan Replacing Non-ENERGY STAR model</t>
  </si>
  <si>
    <t>851016-Kitchen-ENERGY STAR Steamer - 6 Pan Replacing Non-ENERGY STAR model</t>
  </si>
  <si>
    <t>930803-Water Heat-Unit-Hi-E Water/Pool Heater &gt;80% Annual Fuel Utilization Efficiency (AFUE)</t>
  </si>
  <si>
    <t>Hi-E Water/Pool Heater &gt;80% Annual Fuel Utilization Efficiency (AFUE) Replacing &lt;80% AFUE</t>
  </si>
  <si>
    <t>Hi-E Water/Pool Heater &gt;80% Annual Fuel Utilization Efficiency (AFUE)</t>
  </si>
  <si>
    <t>910121-HVAC-Boiler-Dry Cleaning Steam Trap Replacemtent</t>
  </si>
  <si>
    <t>910128-HVAC-Boiler-Industrial Steam Trap Replacement</t>
  </si>
  <si>
    <t>910129-HVAC-Heater-Infrared Heater</t>
  </si>
  <si>
    <t>3.4.0</t>
  </si>
  <si>
    <t>Many changes for new program cycle.  Integrated agriculture tab and WHF into calculations.  Updated building type table.  Added account type field.  Redesigned HVAC tab.  Redesigned Misc/VFD tab.</t>
  </si>
  <si>
    <t>Updated graphics with exclusionary terms for midstream program.  Updated terms and conditions with correct custom incentive rates.</t>
  </si>
  <si>
    <t>3.4.1</t>
  </si>
  <si>
    <t>3.4.2</t>
  </si>
  <si>
    <t>ASHP 65 ≤ kBtuh &lt; 135 
(5.4 ≤ tons &lt; 11.3)</t>
  </si>
  <si>
    <t>ASHP ≥ 240 kBtuh
(≥ 20 tons)</t>
  </si>
  <si>
    <t>DX Unit 135 ≤ kBtuh &lt; 240 
(11.3 ≤ tons &lt; 20)</t>
  </si>
  <si>
    <t>DX Unit 240 ≤ kBtuh &lt; 760 
(20 ≤ tons &lt; 63.3)</t>
  </si>
  <si>
    <t>DX Unit 65 ≤ kBtuh &lt; 135 
(5.4 ≤ tons &lt; 11.3)</t>
  </si>
  <si>
    <t>DX Unit ≥ 760 kBtuh
(&gt; 63.3 tons)</t>
  </si>
  <si>
    <t>ASHP 135 ≤ kBtuh &lt; 240 
(11.3 ≤ tons &lt; 20)</t>
  </si>
  <si>
    <t>Corrected NC hours to autopopulate from new building type table.  Updated rounding on kWh for custom lighting (2 decimal places).  Updated maximum allowable Wattage ranges to allow for more HO lamp options.  Updated export to show baseline and efficient efficiency values for selected HVAC measure.  Updated HVAC measure names to include tonnage.</t>
  </si>
  <si>
    <t>Bonus Key</t>
  </si>
  <si>
    <t>830812-Refrigeration-Ice Machine-ENERGY STAR Ice Machine - &gt;=1000 lb/Day</t>
  </si>
  <si>
    <t>830811-Refrigeration-Ice Machine-ENERGY STAR Ice Machine - 500-1000 lb/Day</t>
  </si>
  <si>
    <t>3.5.0</t>
  </si>
  <si>
    <t>Adjusted ice machine savings and measure numbers to align with design.  Adjusted ECM cooler motor incentive and measuer number to align with design.  Added 20% lighting bonus for fluorescent and HID lighting.</t>
  </si>
  <si>
    <t>ASHP 135 ≤ kBtuh &lt; 240 (11.3 ≤ tons &lt; 20)</t>
  </si>
  <si>
    <t>ASHP ≥ 240 kBtuh (≥ 20 tons)</t>
  </si>
  <si>
    <t>ASHP 65 ≤ kBtuh &lt; 135 (5.4 ≤ tons &lt; 11.3)</t>
  </si>
  <si>
    <t>DX Unit 135 ≤ kBtuh &lt; 240 (11.3 ≤ tons &lt; 20)</t>
  </si>
  <si>
    <t>DX Unit 240 ≤ kBtuh &lt; 760 (20 ≤ tons &lt; 63.3)</t>
  </si>
  <si>
    <t>DX Unit 65 ≤ kBtuh &lt; 135 (5.4 ≤ tons &lt; 11.3)</t>
  </si>
  <si>
    <t>DX Unit ≥ 760 kBtuh (&gt; 63.3 tons)</t>
  </si>
  <si>
    <t>Ground Water SHP &lt; 135 kBtuh (&lt; 11.3 tons)</t>
  </si>
  <si>
    <t>WSHP &lt; 17 kBtuh (&lt; 1.4 tons)</t>
  </si>
  <si>
    <t>WSHP 17 ≤ kBtuh &lt; 135 (1.4 ≤ tons &lt; 11.2)</t>
  </si>
  <si>
    <t>820718-HVAC-ASHP 135 ≤ kBtuh &lt; 240 (11.3 ≤ tons &lt; 20)</t>
  </si>
  <si>
    <t>820719-HVAC-ASHP ≥ 240 kBtuh (≥ 20 tons)</t>
  </si>
  <si>
    <t>820717-HVAC-ASHP 65 ≤ kBtuh &lt; 135 (5.4 ≤ tons &lt; 11.3)</t>
  </si>
  <si>
    <t>820728-HVAC-DX Unit ≥ 760 kBtuh (&gt; 63.3 tons)</t>
  </si>
  <si>
    <t>820721-HVAC-Ground Water SHP &lt; 135 kBtuh (&lt; 11.3 tons)</t>
  </si>
  <si>
    <t>820722-HVAC-WSHP &lt; 17 kBtuh (&lt; 1.4 tons)</t>
  </si>
  <si>
    <t>820723-HVAC-WSHP 17 ≤ kBtuh &lt; 135 (1.4 ≤ tons &lt; 11.2)</t>
  </si>
  <si>
    <t>820720-HVAC-GSHP &lt; 135 kBtuh (&lt; 11.3 tons)</t>
  </si>
  <si>
    <t>GSHP &lt; 135 kBtuh (&lt; 11.3 tons)</t>
  </si>
  <si>
    <t xml:space="preserve">Complete Proj Info Tab </t>
  </si>
  <si>
    <t>Application Issue Date:</t>
  </si>
  <si>
    <t>3.5.1</t>
  </si>
  <si>
    <t xml:space="preserve">Flipped greater than sign to less than on WSHP &lt; 17 kBtuh to correct error.  Changed Midstream Program to Midstream Channel in T&amp;C.  Added application issue date.  Removed one link from link information tab.  Adjusted alignment of remaining graphics.  Changed status message from “Enter Bldg Type (Proj Info Tab)” to “Complete Proj Info Tab.”  </t>
  </si>
  <si>
    <t>ASHP &lt; 65 kBtuh (&lt; 5.4 Tons)</t>
  </si>
  <si>
    <t>DX Unit &lt; 65 kBtuh (&lt; 5.4 tons)</t>
  </si>
  <si>
    <t>ASHP &lt; 65 kBtuh
(&lt; 5.4 Tons)</t>
  </si>
  <si>
    <t>DX Unit &lt; 65 kBtuh
(&lt; 5.4 tons)</t>
  </si>
  <si>
    <t>Please note natural gas agriculture measures are at the bottom of this tab starting on row 18.</t>
  </si>
  <si>
    <t>3.5.2</t>
  </si>
  <si>
    <t xml:space="preserve">Bolded and enlarged notification about gas measures on Ag tab.  Updated graphic on start -&gt; energy efficiency programs to correct midstream program to midstream channel.  </t>
  </si>
  <si>
    <t>840914-CA-Compressed Air Heated Desiccant Air Dryer</t>
  </si>
  <si>
    <t>Compressed Air Heated Desiccant Air Dryer</t>
  </si>
  <si>
    <t>Compressed Air Blower Purge Desiccant Air Dryer</t>
  </si>
  <si>
    <t>840916-CA-Compressed Air Blower Purge Desiccant Air Dryer</t>
  </si>
  <si>
    <t>GSHP &lt; 135 kBtuh
(&lt; 11.3 tons)</t>
  </si>
  <si>
    <t>Compressed Air Heat Recovery ≤ 100 HP</t>
  </si>
  <si>
    <r>
      <t xml:space="preserve">910122-HVAC-Compressed Air Heat Recovery </t>
    </r>
    <r>
      <rPr>
        <sz val="11"/>
        <color theme="1"/>
        <rFont val="Calibri"/>
        <family val="2"/>
      </rPr>
      <t>≤</t>
    </r>
    <r>
      <rPr>
        <sz val="9.35"/>
        <color theme="1"/>
        <rFont val="Calibri"/>
        <family val="2"/>
      </rPr>
      <t xml:space="preserve"> 100 HP</t>
    </r>
  </si>
  <si>
    <t>910124-HVAC-Steam Boiler &lt; 300 MBH  and ≥ 92% AFUE</t>
  </si>
  <si>
    <t>910125-HVAC-Steam Boiler ≥ 300 MBH ≤ 2500 MBH and ≥ 92% TE</t>
  </si>
  <si>
    <t>910126-HVAC-Hot Water Boiler &lt; 300 MBH and ≥ 96% AFUE</t>
  </si>
  <si>
    <t>910123-HVAC-Hot Water Boiler ≥ 300 MBH ≤ 2500 MBH and ≥ 92% TE</t>
  </si>
  <si>
    <t>Steam Boiler ≥ 300 MBH ≤ 2500 MBH and ≥ 92% TE</t>
  </si>
  <si>
    <t>LED Refrigerated Display Case Lighting</t>
  </si>
  <si>
    <t>ENERGY STAR - Holding Cabinet - 1/2 Size Replacing Non-ENERGY STAR Model</t>
  </si>
  <si>
    <t>ENERGY STAR - Holding Cabinet - Full Size Replacing Non-ENERGY STAR Model</t>
  </si>
  <si>
    <t>Motion Sensors on LED Cases</t>
  </si>
  <si>
    <t>ENERGY STAR Ice Machine - ≥1000 lb/Day</t>
  </si>
  <si>
    <t>ENERGY STAR Holding Cabinet - 1/2 Size</t>
  </si>
  <si>
    <t>ENERGY STAR Holding Cabinet - Full Size</t>
  </si>
  <si>
    <t>3.5.3</t>
  </si>
  <si>
    <t>Adjusted export to account for cost change from unit to total (refrigeration and HVAC gas).</t>
  </si>
  <si>
    <t>MIke</t>
  </si>
  <si>
    <t>Adjusted custom tabs to waive payback requirements for RCx projects.</t>
  </si>
  <si>
    <t>Business Diversity Information</t>
  </si>
  <si>
    <t>Please fill out the business diversity information below. If this does not apply, then select "Not Applicable" and continue with the application.</t>
  </si>
  <si>
    <r>
      <t>Diverse Business Type</t>
    </r>
    <r>
      <rPr>
        <sz val="11"/>
        <color rgb="FFFF0000"/>
        <rFont val="Arial"/>
        <family val="2"/>
      </rPr>
      <t>*</t>
    </r>
  </si>
  <si>
    <t>M02S02F47</t>
  </si>
  <si>
    <t>M02S02F48</t>
  </si>
  <si>
    <t>M02S02F49</t>
  </si>
  <si>
    <t>M02S02F50</t>
  </si>
  <si>
    <t>M02S02F51</t>
  </si>
  <si>
    <t>Trade Ally Diversity Information</t>
  </si>
  <si>
    <t>M02S03F13</t>
  </si>
  <si>
    <t>M02S03F14</t>
  </si>
  <si>
    <t>M02S03F15</t>
  </si>
  <si>
    <t>M02S03F16</t>
  </si>
  <si>
    <t>M02S03F17</t>
  </si>
  <si>
    <t>CustomerDBE</t>
  </si>
  <si>
    <t>TradeAllyDBE</t>
  </si>
  <si>
    <t>Issued Organization Type</t>
  </si>
  <si>
    <t>Certificate Number</t>
  </si>
  <si>
    <t>Certificate Issued Date</t>
  </si>
  <si>
    <t>Certificate Expiration Date</t>
  </si>
  <si>
    <t>3.5.4</t>
  </si>
  <si>
    <t>Removed bonus.  Added customer/TA diversity questions.</t>
  </si>
  <si>
    <t>Disabled-Owned Business (DOBE)</t>
  </si>
  <si>
    <t>Historically Underutilized Business Zone (HUBZone)</t>
  </si>
  <si>
    <t>Lesbian, Gay, Bisexual, Transgender (LGBT)</t>
  </si>
  <si>
    <t>Veteran-Owned Business (VBE)</t>
  </si>
  <si>
    <t>Woman-Owned Business (WBE)</t>
  </si>
  <si>
    <t>Diverse Business Type</t>
  </si>
  <si>
    <t>Bonus Incentive</t>
  </si>
  <si>
    <t>1-Lamp 2Ft Fluor.</t>
  </si>
  <si>
    <t>RCXSTUDY</t>
  </si>
  <si>
    <t>RCx - Study</t>
  </si>
  <si>
    <t>Custom RCx - Study</t>
  </si>
  <si>
    <t>RCx study incentives will be provided to the RCx provider and capped at the RCx study cost.</t>
  </si>
  <si>
    <t>830828-Refrigeration-ECM-ECM Cooler Motors</t>
  </si>
  <si>
    <t>830827-Refrigeration-ECM-ECM Freezer Motors</t>
  </si>
  <si>
    <t>Equipment Ordered</t>
  </si>
  <si>
    <t>Yes</t>
  </si>
  <si>
    <t>No</t>
  </si>
  <si>
    <t>Eligibility Information</t>
  </si>
  <si>
    <t>Please provide the following information for the site to determine which incentives the site is eligible for.</t>
  </si>
  <si>
    <r>
      <t>Have you Installed or Purchased Equipment</t>
    </r>
    <r>
      <rPr>
        <sz val="11"/>
        <color rgb="FFFF0000"/>
        <rFont val="Arial"/>
        <family val="2"/>
      </rPr>
      <t>*</t>
    </r>
  </si>
  <si>
    <r>
      <t>Estimated Completion Date</t>
    </r>
    <r>
      <rPr>
        <sz val="11"/>
        <color rgb="FFFF0000"/>
        <rFont val="Arial"/>
        <family val="2"/>
      </rPr>
      <t>*</t>
    </r>
    <r>
      <rPr>
        <sz val="11"/>
        <color theme="1"/>
        <rFont val="Arial"/>
        <family val="2"/>
      </rPr>
      <t xml:space="preserve"> (MM/DD/YYYY)</t>
    </r>
  </si>
  <si>
    <t>3.5.8</t>
  </si>
  <si>
    <t>Estimated Completion Date</t>
  </si>
  <si>
    <t>Bonus Expiration Date:</t>
  </si>
  <si>
    <t>Added completion date form on T&amp;C tab.  Revised expiration date to coincide with bonus expiration date.  Added bonus expiration date field.  Revised bonus formulas to work with that.  Added language pop up about bonus expiring to start page.  Added bonus languaged to T&amp;C.</t>
  </si>
  <si>
    <t>SEER2</t>
  </si>
  <si>
    <t>HSPF2</t>
  </si>
  <si>
    <t>Reserve Funding</t>
  </si>
  <si>
    <t>Finalize Incentive for Payment</t>
  </si>
  <si>
    <t>Christmas Day</t>
  </si>
  <si>
    <t>Updated average gas and electric rates per avaiable EIA data for 2022.  Updated dates throughout application to 2023.  Updated T&amp;c for 2023.  Hid bonus boxes and text where necessary.  Updated graphics on offer and completion forms.  Updated incentive rates and measure list to match 2023 program design.</t>
  </si>
  <si>
    <t>3.5.9</t>
  </si>
  <si>
    <t>840920-HVAC-VSD for HVAC Pumps</t>
  </si>
  <si>
    <t>2022-2023 v1.1.4</t>
  </si>
  <si>
    <t>840922-VSD on Air Compressor ≤200HP</t>
  </si>
  <si>
    <t>810507-Lighting-Dual Occupancy &amp; Daylight Sensor (Indoor Only)</t>
  </si>
  <si>
    <t>3.5.9 (12.12.2022)</t>
  </si>
  <si>
    <t>Updated measure numbers to new, 2023 values where necessary.  Updated incentive levels (corrected error) to 2023 levels for (2) measures (high speed door and leak repair).</t>
  </si>
  <si>
    <t>M05S02F06</t>
  </si>
  <si>
    <t>M05S02F07</t>
  </si>
  <si>
    <t>820738-HVAC-ASHP &lt; 65 kBtuh (&lt; 5.4 Tons)</t>
  </si>
  <si>
    <t>820739-HVAC-DX Unit &lt; 65 kBtuh (&lt; 5.4 tons)</t>
  </si>
  <si>
    <t>820740-HVAC-DX Unit 135 ≤ kBtuh &lt; 240 (11.3 ≤ tons &lt; 20)</t>
  </si>
  <si>
    <t>820741-HVAC-DX Unit 240 ≤ kBtuh &lt; 760 (20 ≤ tons &lt; 63.3)</t>
  </si>
  <si>
    <t>820742-HVAC-DX Unit 65 ≤ kBtuh &lt; 135 (5.4 ≤ tons &lt; 11.3)</t>
  </si>
  <si>
    <t>831303-Lighting-Refrigerator-LED Refrigerated Case Lighting</t>
  </si>
  <si>
    <t>$500,000 Cap Reached</t>
  </si>
  <si>
    <t>3.6.0</t>
  </si>
  <si>
    <t>Updated NC gas incentive rate to $0.80/therm.</t>
  </si>
  <si>
    <t>Bonus Key 2</t>
  </si>
  <si>
    <t>Est. Compl. Date</t>
  </si>
  <si>
    <t>830851-Refrigeration-ECM &amp; Evap Fan Controls</t>
  </si>
  <si>
    <t>ECM &amp; Evap Fan Controls</t>
  </si>
  <si>
    <t>No ECM or Evap Fan Controls</t>
  </si>
  <si>
    <t>3.6.1</t>
  </si>
  <si>
    <t>Added 2023 bonus measures.  Added ECM &amp; Evap Fan Controls measure.  Added completion date information to PC Summary tab.</t>
  </si>
  <si>
    <t>3.6.2</t>
  </si>
  <si>
    <t>Updated Ag bonus measure number (removed duplicate).  Corrected equation on ASHP &lt; 65 kBtuh.</t>
  </si>
  <si>
    <t>Electric and Gas</t>
  </si>
  <si>
    <t>3.6.3</t>
  </si>
  <si>
    <t>Updated default rates based on last 12 months of available EIA data for state of IN.  Averaged Commercial and Industrial values.  Increased bonus to 20% where applicable.  New measures were introduced to track new bonus activations.  Updated rate codes to new values based on NIPSCO website.  Added rate code 543.  Accompanying graphics were updated too. Changed export tab to track Custom/NC/RCx projects.</t>
  </si>
  <si>
    <t>CostBasis</t>
  </si>
  <si>
    <t>TotalIncrementalCost</t>
  </si>
  <si>
    <t>WHFTherms</t>
  </si>
  <si>
    <t>SpaceType</t>
  </si>
  <si>
    <t>EstCompletionDate</t>
  </si>
  <si>
    <t>2024-2026 v1.0.0</t>
  </si>
  <si>
    <t>LED 2x4 Fixture w/ Fixture Mounted Occ. Sensor</t>
  </si>
  <si>
    <t xml:space="preserve">LED 2x4 Fixture w/ Fixture Mounted Occ. Sensor </t>
  </si>
  <si>
    <t>LED 1x4 Fixture w/ Fixture Mounted Occ. Sensor</t>
  </si>
  <si>
    <t>LED 2x2 Fixture w/ Fixture Mounted Occ. Sensor</t>
  </si>
  <si>
    <t>LED 2x4 Fixture w/ LLLC</t>
  </si>
  <si>
    <t>LED 1x4 Fixture w/ LLLC</t>
  </si>
  <si>
    <t>LED 2x2 Fixture w/ LLLC</t>
  </si>
  <si>
    <t xml:space="preserve"> LED 2x4 Fixture w/ Fixture Mounted Occ. Sensor </t>
  </si>
  <si>
    <t xml:space="preserve">
LED 2x4 Fixture w/ Fixture Mounted Occ. Sensor</t>
  </si>
  <si>
    <t xml:space="preserve"> LED 1x4 Fixture w/ Fixture Mounted Occ. Sensor</t>
  </si>
  <si>
    <t xml:space="preserve"> LED 2x2 Fixture w/ Fixture Mounted Occ. Sensor</t>
  </si>
  <si>
    <t xml:space="preserve"> LED 2x4 Fixture w/ LLLC</t>
  </si>
  <si>
    <t xml:space="preserve">
LED 2x4 Fixture w/ LLLC</t>
  </si>
  <si>
    <t xml:space="preserve"> LED 1x4 Fixture w/ LLLC</t>
  </si>
  <si>
    <t xml:space="preserve"> LED 2x2 Fixture w/ LLLC</t>
  </si>
  <si>
    <t>Chiller - IECC 2018</t>
  </si>
  <si>
    <t>Chiller - IECC 2019</t>
  </si>
  <si>
    <t>Chiller - IECC 2020</t>
  </si>
  <si>
    <t>Heat Pump - Federal Baseline</t>
  </si>
  <si>
    <t>Unitary AC - Federal Baseline</t>
  </si>
  <si>
    <t>IL TRM v12.0</t>
  </si>
  <si>
    <t>N/A</t>
  </si>
  <si>
    <t>Water Cooled Chiller - Centrifugal ≤ 150 Tons</t>
  </si>
  <si>
    <t>Water Cooled Chiller - Screw &lt; 75 Tons</t>
  </si>
  <si>
    <t>Air Cooled Chiller ≤ 150 Tons</t>
  </si>
  <si>
    <t>Evaporator Fan Controls</t>
  </si>
  <si>
    <t>Vending Equipment Controller</t>
  </si>
  <si>
    <t>Walk-In Cooler Strip Curtains - Supermarket</t>
  </si>
  <si>
    <t>ENERGY STAR Holding Cabinet - 3/4 Size</t>
  </si>
  <si>
    <t>ENERGY STAR Dishwasher - Low Temp - Under Counter - Electric</t>
  </si>
  <si>
    <t>ENERGY STAR Dishwasher - Low Temp - Single Tank - Electric</t>
  </si>
  <si>
    <t>ENERGY STAR Dishwasher - Low Temp - Multi Tank Conveyor - Electric</t>
  </si>
  <si>
    <t>ENERGY STAR Dishwasher - High Temp - Under Counter - Electric</t>
  </si>
  <si>
    <t>ENERGY STAR Dishwasher - High Temp - Single Tank - Electric</t>
  </si>
  <si>
    <t>ENERGY STAR Dishwasher - High Temp - Single Tank Conveyor- Electric</t>
  </si>
  <si>
    <t>ENERGY STAR Dishwasher - High Temp - Multi Tank Conveyor - Electric</t>
  </si>
  <si>
    <t>ENERGY STAR Dishwasher - High Temp - Pot, Pan, Utensil - Electric</t>
  </si>
  <si>
    <t>Pipe Insulation - 1/2" Pipe - Space Heating</t>
  </si>
  <si>
    <t>Pipe Insulation - 3/4" Pipe - Space Heating</t>
  </si>
  <si>
    <t>Smart Thermostat - Gas Heating Only</t>
  </si>
  <si>
    <t>Manual Thermostat</t>
  </si>
  <si>
    <t>Thermostat</t>
  </si>
  <si>
    <t>Therms</t>
  </si>
  <si>
    <t>Smart Thermostat - Electric Cooling and Gas Heating</t>
  </si>
  <si>
    <t>Smart Thermostat - Electric Cooling and Heating</t>
  </si>
  <si>
    <t>Smart Thermostat - Heat Pump</t>
  </si>
  <si>
    <t>Smart Thermostat - Electric Heating Only</t>
  </si>
  <si>
    <t>Full Load kW/ton</t>
  </si>
  <si>
    <t>IPLV (EER)</t>
  </si>
  <si>
    <t>kW/ton (IPLV)</t>
  </si>
  <si>
    <t>Nominal Tons or Unit</t>
  </si>
  <si>
    <t>ENERGY STAR Dishwasher - Low Temp - Single Tank - Gas Heat/Booster</t>
  </si>
  <si>
    <t>Insulation</t>
  </si>
  <si>
    <t>ENERGY STAR Dishwasher - High Temp - Multi Tank Conveyor - Gas Heat/Booster</t>
  </si>
  <si>
    <t>ENERGY STAR Dishwasher - High Temp - Single Tank - Gas Heat/Booster</t>
  </si>
  <si>
    <t>ENERGY STAR Dishwasher - High Temp - Single Tank Conveyor- Gas Heat/Booster</t>
  </si>
  <si>
    <t>ENERGY STAR Dishwasher - Low Temp - Multi Tank Conveyor - Gas Heat/Booster</t>
  </si>
  <si>
    <t>ENERGY STAR Dishwasher - Low Temp - Under Counter - Gas Heat/Booster</t>
  </si>
  <si>
    <t>ENERGY STAR Fryer - Gas</t>
  </si>
  <si>
    <t>ENERGY STAR Griddle - Gas</t>
  </si>
  <si>
    <t>ENERGY STAR Oven - Convection - Gas</t>
  </si>
  <si>
    <t>ENERGY STAR Steamer - 5 Pan - Gas</t>
  </si>
  <si>
    <t>ENERGY STAR Steamer - 6 Pan - Gas</t>
  </si>
  <si>
    <t>High-Efficiency Tank-Style Domestic Water Heater &gt; 120 Gal, &gt; 75 MBH, &gt; 0.83 UEF</t>
  </si>
  <si>
    <t>High-Efficiency Tank-Style Domestic Water Heater ≤ 120 Gal, ≥ 75 MBH,  ≥ 0.68 UEF</t>
  </si>
  <si>
    <t>Pipe Insulation - 1/2" Pipe - DHW</t>
  </si>
  <si>
    <t>Pipe Insulation - 3/4" Pipe - DHW</t>
  </si>
  <si>
    <t>840923-Water Heat-VFD Retrofit on Pool Circulation Pump</t>
  </si>
  <si>
    <t>VFD Retrofit on Pool Circulation Pump</t>
  </si>
  <si>
    <t>Constant Speed Pool Pump</t>
  </si>
  <si>
    <t>$/0.1 kW/ton 
improvement/ton</t>
  </si>
  <si>
    <t>$/0.1 IPLV 
improvement/ton</t>
  </si>
  <si>
    <t>IL TRM v12.0 Vol 2</t>
  </si>
  <si>
    <t>830849-Refrigeration-Controls-Anti-Sweat Heater Controls - Cooler</t>
  </si>
  <si>
    <t>830850-Refrigeration-Controls-Anti-Sweat Heater Controls - Freezer</t>
  </si>
  <si>
    <t>Veterans Day</t>
  </si>
  <si>
    <t>New Year's Day</t>
  </si>
  <si>
    <r>
      <t>Space Type</t>
    </r>
    <r>
      <rPr>
        <sz val="11"/>
        <color rgb="FFFF0000"/>
        <rFont val="Arial"/>
        <family val="2"/>
      </rPr>
      <t>*</t>
    </r>
  </si>
  <si>
    <t>BLDGSPCType</t>
  </si>
  <si>
    <t>INDEX(PMELIGHT[Eff Desc 1],MATCH('M03-S01'!AN28,PMELIGHT[Base Desc 1],0),1):INDEX(PMELIGHT[Eff Desc 1],MATCH('M03-S01'!AN28,PMELIGHT[Base Desc 1],1),1)</t>
  </si>
  <si>
    <t>INDEX(BLDGSPCType[Space Type],MATCH(M02S02F52,BLDGSPCType[Building Type],0),1):INDEX(BLDGSPCType[Space Type],MATCH(M02S02F52,BLDGSPCType[Building Type],1),1)</t>
  </si>
  <si>
    <t>BLDGSPCTypeList</t>
  </si>
  <si>
    <t>Unknown/Other</t>
  </si>
  <si>
    <t>IECC 2018  (Watts/ Sq. Ft.)</t>
  </si>
  <si>
    <t>Fire Station</t>
  </si>
  <si>
    <t>Police Station</t>
  </si>
  <si>
    <t>School/University</t>
  </si>
  <si>
    <t>Exterior Facades (W/gross above-grade wall area)</t>
  </si>
  <si>
    <t>810170-Lighting-LED-LED 2x4 Fixture w/ Fixture Mounted Occ. Sensor Replacing 2-Lamp Fluor.</t>
  </si>
  <si>
    <t>LED 2x4 Fixture w/ Fixture Mounted Occ. Sensor Replacing 2-Lamp Fluor.</t>
  </si>
  <si>
    <t>810171-Lighting-LED-LED 1x4 Fixture w/ Fixture Mounted Occ. Sensor Replacing 2-Lamp Fluor.</t>
  </si>
  <si>
    <t>LED 1x4 Fixture w/ Fixture Mounted Occ. Sensor Replacing 2-Lamp Fluor.</t>
  </si>
  <si>
    <t>810174-Lighting-LED-LED 2x2 Fixture w/ Fixture Mounted Occ. Sensor Replacing 2-Lamp Fluor.</t>
  </si>
  <si>
    <t>LED 2x2 Fixture w/ Fixture Mounted Occ. Sensor Replacing 2-Lamp Fluor.</t>
  </si>
  <si>
    <t>810177-Lighting-LED-LED 2x4 Fixture w/ LLLC Replacing 2-Lamp Fluor.</t>
  </si>
  <si>
    <t>LED 2x4 Fixture w/ LLLC Replacing 2-Lamp Fluor.</t>
  </si>
  <si>
    <t>810178-Lighting-LED-LED 1x4 Fixture w/ LLLC Replacing 2-Lamp Fluor.</t>
  </si>
  <si>
    <t>LED 1x4 Fixture w/ LLLC Replacing 2-Lamp Fluor.</t>
  </si>
  <si>
    <t>810181-Lighting-LED-LED 2x2 Fixture w/ LLLC Replacing 2-Lamp Fluor.</t>
  </si>
  <si>
    <t>LED 2x2 Fixture w/ LLLC Replacing 2-Lamp Fluor.</t>
  </si>
  <si>
    <t>810169-Lighting-LED-LED 2x4 Fixture w/ Fixture Mounted Occ. Sensor Replacing 3-Lamp Fluor.</t>
  </si>
  <si>
    <t>LED 2x4 Fixture w/ Fixture Mounted Occ. Sensor Replacing 3-Lamp Fluor.</t>
  </si>
  <si>
    <t>810172-Lighting-LED-LED 1x4 Fixture w/ Fixture Mounted Occ. Sensor Replacing 3-Lamp Fluor.</t>
  </si>
  <si>
    <t>LED 1x4 Fixture w/ Fixture Mounted Occ. Sensor Replacing 3-Lamp Fluor.</t>
  </si>
  <si>
    <t>810173-Lighting-LED-LED 2x2 Fixture w/ Fixture Mounted Occ. Sensor Replacing 3-Lamp Fluor.</t>
  </si>
  <si>
    <t>LED 2x2 Fixture w/ Fixture Mounted Occ. Sensor Replacing 3-Lamp Fluor.</t>
  </si>
  <si>
    <t>810176-Lighting-LED-LED 2x4 Fixture w/ LLLC Replacing 3-Lamp Fluor.</t>
  </si>
  <si>
    <t>LED 2x4 Fixture w/ LLLC Replacing 3-Lamp Fluor.</t>
  </si>
  <si>
    <t>810179-Lighting-LED-LED 1x4 Fixture w/ LLLC Replacing 3-Lamp Fluor.</t>
  </si>
  <si>
    <t>LED 1x4 Fixture w/ LLLC Replacing 3-Lamp Fluor.</t>
  </si>
  <si>
    <t>810180-Lighting-LED-LED 2x2 Fixture w/ LLLC Replacing 3-Lamp Fluor.</t>
  </si>
  <si>
    <t>LED 2x2 Fixture w/ LLLC Replacing 3-Lamp Fluor.</t>
  </si>
  <si>
    <t>810168-Lighting-LED-LED 2x4 Fixture w/ Fixture Mounted Occ. Sensor Replacing 4-Lamp Fluor.</t>
  </si>
  <si>
    <t>LED 2x4 Fixture w/ Fixture Mounted Occ. Sensor Replacing 4-Lamp Fluor.</t>
  </si>
  <si>
    <t>810175-Lighting-LED-LED 2x4 Fixture w/ LLLC Replacing 4-Lamp Fluor.</t>
  </si>
  <si>
    <t>LED 2x4 Fixture w/ LLLC Replacing 4-Lamp Fluor.</t>
  </si>
  <si>
    <t>830857-Refrigeration-Auto Door Closers - Walk-In Cooler</t>
  </si>
  <si>
    <t>Auto Door Closers - Walk-In Cooler</t>
  </si>
  <si>
    <t>No Automatic Closure</t>
  </si>
  <si>
    <t>830858-Refrigeration-Auto Door Closers - Walk-In Freezer</t>
  </si>
  <si>
    <t>Auto Door Closers - Walk-In Freezer</t>
  </si>
  <si>
    <t>830844-Refrigeration-ENERGY STAR® Commercial Glass Door Freezers &lt; 15 ft³</t>
  </si>
  <si>
    <t>830841-Refrigeration-ENERGY STAR® Commercial Glass Door Freezers &gt; 50 ft³</t>
  </si>
  <si>
    <t>830839-Refrigeration-ENERGY STAR® Commercial Glass Door Freezers 15-30 ft³</t>
  </si>
  <si>
    <t>830843-Refrigeration-ENERGY STAR® Commercial Glass Door Freezers 30-50 ft³</t>
  </si>
  <si>
    <t>830831-Refrigeration-ENERGY STAR® Commercial Glass Door Refrigerators &lt; 15 ft³</t>
  </si>
  <si>
    <t>830840-Refrigeration-ENERGY STAR® Commercial Glass Door Refrigerators &gt; 50 ft³</t>
  </si>
  <si>
    <t>830833-Refrigeration-ENERGY STAR® Commercial Glass Door Refrigerators 15-30 ft³</t>
  </si>
  <si>
    <t>830836-Refrigeration-ENERGY STAR® Commercial Glass Door Refrigerators 30-50 ft³</t>
  </si>
  <si>
    <t>830830-Refrigeration-ENERGY STAR® Commercial Solid Door Freezers &lt; 15 ft³</t>
  </si>
  <si>
    <t>830832-Refrigeration-ENERGY STAR® Commercial Solid Door Freezers &gt; 50 ft³</t>
  </si>
  <si>
    <t>830842-Refrigeration-ENERGY STAR® Commercial Solid Door Freezers 15-30 ft³</t>
  </si>
  <si>
    <t>830845-Refrigeration-ENERGY STAR® Commercial Solid Door Freezers 30-50 ft³</t>
  </si>
  <si>
    <t>830835-Refrigeration-ENERGY STAR® Commercial Solid Door Refrigerators &lt; 15 ft³</t>
  </si>
  <si>
    <t>830837-Refrigeration-ENERGY STAR® Commercial Solid Door Refrigerators &gt; 50 ft³</t>
  </si>
  <si>
    <t>830838-Refrigeration-ENERGY STAR® Commercial Solid Door Refrigerators 15-30 ft³</t>
  </si>
  <si>
    <t>830834-Refrigeration-ENERGY STAR® Commercial Solid Door Refrigerators 30-50 ft³</t>
  </si>
  <si>
    <t>830855-Refrigeration-Evaporator Fan Controls</t>
  </si>
  <si>
    <t>Continuously Running Fans</t>
  </si>
  <si>
    <t>Controller</t>
  </si>
  <si>
    <t>830854-Refrigeration-Night Covers for Open Refrigerated Display Cases</t>
  </si>
  <si>
    <t>Night Covers for Open Refrigerated Display Cases</t>
  </si>
  <si>
    <t>No Night Cover</t>
  </si>
  <si>
    <t>830856-Refrigeration-Variable Speed Drives for Condenser Fans ≤ 1.5 HP</t>
  </si>
  <si>
    <t>Variable Speed Drives for Condenser Fans ≤ 1.5 HP</t>
  </si>
  <si>
    <t>830859-Refrigeration-Vending Equipment Controller</t>
  </si>
  <si>
    <t>Sensor</t>
  </si>
  <si>
    <t>830860-Refrigeration-Walk-In Cooler Strip Curtains - Supermarket</t>
  </si>
  <si>
    <t>No Strip Curtains</t>
  </si>
  <si>
    <t>Cooler</t>
  </si>
  <si>
    <t>830852-Refrigeration-Walk-In Cooler Strip Curtains -Convenience Store/Restaurant</t>
  </si>
  <si>
    <t>Walk-In Cooler Strip Curtains -Convenience Store/Restaurant</t>
  </si>
  <si>
    <t>830853-Refrigeration-Walk-In Freezer Strip Curtains - Convenience Store/Restaurant</t>
  </si>
  <si>
    <t>Walk-In Freezer Strip Curtains - Convenience Store/Restaurant</t>
  </si>
  <si>
    <t>830861-Refrigeration-Walk-In Freezer Strip Curtains - Supermarket</t>
  </si>
  <si>
    <t>Walk-In Freezer Strip Curtains - Supermarket - SBDI</t>
  </si>
  <si>
    <t>Walk-In Freezer Strip Curtains - Supermarket</t>
  </si>
  <si>
    <t>820745-HVAC-Air Cooled Chiller ≤ 150 Tons</t>
  </si>
  <si>
    <t>820808-HVAC-Smart Thermostat - Electric Cooling and Gas Heating</t>
  </si>
  <si>
    <t>820809-HVAC-Smart Thermostat - Electric Cooling and Heating</t>
  </si>
  <si>
    <t>820810-HVAC-Smart Thermostat - Electric Cooling Only</t>
  </si>
  <si>
    <t>Smart Thermostat - Electric Cooling Only</t>
  </si>
  <si>
    <t>820812-HVAC-Smart Thermostat - Electric Heating Only</t>
  </si>
  <si>
    <t>820811-HVAC-Smart Thermostat - Heat Pump</t>
  </si>
  <si>
    <t>820743-HVAC-Water Cooled Chiller - Centrifugal ≤ 150 Tons</t>
  </si>
  <si>
    <t>820744-HVAC-Water Cooled Chiller - Screw &lt; 75 Tons</t>
  </si>
  <si>
    <t>851028-Kitchen-ENERGY STAR Dishwasher - High Temp - Multi Tank Conveyor - Electric</t>
  </si>
  <si>
    <t>851029-Kitchen-ENERGY STAR Dishwasher - High Temp - Pot, Pan, Utensil - Electric</t>
  </si>
  <si>
    <t>851026-Kitchen-ENERGY STAR Dishwasher - High Temp - Single Tank - Electric</t>
  </si>
  <si>
    <t>851027-Kitchen-ENERGY STAR Dishwasher - High Temp - Single Tank Conveyor- Electric</t>
  </si>
  <si>
    <t>851025-Kitchen-ENERGY STAR Dishwasher - High Temp - Under Counter - Electric</t>
  </si>
  <si>
    <t>851024-Kitchen-ENERGY STAR Dishwasher - Low Temp - Multi Tank Conveyor - Electric</t>
  </si>
  <si>
    <t>851023-Kitchen-ENERGY STAR Dishwasher - Low Temp - Single Tank - Electric</t>
  </si>
  <si>
    <t>851022-Kitchen-ENERGY STAR Dishwasher - Low Temp - Under Counter - Electric</t>
  </si>
  <si>
    <t>851020-Kitchen-ENERGY STAR Holding Cabinet - 3/4 Size</t>
  </si>
  <si>
    <t>910133-HVAC-Boiler Hot Water Lockout/Reset</t>
  </si>
  <si>
    <t>No Reset Controls</t>
  </si>
  <si>
    <t>910134-HVAC-Pipe Insulation - 1/2" Pipe - Space Heating</t>
  </si>
  <si>
    <t>910136-HVAC-Pipe Insulation - 3/4" Pipe - Space Heating</t>
  </si>
  <si>
    <t>910138-HVAC-Smart Thermostat - Gas Heating Only</t>
  </si>
  <si>
    <t>851035-Kitchen-ENERGY STAR Dishwasher - High Temp - Multi Tank Conveyor - Gas Heat/Booster</t>
  </si>
  <si>
    <t>851033-Kitchen-ENERGY STAR Dishwasher - High Temp - Single Tank - Gas Heat/Booster</t>
  </si>
  <si>
    <t>851034-Kitchen-ENERGY STAR Dishwasher - High Temp - Single Tank Conveyor- Gas Heat/Booster</t>
  </si>
  <si>
    <t>851032-Kitchen-ENERGY STAR Dishwasher - Low Temp - Multi Tank Conveyor - Gas Heat/Booster</t>
  </si>
  <si>
    <t>851031-Kitchen-ENERGY STAR Dishwasher - Low Temp - Single Tank - Gas Heat/Booster</t>
  </si>
  <si>
    <t>851030-Kitchen-ENERGY STAR Dishwasher - Low Temp - Under Counter - Gas Heat/Booster</t>
  </si>
  <si>
    <t>851019-Kitchen-ENERGY STAR Fryer - Gas</t>
  </si>
  <si>
    <t>851021-Kitchen-ENERGY STAR Griddle - Gas</t>
  </si>
  <si>
    <t>851038-Kitchen-ENERGY STAR Oven - Convection - Gas</t>
  </si>
  <si>
    <t>851036-Kitchen-ENERGY STAR Steamer - 5 Pan - Gas</t>
  </si>
  <si>
    <t>851037-Kitchen-ENERGY STAR Steamer - 6 Pan - Gas</t>
  </si>
  <si>
    <t>930809-Water Heat-High-Efficiency Tank-Style Domestic Water Heater &gt; 120 Gal, &gt; 75 MBH, &gt; 0.83 UEF</t>
  </si>
  <si>
    <t>Federal Standard UEF Water Heater</t>
  </si>
  <si>
    <t>930811-Water Heat-High-Efficiency Tank-Style Domestic Water Heater &gt; 55 Gal, ≤ 75 MBH, ≥ 0.80 UEF</t>
  </si>
  <si>
    <t>930810-Water Heat-High-Efficiency Tank-Style Domestic Water Heater ≤ 120 Gal, ≥ 75 MBH,  ≥ 0.68 UEF</t>
  </si>
  <si>
    <t>910135-Water Heat-Pipe Insulation - 1/2" Pipe - DHW</t>
  </si>
  <si>
    <t>910137-Water Heat-Pipe Insulation - 3/4" Pipe - DHW</t>
  </si>
  <si>
    <t>Step 2:  
Select the 2024 holidays that the site will be closed or the measure will be turned off.</t>
  </si>
  <si>
    <t>M02S02F52</t>
  </si>
  <si>
    <r>
      <t>By signature above</t>
    </r>
    <r>
      <rPr>
        <sz val="10.5"/>
        <color theme="1"/>
        <rFont val="Arial"/>
        <family val="2"/>
      </rPr>
      <t>, I hereby certify that this form includes the entire efficiency project scope and estimated total project cost including both materials and labor for this site. Details of this Program, including incentive levels and availability, are subject to change. Incentive Offers are valid for 30 days, Incentive Offers not returned within 30 days may not qualify for an Incentive Amount. The signed Incentive Offer form must be delivered to NIPSCO Commercial and Industrial program administrator, TRC as indicated in this Agreement before a Project begins. An approved Incentive Offer is not a guarantee of being awarded any Incentive Amount.
A Customer shall complete a project no later than 18 months from project approval by NIPSCO's program administrator TRC or by</t>
    </r>
    <r>
      <rPr>
        <b/>
        <sz val="10.5"/>
        <color theme="1"/>
        <rFont val="Arial"/>
        <family val="2"/>
      </rPr>
      <t xml:space="preserve"> November 16, 2024</t>
    </r>
    <r>
      <rPr>
        <sz val="10.5"/>
        <color theme="1"/>
        <rFont val="Arial"/>
        <family val="2"/>
      </rPr>
      <t xml:space="preserve">, whichever occurs earlier. Projects that are not completed within 18 months or by November 16, 2024 shall forfeit their position in the queue for program funds unless otherwise agreed by the Company in its sole reasonable discretion based upon consideration of Customer’s completion of project milestones and/or construction activity to begin the project. </t>
    </r>
    <r>
      <rPr>
        <b/>
        <sz val="10.5"/>
        <color theme="1"/>
        <rFont val="Arial"/>
        <family val="2"/>
      </rPr>
      <t>Projects that complete after November 16, 2024 will be subject to the incentive levels associated with the 2025 program.</t>
    </r>
  </si>
  <si>
    <r>
      <t xml:space="preserve">A Customer shall complete a project no later than 18 months from project approval by NIPSCO's program administrator TRC or by </t>
    </r>
    <r>
      <rPr>
        <b/>
        <sz val="10.5"/>
        <color theme="1"/>
        <rFont val="Arial"/>
        <family val="2"/>
      </rPr>
      <t>November 16, 2024</t>
    </r>
    <r>
      <rPr>
        <sz val="10.5"/>
        <color theme="1"/>
        <rFont val="Arial"/>
        <family val="2"/>
      </rPr>
      <t>, whichever occurs earlier. Projects that are not completed within 18 months or by November 16, 2024 shall forfeit their position in the queue for program funds unless otherwise agreed by the Company in its sole reasonable discretion based upon consideration of Customer’s completion of project milestones and/or construction activity to begin the project. Once final paperwork is submitted (Completion Form) and Project inspection completed (as applicable), payment of Incentive Amounts are made within (45) business days. Incomplete applications will delay payment. 
If I am authorizing this payment of my incentive to the third party (“Payee”) named above, I understand that I will not be receiving the incentive check from NIPSCO. I also understand that my release of the payment to the third party does not exempt me from the incentive requirements outlined in this application.</t>
    </r>
  </si>
  <si>
    <t>Phone</t>
  </si>
  <si>
    <t>Ground Water Source HP &lt; 135 kBtuh (&lt; 11.3 tons)</t>
  </si>
  <si>
    <t>Water Source HP &lt; 17 kBtuh (&lt; 1.4 tons)</t>
  </si>
  <si>
    <t>Water Source HP 17 ≤ kBtuh &lt; 135 (1.4 ≤ tons &lt; 11.2)</t>
  </si>
  <si>
    <t>Water Source HP &lt; 17 kBtuh
(&lt; 1.4 tons)</t>
  </si>
  <si>
    <r>
      <t xml:space="preserve">Water Source HP 17 </t>
    </r>
    <r>
      <rPr>
        <sz val="11"/>
        <color theme="1"/>
        <rFont val="Calibri"/>
        <family val="2"/>
      </rPr>
      <t>≤</t>
    </r>
    <r>
      <rPr>
        <sz val="11"/>
        <color theme="1"/>
        <rFont val="Calibri"/>
        <family val="2"/>
        <scheme val="minor"/>
      </rPr>
      <t xml:space="preserve"> kBtuh &lt; 135
(1.4 ≤ tons &lt; 11.2)</t>
    </r>
  </si>
  <si>
    <t>Ground Water Source HP
&lt; 135 kBtuh (&lt; 11.3 tons)</t>
  </si>
  <si>
    <t>3.6.4</t>
  </si>
  <si>
    <t>Updated measure numbers and incentives for 2024 launch.  Reworked HVAC Electric tab to allow for thermostats (removed validation).  Reworked CA Leak repair measure and tab to allow # of leaks input.  Added fields to export and proejct description (space type, cost basis, incremental cost, etc.).</t>
  </si>
  <si>
    <t>High Volume Low Speed Fan - Dia. &lt; 18.0 ft.</t>
  </si>
  <si>
    <t>High Volume Low Speed Fan - 18 ft. ≤ Dia.  &gt; 24 ft.</t>
  </si>
  <si>
    <t>High Volume Low Speed Fan - Dia. ≥ 24 ft</t>
  </si>
  <si>
    <t>Hi-E Water / Pool Heater ≥ 84% Eff</t>
  </si>
  <si>
    <t>860014-AG-High Volume Low Speed Fan - 18 ft. ≤ Dia.  &gt; 24 ft.</t>
  </si>
  <si>
    <t>860013-AG-High Volume Low Speed Fan - Dia. &lt; 18.0 ft.</t>
  </si>
  <si>
    <t>860015-AG-High Volume Low Speed Fan - Dia. ≥ 24 ft</t>
  </si>
  <si>
    <t xml:space="preserve">
LED Tube Relamp</t>
  </si>
  <si>
    <t xml:space="preserve"> LED Tube Relamp</t>
  </si>
  <si>
    <t xml:space="preserve">
 LED Tube Relamp</t>
  </si>
  <si>
    <t>LED Tube Relamp</t>
  </si>
  <si>
    <t>Interior Occupancy Sensor</t>
  </si>
  <si>
    <t>Please Enter Natural Gas Cooking Measures Below</t>
  </si>
  <si>
    <t>Please note natural gas cooking measures are at the bottom of this tab starting on row 13.</t>
  </si>
  <si>
    <t>Commercial Cooking (Elec/Gas)</t>
  </si>
  <si>
    <t>Prj WHF therms</t>
  </si>
  <si>
    <t>Measure name corrections.  Split gas cooking measures into separate table and added lower section on the cooking electric tab for gas measures.</t>
  </si>
  <si>
    <t>840921-HVAC-VSD for HVAC Supply and Return Fans ≤ 75 HP</t>
  </si>
  <si>
    <t>VSD for HVAC Supply and Return Fans ≤ 75 HP</t>
  </si>
  <si>
    <t>BuildingType</t>
  </si>
  <si>
    <t>3.6.6</t>
  </si>
  <si>
    <t>Full Load EER</t>
  </si>
  <si>
    <t>Updated HVAC baselines. Updated Prescriptive CA unit type.  Updated NC lighting measures to "New Construction" measure type.  Updated Custom/NC gas tab to index relevant tab for measure type.</t>
  </si>
  <si>
    <t>Export Program</t>
  </si>
  <si>
    <t>No Control or Bypass Damper</t>
  </si>
  <si>
    <t>Discharge Dampers</t>
  </si>
  <si>
    <t>Outlet Damper</t>
  </si>
  <si>
    <t>Inlet Damper Box</t>
  </si>
  <si>
    <t>Inlet Guide Vane</t>
  </si>
  <si>
    <t>Inlet Vane Dampers</t>
  </si>
  <si>
    <t>Outlet Damper, FC Fans</t>
  </si>
  <si>
    <t>Eddy Current Drives</t>
  </si>
  <si>
    <t>Inlet Guide Vane, FC Fans</t>
  </si>
  <si>
    <t>Total Fan Run Hours</t>
  </si>
  <si>
    <t>IL TRM v12.0 Pg. 425</t>
  </si>
  <si>
    <t>$/Leak Repaired</t>
  </si>
  <si>
    <t># Leaks</t>
  </si>
  <si>
    <t>Please Compressed Air Leak Repair Measures Below</t>
  </si>
  <si>
    <t>System HP</t>
  </si>
  <si>
    <t>Baseline Control</t>
  </si>
  <si>
    <t>CA Drop Down Options.  Sort First.  Remove Leak.</t>
  </si>
  <si>
    <t>Unrepaired Leaks</t>
  </si>
  <si>
    <t>Added bonus measures.  Reworked Prescriptive and SBDI compressed air leak repair measures.</t>
  </si>
  <si>
    <t>3.6.7</t>
  </si>
  <si>
    <t>2024-2026 v1.0.1</t>
  </si>
  <si>
    <t>IL TRM v12.1</t>
  </si>
  <si>
    <t>2024-2026 v1.0.2</t>
  </si>
  <si>
    <t>IL TRM v12.2</t>
  </si>
  <si>
    <t>3.6.8</t>
  </si>
  <si>
    <t>Removed bonus measures.  Updated T&amp;C and graphics with new gas rate codes.  Reworked refrigeration kW value to correct number (removed additional coincidence factor).</t>
  </si>
  <si>
    <t>2024-2026 v1.0.8</t>
  </si>
  <si>
    <t>Bonus - 2024 Prescriptive - Phase 2 LED Tube Relamp Replacing 4 Ft Fluor.</t>
  </si>
  <si>
    <t>Bonus - 2024 Prescriptive - Phase 2 40% Refrigeration</t>
  </si>
  <si>
    <t>Bonus - 2024 Prescriptive - Phase 2 20% Electric</t>
  </si>
  <si>
    <t>Bonus - 2024 Custom - Phase 2 20% Electric</t>
  </si>
  <si>
    <t>000084-Bonus - 2024 Prescriptive - Phase 2 LED Tube Relamp Replacing 4 Ft Fluor.</t>
  </si>
  <si>
    <t>000086-Bonus - 2024 Prescriptive - Phase 2 40% Refrigeration</t>
  </si>
  <si>
    <t>000089-Bonus - 2024 Prescriptive - Phase 2 20% Electric</t>
  </si>
  <si>
    <t>000090-Bonus - 2024 Custom - Phase 2 20% Electric</t>
  </si>
  <si>
    <t>Reactivated bonus measures.  Updated Prescriptive tables with phase 2 bonus measures.  Reworked coding on HO tubes to correctly apply bonus incentive.</t>
  </si>
  <si>
    <t>Larissa Gott</t>
  </si>
  <si>
    <t>000093-Bonus - 2024 Prescriptive - 20% Boiler Tune-Up</t>
  </si>
  <si>
    <t>Bonus - 2024 Prescriptive - 20% Boiler Tune-Up</t>
  </si>
  <si>
    <t>Bonus</t>
  </si>
  <si>
    <t>Custom Prescriptive Application v3.7.0</t>
  </si>
  <si>
    <t>000095-Bonus - 2024 Prescriptive - Phase 2 LED Tube Relamp Replacing 4 Ft HO Fluor.</t>
  </si>
  <si>
    <t>Bonus - 2024 Prescriptive - Phase 2 LED Tube Relamp Replacing 4 Ft HO Fluor.</t>
  </si>
  <si>
    <t>2024-2026 v1.1.0</t>
  </si>
  <si>
    <t>3.6.9</t>
  </si>
  <si>
    <t>3.7.0</t>
  </si>
  <si>
    <t>Added HO specific tube bonus.  Fixed bonus calculation for tstats and refrigeration high speed doors.  Corrected error on cooking line 4 that was previously not populating an incentive per unit value (drag and drop error).  Fixed rounding on water cooled chiller baselines.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</si>
</sst>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
    <numFmt numFmtId="165" formatCode="[$-F800]dddd\,\ mmmm\ dd\,\ yyyy"/>
    <numFmt numFmtId="166" formatCode="00000"/>
    <numFmt numFmtId="167" formatCode="&quot;$&quot;#,##0.00"/>
    <numFmt numFmtId="168" formatCode="m/d/yy;@"/>
    <numFmt numFmtId="169" formatCode="0.000"/>
    <numFmt numFmtId="170" formatCode="#,###\ &quot;kWh&quot;"/>
    <numFmt numFmtId="171" formatCode="#,##0.000"/>
    <numFmt numFmtId="172" formatCode="0.00000"/>
    <numFmt numFmtId="173" formatCode="###\ &quot;W&quot;"/>
    <numFmt numFmtId="174" formatCode="####\ &quot;W&quot;"/>
    <numFmt numFmtId="175" formatCode="[&lt;=9999999]###\-####;\(###\)\ ###\-####"/>
    <numFmt numFmtId="176" formatCode="000000"/>
    <numFmt numFmtId="177" formatCode="#,###\ &quot;therms&quot;"/>
    <numFmt numFmtId="178" formatCode="0.0000"/>
    <numFmt numFmtId="179" formatCode="#,##0.0000"/>
    <numFmt numFmtId="180" formatCode="0.0000000000"/>
    <numFmt numFmtId="181" formatCode="_(* #,##0_);_(* \(#,##0\);_(* &quot;-&quot;??_);_(@_)"/>
    <numFmt numFmtId="182" formatCode="&quot;$&quot;#,##0.0000"/>
    <numFmt numFmtId="183" formatCode="0.0"/>
    <numFmt numFmtId="184" formatCode="[$-409]mmmm\ d\,\ yyyy;@"/>
    <numFmt numFmtId="185" formatCode="&quot;powering&quot;\ #,##0.0"/>
    <numFmt numFmtId="186" formatCode="m/d/yyyy;@"/>
  </numFmts>
  <fonts count="169">
    <font>
      <sz val="11"/>
      <color theme="1"/>
      <name val="Calibri"/>
      <family val="2"/>
      <scheme val="minor"/>
    </font>
    <font>
      <u/>
      <sz val="11"/>
      <color theme="10"/>
      <name val="Calibri"/>
      <family val="2"/>
      <scheme val="minor"/>
    </font>
    <font>
      <sz val="10"/>
      <color theme="1"/>
      <name val="Calibri"/>
      <family val="2"/>
      <scheme val="minor"/>
    </font>
    <font>
      <sz val="11"/>
      <color theme="1"/>
      <name val="Calibri"/>
      <family val="2"/>
      <scheme val="minor"/>
    </font>
    <font>
      <b/>
      <sz val="10"/>
      <color theme="1"/>
      <name val="Arial"/>
      <family val="2"/>
    </font>
    <font>
      <b/>
      <sz val="10"/>
      <color indexed="8"/>
      <name val="Arial"/>
      <family val="2"/>
    </font>
    <font>
      <b/>
      <sz val="11"/>
      <color theme="1"/>
      <name val="Arial"/>
      <family val="2"/>
    </font>
    <font>
      <sz val="11"/>
      <color theme="1"/>
      <name val="Arial"/>
      <family val="2"/>
    </font>
    <font>
      <sz val="8"/>
      <color indexed="8"/>
      <name val="Arial"/>
      <family val="2"/>
    </font>
    <font>
      <sz val="8"/>
      <color theme="1"/>
      <name val="Arial"/>
      <family val="2"/>
    </font>
    <font>
      <sz val="9"/>
      <color theme="1"/>
      <name val="Arial"/>
      <family val="2"/>
    </font>
    <font>
      <sz val="11"/>
      <color theme="1"/>
      <name val="Script MT Bold"/>
      <family val="4"/>
    </font>
    <font>
      <b/>
      <sz val="8"/>
      <color theme="1"/>
      <name val="Arial"/>
      <family val="2"/>
    </font>
    <font>
      <sz val="6"/>
      <color theme="1"/>
      <name val="Arial"/>
      <family val="2"/>
      <charset val="204"/>
    </font>
    <font>
      <sz val="8"/>
      <color theme="1"/>
      <name val="Arial"/>
      <family val="2"/>
      <charset val="204"/>
    </font>
    <font>
      <sz val="8"/>
      <color theme="1"/>
      <name val="Calibri"/>
      <family val="2"/>
      <scheme val="minor"/>
    </font>
    <font>
      <sz val="11"/>
      <color indexed="8"/>
      <name val="Calibri"/>
      <family val="2"/>
    </font>
    <font>
      <sz val="10"/>
      <color theme="1"/>
      <name val="Arial"/>
      <family val="2"/>
    </font>
    <font>
      <sz val="11"/>
      <name val="Arial"/>
      <family val="2"/>
    </font>
    <font>
      <b/>
      <sz val="11"/>
      <color theme="1"/>
      <name val="Script MT Bold"/>
      <family val="4"/>
    </font>
    <font>
      <b/>
      <sz val="11"/>
      <color theme="0"/>
      <name val="Arial"/>
      <family val="2"/>
    </font>
    <font>
      <sz val="10"/>
      <color theme="1"/>
      <name val="Calibri Light"/>
      <family val="2"/>
    </font>
    <font>
      <b/>
      <i/>
      <sz val="18"/>
      <color theme="3"/>
      <name val="Book Antiqua"/>
      <family val="1"/>
    </font>
    <font>
      <b/>
      <i/>
      <sz val="9"/>
      <color theme="3"/>
      <name val="Century Gothic"/>
      <family val="2"/>
    </font>
    <font>
      <sz val="8"/>
      <color theme="1"/>
      <name val="Century Gothic"/>
      <family val="2"/>
    </font>
    <font>
      <b/>
      <sz val="11"/>
      <color theme="1"/>
      <name val="Calibri"/>
      <family val="2"/>
      <scheme val="minor"/>
    </font>
    <font>
      <sz val="11"/>
      <color theme="1"/>
      <name val="Calibri"/>
      <family val="2"/>
    </font>
    <font>
      <b/>
      <u/>
      <sz val="25"/>
      <color theme="0"/>
      <name val="Calibri"/>
      <family val="2"/>
    </font>
    <font>
      <b/>
      <sz val="11"/>
      <color rgb="FFFF0000"/>
      <name val="Calibri"/>
      <family val="2"/>
      <scheme val="minor"/>
    </font>
    <font>
      <b/>
      <sz val="14"/>
      <color theme="1"/>
      <name val="Calibri"/>
      <family val="2"/>
      <scheme val="minor"/>
    </font>
    <font>
      <sz val="11"/>
      <name val="Calibri"/>
      <family val="2"/>
      <scheme val="minor"/>
    </font>
    <font>
      <b/>
      <i/>
      <sz val="10"/>
      <color theme="1"/>
      <name val="Arial"/>
      <family val="2"/>
    </font>
    <font>
      <sz val="7"/>
      <color theme="1"/>
      <name val="Arial"/>
      <family val="2"/>
      <charset val="204"/>
    </font>
    <font>
      <sz val="11"/>
      <color rgb="FFFF0000"/>
      <name val="Calibri"/>
      <family val="2"/>
      <scheme val="minor"/>
    </font>
    <font>
      <i/>
      <sz val="10"/>
      <color theme="1"/>
      <name val="Arial"/>
      <family val="2"/>
    </font>
    <font>
      <b/>
      <sz val="11"/>
      <name val="Arial"/>
      <family val="2"/>
    </font>
    <font>
      <sz val="11"/>
      <color theme="0"/>
      <name val="Calibri"/>
      <family val="2"/>
      <scheme val="minor"/>
    </font>
    <font>
      <b/>
      <sz val="18"/>
      <name val="Arial"/>
      <family val="2"/>
    </font>
    <font>
      <sz val="11"/>
      <color theme="0"/>
      <name val="Arial"/>
      <family val="2"/>
    </font>
    <font>
      <u/>
      <sz val="11"/>
      <color theme="0"/>
      <name val="Arial"/>
      <family val="2"/>
    </font>
    <font>
      <sz val="13"/>
      <color rgb="FF00334E"/>
      <name val="Arial"/>
      <family val="2"/>
    </font>
    <font>
      <b/>
      <sz val="14"/>
      <color theme="1"/>
      <name val="Arial"/>
      <family val="2"/>
    </font>
    <font>
      <b/>
      <sz val="14"/>
      <color rgb="FFFF0000"/>
      <name val="Arial"/>
      <family val="2"/>
    </font>
    <font>
      <sz val="13"/>
      <name val="Arial"/>
      <family val="2"/>
    </font>
    <font>
      <sz val="11"/>
      <color rgb="FFFF0000"/>
      <name val="Arial"/>
      <family val="2"/>
    </font>
    <font>
      <u/>
      <sz val="11"/>
      <color theme="10"/>
      <name val="Arial"/>
      <family val="2"/>
    </font>
    <font>
      <b/>
      <sz val="14"/>
      <color rgb="FF00334E"/>
      <name val="Arial"/>
      <family val="2"/>
    </font>
    <font>
      <b/>
      <u/>
      <sz val="25"/>
      <color theme="0"/>
      <name val="Arial"/>
      <family val="2"/>
    </font>
    <font>
      <b/>
      <sz val="16"/>
      <name val="Arial"/>
      <family val="2"/>
    </font>
    <font>
      <sz val="11"/>
      <color rgb="FF00334E"/>
      <name val="Arial"/>
      <family val="2"/>
    </font>
    <font>
      <sz val="12"/>
      <color theme="1"/>
      <name val="Arial"/>
      <family val="2"/>
    </font>
    <font>
      <sz val="14"/>
      <color theme="3"/>
      <name val="Arial"/>
      <family val="2"/>
    </font>
    <font>
      <sz val="14"/>
      <color theme="4"/>
      <name val="Arial"/>
      <family val="2"/>
    </font>
    <font>
      <b/>
      <sz val="9"/>
      <color rgb="FF008000"/>
      <name val="Arial"/>
      <family val="2"/>
    </font>
    <font>
      <b/>
      <sz val="10"/>
      <color theme="3"/>
      <name val="Arial"/>
      <family val="2"/>
    </font>
    <font>
      <b/>
      <sz val="10"/>
      <color theme="0"/>
      <name val="Arial"/>
      <family val="2"/>
    </font>
    <font>
      <sz val="8"/>
      <color theme="0"/>
      <name val="Arial"/>
      <family val="2"/>
    </font>
    <font>
      <b/>
      <sz val="13"/>
      <color theme="1"/>
      <name val="Arial"/>
      <family val="2"/>
    </font>
    <font>
      <b/>
      <sz val="11"/>
      <color theme="1"/>
      <name val="Calibri"/>
      <family val="2"/>
    </font>
    <font>
      <b/>
      <u/>
      <sz val="11"/>
      <color theme="10"/>
      <name val="Arial"/>
      <family val="2"/>
    </font>
    <font>
      <b/>
      <sz val="14"/>
      <name val="Arial"/>
      <family val="2"/>
    </font>
    <font>
      <b/>
      <sz val="13"/>
      <name val="Arial"/>
      <family val="2"/>
    </font>
    <font>
      <sz val="11"/>
      <color theme="4" tint="0.59999389629810485"/>
      <name val="Arial"/>
      <family val="2"/>
    </font>
    <font>
      <i/>
      <sz val="10"/>
      <color rgb="FFC00000"/>
      <name val="Arial"/>
      <family val="2"/>
    </font>
    <font>
      <sz val="10"/>
      <color theme="1"/>
      <name val="Wingdings"/>
      <charset val="2"/>
    </font>
    <font>
      <sz val="10"/>
      <color rgb="FFC00000"/>
      <name val="Arial"/>
      <family val="2"/>
    </font>
    <font>
      <sz val="10"/>
      <name val="Arial"/>
      <family val="2"/>
    </font>
    <font>
      <sz val="16"/>
      <color theme="0"/>
      <name val="Arial"/>
      <family val="2"/>
    </font>
    <font>
      <b/>
      <sz val="18"/>
      <color theme="1"/>
      <name val="Arial"/>
      <family val="2"/>
    </font>
    <font>
      <sz val="18"/>
      <color theme="1"/>
      <name val="Arial"/>
      <family val="2"/>
    </font>
    <font>
      <sz val="11"/>
      <color rgb="FFD98C24"/>
      <name val="Arial"/>
      <family val="2"/>
    </font>
    <font>
      <sz val="11"/>
      <color rgb="FF0000FF"/>
      <name val="Arial"/>
      <family val="2"/>
    </font>
    <font>
      <sz val="13"/>
      <color rgb="FF0000FF"/>
      <name val="Arial"/>
      <family val="2"/>
    </font>
    <font>
      <sz val="10.5"/>
      <color theme="1"/>
      <name val="Arial"/>
      <family val="2"/>
    </font>
    <font>
      <sz val="11"/>
      <color theme="1"/>
      <name val="Trebuchet MS"/>
      <family val="2"/>
    </font>
    <font>
      <sz val="11"/>
      <color theme="1"/>
      <name val="Book Antiqua"/>
      <family val="1"/>
    </font>
    <font>
      <sz val="16"/>
      <color rgb="FF1B6CB5"/>
      <name val="Trebuchet MS"/>
      <family val="2"/>
    </font>
    <font>
      <b/>
      <sz val="11"/>
      <color theme="3"/>
      <name val="Calibri"/>
      <family val="2"/>
      <scheme val="minor"/>
    </font>
    <font>
      <sz val="11"/>
      <color rgb="FF3F3F76"/>
      <name val="Calibri"/>
      <family val="2"/>
      <scheme val="minor"/>
    </font>
    <font>
      <u/>
      <sz val="11"/>
      <color theme="10"/>
      <name val="Calibri"/>
      <family val="2"/>
    </font>
    <font>
      <u/>
      <sz val="10"/>
      <color theme="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6"/>
      <color indexed="12"/>
      <name val="Arial"/>
      <family val="2"/>
    </font>
    <font>
      <u/>
      <sz val="8.5"/>
      <color indexed="12"/>
      <name val="Arial"/>
      <family val="2"/>
    </font>
    <font>
      <sz val="11"/>
      <color indexed="62"/>
      <name val="Calibri"/>
      <family val="2"/>
    </font>
    <font>
      <sz val="11"/>
      <color indexed="52"/>
      <name val="Calibri"/>
      <family val="2"/>
    </font>
    <font>
      <sz val="11"/>
      <color indexed="60"/>
      <name val="Calibri"/>
      <family val="2"/>
    </font>
    <font>
      <sz val="10"/>
      <name val="Verdana"/>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color rgb="FFFFFFFF"/>
      <name val="Arial"/>
      <family val="2"/>
    </font>
    <font>
      <sz val="12"/>
      <name val="Arial"/>
      <family val="2"/>
    </font>
    <font>
      <b/>
      <sz val="13"/>
      <color rgb="FFFF0000"/>
      <name val="Arial"/>
      <family val="2"/>
    </font>
    <font>
      <sz val="11"/>
      <color rgb="FFFFFFFF"/>
      <name val="Arial"/>
      <family val="2"/>
    </font>
    <font>
      <u/>
      <sz val="11"/>
      <color rgb="FFFFFFFF"/>
      <name val="Arial"/>
      <family val="2"/>
    </font>
    <font>
      <b/>
      <sz val="11"/>
      <color rgb="FFFFFFFF"/>
      <name val="Arial"/>
      <family val="2"/>
    </font>
    <font>
      <b/>
      <sz val="11"/>
      <color rgb="FFFFFFFF"/>
      <name val="Segoe UI"/>
      <family val="2"/>
    </font>
    <font>
      <b/>
      <sz val="11"/>
      <color rgb="FFFFFFFF"/>
      <name val="Arial Narrow"/>
      <family val="2"/>
    </font>
    <font>
      <b/>
      <sz val="11"/>
      <color rgb="FF3E87CB"/>
      <name val="Arial"/>
      <family val="2"/>
    </font>
    <font>
      <sz val="9"/>
      <color theme="1"/>
      <name val="Calibri"/>
      <family val="2"/>
    </font>
    <font>
      <sz val="9"/>
      <color theme="1"/>
      <name val="Calibri"/>
      <family val="2"/>
      <scheme val="minor"/>
    </font>
    <font>
      <i/>
      <sz val="8"/>
      <name val="Arial"/>
      <family val="2"/>
    </font>
    <font>
      <sz val="13"/>
      <color rgb="FF00334E"/>
      <name val="Calibri"/>
      <family val="2"/>
      <scheme val="minor"/>
    </font>
    <font>
      <b/>
      <sz val="13"/>
      <color rgb="FFFFFFFF"/>
      <name val="Arial"/>
      <family val="2"/>
    </font>
    <font>
      <b/>
      <sz val="10.5"/>
      <color theme="1"/>
      <name val="Arial"/>
      <family val="2"/>
    </font>
    <font>
      <b/>
      <sz val="11"/>
      <color theme="0"/>
      <name val="Calibri"/>
      <family val="2"/>
      <scheme val="minor"/>
    </font>
    <font>
      <sz val="11"/>
      <color theme="8"/>
      <name val="Arial"/>
      <family val="2"/>
    </font>
    <font>
      <sz val="11"/>
      <name val="Calibri"/>
      <family val="2"/>
      <scheme val="minor"/>
    </font>
    <font>
      <sz val="10"/>
      <name val="Calibri"/>
      <family val="2"/>
      <scheme val="minor"/>
    </font>
    <font>
      <b/>
      <sz val="24"/>
      <name val="Arial"/>
      <family val="2"/>
    </font>
    <font>
      <b/>
      <sz val="24"/>
      <color theme="0"/>
      <name val="Arial"/>
      <family val="2"/>
    </font>
    <font>
      <b/>
      <sz val="28"/>
      <color theme="0"/>
      <name val="Arial"/>
      <family val="2"/>
    </font>
    <font>
      <b/>
      <sz val="22"/>
      <name val="Arial"/>
      <family val="2"/>
    </font>
    <font>
      <b/>
      <sz val="12"/>
      <name val="Arial"/>
      <family val="2"/>
    </font>
    <font>
      <b/>
      <sz val="20"/>
      <color rgb="FF3E87CB"/>
      <name val="Arial"/>
      <family val="2"/>
    </font>
    <font>
      <b/>
      <i/>
      <sz val="28"/>
      <color theme="6"/>
      <name val="Arial"/>
      <family val="2"/>
    </font>
    <font>
      <b/>
      <sz val="12"/>
      <color theme="1"/>
      <name val="Arial"/>
      <family val="2"/>
    </font>
    <font>
      <sz val="16"/>
      <name val="Arial"/>
      <family val="2"/>
    </font>
    <font>
      <sz val="14"/>
      <name val="Arial"/>
      <family val="2"/>
    </font>
    <font>
      <vertAlign val="superscript"/>
      <sz val="14"/>
      <name val="Arial"/>
      <family val="2"/>
    </font>
    <font>
      <sz val="18"/>
      <name val="Arial"/>
      <family val="2"/>
    </font>
    <font>
      <sz val="13"/>
      <color theme="1"/>
      <name val="Arial"/>
      <family val="2"/>
    </font>
    <font>
      <vertAlign val="subscript"/>
      <sz val="13"/>
      <color theme="1"/>
      <name val="Arial"/>
      <family val="2"/>
    </font>
    <font>
      <u/>
      <sz val="12"/>
      <color theme="10"/>
      <name val="Arial"/>
      <family val="2"/>
    </font>
    <font>
      <b/>
      <i/>
      <sz val="24"/>
      <color rgb="FF00334E"/>
      <name val="Arial"/>
      <family val="2"/>
    </font>
    <font>
      <b/>
      <sz val="24"/>
      <color rgb="FF00334E"/>
      <name val="Arial"/>
      <family val="2"/>
    </font>
    <font>
      <sz val="12"/>
      <color rgb="FF00334E"/>
      <name val="Arial"/>
      <family val="2"/>
    </font>
    <font>
      <sz val="14"/>
      <color rgb="FF00334E"/>
      <name val="Arial"/>
      <family val="2"/>
    </font>
    <font>
      <sz val="11"/>
      <name val="Calibri"/>
      <family val="2"/>
      <scheme val="minor"/>
    </font>
    <font>
      <sz val="10"/>
      <color theme="1"/>
      <name val="Calibri"/>
      <family val="2"/>
      <scheme val="minor"/>
    </font>
    <font>
      <b/>
      <sz val="12"/>
      <color rgb="FFFF0000"/>
      <name val="Arial"/>
      <family val="2"/>
    </font>
    <font>
      <sz val="16"/>
      <color theme="1"/>
      <name val="Airal"/>
    </font>
    <font>
      <sz val="10"/>
      <color theme="1"/>
      <name val="Calibri"/>
      <family val="2"/>
      <scheme val="minor"/>
    </font>
    <font>
      <sz val="18"/>
      <color theme="0"/>
      <name val="Arial"/>
      <family val="2"/>
    </font>
    <font>
      <i/>
      <sz val="11"/>
      <color theme="1"/>
      <name val="Arial"/>
      <family val="2"/>
    </font>
    <font>
      <sz val="7.7"/>
      <color theme="1"/>
      <name val="Calibri"/>
      <family val="2"/>
    </font>
    <font>
      <sz val="11"/>
      <color theme="1" tint="0.24994659260841701"/>
      <name val="Arial"/>
      <family val="2"/>
    </font>
    <font>
      <sz val="11"/>
      <color theme="1" tint="0.249977111117893"/>
      <name val="Arial"/>
      <family val="2"/>
    </font>
    <font>
      <sz val="10.5"/>
      <name val="Arial"/>
      <family val="2"/>
    </font>
    <font>
      <sz val="8"/>
      <name val="Calibri"/>
      <family val="2"/>
      <scheme val="minor"/>
    </font>
    <font>
      <sz val="11"/>
      <name val="Calibri"/>
      <family val="2"/>
      <scheme val="minor"/>
    </font>
    <font>
      <sz val="10.5"/>
      <color theme="1" tint="0.24994659260841701"/>
      <name val="Arial"/>
      <family val="2"/>
    </font>
    <font>
      <sz val="11"/>
      <color theme="1"/>
      <name val="Calibri"/>
      <family val="2"/>
      <scheme val="minor"/>
    </font>
    <font>
      <b/>
      <sz val="11"/>
      <color theme="1"/>
      <name val="Calibri"/>
      <family val="2"/>
      <scheme val="minor"/>
    </font>
    <font>
      <b/>
      <u/>
      <sz val="11"/>
      <color theme="1"/>
      <name val="Arial"/>
      <family val="2"/>
    </font>
    <font>
      <b/>
      <sz val="14"/>
      <color theme="0"/>
      <name val="Arial"/>
      <family val="2"/>
    </font>
    <font>
      <sz val="9.35"/>
      <color theme="1"/>
      <name val="Calibri"/>
      <family val="2"/>
    </font>
    <font>
      <sz val="9"/>
      <color theme="1"/>
      <name val="Calibri"/>
      <family val="2"/>
      <scheme val="minor"/>
    </font>
    <font>
      <sz val="14"/>
      <color theme="1"/>
      <name val="Arial"/>
      <family val="2"/>
    </font>
    <font>
      <sz val="48"/>
      <color theme="0"/>
      <name val="Arial"/>
      <family val="2"/>
    </font>
    <font>
      <sz val="36"/>
      <color theme="0"/>
      <name val="Arial"/>
      <family val="2"/>
    </font>
    <font>
      <sz val="28"/>
      <color theme="0"/>
      <name val="Arial"/>
      <family val="2"/>
    </font>
    <font>
      <b/>
      <sz val="11"/>
      <color theme="0"/>
      <name val="Arial Narrow"/>
      <family val="2"/>
    </font>
    <font>
      <sz val="12"/>
      <color theme="0"/>
      <name val="Arial"/>
      <family val="2"/>
    </font>
    <font>
      <b/>
      <sz val="12"/>
      <color theme="0"/>
      <name val="Arial"/>
      <family val="2"/>
    </font>
    <font>
      <sz val="11"/>
      <color theme="1"/>
      <name val="Calibri"/>
      <family val="2"/>
      <scheme val="minor"/>
    </font>
    <font>
      <sz val="9"/>
      <color theme="1" tint="0.249977111117893"/>
      <name val="Arial"/>
      <family val="2"/>
    </font>
    <font>
      <b/>
      <u/>
      <sz val="11"/>
      <color theme="1"/>
      <name val="Calibri"/>
      <family val="2"/>
      <scheme val="minor"/>
    </font>
  </fonts>
  <fills count="75">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
      <patternFill patternType="solid">
        <fgColor rgb="FF54BCEB"/>
        <bgColor indexed="64"/>
      </patternFill>
    </fill>
    <fill>
      <patternFill patternType="solid">
        <fgColor rgb="FF00334E"/>
        <bgColor indexed="64"/>
      </patternFill>
    </fill>
    <fill>
      <patternFill patternType="solid">
        <fgColor theme="0" tint="-0.14999847407452621"/>
        <bgColor indexed="64"/>
      </patternFill>
    </fill>
    <fill>
      <patternFill patternType="solid">
        <fgColor rgb="FF7BC14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rgb="FFBADD8B"/>
        <bgColor indexed="64"/>
      </patternFill>
    </fill>
    <fill>
      <patternFill patternType="solid">
        <fgColor rgb="FFFF9FA1"/>
        <bgColor indexed="64"/>
      </patternFill>
    </fill>
    <fill>
      <patternFill patternType="solid">
        <fgColor rgb="FFEEBBF3"/>
        <bgColor indexed="64"/>
      </patternFill>
    </fill>
    <fill>
      <patternFill patternType="solid">
        <fgColor theme="6" tint="0.59999389629810485"/>
        <bgColor indexed="65"/>
      </patternFill>
    </fill>
    <fill>
      <patternFill patternType="solid">
        <fgColor theme="0" tint="-0.249977111117893"/>
        <bgColor indexed="64"/>
      </patternFill>
    </fill>
    <fill>
      <patternFill patternType="solid">
        <fgColor theme="1"/>
        <bgColor indexed="64"/>
      </patternFill>
    </fill>
    <fill>
      <gradientFill degree="45">
        <stop position="0">
          <color theme="0" tint="-0.25098422193060094"/>
        </stop>
        <stop position="1">
          <color theme="0"/>
        </stop>
      </gradientFill>
    </fill>
    <fill>
      <patternFill patternType="solid">
        <fgColor theme="4" tint="0.39997558519241921"/>
        <bgColor indexed="64"/>
      </patternFill>
    </fill>
    <fill>
      <patternFill patternType="solid">
        <fgColor rgb="FF7BC143"/>
        <bgColor auto="1"/>
      </patternFill>
    </fill>
    <fill>
      <patternFill patternType="solid">
        <fgColor rgb="FFD98C24"/>
        <bgColor indexed="64"/>
      </patternFill>
    </fill>
    <fill>
      <patternFill patternType="solid">
        <fgColor rgb="FFD98C24"/>
        <bgColor auto="1"/>
      </patternFill>
    </fill>
    <fill>
      <patternFill patternType="solid">
        <fgColor theme="7"/>
        <bgColor theme="7"/>
      </patternFill>
    </fill>
    <fill>
      <patternFill patternType="solid">
        <fgColor rgb="FFFFCC9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4"/>
        <bgColor indexed="64"/>
      </patternFill>
    </fill>
    <fill>
      <patternFill patternType="solid">
        <fgColor indexed="47"/>
        <bgColor indexed="64"/>
      </patternFill>
    </fill>
    <fill>
      <patternFill patternType="solid">
        <fgColor indexed="43"/>
      </patternFill>
    </fill>
    <fill>
      <patternFill patternType="solid">
        <fgColor indexed="26"/>
      </patternFill>
    </fill>
    <fill>
      <gradientFill degree="45">
        <stop position="0">
          <color theme="0"/>
        </stop>
        <stop position="1">
          <color theme="9" tint="0.59999389629810485"/>
        </stop>
      </gradientFill>
    </fill>
    <fill>
      <patternFill patternType="solid">
        <fgColor rgb="FFF9B159"/>
        <bgColor indexed="64"/>
      </patternFill>
    </fill>
    <fill>
      <patternFill patternType="solid">
        <fgColor rgb="FFEBEBED"/>
        <bgColor indexed="64"/>
      </patternFill>
    </fill>
    <fill>
      <patternFill patternType="solid">
        <fgColor theme="9"/>
        <bgColor indexed="64"/>
      </patternFill>
    </fill>
    <fill>
      <patternFill patternType="solid">
        <fgColor theme="7"/>
        <bgColor indexed="64"/>
      </patternFill>
    </fill>
    <fill>
      <patternFill patternType="solid">
        <fgColor rgb="FF54BCEB"/>
        <bgColor auto="1"/>
      </patternFill>
    </fill>
    <fill>
      <gradientFill degree="180">
        <stop position="0">
          <color rgb="FF72DAFF"/>
        </stop>
        <stop position="1">
          <color rgb="FF54BCEB"/>
        </stop>
      </gradientFill>
    </fill>
    <fill>
      <gradientFill degree="180">
        <stop position="0">
          <color rgb="FFC4C3C8"/>
        </stop>
        <stop position="1">
          <color rgb="FFA6A5AA"/>
        </stop>
      </gradientFill>
    </fill>
    <fill>
      <patternFill patternType="solid">
        <fgColor theme="0" tint="-0.14996795556505021"/>
        <bgColor indexed="64"/>
      </patternFill>
    </fill>
    <fill>
      <patternFill patternType="solid">
        <fgColor theme="9" tint="0.79998168889431442"/>
        <bgColor indexed="64"/>
      </patternFill>
    </fill>
    <fill>
      <patternFill patternType="solid">
        <fgColor rgb="FFB7E3F7"/>
        <bgColor indexed="64"/>
      </patternFill>
    </fill>
    <fill>
      <patternFill patternType="solid">
        <fgColor rgb="FFAFAFB1"/>
        <bgColor indexed="64"/>
      </patternFill>
    </fill>
    <fill>
      <patternFill patternType="solid">
        <fgColor rgb="FFD0D0D2"/>
        <bgColor indexed="64"/>
      </patternFill>
    </fill>
    <fill>
      <patternFill patternType="solid">
        <fgColor theme="5"/>
        <bgColor theme="5"/>
      </patternFill>
    </fill>
    <fill>
      <patternFill patternType="solid">
        <fgColor theme="5" tint="0.79998168889431442"/>
        <bgColor theme="5" tint="0.79998168889431442"/>
      </patternFill>
    </fill>
    <fill>
      <patternFill patternType="solid">
        <fgColor theme="6"/>
        <bgColor theme="6"/>
      </patternFill>
    </fill>
    <fill>
      <patternFill patternType="solid">
        <fgColor theme="0" tint="-0.14999847407452621"/>
        <bgColor theme="0" tint="-0.14999847407452621"/>
      </patternFill>
    </fill>
    <fill>
      <patternFill patternType="solid">
        <fgColor theme="4" tint="0.79998168889431442"/>
        <bgColor theme="4" tint="0.79998168889431442"/>
      </patternFill>
    </fill>
    <fill>
      <patternFill patternType="solid">
        <fgColor theme="4"/>
        <bgColor theme="4"/>
      </patternFill>
    </fill>
    <fill>
      <patternFill patternType="solid">
        <fgColor theme="0"/>
        <bgColor auto="1"/>
      </patternFill>
    </fill>
    <fill>
      <patternFill patternType="solid">
        <fgColor theme="1"/>
        <bgColor theme="1"/>
      </patternFill>
    </fill>
    <fill>
      <patternFill patternType="solid">
        <fgColor rgb="FF92D050"/>
        <bgColor indexed="64"/>
      </patternFill>
    </fill>
  </fills>
  <borders count="19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diagonal/>
    </border>
    <border>
      <left style="medium">
        <color theme="1" tint="0.34998626667073579"/>
      </left>
      <right/>
      <top style="medium">
        <color theme="1" tint="0.34998626667073579"/>
      </top>
      <bottom style="medium">
        <color theme="0" tint="-0.34998626667073579"/>
      </bottom>
      <diagonal/>
    </border>
    <border>
      <left/>
      <right/>
      <top style="medium">
        <color theme="1" tint="0.34998626667073579"/>
      </top>
      <bottom style="medium">
        <color theme="0" tint="-0.34998626667073579"/>
      </bottom>
      <diagonal/>
    </border>
    <border>
      <left/>
      <right style="medium">
        <color theme="0" tint="-0.34998626667073579"/>
      </right>
      <top style="medium">
        <color theme="1" tint="0.34998626667073579"/>
      </top>
      <bottom style="medium">
        <color theme="0" tint="-0.34998626667073579"/>
      </bottom>
      <diagonal/>
    </border>
    <border>
      <left style="medium">
        <color theme="1" tint="0.34998626667073579"/>
      </left>
      <right/>
      <top/>
      <bottom/>
      <diagonal/>
    </border>
    <border>
      <left/>
      <right/>
      <top style="thin">
        <color indexed="64"/>
      </top>
      <bottom/>
      <diagonal/>
    </border>
    <border>
      <left style="medium">
        <color theme="1" tint="0.34998626667073579"/>
      </left>
      <right/>
      <top style="medium">
        <color theme="1" tint="0.34998626667073579"/>
      </top>
      <bottom/>
      <diagonal/>
    </border>
    <border>
      <left/>
      <right/>
      <top style="medium">
        <color theme="1" tint="0.34998626667073579"/>
      </top>
      <bottom/>
      <diagonal/>
    </border>
    <border>
      <left/>
      <right/>
      <top/>
      <bottom style="thin">
        <color indexed="64"/>
      </bottom>
      <diagonal/>
    </border>
    <border>
      <left style="medium">
        <color theme="1"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style="medium">
        <color theme="1" tint="0.34998626667073579"/>
      </top>
      <bottom/>
      <diagonal/>
    </border>
    <border>
      <left/>
      <right style="medium">
        <color theme="0" tint="-0.34998626667073579"/>
      </right>
      <top/>
      <bottom/>
      <diagonal/>
    </border>
    <border>
      <left/>
      <right style="medium">
        <color theme="0" tint="-0.34998626667073579"/>
      </right>
      <top/>
      <bottom style="medium">
        <color theme="0" tint="-0.34998626667073579"/>
      </bottom>
      <diagonal/>
    </border>
    <border>
      <left/>
      <right/>
      <top style="thin">
        <color theme="7" tint="0.39997558519241921"/>
      </top>
      <bottom style="thin">
        <color theme="7" tint="0.39997558519241921"/>
      </bottom>
      <diagonal/>
    </border>
    <border>
      <left/>
      <right/>
      <top/>
      <bottom style="thin">
        <color theme="7" tint="0.39997558519241921"/>
      </bottom>
      <diagonal/>
    </border>
    <border>
      <left/>
      <right/>
      <top style="thin">
        <color theme="7" tint="0.39997558519241921"/>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style="thin">
        <color theme="0" tint="-0.34998626667073579"/>
      </left>
      <right style="thin">
        <color theme="0" tint="-0.34998626667073579"/>
      </right>
      <top/>
      <bottom/>
      <diagonal/>
    </border>
    <border>
      <left style="thin">
        <color theme="1"/>
      </left>
      <right/>
      <top/>
      <bottom style="thin">
        <color theme="0" tint="-0.34998626667073579"/>
      </bottom>
      <diagonal/>
    </border>
    <border>
      <left style="thin">
        <color theme="1"/>
      </left>
      <right/>
      <top/>
      <bottom/>
      <diagonal/>
    </border>
    <border>
      <left style="thin">
        <color auto="1"/>
      </left>
      <right/>
      <top/>
      <bottom/>
      <diagonal/>
    </border>
    <border>
      <left style="thin">
        <color auto="1"/>
      </left>
      <right/>
      <top/>
      <bottom style="thin">
        <color theme="0" tint="-0.34998626667073579"/>
      </bottom>
      <diagonal/>
    </border>
    <border>
      <left style="medium">
        <color theme="1" tint="0.34998626667073579"/>
      </left>
      <right style="medium">
        <color theme="1" tint="0.34998626667073579"/>
      </right>
      <top/>
      <bottom/>
      <diagonal/>
    </border>
    <border>
      <left style="thin">
        <color indexed="64"/>
      </left>
      <right/>
      <top style="thin">
        <color indexed="64"/>
      </top>
      <bottom/>
      <diagonal/>
    </border>
    <border>
      <left style="thin">
        <color indexed="64"/>
      </left>
      <right/>
      <top/>
      <bottom style="thin">
        <color indexed="64"/>
      </bottom>
      <diagonal/>
    </border>
    <border>
      <left style="thick">
        <color theme="0" tint="-0.34998626667073579"/>
      </left>
      <right/>
      <top style="thick">
        <color theme="0" tint="-0.34998626667073579"/>
      </top>
      <bottom/>
      <diagonal/>
    </border>
    <border>
      <left/>
      <right/>
      <top style="thick">
        <color theme="0" tint="-0.34998626667073579"/>
      </top>
      <bottom/>
      <diagonal/>
    </border>
    <border>
      <left/>
      <right style="thick">
        <color theme="1" tint="0.14996795556505021"/>
      </right>
      <top style="thick">
        <color theme="0" tint="-0.34998626667073579"/>
      </top>
      <bottom/>
      <diagonal/>
    </border>
    <border>
      <left style="thick">
        <color theme="0" tint="-0.34998626667073579"/>
      </left>
      <right/>
      <top/>
      <bottom/>
      <diagonal/>
    </border>
    <border>
      <left/>
      <right style="thick">
        <color theme="1" tint="0.14996795556505021"/>
      </right>
      <top/>
      <bottom/>
      <diagonal/>
    </border>
    <border>
      <left style="thick">
        <color theme="0" tint="-0.34998626667073579"/>
      </left>
      <right/>
      <top/>
      <bottom style="thick">
        <color theme="1" tint="0.14996795556505021"/>
      </bottom>
      <diagonal/>
    </border>
    <border>
      <left/>
      <right/>
      <top/>
      <bottom style="thick">
        <color theme="1" tint="0.14996795556505021"/>
      </bottom>
      <diagonal/>
    </border>
    <border>
      <left/>
      <right style="thick">
        <color theme="1" tint="0.14996795556505021"/>
      </right>
      <top/>
      <bottom style="thick">
        <color theme="1" tint="0.14996795556505021"/>
      </bottom>
      <diagonal/>
    </border>
    <border>
      <left style="thin">
        <color indexed="64"/>
      </left>
      <right/>
      <top style="thin">
        <color indexed="64"/>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theme="2" tint="-0.499984740745262"/>
      </left>
      <right/>
      <top/>
      <bottom/>
      <diagonal/>
    </border>
    <border>
      <left/>
      <right style="medium">
        <color theme="2" tint="-0.499984740745262"/>
      </right>
      <top/>
      <bottom/>
      <diagonal/>
    </border>
    <border>
      <left style="medium">
        <color theme="2" tint="-0.499984740745262"/>
      </left>
      <right/>
      <top/>
      <bottom style="medium">
        <color theme="2" tint="-0.499984740745262"/>
      </bottom>
      <diagonal/>
    </border>
    <border>
      <left/>
      <right/>
      <top/>
      <bottom style="medium">
        <color theme="2" tint="-0.499984740745262"/>
      </bottom>
      <diagonal/>
    </border>
    <border>
      <left/>
      <right style="medium">
        <color theme="2" tint="-0.499984740745262"/>
      </right>
      <top/>
      <bottom style="medium">
        <color theme="2" tint="-0.499984740745262"/>
      </bottom>
      <diagonal/>
    </border>
    <border>
      <left style="thin">
        <color auto="1"/>
      </left>
      <right style="thin">
        <color theme="0" tint="-0.34998626667073579"/>
      </right>
      <top/>
      <bottom style="thin">
        <color theme="0" tint="-0.34998626667073579"/>
      </bottom>
      <diagonal/>
    </border>
    <border>
      <left style="thin">
        <color theme="0" tint="-0.34998626667073579"/>
      </left>
      <right style="thin">
        <color auto="1"/>
      </right>
      <top/>
      <bottom style="thin">
        <color theme="0" tint="-0.34998626667073579"/>
      </bottom>
      <diagonal/>
    </border>
    <border>
      <left style="thin">
        <color auto="1"/>
      </left>
      <right style="thin">
        <color theme="0" tint="-0.34998626667073579"/>
      </right>
      <top/>
      <bottom/>
      <diagonal/>
    </border>
    <border>
      <left style="thin">
        <color theme="0" tint="-0.34998626667073579"/>
      </left>
      <right style="thin">
        <color auto="1"/>
      </right>
      <top/>
      <bottom/>
      <diagonal/>
    </border>
    <border>
      <left/>
      <right style="thin">
        <color theme="0" tint="-0.34998626667073579"/>
      </right>
      <top style="thin">
        <color theme="0" tint="-0.34998626667073579"/>
      </top>
      <bottom style="thin">
        <color theme="0" tint="-0.34998626667073579"/>
      </bottom>
      <diagonal/>
    </border>
    <border>
      <left/>
      <right/>
      <top/>
      <bottom style="medium">
        <color theme="1" tint="0.34998626667073579"/>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style="medium">
        <color theme="0"/>
      </left>
      <right/>
      <top/>
      <bottom style="medium">
        <color theme="0"/>
      </bottom>
      <diagonal/>
    </border>
    <border>
      <left/>
      <right/>
      <top/>
      <bottom style="medium">
        <color theme="0"/>
      </bottom>
      <diagonal/>
    </border>
    <border>
      <left style="thin">
        <color theme="0"/>
      </left>
      <right style="thin">
        <color theme="0"/>
      </right>
      <top style="thin">
        <color theme="0"/>
      </top>
      <bottom style="thin">
        <color theme="0"/>
      </bottom>
      <diagonal/>
    </border>
    <border>
      <left/>
      <right/>
      <top style="thin">
        <color indexed="64"/>
      </top>
      <bottom style="thin">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auto="1"/>
      </left>
      <right/>
      <top style="thin">
        <color theme="0" tint="-0.34998626667073579"/>
      </top>
      <bottom/>
      <diagonal/>
    </border>
    <border>
      <left/>
      <right style="thin">
        <color theme="1"/>
      </right>
      <top style="thin">
        <color theme="0" tint="-0.34998626667073579"/>
      </top>
      <bottom/>
      <diagonal/>
    </border>
    <border>
      <left/>
      <right style="thin">
        <color theme="1"/>
      </right>
      <top/>
      <bottom style="thin">
        <color theme="0" tint="-0.34998626667073579"/>
      </bottom>
      <diagonal/>
    </border>
    <border>
      <left style="thin">
        <color theme="1"/>
      </left>
      <right/>
      <top style="thin">
        <color theme="0" tint="-0.34998626667073579"/>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theme="0" tint="-0.34998626667073579"/>
      </top>
      <bottom/>
      <diagonal/>
    </border>
    <border>
      <left/>
      <right/>
      <top style="thin">
        <color theme="4" tint="0.39997558519241921"/>
      </top>
      <bottom style="thin">
        <color theme="4" tint="0.39997558519241921"/>
      </bottom>
      <diagonal/>
    </border>
    <border>
      <left/>
      <right/>
      <top style="thin">
        <color theme="0"/>
      </top>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4" tint="0.39997558519241921"/>
      </left>
      <right/>
      <top style="thin">
        <color theme="4" tint="0.39997558519241921"/>
      </top>
      <bottom style="thin">
        <color theme="4" tint="0.39997558519241921"/>
      </bottom>
      <diagonal/>
    </border>
    <border>
      <left style="thin">
        <color theme="0" tint="-0.34998626667073579"/>
      </left>
      <right style="thin">
        <color theme="0" tint="-0.34998626667073579"/>
      </right>
      <top style="thin">
        <color theme="0" tint="-0.34998626667073579"/>
      </top>
      <bottom/>
      <diagonal/>
    </border>
    <border>
      <left/>
      <right style="thin">
        <color auto="1"/>
      </right>
      <top style="thin">
        <color theme="0" tint="-0.34998626667073579"/>
      </top>
      <bottom/>
      <diagonal/>
    </border>
    <border>
      <left/>
      <right style="thin">
        <color auto="1"/>
      </right>
      <top/>
      <bottom style="thin">
        <color theme="0" tint="-0.34998626667073579"/>
      </bottom>
      <diagonal/>
    </border>
    <border>
      <left style="thin">
        <color theme="0" tint="-0.34998626667073579"/>
      </left>
      <right/>
      <top style="medium">
        <color indexed="64"/>
      </top>
      <bottom/>
      <diagonal/>
    </border>
    <border>
      <left style="thin">
        <color theme="0" tint="-0.34998626667073579"/>
      </left>
      <right style="thin">
        <color theme="0" tint="-0.34998626667073579"/>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0"/>
      </left>
      <right style="medium">
        <color theme="0"/>
      </right>
      <top style="medium">
        <color theme="0"/>
      </top>
      <bottom/>
      <diagonal/>
    </border>
    <border>
      <left style="medium">
        <color theme="0"/>
      </left>
      <right style="medium">
        <color theme="0"/>
      </right>
      <top style="medium">
        <color theme="0"/>
      </top>
      <bottom style="thin">
        <color theme="0"/>
      </bottom>
      <diagonal/>
    </border>
    <border>
      <left/>
      <right style="medium">
        <color theme="0"/>
      </right>
      <top style="medium">
        <color theme="0"/>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diagonal/>
    </border>
    <border>
      <left style="thin">
        <color rgb="FF54BCEB"/>
      </left>
      <right style="thin">
        <color rgb="FF54BCEB"/>
      </right>
      <top style="thin">
        <color rgb="FF54BCEB"/>
      </top>
      <bottom style="thin">
        <color rgb="FF54BCEB"/>
      </bottom>
      <diagonal/>
    </border>
    <border>
      <left style="thin">
        <color rgb="FF54BCEB"/>
      </left>
      <right/>
      <top/>
      <bottom style="thin">
        <color rgb="FF54BCEB"/>
      </bottom>
      <diagonal/>
    </border>
    <border>
      <left/>
      <right/>
      <top/>
      <bottom style="thin">
        <color rgb="FF54BCEB"/>
      </bottom>
      <diagonal/>
    </border>
    <border>
      <left/>
      <right style="thin">
        <color rgb="FF54BCEB"/>
      </right>
      <top/>
      <bottom style="thin">
        <color rgb="FF54BCEB"/>
      </bottom>
      <diagonal/>
    </border>
    <border>
      <left style="thin">
        <color rgb="FF54BCEB"/>
      </left>
      <right/>
      <top/>
      <bottom/>
      <diagonal/>
    </border>
    <border>
      <left style="thin">
        <color rgb="FF54BCEB"/>
      </left>
      <right style="thin">
        <color rgb="FFC04C36"/>
      </right>
      <top style="thin">
        <color rgb="FF54BCEB"/>
      </top>
      <bottom style="thin">
        <color rgb="FF54BCEB"/>
      </bottom>
      <diagonal/>
    </border>
    <border>
      <left style="thin">
        <color rgb="FFC04C36"/>
      </left>
      <right style="thin">
        <color rgb="FFC04C36"/>
      </right>
      <top style="thin">
        <color rgb="FF54BCEB"/>
      </top>
      <bottom style="thin">
        <color rgb="FF54BCEB"/>
      </bottom>
      <diagonal/>
    </border>
    <border>
      <left style="thin">
        <color rgb="FFC04C36"/>
      </left>
      <right style="thin">
        <color rgb="FF54BCEB"/>
      </right>
      <top style="thin">
        <color rgb="FF54BCEB"/>
      </top>
      <bottom style="thin">
        <color rgb="FF54BCEB"/>
      </bottom>
      <diagonal/>
    </border>
    <border>
      <left/>
      <right style="thin">
        <color rgb="FF54BCEB"/>
      </right>
      <top/>
      <bottom/>
      <diagonal/>
    </border>
    <border>
      <left style="thin">
        <color rgb="FF54BCEB"/>
      </left>
      <right style="thin">
        <color rgb="FF54BCEB"/>
      </right>
      <top style="thin">
        <color rgb="FF54BCEB"/>
      </top>
      <bottom/>
      <diagonal/>
    </border>
    <border>
      <left style="thin">
        <color rgb="FF54BCEB"/>
      </left>
      <right/>
      <top style="thin">
        <color rgb="FF54BCEB"/>
      </top>
      <bottom/>
      <diagonal/>
    </border>
    <border>
      <left/>
      <right/>
      <top style="thin">
        <color rgb="FF54BCEB"/>
      </top>
      <bottom/>
      <diagonal/>
    </border>
    <border>
      <left/>
      <right style="thin">
        <color rgb="FF54BCEB"/>
      </right>
      <top style="thin">
        <color rgb="FF54BCEB"/>
      </top>
      <bottom/>
      <diagonal/>
    </border>
    <border>
      <left style="thin">
        <color rgb="FF00334E"/>
      </left>
      <right style="thin">
        <color rgb="FF00334E"/>
      </right>
      <top style="thin">
        <color rgb="FF00334E"/>
      </top>
      <bottom style="thin">
        <color rgb="FF00334E"/>
      </bottom>
      <diagonal/>
    </border>
    <border>
      <left/>
      <right style="thin">
        <color rgb="FF00334E"/>
      </right>
      <top/>
      <bottom style="thin">
        <color rgb="FF00334E"/>
      </bottom>
      <diagonal/>
    </border>
    <border>
      <left style="thin">
        <color rgb="FFA6A5AA"/>
      </left>
      <right style="thin">
        <color rgb="FFA6A5AA"/>
      </right>
      <top style="thin">
        <color rgb="FFA6A5AA"/>
      </top>
      <bottom style="thin">
        <color rgb="FFA6A5AA"/>
      </bottom>
      <diagonal/>
    </border>
    <border>
      <left style="thin">
        <color rgb="FF00334E"/>
      </left>
      <right/>
      <top/>
      <bottom/>
      <diagonal/>
    </border>
    <border>
      <left style="thin">
        <color rgb="FF00334E"/>
      </left>
      <right/>
      <top/>
      <bottom style="thin">
        <color rgb="FF00334E"/>
      </bottom>
      <diagonal/>
    </border>
    <border>
      <left/>
      <right/>
      <top/>
      <bottom style="thin">
        <color rgb="FF00334E"/>
      </bottom>
      <diagonal/>
    </border>
    <border>
      <left/>
      <right style="thin">
        <color rgb="FF00334E"/>
      </right>
      <top/>
      <bottom/>
      <diagonal/>
    </border>
    <border>
      <left/>
      <right/>
      <top style="thin">
        <color rgb="FFA6A5AA"/>
      </top>
      <bottom/>
      <diagonal/>
    </border>
    <border>
      <left/>
      <right style="thin">
        <color theme="0" tint="-0.34998626667073579"/>
      </right>
      <top style="medium">
        <color indexed="64"/>
      </top>
      <bottom/>
      <diagonal/>
    </border>
    <border>
      <left style="thin">
        <color auto="1"/>
      </left>
      <right/>
      <top style="medium">
        <color indexed="64"/>
      </top>
      <bottom/>
      <diagonal/>
    </border>
    <border>
      <left style="thin">
        <color theme="0" tint="-0.34998626667073579"/>
      </left>
      <right style="thin">
        <color theme="0" tint="-0.34998626667073579"/>
      </right>
      <top style="medium">
        <color indexed="64"/>
      </top>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indexed="64"/>
      </bottom>
      <diagonal/>
    </border>
    <border>
      <left style="medium">
        <color theme="0"/>
      </left>
      <right/>
      <top style="medium">
        <color theme="0"/>
      </top>
      <bottom style="medium">
        <color indexed="64"/>
      </bottom>
      <diagonal/>
    </border>
    <border>
      <left/>
      <right/>
      <top style="medium">
        <color theme="0"/>
      </top>
      <bottom style="medium">
        <color indexed="64"/>
      </bottom>
      <diagonal/>
    </border>
    <border>
      <left/>
      <right style="medium">
        <color theme="0"/>
      </right>
      <top style="medium">
        <color theme="0"/>
      </top>
      <bottom style="medium">
        <color indexed="64"/>
      </bottom>
      <diagonal/>
    </border>
    <border>
      <left/>
      <right/>
      <top/>
      <bottom style="thin">
        <color rgb="FFA7A6A7"/>
      </bottom>
      <diagonal/>
    </border>
    <border>
      <left/>
      <right/>
      <top style="thin">
        <color rgb="FFA7A6A7"/>
      </top>
      <bottom/>
      <diagonal/>
    </border>
    <border>
      <left/>
      <right style="thin">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diagonal/>
    </border>
    <border>
      <left style="thin">
        <color rgb="FFA6A5AA"/>
      </left>
      <right/>
      <top/>
      <bottom/>
      <diagonal/>
    </border>
    <border>
      <left/>
      <right/>
      <top style="thin">
        <color theme="5" tint="0.39997558519241921"/>
      </top>
      <bottom style="thin">
        <color theme="5" tint="0.39997558519241921"/>
      </bottom>
      <diagonal/>
    </border>
    <border>
      <left/>
      <right/>
      <top/>
      <bottom style="thin">
        <color theme="5" tint="0.39997558519241921"/>
      </bottom>
      <diagonal/>
    </border>
    <border>
      <left/>
      <right/>
      <top style="thin">
        <color theme="5" tint="0.39997558519241921"/>
      </top>
      <bottom/>
      <diagonal/>
    </border>
    <border>
      <left style="thin">
        <color theme="1"/>
      </left>
      <right/>
      <top style="thin">
        <color theme="1"/>
      </top>
      <bottom style="thin">
        <color theme="1"/>
      </bottom>
      <diagonal/>
    </border>
    <border>
      <left/>
      <right/>
      <top style="thin">
        <color theme="1"/>
      </top>
      <bottom style="thin">
        <color theme="1"/>
      </bottom>
      <diagonal/>
    </border>
    <border>
      <left/>
      <right/>
      <top style="thin">
        <color theme="1"/>
      </top>
      <bottom/>
      <diagonal/>
    </border>
    <border>
      <left/>
      <right style="thin">
        <color theme="1"/>
      </right>
      <top style="thin">
        <color theme="1"/>
      </top>
      <bottom style="thin">
        <color theme="1"/>
      </bottom>
      <diagonal/>
    </border>
    <border>
      <left style="thin">
        <color theme="6" tint="0.39997558519241921"/>
      </left>
      <right/>
      <top/>
      <bottom style="thin">
        <color theme="6" tint="0.39997558519241921"/>
      </bottom>
      <diagonal/>
    </border>
    <border>
      <left/>
      <right/>
      <top/>
      <bottom style="thin">
        <color theme="6" tint="0.39997558519241921"/>
      </bottom>
      <diagonal/>
    </border>
    <border>
      <left/>
      <right style="thin">
        <color theme="6" tint="0.39997558519241921"/>
      </right>
      <top/>
      <bottom style="thin">
        <color theme="6" tint="0.39997558519241921"/>
      </bottom>
      <diagonal/>
    </border>
    <border>
      <left/>
      <right style="thin">
        <color theme="1"/>
      </right>
      <top style="thin">
        <color theme="1"/>
      </top>
      <bottom/>
      <diagonal/>
    </border>
    <border>
      <left style="thin">
        <color theme="0" tint="-0.499984740745262"/>
      </left>
      <right/>
      <top style="thin">
        <color theme="0" tint="-0.34998626667073579"/>
      </top>
      <bottom/>
      <diagonal/>
    </border>
    <border>
      <left style="thin">
        <color theme="0" tint="-0.499984740745262"/>
      </left>
      <right/>
      <top/>
      <bottom style="thin">
        <color theme="0" tint="-0.34998626667073579"/>
      </bottom>
      <diagonal/>
    </border>
    <border>
      <left style="medium">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medium">
        <color theme="0" tint="-0.499984740745262"/>
      </left>
      <right/>
      <top/>
      <bottom style="thin">
        <color theme="0" tint="-0.499984740745262"/>
      </bottom>
      <diagonal/>
    </border>
    <border>
      <left style="thin">
        <color rgb="FFAFAFB1"/>
      </left>
      <right/>
      <top/>
      <bottom style="thin">
        <color rgb="FFAFAFB1"/>
      </bottom>
      <diagonal/>
    </border>
    <border>
      <left/>
      <right/>
      <top/>
      <bottom style="thin">
        <color rgb="FFAFAFB1"/>
      </bottom>
      <diagonal/>
    </border>
    <border>
      <left/>
      <right style="thin">
        <color rgb="FFAFAFB1"/>
      </right>
      <top/>
      <bottom style="thin">
        <color rgb="FFAFAFB1"/>
      </bottom>
      <diagonal/>
    </border>
    <border>
      <left/>
      <right/>
      <top style="medium">
        <color theme="1"/>
      </top>
      <bottom/>
      <diagonal/>
    </border>
    <border>
      <left style="thin">
        <color rgb="FFAFAFB1"/>
      </left>
      <right/>
      <top style="medium">
        <color theme="1"/>
      </top>
      <bottom/>
      <diagonal/>
    </border>
    <border>
      <left/>
      <right style="thin">
        <color rgb="FFAFAFB1"/>
      </right>
      <top style="medium">
        <color theme="1"/>
      </top>
      <bottom/>
      <diagonal/>
    </border>
    <border>
      <left style="medium">
        <color theme="1" tint="0.34998626667073579"/>
      </left>
      <right/>
      <top style="medium">
        <color theme="1" tint="0.34998626667073579"/>
      </top>
      <bottom style="medium">
        <color theme="0" tint="-0.499984740745262"/>
      </bottom>
      <diagonal/>
    </border>
    <border>
      <left/>
      <right/>
      <top style="medium">
        <color theme="1" tint="0.34998626667073579"/>
      </top>
      <bottom style="medium">
        <color theme="0" tint="-0.499984740745262"/>
      </bottom>
      <diagonal/>
    </border>
    <border>
      <left/>
      <right style="medium">
        <color theme="0" tint="-0.34998626667073579"/>
      </right>
      <top style="medium">
        <color theme="1" tint="0.34998626667073579"/>
      </top>
      <bottom style="medium">
        <color theme="0" tint="-0.499984740745262"/>
      </bottom>
      <diagonal/>
    </border>
    <border>
      <left/>
      <right/>
      <top/>
      <bottom style="thin">
        <color theme="4" tint="0.39997558519241921"/>
      </bottom>
      <diagonal/>
    </border>
    <border>
      <left/>
      <right/>
      <top style="thin">
        <color theme="4" tint="0.39997558519241921"/>
      </top>
      <bottom/>
      <diagonal/>
    </border>
    <border>
      <left/>
      <right style="thin">
        <color theme="0"/>
      </right>
      <top/>
      <bottom/>
      <diagonal/>
    </border>
    <border>
      <left/>
      <right/>
      <top/>
      <bottom style="thin">
        <color theme="1"/>
      </bottom>
      <diagonal/>
    </border>
    <border>
      <left style="medium">
        <color theme="0"/>
      </left>
      <right/>
      <top style="medium">
        <color indexed="64"/>
      </top>
      <bottom style="medium">
        <color theme="0"/>
      </bottom>
      <diagonal/>
    </border>
    <border>
      <left/>
      <right/>
      <top style="medium">
        <color indexed="64"/>
      </top>
      <bottom style="medium">
        <color theme="0"/>
      </bottom>
      <diagonal/>
    </border>
    <border>
      <left/>
      <right style="medium">
        <color theme="0"/>
      </right>
      <top style="medium">
        <color indexed="64"/>
      </top>
      <bottom style="medium">
        <color theme="0"/>
      </bottom>
      <diagonal/>
    </border>
    <border>
      <left/>
      <right/>
      <top/>
      <bottom style="medium">
        <color rgb="FFFFDD00"/>
      </bottom>
      <diagonal/>
    </border>
    <border>
      <left/>
      <right/>
      <top style="medium">
        <color theme="0"/>
      </top>
      <bottom style="medium">
        <color rgb="FFFFDD00"/>
      </bottom>
      <diagonal/>
    </border>
  </borders>
  <cellStyleXfs count="57081">
    <xf numFmtId="0" fontId="0" fillId="0" borderId="0"/>
    <xf numFmtId="0" fontId="1" fillId="0" borderId="0" applyNumberFormat="0" applyFill="0" applyBorder="0" applyAlignment="0" applyProtection="0"/>
    <xf numFmtId="0" fontId="3" fillId="0" borderId="0" applyNumberFormat="0" applyAlignment="0" applyProtection="0"/>
    <xf numFmtId="9" fontId="16" fillId="0" borderId="0" applyFont="0" applyFill="0" applyBorder="0" applyAlignment="0" applyProtection="0"/>
    <xf numFmtId="0" fontId="3" fillId="0" borderId="0" applyNumberFormat="0" applyAlignment="0" applyProtection="0"/>
    <xf numFmtId="0" fontId="21" fillId="0" borderId="0"/>
    <xf numFmtId="9" fontId="3" fillId="0" borderId="0" applyFont="0" applyFill="0" applyBorder="0" applyAlignment="0" applyProtection="0"/>
    <xf numFmtId="43" fontId="3" fillId="0" borderId="0" applyFont="0" applyFill="0" applyBorder="0" applyAlignment="0" applyProtection="0"/>
    <xf numFmtId="0" fontId="3" fillId="19" borderId="0" applyNumberFormat="0" applyBorder="0" applyAlignment="0" applyProtection="0"/>
    <xf numFmtId="0" fontId="66" fillId="0" borderId="0"/>
    <xf numFmtId="0" fontId="3" fillId="0" borderId="0" applyNumberFormat="0" applyAlignment="0" applyProtection="0"/>
    <xf numFmtId="43" fontId="16"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3"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24" fillId="0" borderId="0"/>
    <xf numFmtId="43" fontId="24"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77" fillId="0" borderId="83" applyNumberFormat="0" applyFill="0" applyAlignment="0" applyProtection="0"/>
    <xf numFmtId="0" fontId="3" fillId="19" borderId="0" applyNumberFormat="0" applyBorder="0" applyAlignment="0" applyProtection="0"/>
    <xf numFmtId="9" fontId="3" fillId="0" borderId="0" applyFont="0" applyFill="0" applyBorder="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0" fontId="3"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0" fontId="3" fillId="0" borderId="0"/>
    <xf numFmtId="0" fontId="3" fillId="0" borderId="0"/>
    <xf numFmtId="43" fontId="66" fillId="0" borderId="0" applyFont="0" applyFill="0" applyBorder="0" applyAlignment="0" applyProtection="0"/>
    <xf numFmtId="0" fontId="3" fillId="0" borderId="0"/>
    <xf numFmtId="43" fontId="66" fillId="0" borderId="0" applyFont="0" applyFill="0" applyBorder="0" applyAlignment="0" applyProtection="0"/>
    <xf numFmtId="0" fontId="3" fillId="0" borderId="0"/>
    <xf numFmtId="0" fontId="3" fillId="0" borderId="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6" fontId="85" fillId="0" borderId="0" applyFont="0" applyFill="0" applyBorder="0" applyAlignment="0" applyProtection="0"/>
    <xf numFmtId="6" fontId="8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6" fontId="85"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3"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9" borderId="0" applyNumberFormat="0" applyAlignment="0">
      <alignment horizontal="right"/>
    </xf>
    <xf numFmtId="0" fontId="66" fillId="50" borderId="0" applyNumberFormat="0" applyAlignment="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93" fillId="34" borderId="85" applyNumberFormat="0" applyAlignment="0" applyProtection="0"/>
    <xf numFmtId="0" fontId="93" fillId="34" borderId="85" applyNumberFormat="0" applyAlignment="0" applyProtection="0"/>
    <xf numFmtId="0" fontId="78" fillId="28" borderId="84" applyNumberFormat="0" applyAlignment="0" applyProtection="0"/>
    <xf numFmtId="0" fontId="93" fillId="34" borderId="85" applyNumberFormat="0" applyAlignment="0" applyProtection="0"/>
    <xf numFmtId="0" fontId="78" fillId="28" borderId="84" applyNumberFormat="0" applyAlignment="0" applyProtection="0"/>
    <xf numFmtId="0" fontId="78" fillId="28" borderId="84" applyNumberFormat="0" applyAlignment="0" applyProtection="0"/>
    <xf numFmtId="0" fontId="93" fillId="34" borderId="85"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6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66" fillId="0" borderId="0"/>
    <xf numFmtId="0" fontId="3"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85"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16" fillId="0" borderId="0"/>
    <xf numFmtId="0" fontId="6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66" fillId="0" borderId="0"/>
    <xf numFmtId="0" fontId="66" fillId="0" borderId="0"/>
    <xf numFmtId="0" fontId="66"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66" fillId="0" borderId="0"/>
    <xf numFmtId="0" fontId="66" fillId="0" borderId="0"/>
    <xf numFmtId="0" fontId="66"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66" fillId="0" borderId="0"/>
    <xf numFmtId="0" fontId="66" fillId="0" borderId="0"/>
    <xf numFmtId="0" fontId="3" fillId="0" borderId="0"/>
    <xf numFmtId="0" fontId="66"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3" fillId="0" borderId="0"/>
    <xf numFmtId="0" fontId="66" fillId="0" borderId="0"/>
    <xf numFmtId="0" fontId="66" fillId="0" borderId="0"/>
    <xf numFmtId="0" fontId="66" fillId="0" borderId="0"/>
    <xf numFmtId="0" fontId="3" fillId="0" borderId="0"/>
    <xf numFmtId="0" fontId="66" fillId="0" borderId="0"/>
    <xf numFmtId="0" fontId="85" fillId="0" borderId="0"/>
    <xf numFmtId="0" fontId="85" fillId="0" borderId="0"/>
    <xf numFmtId="0" fontId="85" fillId="0" borderId="0"/>
    <xf numFmtId="0" fontId="1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3" fillId="0" borderId="0"/>
    <xf numFmtId="0" fontId="66"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96" fillId="0" borderId="0"/>
    <xf numFmtId="0" fontId="66" fillId="0" borderId="0"/>
    <xf numFmtId="0" fontId="96" fillId="0" borderId="0"/>
    <xf numFmtId="0" fontId="96" fillId="0" borderId="0"/>
    <xf numFmtId="0" fontId="66" fillId="0" borderId="0"/>
    <xf numFmtId="0" fontId="96" fillId="0" borderId="0"/>
    <xf numFmtId="0" fontId="66" fillId="0" borderId="0"/>
    <xf numFmtId="0" fontId="96" fillId="0" borderId="0"/>
    <xf numFmtId="0" fontId="96" fillId="0" borderId="0"/>
    <xf numFmtId="0" fontId="6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6" fillId="0" borderId="0"/>
    <xf numFmtId="0" fontId="96" fillId="0" borderId="0"/>
    <xf numFmtId="0" fontId="96" fillId="0" borderId="0"/>
    <xf numFmtId="0" fontId="96" fillId="0" borderId="0"/>
    <xf numFmtId="0" fontId="9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85"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24" fillId="0" borderId="0"/>
  </cellStyleXfs>
  <cellXfs count="1459">
    <xf numFmtId="0" fontId="0" fillId="0" borderId="0" xfId="0"/>
    <xf numFmtId="0" fontId="0" fillId="2" borderId="1" xfId="0" applyFill="1" applyBorder="1"/>
    <xf numFmtId="0" fontId="0" fillId="3" borderId="1" xfId="0" applyFill="1" applyBorder="1"/>
    <xf numFmtId="0" fontId="0" fillId="3" borderId="2" xfId="0" applyFill="1" applyBorder="1"/>
    <xf numFmtId="0" fontId="0" fillId="2" borderId="6" xfId="0" applyFill="1" applyBorder="1" applyAlignment="1">
      <alignment horizontal="right"/>
    </xf>
    <xf numFmtId="0" fontId="0" fillId="2" borderId="7" xfId="0" applyFill="1" applyBorder="1" applyAlignment="1">
      <alignment horizontal="right"/>
    </xf>
    <xf numFmtId="0" fontId="0" fillId="2" borderId="8" xfId="0" applyFill="1" applyBorder="1" applyAlignment="1">
      <alignment horizontal="right"/>
    </xf>
    <xf numFmtId="0" fontId="0" fillId="3" borderId="1" xfId="0" applyFill="1" applyBorder="1" applyAlignment="1">
      <alignment horizontal="right"/>
    </xf>
    <xf numFmtId="0" fontId="0" fillId="0" borderId="11" xfId="0" applyBorder="1"/>
    <xf numFmtId="0" fontId="0" fillId="0" borderId="0" xfId="0" applyAlignment="1">
      <alignment wrapText="1"/>
    </xf>
    <xf numFmtId="0" fontId="0" fillId="0" borderId="0" xfId="0" applyAlignment="1">
      <alignment vertical="top" wrapText="1"/>
    </xf>
    <xf numFmtId="0" fontId="5" fillId="0" borderId="0" xfId="2" applyFont="1" applyAlignment="1" applyProtection="1">
      <alignment horizontal="left" readingOrder="1"/>
    </xf>
    <xf numFmtId="0" fontId="17" fillId="0" borderId="0" xfId="4" applyFont="1" applyProtection="1"/>
    <xf numFmtId="0" fontId="7" fillId="0" borderId="0" xfId="4" applyFont="1" applyProtection="1"/>
    <xf numFmtId="0" fontId="9" fillId="0" borderId="0" xfId="4" applyFont="1" applyAlignment="1" applyProtection="1">
      <alignment horizontal="right"/>
    </xf>
    <xf numFmtId="0" fontId="23" fillId="0" borderId="0" xfId="0" applyFont="1"/>
    <xf numFmtId="0" fontId="23" fillId="0" borderId="0" xfId="0" applyFont="1" applyAlignment="1">
      <alignment horizontal="center"/>
    </xf>
    <xf numFmtId="14" fontId="24" fillId="0" borderId="1" xfId="0" applyNumberFormat="1" applyFont="1" applyBorder="1" applyAlignment="1">
      <alignment horizontal="center"/>
    </xf>
    <xf numFmtId="0" fontId="24" fillId="0" borderId="1" xfId="0" applyFont="1" applyBorder="1" applyAlignment="1">
      <alignment horizontal="center" wrapText="1"/>
    </xf>
    <xf numFmtId="49" fontId="24" fillId="0" borderId="1" xfId="0" applyNumberFormat="1" applyFont="1" applyBorder="1" applyAlignment="1">
      <alignment horizontal="left" wrapText="1"/>
    </xf>
    <xf numFmtId="0" fontId="24" fillId="0" borderId="1" xfId="0" applyFont="1" applyBorder="1" applyAlignment="1">
      <alignment horizontal="left" vertical="center" wrapText="1"/>
    </xf>
    <xf numFmtId="0" fontId="24" fillId="0" borderId="0" xfId="0" applyFont="1"/>
    <xf numFmtId="10" fontId="0" fillId="0" borderId="0" xfId="6" applyNumberFormat="1" applyFont="1"/>
    <xf numFmtId="169" fontId="0" fillId="0" borderId="0" xfId="0" applyNumberFormat="1"/>
    <xf numFmtId="172" fontId="0" fillId="0" borderId="0" xfId="0" applyNumberFormat="1"/>
    <xf numFmtId="0" fontId="26" fillId="0" borderId="0" xfId="0" applyFont="1"/>
    <xf numFmtId="0" fontId="3" fillId="0" borderId="0" xfId="2" applyAlignment="1" applyProtection="1">
      <alignment readingOrder="1"/>
    </xf>
    <xf numFmtId="0" fontId="3" fillId="0" borderId="0" xfId="2" applyProtection="1"/>
    <xf numFmtId="0" fontId="14" fillId="0" borderId="0" xfId="2" applyFont="1" applyAlignment="1" applyProtection="1">
      <alignment horizontal="left"/>
    </xf>
    <xf numFmtId="0" fontId="15" fillId="0" borderId="0" xfId="2" applyFont="1" applyProtection="1"/>
    <xf numFmtId="0" fontId="0" fillId="0" borderId="0" xfId="0" applyProtection="1">
      <protection locked="0"/>
    </xf>
    <xf numFmtId="0" fontId="0" fillId="0" borderId="1" xfId="0" applyBorder="1"/>
    <xf numFmtId="0" fontId="0" fillId="7" borderId="1" xfId="0" applyFill="1" applyBorder="1"/>
    <xf numFmtId="0" fontId="0" fillId="12" borderId="1" xfId="0" applyFill="1" applyBorder="1"/>
    <xf numFmtId="0" fontId="0" fillId="11" borderId="1" xfId="0" applyFill="1" applyBorder="1"/>
    <xf numFmtId="0" fontId="0" fillId="9" borderId="1" xfId="0" applyFill="1" applyBorder="1"/>
    <xf numFmtId="169" fontId="0" fillId="0" borderId="1" xfId="0" applyNumberFormat="1" applyBorder="1"/>
    <xf numFmtId="0" fontId="0" fillId="10" borderId="1" xfId="0" applyFill="1" applyBorder="1"/>
    <xf numFmtId="0" fontId="8" fillId="0" borderId="0" xfId="2" applyFont="1" applyAlignment="1" applyProtection="1">
      <alignment vertical="center"/>
    </xf>
    <xf numFmtId="0" fontId="8" fillId="0" borderId="0" xfId="2" applyFont="1" applyAlignment="1" applyProtection="1">
      <alignment vertical="center" readingOrder="1"/>
    </xf>
    <xf numFmtId="0" fontId="8" fillId="0" borderId="0" xfId="2" applyFont="1" applyAlignment="1" applyProtection="1">
      <alignment vertical="top"/>
    </xf>
    <xf numFmtId="0" fontId="1" fillId="11" borderId="1" xfId="1" applyFill="1" applyBorder="1"/>
    <xf numFmtId="0" fontId="5" fillId="0" borderId="0" xfId="2" applyFont="1" applyAlignment="1" applyProtection="1">
      <alignment readingOrder="1"/>
    </xf>
    <xf numFmtId="0" fontId="2" fillId="0" borderId="0" xfId="2" applyFont="1" applyProtection="1"/>
    <xf numFmtId="0" fontId="9" fillId="0" borderId="0" xfId="2" applyFont="1" applyAlignment="1" applyProtection="1">
      <alignment readingOrder="1"/>
    </xf>
    <xf numFmtId="0" fontId="32" fillId="0" borderId="0" xfId="2" applyFont="1" applyAlignment="1" applyProtection="1"/>
    <xf numFmtId="0" fontId="13" fillId="0" borderId="0" xfId="2" applyFont="1" applyAlignment="1" applyProtection="1"/>
    <xf numFmtId="0" fontId="34" fillId="0" borderId="0" xfId="4" applyFont="1" applyAlignment="1" applyProtection="1">
      <alignment horizontal="left" vertical="center"/>
    </xf>
    <xf numFmtId="0" fontId="7" fillId="4" borderId="0" xfId="4" applyFont="1" applyFill="1" applyProtection="1"/>
    <xf numFmtId="0" fontId="17" fillId="0" borderId="0" xfId="4" applyFont="1" applyAlignment="1" applyProtection="1">
      <alignment vertical="center"/>
    </xf>
    <xf numFmtId="14" fontId="0" fillId="0" borderId="0" xfId="0" applyNumberFormat="1"/>
    <xf numFmtId="175" fontId="0" fillId="0" borderId="0" xfId="0" applyNumberFormat="1"/>
    <xf numFmtId="2" fontId="0" fillId="0" borderId="0" xfId="0" applyNumberFormat="1"/>
    <xf numFmtId="0" fontId="0" fillId="0" borderId="0" xfId="0" applyAlignment="1">
      <alignment horizontal="right"/>
    </xf>
    <xf numFmtId="165" fontId="0" fillId="0" borderId="0" xfId="0" applyNumberFormat="1" applyAlignment="1">
      <alignment horizontal="left"/>
    </xf>
    <xf numFmtId="0" fontId="28" fillId="0" borderId="0" xfId="0" applyFont="1" applyAlignment="1">
      <alignment horizontal="left"/>
    </xf>
    <xf numFmtId="0" fontId="0" fillId="0" borderId="0" xfId="0" applyAlignment="1">
      <alignment horizontal="left"/>
    </xf>
    <xf numFmtId="49" fontId="0" fillId="0" borderId="0" xfId="0" applyNumberFormat="1"/>
    <xf numFmtId="0" fontId="29" fillId="0" borderId="0" xfId="0" applyFont="1" applyAlignment="1">
      <alignment horizontal="left" vertical="center" wrapText="1"/>
    </xf>
    <xf numFmtId="0" fontId="7" fillId="0" borderId="0" xfId="0" applyFont="1"/>
    <xf numFmtId="0" fontId="7" fillId="0" borderId="0" xfId="0" applyFont="1" applyAlignment="1">
      <alignment horizontal="left" vertical="top" wrapText="1"/>
    </xf>
    <xf numFmtId="0" fontId="7" fillId="0" borderId="0" xfId="0" applyFont="1" applyAlignment="1">
      <alignment horizontal="left"/>
    </xf>
    <xf numFmtId="0" fontId="7" fillId="0" borderId="0" xfId="0" applyFont="1" applyAlignment="1">
      <alignment horizontal="left" vertical="top"/>
    </xf>
    <xf numFmtId="49" fontId="7" fillId="0" borderId="14" xfId="0" applyNumberFormat="1" applyFont="1" applyBorder="1" applyAlignment="1" applyProtection="1">
      <alignment horizontal="center"/>
      <protection locked="0"/>
    </xf>
    <xf numFmtId="0" fontId="7" fillId="0" borderId="0" xfId="0" applyFont="1" applyAlignment="1">
      <alignment vertical="top" wrapText="1"/>
    </xf>
    <xf numFmtId="0" fontId="41" fillId="0" borderId="0" xfId="0" applyFont="1" applyAlignment="1">
      <alignment horizontal="left" vertical="center" wrapText="1"/>
    </xf>
    <xf numFmtId="0" fontId="44" fillId="0" borderId="0" xfId="0" applyFont="1"/>
    <xf numFmtId="0" fontId="46" fillId="0" borderId="0" xfId="0" applyFont="1" applyAlignment="1">
      <alignment vertical="center"/>
    </xf>
    <xf numFmtId="0" fontId="7" fillId="0" borderId="11" xfId="0" applyFont="1" applyBorder="1"/>
    <xf numFmtId="0" fontId="51" fillId="0" borderId="0" xfId="0" applyFont="1"/>
    <xf numFmtId="0" fontId="52" fillId="0" borderId="0" xfId="0" applyFont="1"/>
    <xf numFmtId="0" fontId="53" fillId="0" borderId="0" xfId="0" applyFont="1" applyAlignment="1">
      <alignment wrapText="1"/>
    </xf>
    <xf numFmtId="0" fontId="9" fillId="0" borderId="0" xfId="0" applyFont="1" applyAlignment="1">
      <alignment horizontal="left"/>
    </xf>
    <xf numFmtId="0" fontId="10" fillId="0" borderId="0" xfId="0" applyFont="1" applyAlignment="1">
      <alignment vertical="top"/>
    </xf>
    <xf numFmtId="0" fontId="9" fillId="0" borderId="0" xfId="0" applyFont="1" applyAlignment="1">
      <alignment vertical="top"/>
    </xf>
    <xf numFmtId="0" fontId="10" fillId="0" borderId="0" xfId="0" applyFont="1" applyAlignment="1">
      <alignment vertical="top" wrapText="1"/>
    </xf>
    <xf numFmtId="0" fontId="9" fillId="0" borderId="0" xfId="0" applyFont="1" applyAlignment="1">
      <alignment vertical="top" wrapText="1"/>
    </xf>
    <xf numFmtId="0" fontId="9" fillId="7" borderId="1" xfId="0" applyFont="1" applyFill="1" applyBorder="1" applyAlignment="1">
      <alignment horizontal="center"/>
    </xf>
    <xf numFmtId="0" fontId="9" fillId="0" borderId="0" xfId="0" applyFont="1"/>
    <xf numFmtId="0" fontId="10" fillId="0" borderId="0" xfId="0" applyFont="1" applyAlignment="1" applyProtection="1">
      <alignment vertical="top"/>
      <protection locked="0" hidden="1"/>
    </xf>
    <xf numFmtId="0" fontId="10" fillId="0" borderId="0" xfId="0" applyFont="1" applyAlignment="1" applyProtection="1">
      <alignment vertical="top" wrapText="1"/>
      <protection locked="0" hidden="1"/>
    </xf>
    <xf numFmtId="0" fontId="10" fillId="0" borderId="0" xfId="0" applyFont="1" applyProtection="1">
      <protection locked="0" hidden="1"/>
    </xf>
    <xf numFmtId="0" fontId="44" fillId="0" borderId="0" xfId="0" applyFont="1" applyAlignment="1">
      <alignment horizontal="left" vertical="center" wrapText="1"/>
    </xf>
    <xf numFmtId="0" fontId="3" fillId="0" borderId="0" xfId="0" applyFont="1"/>
    <xf numFmtId="0" fontId="26" fillId="0" borderId="0" xfId="5" applyFont="1" applyAlignment="1">
      <alignment wrapText="1"/>
    </xf>
    <xf numFmtId="0" fontId="58" fillId="0" borderId="0" xfId="5" applyFont="1" applyAlignment="1">
      <alignment wrapText="1"/>
    </xf>
    <xf numFmtId="0" fontId="7" fillId="0" borderId="0" xfId="0" applyFont="1" applyAlignment="1">
      <alignment vertical="top"/>
    </xf>
    <xf numFmtId="0" fontId="7" fillId="0" borderId="1" xfId="0" applyFont="1" applyBorder="1"/>
    <xf numFmtId="0" fontId="9" fillId="0" borderId="0" xfId="0" applyFont="1" applyAlignment="1">
      <alignment horizontal="left" vertical="top"/>
    </xf>
    <xf numFmtId="0" fontId="45" fillId="0" borderId="0" xfId="1" applyFont="1" applyBorder="1" applyAlignment="1" applyProtection="1">
      <alignment horizontal="left"/>
    </xf>
    <xf numFmtId="166" fontId="7" fillId="0" borderId="0" xfId="0" applyNumberFormat="1" applyFont="1" applyAlignment="1">
      <alignment horizontal="left"/>
    </xf>
    <xf numFmtId="1" fontId="7" fillId="0" borderId="39" xfId="0" applyNumberFormat="1" applyFont="1" applyBorder="1" applyAlignment="1">
      <alignment horizontal="center"/>
    </xf>
    <xf numFmtId="0" fontId="0" fillId="21" borderId="0" xfId="0" applyFill="1"/>
    <xf numFmtId="178" fontId="0" fillId="0" borderId="0" xfId="0" applyNumberFormat="1" applyAlignment="1">
      <alignment wrapText="1"/>
    </xf>
    <xf numFmtId="3" fontId="0" fillId="0" borderId="0" xfId="0" applyNumberFormat="1" applyAlignment="1">
      <alignment wrapText="1"/>
    </xf>
    <xf numFmtId="0" fontId="0" fillId="21" borderId="0" xfId="0" applyFill="1" applyAlignment="1">
      <alignment wrapText="1"/>
    </xf>
    <xf numFmtId="0" fontId="0" fillId="22" borderId="0" xfId="0" applyFill="1"/>
    <xf numFmtId="0" fontId="0" fillId="23" borderId="0" xfId="0" applyFill="1" applyAlignment="1">
      <alignment wrapText="1"/>
    </xf>
    <xf numFmtId="0" fontId="0" fillId="23" borderId="0" xfId="0" applyFill="1"/>
    <xf numFmtId="0" fontId="56" fillId="0" borderId="0" xfId="0" applyFont="1" applyProtection="1">
      <protection hidden="1"/>
    </xf>
    <xf numFmtId="0" fontId="10" fillId="0" borderId="0" xfId="0" applyFont="1" applyAlignment="1" applyProtection="1">
      <alignment vertical="top"/>
      <protection hidden="1"/>
    </xf>
    <xf numFmtId="0" fontId="7" fillId="0" borderId="40" xfId="0" applyFont="1" applyBorder="1"/>
    <xf numFmtId="0" fontId="7" fillId="0" borderId="18" xfId="0" applyFont="1" applyBorder="1"/>
    <xf numFmtId="0" fontId="7" fillId="0" borderId="3" xfId="0" applyFont="1" applyBorder="1"/>
    <xf numFmtId="0" fontId="0" fillId="0" borderId="37" xfId="0" applyBorder="1"/>
    <xf numFmtId="0" fontId="0" fillId="0" borderId="4" xfId="0" applyBorder="1"/>
    <xf numFmtId="0" fontId="0" fillId="0" borderId="41" xfId="0" applyBorder="1"/>
    <xf numFmtId="0" fontId="14" fillId="0" borderId="21" xfId="2" applyFont="1" applyBorder="1" applyAlignment="1" applyProtection="1">
      <alignment horizontal="left"/>
    </xf>
    <xf numFmtId="0" fontId="15" fillId="0" borderId="21" xfId="2" applyFont="1" applyBorder="1" applyProtection="1"/>
    <xf numFmtId="0" fontId="0" fillId="0" borderId="21" xfId="0" applyBorder="1"/>
    <xf numFmtId="0" fontId="0" fillId="0" borderId="5" xfId="0" applyBorder="1"/>
    <xf numFmtId="1" fontId="0" fillId="0" borderId="0" xfId="0" applyNumberFormat="1"/>
    <xf numFmtId="1" fontId="0" fillId="22" borderId="0" xfId="0" applyNumberFormat="1" applyFill="1"/>
    <xf numFmtId="2" fontId="0" fillId="22" borderId="0" xfId="0" applyNumberFormat="1" applyFill="1"/>
    <xf numFmtId="183" fontId="0" fillId="0" borderId="0" xfId="0" applyNumberFormat="1"/>
    <xf numFmtId="0" fontId="43" fillId="0" borderId="0" xfId="0" applyFont="1" applyAlignment="1">
      <alignment horizontal="center"/>
    </xf>
    <xf numFmtId="0" fontId="4" fillId="0" borderId="0" xfId="2" applyFont="1" applyAlignment="1" applyProtection="1"/>
    <xf numFmtId="0" fontId="33" fillId="0" borderId="0" xfId="0" applyFont="1"/>
    <xf numFmtId="0" fontId="17" fillId="0" borderId="0" xfId="0" applyFont="1"/>
    <xf numFmtId="0" fontId="50" fillId="0" borderId="0" xfId="0" applyFont="1"/>
    <xf numFmtId="0" fontId="0" fillId="8" borderId="0" xfId="0" applyFill="1"/>
    <xf numFmtId="1" fontId="30" fillId="8" borderId="0" xfId="0" applyNumberFormat="1" applyFont="1" applyFill="1"/>
    <xf numFmtId="0" fontId="30" fillId="8" borderId="0" xfId="0" applyFont="1" applyFill="1"/>
    <xf numFmtId="2" fontId="30" fillId="8" borderId="0" xfId="0" applyNumberFormat="1" applyFont="1" applyFill="1"/>
    <xf numFmtId="1" fontId="0" fillId="8" borderId="0" xfId="0" applyNumberFormat="1" applyFill="1"/>
    <xf numFmtId="2" fontId="0" fillId="8" borderId="0" xfId="0" applyNumberFormat="1" applyFill="1"/>
    <xf numFmtId="0" fontId="0" fillId="24" borderId="0" xfId="0" applyFill="1"/>
    <xf numFmtId="2" fontId="0" fillId="24" borderId="0" xfId="0" applyNumberFormat="1" applyFill="1"/>
    <xf numFmtId="1" fontId="0" fillId="24" borderId="0" xfId="0" applyNumberFormat="1" applyFill="1"/>
    <xf numFmtId="0" fontId="0" fillId="25" borderId="0" xfId="0" applyFill="1"/>
    <xf numFmtId="1" fontId="0" fillId="25" borderId="0" xfId="0" applyNumberFormat="1" applyFill="1"/>
    <xf numFmtId="2" fontId="0" fillId="25" borderId="0" xfId="0" applyNumberFormat="1" applyFill="1"/>
    <xf numFmtId="0" fontId="64" fillId="0" borderId="0" xfId="0" applyFont="1" applyAlignment="1">
      <alignment horizontal="left" vertical="top" wrapText="1" indent="1"/>
    </xf>
    <xf numFmtId="0" fontId="17" fillId="0" borderId="0" xfId="0" applyFont="1" applyAlignment="1">
      <alignment horizontal="left" vertical="top" wrapText="1" indent="1"/>
    </xf>
    <xf numFmtId="0" fontId="2" fillId="0" borderId="0" xfId="0" applyFont="1"/>
    <xf numFmtId="178" fontId="7" fillId="0" borderId="0" xfId="0" applyNumberFormat="1" applyFont="1"/>
    <xf numFmtId="178" fontId="0" fillId="0" borderId="0" xfId="0" applyNumberFormat="1"/>
    <xf numFmtId="178" fontId="30" fillId="8" borderId="0" xfId="0" applyNumberFormat="1" applyFont="1" applyFill="1"/>
    <xf numFmtId="178" fontId="0" fillId="8" borderId="0" xfId="0" applyNumberFormat="1" applyFill="1"/>
    <xf numFmtId="178" fontId="0" fillId="25" borderId="0" xfId="0" applyNumberFormat="1" applyFill="1"/>
    <xf numFmtId="178" fontId="0" fillId="22" borderId="0" xfId="0" applyNumberFormat="1" applyFill="1"/>
    <xf numFmtId="178" fontId="0" fillId="24" borderId="0" xfId="0" applyNumberFormat="1" applyFill="1"/>
    <xf numFmtId="0" fontId="10" fillId="0" borderId="0" xfId="0" applyFont="1"/>
    <xf numFmtId="0" fontId="9" fillId="4" borderId="1" xfId="0" applyFont="1" applyFill="1" applyBorder="1" applyAlignment="1" applyProtection="1">
      <alignment horizontal="center"/>
      <protection locked="0"/>
    </xf>
    <xf numFmtId="0" fontId="9" fillId="13" borderId="1" xfId="0" applyFont="1" applyFill="1" applyBorder="1" applyAlignment="1">
      <alignment horizontal="center"/>
    </xf>
    <xf numFmtId="0" fontId="50" fillId="0" borderId="0" xfId="0" applyFont="1" applyAlignment="1">
      <alignment vertical="top" wrapText="1"/>
    </xf>
    <xf numFmtId="49" fontId="1" fillId="8" borderId="0" xfId="1" applyNumberFormat="1" applyFill="1"/>
    <xf numFmtId="49" fontId="30" fillId="8" borderId="0" xfId="0" applyNumberFormat="1" applyFont="1" applyFill="1"/>
    <xf numFmtId="49" fontId="0" fillId="8" borderId="0" xfId="0" applyNumberFormat="1" applyFill="1"/>
    <xf numFmtId="49" fontId="1" fillId="25" borderId="0" xfId="1" applyNumberFormat="1" applyFill="1"/>
    <xf numFmtId="49" fontId="0" fillId="25" borderId="0" xfId="0" applyNumberFormat="1" applyFill="1"/>
    <xf numFmtId="0" fontId="43" fillId="0" borderId="0" xfId="0" applyFont="1" applyAlignment="1">
      <alignment horizontal="left" vertical="center" wrapText="1"/>
    </xf>
    <xf numFmtId="0" fontId="40" fillId="0" borderId="0" xfId="0" applyFont="1" applyAlignment="1">
      <alignment horizontal="center"/>
    </xf>
    <xf numFmtId="0" fontId="7" fillId="0" borderId="37" xfId="0" applyFont="1" applyBorder="1"/>
    <xf numFmtId="0" fontId="7" fillId="0" borderId="4" xfId="0" applyFont="1" applyBorder="1"/>
    <xf numFmtId="0" fontId="7" fillId="0" borderId="41" xfId="0" applyFont="1" applyBorder="1"/>
    <xf numFmtId="0" fontId="7" fillId="0" borderId="21" xfId="0" applyFont="1" applyBorder="1"/>
    <xf numFmtId="0" fontId="7" fillId="0" borderId="5" xfId="0" applyFont="1" applyBorder="1"/>
    <xf numFmtId="0" fontId="69" fillId="0" borderId="0" xfId="0" applyFont="1" applyAlignment="1">
      <alignment vertical="center"/>
    </xf>
    <xf numFmtId="0" fontId="3" fillId="0" borderId="0" xfId="4" applyProtection="1"/>
    <xf numFmtId="0" fontId="0" fillId="10" borderId="0" xfId="0" applyFill="1"/>
    <xf numFmtId="0" fontId="7" fillId="0" borderId="0" xfId="0" applyFont="1" applyAlignment="1">
      <alignment wrapText="1"/>
    </xf>
    <xf numFmtId="0" fontId="50" fillId="0" borderId="0" xfId="0" applyFont="1" applyAlignment="1">
      <alignment horizontal="left"/>
    </xf>
    <xf numFmtId="0" fontId="74" fillId="0" borderId="0" xfId="0" applyFont="1"/>
    <xf numFmtId="0" fontId="75" fillId="0" borderId="0" xfId="0" applyFont="1"/>
    <xf numFmtId="0" fontId="76" fillId="0" borderId="0" xfId="0" applyFont="1"/>
    <xf numFmtId="0" fontId="7" fillId="0" borderId="0" xfId="0" applyFont="1" applyAlignment="1">
      <alignment horizontal="right"/>
    </xf>
    <xf numFmtId="0" fontId="43" fillId="0" borderId="0" xfId="0" applyFont="1" applyAlignment="1">
      <alignment vertical="center" wrapText="1"/>
    </xf>
    <xf numFmtId="0" fontId="0" fillId="7" borderId="0" xfId="0" applyFill="1" applyAlignment="1">
      <alignment wrapText="1"/>
    </xf>
    <xf numFmtId="0" fontId="0" fillId="7" borderId="0" xfId="0" applyFill="1"/>
    <xf numFmtId="175" fontId="0" fillId="7" borderId="0" xfId="0" applyNumberFormat="1" applyFill="1"/>
    <xf numFmtId="0" fontId="109" fillId="0" borderId="0" xfId="0" applyFont="1" applyAlignment="1">
      <alignment horizontal="right"/>
    </xf>
    <xf numFmtId="0" fontId="36" fillId="0" borderId="0" xfId="0" applyFont="1"/>
    <xf numFmtId="0" fontId="60" fillId="0" borderId="0" xfId="0" applyFont="1" applyAlignment="1">
      <alignment vertical="center"/>
    </xf>
    <xf numFmtId="0" fontId="0" fillId="0" borderId="96" xfId="0" applyBorder="1"/>
    <xf numFmtId="0" fontId="110" fillId="0" borderId="0" xfId="0" applyFont="1"/>
    <xf numFmtId="0" fontId="110" fillId="0" borderId="100" xfId="0" applyFont="1" applyBorder="1"/>
    <xf numFmtId="0" fontId="110" fillId="0" borderId="95" xfId="0" applyFont="1" applyBorder="1"/>
    <xf numFmtId="0" fontId="111" fillId="0" borderId="0" xfId="0" applyFont="1"/>
    <xf numFmtId="1" fontId="110" fillId="0" borderId="0" xfId="0" applyNumberFormat="1" applyFont="1"/>
    <xf numFmtId="0" fontId="0" fillId="2" borderId="106" xfId="0" applyFill="1" applyBorder="1"/>
    <xf numFmtId="0" fontId="0" fillId="0" borderId="0" xfId="0" applyAlignment="1">
      <alignment vertical="center"/>
    </xf>
    <xf numFmtId="49" fontId="0" fillId="0" borderId="0" xfId="0" applyNumberFormat="1" applyAlignment="1">
      <alignment wrapText="1"/>
    </xf>
    <xf numFmtId="49" fontId="0" fillId="53" borderId="0" xfId="0" applyNumberFormat="1" applyFill="1"/>
    <xf numFmtId="2" fontId="0" fillId="53" borderId="0" xfId="0" applyNumberFormat="1" applyFill="1"/>
    <xf numFmtId="1" fontId="0" fillId="53" borderId="0" xfId="0" applyNumberFormat="1" applyFill="1"/>
    <xf numFmtId="0" fontId="0" fillId="53" borderId="0" xfId="0" applyFill="1"/>
    <xf numFmtId="0" fontId="49" fillId="0" borderId="0" xfId="0" applyFont="1"/>
    <xf numFmtId="49" fontId="7" fillId="0" borderId="0" xfId="0" applyNumberFormat="1" applyFont="1"/>
    <xf numFmtId="0" fontId="6" fillId="0" borderId="0" xfId="5" applyFont="1" applyAlignment="1">
      <alignment wrapText="1"/>
    </xf>
    <xf numFmtId="49" fontId="6" fillId="0" borderId="0" xfId="5" applyNumberFormat="1" applyFont="1" applyAlignment="1">
      <alignment wrapText="1"/>
    </xf>
    <xf numFmtId="0" fontId="6" fillId="0" borderId="0" xfId="0" applyFont="1"/>
    <xf numFmtId="0" fontId="1" fillId="8" borderId="0" xfId="1" applyNumberFormat="1" applyFill="1"/>
    <xf numFmtId="0" fontId="0" fillId="2" borderId="106" xfId="0" applyFill="1" applyBorder="1" applyAlignment="1">
      <alignment wrapText="1"/>
    </xf>
    <xf numFmtId="0" fontId="49" fillId="54" borderId="0" xfId="0" applyFont="1" applyFill="1"/>
    <xf numFmtId="0" fontId="6" fillId="54" borderId="0" xfId="0" applyFont="1" applyFill="1" applyAlignment="1">
      <alignment horizontal="center"/>
    </xf>
    <xf numFmtId="0" fontId="7" fillId="54" borderId="37" xfId="0" applyFont="1" applyFill="1" applyBorder="1"/>
    <xf numFmtId="0" fontId="0" fillId="54" borderId="0" xfId="0" applyFill="1"/>
    <xf numFmtId="0" fontId="0" fillId="54" borderId="4" xfId="0" applyFill="1" applyBorder="1"/>
    <xf numFmtId="0" fontId="49" fillId="54" borderId="37" xfId="0" applyFont="1" applyFill="1" applyBorder="1"/>
    <xf numFmtId="0" fontId="49" fillId="54" borderId="4" xfId="0" applyFont="1" applyFill="1" applyBorder="1"/>
    <xf numFmtId="0" fontId="49" fillId="54" borderId="41" xfId="0" applyFont="1" applyFill="1" applyBorder="1"/>
    <xf numFmtId="0" fontId="49" fillId="54" borderId="21" xfId="0" applyFont="1" applyFill="1" applyBorder="1"/>
    <xf numFmtId="181" fontId="49" fillId="54" borderId="21" xfId="7" applyNumberFormat="1" applyFont="1" applyFill="1" applyBorder="1"/>
    <xf numFmtId="0" fontId="49" fillId="54" borderId="5" xfId="0" applyFont="1" applyFill="1" applyBorder="1"/>
    <xf numFmtId="0" fontId="18" fillId="54" borderId="21" xfId="0" applyFont="1" applyFill="1" applyBorder="1"/>
    <xf numFmtId="0" fontId="7" fillId="54" borderId="21" xfId="0" applyFont="1" applyFill="1" applyBorder="1"/>
    <xf numFmtId="181" fontId="7" fillId="7" borderId="8" xfId="7" applyNumberFormat="1" applyFont="1" applyFill="1" applyBorder="1" applyProtection="1"/>
    <xf numFmtId="181" fontId="7" fillId="7" borderId="1" xfId="7" applyNumberFormat="1" applyFont="1" applyFill="1" applyBorder="1"/>
    <xf numFmtId="0" fontId="7" fillId="54" borderId="3" xfId="0" applyFont="1" applyFill="1" applyBorder="1"/>
    <xf numFmtId="181" fontId="7" fillId="7" borderId="8" xfId="7" applyNumberFormat="1" applyFont="1" applyFill="1" applyBorder="1" applyAlignment="1" applyProtection="1"/>
    <xf numFmtId="181" fontId="7" fillId="7" borderId="1" xfId="7" applyNumberFormat="1" applyFont="1" applyFill="1" applyBorder="1" applyAlignment="1"/>
    <xf numFmtId="0" fontId="73" fillId="0" borderId="0" xfId="0" applyFont="1" applyAlignment="1">
      <alignment horizontal="justify" vertical="top" wrapText="1"/>
    </xf>
    <xf numFmtId="181" fontId="49" fillId="54" borderId="21" xfId="7" applyNumberFormat="1" applyFont="1" applyFill="1" applyBorder="1" applyProtection="1"/>
    <xf numFmtId="0" fontId="7" fillId="0" borderId="0" xfId="0" applyFont="1" applyProtection="1">
      <protection hidden="1"/>
    </xf>
    <xf numFmtId="0" fontId="7" fillId="54" borderId="40" xfId="0" applyFont="1" applyFill="1" applyBorder="1" applyProtection="1">
      <protection hidden="1"/>
    </xf>
    <xf numFmtId="0" fontId="7" fillId="54" borderId="18" xfId="0" applyFont="1" applyFill="1" applyBorder="1" applyProtection="1">
      <protection hidden="1"/>
    </xf>
    <xf numFmtId="0" fontId="7" fillId="54" borderId="3" xfId="0" applyFont="1" applyFill="1" applyBorder="1" applyProtection="1">
      <protection hidden="1"/>
    </xf>
    <xf numFmtId="0" fontId="0" fillId="0" borderId="0" xfId="0" applyProtection="1">
      <protection hidden="1"/>
    </xf>
    <xf numFmtId="183" fontId="7" fillId="0" borderId="8" xfId="0" applyNumberFormat="1" applyFont="1" applyBorder="1" applyProtection="1">
      <protection locked="0"/>
    </xf>
    <xf numFmtId="183" fontId="7" fillId="0" borderId="1" xfId="0" applyNumberFormat="1" applyFont="1" applyBorder="1" applyProtection="1">
      <protection locked="0"/>
    </xf>
    <xf numFmtId="2" fontId="26" fillId="0" borderId="0" xfId="0" applyNumberFormat="1" applyFont="1"/>
    <xf numFmtId="180" fontId="0" fillId="0" borderId="0" xfId="0" applyNumberFormat="1"/>
    <xf numFmtId="0" fontId="69" fillId="0" borderId="0" xfId="0" applyFont="1" applyAlignment="1">
      <alignment wrapText="1"/>
    </xf>
    <xf numFmtId="14" fontId="70" fillId="0" borderId="0" xfId="0" applyNumberFormat="1" applyFont="1" applyAlignment="1" applyProtection="1">
      <alignment wrapText="1"/>
      <protection locked="0"/>
    </xf>
    <xf numFmtId="0" fontId="69" fillId="0" borderId="0" xfId="0" applyFont="1"/>
    <xf numFmtId="0" fontId="37" fillId="55" borderId="0" xfId="0" applyFont="1" applyFill="1" applyAlignment="1">
      <alignment vertical="center" wrapText="1"/>
    </xf>
    <xf numFmtId="0" fontId="35" fillId="55" borderId="0" xfId="0" applyFont="1" applyFill="1" applyAlignment="1">
      <alignment vertical="top" wrapText="1"/>
    </xf>
    <xf numFmtId="0" fontId="18" fillId="55" borderId="0" xfId="0" applyFont="1" applyFill="1" applyAlignment="1">
      <alignment vertical="top" wrapText="1"/>
    </xf>
    <xf numFmtId="175" fontId="18" fillId="55" borderId="0" xfId="0" applyNumberFormat="1" applyFont="1" applyFill="1" applyAlignment="1">
      <alignment vertical="top" wrapText="1"/>
    </xf>
    <xf numFmtId="0" fontId="68" fillId="55" borderId="0" xfId="0" applyFont="1" applyFill="1" applyAlignment="1">
      <alignment vertical="center" wrapText="1"/>
    </xf>
    <xf numFmtId="0" fontId="6" fillId="55" borderId="0" xfId="0" applyFont="1" applyFill="1" applyAlignment="1">
      <alignment vertical="top"/>
    </xf>
    <xf numFmtId="0" fontId="7" fillId="55" borderId="0" xfId="0" applyFont="1" applyFill="1" applyAlignment="1">
      <alignment vertical="top"/>
    </xf>
    <xf numFmtId="0" fontId="18" fillId="55" borderId="0" xfId="0" applyFont="1" applyFill="1" applyAlignment="1">
      <alignment vertical="top"/>
    </xf>
    <xf numFmtId="175" fontId="7" fillId="55" borderId="0" xfId="0" applyNumberFormat="1" applyFont="1" applyFill="1" applyAlignment="1">
      <alignment vertical="top"/>
    </xf>
    <xf numFmtId="0" fontId="35" fillId="55" borderId="0" xfId="0" applyFont="1" applyFill="1" applyAlignment="1">
      <alignment vertical="top"/>
    </xf>
    <xf numFmtId="0" fontId="71" fillId="55" borderId="110" xfId="0" applyFont="1" applyFill="1" applyBorder="1" applyAlignment="1">
      <alignment vertical="top"/>
    </xf>
    <xf numFmtId="0" fontId="71" fillId="55" borderId="111" xfId="0" applyFont="1" applyFill="1" applyBorder="1" applyAlignment="1">
      <alignment vertical="top"/>
    </xf>
    <xf numFmtId="0" fontId="71" fillId="55" borderId="96" xfId="0" applyFont="1" applyFill="1" applyBorder="1" applyAlignment="1">
      <alignment vertical="top"/>
    </xf>
    <xf numFmtId="0" fontId="35" fillId="55" borderId="96" xfId="0" applyFont="1" applyFill="1" applyBorder="1" applyAlignment="1">
      <alignment vertical="top"/>
    </xf>
    <xf numFmtId="0" fontId="35" fillId="55" borderId="0" xfId="0" applyFont="1" applyFill="1" applyAlignment="1">
      <alignment horizontal="left" vertical="top"/>
    </xf>
    <xf numFmtId="0" fontId="0" fillId="55" borderId="0" xfId="0" applyFill="1"/>
    <xf numFmtId="0" fontId="69" fillId="55" borderId="0" xfId="0" applyFont="1" applyFill="1" applyAlignment="1">
      <alignment vertical="center"/>
    </xf>
    <xf numFmtId="0" fontId="7" fillId="55" borderId="0" xfId="0" applyFont="1" applyFill="1" applyAlignment="1">
      <alignment vertical="top" wrapText="1"/>
    </xf>
    <xf numFmtId="0" fontId="71" fillId="55" borderId="0" xfId="0" applyFont="1" applyFill="1" applyAlignment="1">
      <alignment vertical="center" wrapText="1"/>
    </xf>
    <xf numFmtId="0" fontId="7" fillId="55" borderId="0" xfId="0" applyFont="1" applyFill="1" applyAlignment="1">
      <alignment horizontal="left" vertical="top" wrapText="1"/>
    </xf>
    <xf numFmtId="0" fontId="7" fillId="55" borderId="0" xfId="0" applyFont="1" applyFill="1"/>
    <xf numFmtId="0" fontId="18" fillId="55" borderId="0" xfId="0" applyFont="1" applyFill="1"/>
    <xf numFmtId="0" fontId="71" fillId="55" borderId="0" xfId="0" applyFont="1" applyFill="1" applyAlignment="1">
      <alignment vertical="top" wrapText="1"/>
    </xf>
    <xf numFmtId="0" fontId="69" fillId="55" borderId="0" xfId="0" applyFont="1" applyFill="1" applyAlignment="1">
      <alignment wrapText="1"/>
    </xf>
    <xf numFmtId="0" fontId="7" fillId="55" borderId="0" xfId="4" applyFont="1" applyFill="1" applyProtection="1"/>
    <xf numFmtId="0" fontId="7" fillId="55" borderId="0" xfId="4" applyFont="1" applyFill="1" applyAlignment="1" applyProtection="1">
      <alignment vertical="top" wrapText="1"/>
    </xf>
    <xf numFmtId="0" fontId="7" fillId="55" borderId="0" xfId="4" applyFont="1" applyFill="1" applyAlignment="1" applyProtection="1">
      <alignment horizontal="left" vertical="top" wrapText="1"/>
    </xf>
    <xf numFmtId="0" fontId="6" fillId="55" borderId="0" xfId="0" applyFont="1" applyFill="1" applyAlignment="1">
      <alignment horizontal="left" vertical="top"/>
    </xf>
    <xf numFmtId="0" fontId="7" fillId="55" borderId="0" xfId="0" applyFont="1" applyFill="1" applyAlignment="1">
      <alignment horizontal="left" vertical="top"/>
    </xf>
    <xf numFmtId="0" fontId="68" fillId="55" borderId="0" xfId="0" applyFont="1" applyFill="1"/>
    <xf numFmtId="0" fontId="68" fillId="55" borderId="0" xfId="0" applyFont="1" applyFill="1" applyAlignment="1">
      <alignment vertical="top"/>
    </xf>
    <xf numFmtId="14" fontId="7" fillId="55" borderId="0" xfId="2" applyNumberFormat="1" applyFont="1" applyFill="1" applyAlignment="1" applyProtection="1">
      <alignment vertical="top"/>
    </xf>
    <xf numFmtId="0" fontId="112" fillId="55" borderId="0" xfId="2" applyFont="1" applyFill="1" applyAlignment="1" applyProtection="1">
      <alignment vertical="center" wrapText="1"/>
    </xf>
    <xf numFmtId="0" fontId="73" fillId="0" borderId="0" xfId="0" applyFont="1" applyAlignment="1">
      <alignment vertical="top" wrapText="1"/>
    </xf>
    <xf numFmtId="0" fontId="113" fillId="0" borderId="0" xfId="0" applyFont="1"/>
    <xf numFmtId="0" fontId="18" fillId="0" borderId="0" xfId="0" applyFont="1" applyAlignment="1">
      <alignment vertical="center" wrapText="1"/>
    </xf>
    <xf numFmtId="0" fontId="35" fillId="0" borderId="0" xfId="0" applyFont="1" applyAlignment="1">
      <alignment vertical="center" wrapText="1"/>
    </xf>
    <xf numFmtId="2" fontId="0" fillId="56" borderId="0" xfId="0" applyNumberFormat="1" applyFill="1" applyAlignment="1">
      <alignment wrapText="1"/>
    </xf>
    <xf numFmtId="1" fontId="0" fillId="56" borderId="0" xfId="0" applyNumberFormat="1" applyFill="1" applyAlignment="1">
      <alignment wrapText="1"/>
    </xf>
    <xf numFmtId="0" fontId="0" fillId="56" borderId="0" xfId="0" applyFill="1" applyAlignment="1">
      <alignment wrapText="1"/>
    </xf>
    <xf numFmtId="49" fontId="0" fillId="56" borderId="0" xfId="0" applyNumberFormat="1" applyFill="1" applyAlignment="1">
      <alignment wrapText="1"/>
    </xf>
    <xf numFmtId="0" fontId="0" fillId="57" borderId="0" xfId="0" applyFill="1" applyAlignment="1">
      <alignment wrapText="1"/>
    </xf>
    <xf numFmtId="1" fontId="0" fillId="57" borderId="0" xfId="0" applyNumberFormat="1" applyFill="1" applyAlignment="1">
      <alignment wrapText="1"/>
    </xf>
    <xf numFmtId="178" fontId="0" fillId="57" borderId="0" xfId="0" applyNumberFormat="1" applyFill="1" applyAlignment="1">
      <alignment wrapText="1"/>
    </xf>
    <xf numFmtId="49" fontId="0" fillId="57" borderId="0" xfId="0" applyNumberFormat="1" applyFill="1" applyAlignment="1">
      <alignment wrapText="1"/>
    </xf>
    <xf numFmtId="0" fontId="43" fillId="0" borderId="0" xfId="0" applyFont="1"/>
    <xf numFmtId="0" fontId="104" fillId="6" borderId="0" xfId="0" applyFont="1" applyFill="1"/>
    <xf numFmtId="0" fontId="104" fillId="6" borderId="0" xfId="0" applyFont="1" applyFill="1" applyAlignment="1">
      <alignment horizontal="right"/>
    </xf>
    <xf numFmtId="0" fontId="104" fillId="6" borderId="0" xfId="0" applyFont="1" applyFill="1" applyAlignment="1">
      <alignment wrapText="1"/>
    </xf>
    <xf numFmtId="0" fontId="104" fillId="6" borderId="0" xfId="0" applyFont="1" applyFill="1" applyAlignment="1">
      <alignment horizontal="center"/>
    </xf>
    <xf numFmtId="0" fontId="105" fillId="6" borderId="0" xfId="1" applyFont="1" applyFill="1"/>
    <xf numFmtId="0" fontId="38" fillId="6" borderId="0" xfId="0" applyFont="1" applyFill="1"/>
    <xf numFmtId="0" fontId="38" fillId="6" borderId="0" xfId="0" applyFont="1" applyFill="1" applyAlignment="1">
      <alignment horizontal="left"/>
    </xf>
    <xf numFmtId="0" fontId="38" fillId="6" borderId="0" xfId="0" applyFont="1" applyFill="1" applyAlignment="1">
      <alignment wrapText="1"/>
    </xf>
    <xf numFmtId="0" fontId="62" fillId="6" borderId="0" xfId="0" applyFont="1" applyFill="1" applyAlignment="1">
      <alignment horizontal="right"/>
    </xf>
    <xf numFmtId="0" fontId="39" fillId="6" borderId="0" xfId="1" applyFont="1" applyFill="1"/>
    <xf numFmtId="0" fontId="38" fillId="6" borderId="0" xfId="0" applyFont="1" applyFill="1" applyAlignment="1">
      <alignment horizontal="left" wrapText="1"/>
    </xf>
    <xf numFmtId="0" fontId="38" fillId="6" borderId="0" xfId="0" applyFont="1" applyFill="1" applyAlignment="1">
      <alignment horizontal="center"/>
    </xf>
    <xf numFmtId="0" fontId="104" fillId="0" borderId="0" xfId="0" applyFont="1"/>
    <xf numFmtId="0" fontId="114" fillId="6" borderId="128" xfId="0" applyFont="1" applyFill="1" applyBorder="1"/>
    <xf numFmtId="0" fontId="106" fillId="6" borderId="128" xfId="0" applyFont="1" applyFill="1" applyBorder="1"/>
    <xf numFmtId="0" fontId="7" fillId="0" borderId="131" xfId="0" applyFont="1" applyBorder="1"/>
    <xf numFmtId="0" fontId="6" fillId="0" borderId="131" xfId="0" applyFont="1" applyBorder="1" applyAlignment="1">
      <alignment horizontal="right" vertical="top"/>
    </xf>
    <xf numFmtId="0" fontId="25" fillId="0" borderId="131" xfId="0" applyFont="1" applyBorder="1"/>
    <xf numFmtId="0" fontId="0" fillId="0" borderId="131" xfId="0" applyBorder="1"/>
    <xf numFmtId="0" fontId="7" fillId="0" borderId="131" xfId="0" applyFont="1" applyBorder="1" applyAlignment="1">
      <alignment vertical="top"/>
    </xf>
    <xf numFmtId="0" fontId="7" fillId="0" borderId="131" xfId="0" applyFont="1" applyBorder="1" applyAlignment="1">
      <alignment horizontal="right"/>
    </xf>
    <xf numFmtId="0" fontId="7" fillId="0" borderId="132" xfId="0" applyFont="1" applyBorder="1" applyAlignment="1">
      <alignment vertical="top"/>
    </xf>
    <xf numFmtId="0" fontId="7" fillId="0" borderId="133" xfId="0" applyFont="1" applyBorder="1" applyAlignment="1">
      <alignment horizontal="left" vertical="top"/>
    </xf>
    <xf numFmtId="0" fontId="7" fillId="0" borderId="133" xfId="0" applyFont="1" applyBorder="1" applyAlignment="1">
      <alignment vertical="top"/>
    </xf>
    <xf numFmtId="0" fontId="7" fillId="0" borderId="132" xfId="0" applyFont="1" applyBorder="1"/>
    <xf numFmtId="0" fontId="7" fillId="0" borderId="133" xfId="0" applyFont="1" applyBorder="1"/>
    <xf numFmtId="0" fontId="7" fillId="0" borderId="132" xfId="0" applyFont="1" applyBorder="1" applyAlignment="1">
      <alignment horizontal="right"/>
    </xf>
    <xf numFmtId="0" fontId="7" fillId="0" borderId="134" xfId="0" applyFont="1" applyBorder="1"/>
    <xf numFmtId="0" fontId="6" fillId="0" borderId="134" xfId="0" applyFont="1" applyBorder="1"/>
    <xf numFmtId="0" fontId="25" fillId="0" borderId="134" xfId="0" applyFont="1" applyBorder="1"/>
    <xf numFmtId="0" fontId="0" fillId="0" borderId="134" xfId="0" applyBorder="1"/>
    <xf numFmtId="0" fontId="7" fillId="0" borderId="129" xfId="0" applyFont="1" applyBorder="1"/>
    <xf numFmtId="0" fontId="36" fillId="6" borderId="0" xfId="0" applyFont="1" applyFill="1"/>
    <xf numFmtId="0" fontId="0" fillId="6" borderId="0" xfId="0" applyFill="1"/>
    <xf numFmtId="0" fontId="40" fillId="0" borderId="0" xfId="0" applyFont="1" applyAlignment="1">
      <alignment vertical="center"/>
    </xf>
    <xf numFmtId="0" fontId="7" fillId="6" borderId="0" xfId="0" applyFont="1" applyFill="1"/>
    <xf numFmtId="0" fontId="67" fillId="6" borderId="0" xfId="0" applyFont="1" applyFill="1" applyAlignment="1">
      <alignment vertical="center"/>
    </xf>
    <xf numFmtId="2" fontId="0" fillId="57" borderId="0" xfId="0" applyNumberFormat="1" applyFill="1" applyAlignment="1">
      <alignment wrapText="1"/>
    </xf>
    <xf numFmtId="0" fontId="3" fillId="0" borderId="0" xfId="5" applyFont="1"/>
    <xf numFmtId="49" fontId="3" fillId="0" borderId="0" xfId="5" applyNumberFormat="1" applyFont="1"/>
    <xf numFmtId="14" fontId="3" fillId="0" borderId="0" xfId="5" applyNumberFormat="1" applyFont="1"/>
    <xf numFmtId="4" fontId="3" fillId="0" borderId="0" xfId="5" applyNumberFormat="1" applyFont="1"/>
    <xf numFmtId="0" fontId="116" fillId="0" borderId="0" xfId="5" applyFont="1" applyAlignment="1">
      <alignment wrapText="1"/>
    </xf>
    <xf numFmtId="0" fontId="25" fillId="0" borderId="0" xfId="5" applyFont="1" applyAlignment="1">
      <alignment wrapText="1"/>
    </xf>
    <xf numFmtId="0" fontId="116" fillId="0" borderId="28" xfId="5" applyFont="1" applyBorder="1" applyAlignment="1">
      <alignment wrapText="1"/>
    </xf>
    <xf numFmtId="0" fontId="116" fillId="27" borderId="28" xfId="5" applyFont="1" applyFill="1" applyBorder="1" applyAlignment="1">
      <alignment wrapText="1"/>
    </xf>
    <xf numFmtId="0" fontId="30" fillId="0" borderId="0" xfId="5" applyFont="1"/>
    <xf numFmtId="49" fontId="30" fillId="0" borderId="0" xfId="5" applyNumberFormat="1" applyFont="1"/>
    <xf numFmtId="14" fontId="30" fillId="0" borderId="0" xfId="5" applyNumberFormat="1" applyFont="1"/>
    <xf numFmtId="4" fontId="30" fillId="0" borderId="0" xfId="5" applyNumberFormat="1" applyFont="1"/>
    <xf numFmtId="2" fontId="3" fillId="0" borderId="0" xfId="0" applyNumberFormat="1" applyFont="1"/>
    <xf numFmtId="0" fontId="30" fillId="0" borderId="27" xfId="5" applyFont="1" applyBorder="1"/>
    <xf numFmtId="0" fontId="30" fillId="0" borderId="29" xfId="5" applyFont="1" applyBorder="1"/>
    <xf numFmtId="49" fontId="3" fillId="0" borderId="0" xfId="0" applyNumberFormat="1" applyFont="1"/>
    <xf numFmtId="49" fontId="116" fillId="0" borderId="0" xfId="5" applyNumberFormat="1" applyFont="1" applyAlignment="1">
      <alignment wrapText="1"/>
    </xf>
    <xf numFmtId="14" fontId="116" fillId="0" borderId="0" xfId="5" applyNumberFormat="1" applyFont="1" applyAlignment="1">
      <alignment wrapText="1"/>
    </xf>
    <xf numFmtId="43" fontId="3" fillId="0" borderId="0" xfId="7" applyFont="1" applyFill="1" applyBorder="1" applyAlignment="1"/>
    <xf numFmtId="2" fontId="3" fillId="0" borderId="0" xfId="5" applyNumberFormat="1" applyFont="1"/>
    <xf numFmtId="0" fontId="3" fillId="0" borderId="0" xfId="5" applyFont="1" applyAlignment="1">
      <alignment wrapText="1"/>
    </xf>
    <xf numFmtId="49" fontId="30" fillId="0" borderId="0" xfId="0" applyNumberFormat="1" applyFont="1"/>
    <xf numFmtId="3" fontId="3" fillId="0" borderId="0" xfId="0" applyNumberFormat="1" applyFont="1"/>
    <xf numFmtId="4" fontId="3" fillId="0" borderId="0" xfId="0" applyNumberFormat="1" applyFont="1"/>
    <xf numFmtId="179" fontId="3" fillId="0" borderId="0" xfId="0" applyNumberFormat="1" applyFont="1"/>
    <xf numFmtId="0" fontId="116" fillId="0" borderId="0" xfId="5" applyFont="1" applyAlignment="1">
      <alignment vertical="center"/>
    </xf>
    <xf numFmtId="49" fontId="116" fillId="0" borderId="0" xfId="5" applyNumberFormat="1" applyFont="1" applyAlignment="1">
      <alignment vertical="center"/>
    </xf>
    <xf numFmtId="1" fontId="116" fillId="0" borderId="0" xfId="5" applyNumberFormat="1" applyFont="1" applyAlignment="1">
      <alignment vertical="center"/>
    </xf>
    <xf numFmtId="14" fontId="116" fillId="0" borderId="0" xfId="5" applyNumberFormat="1" applyFont="1" applyAlignment="1">
      <alignment vertical="center"/>
    </xf>
    <xf numFmtId="0" fontId="116" fillId="0" borderId="0" xfId="5" applyFont="1" applyAlignment="1">
      <alignment vertical="center" wrapText="1"/>
    </xf>
    <xf numFmtId="49" fontId="3" fillId="0" borderId="0" xfId="0" applyNumberFormat="1" applyFont="1" applyAlignment="1">
      <alignment vertical="center"/>
    </xf>
    <xf numFmtId="0" fontId="3" fillId="0" borderId="0" xfId="5" applyFont="1" applyAlignment="1">
      <alignment vertical="center"/>
    </xf>
    <xf numFmtId="49" fontId="3" fillId="0" borderId="0" xfId="5" applyNumberFormat="1" applyFont="1" applyAlignment="1">
      <alignment vertical="center"/>
    </xf>
    <xf numFmtId="1" fontId="3" fillId="0" borderId="0" xfId="0" applyNumberFormat="1" applyFont="1" applyAlignment="1">
      <alignment vertical="center"/>
    </xf>
    <xf numFmtId="14" fontId="3" fillId="0" borderId="0" xfId="5" applyNumberFormat="1" applyFont="1" applyAlignment="1">
      <alignment vertical="center"/>
    </xf>
    <xf numFmtId="4" fontId="3" fillId="0" borderId="0" xfId="0" applyNumberFormat="1" applyFont="1" applyAlignment="1">
      <alignment vertical="center"/>
    </xf>
    <xf numFmtId="179" fontId="3" fillId="0" borderId="0" xfId="0" applyNumberFormat="1" applyFont="1" applyAlignment="1">
      <alignment vertical="center"/>
    </xf>
    <xf numFmtId="3" fontId="3" fillId="0" borderId="0" xfId="0" applyNumberFormat="1" applyFont="1" applyAlignment="1">
      <alignment vertical="center"/>
    </xf>
    <xf numFmtId="1" fontId="3" fillId="0" borderId="0" xfId="5" applyNumberFormat="1" applyFont="1" applyAlignment="1">
      <alignment vertical="center"/>
    </xf>
    <xf numFmtId="0" fontId="3" fillId="0" borderId="0" xfId="5" applyFont="1" applyAlignment="1">
      <alignment horizontal="left"/>
    </xf>
    <xf numFmtId="0" fontId="3" fillId="0" borderId="0" xfId="0" applyFont="1" applyAlignment="1">
      <alignment horizontal="left"/>
    </xf>
    <xf numFmtId="0" fontId="30" fillId="0" borderId="0" xfId="5" applyFont="1" applyAlignment="1">
      <alignment horizontal="left"/>
    </xf>
    <xf numFmtId="0" fontId="116" fillId="0" borderId="0" xfId="5" applyFont="1" applyAlignment="1">
      <alignment horizontal="left" wrapText="1"/>
    </xf>
    <xf numFmtId="2" fontId="116" fillId="0" borderId="0" xfId="5" applyNumberFormat="1" applyFont="1" applyAlignment="1">
      <alignment horizontal="left" vertical="center"/>
    </xf>
    <xf numFmtId="2" fontId="3" fillId="0" borderId="0" xfId="5" applyNumberFormat="1" applyFont="1" applyAlignment="1">
      <alignment horizontal="left" vertical="center"/>
    </xf>
    <xf numFmtId="0" fontId="3" fillId="0" borderId="0" xfId="0" applyFont="1" applyAlignment="1">
      <alignment horizontal="left" vertical="center"/>
    </xf>
    <xf numFmtId="0" fontId="3" fillId="0" borderId="0" xfId="5" applyFont="1" applyAlignment="1">
      <alignment horizontal="left" vertical="center"/>
    </xf>
    <xf numFmtId="181" fontId="3" fillId="0" borderId="0" xfId="7" applyNumberFormat="1" applyFont="1" applyFill="1" applyBorder="1" applyAlignment="1" applyProtection="1"/>
    <xf numFmtId="3" fontId="3" fillId="0" borderId="0" xfId="0" applyNumberFormat="1" applyFont="1" applyAlignment="1">
      <alignment horizontal="left" vertical="center"/>
    </xf>
    <xf numFmtId="49" fontId="3" fillId="0" borderId="0" xfId="0" applyNumberFormat="1" applyFont="1" applyAlignment="1">
      <alignment horizontal="left" vertical="center"/>
    </xf>
    <xf numFmtId="0" fontId="44" fillId="0" borderId="0" xfId="0" applyFont="1" applyAlignment="1">
      <alignment vertical="center" wrapText="1"/>
    </xf>
    <xf numFmtId="0" fontId="6" fillId="54" borderId="0" xfId="0" applyFont="1" applyFill="1"/>
    <xf numFmtId="0" fontId="41" fillId="0" borderId="0" xfId="0" applyFont="1" applyAlignment="1" applyProtection="1">
      <alignment vertical="center"/>
      <protection hidden="1"/>
    </xf>
    <xf numFmtId="0" fontId="50" fillId="0" borderId="0" xfId="0" applyFont="1" applyAlignment="1" applyProtection="1">
      <alignment horizontal="center" vertical="center"/>
      <protection hidden="1"/>
    </xf>
    <xf numFmtId="0" fontId="50" fillId="0" borderId="0" xfId="0" applyFont="1" applyAlignment="1" applyProtection="1">
      <alignment vertical="center"/>
      <protection hidden="1"/>
    </xf>
    <xf numFmtId="0" fontId="6" fillId="0" borderId="0" xfId="0" applyFont="1" applyAlignment="1" applyProtection="1">
      <alignment vertical="center" wrapText="1"/>
      <protection hidden="1"/>
    </xf>
    <xf numFmtId="2" fontId="0" fillId="12" borderId="1" xfId="0" applyNumberFormat="1" applyFill="1" applyBorder="1"/>
    <xf numFmtId="2" fontId="7" fillId="0" borderId="1" xfId="0" applyNumberFormat="1" applyFont="1" applyBorder="1"/>
    <xf numFmtId="2" fontId="7" fillId="0" borderId="1" xfId="0" applyNumberFormat="1" applyFont="1" applyBorder="1" applyAlignment="1">
      <alignment horizontal="right"/>
    </xf>
    <xf numFmtId="175" fontId="18" fillId="55" borderId="0" xfId="0" applyNumberFormat="1" applyFont="1" applyFill="1" applyAlignment="1">
      <alignment horizontal="left" vertical="top" wrapText="1"/>
    </xf>
    <xf numFmtId="0" fontId="18" fillId="55" borderId="0" xfId="0" applyFont="1" applyFill="1" applyAlignment="1">
      <alignment horizontal="left" vertical="top" wrapText="1"/>
    </xf>
    <xf numFmtId="175" fontId="7" fillId="55" borderId="0" xfId="0" applyNumberFormat="1" applyFont="1" applyFill="1" applyAlignment="1">
      <alignment horizontal="left" vertical="top"/>
    </xf>
    <xf numFmtId="0" fontId="0" fillId="0" borderId="27" xfId="0" applyBorder="1"/>
    <xf numFmtId="0" fontId="3" fillId="0" borderId="27" xfId="0" applyFont="1" applyBorder="1"/>
    <xf numFmtId="0" fontId="0" fillId="0" borderId="0" xfId="5" applyFont="1"/>
    <xf numFmtId="0" fontId="7" fillId="0" borderId="0" xfId="0" applyFont="1" applyAlignment="1">
      <alignment vertical="center"/>
    </xf>
    <xf numFmtId="49" fontId="0" fillId="0" borderId="0" xfId="0" applyNumberFormat="1" applyAlignment="1">
      <alignment vertical="center"/>
    </xf>
    <xf numFmtId="0" fontId="7" fillId="55" borderId="0" xfId="2" applyFont="1" applyFill="1" applyAlignment="1" applyProtection="1">
      <alignment vertical="top"/>
      <protection locked="0" hidden="1"/>
    </xf>
    <xf numFmtId="0" fontId="11" fillId="55" borderId="0" xfId="2" applyFont="1" applyFill="1" applyAlignment="1" applyProtection="1">
      <alignment vertical="top"/>
      <protection locked="0" hidden="1"/>
    </xf>
    <xf numFmtId="0" fontId="0" fillId="0" borderId="0" xfId="5" applyFont="1" applyAlignment="1">
      <alignment wrapText="1"/>
    </xf>
    <xf numFmtId="0" fontId="118" fillId="0" borderId="27" xfId="5" applyFont="1" applyBorder="1"/>
    <xf numFmtId="0" fontId="119" fillId="0" borderId="27" xfId="5" applyFont="1" applyBorder="1"/>
    <xf numFmtId="0" fontId="119" fillId="0" borderId="0" xfId="5" applyFont="1"/>
    <xf numFmtId="0" fontId="119" fillId="0" borderId="27" xfId="5" quotePrefix="1" applyFont="1" applyBorder="1"/>
    <xf numFmtId="1" fontId="30" fillId="0" borderId="0" xfId="5" applyNumberFormat="1" applyFont="1" applyAlignment="1">
      <alignment horizontal="left"/>
    </xf>
    <xf numFmtId="0" fontId="30" fillId="0" borderId="0" xfId="5" applyFont="1" applyAlignment="1">
      <alignment horizontal="left" vertical="center"/>
    </xf>
    <xf numFmtId="2" fontId="30" fillId="0" borderId="0" xfId="5" applyNumberFormat="1" applyFont="1"/>
    <xf numFmtId="0" fontId="7" fillId="0" borderId="0" xfId="0" applyFont="1" applyAlignment="1">
      <alignment horizontal="center" wrapText="1"/>
    </xf>
    <xf numFmtId="0" fontId="7" fillId="0" borderId="0" xfId="0" applyFont="1" applyAlignment="1">
      <alignment horizontal="center"/>
    </xf>
    <xf numFmtId="0" fontId="7" fillId="0" borderId="10" xfId="0" applyFont="1" applyBorder="1" applyAlignment="1">
      <alignment horizontal="center" vertical="center" wrapText="1"/>
    </xf>
    <xf numFmtId="49" fontId="2" fillId="0" borderId="0" xfId="0" applyNumberFormat="1" applyFont="1"/>
    <xf numFmtId="49" fontId="2" fillId="0" borderId="0" xfId="0" applyNumberFormat="1" applyFont="1" applyAlignment="1">
      <alignment wrapText="1"/>
    </xf>
    <xf numFmtId="49" fontId="2" fillId="0" borderId="0" xfId="5" applyNumberFormat="1" applyFont="1" applyAlignment="1">
      <alignment wrapText="1"/>
    </xf>
    <xf numFmtId="0" fontId="2" fillId="0" borderId="0" xfId="5" applyFont="1" applyAlignment="1">
      <alignment wrapText="1"/>
    </xf>
    <xf numFmtId="0" fontId="7" fillId="0" borderId="0" xfId="0" applyFont="1" applyAlignment="1">
      <alignment vertical="center" wrapText="1"/>
    </xf>
    <xf numFmtId="0" fontId="2" fillId="62" borderId="0" xfId="0" applyFont="1" applyFill="1"/>
    <xf numFmtId="0" fontId="24" fillId="0" borderId="1" xfId="0" quotePrefix="1" applyFont="1" applyBorder="1" applyAlignment="1">
      <alignment horizontal="left" vertical="center" wrapText="1"/>
    </xf>
    <xf numFmtId="169" fontId="3" fillId="0" borderId="0" xfId="0" applyNumberFormat="1" applyFont="1"/>
    <xf numFmtId="169" fontId="30" fillId="0" borderId="0" xfId="5" applyNumberFormat="1" applyFont="1"/>
    <xf numFmtId="169" fontId="3" fillId="0" borderId="0" xfId="5" applyNumberFormat="1" applyFont="1"/>
    <xf numFmtId="169" fontId="116" fillId="0" borderId="0" xfId="5" applyNumberFormat="1" applyFont="1" applyAlignment="1">
      <alignment wrapText="1"/>
    </xf>
    <xf numFmtId="169" fontId="116" fillId="0" borderId="0" xfId="5" applyNumberFormat="1" applyFont="1" applyAlignment="1">
      <alignment vertical="center"/>
    </xf>
    <xf numFmtId="169" fontId="3" fillId="0" borderId="0" xfId="5" applyNumberFormat="1" applyFont="1" applyAlignment="1">
      <alignment vertical="center"/>
    </xf>
    <xf numFmtId="0" fontId="0" fillId="0" borderId="0" xfId="0" applyAlignment="1">
      <alignment horizontal="left" vertical="center"/>
    </xf>
    <xf numFmtId="0" fontId="0" fillId="0" borderId="40" xfId="0" applyBorder="1"/>
    <xf numFmtId="0" fontId="0" fillId="0" borderId="18" xfId="0" applyBorder="1"/>
    <xf numFmtId="0" fontId="0" fillId="0" borderId="3" xfId="0" applyBorder="1"/>
    <xf numFmtId="0" fontId="122" fillId="0" borderId="4" xfId="0" applyFont="1" applyBorder="1" applyAlignment="1">
      <alignment vertical="center"/>
    </xf>
    <xf numFmtId="0" fontId="122" fillId="0" borderId="0" xfId="0" applyFont="1" applyAlignment="1">
      <alignment vertical="center"/>
    </xf>
    <xf numFmtId="0" fontId="124" fillId="0" borderId="0" xfId="0" applyFont="1" applyAlignment="1">
      <alignment horizontal="left" indent="1"/>
    </xf>
    <xf numFmtId="0" fontId="18" fillId="0" borderId="0" xfId="0" applyFont="1"/>
    <xf numFmtId="0" fontId="124" fillId="0" borderId="0" xfId="0" applyFont="1"/>
    <xf numFmtId="184" fontId="18" fillId="0" borderId="0" xfId="0" applyNumberFormat="1" applyFont="1"/>
    <xf numFmtId="0" fontId="18" fillId="0" borderId="0" xfId="0" applyFont="1" applyAlignment="1">
      <alignment horizontal="left"/>
    </xf>
    <xf numFmtId="167" fontId="0" fillId="0" borderId="0" xfId="0" applyNumberFormat="1"/>
    <xf numFmtId="167" fontId="7" fillId="0" borderId="0" xfId="0" applyNumberFormat="1" applyFont="1"/>
    <xf numFmtId="0" fontId="126" fillId="0" borderId="0" xfId="0" applyFont="1" applyAlignment="1">
      <alignment vertical="center" wrapText="1"/>
    </xf>
    <xf numFmtId="0" fontId="127" fillId="0" borderId="0" xfId="0" applyFont="1"/>
    <xf numFmtId="0" fontId="50" fillId="0" borderId="0" xfId="0" applyFont="1" applyAlignment="1">
      <alignment horizontal="center"/>
    </xf>
    <xf numFmtId="0" fontId="69" fillId="0" borderId="144" xfId="0" applyFont="1" applyBorder="1"/>
    <xf numFmtId="2" fontId="132" fillId="0" borderId="0" xfId="0" applyNumberFormat="1" applyFont="1" applyAlignment="1">
      <alignment vertical="center" wrapText="1"/>
    </xf>
    <xf numFmtId="185" fontId="132" fillId="0" borderId="0" xfId="0" applyNumberFormat="1" applyFont="1" applyAlignment="1">
      <alignment vertical="center" wrapText="1"/>
    </xf>
    <xf numFmtId="0" fontId="132" fillId="0" borderId="0" xfId="0" applyFont="1" applyAlignment="1">
      <alignment vertical="center" wrapText="1"/>
    </xf>
    <xf numFmtId="0" fontId="132" fillId="0" borderId="0" xfId="0" applyFont="1" applyAlignment="1">
      <alignment vertical="center"/>
    </xf>
    <xf numFmtId="2" fontId="132" fillId="0" borderId="0" xfId="0" applyNumberFormat="1" applyFont="1" applyAlignment="1">
      <alignment vertical="center"/>
    </xf>
    <xf numFmtId="0" fontId="127" fillId="0" borderId="0" xfId="0" applyFont="1" applyAlignment="1">
      <alignment horizontal="left"/>
    </xf>
    <xf numFmtId="0" fontId="102" fillId="0" borderId="0" xfId="0" applyFont="1" applyAlignment="1">
      <alignment horizontal="left"/>
    </xf>
    <xf numFmtId="0" fontId="50" fillId="0" borderId="0" xfId="0" applyFont="1" applyAlignment="1">
      <alignment horizontal="center" vertical="center" wrapText="1"/>
    </xf>
    <xf numFmtId="0" fontId="134" fillId="0" borderId="0" xfId="1" applyFont="1" applyBorder="1" applyAlignment="1">
      <alignment horizontal="center"/>
    </xf>
    <xf numFmtId="0" fontId="121" fillId="5" borderId="0" xfId="0" applyFont="1" applyFill="1" applyAlignment="1">
      <alignment vertical="center"/>
    </xf>
    <xf numFmtId="0" fontId="122" fillId="5" borderId="0" xfId="0" applyFont="1" applyFill="1" applyAlignment="1">
      <alignment vertical="center"/>
    </xf>
    <xf numFmtId="0" fontId="120" fillId="5" borderId="125" xfId="0" applyFont="1" applyFill="1" applyBorder="1" applyAlignment="1">
      <alignment vertical="center"/>
    </xf>
    <xf numFmtId="0" fontId="121" fillId="5" borderId="126" xfId="0" applyFont="1" applyFill="1" applyBorder="1" applyAlignment="1">
      <alignment vertical="center"/>
    </xf>
    <xf numFmtId="0" fontId="122" fillId="5" borderId="126" xfId="0" applyFont="1" applyFill="1" applyBorder="1" applyAlignment="1">
      <alignment vertical="center"/>
    </xf>
    <xf numFmtId="0" fontId="122" fillId="5" borderId="127" xfId="0" applyFont="1" applyFill="1" applyBorder="1" applyAlignment="1">
      <alignment vertical="center"/>
    </xf>
    <xf numFmtId="0" fontId="120" fillId="5" borderId="119" xfId="0" applyFont="1" applyFill="1" applyBorder="1" applyAlignment="1">
      <alignment vertical="center"/>
    </xf>
    <xf numFmtId="0" fontId="122" fillId="5" borderId="123" xfId="0" applyFont="1" applyFill="1" applyBorder="1" applyAlignment="1">
      <alignment vertical="center"/>
    </xf>
    <xf numFmtId="0" fontId="120" fillId="5" borderId="116" xfId="0" applyFont="1" applyFill="1" applyBorder="1" applyAlignment="1">
      <alignment vertical="center"/>
    </xf>
    <xf numFmtId="0" fontId="121" fillId="5" borderId="117" xfId="0" applyFont="1" applyFill="1" applyBorder="1" applyAlignment="1">
      <alignment vertical="center"/>
    </xf>
    <xf numFmtId="0" fontId="122" fillId="5" borderId="117" xfId="0" applyFont="1" applyFill="1" applyBorder="1" applyAlignment="1">
      <alignment vertical="center"/>
    </xf>
    <xf numFmtId="0" fontId="122" fillId="5" borderId="118" xfId="0" applyFont="1" applyFill="1" applyBorder="1" applyAlignment="1">
      <alignment vertical="center"/>
    </xf>
    <xf numFmtId="0" fontId="20" fillId="5" borderId="69" xfId="0" applyFont="1" applyFill="1" applyBorder="1"/>
    <xf numFmtId="0" fontId="20" fillId="5" borderId="72" xfId="0" applyFont="1" applyFill="1" applyBorder="1"/>
    <xf numFmtId="0" fontId="38" fillId="64" borderId="69" xfId="0" applyFont="1" applyFill="1" applyBorder="1"/>
    <xf numFmtId="0" fontId="38" fillId="64" borderId="72" xfId="0" applyFont="1" applyFill="1" applyBorder="1"/>
    <xf numFmtId="169" fontId="3" fillId="0" borderId="95" xfId="0" applyNumberFormat="1" applyFont="1" applyBorder="1"/>
    <xf numFmtId="0" fontId="139" fillId="0" borderId="27" xfId="5" applyFont="1" applyBorder="1"/>
    <xf numFmtId="0" fontId="140" fillId="0" borderId="0" xfId="0" applyFont="1"/>
    <xf numFmtId="0" fontId="102" fillId="0" borderId="0" xfId="1" applyFont="1" applyBorder="1" applyAlignment="1">
      <alignment horizontal="left"/>
    </xf>
    <xf numFmtId="167" fontId="37" fillId="0" borderId="0" xfId="0" applyNumberFormat="1" applyFont="1"/>
    <xf numFmtId="0" fontId="128" fillId="0" borderId="0" xfId="0" applyFont="1" applyAlignment="1">
      <alignment vertical="center"/>
    </xf>
    <xf numFmtId="0" fontId="0" fillId="0" borderId="0" xfId="5" applyFont="1" applyAlignment="1">
      <alignment horizontal="left" vertical="center"/>
    </xf>
    <xf numFmtId="170" fontId="37" fillId="0" borderId="0" xfId="0" applyNumberFormat="1" applyFont="1" applyAlignment="1">
      <alignment vertical="top"/>
    </xf>
    <xf numFmtId="0" fontId="131" fillId="0" borderId="0" xfId="0" applyFont="1"/>
    <xf numFmtId="0" fontId="143" fillId="0" borderId="0" xfId="0" applyFont="1"/>
    <xf numFmtId="0" fontId="143" fillId="62" borderId="0" xfId="0" applyFont="1" applyFill="1"/>
    <xf numFmtId="169" fontId="0" fillId="53" borderId="0" xfId="0" applyNumberFormat="1" applyFill="1"/>
    <xf numFmtId="169" fontId="0" fillId="8" borderId="0" xfId="0" applyNumberFormat="1" applyFill="1"/>
    <xf numFmtId="169" fontId="0" fillId="25" borderId="0" xfId="0" applyNumberFormat="1" applyFill="1"/>
    <xf numFmtId="169" fontId="0" fillId="22" borderId="0" xfId="0" applyNumberFormat="1" applyFill="1"/>
    <xf numFmtId="169" fontId="0" fillId="24" borderId="0" xfId="0" applyNumberFormat="1" applyFill="1"/>
    <xf numFmtId="0" fontId="145" fillId="0" borderId="0" xfId="0" applyFont="1"/>
    <xf numFmtId="0" fontId="18" fillId="0" borderId="0" xfId="0" applyFont="1" applyAlignment="1">
      <alignment vertical="top" wrapText="1"/>
    </xf>
    <xf numFmtId="0" fontId="134" fillId="0" borderId="0" xfId="1" applyFont="1" applyBorder="1" applyAlignment="1">
      <alignment horizontal="left"/>
    </xf>
    <xf numFmtId="0" fontId="105" fillId="6" borderId="0" xfId="0" applyFont="1" applyFill="1"/>
    <xf numFmtId="169" fontId="0" fillId="56" borderId="0" xfId="0" applyNumberFormat="1" applyFill="1" applyAlignment="1">
      <alignment wrapText="1"/>
    </xf>
    <xf numFmtId="169" fontId="30" fillId="8" borderId="0" xfId="0" applyNumberFormat="1" applyFont="1" applyFill="1"/>
    <xf numFmtId="169" fontId="0" fillId="26" borderId="0" xfId="0" applyNumberFormat="1" applyFill="1"/>
    <xf numFmtId="165" fontId="0" fillId="0" borderId="0" xfId="0" applyNumberFormat="1" applyAlignment="1">
      <alignment horizontal="left" vertical="top"/>
    </xf>
    <xf numFmtId="0" fontId="30" fillId="0" borderId="0" xfId="0" applyFont="1"/>
    <xf numFmtId="0" fontId="18" fillId="0" borderId="135" xfId="0" applyFont="1" applyBorder="1" applyAlignment="1">
      <alignment wrapText="1"/>
    </xf>
    <xf numFmtId="0" fontId="151" fillId="0" borderId="27" xfId="5" applyFont="1" applyBorder="1"/>
    <xf numFmtId="0" fontId="151" fillId="0" borderId="27" xfId="5" quotePrefix="1" applyFont="1" applyBorder="1"/>
    <xf numFmtId="0" fontId="18" fillId="0" borderId="0" xfId="0" applyFont="1" applyAlignment="1">
      <alignment horizontal="center" wrapText="1"/>
    </xf>
    <xf numFmtId="0" fontId="7" fillId="0" borderId="157" xfId="0" applyFont="1" applyBorder="1"/>
    <xf numFmtId="0" fontId="18" fillId="7" borderId="52" xfId="0" applyFont="1" applyFill="1" applyBorder="1" applyProtection="1">
      <protection hidden="1"/>
    </xf>
    <xf numFmtId="0" fontId="18" fillId="7" borderId="53" xfId="0" applyFont="1" applyFill="1" applyBorder="1" applyProtection="1">
      <protection hidden="1"/>
    </xf>
    <xf numFmtId="0" fontId="18" fillId="7" borderId="54" xfId="0" applyFont="1" applyFill="1" applyBorder="1" applyProtection="1">
      <protection hidden="1"/>
    </xf>
    <xf numFmtId="0" fontId="0" fillId="67" borderId="158" xfId="0" applyFill="1" applyBorder="1"/>
    <xf numFmtId="4" fontId="0" fillId="67" borderId="158" xfId="0" applyNumberFormat="1" applyFill="1" applyBorder="1"/>
    <xf numFmtId="0" fontId="0" fillId="67" borderId="158" xfId="5" applyFont="1" applyFill="1" applyBorder="1"/>
    <xf numFmtId="0" fontId="30" fillId="0" borderId="158" xfId="5" applyFont="1" applyBorder="1"/>
    <xf numFmtId="0" fontId="116" fillId="66" borderId="159" xfId="5" applyFont="1" applyFill="1" applyBorder="1" applyAlignment="1">
      <alignment horizontal="left"/>
    </xf>
    <xf numFmtId="0" fontId="116" fillId="66" borderId="159" xfId="5" applyFont="1" applyFill="1" applyBorder="1"/>
    <xf numFmtId="49" fontId="116" fillId="66" borderId="159" xfId="5" applyNumberFormat="1" applyFont="1" applyFill="1" applyBorder="1"/>
    <xf numFmtId="14" fontId="116" fillId="66" borderId="159" xfId="5" applyNumberFormat="1" applyFont="1" applyFill="1" applyBorder="1"/>
    <xf numFmtId="169" fontId="116" fillId="66" borderId="159" xfId="5" applyNumberFormat="1" applyFont="1" applyFill="1" applyBorder="1"/>
    <xf numFmtId="0" fontId="116" fillId="66" borderId="159" xfId="5" applyFont="1" applyFill="1" applyBorder="1" applyAlignment="1">
      <alignment wrapText="1"/>
    </xf>
    <xf numFmtId="49" fontId="0" fillId="0" borderId="160" xfId="0" applyNumberFormat="1" applyBorder="1"/>
    <xf numFmtId="0" fontId="0" fillId="0" borderId="160" xfId="0" applyBorder="1"/>
    <xf numFmtId="0" fontId="0" fillId="0" borderId="160" xfId="5" applyFont="1" applyBorder="1" applyAlignment="1">
      <alignment horizontal="left" vertical="center"/>
    </xf>
    <xf numFmtId="0" fontId="0" fillId="0" borderId="160" xfId="5" applyFont="1" applyBorder="1"/>
    <xf numFmtId="0" fontId="44" fillId="0" borderId="0" xfId="0" applyFont="1" applyAlignment="1">
      <alignment horizontal="center" vertical="center" wrapText="1"/>
    </xf>
    <xf numFmtId="1" fontId="151" fillId="0" borderId="0" xfId="5" applyNumberFormat="1" applyFont="1" applyAlignment="1">
      <alignment horizontal="left"/>
    </xf>
    <xf numFmtId="49" fontId="151" fillId="0" borderId="0" xfId="5" applyNumberFormat="1" applyFont="1"/>
    <xf numFmtId="0" fontId="151" fillId="0" borderId="0" xfId="5" applyFont="1"/>
    <xf numFmtId="0" fontId="151" fillId="0" borderId="0" xfId="5" applyFont="1" applyAlignment="1">
      <alignment horizontal="left" vertical="center"/>
    </xf>
    <xf numFmtId="14" fontId="151" fillId="0" borderId="0" xfId="5" applyNumberFormat="1" applyFont="1"/>
    <xf numFmtId="4" fontId="151" fillId="0" borderId="0" xfId="5" applyNumberFormat="1" applyFont="1"/>
    <xf numFmtId="0" fontId="153" fillId="0" borderId="0" xfId="5" applyFont="1" applyAlignment="1">
      <alignment horizontal="left"/>
    </xf>
    <xf numFmtId="49" fontId="153" fillId="0" borderId="0" xfId="5" applyNumberFormat="1" applyFont="1"/>
    <xf numFmtId="0" fontId="153" fillId="0" borderId="0" xfId="5" applyFont="1"/>
    <xf numFmtId="14" fontId="153" fillId="0" borderId="0" xfId="5" applyNumberFormat="1" applyFont="1"/>
    <xf numFmtId="4" fontId="153" fillId="0" borderId="0" xfId="5" applyNumberFormat="1" applyFont="1"/>
    <xf numFmtId="169" fontId="153" fillId="0" borderId="0" xfId="5" applyNumberFormat="1" applyFont="1"/>
    <xf numFmtId="0" fontId="153" fillId="0" borderId="0" xfId="5" applyFont="1" applyAlignment="1">
      <alignment horizontal="left" vertical="center"/>
    </xf>
    <xf numFmtId="0" fontId="153" fillId="0" borderId="0" xfId="5" applyFont="1" applyAlignment="1">
      <alignment wrapText="1"/>
    </xf>
    <xf numFmtId="0" fontId="154" fillId="0" borderId="0" xfId="5" applyFont="1" applyAlignment="1">
      <alignment wrapText="1"/>
    </xf>
    <xf numFmtId="0" fontId="153" fillId="0" borderId="0" xfId="0" applyFont="1"/>
    <xf numFmtId="49" fontId="153" fillId="0" borderId="0" xfId="5" applyNumberFormat="1" applyFont="1" applyAlignment="1">
      <alignment horizontal="left" vertical="center"/>
    </xf>
    <xf numFmtId="3" fontId="153" fillId="0" borderId="0" xfId="5" applyNumberFormat="1" applyFont="1" applyAlignment="1">
      <alignment horizontal="left" vertical="center"/>
    </xf>
    <xf numFmtId="0" fontId="2" fillId="0" borderId="0" xfId="5" applyFont="1" applyAlignment="1">
      <alignment horizontal="left"/>
    </xf>
    <xf numFmtId="0" fontId="2" fillId="0" borderId="0" xfId="5" applyFont="1"/>
    <xf numFmtId="167" fontId="7" fillId="7" borderId="31" xfId="0" applyNumberFormat="1" applyFont="1" applyFill="1" applyBorder="1" applyAlignment="1">
      <alignment horizontal="center" shrinkToFit="1"/>
    </xf>
    <xf numFmtId="183" fontId="2" fillId="0" borderId="0" xfId="5" applyNumberFormat="1" applyFont="1"/>
    <xf numFmtId="0" fontId="2" fillId="0" borderId="95" xfId="5" applyFont="1" applyBorder="1"/>
    <xf numFmtId="0" fontId="0" fillId="0" borderId="0" xfId="5" applyFont="1" applyAlignment="1">
      <alignment horizontal="left"/>
    </xf>
    <xf numFmtId="181" fontId="0" fillId="0" borderId="0" xfId="7" applyNumberFormat="1" applyFont="1" applyFill="1" applyBorder="1" applyAlignment="1" applyProtection="1"/>
    <xf numFmtId="14" fontId="0" fillId="0" borderId="0" xfId="5" applyNumberFormat="1" applyFont="1"/>
    <xf numFmtId="4" fontId="0" fillId="0" borderId="0" xfId="5" applyNumberFormat="1" applyFont="1"/>
    <xf numFmtId="169" fontId="0" fillId="0" borderId="0" xfId="5" applyNumberFormat="1" applyFont="1"/>
    <xf numFmtId="2" fontId="0" fillId="0" borderId="0" xfId="5" applyNumberFormat="1" applyFont="1"/>
    <xf numFmtId="0" fontId="3" fillId="0" borderId="0" xfId="0" applyFont="1" applyAlignment="1">
      <alignment wrapText="1"/>
    </xf>
    <xf numFmtId="0" fontId="116" fillId="68" borderId="165" xfId="5" applyFont="1" applyFill="1" applyBorder="1" applyAlignment="1">
      <alignment horizontal="left"/>
    </xf>
    <xf numFmtId="0" fontId="116" fillId="68" borderId="166" xfId="5" applyFont="1" applyFill="1" applyBorder="1"/>
    <xf numFmtId="49" fontId="116" fillId="68" borderId="166" xfId="5" applyNumberFormat="1" applyFont="1" applyFill="1" applyBorder="1"/>
    <xf numFmtId="14" fontId="116" fillId="68" borderId="166" xfId="5" applyNumberFormat="1" applyFont="1" applyFill="1" applyBorder="1"/>
    <xf numFmtId="169" fontId="116" fillId="68" borderId="166" xfId="5" applyNumberFormat="1" applyFont="1" applyFill="1" applyBorder="1"/>
    <xf numFmtId="0" fontId="116" fillId="68" borderId="166" xfId="5" applyFont="1" applyFill="1" applyBorder="1" applyAlignment="1">
      <alignment wrapText="1"/>
    </xf>
    <xf numFmtId="0" fontId="116" fillId="68" borderId="167" xfId="5" applyFont="1" applyFill="1" applyBorder="1" applyAlignment="1">
      <alignment wrapText="1"/>
    </xf>
    <xf numFmtId="0" fontId="0" fillId="69" borderId="161" xfId="0" applyFill="1" applyBorder="1" applyAlignment="1">
      <alignment horizontal="left"/>
    </xf>
    <xf numFmtId="0" fontId="0" fillId="69" borderId="162" xfId="0" applyFill="1" applyBorder="1"/>
    <xf numFmtId="0" fontId="0" fillId="69" borderId="164" xfId="0" applyFill="1" applyBorder="1"/>
    <xf numFmtId="0" fontId="0" fillId="0" borderId="162" xfId="0" applyBorder="1"/>
    <xf numFmtId="0" fontId="0" fillId="0" borderId="164" xfId="0" applyBorder="1"/>
    <xf numFmtId="0" fontId="0" fillId="69" borderId="163" xfId="5" applyFont="1" applyFill="1" applyBorder="1"/>
    <xf numFmtId="0" fontId="0" fillId="69" borderId="163" xfId="0" applyFill="1" applyBorder="1"/>
    <xf numFmtId="0" fontId="0" fillId="69" borderId="168" xfId="0" applyFill="1" applyBorder="1"/>
    <xf numFmtId="49" fontId="153" fillId="0" borderId="0" xfId="5" applyNumberFormat="1" applyFont="1" applyAlignment="1">
      <alignment vertical="center"/>
    </xf>
    <xf numFmtId="49" fontId="153" fillId="0" borderId="0" xfId="0" applyNumberFormat="1" applyFont="1" applyAlignment="1">
      <alignment vertical="center"/>
    </xf>
    <xf numFmtId="14" fontId="153" fillId="0" borderId="0" xfId="5" applyNumberFormat="1" applyFont="1" applyAlignment="1">
      <alignment vertical="center"/>
    </xf>
    <xf numFmtId="0" fontId="153" fillId="0" borderId="0" xfId="5" applyFont="1" applyAlignment="1">
      <alignment vertical="center"/>
    </xf>
    <xf numFmtId="169" fontId="153" fillId="0" borderId="0" xfId="5" applyNumberFormat="1" applyFont="1" applyAlignment="1">
      <alignment vertical="center"/>
    </xf>
    <xf numFmtId="49" fontId="0" fillId="0" borderId="0" xfId="5" applyNumberFormat="1" applyFont="1" applyAlignment="1">
      <alignment vertical="center"/>
    </xf>
    <xf numFmtId="14" fontId="0" fillId="0" borderId="0" xfId="5" applyNumberFormat="1" applyFont="1" applyAlignment="1">
      <alignment vertical="center"/>
    </xf>
    <xf numFmtId="0" fontId="0" fillId="0" borderId="0" xfId="5" applyFont="1" applyAlignment="1">
      <alignment vertical="center"/>
    </xf>
    <xf numFmtId="169" fontId="0" fillId="0" borderId="0" xfId="5" applyNumberFormat="1" applyFont="1" applyAlignment="1">
      <alignment vertical="center"/>
    </xf>
    <xf numFmtId="2" fontId="2" fillId="0" borderId="0" xfId="5" applyNumberFormat="1" applyFont="1"/>
    <xf numFmtId="0" fontId="7" fillId="0" borderId="33" xfId="0" applyFont="1" applyBorder="1" applyAlignment="1" applyProtection="1">
      <alignment horizontal="center" wrapText="1"/>
      <protection locked="0"/>
    </xf>
    <xf numFmtId="0" fontId="7" fillId="0" borderId="0" xfId="0" applyFont="1" applyAlignment="1" applyProtection="1">
      <alignment horizontal="center" wrapText="1"/>
      <protection locked="0"/>
    </xf>
    <xf numFmtId="0" fontId="7" fillId="0" borderId="30" xfId="0" applyFont="1" applyBorder="1" applyAlignment="1" applyProtection="1">
      <alignment horizontal="center" wrapText="1"/>
      <protection locked="0"/>
    </xf>
    <xf numFmtId="0" fontId="7" fillId="0" borderId="31" xfId="0" applyFont="1" applyBorder="1" applyAlignment="1" applyProtection="1">
      <alignment horizontal="center" wrapText="1"/>
      <protection locked="0"/>
    </xf>
    <xf numFmtId="167" fontId="7" fillId="0" borderId="34" xfId="0" applyNumberFormat="1" applyFont="1" applyBorder="1" applyAlignment="1">
      <alignment horizontal="center" shrinkToFit="1"/>
    </xf>
    <xf numFmtId="167" fontId="7" fillId="0" borderId="12" xfId="0" applyNumberFormat="1" applyFont="1" applyBorder="1" applyAlignment="1">
      <alignment horizontal="center" shrinkToFit="1"/>
    </xf>
    <xf numFmtId="172" fontId="3" fillId="0" borderId="0" xfId="5" applyNumberFormat="1" applyFont="1"/>
    <xf numFmtId="0" fontId="30" fillId="0" borderId="0" xfId="0" applyFont="1" applyAlignment="1">
      <alignment horizontal="left"/>
    </xf>
    <xf numFmtId="49" fontId="2" fillId="0" borderId="0" xfId="5" applyNumberFormat="1" applyFont="1" applyAlignment="1">
      <alignment horizontal="left" wrapText="1"/>
    </xf>
    <xf numFmtId="49" fontId="2" fillId="0" borderId="95" xfId="5" applyNumberFormat="1" applyFont="1" applyBorder="1" applyAlignment="1">
      <alignment horizontal="left" wrapText="1"/>
    </xf>
    <xf numFmtId="176" fontId="0" fillId="0" borderId="160" xfId="0" quotePrefix="1" applyNumberFormat="1" applyBorder="1" applyAlignment="1">
      <alignment horizontal="left"/>
    </xf>
    <xf numFmtId="176" fontId="0" fillId="0" borderId="0" xfId="0" applyNumberFormat="1"/>
    <xf numFmtId="0" fontId="0" fillId="70" borderId="95" xfId="0" applyFill="1" applyBorder="1"/>
    <xf numFmtId="3" fontId="0" fillId="0" borderId="0" xfId="0" applyNumberFormat="1"/>
    <xf numFmtId="49" fontId="0" fillId="0" borderId="0" xfId="0" applyNumberFormat="1" applyAlignment="1">
      <alignment horizontal="left" vertical="center"/>
    </xf>
    <xf numFmtId="4" fontId="0" fillId="0" borderId="0" xfId="0" applyNumberFormat="1"/>
    <xf numFmtId="179" fontId="0" fillId="0" borderId="0" xfId="0" applyNumberFormat="1"/>
    <xf numFmtId="3" fontId="0" fillId="0" borderId="0" xfId="0" applyNumberFormat="1" applyAlignment="1">
      <alignment horizontal="left" vertical="center"/>
    </xf>
    <xf numFmtId="176" fontId="0" fillId="53" borderId="0" xfId="0" applyNumberFormat="1" applyFill="1"/>
    <xf numFmtId="164" fontId="0" fillId="0" borderId="13" xfId="0" applyNumberFormat="1" applyBorder="1" applyAlignment="1">
      <alignment horizontal="right" vertical="center"/>
    </xf>
    <xf numFmtId="0" fontId="158" fillId="0" borderId="0" xfId="0" applyFont="1"/>
    <xf numFmtId="0" fontId="116" fillId="71" borderId="183" xfId="0" applyFont="1" applyFill="1" applyBorder="1"/>
    <xf numFmtId="0" fontId="0" fillId="0" borderId="184" xfId="0" applyBorder="1"/>
    <xf numFmtId="0" fontId="29" fillId="0" borderId="0" xfId="0" applyFont="1" applyAlignment="1">
      <alignment horizontal="left" vertical="top" wrapText="1"/>
    </xf>
    <xf numFmtId="0" fontId="7" fillId="0" borderId="68" xfId="0" applyFont="1" applyBorder="1"/>
    <xf numFmtId="0" fontId="29" fillId="0" borderId="0" xfId="0" applyFont="1" applyAlignment="1">
      <alignment vertical="top" wrapText="1"/>
    </xf>
    <xf numFmtId="165" fontId="7" fillId="0" borderId="0" xfId="0" applyNumberFormat="1" applyFont="1"/>
    <xf numFmtId="0" fontId="160" fillId="6" borderId="0" xfId="0" applyFont="1" applyFill="1" applyAlignment="1">
      <alignment vertical="center"/>
    </xf>
    <xf numFmtId="0" fontId="36" fillId="4" borderId="0" xfId="0" applyFont="1" applyFill="1"/>
    <xf numFmtId="0" fontId="38" fillId="4" borderId="0" xfId="0" applyFont="1" applyFill="1" applyAlignment="1">
      <alignment horizontal="left" vertical="center" wrapText="1"/>
    </xf>
    <xf numFmtId="0" fontId="166" fillId="0" borderId="0" xfId="5" applyFont="1" applyAlignment="1">
      <alignment horizontal="left"/>
    </xf>
    <xf numFmtId="49" fontId="166" fillId="0" borderId="0" xfId="5" applyNumberFormat="1" applyFont="1"/>
    <xf numFmtId="14" fontId="166" fillId="0" borderId="0" xfId="5" applyNumberFormat="1" applyFont="1"/>
    <xf numFmtId="49" fontId="166" fillId="0" borderId="0" xfId="5" applyNumberFormat="1" applyFont="1" applyAlignment="1">
      <alignment horizontal="left" vertical="center"/>
    </xf>
    <xf numFmtId="4" fontId="166" fillId="0" borderId="0" xfId="5" applyNumberFormat="1" applyFont="1"/>
    <xf numFmtId="169" fontId="166" fillId="0" borderId="0" xfId="5" applyNumberFormat="1" applyFont="1"/>
    <xf numFmtId="0" fontId="166" fillId="0" borderId="0" xfId="5" applyFont="1"/>
    <xf numFmtId="3" fontId="166" fillId="0" borderId="0" xfId="5" applyNumberFormat="1" applyFont="1" applyAlignment="1">
      <alignment horizontal="left" vertical="center"/>
    </xf>
    <xf numFmtId="0" fontId="30" fillId="0" borderId="0" xfId="5" applyFont="1" applyAlignment="1">
      <alignment wrapText="1"/>
    </xf>
    <xf numFmtId="49" fontId="0" fillId="0" borderId="0" xfId="5" applyNumberFormat="1" applyFont="1"/>
    <xf numFmtId="3" fontId="0" fillId="0" borderId="0" xfId="5" applyNumberFormat="1" applyFont="1"/>
    <xf numFmtId="49" fontId="0" fillId="0" borderId="0" xfId="5" applyNumberFormat="1" applyFont="1" applyAlignment="1">
      <alignment horizontal="left" vertical="center"/>
    </xf>
    <xf numFmtId="179" fontId="0" fillId="0" borderId="0" xfId="5" applyNumberFormat="1" applyFont="1"/>
    <xf numFmtId="3" fontId="0" fillId="0" borderId="0" xfId="5" applyNumberFormat="1" applyFont="1" applyAlignment="1">
      <alignment horizontal="left" vertical="center"/>
    </xf>
    <xf numFmtId="0" fontId="3" fillId="0" borderId="0" xfId="0" applyFont="1" applyAlignment="1">
      <alignment vertical="center"/>
    </xf>
    <xf numFmtId="0" fontId="3" fillId="0" borderId="0" xfId="5" applyFont="1" applyAlignment="1">
      <alignment horizontal="right"/>
    </xf>
    <xf numFmtId="183" fontId="2" fillId="0" borderId="0" xfId="5" applyNumberFormat="1" applyFont="1" applyAlignment="1">
      <alignment horizontal="right"/>
    </xf>
    <xf numFmtId="183" fontId="2" fillId="0" borderId="95" xfId="5" applyNumberFormat="1" applyFont="1" applyBorder="1"/>
    <xf numFmtId="2" fontId="7" fillId="0" borderId="0" xfId="0" applyNumberFormat="1" applyFont="1"/>
    <xf numFmtId="181" fontId="0" fillId="0" borderId="0" xfId="7" applyNumberFormat="1" applyFont="1"/>
    <xf numFmtId="0" fontId="7" fillId="0" borderId="185" xfId="0" applyFont="1" applyBorder="1"/>
    <xf numFmtId="0" fontId="7" fillId="0" borderId="96" xfId="0" applyFont="1" applyBorder="1"/>
    <xf numFmtId="0" fontId="0" fillId="69" borderId="162" xfId="5" applyFont="1" applyFill="1" applyBorder="1" applyAlignment="1">
      <alignment vertical="center"/>
    </xf>
    <xf numFmtId="0" fontId="0" fillId="69" borderId="162" xfId="0" applyFill="1" applyBorder="1" applyAlignment="1">
      <alignment vertical="center"/>
    </xf>
    <xf numFmtId="49" fontId="0" fillId="69" borderId="162" xfId="0" applyNumberFormat="1" applyFill="1" applyBorder="1" applyAlignment="1">
      <alignment vertical="center"/>
    </xf>
    <xf numFmtId="0" fontId="30" fillId="69" borderId="162" xfId="5" applyFont="1" applyFill="1" applyBorder="1"/>
    <xf numFmtId="3" fontId="0" fillId="69" borderId="162" xfId="0" applyNumberFormat="1" applyFill="1" applyBorder="1" applyAlignment="1">
      <alignment vertical="center"/>
    </xf>
    <xf numFmtId="4" fontId="0" fillId="69" borderId="162" xfId="0" applyNumberFormat="1" applyFill="1" applyBorder="1"/>
    <xf numFmtId="179" fontId="0" fillId="69" borderId="162" xfId="0" applyNumberFormat="1" applyFill="1" applyBorder="1" applyAlignment="1">
      <alignment vertical="center"/>
    </xf>
    <xf numFmtId="0" fontId="0" fillId="0" borderId="162" xfId="5" applyFont="1" applyBorder="1" applyAlignment="1">
      <alignment vertical="center"/>
    </xf>
    <xf numFmtId="0" fontId="0" fillId="0" borderId="162" xfId="0" applyBorder="1" applyAlignment="1">
      <alignment vertical="center"/>
    </xf>
    <xf numFmtId="49" fontId="0" fillId="0" borderId="162" xfId="0" applyNumberFormat="1" applyBorder="1" applyAlignment="1">
      <alignment vertical="center"/>
    </xf>
    <xf numFmtId="0" fontId="30" fillId="0" borderId="162" xfId="5" applyFont="1" applyBorder="1"/>
    <xf numFmtId="3" fontId="0" fillId="0" borderId="162" xfId="0" applyNumberFormat="1" applyBorder="1" applyAlignment="1">
      <alignment vertical="center"/>
    </xf>
    <xf numFmtId="4" fontId="0" fillId="0" borderId="162" xfId="0" applyNumberFormat="1" applyBorder="1"/>
    <xf numFmtId="179" fontId="0" fillId="0" borderId="162" xfId="0" applyNumberFormat="1" applyBorder="1" applyAlignment="1">
      <alignment vertical="center"/>
    </xf>
    <xf numFmtId="49" fontId="0" fillId="69" borderId="162" xfId="5" applyNumberFormat="1" applyFont="1" applyFill="1" applyBorder="1" applyAlignment="1">
      <alignment horizontal="left" vertical="center"/>
    </xf>
    <xf numFmtId="49" fontId="0" fillId="0" borderId="162" xfId="5" applyNumberFormat="1" applyFont="1" applyBorder="1" applyAlignment="1">
      <alignment horizontal="left" vertical="center"/>
    </xf>
    <xf numFmtId="0" fontId="0" fillId="69" borderId="162" xfId="5" applyFont="1" applyFill="1" applyBorder="1" applyAlignment="1">
      <alignment horizontal="left" vertical="center"/>
    </xf>
    <xf numFmtId="0" fontId="0" fillId="0" borderId="162" xfId="5" applyFont="1" applyBorder="1" applyAlignment="1">
      <alignment horizontal="left" vertical="center"/>
    </xf>
    <xf numFmtId="2" fontId="116" fillId="73" borderId="186" xfId="5" applyNumberFormat="1" applyFont="1" applyFill="1" applyBorder="1" applyAlignment="1">
      <alignment horizontal="left" vertical="center"/>
    </xf>
    <xf numFmtId="0" fontId="116" fillId="73" borderId="186" xfId="5" applyFont="1" applyFill="1" applyBorder="1" applyAlignment="1">
      <alignment vertical="center"/>
    </xf>
    <xf numFmtId="0" fontId="116" fillId="73" borderId="186" xfId="5" applyFont="1" applyFill="1" applyBorder="1"/>
    <xf numFmtId="49" fontId="116" fillId="73" borderId="186" xfId="5" applyNumberFormat="1" applyFont="1" applyFill="1" applyBorder="1" applyAlignment="1">
      <alignment vertical="center"/>
    </xf>
    <xf numFmtId="1" fontId="116" fillId="73" borderId="186" xfId="5" applyNumberFormat="1" applyFont="1" applyFill="1" applyBorder="1" applyAlignment="1">
      <alignment vertical="center"/>
    </xf>
    <xf numFmtId="14" fontId="116" fillId="73" borderId="186" xfId="5" applyNumberFormat="1" applyFont="1" applyFill="1" applyBorder="1" applyAlignment="1">
      <alignment vertical="center"/>
    </xf>
    <xf numFmtId="169" fontId="116" fillId="73" borderId="186" xfId="5" applyNumberFormat="1" applyFont="1" applyFill="1" applyBorder="1" applyAlignment="1">
      <alignment vertical="center"/>
    </xf>
    <xf numFmtId="0" fontId="116" fillId="73" borderId="186" xfId="5" applyFont="1" applyFill="1" applyBorder="1" applyAlignment="1">
      <alignment vertical="center" wrapText="1"/>
    </xf>
    <xf numFmtId="49" fontId="0" fillId="69" borderId="163" xfId="5" applyNumberFormat="1" applyFont="1" applyFill="1" applyBorder="1" applyAlignment="1">
      <alignment horizontal="left" vertical="center"/>
    </xf>
    <xf numFmtId="0" fontId="0" fillId="69" borderId="163" xfId="5" applyFont="1" applyFill="1" applyBorder="1" applyAlignment="1">
      <alignment vertical="center"/>
    </xf>
    <xf numFmtId="0" fontId="0" fillId="69" borderId="163" xfId="0" applyFill="1" applyBorder="1" applyAlignment="1">
      <alignment vertical="center"/>
    </xf>
    <xf numFmtId="49" fontId="0" fillId="69" borderId="163" xfId="0" applyNumberFormat="1" applyFill="1" applyBorder="1" applyAlignment="1">
      <alignment vertical="center"/>
    </xf>
    <xf numFmtId="0" fontId="30" fillId="69" borderId="163" xfId="5" applyFont="1" applyFill="1" applyBorder="1"/>
    <xf numFmtId="3" fontId="0" fillId="69" borderId="163" xfId="0" applyNumberFormat="1" applyFill="1" applyBorder="1" applyAlignment="1">
      <alignment vertical="center"/>
    </xf>
    <xf numFmtId="4" fontId="0" fillId="69" borderId="163" xfId="0" applyNumberFormat="1" applyFill="1" applyBorder="1"/>
    <xf numFmtId="179" fontId="0" fillId="69" borderId="163" xfId="0" applyNumberFormat="1" applyFill="1" applyBorder="1" applyAlignment="1">
      <alignment vertical="center"/>
    </xf>
    <xf numFmtId="0" fontId="0" fillId="0" borderId="190" xfId="0" applyBorder="1"/>
    <xf numFmtId="0" fontId="7" fillId="0" borderId="190" xfId="0" applyFont="1" applyBorder="1"/>
    <xf numFmtId="0" fontId="7" fillId="0" borderId="191" xfId="0" applyFont="1" applyBorder="1"/>
    <xf numFmtId="14" fontId="0" fillId="7" borderId="0" xfId="0" applyNumberFormat="1" applyFill="1" applyAlignment="1">
      <alignment wrapText="1"/>
    </xf>
    <xf numFmtId="176" fontId="25" fillId="0" borderId="0" xfId="0" quotePrefix="1" applyNumberFormat="1" applyFont="1" applyAlignment="1">
      <alignment horizontal="left"/>
    </xf>
    <xf numFmtId="0" fontId="0" fillId="0" borderId="160" xfId="0" quotePrefix="1" applyBorder="1"/>
    <xf numFmtId="169" fontId="7" fillId="0" borderId="0" xfId="0" applyNumberFormat="1" applyFont="1"/>
    <xf numFmtId="0" fontId="168" fillId="0" borderId="0" xfId="0" applyFont="1"/>
    <xf numFmtId="0" fontId="7" fillId="0" borderId="110" xfId="0" applyFont="1" applyBorder="1"/>
    <xf numFmtId="0" fontId="22" fillId="0" borderId="0" xfId="0" applyFont="1" applyAlignment="1">
      <alignment horizontal="center" vertical="center"/>
    </xf>
    <xf numFmtId="0" fontId="27" fillId="8" borderId="42" xfId="1" applyFont="1" applyFill="1" applyBorder="1" applyAlignment="1" applyProtection="1">
      <alignment horizontal="center" vertical="center" shrinkToFit="1"/>
      <protection hidden="1"/>
    </xf>
    <xf numFmtId="0" fontId="27" fillId="8" borderId="43" xfId="1" applyFont="1" applyFill="1" applyBorder="1" applyAlignment="1" applyProtection="1">
      <alignment horizontal="center" vertical="center" shrinkToFit="1"/>
      <protection hidden="1"/>
    </xf>
    <xf numFmtId="0" fontId="27" fillId="8" borderId="44" xfId="1" applyFont="1" applyFill="1" applyBorder="1" applyAlignment="1" applyProtection="1">
      <alignment horizontal="center" vertical="center" shrinkToFit="1"/>
      <protection hidden="1"/>
    </xf>
    <xf numFmtId="0" fontId="27" fillId="8" borderId="45" xfId="1" applyFont="1" applyFill="1" applyBorder="1" applyAlignment="1" applyProtection="1">
      <alignment horizontal="center" vertical="center" shrinkToFit="1"/>
      <protection hidden="1"/>
    </xf>
    <xf numFmtId="0" fontId="27" fillId="8" borderId="0" xfId="1" applyFont="1" applyFill="1" applyBorder="1" applyAlignment="1" applyProtection="1">
      <alignment horizontal="center" vertical="center" shrinkToFit="1"/>
      <protection hidden="1"/>
    </xf>
    <xf numFmtId="0" fontId="27" fillId="8" borderId="46" xfId="1" applyFont="1" applyFill="1" applyBorder="1" applyAlignment="1" applyProtection="1">
      <alignment horizontal="center" vertical="center" shrinkToFit="1"/>
      <protection hidden="1"/>
    </xf>
    <xf numFmtId="0" fontId="27" fillId="8" borderId="47" xfId="1" applyFont="1" applyFill="1" applyBorder="1" applyAlignment="1" applyProtection="1">
      <alignment horizontal="center" vertical="center" shrinkToFit="1"/>
      <protection hidden="1"/>
    </xf>
    <xf numFmtId="0" fontId="27" fillId="8" borderId="48" xfId="1" applyFont="1" applyFill="1" applyBorder="1" applyAlignment="1" applyProtection="1">
      <alignment horizontal="center" vertical="center" shrinkToFit="1"/>
      <protection hidden="1"/>
    </xf>
    <xf numFmtId="0" fontId="27" fillId="8" borderId="49" xfId="1" applyFont="1" applyFill="1" applyBorder="1" applyAlignment="1" applyProtection="1">
      <alignment horizontal="center" vertical="center" shrinkToFit="1"/>
      <protection hidden="1"/>
    </xf>
    <xf numFmtId="165" fontId="18" fillId="0" borderId="0" xfId="0" applyNumberFormat="1" applyFont="1" applyAlignment="1">
      <alignment horizontal="left"/>
    </xf>
    <xf numFmtId="165" fontId="7" fillId="0" borderId="0" xfId="0" applyNumberFormat="1" applyFont="1" applyAlignment="1">
      <alignment horizontal="left"/>
    </xf>
    <xf numFmtId="0" fontId="7" fillId="0" borderId="0" xfId="0" applyFont="1" applyAlignment="1">
      <alignment horizontal="right"/>
    </xf>
    <xf numFmtId="0" fontId="104" fillId="6" borderId="0" xfId="0" applyFont="1" applyFill="1" applyAlignment="1">
      <alignment horizontal="center" wrapText="1"/>
    </xf>
    <xf numFmtId="0" fontId="18" fillId="0" borderId="0" xfId="0" applyFont="1" applyAlignment="1">
      <alignment horizontal="right"/>
    </xf>
    <xf numFmtId="0" fontId="107" fillId="5" borderId="120" xfId="0" applyFont="1" applyFill="1" applyBorder="1" applyAlignment="1">
      <alignment horizontal="center" wrapText="1"/>
    </xf>
    <xf numFmtId="0" fontId="107" fillId="5" borderId="122" xfId="0" applyFont="1" applyFill="1" applyBorder="1" applyAlignment="1">
      <alignment horizontal="center" wrapText="1"/>
    </xf>
    <xf numFmtId="9" fontId="57" fillId="4" borderId="0" xfId="6" applyFont="1" applyFill="1" applyBorder="1" applyAlignment="1">
      <alignment horizontal="center" vertical="center"/>
    </xf>
    <xf numFmtId="9" fontId="57" fillId="4" borderId="123" xfId="6" applyFont="1" applyFill="1" applyBorder="1" applyAlignment="1">
      <alignment horizontal="center" vertical="center"/>
    </xf>
    <xf numFmtId="9" fontId="57" fillId="4" borderId="117" xfId="6" applyFont="1" applyFill="1" applyBorder="1" applyAlignment="1">
      <alignment horizontal="center" vertical="center"/>
    </xf>
    <xf numFmtId="9" fontId="57" fillId="4" borderId="118" xfId="6" applyFont="1" applyFill="1" applyBorder="1" applyAlignment="1">
      <alignment horizontal="center" vertical="center"/>
    </xf>
    <xf numFmtId="0" fontId="106" fillId="5" borderId="120" xfId="0" applyFont="1" applyFill="1" applyBorder="1" applyAlignment="1">
      <alignment horizontal="center"/>
    </xf>
    <xf numFmtId="0" fontId="106" fillId="5" borderId="121" xfId="0" applyFont="1" applyFill="1" applyBorder="1" applyAlignment="1">
      <alignment horizontal="center"/>
    </xf>
    <xf numFmtId="0" fontId="106" fillId="5" borderId="122" xfId="0" applyFont="1" applyFill="1" applyBorder="1" applyAlignment="1">
      <alignment horizontal="center"/>
    </xf>
    <xf numFmtId="0" fontId="6" fillId="4" borderId="0" xfId="0" applyFont="1" applyFill="1" applyAlignment="1">
      <alignment horizontal="center" vertical="center" wrapText="1"/>
    </xf>
    <xf numFmtId="0" fontId="6" fillId="4" borderId="117" xfId="0" applyFont="1" applyFill="1" applyBorder="1" applyAlignment="1">
      <alignment horizontal="center" vertical="center" wrapText="1"/>
    </xf>
    <xf numFmtId="0" fontId="165" fillId="4" borderId="0" xfId="0" applyFont="1" applyFill="1" applyAlignment="1">
      <alignment horizontal="left" vertical="top" wrapText="1"/>
    </xf>
    <xf numFmtId="0" fontId="106" fillId="5" borderId="120" xfId="0" applyFont="1" applyFill="1" applyBorder="1" applyAlignment="1">
      <alignment horizontal="center" wrapText="1"/>
    </xf>
    <xf numFmtId="0" fontId="106" fillId="5" borderId="121" xfId="0" applyFont="1" applyFill="1" applyBorder="1" applyAlignment="1">
      <alignment horizontal="center" wrapText="1"/>
    </xf>
    <xf numFmtId="0" fontId="106" fillId="5" borderId="122" xfId="0" applyFont="1" applyFill="1" applyBorder="1" applyAlignment="1">
      <alignment horizontal="center" wrapText="1"/>
    </xf>
    <xf numFmtId="167" fontId="57" fillId="4" borderId="119" xfId="0" applyNumberFormat="1" applyFont="1" applyFill="1" applyBorder="1" applyAlignment="1">
      <alignment horizontal="center" vertical="center"/>
    </xf>
    <xf numFmtId="167" fontId="57" fillId="4" borderId="0" xfId="0" applyNumberFormat="1" applyFont="1" applyFill="1" applyAlignment="1">
      <alignment horizontal="center" vertical="center"/>
    </xf>
    <xf numFmtId="167" fontId="57" fillId="4" borderId="116" xfId="0" applyNumberFormat="1" applyFont="1" applyFill="1" applyBorder="1" applyAlignment="1">
      <alignment horizontal="center" vertical="center"/>
    </xf>
    <xf numFmtId="167" fontId="57" fillId="4" borderId="117" xfId="0" applyNumberFormat="1" applyFont="1" applyFill="1" applyBorder="1" applyAlignment="1">
      <alignment horizontal="center" vertical="center"/>
    </xf>
    <xf numFmtId="0" fontId="141" fillId="0" borderId="0" xfId="0" applyFont="1" applyAlignment="1">
      <alignment horizontal="left" vertical="top" wrapText="1"/>
    </xf>
    <xf numFmtId="0" fontId="107" fillId="5" borderId="124" xfId="0" applyFont="1" applyFill="1" applyBorder="1" applyAlignment="1">
      <alignment horizontal="center" wrapText="1"/>
    </xf>
    <xf numFmtId="9" fontId="57" fillId="4" borderId="126" xfId="6" applyFont="1" applyFill="1" applyBorder="1" applyAlignment="1">
      <alignment horizontal="center" vertical="center"/>
    </xf>
    <xf numFmtId="9" fontId="57" fillId="4" borderId="127" xfId="6" applyFont="1" applyFill="1" applyBorder="1" applyAlignment="1">
      <alignment horizontal="center" vertical="center"/>
    </xf>
    <xf numFmtId="0" fontId="106" fillId="5" borderId="124" xfId="0" applyFont="1" applyFill="1" applyBorder="1" applyAlignment="1">
      <alignment horizontal="center" wrapText="1"/>
    </xf>
    <xf numFmtId="0" fontId="106" fillId="5" borderId="124" xfId="0" applyFont="1" applyFill="1" applyBorder="1" applyAlignment="1">
      <alignment horizontal="center"/>
    </xf>
    <xf numFmtId="167" fontId="57" fillId="4" borderId="125" xfId="0" applyNumberFormat="1" applyFont="1" applyFill="1" applyBorder="1" applyAlignment="1">
      <alignment horizontal="center" vertical="center"/>
    </xf>
    <xf numFmtId="167" fontId="57" fillId="4" borderId="126" xfId="0" applyNumberFormat="1" applyFont="1" applyFill="1" applyBorder="1" applyAlignment="1">
      <alignment horizontal="center" vertical="center"/>
    </xf>
    <xf numFmtId="0" fontId="6" fillId="4" borderId="126" xfId="0" applyFont="1" applyFill="1" applyBorder="1" applyAlignment="1">
      <alignment horizontal="center" vertical="center" wrapText="1"/>
    </xf>
    <xf numFmtId="0" fontId="48" fillId="0" borderId="0" xfId="0" applyFont="1" applyAlignment="1">
      <alignment horizontal="center"/>
    </xf>
    <xf numFmtId="0" fontId="0" fillId="0" borderId="0" xfId="0" applyAlignment="1">
      <alignment horizontal="center"/>
    </xf>
    <xf numFmtId="0" fontId="113" fillId="0" borderId="0" xfId="0" applyFont="1" applyAlignment="1">
      <alignment horizontal="center"/>
    </xf>
    <xf numFmtId="0" fontId="38" fillId="6" borderId="0" xfId="0" applyFont="1" applyFill="1" applyAlignment="1">
      <alignment horizontal="center" wrapText="1"/>
    </xf>
    <xf numFmtId="0" fontId="17" fillId="0" borderId="0" xfId="0" applyFont="1" applyAlignment="1">
      <alignment horizontal="left" vertical="top" wrapText="1"/>
    </xf>
    <xf numFmtId="0" fontId="65" fillId="0" borderId="0" xfId="0" applyFont="1" applyAlignment="1">
      <alignment horizontal="left" vertical="top" wrapText="1"/>
    </xf>
    <xf numFmtId="0" fontId="54" fillId="0" borderId="0" xfId="0" applyFont="1" applyAlignment="1">
      <alignment horizontal="left" vertical="top" wrapText="1"/>
    </xf>
    <xf numFmtId="0" fontId="54" fillId="0" borderId="21" xfId="0" applyFont="1" applyBorder="1" applyAlignment="1">
      <alignment horizontal="left" vertical="top" wrapText="1"/>
    </xf>
    <xf numFmtId="181" fontId="54" fillId="0" borderId="0" xfId="7" applyNumberFormat="1" applyFont="1" applyFill="1" applyBorder="1" applyAlignment="1" applyProtection="1">
      <alignment horizontal="center" vertical="top"/>
    </xf>
    <xf numFmtId="3" fontId="55" fillId="6" borderId="1" xfId="7" applyNumberFormat="1" applyFont="1" applyFill="1" applyBorder="1" applyAlignment="1" applyProtection="1">
      <alignment horizontal="center" vertical="top"/>
    </xf>
    <xf numFmtId="0" fontId="9" fillId="0" borderId="0" xfId="0" applyFont="1" applyAlignment="1">
      <alignment horizontal="center" wrapText="1"/>
    </xf>
    <xf numFmtId="0" fontId="9" fillId="0" borderId="21" xfId="0" applyFont="1" applyBorder="1" applyAlignment="1">
      <alignment horizontal="center" wrapText="1"/>
    </xf>
    <xf numFmtId="0" fontId="10" fillId="0" borderId="21" xfId="0" applyFont="1" applyBorder="1" applyAlignment="1">
      <alignment horizontal="center"/>
    </xf>
    <xf numFmtId="0" fontId="9" fillId="7" borderId="1" xfId="0" applyFont="1" applyFill="1" applyBorder="1" applyAlignment="1">
      <alignment horizontal="left" wrapText="1"/>
    </xf>
    <xf numFmtId="14" fontId="9" fillId="7" borderId="1" xfId="0" applyNumberFormat="1" applyFont="1" applyFill="1" applyBorder="1" applyAlignment="1">
      <alignment horizontal="center" wrapText="1"/>
    </xf>
    <xf numFmtId="0" fontId="10" fillId="7" borderId="1" xfId="0" applyFont="1" applyFill="1" applyBorder="1" applyAlignment="1">
      <alignment horizontal="center"/>
    </xf>
    <xf numFmtId="0" fontId="10" fillId="0" borderId="1" xfId="0" applyFont="1" applyBorder="1" applyAlignment="1" applyProtection="1">
      <alignment horizontal="center"/>
      <protection hidden="1"/>
    </xf>
    <xf numFmtId="1" fontId="10" fillId="0" borderId="50" xfId="0" applyNumberFormat="1" applyFont="1" applyBorder="1" applyAlignment="1" applyProtection="1">
      <alignment horizontal="center"/>
      <protection locked="0"/>
    </xf>
    <xf numFmtId="1" fontId="10" fillId="0" borderId="2" xfId="0" applyNumberFormat="1" applyFont="1" applyBorder="1" applyAlignment="1" applyProtection="1">
      <alignment horizontal="center"/>
      <protection locked="0"/>
    </xf>
    <xf numFmtId="0" fontId="9" fillId="7" borderId="1" xfId="0" applyFont="1" applyFill="1" applyBorder="1" applyAlignment="1">
      <alignment horizontal="left"/>
    </xf>
    <xf numFmtId="1" fontId="9" fillId="0" borderId="1" xfId="0" applyNumberFormat="1" applyFont="1" applyBorder="1" applyAlignment="1" applyProtection="1">
      <alignment horizontal="left" wrapText="1"/>
      <protection locked="0"/>
    </xf>
    <xf numFmtId="0" fontId="9" fillId="19" borderId="1" xfId="8" applyFont="1" applyBorder="1" applyAlignment="1" applyProtection="1">
      <alignment horizontal="left"/>
    </xf>
    <xf numFmtId="1" fontId="9" fillId="19" borderId="1" xfId="8" applyNumberFormat="1" applyFont="1" applyBorder="1" applyAlignment="1" applyProtection="1">
      <alignment horizontal="left" wrapText="1"/>
    </xf>
    <xf numFmtId="0" fontId="9" fillId="13" borderId="1" xfId="0" applyFont="1" applyFill="1" applyBorder="1" applyAlignment="1">
      <alignment horizontal="right"/>
    </xf>
    <xf numFmtId="0" fontId="9" fillId="7" borderId="50" xfId="0" applyFont="1" applyFill="1" applyBorder="1" applyAlignment="1">
      <alignment horizontal="left" wrapText="1"/>
    </xf>
    <xf numFmtId="0" fontId="9" fillId="7" borderId="75" xfId="0" applyFont="1" applyFill="1" applyBorder="1" applyAlignment="1">
      <alignment horizontal="left" wrapText="1"/>
    </xf>
    <xf numFmtId="0" fontId="9" fillId="7" borderId="2" xfId="0" applyFont="1" applyFill="1" applyBorder="1" applyAlignment="1">
      <alignment horizontal="left" wrapText="1"/>
    </xf>
    <xf numFmtId="14" fontId="9" fillId="4" borderId="1" xfId="0" applyNumberFormat="1" applyFont="1" applyFill="1" applyBorder="1" applyAlignment="1" applyProtection="1">
      <alignment horizontal="center" wrapText="1"/>
      <protection locked="0"/>
    </xf>
    <xf numFmtId="0" fontId="10" fillId="4" borderId="1" xfId="0" applyFont="1" applyFill="1" applyBorder="1" applyAlignment="1" applyProtection="1">
      <alignment horizontal="center"/>
      <protection locked="0"/>
    </xf>
    <xf numFmtId="0" fontId="0" fillId="0" borderId="50" xfId="0" applyBorder="1" applyAlignment="1" applyProtection="1">
      <alignment horizontal="center"/>
      <protection locked="0"/>
    </xf>
    <xf numFmtId="0" fontId="0" fillId="0" borderId="2" xfId="0" applyBorder="1" applyAlignment="1" applyProtection="1">
      <alignment horizontal="center"/>
      <protection locked="0"/>
    </xf>
    <xf numFmtId="0" fontId="18" fillId="0" borderId="0" xfId="0" applyFont="1" applyAlignment="1">
      <alignment horizontal="center" vertical="top" wrapText="1"/>
    </xf>
    <xf numFmtId="0" fontId="61" fillId="0" borderId="0" xfId="0" applyFont="1" applyAlignment="1">
      <alignment horizontal="center" vertical="center"/>
    </xf>
    <xf numFmtId="0" fontId="7" fillId="0" borderId="0" xfId="0" applyFont="1" applyAlignment="1">
      <alignment horizontal="left"/>
    </xf>
    <xf numFmtId="0" fontId="17" fillId="0" borderId="0" xfId="0" applyFont="1" applyAlignment="1">
      <alignment horizontal="left"/>
    </xf>
    <xf numFmtId="0" fontId="7" fillId="0" borderId="14" xfId="0" applyFont="1" applyBorder="1" applyAlignment="1" applyProtection="1">
      <alignment horizontal="left"/>
      <protection locked="0"/>
    </xf>
    <xf numFmtId="0" fontId="7" fillId="0" borderId="15" xfId="0" applyFont="1" applyBorder="1" applyAlignment="1" applyProtection="1">
      <alignment horizontal="left"/>
      <protection locked="0"/>
    </xf>
    <xf numFmtId="0" fontId="7" fillId="0" borderId="16" xfId="0" applyFont="1" applyBorder="1" applyAlignment="1" applyProtection="1">
      <alignment horizontal="left"/>
      <protection locked="0"/>
    </xf>
    <xf numFmtId="14" fontId="7" fillId="0" borderId="14" xfId="0" applyNumberFormat="1" applyFont="1" applyBorder="1" applyAlignment="1" applyProtection="1">
      <alignment horizontal="left"/>
      <protection locked="0"/>
    </xf>
    <xf numFmtId="14" fontId="7" fillId="0" borderId="15" xfId="0" applyNumberFormat="1" applyFont="1" applyBorder="1" applyAlignment="1" applyProtection="1">
      <alignment horizontal="left"/>
      <protection locked="0"/>
    </xf>
    <xf numFmtId="14" fontId="7" fillId="0" borderId="16" xfId="0" applyNumberFormat="1" applyFont="1" applyBorder="1" applyAlignment="1" applyProtection="1">
      <alignment horizontal="left"/>
      <protection locked="0"/>
    </xf>
    <xf numFmtId="0" fontId="7" fillId="7" borderId="1" xfId="0" applyFont="1" applyFill="1" applyBorder="1" applyAlignment="1">
      <alignment horizontal="center" vertical="center"/>
    </xf>
    <xf numFmtId="0" fontId="7" fillId="7" borderId="1" xfId="0" applyFont="1" applyFill="1" applyBorder="1" applyAlignment="1">
      <alignment horizontal="left" wrapText="1"/>
    </xf>
    <xf numFmtId="0" fontId="159" fillId="0" borderId="0" xfId="0" applyFont="1" applyAlignment="1">
      <alignment horizontal="center"/>
    </xf>
    <xf numFmtId="0" fontId="60" fillId="0" borderId="0" xfId="0" applyFont="1" applyAlignment="1">
      <alignment horizontal="center" vertical="center"/>
    </xf>
    <xf numFmtId="0" fontId="156" fillId="0" borderId="0" xfId="0" applyFont="1" applyAlignment="1">
      <alignment horizontal="center"/>
    </xf>
    <xf numFmtId="175" fontId="7" fillId="0" borderId="14" xfId="0" applyNumberFormat="1" applyFont="1" applyBorder="1" applyAlignment="1" applyProtection="1">
      <alignment horizontal="left"/>
      <protection locked="0"/>
    </xf>
    <xf numFmtId="175" fontId="7" fillId="0" borderId="15" xfId="0" applyNumberFormat="1" applyFont="1" applyBorder="1" applyAlignment="1" applyProtection="1">
      <alignment horizontal="left"/>
      <protection locked="0"/>
    </xf>
    <xf numFmtId="175" fontId="7" fillId="0" borderId="16" xfId="0" applyNumberFormat="1" applyFont="1" applyBorder="1" applyAlignment="1" applyProtection="1">
      <alignment horizontal="left"/>
      <protection locked="0"/>
    </xf>
    <xf numFmtId="0" fontId="102" fillId="0" borderId="0" xfId="0" applyFont="1" applyAlignment="1">
      <alignment horizontal="left" vertical="center" wrapText="1"/>
    </xf>
    <xf numFmtId="0" fontId="7" fillId="0" borderId="14" xfId="0" applyFont="1" applyBorder="1" applyAlignment="1" applyProtection="1">
      <alignment horizontal="left"/>
      <protection locked="0" hidden="1"/>
    </xf>
    <xf numFmtId="0" fontId="7" fillId="0" borderId="15" xfId="0" applyFont="1" applyBorder="1" applyAlignment="1" applyProtection="1">
      <alignment horizontal="left"/>
      <protection locked="0" hidden="1"/>
    </xf>
    <xf numFmtId="0" fontId="7" fillId="0" borderId="16" xfId="0" applyFont="1" applyBorder="1" applyAlignment="1" applyProtection="1">
      <alignment horizontal="left"/>
      <protection locked="0" hidden="1"/>
    </xf>
    <xf numFmtId="166" fontId="7" fillId="0" borderId="14" xfId="0" applyNumberFormat="1" applyFont="1" applyBorder="1" applyAlignment="1" applyProtection="1">
      <alignment horizontal="left"/>
      <protection locked="0" hidden="1"/>
    </xf>
    <xf numFmtId="166" fontId="7" fillId="0" borderId="15" xfId="0" applyNumberFormat="1" applyFont="1" applyBorder="1" applyAlignment="1" applyProtection="1">
      <alignment horizontal="left"/>
      <protection locked="0" hidden="1"/>
    </xf>
    <xf numFmtId="166" fontId="7" fillId="0" borderId="16" xfId="0" applyNumberFormat="1" applyFont="1" applyBorder="1" applyAlignment="1" applyProtection="1">
      <alignment horizontal="left"/>
      <protection locked="0" hidden="1"/>
    </xf>
    <xf numFmtId="0" fontId="37" fillId="0" borderId="0" xfId="0" applyFont="1" applyAlignment="1">
      <alignment horizontal="center" vertical="center"/>
    </xf>
    <xf numFmtId="0" fontId="7" fillId="0" borderId="94" xfId="0" applyFont="1" applyBorder="1" applyAlignment="1">
      <alignment horizontal="left" wrapText="1"/>
    </xf>
    <xf numFmtId="0" fontId="7" fillId="0" borderId="68" xfId="0" applyFont="1" applyBorder="1" applyAlignment="1">
      <alignment horizontal="left" wrapText="1"/>
    </xf>
    <xf numFmtId="49" fontId="7" fillId="0" borderId="180" xfId="0" applyNumberFormat="1" applyFont="1" applyBorder="1" applyAlignment="1" applyProtection="1">
      <alignment horizontal="left"/>
      <protection locked="0"/>
    </xf>
    <xf numFmtId="49" fontId="7" fillId="0" borderId="181" xfId="0" applyNumberFormat="1" applyFont="1" applyBorder="1" applyAlignment="1" applyProtection="1">
      <alignment horizontal="left"/>
      <protection locked="0"/>
    </xf>
    <xf numFmtId="49" fontId="7" fillId="0" borderId="182" xfId="0" applyNumberFormat="1" applyFont="1" applyBorder="1" applyAlignment="1" applyProtection="1">
      <alignment horizontal="left"/>
      <protection locked="0"/>
    </xf>
    <xf numFmtId="49" fontId="7" fillId="0" borderId="14" xfId="0" applyNumberFormat="1" applyFont="1" applyBorder="1" applyAlignment="1" applyProtection="1">
      <alignment horizontal="left"/>
      <protection locked="0"/>
    </xf>
    <xf numFmtId="49" fontId="7" fillId="0" borderId="15" xfId="0" applyNumberFormat="1" applyFont="1" applyBorder="1" applyAlignment="1" applyProtection="1">
      <alignment horizontal="left"/>
      <protection locked="0"/>
    </xf>
    <xf numFmtId="49" fontId="7" fillId="0" borderId="16" xfId="0" applyNumberFormat="1" applyFont="1" applyBorder="1" applyAlignment="1" applyProtection="1">
      <alignment horizontal="left"/>
      <protection locked="0"/>
    </xf>
    <xf numFmtId="186" fontId="7" fillId="0" borderId="14" xfId="0" applyNumberFormat="1" applyFont="1" applyBorder="1" applyAlignment="1" applyProtection="1">
      <alignment horizontal="left"/>
      <protection locked="0"/>
    </xf>
    <xf numFmtId="186" fontId="7" fillId="0" borderId="15" xfId="0" applyNumberFormat="1" applyFont="1" applyBorder="1" applyAlignment="1" applyProtection="1">
      <alignment horizontal="left"/>
      <protection locked="0"/>
    </xf>
    <xf numFmtId="186" fontId="7" fillId="0" borderId="16" xfId="0" applyNumberFormat="1" applyFont="1" applyBorder="1" applyAlignment="1" applyProtection="1">
      <alignment horizontal="left"/>
      <protection locked="0"/>
    </xf>
    <xf numFmtId="0" fontId="43" fillId="0" borderId="0" xfId="0" applyFont="1" applyAlignment="1">
      <alignment horizontal="center" vertical="center" wrapText="1"/>
    </xf>
    <xf numFmtId="0" fontId="7" fillId="0" borderId="14" xfId="0" applyFont="1" applyBorder="1" applyAlignment="1" applyProtection="1">
      <alignment horizontal="center"/>
      <protection locked="0"/>
    </xf>
    <xf numFmtId="0" fontId="7" fillId="0" borderId="16" xfId="0" applyFont="1" applyBorder="1" applyAlignment="1" applyProtection="1">
      <alignment horizontal="center"/>
      <protection locked="0"/>
    </xf>
    <xf numFmtId="166" fontId="7" fillId="0" borderId="14" xfId="0" applyNumberFormat="1" applyFont="1" applyBorder="1" applyAlignment="1" applyProtection="1">
      <alignment horizontal="left"/>
      <protection locked="0"/>
    </xf>
    <xf numFmtId="166" fontId="7" fillId="0" borderId="15" xfId="0" applyNumberFormat="1" applyFont="1" applyBorder="1" applyAlignment="1" applyProtection="1">
      <alignment horizontal="left"/>
      <protection locked="0"/>
    </xf>
    <xf numFmtId="166" fontId="7" fillId="0" borderId="16" xfId="0" applyNumberFormat="1" applyFont="1" applyBorder="1" applyAlignment="1" applyProtection="1">
      <alignment horizontal="left"/>
      <protection locked="0"/>
    </xf>
    <xf numFmtId="175" fontId="7" fillId="0" borderId="14" xfId="0" applyNumberFormat="1" applyFont="1" applyBorder="1" applyAlignment="1" applyProtection="1">
      <alignment horizontal="left"/>
      <protection locked="0" hidden="1"/>
    </xf>
    <xf numFmtId="175" fontId="7" fillId="0" borderId="15" xfId="0" applyNumberFormat="1" applyFont="1" applyBorder="1" applyAlignment="1" applyProtection="1">
      <alignment horizontal="left"/>
      <protection locked="0" hidden="1"/>
    </xf>
    <xf numFmtId="175" fontId="7" fillId="0" borderId="16" xfId="0" applyNumberFormat="1" applyFont="1" applyBorder="1" applyAlignment="1" applyProtection="1">
      <alignment horizontal="left"/>
      <protection locked="0" hidden="1"/>
    </xf>
    <xf numFmtId="0" fontId="45" fillId="0" borderId="14" xfId="1" applyFont="1" applyBorder="1" applyAlignment="1" applyProtection="1">
      <alignment horizontal="left"/>
      <protection locked="0" hidden="1"/>
    </xf>
    <xf numFmtId="0" fontId="7" fillId="0" borderId="68" xfId="0" applyFont="1" applyBorder="1" applyAlignment="1">
      <alignment horizontal="left"/>
    </xf>
    <xf numFmtId="0" fontId="7" fillId="0" borderId="19" xfId="0" applyFont="1" applyBorder="1" applyAlignment="1" applyProtection="1">
      <alignment horizontal="left" vertical="top" wrapText="1"/>
      <protection locked="0"/>
    </xf>
    <xf numFmtId="0" fontId="7" fillId="0" borderId="20" xfId="0" applyFont="1" applyBorder="1" applyAlignment="1" applyProtection="1">
      <alignment horizontal="left" vertical="top" wrapText="1"/>
      <protection locked="0"/>
    </xf>
    <xf numFmtId="0" fontId="7" fillId="0" borderId="24" xfId="0" applyFont="1" applyBorder="1" applyAlignment="1" applyProtection="1">
      <alignment horizontal="left" vertical="top" wrapText="1"/>
      <protection locked="0"/>
    </xf>
    <xf numFmtId="0" fontId="7" fillId="0" borderId="17" xfId="0" applyFont="1" applyBorder="1" applyAlignment="1" applyProtection="1">
      <alignment horizontal="left" vertical="top" wrapText="1"/>
      <protection locked="0"/>
    </xf>
    <xf numFmtId="0" fontId="7" fillId="0" borderId="0" xfId="0" applyFont="1" applyAlignment="1" applyProtection="1">
      <alignment horizontal="left" vertical="top" wrapText="1"/>
      <protection locked="0"/>
    </xf>
    <xf numFmtId="0" fontId="7" fillId="0" borderId="25" xfId="0" applyFont="1" applyBorder="1" applyAlignment="1" applyProtection="1">
      <alignment horizontal="left" vertical="top" wrapText="1"/>
      <protection locked="0"/>
    </xf>
    <xf numFmtId="0" fontId="7" fillId="0" borderId="22" xfId="0" applyFont="1" applyBorder="1" applyAlignment="1" applyProtection="1">
      <alignment horizontal="left" vertical="top" wrapText="1"/>
      <protection locked="0"/>
    </xf>
    <xf numFmtId="0" fontId="7" fillId="0" borderId="23" xfId="0" applyFont="1" applyBorder="1" applyAlignment="1" applyProtection="1">
      <alignment horizontal="left" vertical="top" wrapText="1"/>
      <protection locked="0"/>
    </xf>
    <xf numFmtId="0" fontId="7" fillId="0" borderId="26" xfId="0" applyFont="1" applyBorder="1" applyAlignment="1" applyProtection="1">
      <alignment horizontal="left" vertical="top" wrapText="1"/>
      <protection locked="0"/>
    </xf>
    <xf numFmtId="3" fontId="7" fillId="0" borderId="14" xfId="0" applyNumberFormat="1" applyFont="1" applyBorder="1" applyAlignment="1" applyProtection="1">
      <alignment horizontal="left"/>
      <protection locked="0" hidden="1"/>
    </xf>
    <xf numFmtId="3" fontId="7" fillId="0" borderId="14" xfId="0" applyNumberFormat="1" applyFont="1" applyBorder="1" applyAlignment="1" applyProtection="1">
      <alignment horizontal="left"/>
      <protection locked="0"/>
    </xf>
    <xf numFmtId="3" fontId="7" fillId="0" borderId="15" xfId="0" applyNumberFormat="1" applyFont="1" applyBorder="1" applyAlignment="1" applyProtection="1">
      <alignment horizontal="left"/>
      <protection locked="0"/>
    </xf>
    <xf numFmtId="3" fontId="7" fillId="0" borderId="16" xfId="0" applyNumberFormat="1" applyFont="1" applyBorder="1" applyAlignment="1" applyProtection="1">
      <alignment horizontal="left"/>
      <protection locked="0"/>
    </xf>
    <xf numFmtId="0" fontId="7" fillId="20" borderId="14" xfId="0" applyFont="1" applyFill="1" applyBorder="1" applyAlignment="1" applyProtection="1">
      <alignment horizontal="left"/>
      <protection hidden="1"/>
    </xf>
    <xf numFmtId="0" fontId="7" fillId="20" borderId="15" xfId="0" applyFont="1" applyFill="1" applyBorder="1" applyAlignment="1" applyProtection="1">
      <alignment horizontal="left"/>
      <protection hidden="1"/>
    </xf>
    <xf numFmtId="0" fontId="7" fillId="20" borderId="16" xfId="0" applyFont="1" applyFill="1" applyBorder="1" applyAlignment="1" applyProtection="1">
      <alignment horizontal="left"/>
      <protection hidden="1"/>
    </xf>
    <xf numFmtId="182" fontId="7" fillId="0" borderId="14" xfId="0" applyNumberFormat="1" applyFont="1" applyBorder="1" applyAlignment="1" applyProtection="1">
      <alignment horizontal="left"/>
      <protection locked="0" hidden="1"/>
    </xf>
    <xf numFmtId="182" fontId="7" fillId="0" borderId="15" xfId="0" applyNumberFormat="1" applyFont="1" applyBorder="1" applyAlignment="1" applyProtection="1">
      <alignment horizontal="left"/>
      <protection locked="0" hidden="1"/>
    </xf>
    <xf numFmtId="182" fontId="7" fillId="0" borderId="16" xfId="0" applyNumberFormat="1" applyFont="1" applyBorder="1" applyAlignment="1" applyProtection="1">
      <alignment horizontal="left"/>
      <protection locked="0" hidden="1"/>
    </xf>
    <xf numFmtId="0" fontId="1" fillId="0" borderId="14" xfId="1" applyBorder="1" applyAlignment="1" applyProtection="1">
      <alignment horizontal="left"/>
      <protection locked="0"/>
    </xf>
    <xf numFmtId="0" fontId="43" fillId="0" borderId="0" xfId="0" applyFont="1" applyAlignment="1">
      <alignment horizontal="left" vertical="center" wrapText="1"/>
    </xf>
    <xf numFmtId="0" fontId="7" fillId="0" borderId="15" xfId="0" applyFont="1" applyBorder="1" applyAlignment="1" applyProtection="1">
      <alignment horizontal="center"/>
      <protection locked="0"/>
    </xf>
    <xf numFmtId="0" fontId="7" fillId="0" borderId="0" xfId="0" applyFont="1" applyAlignment="1">
      <alignment horizontal="center"/>
    </xf>
    <xf numFmtId="0" fontId="43" fillId="0" borderId="0" xfId="0" applyFont="1" applyAlignment="1">
      <alignment horizontal="center" vertical="top" wrapText="1"/>
    </xf>
    <xf numFmtId="9" fontId="103" fillId="4" borderId="126" xfId="6" applyFont="1" applyFill="1" applyBorder="1" applyAlignment="1">
      <alignment horizontal="center" vertical="center"/>
    </xf>
    <xf numFmtId="9" fontId="103" fillId="4" borderId="127" xfId="6" applyFont="1" applyFill="1" applyBorder="1" applyAlignment="1">
      <alignment horizontal="center" vertical="center"/>
    </xf>
    <xf numFmtId="9" fontId="103" fillId="4" borderId="117" xfId="6" applyFont="1" applyFill="1" applyBorder="1" applyAlignment="1">
      <alignment horizontal="center" vertical="center"/>
    </xf>
    <xf numFmtId="9" fontId="103" fillId="4" borderId="118" xfId="6" applyFont="1" applyFill="1" applyBorder="1" applyAlignment="1">
      <alignment horizontal="center" vertical="center"/>
    </xf>
    <xf numFmtId="0" fontId="43" fillId="0" borderId="0" xfId="0" applyFont="1" applyAlignment="1">
      <alignment horizontal="center" vertical="center"/>
    </xf>
    <xf numFmtId="0" fontId="7" fillId="7" borderId="40" xfId="0" applyFont="1" applyFill="1" applyBorder="1" applyAlignment="1" applyProtection="1">
      <alignment horizontal="left" vertical="top" wrapText="1" indent="2"/>
      <protection hidden="1"/>
    </xf>
    <xf numFmtId="0" fontId="7" fillId="7" borderId="18" xfId="0" applyFont="1" applyFill="1" applyBorder="1" applyAlignment="1" applyProtection="1">
      <alignment horizontal="left" vertical="top" wrapText="1" indent="2"/>
      <protection hidden="1"/>
    </xf>
    <xf numFmtId="0" fontId="7" fillId="7" borderId="3" xfId="0" applyFont="1" applyFill="1" applyBorder="1" applyAlignment="1" applyProtection="1">
      <alignment horizontal="left" vertical="top" wrapText="1" indent="2"/>
      <protection hidden="1"/>
    </xf>
    <xf numFmtId="0" fontId="7" fillId="7" borderId="37" xfId="0" applyFont="1" applyFill="1" applyBorder="1" applyAlignment="1" applyProtection="1">
      <alignment horizontal="left" vertical="top" wrapText="1" indent="2"/>
      <protection hidden="1"/>
    </xf>
    <xf numFmtId="0" fontId="7" fillId="7" borderId="0" xfId="0" applyFont="1" applyFill="1" applyAlignment="1" applyProtection="1">
      <alignment horizontal="left" vertical="top" wrapText="1" indent="2"/>
      <protection hidden="1"/>
    </xf>
    <xf numFmtId="0" fontId="7" fillId="7" borderId="4" xfId="0" applyFont="1" applyFill="1" applyBorder="1" applyAlignment="1" applyProtection="1">
      <alignment horizontal="left" vertical="top" wrapText="1" indent="2"/>
      <protection hidden="1"/>
    </xf>
    <xf numFmtId="0" fontId="7" fillId="7" borderId="41" xfId="0" applyFont="1" applyFill="1" applyBorder="1" applyAlignment="1" applyProtection="1">
      <alignment horizontal="left" vertical="top" wrapText="1" indent="2"/>
      <protection hidden="1"/>
    </xf>
    <xf numFmtId="0" fontId="7" fillId="7" borderId="21" xfId="0" applyFont="1" applyFill="1" applyBorder="1" applyAlignment="1" applyProtection="1">
      <alignment horizontal="left" vertical="top" wrapText="1" indent="2"/>
      <protection hidden="1"/>
    </xf>
    <xf numFmtId="0" fontId="7" fillId="7" borderId="5" xfId="0" applyFont="1" applyFill="1" applyBorder="1" applyAlignment="1" applyProtection="1">
      <alignment horizontal="left" vertical="top" wrapText="1" indent="2"/>
      <protection hidden="1"/>
    </xf>
    <xf numFmtId="0" fontId="41" fillId="0" borderId="0" xfId="0" applyFont="1" applyAlignment="1">
      <alignment horizontal="left" vertical="center" wrapText="1"/>
    </xf>
    <xf numFmtId="0" fontId="7" fillId="0" borderId="0" xfId="0" applyFont="1" applyAlignment="1">
      <alignment horizontal="center" wrapText="1"/>
    </xf>
    <xf numFmtId="0" fontId="7" fillId="0" borderId="10" xfId="0" applyFont="1" applyBorder="1" applyAlignment="1">
      <alignment horizontal="center" wrapText="1"/>
    </xf>
    <xf numFmtId="4" fontId="7" fillId="0" borderId="101" xfId="0" applyNumberFormat="1" applyFont="1" applyBorder="1" applyAlignment="1">
      <alignment horizontal="center" shrinkToFit="1"/>
    </xf>
    <xf numFmtId="4" fontId="7" fillId="0" borderId="12" xfId="0" applyNumberFormat="1" applyFont="1" applyBorder="1" applyAlignment="1">
      <alignment horizontal="center" shrinkToFit="1"/>
    </xf>
    <xf numFmtId="167" fontId="7" fillId="0" borderId="34" xfId="0" applyNumberFormat="1" applyFont="1" applyBorder="1" applyAlignment="1">
      <alignment horizontal="center" shrinkToFit="1"/>
    </xf>
    <xf numFmtId="167" fontId="7" fillId="0" borderId="12" xfId="0" applyNumberFormat="1" applyFont="1" applyBorder="1" applyAlignment="1">
      <alignment horizontal="center" shrinkToFit="1"/>
    </xf>
    <xf numFmtId="4" fontId="7" fillId="0" borderId="34" xfId="0" applyNumberFormat="1" applyFont="1" applyBorder="1" applyAlignment="1">
      <alignment horizontal="center" shrinkToFit="1"/>
    </xf>
    <xf numFmtId="3" fontId="7" fillId="0" borderId="34" xfId="0" applyNumberFormat="1" applyFont="1" applyBorder="1" applyAlignment="1">
      <alignment horizontal="center" shrinkToFit="1"/>
    </xf>
    <xf numFmtId="3" fontId="7" fillId="0" borderId="12" xfId="0" applyNumberFormat="1" applyFont="1" applyBorder="1" applyAlignment="1">
      <alignment horizontal="center" shrinkToFit="1"/>
    </xf>
    <xf numFmtId="179" fontId="7" fillId="0" borderId="34" xfId="0" applyNumberFormat="1" applyFont="1" applyBorder="1" applyAlignment="1">
      <alignment horizontal="center" shrinkToFit="1"/>
    </xf>
    <xf numFmtId="179" fontId="7" fillId="0" borderId="12" xfId="0" applyNumberFormat="1" applyFont="1" applyBorder="1" applyAlignment="1">
      <alignment horizontal="center" shrinkToFit="1"/>
    </xf>
    <xf numFmtId="167" fontId="6" fillId="7" borderId="76" xfId="0" applyNumberFormat="1" applyFont="1" applyFill="1" applyBorder="1" applyAlignment="1">
      <alignment horizontal="center" wrapText="1"/>
    </xf>
    <xf numFmtId="167" fontId="6" fillId="7" borderId="77" xfId="0" applyNumberFormat="1" applyFont="1" applyFill="1" applyBorder="1" applyAlignment="1">
      <alignment horizontal="center" wrapText="1"/>
    </xf>
    <xf numFmtId="167" fontId="6" fillId="7" borderId="78" xfId="0" applyNumberFormat="1" applyFont="1" applyFill="1" applyBorder="1" applyAlignment="1">
      <alignment horizontal="center" wrapText="1"/>
    </xf>
    <xf numFmtId="167" fontId="6" fillId="7" borderId="30" xfId="0" applyNumberFormat="1" applyFont="1" applyFill="1" applyBorder="1" applyAlignment="1">
      <alignment horizontal="center" wrapText="1"/>
    </xf>
    <xf numFmtId="167" fontId="6" fillId="7" borderId="31" xfId="0" applyNumberFormat="1" applyFont="1" applyFill="1" applyBorder="1" applyAlignment="1">
      <alignment horizontal="center" wrapText="1"/>
    </xf>
    <xf numFmtId="167" fontId="6" fillId="7" borderId="32" xfId="0" applyNumberFormat="1" applyFont="1" applyFill="1" applyBorder="1" applyAlignment="1">
      <alignment horizontal="center" wrapText="1"/>
    </xf>
    <xf numFmtId="170" fontId="6" fillId="7" borderId="76" xfId="0" applyNumberFormat="1" applyFont="1" applyFill="1" applyBorder="1" applyAlignment="1">
      <alignment horizontal="center" wrapText="1" shrinkToFit="1"/>
    </xf>
    <xf numFmtId="170" fontId="6" fillId="7" borderId="77" xfId="0" applyNumberFormat="1" applyFont="1" applyFill="1" applyBorder="1" applyAlignment="1">
      <alignment horizontal="center" wrapText="1" shrinkToFit="1"/>
    </xf>
    <xf numFmtId="170" fontId="6" fillId="7" borderId="30" xfId="0" applyNumberFormat="1" applyFont="1" applyFill="1" applyBorder="1" applyAlignment="1">
      <alignment horizontal="center" wrapText="1" shrinkToFit="1"/>
    </xf>
    <xf numFmtId="170" fontId="6" fillId="7" borderId="31" xfId="0" applyNumberFormat="1" applyFont="1" applyFill="1" applyBorder="1" applyAlignment="1">
      <alignment horizontal="center" wrapText="1" shrinkToFit="1"/>
    </xf>
    <xf numFmtId="3" fontId="7" fillId="0" borderId="34" xfId="0" applyNumberFormat="1" applyFont="1" applyBorder="1" applyAlignment="1">
      <alignment horizontal="center" wrapText="1" shrinkToFit="1"/>
    </xf>
    <xf numFmtId="3" fontId="7" fillId="0" borderId="12" xfId="0" applyNumberFormat="1" applyFont="1" applyBorder="1" applyAlignment="1">
      <alignment horizontal="center" wrapText="1" shrinkToFit="1"/>
    </xf>
    <xf numFmtId="170" fontId="6" fillId="7" borderId="78" xfId="0" applyNumberFormat="1" applyFont="1" applyFill="1" applyBorder="1" applyAlignment="1">
      <alignment horizontal="center" wrapText="1" shrinkToFit="1"/>
    </xf>
    <xf numFmtId="170" fontId="6" fillId="7" borderId="32" xfId="0" applyNumberFormat="1" applyFont="1" applyFill="1" applyBorder="1" applyAlignment="1">
      <alignment horizontal="center" wrapText="1" shrinkToFit="1"/>
    </xf>
    <xf numFmtId="164" fontId="7" fillId="0" borderId="13" xfId="0" applyNumberFormat="1" applyFont="1" applyBorder="1" applyAlignment="1">
      <alignment horizontal="right" vertical="center"/>
    </xf>
    <xf numFmtId="164" fontId="7" fillId="0" borderId="0" xfId="0" applyNumberFormat="1" applyFont="1" applyAlignment="1">
      <alignment horizontal="right" vertical="center"/>
    </xf>
    <xf numFmtId="0" fontId="108" fillId="59" borderId="115" xfId="0" applyFont="1" applyFill="1" applyBorder="1" applyAlignment="1">
      <alignment horizontal="center"/>
    </xf>
    <xf numFmtId="0" fontId="7" fillId="0" borderId="33" xfId="0" applyFont="1" applyBorder="1" applyAlignment="1" applyProtection="1">
      <alignment horizontal="center" wrapText="1"/>
      <protection locked="0"/>
    </xf>
    <xf numFmtId="0" fontId="7" fillId="0" borderId="0" xfId="0" applyFont="1" applyAlignment="1" applyProtection="1">
      <alignment horizontal="center" wrapText="1"/>
      <protection locked="0"/>
    </xf>
    <xf numFmtId="0" fontId="7" fillId="0" borderId="13" xfId="0" applyFont="1" applyBorder="1" applyAlignment="1" applyProtection="1">
      <alignment horizontal="center" wrapText="1"/>
      <protection locked="0"/>
    </xf>
    <xf numFmtId="0" fontId="7" fillId="0" borderId="30" xfId="0" applyFont="1" applyBorder="1" applyAlignment="1" applyProtection="1">
      <alignment horizontal="center" wrapText="1"/>
      <protection locked="0"/>
    </xf>
    <xf numFmtId="0" fontId="7" fillId="0" borderId="31" xfId="0" applyFont="1" applyBorder="1" applyAlignment="1" applyProtection="1">
      <alignment horizontal="center" wrapText="1"/>
      <protection locked="0"/>
    </xf>
    <xf numFmtId="0" fontId="7" fillId="0" borderId="32" xfId="0" applyFont="1" applyBorder="1" applyAlignment="1" applyProtection="1">
      <alignment horizontal="center" wrapText="1"/>
      <protection locked="0"/>
    </xf>
    <xf numFmtId="174" fontId="7" fillId="0" borderId="33" xfId="0" applyNumberFormat="1" applyFont="1" applyBorder="1" applyAlignment="1" applyProtection="1">
      <alignment horizontal="center" wrapText="1" shrinkToFit="1"/>
      <protection locked="0" hidden="1"/>
    </xf>
    <xf numFmtId="174" fontId="7" fillId="0" borderId="0" xfId="0" applyNumberFormat="1" applyFont="1" applyAlignment="1" applyProtection="1">
      <alignment horizontal="center" wrapText="1" shrinkToFit="1"/>
      <protection locked="0" hidden="1"/>
    </xf>
    <xf numFmtId="174" fontId="7" fillId="0" borderId="30" xfId="0" applyNumberFormat="1" applyFont="1" applyBorder="1" applyAlignment="1" applyProtection="1">
      <alignment horizontal="center" wrapText="1" shrinkToFit="1"/>
      <protection locked="0" hidden="1"/>
    </xf>
    <xf numFmtId="174" fontId="7" fillId="0" borderId="31" xfId="0" applyNumberFormat="1" applyFont="1" applyBorder="1" applyAlignment="1" applyProtection="1">
      <alignment horizontal="center" wrapText="1" shrinkToFit="1"/>
      <protection locked="0" hidden="1"/>
    </xf>
    <xf numFmtId="0" fontId="7" fillId="0" borderId="36" xfId="0" applyFont="1" applyBorder="1" applyAlignment="1" applyProtection="1">
      <alignment horizontal="center" wrapText="1"/>
      <protection locked="0"/>
    </xf>
    <xf numFmtId="0" fontId="7" fillId="0" borderId="35" xfId="0" applyFont="1" applyBorder="1" applyAlignment="1" applyProtection="1">
      <alignment horizontal="center" wrapText="1"/>
      <protection locked="0"/>
    </xf>
    <xf numFmtId="174" fontId="7" fillId="0" borderId="13" xfId="0" applyNumberFormat="1" applyFont="1" applyBorder="1" applyAlignment="1" applyProtection="1">
      <alignment horizontal="center" wrapText="1" shrinkToFit="1"/>
      <protection locked="0" hidden="1"/>
    </xf>
    <xf numFmtId="174" fontId="7" fillId="0" borderId="32" xfId="0" applyNumberFormat="1" applyFont="1" applyBorder="1" applyAlignment="1" applyProtection="1">
      <alignment horizontal="center" wrapText="1" shrinkToFit="1"/>
      <protection locked="0" hidden="1"/>
    </xf>
    <xf numFmtId="0" fontId="7" fillId="0" borderId="33" xfId="0" applyFont="1" applyBorder="1" applyAlignment="1" applyProtection="1">
      <alignment horizontal="center" shrinkToFit="1"/>
      <protection locked="0"/>
    </xf>
    <xf numFmtId="0" fontId="7" fillId="0" borderId="13" xfId="0" applyFont="1" applyBorder="1" applyAlignment="1" applyProtection="1">
      <alignment horizontal="center" shrinkToFit="1"/>
      <protection locked="0"/>
    </xf>
    <xf numFmtId="0" fontId="7" fillId="0" borderId="30" xfId="0" applyFont="1" applyBorder="1" applyAlignment="1" applyProtection="1">
      <alignment horizontal="center" shrinkToFit="1"/>
      <protection locked="0"/>
    </xf>
    <xf numFmtId="0" fontId="7" fillId="0" borderId="32" xfId="0" applyFont="1" applyBorder="1" applyAlignment="1" applyProtection="1">
      <alignment horizontal="center" shrinkToFit="1"/>
      <protection locked="0"/>
    </xf>
    <xf numFmtId="0" fontId="7" fillId="0" borderId="37" xfId="0" applyFont="1" applyBorder="1" applyAlignment="1" applyProtection="1">
      <alignment horizontal="center" wrapText="1"/>
      <protection locked="0"/>
    </xf>
    <xf numFmtId="0" fontId="7" fillId="0" borderId="38" xfId="0" applyFont="1" applyBorder="1" applyAlignment="1" applyProtection="1">
      <alignment horizontal="center" wrapText="1"/>
      <protection locked="0"/>
    </xf>
    <xf numFmtId="0" fontId="7" fillId="0" borderId="0" xfId="0" applyFont="1" applyAlignment="1" applyProtection="1">
      <alignment horizontal="center" shrinkToFit="1"/>
      <protection locked="0"/>
    </xf>
    <xf numFmtId="0" fontId="7" fillId="0" borderId="31" xfId="0" applyFont="1" applyBorder="1" applyAlignment="1" applyProtection="1">
      <alignment horizontal="center" shrinkToFit="1"/>
      <protection locked="0"/>
    </xf>
    <xf numFmtId="167" fontId="7" fillId="0" borderId="33" xfId="0" applyNumberFormat="1" applyFont="1" applyBorder="1" applyAlignment="1" applyProtection="1">
      <alignment horizontal="center" shrinkToFit="1"/>
      <protection locked="0" hidden="1"/>
    </xf>
    <xf numFmtId="167" fontId="7" fillId="0" borderId="13" xfId="0" applyNumberFormat="1" applyFont="1" applyBorder="1" applyAlignment="1" applyProtection="1">
      <alignment horizontal="center" shrinkToFit="1"/>
      <protection locked="0" hidden="1"/>
    </xf>
    <xf numFmtId="167" fontId="7" fillId="0" borderId="30" xfId="0" applyNumberFormat="1" applyFont="1" applyBorder="1" applyAlignment="1" applyProtection="1">
      <alignment horizontal="center" shrinkToFit="1"/>
      <protection locked="0" hidden="1"/>
    </xf>
    <xf numFmtId="167" fontId="7" fillId="0" borderId="32" xfId="0" applyNumberFormat="1" applyFont="1" applyBorder="1" applyAlignment="1" applyProtection="1">
      <alignment horizontal="center" shrinkToFit="1"/>
      <protection locked="0" hidden="1"/>
    </xf>
    <xf numFmtId="167" fontId="7" fillId="0" borderId="33" xfId="0" applyNumberFormat="1" applyFont="1" applyBorder="1" applyAlignment="1" applyProtection="1">
      <alignment horizontal="center" shrinkToFit="1"/>
      <protection locked="0"/>
    </xf>
    <xf numFmtId="167" fontId="7" fillId="0" borderId="0" xfId="0" applyNumberFormat="1" applyFont="1" applyAlignment="1" applyProtection="1">
      <alignment horizontal="center" shrinkToFit="1"/>
      <protection locked="0"/>
    </xf>
    <xf numFmtId="167" fontId="7" fillId="0" borderId="30" xfId="0" applyNumberFormat="1" applyFont="1" applyBorder="1" applyAlignment="1" applyProtection="1">
      <alignment horizontal="center" shrinkToFit="1"/>
      <protection locked="0"/>
    </xf>
    <xf numFmtId="167" fontId="7" fillId="0" borderId="31" xfId="0" applyNumberFormat="1" applyFont="1" applyBorder="1" applyAlignment="1" applyProtection="1">
      <alignment horizontal="center" shrinkToFit="1"/>
      <protection locked="0"/>
    </xf>
    <xf numFmtId="167" fontId="6" fillId="7" borderId="79" xfId="0" applyNumberFormat="1" applyFont="1" applyFill="1" applyBorder="1" applyAlignment="1">
      <alignment horizontal="center" shrinkToFit="1"/>
    </xf>
    <xf numFmtId="167" fontId="6" fillId="7" borderId="78" xfId="0" applyNumberFormat="1" applyFont="1" applyFill="1" applyBorder="1" applyAlignment="1">
      <alignment horizontal="center" shrinkToFit="1"/>
    </xf>
    <xf numFmtId="167" fontId="6" fillId="7" borderId="38" xfId="0" applyNumberFormat="1" applyFont="1" applyFill="1" applyBorder="1" applyAlignment="1">
      <alignment horizontal="center" shrinkToFit="1"/>
    </xf>
    <xf numFmtId="167" fontId="6" fillId="7" borderId="32" xfId="0" applyNumberFormat="1" applyFont="1" applyFill="1" applyBorder="1" applyAlignment="1">
      <alignment horizontal="center" shrinkToFit="1"/>
    </xf>
    <xf numFmtId="0" fontId="7" fillId="0" borderId="76" xfId="0" applyFont="1" applyBorder="1" applyAlignment="1" applyProtection="1">
      <alignment horizontal="center" wrapText="1"/>
      <protection locked="0"/>
    </xf>
    <xf numFmtId="0" fontId="7" fillId="0" borderId="77" xfId="0" applyFont="1" applyBorder="1" applyAlignment="1" applyProtection="1">
      <alignment horizontal="center" wrapText="1"/>
      <protection locked="0"/>
    </xf>
    <xf numFmtId="0" fontId="7" fillId="0" borderId="78" xfId="0" applyFont="1" applyBorder="1" applyAlignment="1" applyProtection="1">
      <alignment horizontal="center" wrapText="1"/>
      <protection locked="0"/>
    </xf>
    <xf numFmtId="167" fontId="7" fillId="0" borderId="13" xfId="0" applyNumberFormat="1" applyFont="1" applyBorder="1" applyAlignment="1" applyProtection="1">
      <alignment horizontal="center" shrinkToFit="1"/>
      <protection locked="0"/>
    </xf>
    <xf numFmtId="167" fontId="7" fillId="0" borderId="32" xfId="0" applyNumberFormat="1" applyFont="1" applyBorder="1" applyAlignment="1" applyProtection="1">
      <alignment horizontal="center" shrinkToFit="1"/>
      <protection locked="0"/>
    </xf>
    <xf numFmtId="0" fontId="7" fillId="0" borderId="76" xfId="0" applyFont="1" applyBorder="1" applyAlignment="1" applyProtection="1">
      <alignment horizontal="center" shrinkToFit="1"/>
      <protection locked="0"/>
    </xf>
    <xf numFmtId="0" fontId="7" fillId="0" borderId="78" xfId="0" applyFont="1" applyBorder="1" applyAlignment="1" applyProtection="1">
      <alignment horizontal="center" shrinkToFit="1"/>
      <protection locked="0"/>
    </xf>
    <xf numFmtId="0" fontId="7" fillId="0" borderId="34" xfId="0" applyFont="1" applyBorder="1" applyAlignment="1">
      <alignment horizontal="center" shrinkToFit="1"/>
    </xf>
    <xf numFmtId="0" fontId="7" fillId="0" borderId="12" xfId="0" applyFont="1" applyBorder="1" applyAlignment="1">
      <alignment horizontal="center" shrinkToFit="1"/>
    </xf>
    <xf numFmtId="167" fontId="101" fillId="60" borderId="130" xfId="0" applyNumberFormat="1" applyFont="1" applyFill="1" applyBorder="1" applyAlignment="1">
      <alignment horizontal="center" vertical="center"/>
    </xf>
    <xf numFmtId="170" fontId="101" fillId="60" borderId="130" xfId="0" applyNumberFormat="1" applyFont="1" applyFill="1" applyBorder="1" applyAlignment="1">
      <alignment horizontal="center" vertical="center"/>
    </xf>
    <xf numFmtId="167" fontId="6" fillId="7" borderId="137" xfId="0" applyNumberFormat="1" applyFont="1" applyFill="1" applyBorder="1" applyAlignment="1">
      <alignment horizontal="center" shrinkToFit="1"/>
    </xf>
    <xf numFmtId="167" fontId="6" fillId="7" borderId="136" xfId="0" applyNumberFormat="1" applyFont="1" applyFill="1" applyBorder="1" applyAlignment="1">
      <alignment horizontal="center" shrinkToFit="1"/>
    </xf>
    <xf numFmtId="174" fontId="7" fillId="0" borderId="76" xfId="0" applyNumberFormat="1" applyFont="1" applyBorder="1" applyAlignment="1" applyProtection="1">
      <alignment horizontal="center" wrapText="1" shrinkToFit="1"/>
      <protection locked="0" hidden="1"/>
    </xf>
    <xf numFmtId="174" fontId="7" fillId="0" borderId="80" xfId="0" applyNumberFormat="1" applyFont="1" applyBorder="1" applyAlignment="1" applyProtection="1">
      <alignment horizontal="center" wrapText="1" shrinkToFit="1"/>
      <protection locked="0" hidden="1"/>
    </xf>
    <xf numFmtId="174" fontId="7" fillId="0" borderId="81" xfId="0" applyNumberFormat="1" applyFont="1" applyBorder="1" applyAlignment="1" applyProtection="1">
      <alignment horizontal="center" wrapText="1" shrinkToFit="1"/>
      <protection locked="0" hidden="1"/>
    </xf>
    <xf numFmtId="174" fontId="7" fillId="0" borderId="78" xfId="0" applyNumberFormat="1" applyFont="1" applyBorder="1" applyAlignment="1" applyProtection="1">
      <alignment horizontal="center" wrapText="1" shrinkToFit="1"/>
      <protection locked="0" hidden="1"/>
    </xf>
    <xf numFmtId="0" fontId="7" fillId="0" borderId="102" xfId="0" applyFont="1" applyBorder="1" applyAlignment="1" applyProtection="1">
      <alignment horizontal="center" wrapText="1"/>
      <protection locked="0"/>
    </xf>
    <xf numFmtId="0" fontId="7" fillId="0" borderId="103" xfId="0" applyFont="1" applyBorder="1" applyAlignment="1" applyProtection="1">
      <alignment horizontal="center" wrapText="1"/>
      <protection locked="0"/>
    </xf>
    <xf numFmtId="0" fontId="7" fillId="0" borderId="79" xfId="0" applyFont="1" applyBorder="1" applyAlignment="1" applyProtection="1">
      <alignment horizontal="center" wrapText="1"/>
      <protection locked="0"/>
    </xf>
    <xf numFmtId="0" fontId="7" fillId="0" borderId="77" xfId="0" applyFont="1" applyBorder="1" applyAlignment="1" applyProtection="1">
      <alignment horizontal="center" shrinkToFit="1"/>
      <protection locked="0"/>
    </xf>
    <xf numFmtId="167" fontId="7" fillId="0" borderId="76" xfId="0" applyNumberFormat="1" applyFont="1" applyBorder="1" applyAlignment="1" applyProtection="1">
      <alignment horizontal="center" shrinkToFit="1"/>
      <protection locked="0" hidden="1"/>
    </xf>
    <xf numFmtId="167" fontId="7" fillId="0" borderId="78" xfId="0" applyNumberFormat="1" applyFont="1" applyBorder="1" applyAlignment="1" applyProtection="1">
      <alignment horizontal="center" shrinkToFit="1"/>
      <protection locked="0" hidden="1"/>
    </xf>
    <xf numFmtId="167" fontId="7" fillId="0" borderId="76" xfId="0" applyNumberFormat="1" applyFont="1" applyBorder="1" applyAlignment="1" applyProtection="1">
      <alignment horizontal="center" shrinkToFit="1"/>
      <protection locked="0"/>
    </xf>
    <xf numFmtId="167" fontId="7" fillId="0" borderId="102" xfId="0" applyNumberFormat="1" applyFont="1" applyBorder="1" applyAlignment="1" applyProtection="1">
      <alignment horizontal="center" shrinkToFit="1"/>
      <protection locked="0"/>
    </xf>
    <xf numFmtId="167" fontId="7" fillId="0" borderId="103" xfId="0" applyNumberFormat="1" applyFont="1" applyBorder="1" applyAlignment="1" applyProtection="1">
      <alignment horizontal="center" shrinkToFit="1"/>
      <protection locked="0"/>
    </xf>
    <xf numFmtId="3" fontId="7" fillId="0" borderId="101" xfId="0" applyNumberFormat="1" applyFont="1" applyBorder="1" applyAlignment="1">
      <alignment horizontal="center" wrapText="1" shrinkToFit="1"/>
    </xf>
    <xf numFmtId="167" fontId="7" fillId="0" borderId="101" xfId="0" applyNumberFormat="1" applyFont="1" applyBorder="1" applyAlignment="1">
      <alignment horizontal="center" shrinkToFit="1"/>
    </xf>
    <xf numFmtId="179" fontId="7" fillId="0" borderId="101" xfId="0" applyNumberFormat="1" applyFont="1" applyBorder="1" applyAlignment="1">
      <alignment horizontal="center" shrinkToFit="1"/>
    </xf>
    <xf numFmtId="3" fontId="7" fillId="0" borderId="101" xfId="0" applyNumberFormat="1" applyFont="1" applyBorder="1" applyAlignment="1">
      <alignment horizontal="center" shrinkToFit="1"/>
    </xf>
    <xf numFmtId="0" fontId="108" fillId="74" borderId="0" xfId="0" applyFont="1" applyFill="1" applyAlignment="1">
      <alignment horizontal="center"/>
    </xf>
    <xf numFmtId="0" fontId="7" fillId="0" borderId="104" xfId="0" applyFont="1" applyBorder="1" applyAlignment="1" applyProtection="1">
      <alignment horizontal="center" wrapText="1"/>
      <protection locked="0"/>
    </xf>
    <xf numFmtId="0" fontId="7" fillId="0" borderId="9" xfId="0" applyFont="1" applyBorder="1" applyAlignment="1" applyProtection="1">
      <alignment horizontal="center" wrapText="1"/>
      <protection locked="0"/>
    </xf>
    <xf numFmtId="0" fontId="7" fillId="0" borderId="136" xfId="0" applyFont="1" applyBorder="1" applyAlignment="1" applyProtection="1">
      <alignment horizontal="center" wrapText="1"/>
      <protection locked="0"/>
    </xf>
    <xf numFmtId="178" fontId="7" fillId="0" borderId="101" xfId="0" applyNumberFormat="1" applyFont="1" applyBorder="1" applyAlignment="1">
      <alignment horizontal="center" shrinkToFit="1"/>
    </xf>
    <xf numFmtId="178" fontId="7" fillId="0" borderId="12" xfId="0" applyNumberFormat="1" applyFont="1" applyBorder="1" applyAlignment="1">
      <alignment horizontal="center" shrinkToFit="1"/>
    </xf>
    <xf numFmtId="181" fontId="7" fillId="0" borderId="34" xfId="7" applyNumberFormat="1" applyFont="1" applyBorder="1" applyAlignment="1">
      <alignment horizontal="center" shrinkToFit="1"/>
    </xf>
    <xf numFmtId="181" fontId="7" fillId="0" borderId="12" xfId="7" applyNumberFormat="1" applyFont="1" applyBorder="1" applyAlignment="1">
      <alignment horizontal="center" shrinkToFit="1"/>
    </xf>
    <xf numFmtId="170" fontId="6" fillId="7" borderId="76" xfId="0" applyNumberFormat="1" applyFont="1" applyFill="1" applyBorder="1" applyAlignment="1">
      <alignment horizontal="center" shrinkToFit="1"/>
    </xf>
    <xf numFmtId="170" fontId="6" fillId="7" borderId="77" xfId="0" applyNumberFormat="1" applyFont="1" applyFill="1" applyBorder="1" applyAlignment="1">
      <alignment horizontal="center" shrinkToFit="1"/>
    </xf>
    <xf numFmtId="170" fontId="6" fillId="7" borderId="30" xfId="0" applyNumberFormat="1" applyFont="1" applyFill="1" applyBorder="1" applyAlignment="1">
      <alignment horizontal="center" shrinkToFit="1"/>
    </xf>
    <xf numFmtId="170" fontId="6" fillId="7" borderId="31" xfId="0" applyNumberFormat="1" applyFont="1" applyFill="1" applyBorder="1" applyAlignment="1">
      <alignment horizontal="center" shrinkToFit="1"/>
    </xf>
    <xf numFmtId="0" fontId="7" fillId="7" borderId="33" xfId="0" applyFont="1" applyFill="1" applyBorder="1" applyAlignment="1">
      <alignment horizontal="center" wrapText="1"/>
    </xf>
    <xf numFmtId="0" fontId="7" fillId="7" borderId="0" xfId="0" applyFont="1" applyFill="1" applyAlignment="1">
      <alignment horizontal="center" wrapText="1"/>
    </xf>
    <xf numFmtId="0" fontId="7" fillId="7" borderId="13" xfId="0" applyFont="1" applyFill="1" applyBorder="1" applyAlignment="1">
      <alignment horizontal="center" wrapText="1"/>
    </xf>
    <xf numFmtId="0" fontId="7" fillId="7" borderId="30" xfId="0" applyFont="1" applyFill="1" applyBorder="1" applyAlignment="1">
      <alignment horizontal="center" wrapText="1"/>
    </xf>
    <xf numFmtId="0" fontId="7" fillId="7" borderId="31" xfId="0" applyFont="1" applyFill="1" applyBorder="1" applyAlignment="1">
      <alignment horizontal="center" wrapText="1"/>
    </xf>
    <xf numFmtId="0" fontId="7" fillId="7" borderId="32" xfId="0" applyFont="1" applyFill="1" applyBorder="1" applyAlignment="1">
      <alignment horizontal="center" wrapText="1"/>
    </xf>
    <xf numFmtId="0" fontId="7" fillId="7" borderId="76" xfId="0" applyFont="1" applyFill="1" applyBorder="1" applyAlignment="1">
      <alignment horizontal="center" wrapText="1"/>
    </xf>
    <xf numFmtId="0" fontId="7" fillId="7" borderId="77" xfId="0" applyFont="1" applyFill="1" applyBorder="1" applyAlignment="1">
      <alignment horizontal="center" wrapText="1"/>
    </xf>
    <xf numFmtId="0" fontId="7" fillId="7" borderId="78" xfId="0" applyFont="1" applyFill="1" applyBorder="1" applyAlignment="1">
      <alignment horizontal="center" wrapText="1"/>
    </xf>
    <xf numFmtId="167" fontId="6" fillId="7" borderId="33" xfId="0" applyNumberFormat="1" applyFont="1" applyFill="1" applyBorder="1" applyAlignment="1">
      <alignment horizontal="center" shrinkToFit="1"/>
    </xf>
    <xf numFmtId="167" fontId="6" fillId="7" borderId="13" xfId="0" applyNumberFormat="1" applyFont="1" applyFill="1" applyBorder="1" applyAlignment="1">
      <alignment horizontal="center" shrinkToFit="1"/>
    </xf>
    <xf numFmtId="167" fontId="6" fillId="7" borderId="30" xfId="0" applyNumberFormat="1" applyFont="1" applyFill="1" applyBorder="1" applyAlignment="1">
      <alignment horizontal="center" shrinkToFit="1"/>
    </xf>
    <xf numFmtId="0" fontId="147" fillId="0" borderId="0" xfId="0" applyFont="1" applyAlignment="1">
      <alignment horizontal="center"/>
    </xf>
    <xf numFmtId="0" fontId="152" fillId="0" borderId="10" xfId="0" applyFont="1" applyBorder="1" applyAlignment="1">
      <alignment horizontal="center" wrapText="1"/>
    </xf>
    <xf numFmtId="178" fontId="7" fillId="0" borderId="34" xfId="0" applyNumberFormat="1" applyFont="1" applyBorder="1" applyAlignment="1">
      <alignment horizontal="center" shrinkToFit="1"/>
    </xf>
    <xf numFmtId="164" fontId="0" fillId="0" borderId="13" xfId="0" applyNumberFormat="1" applyBorder="1" applyAlignment="1">
      <alignment horizontal="right" vertical="center"/>
    </xf>
    <xf numFmtId="167" fontId="6" fillId="7" borderId="76" xfId="0" applyNumberFormat="1" applyFont="1" applyFill="1" applyBorder="1" applyAlignment="1">
      <alignment horizontal="center" shrinkToFit="1"/>
    </xf>
    <xf numFmtId="167" fontId="6" fillId="7" borderId="77" xfId="0" applyNumberFormat="1" applyFont="1" applyFill="1" applyBorder="1" applyAlignment="1">
      <alignment horizontal="center" shrinkToFit="1"/>
    </xf>
    <xf numFmtId="167" fontId="6" fillId="7" borderId="31" xfId="0" applyNumberFormat="1" applyFont="1" applyFill="1" applyBorder="1" applyAlignment="1">
      <alignment horizontal="center" shrinkToFit="1"/>
    </xf>
    <xf numFmtId="173" fontId="7" fillId="0" borderId="33" xfId="0" applyNumberFormat="1" applyFont="1" applyBorder="1" applyAlignment="1" applyProtection="1">
      <alignment horizontal="center" shrinkToFit="1"/>
      <protection locked="0"/>
    </xf>
    <xf numFmtId="173" fontId="7" fillId="0" borderId="0" xfId="0" applyNumberFormat="1" applyFont="1" applyAlignment="1" applyProtection="1">
      <alignment horizontal="center" shrinkToFit="1"/>
      <protection locked="0"/>
    </xf>
    <xf numFmtId="173" fontId="7" fillId="0" borderId="13" xfId="0" applyNumberFormat="1" applyFont="1" applyBorder="1" applyAlignment="1" applyProtection="1">
      <alignment horizontal="center" shrinkToFit="1"/>
      <protection locked="0"/>
    </xf>
    <xf numFmtId="173" fontId="7" fillId="0" borderId="30" xfId="0" applyNumberFormat="1" applyFont="1" applyBorder="1" applyAlignment="1" applyProtection="1">
      <alignment horizontal="center" shrinkToFit="1"/>
      <protection locked="0"/>
    </xf>
    <xf numFmtId="173" fontId="7" fillId="0" borderId="31" xfId="0" applyNumberFormat="1" applyFont="1" applyBorder="1" applyAlignment="1" applyProtection="1">
      <alignment horizontal="center" shrinkToFit="1"/>
      <protection locked="0"/>
    </xf>
    <xf numFmtId="173" fontId="7" fillId="0" borderId="32" xfId="0" applyNumberFormat="1" applyFont="1" applyBorder="1" applyAlignment="1" applyProtection="1">
      <alignment horizontal="center" shrinkToFit="1"/>
      <protection locked="0"/>
    </xf>
    <xf numFmtId="170" fontId="6" fillId="7" borderId="33" xfId="0" applyNumberFormat="1" applyFont="1" applyFill="1" applyBorder="1" applyAlignment="1">
      <alignment horizontal="center" shrinkToFit="1"/>
    </xf>
    <xf numFmtId="170" fontId="6" fillId="7" borderId="0" xfId="0" applyNumberFormat="1" applyFont="1" applyFill="1" applyAlignment="1">
      <alignment horizontal="center" shrinkToFit="1"/>
    </xf>
    <xf numFmtId="170" fontId="6" fillId="7" borderId="13" xfId="0" applyNumberFormat="1" applyFont="1" applyFill="1" applyBorder="1" applyAlignment="1">
      <alignment horizontal="center" shrinkToFit="1"/>
    </xf>
    <xf numFmtId="170" fontId="6" fillId="7" borderId="32" xfId="0" applyNumberFormat="1" applyFont="1" applyFill="1" applyBorder="1" applyAlignment="1">
      <alignment horizontal="center" shrinkToFit="1"/>
    </xf>
    <xf numFmtId="167" fontId="147" fillId="0" borderId="148" xfId="0" applyNumberFormat="1" applyFont="1" applyBorder="1" applyAlignment="1" applyProtection="1">
      <alignment horizontal="center" shrinkToFit="1"/>
      <protection locked="0"/>
    </xf>
    <xf numFmtId="167" fontId="147" fillId="0" borderId="149" xfId="0" applyNumberFormat="1" applyFont="1" applyBorder="1" applyAlignment="1" applyProtection="1">
      <alignment horizontal="center" shrinkToFit="1"/>
      <protection locked="0"/>
    </xf>
    <xf numFmtId="167" fontId="147" fillId="0" borderId="153" xfId="0" applyNumberFormat="1" applyFont="1" applyBorder="1" applyAlignment="1" applyProtection="1">
      <alignment horizontal="center" shrinkToFit="1"/>
      <protection locked="0"/>
    </xf>
    <xf numFmtId="167" fontId="147" fillId="0" borderId="154" xfId="0" applyNumberFormat="1" applyFont="1" applyBorder="1" applyAlignment="1" applyProtection="1">
      <alignment horizontal="center" shrinkToFit="1"/>
      <protection locked="0"/>
    </xf>
    <xf numFmtId="0" fontId="147" fillId="13" borderId="150" xfId="0" applyFont="1" applyFill="1" applyBorder="1" applyAlignment="1">
      <alignment horizontal="center" wrapText="1" shrinkToFit="1"/>
    </xf>
    <xf numFmtId="0" fontId="147" fillId="13" borderId="146" xfId="0" applyFont="1" applyFill="1" applyBorder="1" applyAlignment="1">
      <alignment horizontal="center" wrapText="1" shrinkToFit="1"/>
    </xf>
    <xf numFmtId="0" fontId="147" fillId="13" borderId="155" xfId="0" applyFont="1" applyFill="1" applyBorder="1" applyAlignment="1">
      <alignment horizontal="center" wrapText="1" shrinkToFit="1"/>
    </xf>
    <xf numFmtId="0" fontId="147" fillId="13" borderId="151" xfId="0" applyFont="1" applyFill="1" applyBorder="1" applyAlignment="1">
      <alignment horizontal="center" wrapText="1" shrinkToFit="1"/>
    </xf>
    <xf numFmtId="167" fontId="147" fillId="0" borderId="147" xfId="0" applyNumberFormat="1" applyFont="1" applyBorder="1" applyAlignment="1" applyProtection="1">
      <alignment horizontal="center" shrinkToFit="1"/>
      <protection locked="0"/>
    </xf>
    <xf numFmtId="167" fontId="147" fillId="0" borderId="152" xfId="0" applyNumberFormat="1" applyFont="1" applyBorder="1" applyAlignment="1" applyProtection="1">
      <alignment horizontal="center" shrinkToFit="1"/>
      <protection locked="0"/>
    </xf>
    <xf numFmtId="0" fontId="7" fillId="7" borderId="33" xfId="0" applyFont="1" applyFill="1" applyBorder="1" applyAlignment="1">
      <alignment horizontal="center" wrapText="1" shrinkToFit="1"/>
    </xf>
    <xf numFmtId="0" fontId="7" fillId="7" borderId="13" xfId="0" applyFont="1" applyFill="1" applyBorder="1" applyAlignment="1">
      <alignment horizontal="center" wrapText="1" shrinkToFit="1"/>
    </xf>
    <xf numFmtId="0" fontId="7" fillId="7" borderId="30" xfId="0" applyFont="1" applyFill="1" applyBorder="1" applyAlignment="1">
      <alignment horizontal="center" wrapText="1" shrinkToFit="1"/>
    </xf>
    <xf numFmtId="0" fontId="7" fillId="7" borderId="32" xfId="0" applyFont="1" applyFill="1" applyBorder="1" applyAlignment="1">
      <alignment horizontal="center" wrapText="1" shrinkToFit="1"/>
    </xf>
    <xf numFmtId="167" fontId="6" fillId="7" borderId="76" xfId="0" applyNumberFormat="1" applyFont="1" applyFill="1" applyBorder="1" applyAlignment="1">
      <alignment horizontal="center" wrapText="1" shrinkToFit="1"/>
    </xf>
    <xf numFmtId="167" fontId="6" fillId="7" borderId="77" xfId="0" applyNumberFormat="1" applyFont="1" applyFill="1" applyBorder="1" applyAlignment="1">
      <alignment horizontal="center" wrapText="1" shrinkToFit="1"/>
    </xf>
    <xf numFmtId="167" fontId="6" fillId="7" borderId="78" xfId="0" applyNumberFormat="1" applyFont="1" applyFill="1" applyBorder="1" applyAlignment="1">
      <alignment horizontal="center" wrapText="1" shrinkToFit="1"/>
    </xf>
    <xf numFmtId="167" fontId="6" fillId="7" borderId="30" xfId="0" applyNumberFormat="1" applyFont="1" applyFill="1" applyBorder="1" applyAlignment="1">
      <alignment horizontal="center" wrapText="1" shrinkToFit="1"/>
    </xf>
    <xf numFmtId="167" fontId="6" fillId="7" borderId="31" xfId="0" applyNumberFormat="1" applyFont="1" applyFill="1" applyBorder="1" applyAlignment="1">
      <alignment horizontal="center" wrapText="1" shrinkToFit="1"/>
    </xf>
    <xf numFmtId="167" fontId="6" fillId="7" borderId="32" xfId="0" applyNumberFormat="1" applyFont="1" applyFill="1" applyBorder="1" applyAlignment="1">
      <alignment horizontal="center" wrapText="1" shrinkToFit="1"/>
    </xf>
    <xf numFmtId="183" fontId="7" fillId="7" borderId="33" xfId="0" applyNumberFormat="1" applyFont="1" applyFill="1" applyBorder="1" applyAlignment="1">
      <alignment horizontal="center" wrapText="1" shrinkToFit="1"/>
    </xf>
    <xf numFmtId="183" fontId="7" fillId="7" borderId="13" xfId="0" applyNumberFormat="1" applyFont="1" applyFill="1" applyBorder="1" applyAlignment="1">
      <alignment horizontal="center" wrapText="1" shrinkToFit="1"/>
    </xf>
    <xf numFmtId="183" fontId="7" fillId="7" borderId="30" xfId="0" applyNumberFormat="1" applyFont="1" applyFill="1" applyBorder="1" applyAlignment="1">
      <alignment horizontal="center" wrapText="1" shrinkToFit="1"/>
    </xf>
    <xf numFmtId="183" fontId="7" fillId="7" borderId="32" xfId="0" applyNumberFormat="1" applyFont="1" applyFill="1" applyBorder="1" applyAlignment="1">
      <alignment horizontal="center" wrapText="1" shrinkToFit="1"/>
    </xf>
    <xf numFmtId="0" fontId="7" fillId="0" borderId="33" xfId="0" applyFont="1" applyBorder="1" applyAlignment="1" applyProtection="1">
      <alignment horizontal="center" shrinkToFit="1"/>
      <protection locked="0" hidden="1"/>
    </xf>
    <xf numFmtId="0" fontId="7" fillId="0" borderId="13" xfId="0" applyFont="1" applyBorder="1" applyAlignment="1" applyProtection="1">
      <alignment horizontal="center" shrinkToFit="1"/>
      <protection locked="0" hidden="1"/>
    </xf>
    <xf numFmtId="0" fontId="7" fillId="0" borderId="30" xfId="0" applyFont="1" applyBorder="1" applyAlignment="1" applyProtection="1">
      <alignment horizontal="center" shrinkToFit="1"/>
      <protection locked="0" hidden="1"/>
    </xf>
    <xf numFmtId="0" fontId="7" fillId="0" borderId="32" xfId="0" applyFont="1" applyBorder="1" applyAlignment="1" applyProtection="1">
      <alignment horizontal="center" shrinkToFit="1"/>
      <protection locked="0" hidden="1"/>
    </xf>
    <xf numFmtId="2" fontId="7" fillId="7" borderId="33" xfId="0" applyNumberFormat="1" applyFont="1" applyFill="1" applyBorder="1" applyAlignment="1">
      <alignment horizontal="center" wrapText="1" shrinkToFit="1"/>
    </xf>
    <xf numFmtId="2" fontId="7" fillId="7" borderId="13" xfId="0" applyNumberFormat="1" applyFont="1" applyFill="1" applyBorder="1" applyAlignment="1">
      <alignment horizontal="center" wrapText="1" shrinkToFit="1"/>
    </xf>
    <xf numFmtId="2" fontId="7" fillId="7" borderId="30" xfId="0" applyNumberFormat="1" applyFont="1" applyFill="1" applyBorder="1" applyAlignment="1">
      <alignment horizontal="center" wrapText="1" shrinkToFit="1"/>
    </xf>
    <xf numFmtId="2" fontId="7" fillId="7" borderId="32" xfId="0" applyNumberFormat="1" applyFont="1" applyFill="1" applyBorder="1" applyAlignment="1">
      <alignment horizontal="center" wrapText="1" shrinkToFit="1"/>
    </xf>
    <xf numFmtId="170" fontId="6" fillId="7" borderId="78" xfId="0" applyNumberFormat="1" applyFont="1" applyFill="1" applyBorder="1" applyAlignment="1">
      <alignment horizontal="center" shrinkToFit="1"/>
    </xf>
    <xf numFmtId="0" fontId="147" fillId="0" borderId="0" xfId="0" applyFont="1" applyAlignment="1">
      <alignment horizontal="center" wrapText="1"/>
    </xf>
    <xf numFmtId="0" fontId="147" fillId="0" borderId="10" xfId="0" applyFont="1" applyBorder="1" applyAlignment="1">
      <alignment horizontal="center" wrapText="1"/>
    </xf>
    <xf numFmtId="0" fontId="152" fillId="0" borderId="10" xfId="0" applyFont="1" applyBorder="1" applyAlignment="1">
      <alignment horizontal="center" shrinkToFit="1"/>
    </xf>
    <xf numFmtId="0" fontId="152" fillId="0" borderId="10" xfId="0" applyFont="1" applyBorder="1" applyAlignment="1">
      <alignment horizontal="center"/>
    </xf>
    <xf numFmtId="2" fontId="7" fillId="0" borderId="101" xfId="0" applyNumberFormat="1" applyFont="1" applyBorder="1" applyAlignment="1">
      <alignment horizontal="center" shrinkToFit="1"/>
    </xf>
    <xf numFmtId="2" fontId="7" fillId="0" borderId="12" xfId="0" applyNumberFormat="1" applyFont="1" applyBorder="1" applyAlignment="1">
      <alignment horizontal="center" shrinkToFit="1"/>
    </xf>
    <xf numFmtId="0" fontId="9" fillId="0" borderId="10" xfId="0" applyFont="1" applyBorder="1" applyAlignment="1">
      <alignment horizontal="center" wrapText="1"/>
    </xf>
    <xf numFmtId="170" fontId="6" fillId="7" borderId="104" xfId="0" applyNumberFormat="1" applyFont="1" applyFill="1" applyBorder="1" applyAlignment="1">
      <alignment horizontal="center" shrinkToFit="1"/>
    </xf>
    <xf numFmtId="170" fontId="6" fillId="7" borderId="9" xfId="0" applyNumberFormat="1" applyFont="1" applyFill="1" applyBorder="1" applyAlignment="1">
      <alignment horizontal="center" shrinkToFit="1"/>
    </xf>
    <xf numFmtId="170" fontId="6" fillId="7" borderId="136" xfId="0" applyNumberFormat="1" applyFont="1" applyFill="1" applyBorder="1" applyAlignment="1">
      <alignment horizontal="center" shrinkToFit="1"/>
    </xf>
    <xf numFmtId="1" fontId="7" fillId="0" borderId="101" xfId="0" applyNumberFormat="1" applyFont="1" applyBorder="1" applyAlignment="1">
      <alignment horizontal="center" shrinkToFit="1"/>
    </xf>
    <xf numFmtId="1" fontId="7" fillId="0" borderId="12" xfId="0" applyNumberFormat="1" applyFont="1" applyBorder="1" applyAlignment="1">
      <alignment horizontal="center" shrinkToFit="1"/>
    </xf>
    <xf numFmtId="0" fontId="18" fillId="0" borderId="0" xfId="0" applyFont="1" applyAlignment="1">
      <alignment horizontal="center"/>
    </xf>
    <xf numFmtId="0" fontId="149" fillId="0" borderId="10" xfId="0" applyFont="1" applyBorder="1" applyAlignment="1">
      <alignment horizontal="center" wrapText="1"/>
    </xf>
    <xf numFmtId="167" fontId="17" fillId="7" borderId="77" xfId="0" applyNumberFormat="1" applyFont="1" applyFill="1" applyBorder="1" applyAlignment="1">
      <alignment horizontal="center" wrapText="1" shrinkToFit="1"/>
    </xf>
    <xf numFmtId="167" fontId="17" fillId="7" borderId="31" xfId="0" applyNumberFormat="1" applyFont="1" applyFill="1" applyBorder="1" applyAlignment="1">
      <alignment horizontal="center" wrapText="1" shrinkToFit="1"/>
    </xf>
    <xf numFmtId="1" fontId="7" fillId="0" borderId="34" xfId="0" applyNumberFormat="1" applyFont="1" applyBorder="1" applyAlignment="1">
      <alignment horizontal="center" shrinkToFit="1"/>
    </xf>
    <xf numFmtId="0" fontId="7" fillId="7" borderId="76" xfId="0" applyFont="1" applyFill="1" applyBorder="1" applyAlignment="1">
      <alignment horizontal="center" wrapText="1" shrinkToFit="1"/>
    </xf>
    <xf numFmtId="0" fontId="7" fillId="7" borderId="78" xfId="0" applyFont="1" applyFill="1" applyBorder="1" applyAlignment="1">
      <alignment horizontal="center" wrapText="1" shrinkToFit="1"/>
    </xf>
    <xf numFmtId="167" fontId="155" fillId="7" borderId="76" xfId="0" applyNumberFormat="1" applyFont="1" applyFill="1" applyBorder="1" applyAlignment="1">
      <alignment horizontal="center" shrinkToFit="1"/>
    </xf>
    <xf numFmtId="167" fontId="155" fillId="7" borderId="77" xfId="0" applyNumberFormat="1" applyFont="1" applyFill="1" applyBorder="1" applyAlignment="1">
      <alignment horizontal="center" shrinkToFit="1"/>
    </xf>
    <xf numFmtId="167" fontId="7" fillId="7" borderId="31" xfId="0" applyNumberFormat="1" applyFont="1" applyFill="1" applyBorder="1" applyAlignment="1">
      <alignment horizontal="center" shrinkToFit="1"/>
    </xf>
    <xf numFmtId="167" fontId="7" fillId="7" borderId="30" xfId="0" applyNumberFormat="1" applyFont="1" applyFill="1" applyBorder="1" applyAlignment="1">
      <alignment horizontal="center" shrinkToFit="1"/>
    </xf>
    <xf numFmtId="0" fontId="7" fillId="7" borderId="31" xfId="0" applyFont="1" applyFill="1" applyBorder="1" applyAlignment="1">
      <alignment horizontal="center" shrinkToFit="1"/>
    </xf>
    <xf numFmtId="0" fontId="7" fillId="0" borderId="101" xfId="0" applyFont="1" applyBorder="1" applyAlignment="1">
      <alignment horizontal="center" shrinkToFit="1"/>
    </xf>
    <xf numFmtId="169" fontId="7" fillId="0" borderId="101" xfId="0" applyNumberFormat="1" applyFont="1" applyBorder="1" applyAlignment="1">
      <alignment horizontal="center" shrinkToFit="1"/>
    </xf>
    <xf numFmtId="169" fontId="7" fillId="0" borderId="12" xfId="0" applyNumberFormat="1" applyFont="1" applyBorder="1" applyAlignment="1">
      <alignment horizontal="center" shrinkToFit="1"/>
    </xf>
    <xf numFmtId="177" fontId="101" fillId="60" borderId="130" xfId="0" applyNumberFormat="1" applyFont="1" applyFill="1" applyBorder="1" applyAlignment="1">
      <alignment horizontal="center" vertical="center"/>
    </xf>
    <xf numFmtId="177" fontId="6" fillId="7" borderId="76" xfId="0" applyNumberFormat="1" applyFont="1" applyFill="1" applyBorder="1" applyAlignment="1">
      <alignment horizontal="center" shrinkToFit="1"/>
    </xf>
    <xf numFmtId="177" fontId="6" fillId="7" borderId="77" xfId="0" applyNumberFormat="1" applyFont="1" applyFill="1" applyBorder="1" applyAlignment="1">
      <alignment horizontal="center" shrinkToFit="1"/>
    </xf>
    <xf numFmtId="177" fontId="6" fillId="7" borderId="78" xfId="0" applyNumberFormat="1" applyFont="1" applyFill="1" applyBorder="1" applyAlignment="1">
      <alignment horizontal="center" shrinkToFit="1"/>
    </xf>
    <xf numFmtId="177" fontId="6" fillId="7" borderId="30" xfId="0" applyNumberFormat="1" applyFont="1" applyFill="1" applyBorder="1" applyAlignment="1">
      <alignment horizontal="center" shrinkToFit="1"/>
    </xf>
    <xf numFmtId="177" fontId="6" fillId="7" borderId="31" xfId="0" applyNumberFormat="1" applyFont="1" applyFill="1" applyBorder="1" applyAlignment="1">
      <alignment horizontal="center" shrinkToFit="1"/>
    </xf>
    <xf numFmtId="177" fontId="6" fillId="7" borderId="32" xfId="0" applyNumberFormat="1" applyFont="1" applyFill="1" applyBorder="1" applyAlignment="1">
      <alignment horizontal="center" shrinkToFit="1"/>
    </xf>
    <xf numFmtId="0" fontId="9" fillId="7" borderId="33" xfId="0" applyFont="1" applyFill="1" applyBorder="1" applyAlignment="1">
      <alignment horizontal="center" wrapText="1" shrinkToFit="1"/>
    </xf>
    <xf numFmtId="0" fontId="9" fillId="7" borderId="13" xfId="0" applyFont="1" applyFill="1" applyBorder="1" applyAlignment="1">
      <alignment horizontal="center" wrapText="1" shrinkToFit="1"/>
    </xf>
    <xf numFmtId="0" fontId="9" fillId="7" borderId="30" xfId="0" applyFont="1" applyFill="1" applyBorder="1" applyAlignment="1">
      <alignment horizontal="center" wrapText="1" shrinkToFit="1"/>
    </xf>
    <xf numFmtId="0" fontId="9" fillId="7" borderId="32" xfId="0" applyFont="1" applyFill="1" applyBorder="1" applyAlignment="1">
      <alignment horizontal="center" wrapText="1" shrinkToFit="1"/>
    </xf>
    <xf numFmtId="167" fontId="156" fillId="6" borderId="76" xfId="0" applyNumberFormat="1" applyFont="1" applyFill="1" applyBorder="1" applyAlignment="1">
      <alignment horizontal="center" vertical="center" shrinkToFit="1"/>
    </xf>
    <xf numFmtId="167" fontId="156" fillId="6" borderId="77" xfId="0" applyNumberFormat="1" applyFont="1" applyFill="1" applyBorder="1" applyAlignment="1">
      <alignment horizontal="center" vertical="center" shrinkToFit="1"/>
    </xf>
    <xf numFmtId="167" fontId="156" fillId="6" borderId="30" xfId="0" applyNumberFormat="1" applyFont="1" applyFill="1" applyBorder="1" applyAlignment="1">
      <alignment horizontal="center" vertical="center" shrinkToFit="1"/>
    </xf>
    <xf numFmtId="167" fontId="156" fillId="6" borderId="31" xfId="0" applyNumberFormat="1" applyFont="1" applyFill="1" applyBorder="1" applyAlignment="1">
      <alignment horizontal="center" vertical="center" shrinkToFit="1"/>
    </xf>
    <xf numFmtId="0" fontId="20" fillId="6" borderId="0" xfId="0" applyFont="1" applyFill="1" applyAlignment="1">
      <alignment horizontal="center" vertical="center" wrapText="1"/>
    </xf>
    <xf numFmtId="2" fontId="7" fillId="0" borderId="34" xfId="0" applyNumberFormat="1" applyFont="1" applyBorder="1" applyAlignment="1">
      <alignment horizontal="center" shrinkToFit="1"/>
    </xf>
    <xf numFmtId="0" fontId="149" fillId="0" borderId="0" xfId="0" applyFont="1" applyAlignment="1">
      <alignment horizontal="center"/>
    </xf>
    <xf numFmtId="0" fontId="18" fillId="0" borderId="10" xfId="0" applyFont="1" applyBorder="1" applyAlignment="1">
      <alignment horizontal="center"/>
    </xf>
    <xf numFmtId="0" fontId="147" fillId="13" borderId="171" xfId="0" applyFont="1" applyFill="1" applyBorder="1" applyAlignment="1">
      <alignment horizontal="center" wrapText="1" shrinkToFit="1"/>
    </xf>
    <xf numFmtId="0" fontId="147" fillId="13" borderId="156" xfId="0" applyFont="1" applyFill="1" applyBorder="1" applyAlignment="1">
      <alignment horizontal="center" wrapText="1" shrinkToFit="1"/>
    </xf>
    <xf numFmtId="0" fontId="147" fillId="13" borderId="172" xfId="0" applyFont="1" applyFill="1" applyBorder="1" applyAlignment="1">
      <alignment horizontal="center" wrapText="1" shrinkToFit="1"/>
    </xf>
    <xf numFmtId="0" fontId="147" fillId="13" borderId="173" xfId="0" applyFont="1" applyFill="1" applyBorder="1" applyAlignment="1">
      <alignment horizontal="center" wrapText="1" shrinkToFit="1"/>
    </xf>
    <xf numFmtId="170" fontId="6" fillId="7" borderId="33" xfId="0" applyNumberFormat="1" applyFont="1" applyFill="1" applyBorder="1" applyAlignment="1">
      <alignment horizontal="center" wrapText="1" shrinkToFit="1"/>
    </xf>
    <xf numFmtId="170" fontId="6" fillId="7" borderId="0" xfId="0" applyNumberFormat="1" applyFont="1" applyFill="1" applyAlignment="1">
      <alignment horizontal="center" wrapText="1" shrinkToFit="1"/>
    </xf>
    <xf numFmtId="170" fontId="6" fillId="7" borderId="13" xfId="0" applyNumberFormat="1" applyFont="1" applyFill="1" applyBorder="1" applyAlignment="1">
      <alignment horizontal="center" wrapText="1" shrinkToFit="1"/>
    </xf>
    <xf numFmtId="167" fontId="6" fillId="7" borderId="169" xfId="0" applyNumberFormat="1" applyFont="1" applyFill="1" applyBorder="1" applyAlignment="1">
      <alignment horizontal="center" shrinkToFit="1"/>
    </xf>
    <xf numFmtId="167" fontId="6" fillId="7" borderId="170" xfId="0" applyNumberFormat="1" applyFont="1" applyFill="1" applyBorder="1" applyAlignment="1">
      <alignment horizontal="center" shrinkToFit="1"/>
    </xf>
    <xf numFmtId="0" fontId="148" fillId="7" borderId="76" xfId="0" applyFont="1" applyFill="1" applyBorder="1" applyAlignment="1">
      <alignment horizontal="center" wrapText="1"/>
    </xf>
    <xf numFmtId="0" fontId="148" fillId="7" borderId="77" xfId="0" applyFont="1" applyFill="1" applyBorder="1" applyAlignment="1">
      <alignment horizontal="center" wrapText="1"/>
    </xf>
    <xf numFmtId="0" fontId="148" fillId="7" borderId="78" xfId="0" applyFont="1" applyFill="1" applyBorder="1" applyAlignment="1">
      <alignment horizontal="center" wrapText="1"/>
    </xf>
    <xf numFmtId="0" fontId="148" fillId="7" borderId="30" xfId="0" applyFont="1" applyFill="1" applyBorder="1" applyAlignment="1">
      <alignment horizontal="center" wrapText="1"/>
    </xf>
    <xf numFmtId="0" fontId="148" fillId="7" borderId="31" xfId="0" applyFont="1" applyFill="1" applyBorder="1" applyAlignment="1">
      <alignment horizontal="center" wrapText="1"/>
    </xf>
    <xf numFmtId="0" fontId="148" fillId="7" borderId="32" xfId="0" applyFont="1" applyFill="1" applyBorder="1" applyAlignment="1">
      <alignment horizontal="center" wrapText="1"/>
    </xf>
    <xf numFmtId="0" fontId="167" fillId="7" borderId="76" xfId="0" applyFont="1" applyFill="1" applyBorder="1" applyAlignment="1">
      <alignment horizontal="center" wrapText="1"/>
    </xf>
    <xf numFmtId="0" fontId="167" fillId="7" borderId="77" xfId="0" applyFont="1" applyFill="1" applyBorder="1" applyAlignment="1">
      <alignment horizontal="center" wrapText="1"/>
    </xf>
    <xf numFmtId="0" fontId="167" fillId="7" borderId="78" xfId="0" applyFont="1" applyFill="1" applyBorder="1" applyAlignment="1">
      <alignment horizontal="center" wrapText="1"/>
    </xf>
    <xf numFmtId="0" fontId="167" fillId="7" borderId="30" xfId="0" applyFont="1" applyFill="1" applyBorder="1" applyAlignment="1">
      <alignment horizontal="center" wrapText="1"/>
    </xf>
    <xf numFmtId="0" fontId="167" fillId="7" borderId="31" xfId="0" applyFont="1" applyFill="1" applyBorder="1" applyAlignment="1">
      <alignment horizontal="center" wrapText="1"/>
    </xf>
    <xf numFmtId="0" fontId="167" fillId="7" borderId="32" xfId="0" applyFont="1" applyFill="1" applyBorder="1" applyAlignment="1">
      <alignment horizontal="center" wrapText="1"/>
    </xf>
    <xf numFmtId="0" fontId="148" fillId="7" borderId="33" xfId="0" applyFont="1" applyFill="1" applyBorder="1" applyAlignment="1">
      <alignment horizontal="center" wrapText="1" shrinkToFit="1"/>
    </xf>
    <xf numFmtId="0" fontId="148" fillId="7" borderId="13" xfId="0" applyFont="1" applyFill="1" applyBorder="1" applyAlignment="1">
      <alignment horizontal="center" wrapText="1" shrinkToFit="1"/>
    </xf>
    <xf numFmtId="0" fontId="148" fillId="7" borderId="30" xfId="0" applyFont="1" applyFill="1" applyBorder="1" applyAlignment="1">
      <alignment horizontal="center" wrapText="1" shrinkToFit="1"/>
    </xf>
    <xf numFmtId="0" fontId="148" fillId="7" borderId="32" xfId="0" applyFont="1" applyFill="1" applyBorder="1" applyAlignment="1">
      <alignment horizontal="center" wrapText="1" shrinkToFit="1"/>
    </xf>
    <xf numFmtId="0" fontId="6" fillId="0" borderId="33" xfId="0" applyFont="1" applyBorder="1" applyAlignment="1" applyProtection="1">
      <alignment horizontal="center" wrapText="1"/>
      <protection locked="0"/>
    </xf>
    <xf numFmtId="0" fontId="149" fillId="0" borderId="0" xfId="0" applyFont="1" applyAlignment="1">
      <alignment horizontal="center" wrapText="1" shrinkToFit="1"/>
    </xf>
    <xf numFmtId="0" fontId="149" fillId="0" borderId="10" xfId="0" applyFont="1" applyBorder="1" applyAlignment="1">
      <alignment horizontal="center" wrapText="1" shrinkToFit="1"/>
    </xf>
    <xf numFmtId="0" fontId="149" fillId="0" borderId="0" xfId="0" applyFont="1" applyAlignment="1">
      <alignment horizontal="center" wrapText="1"/>
    </xf>
    <xf numFmtId="0" fontId="18" fillId="0" borderId="135" xfId="0" applyFont="1" applyBorder="1" applyAlignment="1">
      <alignment horizontal="center" wrapText="1"/>
    </xf>
    <xf numFmtId="0" fontId="18" fillId="0" borderId="10" xfId="0" applyFont="1" applyBorder="1" applyAlignment="1">
      <alignment horizontal="center" wrapText="1"/>
    </xf>
    <xf numFmtId="0" fontId="18" fillId="0" borderId="0" xfId="0" applyFont="1" applyAlignment="1">
      <alignment horizontal="center" wrapText="1"/>
    </xf>
    <xf numFmtId="0" fontId="167" fillId="13" borderId="178" xfId="0" applyFont="1" applyFill="1" applyBorder="1" applyAlignment="1" applyProtection="1">
      <alignment horizontal="center" wrapText="1" shrinkToFit="1"/>
      <protection hidden="1"/>
    </xf>
    <xf numFmtId="0" fontId="167" fillId="13" borderId="177" xfId="0" applyFont="1" applyFill="1" applyBorder="1" applyAlignment="1" applyProtection="1">
      <alignment horizontal="center" wrapText="1" shrinkToFit="1"/>
      <protection hidden="1"/>
    </xf>
    <xf numFmtId="0" fontId="167" fillId="13" borderId="179" xfId="0" applyFont="1" applyFill="1" applyBorder="1" applyAlignment="1" applyProtection="1">
      <alignment horizontal="center" wrapText="1" shrinkToFit="1"/>
      <protection hidden="1"/>
    </xf>
    <xf numFmtId="0" fontId="167" fillId="13" borderId="174" xfId="0" applyFont="1" applyFill="1" applyBorder="1" applyAlignment="1" applyProtection="1">
      <alignment horizontal="center" wrapText="1" shrinkToFit="1"/>
      <protection hidden="1"/>
    </xf>
    <xf numFmtId="0" fontId="167" fillId="13" borderId="175" xfId="0" applyFont="1" applyFill="1" applyBorder="1" applyAlignment="1" applyProtection="1">
      <alignment horizontal="center" wrapText="1" shrinkToFit="1"/>
      <protection hidden="1"/>
    </xf>
    <xf numFmtId="0" fontId="167" fillId="13" borderId="176" xfId="0" applyFont="1" applyFill="1" applyBorder="1" applyAlignment="1" applyProtection="1">
      <alignment horizontal="center" wrapText="1" shrinkToFit="1"/>
      <protection hidden="1"/>
    </xf>
    <xf numFmtId="169" fontId="7" fillId="0" borderId="34" xfId="0" applyNumberFormat="1" applyFont="1" applyBorder="1" applyAlignment="1">
      <alignment horizontal="center" wrapText="1" shrinkToFit="1"/>
    </xf>
    <xf numFmtId="167" fontId="7" fillId="0" borderId="138" xfId="0" applyNumberFormat="1" applyFont="1" applyBorder="1" applyAlignment="1">
      <alignment horizontal="center" shrinkToFit="1"/>
    </xf>
    <xf numFmtId="0" fontId="148" fillId="7" borderId="0" xfId="0" applyFont="1" applyFill="1" applyAlignment="1">
      <alignment horizontal="center" wrapText="1" shrinkToFit="1"/>
    </xf>
    <xf numFmtId="0" fontId="148" fillId="7" borderId="31" xfId="0" applyFont="1" applyFill="1" applyBorder="1" applyAlignment="1">
      <alignment horizontal="center" wrapText="1" shrinkToFit="1"/>
    </xf>
    <xf numFmtId="169" fontId="7" fillId="0" borderId="34" xfId="0" applyNumberFormat="1" applyFont="1" applyBorder="1" applyAlignment="1">
      <alignment horizontal="center" shrinkToFit="1"/>
    </xf>
    <xf numFmtId="167" fontId="6" fillId="7" borderId="104" xfId="0" applyNumberFormat="1" applyFont="1" applyFill="1" applyBorder="1" applyAlignment="1">
      <alignment horizontal="center" wrapText="1" shrinkToFit="1"/>
    </xf>
    <xf numFmtId="167" fontId="6" fillId="7" borderId="9" xfId="0" applyNumberFormat="1" applyFont="1" applyFill="1" applyBorder="1" applyAlignment="1">
      <alignment horizontal="center" wrapText="1" shrinkToFit="1"/>
    </xf>
    <xf numFmtId="167" fontId="6" fillId="7" borderId="136" xfId="0" applyNumberFormat="1" applyFont="1" applyFill="1" applyBorder="1" applyAlignment="1">
      <alignment horizontal="center" wrapText="1" shrinkToFit="1"/>
    </xf>
    <xf numFmtId="0" fontId="167" fillId="7" borderId="33" xfId="0" applyFont="1" applyFill="1" applyBorder="1" applyAlignment="1">
      <alignment horizontal="center" wrapText="1"/>
    </xf>
    <xf numFmtId="0" fontId="167" fillId="7" borderId="0" xfId="0" applyFont="1" applyFill="1" applyAlignment="1">
      <alignment horizontal="center" wrapText="1"/>
    </xf>
    <xf numFmtId="0" fontId="167" fillId="7" borderId="13" xfId="0" applyFont="1" applyFill="1" applyBorder="1" applyAlignment="1">
      <alignment horizontal="center" wrapText="1"/>
    </xf>
    <xf numFmtId="2" fontId="7" fillId="0" borderId="101" xfId="0" applyNumberFormat="1" applyFont="1" applyBorder="1" applyAlignment="1">
      <alignment horizontal="center" wrapText="1" shrinkToFit="1"/>
    </xf>
    <xf numFmtId="2" fontId="7" fillId="0" borderId="12" xfId="0" applyNumberFormat="1" applyFont="1" applyBorder="1" applyAlignment="1">
      <alignment horizontal="center" wrapText="1" shrinkToFit="1"/>
    </xf>
    <xf numFmtId="167" fontId="7" fillId="0" borderId="78" xfId="0" applyNumberFormat="1" applyFont="1" applyBorder="1" applyAlignment="1" applyProtection="1">
      <alignment horizontal="center" shrinkToFit="1"/>
      <protection locked="0"/>
    </xf>
    <xf numFmtId="178" fontId="7" fillId="0" borderId="101" xfId="0" applyNumberFormat="1" applyFont="1" applyBorder="1" applyAlignment="1">
      <alignment horizontal="center" wrapText="1" shrinkToFit="1"/>
    </xf>
    <xf numFmtId="178" fontId="7" fillId="0" borderId="12" xfId="0" applyNumberFormat="1" applyFont="1" applyBorder="1" applyAlignment="1">
      <alignment horizontal="center" wrapText="1" shrinkToFit="1"/>
    </xf>
    <xf numFmtId="167" fontId="0" fillId="0" borderId="34" xfId="0" applyNumberFormat="1" applyBorder="1" applyAlignment="1">
      <alignment horizontal="center" shrinkToFit="1"/>
    </xf>
    <xf numFmtId="167" fontId="0" fillId="0" borderId="12" xfId="0" applyNumberFormat="1" applyBorder="1" applyAlignment="1">
      <alignment horizontal="center" shrinkToFit="1"/>
    </xf>
    <xf numFmtId="0" fontId="107" fillId="58" borderId="124" xfId="0" applyFont="1" applyFill="1" applyBorder="1" applyAlignment="1">
      <alignment horizontal="center" wrapText="1"/>
    </xf>
    <xf numFmtId="0" fontId="106" fillId="58" borderId="124" xfId="0" applyFont="1" applyFill="1" applyBorder="1" applyAlignment="1">
      <alignment horizontal="center" wrapText="1"/>
    </xf>
    <xf numFmtId="0" fontId="106" fillId="58" borderId="124" xfId="0" applyFont="1" applyFill="1" applyBorder="1" applyAlignment="1">
      <alignment horizontal="center"/>
    </xf>
    <xf numFmtId="167" fontId="6" fillId="7" borderId="104" xfId="0" applyNumberFormat="1" applyFont="1" applyFill="1" applyBorder="1" applyAlignment="1">
      <alignment horizontal="center" shrinkToFit="1"/>
    </xf>
    <xf numFmtId="167" fontId="6" fillId="7" borderId="9" xfId="0" applyNumberFormat="1" applyFont="1" applyFill="1" applyBorder="1" applyAlignment="1">
      <alignment horizontal="center" shrinkToFit="1"/>
    </xf>
    <xf numFmtId="0" fontId="7" fillId="0" borderId="34" xfId="0" applyFont="1" applyBorder="1" applyAlignment="1" applyProtection="1">
      <alignment horizontal="center" shrinkToFit="1"/>
      <protection locked="0"/>
    </xf>
    <xf numFmtId="0" fontId="7" fillId="0" borderId="12" xfId="0" applyFont="1" applyBorder="1" applyAlignment="1" applyProtection="1">
      <alignment horizontal="center" shrinkToFit="1"/>
      <protection locked="0"/>
    </xf>
    <xf numFmtId="173" fontId="7" fillId="0" borderId="76" xfId="0" applyNumberFormat="1" applyFont="1" applyBorder="1" applyAlignment="1" applyProtection="1">
      <alignment horizontal="center" shrinkToFit="1"/>
      <protection locked="0" hidden="1"/>
    </xf>
    <xf numFmtId="173" fontId="7" fillId="0" borderId="102" xfId="0" applyNumberFormat="1" applyFont="1" applyBorder="1" applyAlignment="1" applyProtection="1">
      <alignment horizontal="center" shrinkToFit="1"/>
      <protection locked="0" hidden="1"/>
    </xf>
    <xf numFmtId="173" fontId="7" fillId="0" borderId="30" xfId="0" applyNumberFormat="1" applyFont="1" applyBorder="1" applyAlignment="1" applyProtection="1">
      <alignment horizontal="center" shrinkToFit="1"/>
      <protection locked="0" hidden="1"/>
    </xf>
    <xf numFmtId="173" fontId="7" fillId="0" borderId="103" xfId="0" applyNumberFormat="1" applyFont="1" applyBorder="1" applyAlignment="1" applyProtection="1">
      <alignment horizontal="center" shrinkToFit="1"/>
      <protection locked="0" hidden="1"/>
    </xf>
    <xf numFmtId="0" fontId="7" fillId="0" borderId="65" xfId="0" applyFont="1" applyBorder="1" applyAlignment="1" applyProtection="1">
      <alignment horizontal="center" shrinkToFit="1"/>
      <protection locked="0"/>
    </xf>
    <xf numFmtId="0" fontId="7" fillId="0" borderId="66" xfId="0" applyFont="1" applyBorder="1" applyAlignment="1" applyProtection="1">
      <alignment horizontal="center" shrinkToFit="1"/>
      <protection locked="0"/>
    </xf>
    <xf numFmtId="0" fontId="7" fillId="0" borderId="63" xfId="0" applyFont="1" applyBorder="1" applyAlignment="1" applyProtection="1">
      <alignment horizontal="center" shrinkToFit="1"/>
      <protection locked="0"/>
    </xf>
    <xf numFmtId="0" fontId="7" fillId="0" borderId="64" xfId="0" applyFont="1" applyBorder="1" applyAlignment="1" applyProtection="1">
      <alignment horizontal="center" shrinkToFit="1"/>
      <protection locked="0"/>
    </xf>
    <xf numFmtId="0" fontId="7" fillId="0" borderId="34" xfId="0" applyFont="1" applyBorder="1" applyAlignment="1" applyProtection="1">
      <alignment horizontal="center" wrapText="1"/>
      <protection locked="0"/>
    </xf>
    <xf numFmtId="0" fontId="7" fillId="0" borderId="12" xfId="0" applyFont="1" applyBorder="1" applyAlignment="1" applyProtection="1">
      <alignment horizontal="center" wrapText="1"/>
      <protection locked="0"/>
    </xf>
    <xf numFmtId="173" fontId="7" fillId="0" borderId="34" xfId="0" applyNumberFormat="1" applyFont="1" applyBorder="1" applyAlignment="1" applyProtection="1">
      <alignment horizontal="center" shrinkToFit="1"/>
      <protection locked="0"/>
    </xf>
    <xf numFmtId="173" fontId="7" fillId="0" borderId="12" xfId="0" applyNumberFormat="1" applyFont="1" applyBorder="1" applyAlignment="1" applyProtection="1">
      <alignment horizontal="center" shrinkToFit="1"/>
      <protection locked="0"/>
    </xf>
    <xf numFmtId="167" fontId="7" fillId="0" borderId="34" xfId="0" applyNumberFormat="1" applyFont="1" applyBorder="1" applyAlignment="1" applyProtection="1">
      <alignment horizontal="center" shrinkToFit="1"/>
      <protection locked="0"/>
    </xf>
    <xf numFmtId="167" fontId="7" fillId="0" borderId="12" xfId="0" applyNumberFormat="1" applyFont="1" applyBorder="1" applyAlignment="1" applyProtection="1">
      <alignment horizontal="center" shrinkToFit="1"/>
      <protection locked="0"/>
    </xf>
    <xf numFmtId="167" fontId="7" fillId="0" borderId="66" xfId="0" applyNumberFormat="1" applyFont="1" applyBorder="1" applyAlignment="1" applyProtection="1">
      <alignment horizontal="center" shrinkToFit="1"/>
      <protection locked="0"/>
    </xf>
    <xf numFmtId="167" fontId="7" fillId="0" borderId="64" xfId="0" applyNumberFormat="1" applyFont="1" applyBorder="1" applyAlignment="1" applyProtection="1">
      <alignment horizontal="center" shrinkToFit="1"/>
      <protection locked="0"/>
    </xf>
    <xf numFmtId="167" fontId="6" fillId="7" borderId="34" xfId="0" applyNumberFormat="1" applyFont="1" applyFill="1" applyBorder="1" applyAlignment="1">
      <alignment horizontal="center" shrinkToFit="1"/>
    </xf>
    <xf numFmtId="167" fontId="6" fillId="7" borderId="12" xfId="0" applyNumberFormat="1" applyFont="1" applyFill="1" applyBorder="1" applyAlignment="1">
      <alignment horizontal="center" shrinkToFit="1"/>
    </xf>
    <xf numFmtId="4" fontId="7" fillId="0" borderId="34" xfId="0" applyNumberFormat="1" applyFont="1" applyBorder="1" applyAlignment="1">
      <alignment horizontal="center" wrapText="1" shrinkToFit="1"/>
    </xf>
    <xf numFmtId="4" fontId="7" fillId="0" borderId="12" xfId="0" applyNumberFormat="1" applyFont="1" applyBorder="1" applyAlignment="1">
      <alignment horizontal="center" wrapText="1" shrinkToFit="1"/>
    </xf>
    <xf numFmtId="167" fontId="6" fillId="7" borderId="34" xfId="0" applyNumberFormat="1" applyFont="1" applyFill="1" applyBorder="1" applyAlignment="1">
      <alignment horizontal="center" wrapText="1"/>
    </xf>
    <xf numFmtId="167" fontId="6" fillId="7" borderId="12" xfId="0" applyNumberFormat="1" applyFont="1" applyFill="1" applyBorder="1" applyAlignment="1">
      <alignment horizontal="center" wrapText="1"/>
    </xf>
    <xf numFmtId="171" fontId="7" fillId="0" borderId="101" xfId="0" applyNumberFormat="1" applyFont="1" applyBorder="1" applyAlignment="1">
      <alignment horizontal="center" shrinkToFit="1"/>
    </xf>
    <xf numFmtId="171" fontId="7" fillId="0" borderId="12" xfId="0" applyNumberFormat="1" applyFont="1" applyBorder="1" applyAlignment="1">
      <alignment horizontal="center" shrinkToFit="1"/>
    </xf>
    <xf numFmtId="171" fontId="7" fillId="0" borderId="34" xfId="0" applyNumberFormat="1" applyFont="1" applyBorder="1" applyAlignment="1">
      <alignment horizontal="center" shrinkToFit="1"/>
    </xf>
    <xf numFmtId="170" fontId="6" fillId="7" borderId="34" xfId="0" applyNumberFormat="1" applyFont="1" applyFill="1" applyBorder="1" applyAlignment="1">
      <alignment horizontal="center" shrinkToFit="1"/>
    </xf>
    <xf numFmtId="170" fontId="6" fillId="7" borderId="12" xfId="0" applyNumberFormat="1" applyFont="1" applyFill="1" applyBorder="1" applyAlignment="1">
      <alignment horizontal="center" shrinkToFit="1"/>
    </xf>
    <xf numFmtId="3" fontId="7" fillId="7" borderId="34" xfId="0" applyNumberFormat="1" applyFont="1" applyFill="1" applyBorder="1" applyAlignment="1">
      <alignment horizontal="center" shrinkToFit="1"/>
    </xf>
    <xf numFmtId="3" fontId="7" fillId="7" borderId="12" xfId="0" applyNumberFormat="1" applyFont="1" applyFill="1" applyBorder="1" applyAlignment="1">
      <alignment horizontal="center" shrinkToFit="1"/>
    </xf>
    <xf numFmtId="3" fontId="7" fillId="0" borderId="76" xfId="0" applyNumberFormat="1" applyFont="1" applyBorder="1" applyAlignment="1" applyProtection="1">
      <alignment horizontal="center" shrinkToFit="1"/>
      <protection locked="0"/>
    </xf>
    <xf numFmtId="3" fontId="7" fillId="0" borderId="78" xfId="0" applyNumberFormat="1" applyFont="1" applyBorder="1" applyAlignment="1" applyProtection="1">
      <alignment horizontal="center" shrinkToFit="1"/>
      <protection locked="0"/>
    </xf>
    <xf numFmtId="3" fontId="7" fillId="0" borderId="30" xfId="0" applyNumberFormat="1" applyFont="1" applyBorder="1" applyAlignment="1" applyProtection="1">
      <alignment horizontal="center" shrinkToFit="1"/>
      <protection locked="0"/>
    </xf>
    <xf numFmtId="3" fontId="7" fillId="0" borderId="32" xfId="0" applyNumberFormat="1" applyFont="1" applyBorder="1" applyAlignment="1" applyProtection="1">
      <alignment horizontal="center" shrinkToFit="1"/>
      <protection locked="0"/>
    </xf>
    <xf numFmtId="167" fontId="147" fillId="0" borderId="76" xfId="0" applyNumberFormat="1" applyFont="1" applyBorder="1" applyAlignment="1" applyProtection="1">
      <alignment horizontal="center" shrinkToFit="1"/>
      <protection locked="0"/>
    </xf>
    <xf numFmtId="167" fontId="147" fillId="0" borderId="78" xfId="0" applyNumberFormat="1" applyFont="1" applyBorder="1" applyAlignment="1" applyProtection="1">
      <alignment horizontal="center" shrinkToFit="1"/>
      <protection locked="0"/>
    </xf>
    <xf numFmtId="167" fontId="147" fillId="0" borderId="30" xfId="0" applyNumberFormat="1" applyFont="1" applyBorder="1" applyAlignment="1" applyProtection="1">
      <alignment horizontal="center" shrinkToFit="1"/>
      <protection locked="0"/>
    </xf>
    <xf numFmtId="167" fontId="147" fillId="0" borderId="32" xfId="0" applyNumberFormat="1" applyFont="1" applyBorder="1" applyAlignment="1" applyProtection="1">
      <alignment horizontal="center" shrinkToFit="1"/>
      <protection locked="0"/>
    </xf>
    <xf numFmtId="0" fontId="7" fillId="61" borderId="76" xfId="0" applyFont="1" applyFill="1" applyBorder="1" applyAlignment="1">
      <alignment horizontal="center" wrapText="1"/>
    </xf>
    <xf numFmtId="0" fontId="7" fillId="61" borderId="77" xfId="0" applyFont="1" applyFill="1" applyBorder="1" applyAlignment="1">
      <alignment horizontal="center" wrapText="1"/>
    </xf>
    <xf numFmtId="0" fontId="7" fillId="61" borderId="78" xfId="0" applyFont="1" applyFill="1" applyBorder="1" applyAlignment="1">
      <alignment horizontal="center" wrapText="1"/>
    </xf>
    <xf numFmtId="0" fontId="7" fillId="61" borderId="30" xfId="0" applyFont="1" applyFill="1" applyBorder="1" applyAlignment="1">
      <alignment horizontal="center" wrapText="1"/>
    </xf>
    <xf numFmtId="0" fontId="7" fillId="61" borderId="31" xfId="0" applyFont="1" applyFill="1" applyBorder="1" applyAlignment="1">
      <alignment horizontal="center" wrapText="1"/>
    </xf>
    <xf numFmtId="0" fontId="7" fillId="61" borderId="32" xfId="0" applyFont="1" applyFill="1" applyBorder="1" applyAlignment="1">
      <alignment horizontal="center" wrapText="1"/>
    </xf>
    <xf numFmtId="2" fontId="7" fillId="7" borderId="34" xfId="0" applyNumberFormat="1" applyFont="1" applyFill="1" applyBorder="1" applyAlignment="1">
      <alignment horizontal="center" wrapText="1"/>
    </xf>
    <xf numFmtId="2" fontId="7" fillId="7" borderId="12" xfId="0" applyNumberFormat="1" applyFont="1" applyFill="1" applyBorder="1" applyAlignment="1">
      <alignment horizontal="center" wrapText="1"/>
    </xf>
    <xf numFmtId="0" fontId="7" fillId="0" borderId="34" xfId="0" applyFont="1" applyBorder="1" applyAlignment="1">
      <alignment horizontal="center" wrapText="1" shrinkToFit="1"/>
    </xf>
    <xf numFmtId="0" fontId="7" fillId="0" borderId="12" xfId="0" applyFont="1" applyBorder="1" applyAlignment="1">
      <alignment horizontal="center" wrapText="1" shrinkToFit="1"/>
    </xf>
    <xf numFmtId="0" fontId="7" fillId="61" borderId="34" xfId="0" applyFont="1" applyFill="1" applyBorder="1" applyAlignment="1">
      <alignment horizontal="center" wrapText="1"/>
    </xf>
    <xf numFmtId="0" fontId="7" fillId="61" borderId="12" xfId="0" applyFont="1" applyFill="1" applyBorder="1" applyAlignment="1">
      <alignment horizontal="center" wrapText="1"/>
    </xf>
    <xf numFmtId="179" fontId="7" fillId="0" borderId="34" xfId="0" applyNumberFormat="1" applyFont="1" applyBorder="1" applyAlignment="1">
      <alignment horizontal="center" wrapText="1" shrinkToFit="1"/>
    </xf>
    <xf numFmtId="179" fontId="7" fillId="0" borderId="12" xfId="0" applyNumberFormat="1" applyFont="1" applyBorder="1" applyAlignment="1">
      <alignment horizontal="center" wrapText="1" shrinkToFit="1"/>
    </xf>
    <xf numFmtId="167" fontId="6" fillId="7" borderId="67" xfId="0" applyNumberFormat="1" applyFont="1" applyFill="1" applyBorder="1" applyAlignment="1">
      <alignment horizontal="center" shrinkToFit="1"/>
    </xf>
    <xf numFmtId="167" fontId="6" fillId="7" borderId="11" xfId="0" applyNumberFormat="1" applyFont="1" applyFill="1" applyBorder="1" applyAlignment="1">
      <alignment horizontal="center" shrinkToFit="1"/>
    </xf>
    <xf numFmtId="167" fontId="4" fillId="7" borderId="12" xfId="0" applyNumberFormat="1" applyFont="1" applyFill="1" applyBorder="1" applyAlignment="1">
      <alignment horizontal="center" wrapText="1"/>
    </xf>
    <xf numFmtId="167" fontId="4" fillId="7" borderId="11" xfId="0" applyNumberFormat="1" applyFont="1" applyFill="1" applyBorder="1" applyAlignment="1">
      <alignment horizontal="center" wrapText="1"/>
    </xf>
    <xf numFmtId="3" fontId="7" fillId="0" borderId="34" xfId="0" applyNumberFormat="1" applyFont="1" applyBorder="1" applyAlignment="1" applyProtection="1">
      <alignment horizontal="center" wrapText="1"/>
      <protection locked="0"/>
    </xf>
    <xf numFmtId="3" fontId="7" fillId="0" borderId="12" xfId="0" applyNumberFormat="1" applyFont="1" applyBorder="1" applyAlignment="1" applyProtection="1">
      <alignment horizontal="center" wrapText="1"/>
      <protection locked="0"/>
    </xf>
    <xf numFmtId="167" fontId="147" fillId="0" borderId="104" xfId="0" applyNumberFormat="1" applyFont="1" applyBorder="1" applyAlignment="1" applyProtection="1">
      <alignment horizontal="center" shrinkToFit="1"/>
      <protection locked="0"/>
    </xf>
    <xf numFmtId="167" fontId="147" fillId="0" borderId="136" xfId="0" applyNumberFormat="1" applyFont="1" applyBorder="1" applyAlignment="1" applyProtection="1">
      <alignment horizontal="center" shrinkToFit="1"/>
      <protection locked="0"/>
    </xf>
    <xf numFmtId="0" fontId="7" fillId="61" borderId="104" xfId="0" applyFont="1" applyFill="1" applyBorder="1" applyAlignment="1">
      <alignment horizontal="center" wrapText="1"/>
    </xf>
    <xf numFmtId="0" fontId="7" fillId="61" borderId="9" xfId="0" applyFont="1" applyFill="1" applyBorder="1" applyAlignment="1">
      <alignment horizontal="center" wrapText="1"/>
    </xf>
    <xf numFmtId="0" fontId="7" fillId="61" borderId="136" xfId="0" applyFont="1" applyFill="1" applyBorder="1" applyAlignment="1">
      <alignment horizontal="center" wrapText="1"/>
    </xf>
    <xf numFmtId="0" fontId="7" fillId="0" borderId="135" xfId="0" applyFont="1" applyBorder="1" applyAlignment="1">
      <alignment horizontal="center" wrapText="1"/>
    </xf>
    <xf numFmtId="0" fontId="7" fillId="0" borderId="1" xfId="0" applyFont="1" applyBorder="1" applyAlignment="1">
      <alignment horizontal="center"/>
    </xf>
    <xf numFmtId="170" fontId="6" fillId="7" borderId="11" xfId="0" applyNumberFormat="1" applyFont="1" applyFill="1" applyBorder="1" applyAlignment="1">
      <alignment horizontal="center" shrinkToFit="1"/>
    </xf>
    <xf numFmtId="0" fontId="17" fillId="0" borderId="0" xfId="0" applyFont="1" applyAlignment="1">
      <alignment horizontal="center" wrapText="1"/>
    </xf>
    <xf numFmtId="0" fontId="17" fillId="0" borderId="10" xfId="0" applyFont="1" applyBorder="1" applyAlignment="1">
      <alignment horizontal="center" wrapText="1"/>
    </xf>
    <xf numFmtId="171" fontId="7" fillId="0" borderId="34" xfId="0" applyNumberFormat="1" applyFont="1" applyBorder="1" applyAlignment="1">
      <alignment horizontal="center" wrapText="1" shrinkToFit="1"/>
    </xf>
    <xf numFmtId="171" fontId="7" fillId="0" borderId="12" xfId="0" applyNumberFormat="1" applyFont="1" applyBorder="1" applyAlignment="1">
      <alignment horizontal="center" wrapText="1" shrinkToFit="1"/>
    </xf>
    <xf numFmtId="0" fontId="7" fillId="0" borderId="1" xfId="0" applyFont="1" applyBorder="1" applyProtection="1">
      <protection locked="0"/>
    </xf>
    <xf numFmtId="1" fontId="7" fillId="0" borderId="50" xfId="0" applyNumberFormat="1" applyFont="1" applyBorder="1" applyProtection="1">
      <protection locked="0"/>
    </xf>
    <xf numFmtId="1" fontId="7" fillId="0" borderId="2" xfId="0" applyNumberFormat="1" applyFont="1" applyBorder="1" applyProtection="1">
      <protection locked="0"/>
    </xf>
    <xf numFmtId="0" fontId="7" fillId="0" borderId="8" xfId="0" applyFont="1" applyBorder="1" applyProtection="1">
      <protection locked="0"/>
    </xf>
    <xf numFmtId="0" fontId="18" fillId="54" borderId="0" xfId="0" applyFont="1" applyFill="1"/>
    <xf numFmtId="0" fontId="7" fillId="0" borderId="1" xfId="0" applyFont="1" applyBorder="1" applyAlignment="1" applyProtection="1">
      <alignment horizontal="center"/>
      <protection locked="0"/>
    </xf>
    <xf numFmtId="1" fontId="7" fillId="0" borderId="50" xfId="0" applyNumberFormat="1" applyFont="1" applyBorder="1" applyAlignment="1" applyProtection="1">
      <alignment vertical="top"/>
      <protection locked="0"/>
    </xf>
    <xf numFmtId="1" fontId="7" fillId="0" borderId="2" xfId="0" applyNumberFormat="1" applyFont="1" applyBorder="1" applyAlignment="1" applyProtection="1">
      <alignment vertical="top"/>
      <protection locked="0"/>
    </xf>
    <xf numFmtId="0" fontId="7" fillId="0" borderId="50" xfId="0" applyFont="1" applyBorder="1" applyProtection="1">
      <protection locked="0"/>
    </xf>
    <xf numFmtId="0" fontId="7" fillId="0" borderId="2" xfId="0" applyFont="1" applyBorder="1" applyProtection="1">
      <protection locked="0"/>
    </xf>
    <xf numFmtId="0" fontId="50" fillId="0" borderId="0" xfId="0" applyFont="1" applyAlignment="1" applyProtection="1">
      <alignment horizontal="center" vertical="center"/>
      <protection hidden="1"/>
    </xf>
    <xf numFmtId="0" fontId="41" fillId="0" borderId="0" xfId="0" applyFont="1" applyAlignment="1" applyProtection="1">
      <alignment horizontal="center" vertical="center"/>
      <protection hidden="1"/>
    </xf>
    <xf numFmtId="0" fontId="6" fillId="0" borderId="0" xfId="0" applyFont="1" applyAlignment="1" applyProtection="1">
      <alignment horizontal="center" vertical="center" wrapText="1"/>
      <protection hidden="1"/>
    </xf>
    <xf numFmtId="3" fontId="7" fillId="0" borderId="34" xfId="0" applyNumberFormat="1" applyFont="1" applyBorder="1" applyAlignment="1" applyProtection="1">
      <alignment horizontal="center" shrinkToFit="1"/>
      <protection locked="0" hidden="1"/>
    </xf>
    <xf numFmtId="3" fontId="7" fillId="0" borderId="12" xfId="0" applyNumberFormat="1" applyFont="1" applyBorder="1" applyAlignment="1" applyProtection="1">
      <alignment horizontal="center" shrinkToFit="1"/>
      <protection locked="0" hidden="1"/>
    </xf>
    <xf numFmtId="167" fontId="7" fillId="0" borderId="102" xfId="0" applyNumberFormat="1" applyFont="1" applyBorder="1" applyAlignment="1" applyProtection="1">
      <alignment horizontal="center" shrinkToFit="1"/>
      <protection locked="0" hidden="1"/>
    </xf>
    <xf numFmtId="167" fontId="7" fillId="0" borderId="103" xfId="0" applyNumberFormat="1" applyFont="1" applyBorder="1" applyAlignment="1" applyProtection="1">
      <alignment horizontal="center" shrinkToFit="1"/>
      <protection locked="0" hidden="1"/>
    </xf>
    <xf numFmtId="0" fontId="7" fillId="0" borderId="34" xfId="0" applyFont="1" applyBorder="1" applyAlignment="1" applyProtection="1">
      <alignment horizontal="center" shrinkToFit="1"/>
      <protection locked="0" hidden="1"/>
    </xf>
    <xf numFmtId="0" fontId="7" fillId="0" borderId="12" xfId="0" applyFont="1" applyBorder="1" applyAlignment="1" applyProtection="1">
      <alignment horizontal="center" shrinkToFit="1"/>
      <protection locked="0" hidden="1"/>
    </xf>
    <xf numFmtId="0" fontId="7" fillId="0" borderId="82" xfId="0" applyFont="1" applyBorder="1" applyAlignment="1" applyProtection="1">
      <alignment horizontal="center" wrapText="1"/>
      <protection locked="0" hidden="1"/>
    </xf>
    <xf numFmtId="0" fontId="7" fillId="0" borderId="77" xfId="0" applyFont="1" applyBorder="1" applyAlignment="1" applyProtection="1">
      <alignment horizontal="center" wrapText="1"/>
      <protection locked="0" hidden="1"/>
    </xf>
    <xf numFmtId="0" fontId="7" fillId="0" borderId="78" xfId="0" applyFont="1" applyBorder="1" applyAlignment="1" applyProtection="1">
      <alignment horizontal="center" wrapText="1"/>
      <protection locked="0" hidden="1"/>
    </xf>
    <xf numFmtId="0" fontId="7" fillId="0" borderId="35" xfId="0" applyFont="1" applyBorder="1" applyAlignment="1" applyProtection="1">
      <alignment horizontal="center" wrapText="1"/>
      <protection locked="0" hidden="1"/>
    </xf>
    <xf numFmtId="0" fontId="7" fillId="0" borderId="31" xfId="0" applyFont="1" applyBorder="1" applyAlignment="1" applyProtection="1">
      <alignment horizontal="center" wrapText="1"/>
      <protection locked="0" hidden="1"/>
    </xf>
    <xf numFmtId="0" fontId="7" fillId="0" borderId="32" xfId="0" applyFont="1" applyBorder="1" applyAlignment="1" applyProtection="1">
      <alignment horizontal="center" wrapText="1"/>
      <protection locked="0" hidden="1"/>
    </xf>
    <xf numFmtId="3" fontId="7" fillId="0" borderId="76" xfId="0" applyNumberFormat="1" applyFont="1" applyBorder="1" applyAlignment="1" applyProtection="1">
      <alignment horizontal="center" shrinkToFit="1"/>
      <protection locked="0" hidden="1"/>
    </xf>
    <xf numFmtId="3" fontId="7" fillId="0" borderId="80" xfId="0" applyNumberFormat="1" applyFont="1" applyBorder="1" applyAlignment="1" applyProtection="1">
      <alignment horizontal="center" shrinkToFit="1"/>
      <protection locked="0" hidden="1"/>
    </xf>
    <xf numFmtId="3" fontId="7" fillId="0" borderId="30" xfId="0" applyNumberFormat="1" applyFont="1" applyBorder="1" applyAlignment="1" applyProtection="1">
      <alignment horizontal="center" shrinkToFit="1"/>
      <protection locked="0" hidden="1"/>
    </xf>
    <xf numFmtId="3" fontId="7" fillId="0" borderId="81" xfId="0" applyNumberFormat="1" applyFont="1" applyBorder="1" applyAlignment="1" applyProtection="1">
      <alignment horizontal="center" shrinkToFit="1"/>
      <protection locked="0" hidden="1"/>
    </xf>
    <xf numFmtId="0" fontId="7" fillId="0" borderId="82" xfId="0" applyFont="1" applyBorder="1" applyAlignment="1" applyProtection="1">
      <alignment horizontal="center" wrapText="1"/>
      <protection locked="0"/>
    </xf>
    <xf numFmtId="3" fontId="7" fillId="0" borderId="34" xfId="0" applyNumberFormat="1" applyFont="1" applyBorder="1" applyAlignment="1" applyProtection="1">
      <alignment horizontal="center" shrinkToFit="1"/>
      <protection locked="0"/>
    </xf>
    <xf numFmtId="3" fontId="7" fillId="0" borderId="12" xfId="0" applyNumberFormat="1" applyFont="1" applyBorder="1" applyAlignment="1" applyProtection="1">
      <alignment horizontal="center" shrinkToFit="1"/>
      <protection locked="0"/>
    </xf>
    <xf numFmtId="4" fontId="7" fillId="0" borderId="101" xfId="0" applyNumberFormat="1" applyFont="1" applyBorder="1" applyAlignment="1">
      <alignment horizontal="center" wrapText="1" shrinkToFit="1"/>
    </xf>
    <xf numFmtId="0" fontId="7" fillId="0" borderId="76" xfId="0" applyFont="1" applyBorder="1" applyAlignment="1" applyProtection="1">
      <alignment horizontal="center" wrapText="1"/>
      <protection locked="0" hidden="1"/>
    </xf>
    <xf numFmtId="0" fontId="7" fillId="0" borderId="30" xfId="0" applyFont="1" applyBorder="1" applyAlignment="1" applyProtection="1">
      <alignment horizontal="center" wrapText="1"/>
      <protection locked="0" hidden="1"/>
    </xf>
    <xf numFmtId="1" fontId="7" fillId="0" borderId="101" xfId="7" applyNumberFormat="1" applyFont="1" applyBorder="1" applyAlignment="1" applyProtection="1">
      <alignment horizontal="center" wrapText="1" shrinkToFit="1"/>
    </xf>
    <xf numFmtId="1" fontId="7" fillId="0" borderId="12" xfId="7" applyNumberFormat="1" applyFont="1" applyBorder="1" applyAlignment="1" applyProtection="1">
      <alignment horizontal="center" wrapText="1" shrinkToFit="1"/>
    </xf>
    <xf numFmtId="171" fontId="7" fillId="0" borderId="101" xfId="0" applyNumberFormat="1" applyFont="1" applyBorder="1" applyAlignment="1" applyProtection="1">
      <alignment horizontal="center" shrinkToFit="1"/>
      <protection locked="0"/>
    </xf>
    <xf numFmtId="171" fontId="7" fillId="0" borderId="12" xfId="0" applyNumberFormat="1" applyFont="1" applyBorder="1" applyAlignment="1" applyProtection="1">
      <alignment horizontal="center" shrinkToFit="1"/>
      <protection locked="0"/>
    </xf>
    <xf numFmtId="178" fontId="7" fillId="0" borderId="34" xfId="0" applyNumberFormat="1" applyFont="1" applyBorder="1" applyAlignment="1">
      <alignment horizontal="center" wrapText="1" shrinkToFit="1"/>
    </xf>
    <xf numFmtId="171" fontId="7" fillId="0" borderId="138" xfId="0" applyNumberFormat="1" applyFont="1" applyBorder="1" applyAlignment="1" applyProtection="1">
      <alignment horizontal="center" shrinkToFit="1"/>
      <protection locked="0"/>
    </xf>
    <xf numFmtId="0" fontId="7" fillId="0" borderId="0" xfId="0" applyFont="1" applyAlignment="1">
      <alignment horizontal="center" vertical="center" wrapText="1"/>
    </xf>
    <xf numFmtId="1" fontId="7" fillId="0" borderId="34" xfId="7" applyNumberFormat="1" applyFont="1" applyBorder="1" applyAlignment="1" applyProtection="1">
      <alignment horizontal="center" wrapText="1" shrinkToFit="1"/>
    </xf>
    <xf numFmtId="164" fontId="38" fillId="6" borderId="0" xfId="0" applyNumberFormat="1" applyFont="1" applyFill="1" applyAlignment="1">
      <alignment horizontal="center" vertical="center"/>
    </xf>
    <xf numFmtId="0" fontId="20" fillId="0" borderId="0" xfId="0" applyFont="1" applyAlignment="1">
      <alignment horizontal="left" vertical="center" wrapText="1"/>
    </xf>
    <xf numFmtId="167" fontId="7" fillId="0" borderId="34" xfId="0" applyNumberFormat="1" applyFont="1" applyBorder="1" applyAlignment="1" applyProtection="1">
      <alignment horizontal="center" shrinkToFit="1"/>
      <protection locked="0" hidden="1"/>
    </xf>
    <xf numFmtId="167" fontId="7" fillId="0" borderId="66" xfId="0" applyNumberFormat="1" applyFont="1" applyBorder="1" applyAlignment="1" applyProtection="1">
      <alignment horizontal="center" shrinkToFit="1"/>
      <protection locked="0" hidden="1"/>
    </xf>
    <xf numFmtId="167" fontId="7" fillId="0" borderId="12" xfId="0" applyNumberFormat="1" applyFont="1" applyBorder="1" applyAlignment="1" applyProtection="1">
      <alignment horizontal="center" shrinkToFit="1"/>
      <protection locked="0" hidden="1"/>
    </xf>
    <xf numFmtId="167" fontId="7" fillId="0" borderId="64" xfId="0" applyNumberFormat="1" applyFont="1" applyBorder="1" applyAlignment="1" applyProtection="1">
      <alignment horizontal="center" shrinkToFit="1"/>
      <protection locked="0" hidden="1"/>
    </xf>
    <xf numFmtId="3" fontId="7" fillId="0" borderId="80" xfId="0" applyNumberFormat="1" applyFont="1" applyBorder="1" applyAlignment="1" applyProtection="1">
      <alignment horizontal="center" shrinkToFit="1"/>
      <protection locked="0"/>
    </xf>
    <xf numFmtId="3" fontId="7" fillId="0" borderId="81" xfId="0" applyNumberFormat="1" applyFont="1" applyBorder="1" applyAlignment="1" applyProtection="1">
      <alignment horizontal="center" shrinkToFit="1"/>
      <protection locked="0"/>
    </xf>
    <xf numFmtId="176" fontId="7" fillId="0" borderId="34" xfId="7" applyNumberFormat="1" applyFont="1" applyBorder="1" applyAlignment="1" applyProtection="1">
      <alignment horizontal="center" wrapText="1" shrinkToFit="1"/>
    </xf>
    <xf numFmtId="176" fontId="7" fillId="0" borderId="12" xfId="7" applyNumberFormat="1" applyFont="1" applyBorder="1" applyAlignment="1" applyProtection="1">
      <alignment horizontal="center" wrapText="1" shrinkToFit="1"/>
    </xf>
    <xf numFmtId="0" fontId="163" fillId="72" borderId="0" xfId="0" applyFont="1" applyFill="1" applyAlignment="1">
      <alignment horizontal="center"/>
    </xf>
    <xf numFmtId="167" fontId="164" fillId="72" borderId="0" xfId="0" applyNumberFormat="1" applyFont="1" applyFill="1" applyAlignment="1">
      <alignment horizontal="center" vertical="center"/>
    </xf>
    <xf numFmtId="4" fontId="7" fillId="0" borderId="105" xfId="0" applyNumberFormat="1" applyFont="1" applyBorder="1" applyAlignment="1">
      <alignment horizontal="center" wrapText="1" shrinkToFit="1"/>
    </xf>
    <xf numFmtId="0" fontId="17" fillId="0" borderId="34" xfId="0" applyFont="1" applyBorder="1" applyAlignment="1" applyProtection="1">
      <alignment horizontal="center" wrapText="1"/>
      <protection locked="0"/>
    </xf>
    <xf numFmtId="0" fontId="17" fillId="0" borderId="12" xfId="0" applyFont="1" applyBorder="1" applyAlignment="1" applyProtection="1">
      <alignment horizontal="center" wrapText="1"/>
      <protection locked="0"/>
    </xf>
    <xf numFmtId="0" fontId="7" fillId="0" borderId="104" xfId="0" applyFont="1" applyBorder="1" applyAlignment="1" applyProtection="1">
      <alignment horizontal="center" shrinkToFit="1"/>
      <protection locked="0"/>
    </xf>
    <xf numFmtId="0" fontId="7" fillId="0" borderId="136" xfId="0" applyFont="1" applyBorder="1" applyAlignment="1" applyProtection="1">
      <alignment horizontal="center" shrinkToFit="1"/>
      <protection locked="0"/>
    </xf>
    <xf numFmtId="3" fontId="7" fillId="0" borderId="104" xfId="0" applyNumberFormat="1" applyFont="1" applyBorder="1" applyAlignment="1" applyProtection="1">
      <alignment horizontal="center" shrinkToFit="1"/>
      <protection locked="0"/>
    </xf>
    <xf numFmtId="3" fontId="7" fillId="0" borderId="136" xfId="0" applyNumberFormat="1" applyFont="1" applyBorder="1" applyAlignment="1" applyProtection="1">
      <alignment horizontal="center" shrinkToFit="1"/>
      <protection locked="0"/>
    </xf>
    <xf numFmtId="177" fontId="6" fillId="7" borderId="12" xfId="0" applyNumberFormat="1" applyFont="1" applyFill="1" applyBorder="1" applyAlignment="1">
      <alignment horizontal="center" shrinkToFit="1"/>
    </xf>
    <xf numFmtId="177" fontId="6" fillId="7" borderId="11" xfId="0" applyNumberFormat="1" applyFont="1" applyFill="1" applyBorder="1" applyAlignment="1">
      <alignment horizontal="center" shrinkToFit="1"/>
    </xf>
    <xf numFmtId="0" fontId="17" fillId="0" borderId="76" xfId="0" applyFont="1" applyBorder="1" applyAlignment="1" applyProtection="1">
      <alignment horizontal="center" wrapText="1"/>
      <protection locked="0"/>
    </xf>
    <xf numFmtId="0" fontId="17" fillId="0" borderId="77" xfId="0" applyFont="1" applyBorder="1" applyAlignment="1" applyProtection="1">
      <alignment horizontal="center" wrapText="1"/>
      <protection locked="0"/>
    </xf>
    <xf numFmtId="0" fontId="17" fillId="0" borderId="78" xfId="0" applyFont="1" applyBorder="1" applyAlignment="1" applyProtection="1">
      <alignment horizontal="center" wrapText="1"/>
      <protection locked="0"/>
    </xf>
    <xf numFmtId="0" fontId="17" fillId="0" borderId="30" xfId="0" applyFont="1" applyBorder="1" applyAlignment="1" applyProtection="1">
      <alignment horizontal="center" wrapText="1"/>
      <protection locked="0"/>
    </xf>
    <xf numFmtId="0" fontId="17" fillId="0" borderId="31" xfId="0" applyFont="1" applyBorder="1" applyAlignment="1" applyProtection="1">
      <alignment horizontal="center" wrapText="1"/>
      <protection locked="0"/>
    </xf>
    <xf numFmtId="0" fontId="17" fillId="0" borderId="32" xfId="0" applyFont="1" applyBorder="1" applyAlignment="1" applyProtection="1">
      <alignment horizontal="center" wrapText="1"/>
      <protection locked="0"/>
    </xf>
    <xf numFmtId="3" fontId="7" fillId="0" borderId="77" xfId="0" applyNumberFormat="1" applyFont="1" applyBorder="1" applyAlignment="1" applyProtection="1">
      <alignment horizontal="center" shrinkToFit="1"/>
      <protection locked="0"/>
    </xf>
    <xf numFmtId="3" fontId="7" fillId="0" borderId="31" xfId="0" applyNumberFormat="1" applyFont="1" applyBorder="1" applyAlignment="1" applyProtection="1">
      <alignment horizontal="center" shrinkToFit="1"/>
      <protection locked="0"/>
    </xf>
    <xf numFmtId="3" fontId="7" fillId="0" borderId="9" xfId="0" applyNumberFormat="1" applyFont="1" applyBorder="1" applyAlignment="1" applyProtection="1">
      <alignment horizontal="center" shrinkToFit="1"/>
      <protection locked="0"/>
    </xf>
    <xf numFmtId="170" fontId="37" fillId="0" borderId="0" xfId="0" applyNumberFormat="1" applyFont="1" applyAlignment="1">
      <alignment horizontal="center" vertical="center"/>
    </xf>
    <xf numFmtId="0" fontId="131" fillId="0" borderId="0" xfId="0" applyFont="1" applyAlignment="1">
      <alignment horizontal="center"/>
    </xf>
    <xf numFmtId="0" fontId="142" fillId="0" borderId="0" xfId="0" applyFont="1" applyAlignment="1">
      <alignment horizontal="center" vertical="center"/>
    </xf>
    <xf numFmtId="177" fontId="37" fillId="0" borderId="0" xfId="0" applyNumberFormat="1" applyFont="1" applyAlignment="1">
      <alignment horizontal="center" vertical="center"/>
    </xf>
    <xf numFmtId="183" fontId="41" fillId="0" borderId="0" xfId="0" applyNumberFormat="1" applyFont="1" applyAlignment="1">
      <alignment horizontal="center" vertical="center" wrapText="1"/>
    </xf>
    <xf numFmtId="0" fontId="125" fillId="0" borderId="0" xfId="0" applyFont="1" applyAlignment="1">
      <alignment horizontal="left"/>
    </xf>
    <xf numFmtId="0" fontId="127" fillId="0" borderId="0" xfId="0" applyFont="1" applyAlignment="1">
      <alignment horizontal="center"/>
    </xf>
    <xf numFmtId="0" fontId="132" fillId="0" borderId="0" xfId="0" applyFont="1" applyAlignment="1">
      <alignment horizontal="center" vertical="center" wrapText="1"/>
    </xf>
    <xf numFmtId="0" fontId="132" fillId="0" borderId="0" xfId="0" applyFont="1" applyAlignment="1">
      <alignment horizontal="center" vertical="center"/>
    </xf>
    <xf numFmtId="0" fontId="132" fillId="0" borderId="0" xfId="0" applyFont="1" applyAlignment="1">
      <alignment horizontal="center"/>
    </xf>
    <xf numFmtId="2" fontId="132" fillId="0" borderId="0" xfId="0" applyNumberFormat="1" applyFont="1" applyAlignment="1">
      <alignment horizontal="center" vertical="center"/>
    </xf>
    <xf numFmtId="0" fontId="129" fillId="0" borderId="0" xfId="0" applyFont="1" applyAlignment="1">
      <alignment horizontal="right" vertical="center" indent="1"/>
    </xf>
    <xf numFmtId="0" fontId="129" fillId="0" borderId="144" xfId="0" applyFont="1" applyBorder="1" applyAlignment="1">
      <alignment horizontal="right" vertical="center" indent="1"/>
    </xf>
    <xf numFmtId="167" fontId="137" fillId="65" borderId="51" xfId="0" applyNumberFormat="1" applyFont="1" applyFill="1" applyBorder="1" applyAlignment="1">
      <alignment horizontal="center" vertical="center"/>
    </xf>
    <xf numFmtId="167" fontId="46" fillId="63" borderId="51" xfId="0" applyNumberFormat="1" applyFont="1" applyFill="1" applyBorder="1" applyAlignment="1">
      <alignment horizontal="center" vertical="center"/>
    </xf>
    <xf numFmtId="0" fontId="129" fillId="0" borderId="145" xfId="0" applyFont="1" applyBorder="1" applyAlignment="1">
      <alignment horizontal="right" vertical="center" indent="1"/>
    </xf>
    <xf numFmtId="9" fontId="137" fillId="65" borderId="51" xfId="0" applyNumberFormat="1" applyFont="1" applyFill="1" applyBorder="1" applyAlignment="1">
      <alignment horizontal="center" vertical="center"/>
    </xf>
    <xf numFmtId="9" fontId="46" fillId="63" borderId="51" xfId="0" applyNumberFormat="1" applyFont="1" applyFill="1" applyBorder="1" applyAlignment="1">
      <alignment horizontal="center" vertical="center"/>
    </xf>
    <xf numFmtId="2" fontId="137" fillId="65" borderId="51" xfId="0" applyNumberFormat="1" applyFont="1" applyFill="1" applyBorder="1" applyAlignment="1">
      <alignment horizontal="center" vertical="center"/>
    </xf>
    <xf numFmtId="2" fontId="46" fillId="63" borderId="51" xfId="0" applyNumberFormat="1" applyFont="1" applyFill="1" applyBorder="1" applyAlignment="1">
      <alignment horizontal="center" vertical="center"/>
    </xf>
    <xf numFmtId="0" fontId="69" fillId="0" borderId="0" xfId="0" applyFont="1" applyAlignment="1">
      <alignment horizontal="center" vertical="center"/>
    </xf>
    <xf numFmtId="0" fontId="50" fillId="0" borderId="0" xfId="0" applyFont="1" applyAlignment="1">
      <alignment horizontal="center" vertical="center" wrapText="1"/>
    </xf>
    <xf numFmtId="0" fontId="20" fillId="5" borderId="125" xfId="0" applyFont="1" applyFill="1" applyBorder="1" applyAlignment="1">
      <alignment horizontal="left" vertical="center" indent="1"/>
    </xf>
    <xf numFmtId="0" fontId="20" fillId="5" borderId="126" xfId="0" applyFont="1" applyFill="1" applyBorder="1" applyAlignment="1">
      <alignment horizontal="left" vertical="center" indent="1"/>
    </xf>
    <xf numFmtId="0" fontId="20" fillId="5" borderId="127" xfId="0" applyFont="1" applyFill="1" applyBorder="1" applyAlignment="1">
      <alignment horizontal="left" vertical="center" indent="1"/>
    </xf>
    <xf numFmtId="0" fontId="20" fillId="5" borderId="116" xfId="0" applyFont="1" applyFill="1" applyBorder="1" applyAlignment="1">
      <alignment horizontal="left" vertical="center" indent="1"/>
    </xf>
    <xf numFmtId="0" fontId="20" fillId="5" borderId="117" xfId="0" applyFont="1" applyFill="1" applyBorder="1" applyAlignment="1">
      <alignment horizontal="left" vertical="center" indent="1"/>
    </xf>
    <xf numFmtId="0" fontId="20" fillId="5" borderId="118" xfId="0" applyFont="1" applyFill="1" applyBorder="1" applyAlignment="1">
      <alignment horizontal="left" vertical="center" indent="1"/>
    </xf>
    <xf numFmtId="0" fontId="123" fillId="0" borderId="0" xfId="0" applyFont="1" applyAlignment="1">
      <alignment horizontal="left" vertical="center" indent="1"/>
    </xf>
    <xf numFmtId="0" fontId="102" fillId="0" borderId="0" xfId="0" applyFont="1" applyAlignment="1">
      <alignment horizontal="left"/>
    </xf>
    <xf numFmtId="0" fontId="137" fillId="64" borderId="51" xfId="0" applyFont="1" applyFill="1" applyBorder="1" applyAlignment="1">
      <alignment horizontal="center" vertical="center"/>
    </xf>
    <xf numFmtId="0" fontId="46" fillId="5" borderId="51" xfId="0" applyFont="1" applyFill="1" applyBorder="1" applyAlignment="1">
      <alignment horizontal="center" vertical="center"/>
    </xf>
    <xf numFmtId="167" fontId="37" fillId="0" borderId="0" xfId="0" applyNumberFormat="1" applyFont="1" applyAlignment="1">
      <alignment horizontal="center"/>
    </xf>
    <xf numFmtId="0" fontId="128" fillId="0" borderId="0" xfId="0" applyFont="1" applyAlignment="1">
      <alignment horizontal="center" vertical="center"/>
    </xf>
    <xf numFmtId="0" fontId="46" fillId="5" borderId="54" xfId="0" applyFont="1" applyFill="1" applyBorder="1" applyAlignment="1">
      <alignment horizontal="left" vertical="center"/>
    </xf>
    <xf numFmtId="0" fontId="46" fillId="5" borderId="51" xfId="0" applyFont="1" applyFill="1" applyBorder="1" applyAlignment="1">
      <alignment horizontal="left" vertical="center"/>
    </xf>
    <xf numFmtId="167" fontId="46" fillId="5" borderId="51" xfId="0" applyNumberFormat="1" applyFont="1" applyFill="1" applyBorder="1" applyAlignment="1">
      <alignment horizontal="center" vertical="center"/>
    </xf>
    <xf numFmtId="184" fontId="102" fillId="0" borderId="0" xfId="0" applyNumberFormat="1" applyFont="1" applyAlignment="1">
      <alignment horizontal="left"/>
    </xf>
    <xf numFmtId="175" fontId="102" fillId="0" borderId="0" xfId="0" applyNumberFormat="1" applyFont="1" applyAlignment="1">
      <alignment horizontal="left"/>
    </xf>
    <xf numFmtId="0" fontId="138" fillId="64" borderId="54" xfId="0" applyFont="1" applyFill="1" applyBorder="1" applyAlignment="1">
      <alignment horizontal="left" vertical="center"/>
    </xf>
    <xf numFmtId="0" fontId="138" fillId="64" borderId="51" xfId="0" applyFont="1" applyFill="1" applyBorder="1" applyAlignment="1">
      <alignment horizontal="left" vertical="center"/>
    </xf>
    <xf numFmtId="167" fontId="138" fillId="64" borderId="51" xfId="0" applyNumberFormat="1" applyFont="1" applyFill="1" applyBorder="1" applyAlignment="1">
      <alignment horizontal="center" vertical="center"/>
    </xf>
    <xf numFmtId="0" fontId="138" fillId="64" borderId="51" xfId="0" applyFont="1" applyFill="1" applyBorder="1" applyAlignment="1">
      <alignment horizontal="center" vertical="center"/>
    </xf>
    <xf numFmtId="0" fontId="135" fillId="4" borderId="0" xfId="0" applyFont="1" applyFill="1" applyAlignment="1">
      <alignment horizontal="left" vertical="center"/>
    </xf>
    <xf numFmtId="0" fontId="136" fillId="4" borderId="0" xfId="0" applyFont="1" applyFill="1" applyAlignment="1">
      <alignment horizontal="left" vertical="center"/>
    </xf>
    <xf numFmtId="0" fontId="7" fillId="0" borderId="0" xfId="0" applyFont="1" applyAlignment="1">
      <alignment horizontal="left" vertical="top" wrapText="1"/>
    </xf>
    <xf numFmtId="0" fontId="59" fillId="0" borderId="0" xfId="1" applyFont="1" applyFill="1" applyBorder="1" applyAlignment="1">
      <alignment horizontal="left" vertical="top" wrapText="1"/>
    </xf>
    <xf numFmtId="0" fontId="6" fillId="0" borderId="0" xfId="0" applyFont="1" applyAlignment="1">
      <alignment horizontal="center" vertical="top"/>
    </xf>
    <xf numFmtId="0" fontId="7" fillId="0" borderId="134" xfId="0" applyFont="1" applyBorder="1" applyAlignment="1">
      <alignment horizontal="left" vertical="top" wrapText="1"/>
    </xf>
    <xf numFmtId="0" fontId="59" fillId="0" borderId="0" xfId="1" applyFont="1" applyFill="1" applyBorder="1" applyAlignment="1">
      <alignment horizontal="left" vertical="top"/>
    </xf>
    <xf numFmtId="0" fontId="7" fillId="0" borderId="133" xfId="0" applyFont="1" applyBorder="1" applyAlignment="1">
      <alignment horizontal="left" vertical="top" wrapText="1"/>
    </xf>
    <xf numFmtId="0" fontId="7" fillId="0" borderId="129" xfId="0" applyFont="1" applyBorder="1" applyAlignment="1">
      <alignment horizontal="left" vertical="top" wrapText="1"/>
    </xf>
    <xf numFmtId="0" fontId="47" fillId="4" borderId="0" xfId="1" applyFont="1" applyFill="1" applyBorder="1" applyAlignment="1" applyProtection="1">
      <alignment vertical="center" shrinkToFit="1"/>
      <protection hidden="1"/>
    </xf>
    <xf numFmtId="0" fontId="7" fillId="0" borderId="0" xfId="0" applyFont="1" applyAlignment="1">
      <alignment vertical="top"/>
    </xf>
    <xf numFmtId="0" fontId="7" fillId="0" borderId="134" xfId="0" applyFont="1" applyBorder="1" applyAlignment="1">
      <alignment vertical="top"/>
    </xf>
    <xf numFmtId="0" fontId="7" fillId="0" borderId="0" xfId="0" applyFont="1"/>
    <xf numFmtId="0" fontId="7" fillId="0" borderId="134" xfId="0" applyFont="1" applyBorder="1"/>
    <xf numFmtId="0" fontId="115" fillId="0" borderId="0" xfId="0" applyFont="1" applyAlignment="1">
      <alignment horizontal="left" vertical="top" wrapText="1"/>
    </xf>
    <xf numFmtId="0" fontId="73" fillId="0" borderId="0" xfId="0" applyFont="1" applyAlignment="1">
      <alignment horizontal="left" vertical="top" wrapText="1"/>
    </xf>
    <xf numFmtId="0" fontId="38" fillId="6" borderId="0" xfId="0" applyFont="1" applyFill="1" applyAlignment="1">
      <alignment horizontal="center" vertical="center"/>
    </xf>
    <xf numFmtId="0" fontId="67" fillId="6" borderId="0" xfId="0" applyFont="1" applyFill="1" applyAlignment="1">
      <alignment horizontal="right"/>
    </xf>
    <xf numFmtId="0" fontId="144" fillId="5" borderId="0" xfId="0" applyFont="1" applyFill="1" applyAlignment="1">
      <alignment horizontal="left" vertical="center"/>
    </xf>
    <xf numFmtId="0" fontId="144" fillId="5" borderId="0" xfId="0" applyFont="1" applyFill="1" applyAlignment="1">
      <alignment horizontal="right" vertical="center"/>
    </xf>
    <xf numFmtId="175" fontId="18" fillId="55" borderId="0" xfId="0" applyNumberFormat="1" applyFont="1" applyFill="1" applyAlignment="1">
      <alignment horizontal="left" vertical="top" wrapText="1"/>
    </xf>
    <xf numFmtId="0" fontId="37" fillId="55" borderId="0" xfId="0" applyFont="1" applyFill="1" applyAlignment="1">
      <alignment horizontal="center" vertical="center" wrapText="1"/>
    </xf>
    <xf numFmtId="0" fontId="35" fillId="55" borderId="0" xfId="0" applyFont="1" applyFill="1" applyAlignment="1">
      <alignment vertical="top" wrapText="1"/>
    </xf>
    <xf numFmtId="0" fontId="35" fillId="55" borderId="0" xfId="0" applyFont="1" applyFill="1" applyAlignment="1">
      <alignment horizontal="left" vertical="top" wrapText="1"/>
    </xf>
    <xf numFmtId="0" fontId="18" fillId="55" borderId="0" xfId="0" applyFont="1" applyFill="1" applyAlignment="1">
      <alignment horizontal="left" vertical="top" wrapText="1"/>
    </xf>
    <xf numFmtId="0" fontId="67" fillId="6" borderId="0" xfId="0" applyFont="1" applyFill="1" applyAlignment="1">
      <alignment horizontal="left"/>
    </xf>
    <xf numFmtId="0" fontId="43" fillId="0" borderId="0" xfId="0" applyFont="1" applyAlignment="1">
      <alignment horizontal="center"/>
    </xf>
    <xf numFmtId="9" fontId="57" fillId="4" borderId="126" xfId="6" applyFont="1" applyFill="1" applyBorder="1" applyAlignment="1" applyProtection="1">
      <alignment horizontal="center" vertical="center"/>
    </xf>
    <xf numFmtId="9" fontId="57" fillId="4" borderId="127" xfId="6" applyFont="1" applyFill="1" applyBorder="1" applyAlignment="1" applyProtection="1">
      <alignment horizontal="center" vertical="center"/>
    </xf>
    <xf numFmtId="9" fontId="57" fillId="4" borderId="117" xfId="6" applyFont="1" applyFill="1" applyBorder="1" applyAlignment="1" applyProtection="1">
      <alignment horizontal="center" vertical="center"/>
    </xf>
    <xf numFmtId="9" fontId="57" fillId="4" borderId="118" xfId="6" applyFont="1" applyFill="1" applyBorder="1" applyAlignment="1" applyProtection="1">
      <alignment horizontal="center" vertical="center"/>
    </xf>
    <xf numFmtId="0" fontId="161" fillId="6" borderId="0" xfId="0" applyFont="1" applyFill="1" applyAlignment="1">
      <alignment horizontal="left" vertical="center"/>
    </xf>
    <xf numFmtId="0" fontId="68" fillId="55" borderId="0" xfId="0" applyFont="1" applyFill="1" applyAlignment="1">
      <alignment horizontal="center" vertical="center" wrapText="1"/>
    </xf>
    <xf numFmtId="0" fontId="6" fillId="55" borderId="0" xfId="0" applyFont="1" applyFill="1" applyAlignment="1">
      <alignment vertical="top"/>
    </xf>
    <xf numFmtId="0" fontId="6" fillId="55" borderId="0" xfId="0" applyFont="1" applyFill="1" applyAlignment="1">
      <alignment horizontal="left" vertical="top"/>
    </xf>
    <xf numFmtId="0" fontId="7" fillId="55" borderId="0" xfId="0" applyFont="1" applyFill="1" applyAlignment="1">
      <alignment horizontal="left" vertical="top"/>
    </xf>
    <xf numFmtId="175" fontId="7" fillId="55" borderId="0" xfId="0" applyNumberFormat="1" applyFont="1" applyFill="1" applyAlignment="1">
      <alignment horizontal="left" vertical="top"/>
    </xf>
    <xf numFmtId="167" fontId="35" fillId="55" borderId="97" xfId="0" applyNumberFormat="1" applyFont="1" applyFill="1" applyBorder="1" applyAlignment="1">
      <alignment vertical="top"/>
    </xf>
    <xf numFmtId="167" fontId="35" fillId="55" borderId="0" xfId="0" applyNumberFormat="1" applyFont="1" applyFill="1" applyAlignment="1">
      <alignment vertical="top"/>
    </xf>
    <xf numFmtId="0" fontId="35" fillId="55" borderId="0" xfId="0" applyFont="1" applyFill="1" applyAlignment="1">
      <alignment horizontal="center" vertical="top"/>
    </xf>
    <xf numFmtId="170" fontId="18" fillId="55" borderId="110" xfId="0" applyNumberFormat="1" applyFont="1" applyFill="1" applyBorder="1" applyAlignment="1">
      <alignment vertical="top"/>
    </xf>
    <xf numFmtId="177" fontId="18" fillId="55" borderId="113" xfId="0" applyNumberFormat="1" applyFont="1" applyFill="1" applyBorder="1" applyAlignment="1">
      <alignment vertical="top"/>
    </xf>
    <xf numFmtId="177" fontId="18" fillId="55" borderId="110" xfId="0" applyNumberFormat="1" applyFont="1" applyFill="1" applyBorder="1" applyAlignment="1">
      <alignment vertical="top"/>
    </xf>
    <xf numFmtId="177" fontId="18" fillId="55" borderId="111" xfId="0" applyNumberFormat="1" applyFont="1" applyFill="1" applyBorder="1" applyAlignment="1">
      <alignment vertical="top"/>
    </xf>
    <xf numFmtId="167" fontId="18" fillId="55" borderId="0" xfId="0" applyNumberFormat="1" applyFont="1" applyFill="1" applyAlignment="1">
      <alignment vertical="top"/>
    </xf>
    <xf numFmtId="167" fontId="18" fillId="55" borderId="113" xfId="0" applyNumberFormat="1" applyFont="1" applyFill="1" applyBorder="1" applyAlignment="1">
      <alignment vertical="top"/>
    </xf>
    <xf numFmtId="167" fontId="18" fillId="55" borderId="110" xfId="0" applyNumberFormat="1" applyFont="1" applyFill="1" applyBorder="1" applyAlignment="1">
      <alignment vertical="top"/>
    </xf>
    <xf numFmtId="170" fontId="18" fillId="55" borderId="112" xfId="0" applyNumberFormat="1" applyFont="1" applyFill="1" applyBorder="1" applyAlignment="1">
      <alignment vertical="top"/>
    </xf>
    <xf numFmtId="170" fontId="18" fillId="55" borderId="96" xfId="0" applyNumberFormat="1" applyFont="1" applyFill="1" applyBorder="1" applyAlignment="1">
      <alignment vertical="top"/>
    </xf>
    <xf numFmtId="177" fontId="18" fillId="55" borderId="112" xfId="0" applyNumberFormat="1" applyFont="1" applyFill="1" applyBorder="1" applyAlignment="1">
      <alignment vertical="top"/>
    </xf>
    <xf numFmtId="177" fontId="18" fillId="55" borderId="96" xfId="0" applyNumberFormat="1" applyFont="1" applyFill="1" applyBorder="1" applyAlignment="1">
      <alignment vertical="top"/>
    </xf>
    <xf numFmtId="177" fontId="18" fillId="55" borderId="114" xfId="0" applyNumberFormat="1" applyFont="1" applyFill="1" applyBorder="1" applyAlignment="1">
      <alignment vertical="top"/>
    </xf>
    <xf numFmtId="167" fontId="18" fillId="55" borderId="96" xfId="0" applyNumberFormat="1" applyFont="1" applyFill="1" applyBorder="1" applyAlignment="1">
      <alignment vertical="top"/>
    </xf>
    <xf numFmtId="167" fontId="18" fillId="55" borderId="98" xfId="0" applyNumberFormat="1" applyFont="1" applyFill="1" applyBorder="1" applyAlignment="1">
      <alignment vertical="top"/>
    </xf>
    <xf numFmtId="167" fontId="18" fillId="55" borderId="99" xfId="0" applyNumberFormat="1" applyFont="1" applyFill="1" applyBorder="1" applyAlignment="1">
      <alignment vertical="top"/>
    </xf>
    <xf numFmtId="170" fontId="35" fillId="55" borderId="112" xfId="0" applyNumberFormat="1" applyFont="1" applyFill="1" applyBorder="1" applyAlignment="1">
      <alignment vertical="top"/>
    </xf>
    <xf numFmtId="170" fontId="35" fillId="55" borderId="96" xfId="0" applyNumberFormat="1" applyFont="1" applyFill="1" applyBorder="1" applyAlignment="1">
      <alignment vertical="top"/>
    </xf>
    <xf numFmtId="177" fontId="35" fillId="55" borderId="112" xfId="0" applyNumberFormat="1" applyFont="1" applyFill="1" applyBorder="1" applyAlignment="1">
      <alignment vertical="top"/>
    </xf>
    <xf numFmtId="177" fontId="35" fillId="55" borderId="96" xfId="0" applyNumberFormat="1" applyFont="1" applyFill="1" applyBorder="1" applyAlignment="1">
      <alignment vertical="top"/>
    </xf>
    <xf numFmtId="177" fontId="35" fillId="55" borderId="114" xfId="0" applyNumberFormat="1" applyFont="1" applyFill="1" applyBorder="1" applyAlignment="1">
      <alignment vertical="top"/>
    </xf>
    <xf numFmtId="167" fontId="35" fillId="55" borderId="96" xfId="0" applyNumberFormat="1" applyFont="1" applyFill="1" applyBorder="1" applyAlignment="1">
      <alignment vertical="top"/>
    </xf>
    <xf numFmtId="0" fontId="11" fillId="55" borderId="0" xfId="2" applyFont="1" applyFill="1" applyAlignment="1" applyProtection="1">
      <alignment horizontal="left" vertical="top"/>
      <protection locked="0"/>
    </xf>
    <xf numFmtId="14" fontId="7" fillId="55" borderId="0" xfId="2" applyNumberFormat="1" applyFont="1" applyFill="1" applyAlignment="1" applyProtection="1">
      <alignment horizontal="left" vertical="top"/>
      <protection locked="0"/>
    </xf>
    <xf numFmtId="0" fontId="7" fillId="55" borderId="0" xfId="2" applyFont="1" applyFill="1" applyAlignment="1" applyProtection="1">
      <alignment horizontal="left" vertical="top"/>
      <protection locked="0"/>
    </xf>
    <xf numFmtId="0" fontId="112" fillId="55" borderId="0" xfId="2" applyFont="1" applyFill="1" applyAlignment="1" applyProtection="1">
      <alignment horizontal="left" vertical="center" wrapText="1"/>
      <protection hidden="1"/>
    </xf>
    <xf numFmtId="49" fontId="68" fillId="55" borderId="0" xfId="0" applyNumberFormat="1" applyFont="1" applyFill="1" applyAlignment="1">
      <alignment horizontal="center" vertical="center" wrapText="1"/>
    </xf>
    <xf numFmtId="0" fontId="71" fillId="55" borderId="0" xfId="0" applyFont="1" applyFill="1" applyAlignment="1">
      <alignment horizontal="left" vertical="top" wrapText="1"/>
    </xf>
    <xf numFmtId="0" fontId="68" fillId="55" borderId="0" xfId="0" applyFont="1" applyFill="1" applyAlignment="1">
      <alignment horizontal="center"/>
    </xf>
    <xf numFmtId="0" fontId="7" fillId="55" borderId="0" xfId="0" applyFont="1" applyFill="1" applyAlignment="1">
      <alignment horizontal="left" vertical="top" wrapText="1"/>
    </xf>
    <xf numFmtId="14" fontId="70" fillId="55" borderId="0" xfId="0" applyNumberFormat="1" applyFont="1" applyFill="1" applyAlignment="1" applyProtection="1">
      <alignment horizontal="center" wrapText="1"/>
      <protection locked="0"/>
    </xf>
    <xf numFmtId="14" fontId="70" fillId="55" borderId="21" xfId="0" applyNumberFormat="1" applyFont="1" applyFill="1" applyBorder="1" applyAlignment="1" applyProtection="1">
      <alignment horizontal="center" wrapText="1"/>
      <protection locked="0"/>
    </xf>
    <xf numFmtId="0" fontId="70" fillId="55" borderId="0" xfId="0" applyFont="1" applyFill="1" applyAlignment="1" applyProtection="1">
      <alignment horizontal="center" wrapText="1"/>
      <protection locked="0"/>
    </xf>
    <xf numFmtId="0" fontId="70" fillId="55" borderId="21" xfId="0" applyFont="1" applyFill="1" applyBorder="1" applyAlignment="1" applyProtection="1">
      <alignment horizontal="center" wrapText="1"/>
      <protection locked="0"/>
    </xf>
    <xf numFmtId="0" fontId="18" fillId="55" borderId="0" xfId="0" applyFont="1" applyFill="1" applyAlignment="1">
      <alignment vertical="top"/>
    </xf>
    <xf numFmtId="0" fontId="71" fillId="55" borderId="0" xfId="0" applyFont="1" applyFill="1" applyAlignment="1">
      <alignment horizontal="left" vertical="center" wrapText="1"/>
    </xf>
    <xf numFmtId="0" fontId="68" fillId="55" borderId="0" xfId="0" applyFont="1" applyFill="1" applyAlignment="1">
      <alignment horizontal="center" wrapText="1"/>
    </xf>
    <xf numFmtId="0" fontId="7" fillId="55" borderId="0" xfId="4" applyFont="1" applyFill="1" applyAlignment="1" applyProtection="1">
      <alignment horizontal="left" vertical="center" wrapText="1"/>
    </xf>
    <xf numFmtId="0" fontId="18" fillId="55" borderId="0" xfId="0" applyFont="1" applyFill="1" applyAlignment="1">
      <alignment vertical="top" wrapText="1"/>
    </xf>
    <xf numFmtId="175" fontId="18" fillId="55" borderId="0" xfId="0" applyNumberFormat="1" applyFont="1" applyFill="1" applyAlignment="1">
      <alignment vertical="top" wrapText="1"/>
    </xf>
    <xf numFmtId="0" fontId="162" fillId="6" borderId="0" xfId="0" applyFont="1" applyFill="1" applyAlignment="1">
      <alignment horizontal="left" vertical="center"/>
    </xf>
    <xf numFmtId="0" fontId="73" fillId="0" borderId="0" xfId="0" applyFont="1" applyAlignment="1">
      <alignment horizontal="justify" vertical="top" wrapText="1"/>
    </xf>
    <xf numFmtId="0" fontId="18" fillId="55" borderId="0" xfId="0" applyFont="1" applyFill="1" applyAlignment="1">
      <alignment horizontal="left" vertical="top"/>
    </xf>
    <xf numFmtId="0" fontId="6" fillId="0" borderId="21" xfId="0" applyFont="1" applyBorder="1" applyProtection="1">
      <protection locked="0"/>
    </xf>
    <xf numFmtId="0" fontId="9" fillId="0" borderId="0" xfId="0" applyFont="1" applyAlignment="1">
      <alignment horizontal="left" vertical="top"/>
    </xf>
    <xf numFmtId="0" fontId="20" fillId="6" borderId="0" xfId="2" applyFont="1" applyFill="1" applyAlignment="1" applyProtection="1">
      <alignment horizontal="left" readingOrder="1"/>
    </xf>
    <xf numFmtId="0" fontId="12" fillId="0" borderId="18" xfId="2" applyFont="1" applyBorder="1" applyAlignment="1" applyProtection="1">
      <alignment horizontal="left" vertical="top"/>
    </xf>
    <xf numFmtId="0" fontId="19" fillId="0" borderId="21" xfId="2" applyFont="1" applyBorder="1" applyAlignment="1" applyProtection="1"/>
    <xf numFmtId="0" fontId="7" fillId="0" borderId="55" xfId="0" applyFont="1" applyBorder="1" applyAlignment="1" applyProtection="1">
      <alignment horizontal="left" vertical="top" wrapText="1"/>
      <protection locked="0"/>
    </xf>
    <xf numFmtId="0" fontId="7" fillId="0" borderId="56" xfId="0" applyFont="1" applyBorder="1" applyAlignment="1" applyProtection="1">
      <alignment horizontal="left" vertical="top" wrapText="1"/>
      <protection locked="0"/>
    </xf>
    <xf numFmtId="0" fontId="7" fillId="0" borderId="57" xfId="0" applyFont="1" applyBorder="1" applyAlignment="1" applyProtection="1">
      <alignment horizontal="left" vertical="top" wrapText="1"/>
      <protection locked="0"/>
    </xf>
    <xf numFmtId="0" fontId="7" fillId="0" borderId="60" xfId="0" applyFont="1" applyBorder="1" applyAlignment="1" applyProtection="1">
      <alignment horizontal="left" vertical="top" wrapText="1"/>
      <protection locked="0"/>
    </xf>
    <xf numFmtId="0" fontId="7" fillId="0" borderId="61" xfId="0" applyFont="1" applyBorder="1" applyAlignment="1" applyProtection="1">
      <alignment horizontal="left" vertical="top" wrapText="1"/>
      <protection locked="0"/>
    </xf>
    <xf numFmtId="0" fontId="7" fillId="0" borderId="62" xfId="0" applyFont="1" applyBorder="1" applyAlignment="1" applyProtection="1">
      <alignment horizontal="left" vertical="top" wrapText="1"/>
      <protection locked="0"/>
    </xf>
    <xf numFmtId="0" fontId="7" fillId="0" borderId="58" xfId="0" applyFont="1" applyBorder="1" applyAlignment="1" applyProtection="1">
      <alignment horizontal="left" vertical="top" wrapText="1"/>
      <protection locked="0"/>
    </xf>
    <xf numFmtId="0" fontId="7" fillId="0" borderId="59" xfId="0" applyFont="1" applyBorder="1" applyAlignment="1" applyProtection="1">
      <alignment horizontal="left" vertical="top" wrapText="1"/>
      <protection locked="0"/>
    </xf>
    <xf numFmtId="0" fontId="8" fillId="0" borderId="18" xfId="2" applyFont="1" applyBorder="1" applyAlignment="1" applyProtection="1">
      <alignment horizontal="left" vertical="top" readingOrder="1"/>
    </xf>
    <xf numFmtId="0" fontId="8" fillId="0" borderId="18" xfId="2" applyFont="1" applyBorder="1" applyAlignment="1" applyProtection="1">
      <alignment horizontal="left" vertical="top"/>
    </xf>
    <xf numFmtId="0" fontId="8" fillId="0" borderId="0" xfId="2" applyFont="1" applyAlignment="1" applyProtection="1">
      <alignment horizontal="left" vertical="top"/>
    </xf>
    <xf numFmtId="14" fontId="6" fillId="0" borderId="21" xfId="2" applyNumberFormat="1" applyFont="1" applyBorder="1" applyAlignment="1" applyProtection="1">
      <protection locked="0"/>
    </xf>
    <xf numFmtId="0" fontId="6" fillId="0" borderId="21" xfId="2" applyFont="1" applyBorder="1" applyAlignment="1" applyProtection="1"/>
    <xf numFmtId="0" fontId="6" fillId="0" borderId="21" xfId="2" applyFont="1" applyBorder="1" applyAlignment="1" applyProtection="1">
      <alignment horizontal="left"/>
    </xf>
    <xf numFmtId="0" fontId="9" fillId="0" borderId="18" xfId="0" applyFont="1" applyBorder="1" applyAlignment="1">
      <alignment horizontal="left" vertical="top"/>
    </xf>
    <xf numFmtId="175" fontId="6" fillId="0" borderId="21" xfId="2" applyNumberFormat="1" applyFont="1" applyBorder="1" applyAlignment="1" applyProtection="1">
      <alignment horizontal="left"/>
    </xf>
    <xf numFmtId="0" fontId="9" fillId="0" borderId="18" xfId="2" applyFont="1" applyBorder="1" applyAlignment="1" applyProtection="1">
      <alignment horizontal="left" vertical="top" readingOrder="1"/>
    </xf>
    <xf numFmtId="0" fontId="6" fillId="0" borderId="21" xfId="0" applyFont="1" applyBorder="1"/>
    <xf numFmtId="0" fontId="6" fillId="0" borderId="21" xfId="2" applyFont="1" applyBorder="1" applyAlignment="1" applyProtection="1">
      <alignment shrinkToFit="1"/>
    </xf>
    <xf numFmtId="0" fontId="6" fillId="0" borderId="21" xfId="2" applyFont="1" applyBorder="1" applyAlignment="1" applyProtection="1">
      <alignment horizontal="left" shrinkToFit="1"/>
    </xf>
    <xf numFmtId="176" fontId="4" fillId="0" borderId="0" xfId="2" applyNumberFormat="1" applyFont="1" applyAlignment="1" applyProtection="1">
      <alignment horizontal="left"/>
    </xf>
    <xf numFmtId="0" fontId="18" fillId="7" borderId="141" xfId="0" applyFont="1" applyFill="1" applyBorder="1" applyProtection="1">
      <protection hidden="1"/>
    </xf>
    <xf numFmtId="0" fontId="18" fillId="7" borderId="142" xfId="0" applyFont="1" applyFill="1" applyBorder="1" applyProtection="1">
      <protection hidden="1"/>
    </xf>
    <xf numFmtId="0" fontId="18" fillId="7" borderId="143" xfId="0" applyFont="1" applyFill="1" applyBorder="1" applyProtection="1">
      <protection hidden="1"/>
    </xf>
    <xf numFmtId="167" fontId="18" fillId="3" borderId="141" xfId="0" applyNumberFormat="1" applyFont="1" applyFill="1" applyBorder="1" applyAlignment="1" applyProtection="1">
      <alignment horizontal="left" vertical="top"/>
      <protection hidden="1"/>
    </xf>
    <xf numFmtId="167" fontId="18" fillId="3" borderId="142" xfId="0" applyNumberFormat="1" applyFont="1" applyFill="1" applyBorder="1" applyAlignment="1" applyProtection="1">
      <alignment horizontal="left" vertical="top"/>
      <protection hidden="1"/>
    </xf>
    <xf numFmtId="167" fontId="18" fillId="3" borderId="143" xfId="0" applyNumberFormat="1" applyFont="1" applyFill="1" applyBorder="1" applyAlignment="1" applyProtection="1">
      <alignment horizontal="left" vertical="top"/>
      <protection hidden="1"/>
    </xf>
    <xf numFmtId="0" fontId="7" fillId="13" borderId="187" xfId="0" applyFont="1" applyFill="1" applyBorder="1" applyProtection="1">
      <protection hidden="1"/>
    </xf>
    <xf numFmtId="0" fontId="7" fillId="13" borderId="188" xfId="0" applyFont="1" applyFill="1" applyBorder="1" applyProtection="1">
      <protection hidden="1"/>
    </xf>
    <xf numFmtId="0" fontId="7" fillId="13" borderId="189" xfId="0" applyFont="1" applyFill="1" applyBorder="1" applyProtection="1">
      <protection hidden="1"/>
    </xf>
    <xf numFmtId="4" fontId="18" fillId="7" borderId="187" xfId="0" applyNumberFormat="1" applyFont="1" applyFill="1" applyBorder="1" applyAlignment="1" applyProtection="1">
      <alignment horizontal="left" vertical="top"/>
      <protection hidden="1"/>
    </xf>
    <xf numFmtId="4" fontId="18" fillId="7" borderId="188" xfId="0" applyNumberFormat="1" applyFont="1" applyFill="1" applyBorder="1" applyAlignment="1" applyProtection="1">
      <alignment horizontal="left" vertical="top"/>
      <protection hidden="1"/>
    </xf>
    <xf numFmtId="4" fontId="18" fillId="7" borderId="189" xfId="0" applyNumberFormat="1" applyFont="1" applyFill="1" applyBorder="1" applyAlignment="1" applyProtection="1">
      <alignment horizontal="left" vertical="top"/>
      <protection hidden="1"/>
    </xf>
    <xf numFmtId="0" fontId="7" fillId="14" borderId="51" xfId="0" applyFont="1" applyFill="1" applyBorder="1" applyAlignment="1">
      <alignment horizontal="left" vertical="top"/>
    </xf>
    <xf numFmtId="175" fontId="7" fillId="14" borderId="51" xfId="0" applyNumberFormat="1" applyFont="1" applyFill="1" applyBorder="1" applyAlignment="1">
      <alignment horizontal="left" vertical="top"/>
    </xf>
    <xf numFmtId="0" fontId="7" fillId="18" borderId="51" xfId="0" applyFont="1" applyFill="1" applyBorder="1" applyAlignment="1">
      <alignment horizontal="left" vertical="top"/>
    </xf>
    <xf numFmtId="2" fontId="18" fillId="3" borderId="51" xfId="0" applyNumberFormat="1" applyFont="1" applyFill="1" applyBorder="1" applyAlignment="1" applyProtection="1">
      <alignment horizontal="left" vertical="top"/>
      <protection hidden="1"/>
    </xf>
    <xf numFmtId="2" fontId="18" fillId="7" borderId="51" xfId="0" applyNumberFormat="1" applyFont="1" applyFill="1" applyBorder="1" applyAlignment="1" applyProtection="1">
      <alignment horizontal="left" vertical="top"/>
      <protection hidden="1"/>
    </xf>
    <xf numFmtId="0" fontId="18" fillId="7" borderId="51" xfId="0" applyFont="1" applyFill="1" applyBorder="1" applyProtection="1">
      <protection hidden="1"/>
    </xf>
    <xf numFmtId="0" fontId="48" fillId="8" borderId="52" xfId="0" applyFont="1" applyFill="1" applyBorder="1" applyAlignment="1" applyProtection="1">
      <alignment vertical="center"/>
      <protection hidden="1"/>
    </xf>
    <xf numFmtId="0" fontId="48" fillId="8" borderId="53" xfId="0" applyFont="1" applyFill="1" applyBorder="1" applyAlignment="1" applyProtection="1">
      <alignment vertical="center"/>
      <protection hidden="1"/>
    </xf>
    <xf numFmtId="0" fontId="7" fillId="9" borderId="69" xfId="0" applyFont="1" applyFill="1" applyBorder="1" applyAlignment="1" applyProtection="1">
      <alignment horizontal="left" vertical="top" wrapText="1"/>
      <protection hidden="1"/>
    </xf>
    <xf numFmtId="0" fontId="7" fillId="9" borderId="70" xfId="0" applyFont="1" applyFill="1" applyBorder="1" applyAlignment="1" applyProtection="1">
      <alignment horizontal="left" vertical="top" wrapText="1"/>
      <protection hidden="1"/>
    </xf>
    <xf numFmtId="0" fontId="7" fillId="9" borderId="71" xfId="0" applyFont="1" applyFill="1" applyBorder="1" applyAlignment="1" applyProtection="1">
      <alignment horizontal="left" vertical="top" wrapText="1"/>
      <protection hidden="1"/>
    </xf>
    <xf numFmtId="0" fontId="7" fillId="9" borderId="0" xfId="0" applyFont="1" applyFill="1" applyAlignment="1" applyProtection="1">
      <alignment horizontal="left" vertical="top" wrapText="1"/>
      <protection hidden="1"/>
    </xf>
    <xf numFmtId="0" fontId="7" fillId="9" borderId="72" xfId="0" applyFont="1" applyFill="1" applyBorder="1" applyAlignment="1" applyProtection="1">
      <alignment horizontal="left" vertical="top" wrapText="1"/>
      <protection hidden="1"/>
    </xf>
    <xf numFmtId="0" fontId="7" fillId="9" borderId="73" xfId="0" applyFont="1" applyFill="1" applyBorder="1" applyAlignment="1" applyProtection="1">
      <alignment horizontal="left" vertical="top" wrapText="1"/>
      <protection hidden="1"/>
    </xf>
    <xf numFmtId="171" fontId="18" fillId="3" borderId="51" xfId="0" applyNumberFormat="1" applyFont="1" applyFill="1" applyBorder="1" applyAlignment="1" applyProtection="1">
      <alignment horizontal="left" vertical="top"/>
      <protection hidden="1"/>
    </xf>
    <xf numFmtId="169" fontId="18" fillId="7" borderId="51" xfId="0" applyNumberFormat="1" applyFont="1" applyFill="1" applyBorder="1" applyAlignment="1" applyProtection="1">
      <alignment horizontal="left" vertical="top"/>
      <protection hidden="1"/>
    </xf>
    <xf numFmtId="0" fontId="18" fillId="7" borderId="139" xfId="0" applyFont="1" applyFill="1" applyBorder="1" applyProtection="1">
      <protection hidden="1"/>
    </xf>
    <xf numFmtId="4" fontId="18" fillId="7" borderId="139" xfId="0" applyNumberFormat="1" applyFont="1" applyFill="1" applyBorder="1" applyAlignment="1" applyProtection="1">
      <alignment horizontal="left" vertical="top"/>
      <protection hidden="1"/>
    </xf>
    <xf numFmtId="171" fontId="18" fillId="7" borderId="51" xfId="0" applyNumberFormat="1" applyFont="1" applyFill="1" applyBorder="1" applyAlignment="1" applyProtection="1">
      <alignment horizontal="left" vertical="top"/>
      <protection hidden="1"/>
    </xf>
    <xf numFmtId="0" fontId="18" fillId="7" borderId="52" xfId="0" applyFont="1" applyFill="1" applyBorder="1" applyProtection="1">
      <protection hidden="1"/>
    </xf>
    <xf numFmtId="0" fontId="18" fillId="7" borderId="53" xfId="0" applyFont="1" applyFill="1" applyBorder="1" applyProtection="1">
      <protection hidden="1"/>
    </xf>
    <xf numFmtId="0" fontId="18" fillId="7" borderId="54" xfId="0" applyFont="1" applyFill="1" applyBorder="1" applyProtection="1">
      <protection hidden="1"/>
    </xf>
    <xf numFmtId="167" fontId="18" fillId="7" borderId="52" xfId="0" applyNumberFormat="1" applyFont="1" applyFill="1" applyBorder="1" applyAlignment="1" applyProtection="1">
      <alignment horizontal="left" vertical="top"/>
      <protection hidden="1"/>
    </xf>
    <xf numFmtId="167" fontId="18" fillId="7" borderId="53" xfId="0" applyNumberFormat="1" applyFont="1" applyFill="1" applyBorder="1" applyAlignment="1" applyProtection="1">
      <alignment horizontal="left" vertical="top"/>
      <protection hidden="1"/>
    </xf>
    <xf numFmtId="167" fontId="18" fillId="7" borderId="54" xfId="0" applyNumberFormat="1" applyFont="1" applyFill="1" applyBorder="1" applyAlignment="1" applyProtection="1">
      <alignment horizontal="left" vertical="top"/>
      <protection hidden="1"/>
    </xf>
    <xf numFmtId="0" fontId="7" fillId="14" borderId="51" xfId="0" applyFont="1" applyFill="1" applyBorder="1" applyProtection="1">
      <protection hidden="1"/>
    </xf>
    <xf numFmtId="0" fontId="7" fillId="18" borderId="51" xfId="0" applyFont="1" applyFill="1" applyBorder="1" applyProtection="1">
      <protection hidden="1"/>
    </xf>
    <xf numFmtId="166" fontId="7" fillId="14" borderId="51" xfId="0" applyNumberFormat="1" applyFont="1" applyFill="1" applyBorder="1" applyAlignment="1">
      <alignment horizontal="left" vertical="top"/>
    </xf>
    <xf numFmtId="0" fontId="7" fillId="15" borderId="51" xfId="0" applyFont="1" applyFill="1" applyBorder="1" applyAlignment="1" applyProtection="1">
      <alignment horizontal="left" vertical="top"/>
      <protection hidden="1"/>
    </xf>
    <xf numFmtId="0" fontId="7" fillId="17" borderId="51" xfId="0" applyFont="1" applyFill="1" applyBorder="1" applyAlignment="1">
      <alignment horizontal="left" vertical="top"/>
    </xf>
    <xf numFmtId="0" fontId="7" fillId="15" borderId="51" xfId="0" applyFont="1" applyFill="1" applyBorder="1" applyProtection="1">
      <protection hidden="1"/>
    </xf>
    <xf numFmtId="0" fontId="7" fillId="16" borderId="51" xfId="0" applyFont="1" applyFill="1" applyBorder="1" applyAlignment="1">
      <alignment horizontal="left" vertical="top"/>
    </xf>
    <xf numFmtId="14" fontId="7" fillId="16" borderId="51" xfId="0" applyNumberFormat="1" applyFont="1" applyFill="1" applyBorder="1" applyAlignment="1">
      <alignment horizontal="left" vertical="top"/>
    </xf>
    <xf numFmtId="0" fontId="7" fillId="15" borderId="51" xfId="0" applyFont="1" applyFill="1" applyBorder="1" applyAlignment="1">
      <alignment horizontal="left" vertical="top"/>
    </xf>
    <xf numFmtId="182" fontId="7" fillId="16" borderId="51" xfId="0" applyNumberFormat="1" applyFont="1" applyFill="1" applyBorder="1" applyAlignment="1">
      <alignment horizontal="left" vertical="top"/>
    </xf>
    <xf numFmtId="0" fontId="7" fillId="16" borderId="74" xfId="0" applyFont="1" applyFill="1" applyBorder="1" applyProtection="1">
      <protection hidden="1"/>
    </xf>
    <xf numFmtId="0" fontId="48" fillId="8" borderId="51" xfId="0" applyFont="1" applyFill="1" applyBorder="1" applyAlignment="1" applyProtection="1">
      <alignment vertical="center"/>
      <protection hidden="1"/>
    </xf>
    <xf numFmtId="0" fontId="7" fillId="17" borderId="51" xfId="0" applyFont="1" applyFill="1" applyBorder="1" applyProtection="1">
      <protection hidden="1"/>
    </xf>
    <xf numFmtId="167" fontId="18" fillId="3" borderId="51" xfId="0" applyNumberFormat="1" applyFont="1" applyFill="1" applyBorder="1" applyAlignment="1" applyProtection="1">
      <alignment horizontal="left" vertical="top"/>
      <protection hidden="1"/>
    </xf>
    <xf numFmtId="4" fontId="18" fillId="7" borderId="51" xfId="0" applyNumberFormat="1" applyFont="1" applyFill="1" applyBorder="1" applyAlignment="1" applyProtection="1">
      <alignment horizontal="left" vertical="top"/>
      <protection hidden="1"/>
    </xf>
    <xf numFmtId="4" fontId="18" fillId="3" borderId="51" xfId="0" applyNumberFormat="1" applyFont="1" applyFill="1" applyBorder="1" applyAlignment="1" applyProtection="1">
      <alignment horizontal="left" vertical="top"/>
      <protection hidden="1"/>
    </xf>
    <xf numFmtId="0" fontId="7" fillId="13" borderId="51" xfId="0" applyFont="1" applyFill="1" applyBorder="1" applyAlignment="1">
      <alignment horizontal="left" vertical="top"/>
    </xf>
    <xf numFmtId="0" fontId="7" fillId="13" borderId="51" xfId="0" applyFont="1" applyFill="1" applyBorder="1" applyProtection="1">
      <protection hidden="1"/>
    </xf>
    <xf numFmtId="0" fontId="7" fillId="16" borderId="51" xfId="0" applyFont="1" applyFill="1" applyBorder="1" applyProtection="1">
      <protection hidden="1"/>
    </xf>
    <xf numFmtId="175" fontId="7" fillId="16" borderId="51" xfId="0" applyNumberFormat="1" applyFont="1" applyFill="1" applyBorder="1" applyAlignment="1">
      <alignment horizontal="left" vertical="top"/>
    </xf>
    <xf numFmtId="168" fontId="7" fillId="0" borderId="51" xfId="0" applyNumberFormat="1" applyFont="1" applyBorder="1" applyAlignment="1" applyProtection="1">
      <alignment horizontal="left" vertical="top"/>
      <protection locked="0"/>
    </xf>
    <xf numFmtId="0" fontId="18" fillId="7" borderId="53" xfId="0" applyFont="1" applyFill="1" applyBorder="1" applyAlignment="1" applyProtection="1">
      <alignment horizontal="left" vertical="top"/>
      <protection hidden="1"/>
    </xf>
    <xf numFmtId="0" fontId="18" fillId="7" borderId="54" xfId="0" applyFont="1" applyFill="1" applyBorder="1" applyAlignment="1" applyProtection="1">
      <alignment horizontal="left" vertical="top"/>
      <protection hidden="1"/>
    </xf>
    <xf numFmtId="0" fontId="7" fillId="0" borderId="51" xfId="0" applyFont="1" applyBorder="1" applyAlignment="1" applyProtection="1">
      <alignment horizontal="left" vertical="top"/>
      <protection locked="0"/>
    </xf>
    <xf numFmtId="49" fontId="7" fillId="0" borderId="51" xfId="0" applyNumberFormat="1" applyFont="1" applyBorder="1" applyAlignment="1" applyProtection="1">
      <alignment horizontal="left" vertical="top"/>
      <protection locked="0"/>
    </xf>
    <xf numFmtId="175" fontId="7" fillId="17" borderId="51" xfId="0" applyNumberFormat="1" applyFont="1" applyFill="1" applyBorder="1" applyAlignment="1">
      <alignment horizontal="left" vertical="top"/>
    </xf>
    <xf numFmtId="166" fontId="7" fillId="15" borderId="51" xfId="0" applyNumberFormat="1" applyFont="1" applyFill="1" applyBorder="1" applyAlignment="1">
      <alignment horizontal="left" vertical="top"/>
    </xf>
    <xf numFmtId="175" fontId="7" fillId="15" borderId="51" xfId="0" applyNumberFormat="1" applyFont="1" applyFill="1" applyBorder="1" applyAlignment="1">
      <alignment horizontal="left" vertical="top"/>
    </xf>
    <xf numFmtId="182" fontId="7" fillId="16" borderId="109" xfId="0" applyNumberFormat="1" applyFont="1" applyFill="1" applyBorder="1" applyAlignment="1">
      <alignment horizontal="left" vertical="top"/>
    </xf>
    <xf numFmtId="182" fontId="7" fillId="16" borderId="108" xfId="0" applyNumberFormat="1" applyFont="1" applyFill="1" applyBorder="1" applyAlignment="1">
      <alignment horizontal="left" vertical="top"/>
    </xf>
    <xf numFmtId="0" fontId="7" fillId="18" borderId="52" xfId="0" applyFont="1" applyFill="1" applyBorder="1" applyAlignment="1">
      <alignment horizontal="left" vertical="top"/>
    </xf>
    <xf numFmtId="0" fontId="7" fillId="18" borderId="53" xfId="0" applyFont="1" applyFill="1" applyBorder="1" applyAlignment="1">
      <alignment horizontal="left" vertical="top"/>
    </xf>
    <xf numFmtId="0" fontId="7" fillId="18" borderId="54" xfId="0" applyFont="1" applyFill="1" applyBorder="1" applyAlignment="1">
      <alignment horizontal="left" vertical="top"/>
    </xf>
    <xf numFmtId="166" fontId="7" fillId="17" borderId="51" xfId="0" applyNumberFormat="1" applyFont="1" applyFill="1" applyBorder="1" applyAlignment="1">
      <alignment horizontal="left" vertical="top"/>
    </xf>
    <xf numFmtId="0" fontId="7" fillId="16" borderId="107" xfId="0" applyFont="1" applyFill="1" applyBorder="1" applyProtection="1">
      <protection hidden="1"/>
    </xf>
    <xf numFmtId="166" fontId="7" fillId="18" borderId="51" xfId="0" applyNumberFormat="1" applyFont="1" applyFill="1" applyBorder="1" applyAlignment="1">
      <alignment horizontal="left" vertical="top"/>
    </xf>
    <xf numFmtId="0" fontId="18" fillId="7" borderId="140" xfId="0" applyFont="1" applyFill="1" applyBorder="1" applyProtection="1">
      <protection hidden="1"/>
    </xf>
    <xf numFmtId="167" fontId="18" fillId="7" borderId="141" xfId="0" applyNumberFormat="1" applyFont="1" applyFill="1" applyBorder="1" applyAlignment="1" applyProtection="1">
      <alignment horizontal="left" vertical="top"/>
      <protection hidden="1"/>
    </xf>
    <xf numFmtId="167" fontId="18" fillId="7" borderId="142" xfId="0" applyNumberFormat="1" applyFont="1" applyFill="1" applyBorder="1" applyAlignment="1" applyProtection="1">
      <alignment horizontal="left" vertical="top"/>
      <protection hidden="1"/>
    </xf>
    <xf numFmtId="167" fontId="18" fillId="7" borderId="143" xfId="0" applyNumberFormat="1" applyFont="1" applyFill="1" applyBorder="1" applyAlignment="1" applyProtection="1">
      <alignment horizontal="left" vertical="top"/>
      <protection hidden="1"/>
    </xf>
    <xf numFmtId="167" fontId="18" fillId="3" borderId="52" xfId="0" applyNumberFormat="1" applyFont="1" applyFill="1" applyBorder="1" applyAlignment="1" applyProtection="1">
      <alignment horizontal="left" vertical="top"/>
      <protection hidden="1"/>
    </xf>
    <xf numFmtId="167" fontId="18" fillId="3" borderId="53" xfId="0" applyNumberFormat="1" applyFont="1" applyFill="1" applyBorder="1" applyAlignment="1" applyProtection="1">
      <alignment horizontal="left" vertical="top"/>
      <protection hidden="1"/>
    </xf>
    <xf numFmtId="167" fontId="18" fillId="3" borderId="54" xfId="0" applyNumberFormat="1" applyFont="1" applyFill="1" applyBorder="1" applyAlignment="1" applyProtection="1">
      <alignment horizontal="left" vertical="top"/>
      <protection hidden="1"/>
    </xf>
    <xf numFmtId="167" fontId="18" fillId="3" borderId="187" xfId="0" applyNumberFormat="1" applyFont="1" applyFill="1" applyBorder="1" applyAlignment="1" applyProtection="1">
      <alignment horizontal="left" vertical="top"/>
      <protection hidden="1"/>
    </xf>
    <xf numFmtId="167" fontId="18" fillId="3" borderId="188" xfId="0" applyNumberFormat="1" applyFont="1" applyFill="1" applyBorder="1" applyAlignment="1" applyProtection="1">
      <alignment horizontal="left" vertical="top"/>
      <protection hidden="1"/>
    </xf>
    <xf numFmtId="167" fontId="18" fillId="3" borderId="189" xfId="0" applyNumberFormat="1" applyFont="1" applyFill="1" applyBorder="1" applyAlignment="1" applyProtection="1">
      <alignment horizontal="left" vertical="top"/>
      <protection hidden="1"/>
    </xf>
    <xf numFmtId="0" fontId="18" fillId="7" borderId="187" xfId="0" applyFont="1" applyFill="1" applyBorder="1" applyProtection="1">
      <protection hidden="1"/>
    </xf>
    <xf numFmtId="0" fontId="18" fillId="7" borderId="188" xfId="0" applyFont="1" applyFill="1" applyBorder="1" applyProtection="1">
      <protection hidden="1"/>
    </xf>
    <xf numFmtId="0" fontId="18" fillId="7" borderId="189" xfId="0" applyFont="1" applyFill="1" applyBorder="1" applyProtection="1">
      <protection hidden="1"/>
    </xf>
    <xf numFmtId="0" fontId="7" fillId="14" borderId="51" xfId="0" applyFont="1" applyFill="1" applyBorder="1" applyAlignment="1" applyProtection="1">
      <alignment horizontal="left" vertical="top"/>
      <protection hidden="1"/>
    </xf>
  </cellXfs>
  <cellStyles count="57081">
    <cellStyle name="20% - Accent1 10" xfId="56" xr:uid="{00000000-0005-0000-0000-000000000000}"/>
    <cellStyle name="20% - Accent1 10 2" xfId="57" xr:uid="{00000000-0005-0000-0000-000001000000}"/>
    <cellStyle name="20% - Accent1 10 3" xfId="58" xr:uid="{00000000-0005-0000-0000-000002000000}"/>
    <cellStyle name="20% - Accent1 11" xfId="59" xr:uid="{00000000-0005-0000-0000-000003000000}"/>
    <cellStyle name="20% - Accent1 11 2" xfId="60" xr:uid="{00000000-0005-0000-0000-000004000000}"/>
    <cellStyle name="20% - Accent1 11 3" xfId="61" xr:uid="{00000000-0005-0000-0000-000005000000}"/>
    <cellStyle name="20% - Accent1 12" xfId="62" xr:uid="{00000000-0005-0000-0000-000006000000}"/>
    <cellStyle name="20% - Accent1 12 2" xfId="63" xr:uid="{00000000-0005-0000-0000-000007000000}"/>
    <cellStyle name="20% - Accent1 12 3" xfId="64" xr:uid="{00000000-0005-0000-0000-000008000000}"/>
    <cellStyle name="20% - Accent1 13" xfId="65" xr:uid="{00000000-0005-0000-0000-000009000000}"/>
    <cellStyle name="20% - Accent1 13 2" xfId="66" xr:uid="{00000000-0005-0000-0000-00000A000000}"/>
    <cellStyle name="20% - Accent1 13 3" xfId="67" xr:uid="{00000000-0005-0000-0000-00000B000000}"/>
    <cellStyle name="20% - Accent1 14" xfId="68" xr:uid="{00000000-0005-0000-0000-00000C000000}"/>
    <cellStyle name="20% - Accent1 14 2" xfId="69" xr:uid="{00000000-0005-0000-0000-00000D000000}"/>
    <cellStyle name="20% - Accent1 14 3" xfId="70" xr:uid="{00000000-0005-0000-0000-00000E000000}"/>
    <cellStyle name="20% - Accent1 15" xfId="71" xr:uid="{00000000-0005-0000-0000-00000F000000}"/>
    <cellStyle name="20% - Accent1 15 2" xfId="72" xr:uid="{00000000-0005-0000-0000-000010000000}"/>
    <cellStyle name="20% - Accent1 15 3" xfId="73" xr:uid="{00000000-0005-0000-0000-000011000000}"/>
    <cellStyle name="20% - Accent1 15 4" xfId="74" xr:uid="{00000000-0005-0000-0000-000012000000}"/>
    <cellStyle name="20% - Accent1 15 5" xfId="75" xr:uid="{00000000-0005-0000-0000-000013000000}"/>
    <cellStyle name="20% - Accent1 15 6" xfId="76" xr:uid="{00000000-0005-0000-0000-000014000000}"/>
    <cellStyle name="20% - Accent1 15 7" xfId="77" xr:uid="{00000000-0005-0000-0000-000015000000}"/>
    <cellStyle name="20% - Accent1 16" xfId="78" xr:uid="{00000000-0005-0000-0000-000016000000}"/>
    <cellStyle name="20% - Accent1 17" xfId="79" xr:uid="{00000000-0005-0000-0000-000017000000}"/>
    <cellStyle name="20% - Accent1 18" xfId="80" xr:uid="{00000000-0005-0000-0000-000018000000}"/>
    <cellStyle name="20% - Accent1 19" xfId="81" xr:uid="{00000000-0005-0000-0000-000019000000}"/>
    <cellStyle name="20% - Accent1 2" xfId="82" xr:uid="{00000000-0005-0000-0000-00001A000000}"/>
    <cellStyle name="20% - Accent1 2 10" xfId="83" xr:uid="{00000000-0005-0000-0000-00001B000000}"/>
    <cellStyle name="20% - Accent1 2 11" xfId="84" xr:uid="{00000000-0005-0000-0000-00001C000000}"/>
    <cellStyle name="20% - Accent1 2 12" xfId="85" xr:uid="{00000000-0005-0000-0000-00001D000000}"/>
    <cellStyle name="20% - Accent1 2 13" xfId="86" xr:uid="{00000000-0005-0000-0000-00001E000000}"/>
    <cellStyle name="20% - Accent1 2 14" xfId="87" xr:uid="{00000000-0005-0000-0000-00001F000000}"/>
    <cellStyle name="20% - Accent1 2 2" xfId="88" xr:uid="{00000000-0005-0000-0000-000020000000}"/>
    <cellStyle name="20% - Accent1 2 3" xfId="89" xr:uid="{00000000-0005-0000-0000-000021000000}"/>
    <cellStyle name="20% - Accent1 2 4" xfId="90" xr:uid="{00000000-0005-0000-0000-000022000000}"/>
    <cellStyle name="20% - Accent1 2 5" xfId="91" xr:uid="{00000000-0005-0000-0000-000023000000}"/>
    <cellStyle name="20% - Accent1 2 6" xfId="92" xr:uid="{00000000-0005-0000-0000-000024000000}"/>
    <cellStyle name="20% - Accent1 2 7" xfId="93" xr:uid="{00000000-0005-0000-0000-000025000000}"/>
    <cellStyle name="20% - Accent1 2 8" xfId="94" xr:uid="{00000000-0005-0000-0000-000026000000}"/>
    <cellStyle name="20% - Accent1 2 9" xfId="95" xr:uid="{00000000-0005-0000-0000-000027000000}"/>
    <cellStyle name="20% - Accent1 20" xfId="96" xr:uid="{00000000-0005-0000-0000-000028000000}"/>
    <cellStyle name="20% - Accent1 21" xfId="97" xr:uid="{00000000-0005-0000-0000-000029000000}"/>
    <cellStyle name="20% - Accent1 22" xfId="98" xr:uid="{00000000-0005-0000-0000-00002A000000}"/>
    <cellStyle name="20% - Accent1 23" xfId="99" xr:uid="{00000000-0005-0000-0000-00002B000000}"/>
    <cellStyle name="20% - Accent1 24" xfId="100" xr:uid="{00000000-0005-0000-0000-00002C000000}"/>
    <cellStyle name="20% - Accent1 25" xfId="101" xr:uid="{00000000-0005-0000-0000-00002D000000}"/>
    <cellStyle name="20% - Accent1 26" xfId="102" xr:uid="{00000000-0005-0000-0000-00002E000000}"/>
    <cellStyle name="20% - Accent1 27" xfId="103" xr:uid="{00000000-0005-0000-0000-00002F000000}"/>
    <cellStyle name="20% - Accent1 28" xfId="104" xr:uid="{00000000-0005-0000-0000-000030000000}"/>
    <cellStyle name="20% - Accent1 29" xfId="105" xr:uid="{00000000-0005-0000-0000-000031000000}"/>
    <cellStyle name="20% - Accent1 3" xfId="106" xr:uid="{00000000-0005-0000-0000-000032000000}"/>
    <cellStyle name="20% - Accent1 3 2" xfId="107" xr:uid="{00000000-0005-0000-0000-000033000000}"/>
    <cellStyle name="20% - Accent1 3 3" xfId="108" xr:uid="{00000000-0005-0000-0000-000034000000}"/>
    <cellStyle name="20% - Accent1 30" xfId="109" xr:uid="{00000000-0005-0000-0000-000035000000}"/>
    <cellStyle name="20% - Accent1 31" xfId="110" xr:uid="{00000000-0005-0000-0000-000036000000}"/>
    <cellStyle name="20% - Accent1 32" xfId="111" xr:uid="{00000000-0005-0000-0000-000037000000}"/>
    <cellStyle name="20% - Accent1 33" xfId="112" xr:uid="{00000000-0005-0000-0000-000038000000}"/>
    <cellStyle name="20% - Accent1 34" xfId="113" xr:uid="{00000000-0005-0000-0000-000039000000}"/>
    <cellStyle name="20% - Accent1 4" xfId="114" xr:uid="{00000000-0005-0000-0000-00003A000000}"/>
    <cellStyle name="20% - Accent1 4 2" xfId="115" xr:uid="{00000000-0005-0000-0000-00003B000000}"/>
    <cellStyle name="20% - Accent1 4 3" xfId="116" xr:uid="{00000000-0005-0000-0000-00003C000000}"/>
    <cellStyle name="20% - Accent1 5" xfId="117" xr:uid="{00000000-0005-0000-0000-00003D000000}"/>
    <cellStyle name="20% - Accent1 5 2" xfId="118" xr:uid="{00000000-0005-0000-0000-00003E000000}"/>
    <cellStyle name="20% - Accent1 5 3" xfId="119" xr:uid="{00000000-0005-0000-0000-00003F000000}"/>
    <cellStyle name="20% - Accent1 6" xfId="120" xr:uid="{00000000-0005-0000-0000-000040000000}"/>
    <cellStyle name="20% - Accent1 6 2" xfId="121" xr:uid="{00000000-0005-0000-0000-000041000000}"/>
    <cellStyle name="20% - Accent1 6 3" xfId="122" xr:uid="{00000000-0005-0000-0000-000042000000}"/>
    <cellStyle name="20% - Accent1 7" xfId="123" xr:uid="{00000000-0005-0000-0000-000043000000}"/>
    <cellStyle name="20% - Accent1 7 2" xfId="124" xr:uid="{00000000-0005-0000-0000-000044000000}"/>
    <cellStyle name="20% - Accent1 7 3" xfId="125" xr:uid="{00000000-0005-0000-0000-000045000000}"/>
    <cellStyle name="20% - Accent1 8" xfId="126" xr:uid="{00000000-0005-0000-0000-000046000000}"/>
    <cellStyle name="20% - Accent1 8 2" xfId="127" xr:uid="{00000000-0005-0000-0000-000047000000}"/>
    <cellStyle name="20% - Accent1 8 3" xfId="128" xr:uid="{00000000-0005-0000-0000-000048000000}"/>
    <cellStyle name="20% - Accent1 9" xfId="129" xr:uid="{00000000-0005-0000-0000-000049000000}"/>
    <cellStyle name="20% - Accent1 9 2" xfId="130" xr:uid="{00000000-0005-0000-0000-00004A000000}"/>
    <cellStyle name="20% - Accent1 9 3" xfId="131" xr:uid="{00000000-0005-0000-0000-00004B000000}"/>
    <cellStyle name="20% - Accent2 10" xfId="132" xr:uid="{00000000-0005-0000-0000-00004C000000}"/>
    <cellStyle name="20% - Accent2 10 2" xfId="133" xr:uid="{00000000-0005-0000-0000-00004D000000}"/>
    <cellStyle name="20% - Accent2 10 3" xfId="134" xr:uid="{00000000-0005-0000-0000-00004E000000}"/>
    <cellStyle name="20% - Accent2 11" xfId="135" xr:uid="{00000000-0005-0000-0000-00004F000000}"/>
    <cellStyle name="20% - Accent2 11 2" xfId="136" xr:uid="{00000000-0005-0000-0000-000050000000}"/>
    <cellStyle name="20% - Accent2 11 3" xfId="137" xr:uid="{00000000-0005-0000-0000-000051000000}"/>
    <cellStyle name="20% - Accent2 12" xfId="138" xr:uid="{00000000-0005-0000-0000-000052000000}"/>
    <cellStyle name="20% - Accent2 12 2" xfId="139" xr:uid="{00000000-0005-0000-0000-000053000000}"/>
    <cellStyle name="20% - Accent2 12 3" xfId="140" xr:uid="{00000000-0005-0000-0000-000054000000}"/>
    <cellStyle name="20% - Accent2 13" xfId="141" xr:uid="{00000000-0005-0000-0000-000055000000}"/>
    <cellStyle name="20% - Accent2 13 2" xfId="142" xr:uid="{00000000-0005-0000-0000-000056000000}"/>
    <cellStyle name="20% - Accent2 13 3" xfId="143" xr:uid="{00000000-0005-0000-0000-000057000000}"/>
    <cellStyle name="20% - Accent2 14" xfId="144" xr:uid="{00000000-0005-0000-0000-000058000000}"/>
    <cellStyle name="20% - Accent2 14 2" xfId="145" xr:uid="{00000000-0005-0000-0000-000059000000}"/>
    <cellStyle name="20% - Accent2 14 3" xfId="146" xr:uid="{00000000-0005-0000-0000-00005A000000}"/>
    <cellStyle name="20% - Accent2 15" xfId="147" xr:uid="{00000000-0005-0000-0000-00005B000000}"/>
    <cellStyle name="20% - Accent2 15 2" xfId="148" xr:uid="{00000000-0005-0000-0000-00005C000000}"/>
    <cellStyle name="20% - Accent2 15 3" xfId="149" xr:uid="{00000000-0005-0000-0000-00005D000000}"/>
    <cellStyle name="20% - Accent2 15 4" xfId="150" xr:uid="{00000000-0005-0000-0000-00005E000000}"/>
    <cellStyle name="20% - Accent2 15 5" xfId="151" xr:uid="{00000000-0005-0000-0000-00005F000000}"/>
    <cellStyle name="20% - Accent2 15 6" xfId="152" xr:uid="{00000000-0005-0000-0000-000060000000}"/>
    <cellStyle name="20% - Accent2 15 7" xfId="153" xr:uid="{00000000-0005-0000-0000-000061000000}"/>
    <cellStyle name="20% - Accent2 16" xfId="154" xr:uid="{00000000-0005-0000-0000-000062000000}"/>
    <cellStyle name="20% - Accent2 17" xfId="155" xr:uid="{00000000-0005-0000-0000-000063000000}"/>
    <cellStyle name="20% - Accent2 18" xfId="156" xr:uid="{00000000-0005-0000-0000-000064000000}"/>
    <cellStyle name="20% - Accent2 19" xfId="157" xr:uid="{00000000-0005-0000-0000-000065000000}"/>
    <cellStyle name="20% - Accent2 2" xfId="158" xr:uid="{00000000-0005-0000-0000-000066000000}"/>
    <cellStyle name="20% - Accent2 2 10" xfId="159" xr:uid="{00000000-0005-0000-0000-000067000000}"/>
    <cellStyle name="20% - Accent2 2 11" xfId="160" xr:uid="{00000000-0005-0000-0000-000068000000}"/>
    <cellStyle name="20% - Accent2 2 12" xfId="161" xr:uid="{00000000-0005-0000-0000-000069000000}"/>
    <cellStyle name="20% - Accent2 2 13" xfId="162" xr:uid="{00000000-0005-0000-0000-00006A000000}"/>
    <cellStyle name="20% - Accent2 2 14" xfId="163" xr:uid="{00000000-0005-0000-0000-00006B000000}"/>
    <cellStyle name="20% - Accent2 2 2" xfId="164" xr:uid="{00000000-0005-0000-0000-00006C000000}"/>
    <cellStyle name="20% - Accent2 2 3" xfId="165" xr:uid="{00000000-0005-0000-0000-00006D000000}"/>
    <cellStyle name="20% - Accent2 2 4" xfId="166" xr:uid="{00000000-0005-0000-0000-00006E000000}"/>
    <cellStyle name="20% - Accent2 2 5" xfId="167" xr:uid="{00000000-0005-0000-0000-00006F000000}"/>
    <cellStyle name="20% - Accent2 2 6" xfId="168" xr:uid="{00000000-0005-0000-0000-000070000000}"/>
    <cellStyle name="20% - Accent2 2 7" xfId="169" xr:uid="{00000000-0005-0000-0000-000071000000}"/>
    <cellStyle name="20% - Accent2 2 8" xfId="170" xr:uid="{00000000-0005-0000-0000-000072000000}"/>
    <cellStyle name="20% - Accent2 2 9" xfId="171" xr:uid="{00000000-0005-0000-0000-000073000000}"/>
    <cellStyle name="20% - Accent2 20" xfId="172" xr:uid="{00000000-0005-0000-0000-000074000000}"/>
    <cellStyle name="20% - Accent2 21" xfId="173" xr:uid="{00000000-0005-0000-0000-000075000000}"/>
    <cellStyle name="20% - Accent2 22" xfId="174" xr:uid="{00000000-0005-0000-0000-000076000000}"/>
    <cellStyle name="20% - Accent2 23" xfId="175" xr:uid="{00000000-0005-0000-0000-000077000000}"/>
    <cellStyle name="20% - Accent2 24" xfId="176" xr:uid="{00000000-0005-0000-0000-000078000000}"/>
    <cellStyle name="20% - Accent2 25" xfId="177" xr:uid="{00000000-0005-0000-0000-000079000000}"/>
    <cellStyle name="20% - Accent2 26" xfId="178" xr:uid="{00000000-0005-0000-0000-00007A000000}"/>
    <cellStyle name="20% - Accent2 27" xfId="179" xr:uid="{00000000-0005-0000-0000-00007B000000}"/>
    <cellStyle name="20% - Accent2 28" xfId="180" xr:uid="{00000000-0005-0000-0000-00007C000000}"/>
    <cellStyle name="20% - Accent2 29" xfId="181" xr:uid="{00000000-0005-0000-0000-00007D000000}"/>
    <cellStyle name="20% - Accent2 3" xfId="182" xr:uid="{00000000-0005-0000-0000-00007E000000}"/>
    <cellStyle name="20% - Accent2 3 2" xfId="183" xr:uid="{00000000-0005-0000-0000-00007F000000}"/>
    <cellStyle name="20% - Accent2 3 3" xfId="184" xr:uid="{00000000-0005-0000-0000-000080000000}"/>
    <cellStyle name="20% - Accent2 30" xfId="185" xr:uid="{00000000-0005-0000-0000-000081000000}"/>
    <cellStyle name="20% - Accent2 31" xfId="186" xr:uid="{00000000-0005-0000-0000-000082000000}"/>
    <cellStyle name="20% - Accent2 32" xfId="187" xr:uid="{00000000-0005-0000-0000-000083000000}"/>
    <cellStyle name="20% - Accent2 33" xfId="188" xr:uid="{00000000-0005-0000-0000-000084000000}"/>
    <cellStyle name="20% - Accent2 34" xfId="189" xr:uid="{00000000-0005-0000-0000-000085000000}"/>
    <cellStyle name="20% - Accent2 4" xfId="190" xr:uid="{00000000-0005-0000-0000-000086000000}"/>
    <cellStyle name="20% - Accent2 4 2" xfId="191" xr:uid="{00000000-0005-0000-0000-000087000000}"/>
    <cellStyle name="20% - Accent2 4 3" xfId="192" xr:uid="{00000000-0005-0000-0000-000088000000}"/>
    <cellStyle name="20% - Accent2 5" xfId="193" xr:uid="{00000000-0005-0000-0000-000089000000}"/>
    <cellStyle name="20% - Accent2 5 2" xfId="194" xr:uid="{00000000-0005-0000-0000-00008A000000}"/>
    <cellStyle name="20% - Accent2 5 3" xfId="195" xr:uid="{00000000-0005-0000-0000-00008B000000}"/>
    <cellStyle name="20% - Accent2 6" xfId="196" xr:uid="{00000000-0005-0000-0000-00008C000000}"/>
    <cellStyle name="20% - Accent2 6 2" xfId="197" xr:uid="{00000000-0005-0000-0000-00008D000000}"/>
    <cellStyle name="20% - Accent2 6 3" xfId="198" xr:uid="{00000000-0005-0000-0000-00008E000000}"/>
    <cellStyle name="20% - Accent2 7" xfId="199" xr:uid="{00000000-0005-0000-0000-00008F000000}"/>
    <cellStyle name="20% - Accent2 7 2" xfId="200" xr:uid="{00000000-0005-0000-0000-000090000000}"/>
    <cellStyle name="20% - Accent2 7 3" xfId="201" xr:uid="{00000000-0005-0000-0000-000091000000}"/>
    <cellStyle name="20% - Accent2 8" xfId="202" xr:uid="{00000000-0005-0000-0000-000092000000}"/>
    <cellStyle name="20% - Accent2 8 2" xfId="203" xr:uid="{00000000-0005-0000-0000-000093000000}"/>
    <cellStyle name="20% - Accent2 8 3" xfId="204" xr:uid="{00000000-0005-0000-0000-000094000000}"/>
    <cellStyle name="20% - Accent2 9" xfId="205" xr:uid="{00000000-0005-0000-0000-000095000000}"/>
    <cellStyle name="20% - Accent2 9 2" xfId="206" xr:uid="{00000000-0005-0000-0000-000096000000}"/>
    <cellStyle name="20% - Accent2 9 3" xfId="207" xr:uid="{00000000-0005-0000-0000-000097000000}"/>
    <cellStyle name="20% - Accent3 10" xfId="208" xr:uid="{00000000-0005-0000-0000-000098000000}"/>
    <cellStyle name="20% - Accent3 10 2" xfId="209" xr:uid="{00000000-0005-0000-0000-000099000000}"/>
    <cellStyle name="20% - Accent3 10 3" xfId="210" xr:uid="{00000000-0005-0000-0000-00009A000000}"/>
    <cellStyle name="20% - Accent3 11" xfId="211" xr:uid="{00000000-0005-0000-0000-00009B000000}"/>
    <cellStyle name="20% - Accent3 11 2" xfId="212" xr:uid="{00000000-0005-0000-0000-00009C000000}"/>
    <cellStyle name="20% - Accent3 11 3" xfId="213" xr:uid="{00000000-0005-0000-0000-00009D000000}"/>
    <cellStyle name="20% - Accent3 12" xfId="214" xr:uid="{00000000-0005-0000-0000-00009E000000}"/>
    <cellStyle name="20% - Accent3 12 2" xfId="215" xr:uid="{00000000-0005-0000-0000-00009F000000}"/>
    <cellStyle name="20% - Accent3 12 3" xfId="216" xr:uid="{00000000-0005-0000-0000-0000A0000000}"/>
    <cellStyle name="20% - Accent3 13" xfId="217" xr:uid="{00000000-0005-0000-0000-0000A1000000}"/>
    <cellStyle name="20% - Accent3 13 2" xfId="218" xr:uid="{00000000-0005-0000-0000-0000A2000000}"/>
    <cellStyle name="20% - Accent3 13 3" xfId="219" xr:uid="{00000000-0005-0000-0000-0000A3000000}"/>
    <cellStyle name="20% - Accent3 14" xfId="220" xr:uid="{00000000-0005-0000-0000-0000A4000000}"/>
    <cellStyle name="20% - Accent3 14 2" xfId="221" xr:uid="{00000000-0005-0000-0000-0000A5000000}"/>
    <cellStyle name="20% - Accent3 14 3" xfId="222" xr:uid="{00000000-0005-0000-0000-0000A6000000}"/>
    <cellStyle name="20% - Accent3 15" xfId="223" xr:uid="{00000000-0005-0000-0000-0000A7000000}"/>
    <cellStyle name="20% - Accent3 15 2" xfId="224" xr:uid="{00000000-0005-0000-0000-0000A8000000}"/>
    <cellStyle name="20% - Accent3 15 3" xfId="225" xr:uid="{00000000-0005-0000-0000-0000A9000000}"/>
    <cellStyle name="20% - Accent3 15 4" xfId="226" xr:uid="{00000000-0005-0000-0000-0000AA000000}"/>
    <cellStyle name="20% - Accent3 15 5" xfId="227" xr:uid="{00000000-0005-0000-0000-0000AB000000}"/>
    <cellStyle name="20% - Accent3 15 6" xfId="228" xr:uid="{00000000-0005-0000-0000-0000AC000000}"/>
    <cellStyle name="20% - Accent3 15 7" xfId="229" xr:uid="{00000000-0005-0000-0000-0000AD000000}"/>
    <cellStyle name="20% - Accent3 16" xfId="230" xr:uid="{00000000-0005-0000-0000-0000AE000000}"/>
    <cellStyle name="20% - Accent3 17" xfId="231" xr:uid="{00000000-0005-0000-0000-0000AF000000}"/>
    <cellStyle name="20% - Accent3 18" xfId="232" xr:uid="{00000000-0005-0000-0000-0000B0000000}"/>
    <cellStyle name="20% - Accent3 19" xfId="233" xr:uid="{00000000-0005-0000-0000-0000B1000000}"/>
    <cellStyle name="20% - Accent3 2" xfId="234" xr:uid="{00000000-0005-0000-0000-0000B2000000}"/>
    <cellStyle name="20% - Accent3 2 10" xfId="235" xr:uid="{00000000-0005-0000-0000-0000B3000000}"/>
    <cellStyle name="20% - Accent3 2 11" xfId="236" xr:uid="{00000000-0005-0000-0000-0000B4000000}"/>
    <cellStyle name="20% - Accent3 2 12" xfId="237" xr:uid="{00000000-0005-0000-0000-0000B5000000}"/>
    <cellStyle name="20% - Accent3 2 13" xfId="238" xr:uid="{00000000-0005-0000-0000-0000B6000000}"/>
    <cellStyle name="20% - Accent3 2 14" xfId="239" xr:uid="{00000000-0005-0000-0000-0000B7000000}"/>
    <cellStyle name="20% - Accent3 2 2" xfId="240" xr:uid="{00000000-0005-0000-0000-0000B8000000}"/>
    <cellStyle name="20% - Accent3 2 3" xfId="241" xr:uid="{00000000-0005-0000-0000-0000B9000000}"/>
    <cellStyle name="20% - Accent3 2 4" xfId="242" xr:uid="{00000000-0005-0000-0000-0000BA000000}"/>
    <cellStyle name="20% - Accent3 2 5" xfId="243" xr:uid="{00000000-0005-0000-0000-0000BB000000}"/>
    <cellStyle name="20% - Accent3 2 6" xfId="244" xr:uid="{00000000-0005-0000-0000-0000BC000000}"/>
    <cellStyle name="20% - Accent3 2 7" xfId="245" xr:uid="{00000000-0005-0000-0000-0000BD000000}"/>
    <cellStyle name="20% - Accent3 2 8" xfId="246" xr:uid="{00000000-0005-0000-0000-0000BE000000}"/>
    <cellStyle name="20% - Accent3 2 9" xfId="247" xr:uid="{00000000-0005-0000-0000-0000BF000000}"/>
    <cellStyle name="20% - Accent3 20" xfId="248" xr:uid="{00000000-0005-0000-0000-0000C0000000}"/>
    <cellStyle name="20% - Accent3 21" xfId="249" xr:uid="{00000000-0005-0000-0000-0000C1000000}"/>
    <cellStyle name="20% - Accent3 22" xfId="250" xr:uid="{00000000-0005-0000-0000-0000C2000000}"/>
    <cellStyle name="20% - Accent3 23" xfId="251" xr:uid="{00000000-0005-0000-0000-0000C3000000}"/>
    <cellStyle name="20% - Accent3 24" xfId="252" xr:uid="{00000000-0005-0000-0000-0000C4000000}"/>
    <cellStyle name="20% - Accent3 25" xfId="253" xr:uid="{00000000-0005-0000-0000-0000C5000000}"/>
    <cellStyle name="20% - Accent3 26" xfId="254" xr:uid="{00000000-0005-0000-0000-0000C6000000}"/>
    <cellStyle name="20% - Accent3 27" xfId="255" xr:uid="{00000000-0005-0000-0000-0000C7000000}"/>
    <cellStyle name="20% - Accent3 28" xfId="256" xr:uid="{00000000-0005-0000-0000-0000C8000000}"/>
    <cellStyle name="20% - Accent3 29" xfId="257" xr:uid="{00000000-0005-0000-0000-0000C9000000}"/>
    <cellStyle name="20% - Accent3 3" xfId="258" xr:uid="{00000000-0005-0000-0000-0000CA000000}"/>
    <cellStyle name="20% - Accent3 3 2" xfId="259" xr:uid="{00000000-0005-0000-0000-0000CB000000}"/>
    <cellStyle name="20% - Accent3 3 3" xfId="260" xr:uid="{00000000-0005-0000-0000-0000CC000000}"/>
    <cellStyle name="20% - Accent3 30" xfId="261" xr:uid="{00000000-0005-0000-0000-0000CD000000}"/>
    <cellStyle name="20% - Accent3 31" xfId="262" xr:uid="{00000000-0005-0000-0000-0000CE000000}"/>
    <cellStyle name="20% - Accent3 32" xfId="263" xr:uid="{00000000-0005-0000-0000-0000CF000000}"/>
    <cellStyle name="20% - Accent3 33" xfId="264" xr:uid="{00000000-0005-0000-0000-0000D0000000}"/>
    <cellStyle name="20% - Accent3 34" xfId="265" xr:uid="{00000000-0005-0000-0000-0000D1000000}"/>
    <cellStyle name="20% - Accent3 4" xfId="266" xr:uid="{00000000-0005-0000-0000-0000D2000000}"/>
    <cellStyle name="20% - Accent3 4 2" xfId="267" xr:uid="{00000000-0005-0000-0000-0000D3000000}"/>
    <cellStyle name="20% - Accent3 4 3" xfId="268" xr:uid="{00000000-0005-0000-0000-0000D4000000}"/>
    <cellStyle name="20% - Accent3 5" xfId="269" xr:uid="{00000000-0005-0000-0000-0000D5000000}"/>
    <cellStyle name="20% - Accent3 5 2" xfId="270" xr:uid="{00000000-0005-0000-0000-0000D6000000}"/>
    <cellStyle name="20% - Accent3 5 3" xfId="271" xr:uid="{00000000-0005-0000-0000-0000D7000000}"/>
    <cellStyle name="20% - Accent3 6" xfId="272" xr:uid="{00000000-0005-0000-0000-0000D8000000}"/>
    <cellStyle name="20% - Accent3 6 2" xfId="273" xr:uid="{00000000-0005-0000-0000-0000D9000000}"/>
    <cellStyle name="20% - Accent3 6 3" xfId="274" xr:uid="{00000000-0005-0000-0000-0000DA000000}"/>
    <cellStyle name="20% - Accent3 7" xfId="275" xr:uid="{00000000-0005-0000-0000-0000DB000000}"/>
    <cellStyle name="20% - Accent3 7 2" xfId="276" xr:uid="{00000000-0005-0000-0000-0000DC000000}"/>
    <cellStyle name="20% - Accent3 7 3" xfId="277" xr:uid="{00000000-0005-0000-0000-0000DD000000}"/>
    <cellStyle name="20% - Accent3 8" xfId="278" xr:uid="{00000000-0005-0000-0000-0000DE000000}"/>
    <cellStyle name="20% - Accent3 8 2" xfId="279" xr:uid="{00000000-0005-0000-0000-0000DF000000}"/>
    <cellStyle name="20% - Accent3 8 3" xfId="280" xr:uid="{00000000-0005-0000-0000-0000E0000000}"/>
    <cellStyle name="20% - Accent3 9" xfId="281" xr:uid="{00000000-0005-0000-0000-0000E1000000}"/>
    <cellStyle name="20% - Accent3 9 2" xfId="282" xr:uid="{00000000-0005-0000-0000-0000E2000000}"/>
    <cellStyle name="20% - Accent3 9 3" xfId="283" xr:uid="{00000000-0005-0000-0000-0000E3000000}"/>
    <cellStyle name="20% - Accent4 10" xfId="284" xr:uid="{00000000-0005-0000-0000-0000E4000000}"/>
    <cellStyle name="20% - Accent4 10 2" xfId="285" xr:uid="{00000000-0005-0000-0000-0000E5000000}"/>
    <cellStyle name="20% - Accent4 10 3" xfId="286" xr:uid="{00000000-0005-0000-0000-0000E6000000}"/>
    <cellStyle name="20% - Accent4 11" xfId="287" xr:uid="{00000000-0005-0000-0000-0000E7000000}"/>
    <cellStyle name="20% - Accent4 11 2" xfId="288" xr:uid="{00000000-0005-0000-0000-0000E8000000}"/>
    <cellStyle name="20% - Accent4 11 3" xfId="289" xr:uid="{00000000-0005-0000-0000-0000E9000000}"/>
    <cellStyle name="20% - Accent4 12" xfId="290" xr:uid="{00000000-0005-0000-0000-0000EA000000}"/>
    <cellStyle name="20% - Accent4 12 2" xfId="291" xr:uid="{00000000-0005-0000-0000-0000EB000000}"/>
    <cellStyle name="20% - Accent4 12 3" xfId="292" xr:uid="{00000000-0005-0000-0000-0000EC000000}"/>
    <cellStyle name="20% - Accent4 13" xfId="293" xr:uid="{00000000-0005-0000-0000-0000ED000000}"/>
    <cellStyle name="20% - Accent4 13 2" xfId="294" xr:uid="{00000000-0005-0000-0000-0000EE000000}"/>
    <cellStyle name="20% - Accent4 13 3" xfId="295" xr:uid="{00000000-0005-0000-0000-0000EF000000}"/>
    <cellStyle name="20% - Accent4 14" xfId="296" xr:uid="{00000000-0005-0000-0000-0000F0000000}"/>
    <cellStyle name="20% - Accent4 14 2" xfId="297" xr:uid="{00000000-0005-0000-0000-0000F1000000}"/>
    <cellStyle name="20% - Accent4 14 3" xfId="298" xr:uid="{00000000-0005-0000-0000-0000F2000000}"/>
    <cellStyle name="20% - Accent4 15" xfId="299" xr:uid="{00000000-0005-0000-0000-0000F3000000}"/>
    <cellStyle name="20% - Accent4 15 2" xfId="300" xr:uid="{00000000-0005-0000-0000-0000F4000000}"/>
    <cellStyle name="20% - Accent4 15 3" xfId="301" xr:uid="{00000000-0005-0000-0000-0000F5000000}"/>
    <cellStyle name="20% - Accent4 15 4" xfId="302" xr:uid="{00000000-0005-0000-0000-0000F6000000}"/>
    <cellStyle name="20% - Accent4 15 5" xfId="303" xr:uid="{00000000-0005-0000-0000-0000F7000000}"/>
    <cellStyle name="20% - Accent4 15 6" xfId="304" xr:uid="{00000000-0005-0000-0000-0000F8000000}"/>
    <cellStyle name="20% - Accent4 15 7" xfId="305" xr:uid="{00000000-0005-0000-0000-0000F9000000}"/>
    <cellStyle name="20% - Accent4 16" xfId="306" xr:uid="{00000000-0005-0000-0000-0000FA000000}"/>
    <cellStyle name="20% - Accent4 17" xfId="307" xr:uid="{00000000-0005-0000-0000-0000FB000000}"/>
    <cellStyle name="20% - Accent4 18" xfId="308" xr:uid="{00000000-0005-0000-0000-0000FC000000}"/>
    <cellStyle name="20% - Accent4 19" xfId="309" xr:uid="{00000000-0005-0000-0000-0000FD000000}"/>
    <cellStyle name="20% - Accent4 2" xfId="310" xr:uid="{00000000-0005-0000-0000-0000FE000000}"/>
    <cellStyle name="20% - Accent4 2 10" xfId="311" xr:uid="{00000000-0005-0000-0000-0000FF000000}"/>
    <cellStyle name="20% - Accent4 2 11" xfId="312" xr:uid="{00000000-0005-0000-0000-000000010000}"/>
    <cellStyle name="20% - Accent4 2 12" xfId="313" xr:uid="{00000000-0005-0000-0000-000001010000}"/>
    <cellStyle name="20% - Accent4 2 13" xfId="314" xr:uid="{00000000-0005-0000-0000-000002010000}"/>
    <cellStyle name="20% - Accent4 2 14" xfId="315" xr:uid="{00000000-0005-0000-0000-000003010000}"/>
    <cellStyle name="20% - Accent4 2 2" xfId="316" xr:uid="{00000000-0005-0000-0000-000004010000}"/>
    <cellStyle name="20% - Accent4 2 3" xfId="317" xr:uid="{00000000-0005-0000-0000-000005010000}"/>
    <cellStyle name="20% - Accent4 2 4" xfId="318" xr:uid="{00000000-0005-0000-0000-000006010000}"/>
    <cellStyle name="20% - Accent4 2 5" xfId="319" xr:uid="{00000000-0005-0000-0000-000007010000}"/>
    <cellStyle name="20% - Accent4 2 6" xfId="320" xr:uid="{00000000-0005-0000-0000-000008010000}"/>
    <cellStyle name="20% - Accent4 2 7" xfId="321" xr:uid="{00000000-0005-0000-0000-000009010000}"/>
    <cellStyle name="20% - Accent4 2 8" xfId="322" xr:uid="{00000000-0005-0000-0000-00000A010000}"/>
    <cellStyle name="20% - Accent4 2 9" xfId="323" xr:uid="{00000000-0005-0000-0000-00000B010000}"/>
    <cellStyle name="20% - Accent4 20" xfId="324" xr:uid="{00000000-0005-0000-0000-00000C010000}"/>
    <cellStyle name="20% - Accent4 21" xfId="325" xr:uid="{00000000-0005-0000-0000-00000D010000}"/>
    <cellStyle name="20% - Accent4 22" xfId="326" xr:uid="{00000000-0005-0000-0000-00000E010000}"/>
    <cellStyle name="20% - Accent4 23" xfId="327" xr:uid="{00000000-0005-0000-0000-00000F010000}"/>
    <cellStyle name="20% - Accent4 24" xfId="328" xr:uid="{00000000-0005-0000-0000-000010010000}"/>
    <cellStyle name="20% - Accent4 25" xfId="329" xr:uid="{00000000-0005-0000-0000-000011010000}"/>
    <cellStyle name="20% - Accent4 26" xfId="330" xr:uid="{00000000-0005-0000-0000-000012010000}"/>
    <cellStyle name="20% - Accent4 27" xfId="331" xr:uid="{00000000-0005-0000-0000-000013010000}"/>
    <cellStyle name="20% - Accent4 28" xfId="332" xr:uid="{00000000-0005-0000-0000-000014010000}"/>
    <cellStyle name="20% - Accent4 29" xfId="333" xr:uid="{00000000-0005-0000-0000-000015010000}"/>
    <cellStyle name="20% - Accent4 3" xfId="334" xr:uid="{00000000-0005-0000-0000-000016010000}"/>
    <cellStyle name="20% - Accent4 3 2" xfId="335" xr:uid="{00000000-0005-0000-0000-000017010000}"/>
    <cellStyle name="20% - Accent4 3 3" xfId="336" xr:uid="{00000000-0005-0000-0000-000018010000}"/>
    <cellStyle name="20% - Accent4 30" xfId="337" xr:uid="{00000000-0005-0000-0000-000019010000}"/>
    <cellStyle name="20% - Accent4 31" xfId="338" xr:uid="{00000000-0005-0000-0000-00001A010000}"/>
    <cellStyle name="20% - Accent4 32" xfId="339" xr:uid="{00000000-0005-0000-0000-00001B010000}"/>
    <cellStyle name="20% - Accent4 33" xfId="340" xr:uid="{00000000-0005-0000-0000-00001C010000}"/>
    <cellStyle name="20% - Accent4 34" xfId="341" xr:uid="{00000000-0005-0000-0000-00001D010000}"/>
    <cellStyle name="20% - Accent4 4" xfId="342" xr:uid="{00000000-0005-0000-0000-00001E010000}"/>
    <cellStyle name="20% - Accent4 4 2" xfId="343" xr:uid="{00000000-0005-0000-0000-00001F010000}"/>
    <cellStyle name="20% - Accent4 4 3" xfId="344" xr:uid="{00000000-0005-0000-0000-000020010000}"/>
    <cellStyle name="20% - Accent4 5" xfId="345" xr:uid="{00000000-0005-0000-0000-000021010000}"/>
    <cellStyle name="20% - Accent4 5 2" xfId="346" xr:uid="{00000000-0005-0000-0000-000022010000}"/>
    <cellStyle name="20% - Accent4 5 3" xfId="347" xr:uid="{00000000-0005-0000-0000-000023010000}"/>
    <cellStyle name="20% - Accent4 6" xfId="348" xr:uid="{00000000-0005-0000-0000-000024010000}"/>
    <cellStyle name="20% - Accent4 6 2" xfId="349" xr:uid="{00000000-0005-0000-0000-000025010000}"/>
    <cellStyle name="20% - Accent4 6 3" xfId="350" xr:uid="{00000000-0005-0000-0000-000026010000}"/>
    <cellStyle name="20% - Accent4 7" xfId="351" xr:uid="{00000000-0005-0000-0000-000027010000}"/>
    <cellStyle name="20% - Accent4 7 2" xfId="352" xr:uid="{00000000-0005-0000-0000-000028010000}"/>
    <cellStyle name="20% - Accent4 7 3" xfId="353" xr:uid="{00000000-0005-0000-0000-000029010000}"/>
    <cellStyle name="20% - Accent4 8" xfId="354" xr:uid="{00000000-0005-0000-0000-00002A010000}"/>
    <cellStyle name="20% - Accent4 8 2" xfId="355" xr:uid="{00000000-0005-0000-0000-00002B010000}"/>
    <cellStyle name="20% - Accent4 8 3" xfId="356" xr:uid="{00000000-0005-0000-0000-00002C010000}"/>
    <cellStyle name="20% - Accent4 9" xfId="357" xr:uid="{00000000-0005-0000-0000-00002D010000}"/>
    <cellStyle name="20% - Accent4 9 2" xfId="358" xr:uid="{00000000-0005-0000-0000-00002E010000}"/>
    <cellStyle name="20% - Accent4 9 3" xfId="359" xr:uid="{00000000-0005-0000-0000-00002F010000}"/>
    <cellStyle name="20% - Accent5 10" xfId="360" xr:uid="{00000000-0005-0000-0000-000030010000}"/>
    <cellStyle name="20% - Accent5 10 2" xfId="361" xr:uid="{00000000-0005-0000-0000-000031010000}"/>
    <cellStyle name="20% - Accent5 10 3" xfId="362" xr:uid="{00000000-0005-0000-0000-000032010000}"/>
    <cellStyle name="20% - Accent5 11" xfId="363" xr:uid="{00000000-0005-0000-0000-000033010000}"/>
    <cellStyle name="20% - Accent5 11 2" xfId="364" xr:uid="{00000000-0005-0000-0000-000034010000}"/>
    <cellStyle name="20% - Accent5 11 3" xfId="365" xr:uid="{00000000-0005-0000-0000-000035010000}"/>
    <cellStyle name="20% - Accent5 12" xfId="366" xr:uid="{00000000-0005-0000-0000-000036010000}"/>
    <cellStyle name="20% - Accent5 12 2" xfId="367" xr:uid="{00000000-0005-0000-0000-000037010000}"/>
    <cellStyle name="20% - Accent5 12 3" xfId="368" xr:uid="{00000000-0005-0000-0000-000038010000}"/>
    <cellStyle name="20% - Accent5 13" xfId="369" xr:uid="{00000000-0005-0000-0000-000039010000}"/>
    <cellStyle name="20% - Accent5 13 2" xfId="370" xr:uid="{00000000-0005-0000-0000-00003A010000}"/>
    <cellStyle name="20% - Accent5 13 3" xfId="371" xr:uid="{00000000-0005-0000-0000-00003B010000}"/>
    <cellStyle name="20% - Accent5 14" xfId="372" xr:uid="{00000000-0005-0000-0000-00003C010000}"/>
    <cellStyle name="20% - Accent5 14 2" xfId="373" xr:uid="{00000000-0005-0000-0000-00003D010000}"/>
    <cellStyle name="20% - Accent5 14 3" xfId="374" xr:uid="{00000000-0005-0000-0000-00003E010000}"/>
    <cellStyle name="20% - Accent5 15" xfId="375" xr:uid="{00000000-0005-0000-0000-00003F010000}"/>
    <cellStyle name="20% - Accent5 15 2" xfId="376" xr:uid="{00000000-0005-0000-0000-000040010000}"/>
    <cellStyle name="20% - Accent5 15 3" xfId="377" xr:uid="{00000000-0005-0000-0000-000041010000}"/>
    <cellStyle name="20% - Accent5 15 4" xfId="378" xr:uid="{00000000-0005-0000-0000-000042010000}"/>
    <cellStyle name="20% - Accent5 15 5" xfId="379" xr:uid="{00000000-0005-0000-0000-000043010000}"/>
    <cellStyle name="20% - Accent5 15 6" xfId="380" xr:uid="{00000000-0005-0000-0000-000044010000}"/>
    <cellStyle name="20% - Accent5 15 7" xfId="381" xr:uid="{00000000-0005-0000-0000-000045010000}"/>
    <cellStyle name="20% - Accent5 16" xfId="382" xr:uid="{00000000-0005-0000-0000-000046010000}"/>
    <cellStyle name="20% - Accent5 17" xfId="383" xr:uid="{00000000-0005-0000-0000-000047010000}"/>
    <cellStyle name="20% - Accent5 18" xfId="384" xr:uid="{00000000-0005-0000-0000-000048010000}"/>
    <cellStyle name="20% - Accent5 19" xfId="385" xr:uid="{00000000-0005-0000-0000-000049010000}"/>
    <cellStyle name="20% - Accent5 2" xfId="386" xr:uid="{00000000-0005-0000-0000-00004A010000}"/>
    <cellStyle name="20% - Accent5 2 10" xfId="387" xr:uid="{00000000-0005-0000-0000-00004B010000}"/>
    <cellStyle name="20% - Accent5 2 11" xfId="388" xr:uid="{00000000-0005-0000-0000-00004C010000}"/>
    <cellStyle name="20% - Accent5 2 12" xfId="389" xr:uid="{00000000-0005-0000-0000-00004D010000}"/>
    <cellStyle name="20% - Accent5 2 13" xfId="390" xr:uid="{00000000-0005-0000-0000-00004E010000}"/>
    <cellStyle name="20% - Accent5 2 14" xfId="391" xr:uid="{00000000-0005-0000-0000-00004F010000}"/>
    <cellStyle name="20% - Accent5 2 2" xfId="392" xr:uid="{00000000-0005-0000-0000-000050010000}"/>
    <cellStyle name="20% - Accent5 2 3" xfId="393" xr:uid="{00000000-0005-0000-0000-000051010000}"/>
    <cellStyle name="20% - Accent5 2 4" xfId="394" xr:uid="{00000000-0005-0000-0000-000052010000}"/>
    <cellStyle name="20% - Accent5 2 5" xfId="395" xr:uid="{00000000-0005-0000-0000-000053010000}"/>
    <cellStyle name="20% - Accent5 2 6" xfId="396" xr:uid="{00000000-0005-0000-0000-000054010000}"/>
    <cellStyle name="20% - Accent5 2 7" xfId="397" xr:uid="{00000000-0005-0000-0000-000055010000}"/>
    <cellStyle name="20% - Accent5 2 8" xfId="398" xr:uid="{00000000-0005-0000-0000-000056010000}"/>
    <cellStyle name="20% - Accent5 2 9" xfId="399" xr:uid="{00000000-0005-0000-0000-000057010000}"/>
    <cellStyle name="20% - Accent5 20" xfId="400" xr:uid="{00000000-0005-0000-0000-000058010000}"/>
    <cellStyle name="20% - Accent5 21" xfId="401" xr:uid="{00000000-0005-0000-0000-000059010000}"/>
    <cellStyle name="20% - Accent5 22" xfId="402" xr:uid="{00000000-0005-0000-0000-00005A010000}"/>
    <cellStyle name="20% - Accent5 23" xfId="403" xr:uid="{00000000-0005-0000-0000-00005B010000}"/>
    <cellStyle name="20% - Accent5 24" xfId="404" xr:uid="{00000000-0005-0000-0000-00005C010000}"/>
    <cellStyle name="20% - Accent5 25" xfId="405" xr:uid="{00000000-0005-0000-0000-00005D010000}"/>
    <cellStyle name="20% - Accent5 26" xfId="406" xr:uid="{00000000-0005-0000-0000-00005E010000}"/>
    <cellStyle name="20% - Accent5 27" xfId="407" xr:uid="{00000000-0005-0000-0000-00005F010000}"/>
    <cellStyle name="20% - Accent5 28" xfId="408" xr:uid="{00000000-0005-0000-0000-000060010000}"/>
    <cellStyle name="20% - Accent5 29" xfId="409" xr:uid="{00000000-0005-0000-0000-000061010000}"/>
    <cellStyle name="20% - Accent5 3" xfId="410" xr:uid="{00000000-0005-0000-0000-000062010000}"/>
    <cellStyle name="20% - Accent5 3 2" xfId="411" xr:uid="{00000000-0005-0000-0000-000063010000}"/>
    <cellStyle name="20% - Accent5 3 3" xfId="412" xr:uid="{00000000-0005-0000-0000-000064010000}"/>
    <cellStyle name="20% - Accent5 30" xfId="413" xr:uid="{00000000-0005-0000-0000-000065010000}"/>
    <cellStyle name="20% - Accent5 31" xfId="414" xr:uid="{00000000-0005-0000-0000-000066010000}"/>
    <cellStyle name="20% - Accent5 32" xfId="415" xr:uid="{00000000-0005-0000-0000-000067010000}"/>
    <cellStyle name="20% - Accent5 33" xfId="416" xr:uid="{00000000-0005-0000-0000-000068010000}"/>
    <cellStyle name="20% - Accent5 34" xfId="417" xr:uid="{00000000-0005-0000-0000-000069010000}"/>
    <cellStyle name="20% - Accent5 4" xfId="418" xr:uid="{00000000-0005-0000-0000-00006A010000}"/>
    <cellStyle name="20% - Accent5 4 2" xfId="419" xr:uid="{00000000-0005-0000-0000-00006B010000}"/>
    <cellStyle name="20% - Accent5 4 3" xfId="420" xr:uid="{00000000-0005-0000-0000-00006C010000}"/>
    <cellStyle name="20% - Accent5 5" xfId="421" xr:uid="{00000000-0005-0000-0000-00006D010000}"/>
    <cellStyle name="20% - Accent5 5 2" xfId="422" xr:uid="{00000000-0005-0000-0000-00006E010000}"/>
    <cellStyle name="20% - Accent5 5 3" xfId="423" xr:uid="{00000000-0005-0000-0000-00006F010000}"/>
    <cellStyle name="20% - Accent5 6" xfId="424" xr:uid="{00000000-0005-0000-0000-000070010000}"/>
    <cellStyle name="20% - Accent5 6 2" xfId="425" xr:uid="{00000000-0005-0000-0000-000071010000}"/>
    <cellStyle name="20% - Accent5 6 3" xfId="426" xr:uid="{00000000-0005-0000-0000-000072010000}"/>
    <cellStyle name="20% - Accent5 7" xfId="427" xr:uid="{00000000-0005-0000-0000-000073010000}"/>
    <cellStyle name="20% - Accent5 7 2" xfId="428" xr:uid="{00000000-0005-0000-0000-000074010000}"/>
    <cellStyle name="20% - Accent5 7 3" xfId="429" xr:uid="{00000000-0005-0000-0000-000075010000}"/>
    <cellStyle name="20% - Accent5 8" xfId="430" xr:uid="{00000000-0005-0000-0000-000076010000}"/>
    <cellStyle name="20% - Accent5 8 2" xfId="431" xr:uid="{00000000-0005-0000-0000-000077010000}"/>
    <cellStyle name="20% - Accent5 8 3" xfId="432" xr:uid="{00000000-0005-0000-0000-000078010000}"/>
    <cellStyle name="20% - Accent5 9" xfId="433" xr:uid="{00000000-0005-0000-0000-000079010000}"/>
    <cellStyle name="20% - Accent5 9 2" xfId="434" xr:uid="{00000000-0005-0000-0000-00007A010000}"/>
    <cellStyle name="20% - Accent5 9 3" xfId="435" xr:uid="{00000000-0005-0000-0000-00007B010000}"/>
    <cellStyle name="20% - Accent6 10" xfId="436" xr:uid="{00000000-0005-0000-0000-00007C010000}"/>
    <cellStyle name="20% - Accent6 10 2" xfId="437" xr:uid="{00000000-0005-0000-0000-00007D010000}"/>
    <cellStyle name="20% - Accent6 10 3" xfId="438" xr:uid="{00000000-0005-0000-0000-00007E010000}"/>
    <cellStyle name="20% - Accent6 11" xfId="439" xr:uid="{00000000-0005-0000-0000-00007F010000}"/>
    <cellStyle name="20% - Accent6 11 2" xfId="440" xr:uid="{00000000-0005-0000-0000-000080010000}"/>
    <cellStyle name="20% - Accent6 11 3" xfId="441" xr:uid="{00000000-0005-0000-0000-000081010000}"/>
    <cellStyle name="20% - Accent6 12" xfId="442" xr:uid="{00000000-0005-0000-0000-000082010000}"/>
    <cellStyle name="20% - Accent6 12 2" xfId="443" xr:uid="{00000000-0005-0000-0000-000083010000}"/>
    <cellStyle name="20% - Accent6 12 3" xfId="444" xr:uid="{00000000-0005-0000-0000-000084010000}"/>
    <cellStyle name="20% - Accent6 13" xfId="445" xr:uid="{00000000-0005-0000-0000-000085010000}"/>
    <cellStyle name="20% - Accent6 13 2" xfId="446" xr:uid="{00000000-0005-0000-0000-000086010000}"/>
    <cellStyle name="20% - Accent6 13 3" xfId="447" xr:uid="{00000000-0005-0000-0000-000087010000}"/>
    <cellStyle name="20% - Accent6 14" xfId="448" xr:uid="{00000000-0005-0000-0000-000088010000}"/>
    <cellStyle name="20% - Accent6 14 2" xfId="449" xr:uid="{00000000-0005-0000-0000-000089010000}"/>
    <cellStyle name="20% - Accent6 14 3" xfId="450" xr:uid="{00000000-0005-0000-0000-00008A010000}"/>
    <cellStyle name="20% - Accent6 15" xfId="451" xr:uid="{00000000-0005-0000-0000-00008B010000}"/>
    <cellStyle name="20% - Accent6 15 2" xfId="452" xr:uid="{00000000-0005-0000-0000-00008C010000}"/>
    <cellStyle name="20% - Accent6 15 3" xfId="453" xr:uid="{00000000-0005-0000-0000-00008D010000}"/>
    <cellStyle name="20% - Accent6 15 4" xfId="454" xr:uid="{00000000-0005-0000-0000-00008E010000}"/>
    <cellStyle name="20% - Accent6 15 5" xfId="455" xr:uid="{00000000-0005-0000-0000-00008F010000}"/>
    <cellStyle name="20% - Accent6 15 6" xfId="456" xr:uid="{00000000-0005-0000-0000-000090010000}"/>
    <cellStyle name="20% - Accent6 15 7" xfId="457" xr:uid="{00000000-0005-0000-0000-000091010000}"/>
    <cellStyle name="20% - Accent6 16" xfId="458" xr:uid="{00000000-0005-0000-0000-000092010000}"/>
    <cellStyle name="20% - Accent6 17" xfId="459" xr:uid="{00000000-0005-0000-0000-000093010000}"/>
    <cellStyle name="20% - Accent6 18" xfId="460" xr:uid="{00000000-0005-0000-0000-000094010000}"/>
    <cellStyle name="20% - Accent6 19" xfId="461" xr:uid="{00000000-0005-0000-0000-000095010000}"/>
    <cellStyle name="20% - Accent6 2" xfId="462" xr:uid="{00000000-0005-0000-0000-000096010000}"/>
    <cellStyle name="20% - Accent6 2 10" xfId="463" xr:uid="{00000000-0005-0000-0000-000097010000}"/>
    <cellStyle name="20% - Accent6 2 11" xfId="464" xr:uid="{00000000-0005-0000-0000-000098010000}"/>
    <cellStyle name="20% - Accent6 2 12" xfId="465" xr:uid="{00000000-0005-0000-0000-000099010000}"/>
    <cellStyle name="20% - Accent6 2 13" xfId="466" xr:uid="{00000000-0005-0000-0000-00009A010000}"/>
    <cellStyle name="20% - Accent6 2 14" xfId="467" xr:uid="{00000000-0005-0000-0000-00009B010000}"/>
    <cellStyle name="20% - Accent6 2 2" xfId="468" xr:uid="{00000000-0005-0000-0000-00009C010000}"/>
    <cellStyle name="20% - Accent6 2 3" xfId="469" xr:uid="{00000000-0005-0000-0000-00009D010000}"/>
    <cellStyle name="20% - Accent6 2 4" xfId="470" xr:uid="{00000000-0005-0000-0000-00009E010000}"/>
    <cellStyle name="20% - Accent6 2 5" xfId="471" xr:uid="{00000000-0005-0000-0000-00009F010000}"/>
    <cellStyle name="20% - Accent6 2 6" xfId="472" xr:uid="{00000000-0005-0000-0000-0000A0010000}"/>
    <cellStyle name="20% - Accent6 2 7" xfId="473" xr:uid="{00000000-0005-0000-0000-0000A1010000}"/>
    <cellStyle name="20% - Accent6 2 8" xfId="474" xr:uid="{00000000-0005-0000-0000-0000A2010000}"/>
    <cellStyle name="20% - Accent6 2 9" xfId="475" xr:uid="{00000000-0005-0000-0000-0000A3010000}"/>
    <cellStyle name="20% - Accent6 20" xfId="476" xr:uid="{00000000-0005-0000-0000-0000A4010000}"/>
    <cellStyle name="20% - Accent6 21" xfId="477" xr:uid="{00000000-0005-0000-0000-0000A5010000}"/>
    <cellStyle name="20% - Accent6 22" xfId="478" xr:uid="{00000000-0005-0000-0000-0000A6010000}"/>
    <cellStyle name="20% - Accent6 23" xfId="479" xr:uid="{00000000-0005-0000-0000-0000A7010000}"/>
    <cellStyle name="20% - Accent6 24" xfId="480" xr:uid="{00000000-0005-0000-0000-0000A8010000}"/>
    <cellStyle name="20% - Accent6 25" xfId="481" xr:uid="{00000000-0005-0000-0000-0000A9010000}"/>
    <cellStyle name="20% - Accent6 26" xfId="482" xr:uid="{00000000-0005-0000-0000-0000AA010000}"/>
    <cellStyle name="20% - Accent6 27" xfId="483" xr:uid="{00000000-0005-0000-0000-0000AB010000}"/>
    <cellStyle name="20% - Accent6 28" xfId="484" xr:uid="{00000000-0005-0000-0000-0000AC010000}"/>
    <cellStyle name="20% - Accent6 29" xfId="485" xr:uid="{00000000-0005-0000-0000-0000AD010000}"/>
    <cellStyle name="20% - Accent6 3" xfId="486" xr:uid="{00000000-0005-0000-0000-0000AE010000}"/>
    <cellStyle name="20% - Accent6 3 2" xfId="487" xr:uid="{00000000-0005-0000-0000-0000AF010000}"/>
    <cellStyle name="20% - Accent6 3 3" xfId="488" xr:uid="{00000000-0005-0000-0000-0000B0010000}"/>
    <cellStyle name="20% - Accent6 30" xfId="489" xr:uid="{00000000-0005-0000-0000-0000B1010000}"/>
    <cellStyle name="20% - Accent6 31" xfId="490" xr:uid="{00000000-0005-0000-0000-0000B2010000}"/>
    <cellStyle name="20% - Accent6 32" xfId="491" xr:uid="{00000000-0005-0000-0000-0000B3010000}"/>
    <cellStyle name="20% - Accent6 33" xfId="492" xr:uid="{00000000-0005-0000-0000-0000B4010000}"/>
    <cellStyle name="20% - Accent6 34" xfId="493" xr:uid="{00000000-0005-0000-0000-0000B5010000}"/>
    <cellStyle name="20% - Accent6 4" xfId="494" xr:uid="{00000000-0005-0000-0000-0000B6010000}"/>
    <cellStyle name="20% - Accent6 4 2" xfId="495" xr:uid="{00000000-0005-0000-0000-0000B7010000}"/>
    <cellStyle name="20% - Accent6 4 3" xfId="496" xr:uid="{00000000-0005-0000-0000-0000B8010000}"/>
    <cellStyle name="20% - Accent6 5" xfId="497" xr:uid="{00000000-0005-0000-0000-0000B9010000}"/>
    <cellStyle name="20% - Accent6 5 2" xfId="498" xr:uid="{00000000-0005-0000-0000-0000BA010000}"/>
    <cellStyle name="20% - Accent6 5 3" xfId="499" xr:uid="{00000000-0005-0000-0000-0000BB010000}"/>
    <cellStyle name="20% - Accent6 6" xfId="500" xr:uid="{00000000-0005-0000-0000-0000BC010000}"/>
    <cellStyle name="20% - Accent6 6 2" xfId="501" xr:uid="{00000000-0005-0000-0000-0000BD010000}"/>
    <cellStyle name="20% - Accent6 6 3" xfId="502" xr:uid="{00000000-0005-0000-0000-0000BE010000}"/>
    <cellStyle name="20% - Accent6 7" xfId="503" xr:uid="{00000000-0005-0000-0000-0000BF010000}"/>
    <cellStyle name="20% - Accent6 7 2" xfId="504" xr:uid="{00000000-0005-0000-0000-0000C0010000}"/>
    <cellStyle name="20% - Accent6 7 3" xfId="505" xr:uid="{00000000-0005-0000-0000-0000C1010000}"/>
    <cellStyle name="20% - Accent6 8" xfId="506" xr:uid="{00000000-0005-0000-0000-0000C2010000}"/>
    <cellStyle name="20% - Accent6 8 2" xfId="507" xr:uid="{00000000-0005-0000-0000-0000C3010000}"/>
    <cellStyle name="20% - Accent6 8 3" xfId="508" xr:uid="{00000000-0005-0000-0000-0000C4010000}"/>
    <cellStyle name="20% - Accent6 9" xfId="509" xr:uid="{00000000-0005-0000-0000-0000C5010000}"/>
    <cellStyle name="20% - Accent6 9 2" xfId="510" xr:uid="{00000000-0005-0000-0000-0000C6010000}"/>
    <cellStyle name="20% - Accent6 9 3" xfId="511" xr:uid="{00000000-0005-0000-0000-0000C7010000}"/>
    <cellStyle name="40% - Accent1 10" xfId="512" xr:uid="{00000000-0005-0000-0000-0000C8010000}"/>
    <cellStyle name="40% - Accent1 10 2" xfId="513" xr:uid="{00000000-0005-0000-0000-0000C9010000}"/>
    <cellStyle name="40% - Accent1 10 3" xfId="514" xr:uid="{00000000-0005-0000-0000-0000CA010000}"/>
    <cellStyle name="40% - Accent1 11" xfId="515" xr:uid="{00000000-0005-0000-0000-0000CB010000}"/>
    <cellStyle name="40% - Accent1 11 2" xfId="516" xr:uid="{00000000-0005-0000-0000-0000CC010000}"/>
    <cellStyle name="40% - Accent1 11 3" xfId="517" xr:uid="{00000000-0005-0000-0000-0000CD010000}"/>
    <cellStyle name="40% - Accent1 12" xfId="518" xr:uid="{00000000-0005-0000-0000-0000CE010000}"/>
    <cellStyle name="40% - Accent1 12 2" xfId="519" xr:uid="{00000000-0005-0000-0000-0000CF010000}"/>
    <cellStyle name="40% - Accent1 12 3" xfId="520" xr:uid="{00000000-0005-0000-0000-0000D0010000}"/>
    <cellStyle name="40% - Accent1 13" xfId="521" xr:uid="{00000000-0005-0000-0000-0000D1010000}"/>
    <cellStyle name="40% - Accent1 13 2" xfId="522" xr:uid="{00000000-0005-0000-0000-0000D2010000}"/>
    <cellStyle name="40% - Accent1 13 3" xfId="523" xr:uid="{00000000-0005-0000-0000-0000D3010000}"/>
    <cellStyle name="40% - Accent1 14" xfId="524" xr:uid="{00000000-0005-0000-0000-0000D4010000}"/>
    <cellStyle name="40% - Accent1 14 2" xfId="525" xr:uid="{00000000-0005-0000-0000-0000D5010000}"/>
    <cellStyle name="40% - Accent1 14 3" xfId="526" xr:uid="{00000000-0005-0000-0000-0000D6010000}"/>
    <cellStyle name="40% - Accent1 15" xfId="527" xr:uid="{00000000-0005-0000-0000-0000D7010000}"/>
    <cellStyle name="40% - Accent1 15 2" xfId="528" xr:uid="{00000000-0005-0000-0000-0000D8010000}"/>
    <cellStyle name="40% - Accent1 15 3" xfId="529" xr:uid="{00000000-0005-0000-0000-0000D9010000}"/>
    <cellStyle name="40% - Accent1 15 4" xfId="530" xr:uid="{00000000-0005-0000-0000-0000DA010000}"/>
    <cellStyle name="40% - Accent1 15 5" xfId="531" xr:uid="{00000000-0005-0000-0000-0000DB010000}"/>
    <cellStyle name="40% - Accent1 15 6" xfId="532" xr:uid="{00000000-0005-0000-0000-0000DC010000}"/>
    <cellStyle name="40% - Accent1 15 7" xfId="533" xr:uid="{00000000-0005-0000-0000-0000DD010000}"/>
    <cellStyle name="40% - Accent1 16" xfId="534" xr:uid="{00000000-0005-0000-0000-0000DE010000}"/>
    <cellStyle name="40% - Accent1 17" xfId="535" xr:uid="{00000000-0005-0000-0000-0000DF010000}"/>
    <cellStyle name="40% - Accent1 18" xfId="536" xr:uid="{00000000-0005-0000-0000-0000E0010000}"/>
    <cellStyle name="40% - Accent1 19" xfId="537" xr:uid="{00000000-0005-0000-0000-0000E1010000}"/>
    <cellStyle name="40% - Accent1 2" xfId="538" xr:uid="{00000000-0005-0000-0000-0000E2010000}"/>
    <cellStyle name="40% - Accent1 2 10" xfId="539" xr:uid="{00000000-0005-0000-0000-0000E3010000}"/>
    <cellStyle name="40% - Accent1 2 11" xfId="540" xr:uid="{00000000-0005-0000-0000-0000E4010000}"/>
    <cellStyle name="40% - Accent1 2 12" xfId="541" xr:uid="{00000000-0005-0000-0000-0000E5010000}"/>
    <cellStyle name="40% - Accent1 2 13" xfId="542" xr:uid="{00000000-0005-0000-0000-0000E6010000}"/>
    <cellStyle name="40% - Accent1 2 14" xfId="543" xr:uid="{00000000-0005-0000-0000-0000E7010000}"/>
    <cellStyle name="40% - Accent1 2 2" xfId="544" xr:uid="{00000000-0005-0000-0000-0000E8010000}"/>
    <cellStyle name="40% - Accent1 2 3" xfId="545" xr:uid="{00000000-0005-0000-0000-0000E9010000}"/>
    <cellStyle name="40% - Accent1 2 4" xfId="546" xr:uid="{00000000-0005-0000-0000-0000EA010000}"/>
    <cellStyle name="40% - Accent1 2 5" xfId="547" xr:uid="{00000000-0005-0000-0000-0000EB010000}"/>
    <cellStyle name="40% - Accent1 2 6" xfId="548" xr:uid="{00000000-0005-0000-0000-0000EC010000}"/>
    <cellStyle name="40% - Accent1 2 7" xfId="549" xr:uid="{00000000-0005-0000-0000-0000ED010000}"/>
    <cellStyle name="40% - Accent1 2 8" xfId="550" xr:uid="{00000000-0005-0000-0000-0000EE010000}"/>
    <cellStyle name="40% - Accent1 2 9" xfId="551" xr:uid="{00000000-0005-0000-0000-0000EF010000}"/>
    <cellStyle name="40% - Accent1 20" xfId="552" xr:uid="{00000000-0005-0000-0000-0000F0010000}"/>
    <cellStyle name="40% - Accent1 21" xfId="553" xr:uid="{00000000-0005-0000-0000-0000F1010000}"/>
    <cellStyle name="40% - Accent1 22" xfId="554" xr:uid="{00000000-0005-0000-0000-0000F2010000}"/>
    <cellStyle name="40% - Accent1 23" xfId="555" xr:uid="{00000000-0005-0000-0000-0000F3010000}"/>
    <cellStyle name="40% - Accent1 24" xfId="556" xr:uid="{00000000-0005-0000-0000-0000F4010000}"/>
    <cellStyle name="40% - Accent1 25" xfId="557" xr:uid="{00000000-0005-0000-0000-0000F5010000}"/>
    <cellStyle name="40% - Accent1 26" xfId="558" xr:uid="{00000000-0005-0000-0000-0000F6010000}"/>
    <cellStyle name="40% - Accent1 27" xfId="559" xr:uid="{00000000-0005-0000-0000-0000F7010000}"/>
    <cellStyle name="40% - Accent1 28" xfId="560" xr:uid="{00000000-0005-0000-0000-0000F8010000}"/>
    <cellStyle name="40% - Accent1 29" xfId="561" xr:uid="{00000000-0005-0000-0000-0000F9010000}"/>
    <cellStyle name="40% - Accent1 3" xfId="562" xr:uid="{00000000-0005-0000-0000-0000FA010000}"/>
    <cellStyle name="40% - Accent1 3 2" xfId="563" xr:uid="{00000000-0005-0000-0000-0000FB010000}"/>
    <cellStyle name="40% - Accent1 3 3" xfId="564" xr:uid="{00000000-0005-0000-0000-0000FC010000}"/>
    <cellStyle name="40% - Accent1 30" xfId="565" xr:uid="{00000000-0005-0000-0000-0000FD010000}"/>
    <cellStyle name="40% - Accent1 31" xfId="566" xr:uid="{00000000-0005-0000-0000-0000FE010000}"/>
    <cellStyle name="40% - Accent1 32" xfId="567" xr:uid="{00000000-0005-0000-0000-0000FF010000}"/>
    <cellStyle name="40% - Accent1 33" xfId="568" xr:uid="{00000000-0005-0000-0000-000000020000}"/>
    <cellStyle name="40% - Accent1 34" xfId="569" xr:uid="{00000000-0005-0000-0000-000001020000}"/>
    <cellStyle name="40% - Accent1 4" xfId="570" xr:uid="{00000000-0005-0000-0000-000002020000}"/>
    <cellStyle name="40% - Accent1 4 2" xfId="571" xr:uid="{00000000-0005-0000-0000-000003020000}"/>
    <cellStyle name="40% - Accent1 4 3" xfId="572" xr:uid="{00000000-0005-0000-0000-000004020000}"/>
    <cellStyle name="40% - Accent1 5" xfId="573" xr:uid="{00000000-0005-0000-0000-000005020000}"/>
    <cellStyle name="40% - Accent1 5 2" xfId="574" xr:uid="{00000000-0005-0000-0000-000006020000}"/>
    <cellStyle name="40% - Accent1 5 3" xfId="575" xr:uid="{00000000-0005-0000-0000-000007020000}"/>
    <cellStyle name="40% - Accent1 6" xfId="576" xr:uid="{00000000-0005-0000-0000-000008020000}"/>
    <cellStyle name="40% - Accent1 6 2" xfId="577" xr:uid="{00000000-0005-0000-0000-000009020000}"/>
    <cellStyle name="40% - Accent1 6 3" xfId="578" xr:uid="{00000000-0005-0000-0000-00000A020000}"/>
    <cellStyle name="40% - Accent1 7" xfId="579" xr:uid="{00000000-0005-0000-0000-00000B020000}"/>
    <cellStyle name="40% - Accent1 7 2" xfId="580" xr:uid="{00000000-0005-0000-0000-00000C020000}"/>
    <cellStyle name="40% - Accent1 7 3" xfId="581" xr:uid="{00000000-0005-0000-0000-00000D020000}"/>
    <cellStyle name="40% - Accent1 8" xfId="582" xr:uid="{00000000-0005-0000-0000-00000E020000}"/>
    <cellStyle name="40% - Accent1 8 2" xfId="583" xr:uid="{00000000-0005-0000-0000-00000F020000}"/>
    <cellStyle name="40% - Accent1 8 3" xfId="584" xr:uid="{00000000-0005-0000-0000-000010020000}"/>
    <cellStyle name="40% - Accent1 9" xfId="585" xr:uid="{00000000-0005-0000-0000-000011020000}"/>
    <cellStyle name="40% - Accent1 9 2" xfId="586" xr:uid="{00000000-0005-0000-0000-000012020000}"/>
    <cellStyle name="40% - Accent1 9 3" xfId="587" xr:uid="{00000000-0005-0000-0000-000013020000}"/>
    <cellStyle name="40% - Accent2 10" xfId="588" xr:uid="{00000000-0005-0000-0000-000014020000}"/>
    <cellStyle name="40% - Accent2 10 2" xfId="589" xr:uid="{00000000-0005-0000-0000-000015020000}"/>
    <cellStyle name="40% - Accent2 10 3" xfId="590" xr:uid="{00000000-0005-0000-0000-000016020000}"/>
    <cellStyle name="40% - Accent2 11" xfId="591" xr:uid="{00000000-0005-0000-0000-000017020000}"/>
    <cellStyle name="40% - Accent2 11 2" xfId="592" xr:uid="{00000000-0005-0000-0000-000018020000}"/>
    <cellStyle name="40% - Accent2 11 3" xfId="593" xr:uid="{00000000-0005-0000-0000-000019020000}"/>
    <cellStyle name="40% - Accent2 12" xfId="594" xr:uid="{00000000-0005-0000-0000-00001A020000}"/>
    <cellStyle name="40% - Accent2 12 2" xfId="595" xr:uid="{00000000-0005-0000-0000-00001B020000}"/>
    <cellStyle name="40% - Accent2 12 3" xfId="596" xr:uid="{00000000-0005-0000-0000-00001C020000}"/>
    <cellStyle name="40% - Accent2 13" xfId="597" xr:uid="{00000000-0005-0000-0000-00001D020000}"/>
    <cellStyle name="40% - Accent2 13 2" xfId="598" xr:uid="{00000000-0005-0000-0000-00001E020000}"/>
    <cellStyle name="40% - Accent2 13 3" xfId="599" xr:uid="{00000000-0005-0000-0000-00001F020000}"/>
    <cellStyle name="40% - Accent2 14" xfId="600" xr:uid="{00000000-0005-0000-0000-000020020000}"/>
    <cellStyle name="40% - Accent2 14 2" xfId="601" xr:uid="{00000000-0005-0000-0000-000021020000}"/>
    <cellStyle name="40% - Accent2 14 3" xfId="602" xr:uid="{00000000-0005-0000-0000-000022020000}"/>
    <cellStyle name="40% - Accent2 15" xfId="603" xr:uid="{00000000-0005-0000-0000-000023020000}"/>
    <cellStyle name="40% - Accent2 15 2" xfId="604" xr:uid="{00000000-0005-0000-0000-000024020000}"/>
    <cellStyle name="40% - Accent2 15 3" xfId="605" xr:uid="{00000000-0005-0000-0000-000025020000}"/>
    <cellStyle name="40% - Accent2 15 4" xfId="606" xr:uid="{00000000-0005-0000-0000-000026020000}"/>
    <cellStyle name="40% - Accent2 15 5" xfId="607" xr:uid="{00000000-0005-0000-0000-000027020000}"/>
    <cellStyle name="40% - Accent2 15 6" xfId="608" xr:uid="{00000000-0005-0000-0000-000028020000}"/>
    <cellStyle name="40% - Accent2 15 7" xfId="609" xr:uid="{00000000-0005-0000-0000-000029020000}"/>
    <cellStyle name="40% - Accent2 16" xfId="610" xr:uid="{00000000-0005-0000-0000-00002A020000}"/>
    <cellStyle name="40% - Accent2 17" xfId="611" xr:uid="{00000000-0005-0000-0000-00002B020000}"/>
    <cellStyle name="40% - Accent2 18" xfId="612" xr:uid="{00000000-0005-0000-0000-00002C020000}"/>
    <cellStyle name="40% - Accent2 19" xfId="613" xr:uid="{00000000-0005-0000-0000-00002D020000}"/>
    <cellStyle name="40% - Accent2 2" xfId="614" xr:uid="{00000000-0005-0000-0000-00002E020000}"/>
    <cellStyle name="40% - Accent2 2 10" xfId="615" xr:uid="{00000000-0005-0000-0000-00002F020000}"/>
    <cellStyle name="40% - Accent2 2 11" xfId="616" xr:uid="{00000000-0005-0000-0000-000030020000}"/>
    <cellStyle name="40% - Accent2 2 12" xfId="617" xr:uid="{00000000-0005-0000-0000-000031020000}"/>
    <cellStyle name="40% - Accent2 2 13" xfId="618" xr:uid="{00000000-0005-0000-0000-000032020000}"/>
    <cellStyle name="40% - Accent2 2 14" xfId="619" xr:uid="{00000000-0005-0000-0000-000033020000}"/>
    <cellStyle name="40% - Accent2 2 2" xfId="620" xr:uid="{00000000-0005-0000-0000-000034020000}"/>
    <cellStyle name="40% - Accent2 2 3" xfId="621" xr:uid="{00000000-0005-0000-0000-000035020000}"/>
    <cellStyle name="40% - Accent2 2 4" xfId="622" xr:uid="{00000000-0005-0000-0000-000036020000}"/>
    <cellStyle name="40% - Accent2 2 5" xfId="623" xr:uid="{00000000-0005-0000-0000-000037020000}"/>
    <cellStyle name="40% - Accent2 2 6" xfId="624" xr:uid="{00000000-0005-0000-0000-000038020000}"/>
    <cellStyle name="40% - Accent2 2 7" xfId="625" xr:uid="{00000000-0005-0000-0000-000039020000}"/>
    <cellStyle name="40% - Accent2 2 8" xfId="626" xr:uid="{00000000-0005-0000-0000-00003A020000}"/>
    <cellStyle name="40% - Accent2 2 9" xfId="627" xr:uid="{00000000-0005-0000-0000-00003B020000}"/>
    <cellStyle name="40% - Accent2 20" xfId="628" xr:uid="{00000000-0005-0000-0000-00003C020000}"/>
    <cellStyle name="40% - Accent2 21" xfId="629" xr:uid="{00000000-0005-0000-0000-00003D020000}"/>
    <cellStyle name="40% - Accent2 22" xfId="630" xr:uid="{00000000-0005-0000-0000-00003E020000}"/>
    <cellStyle name="40% - Accent2 23" xfId="631" xr:uid="{00000000-0005-0000-0000-00003F020000}"/>
    <cellStyle name="40% - Accent2 24" xfId="632" xr:uid="{00000000-0005-0000-0000-000040020000}"/>
    <cellStyle name="40% - Accent2 25" xfId="633" xr:uid="{00000000-0005-0000-0000-000041020000}"/>
    <cellStyle name="40% - Accent2 26" xfId="634" xr:uid="{00000000-0005-0000-0000-000042020000}"/>
    <cellStyle name="40% - Accent2 27" xfId="635" xr:uid="{00000000-0005-0000-0000-000043020000}"/>
    <cellStyle name="40% - Accent2 28" xfId="636" xr:uid="{00000000-0005-0000-0000-000044020000}"/>
    <cellStyle name="40% - Accent2 29" xfId="637" xr:uid="{00000000-0005-0000-0000-000045020000}"/>
    <cellStyle name="40% - Accent2 3" xfId="638" xr:uid="{00000000-0005-0000-0000-000046020000}"/>
    <cellStyle name="40% - Accent2 3 2" xfId="639" xr:uid="{00000000-0005-0000-0000-000047020000}"/>
    <cellStyle name="40% - Accent2 3 3" xfId="640" xr:uid="{00000000-0005-0000-0000-000048020000}"/>
    <cellStyle name="40% - Accent2 30" xfId="641" xr:uid="{00000000-0005-0000-0000-000049020000}"/>
    <cellStyle name="40% - Accent2 31" xfId="642" xr:uid="{00000000-0005-0000-0000-00004A020000}"/>
    <cellStyle name="40% - Accent2 32" xfId="643" xr:uid="{00000000-0005-0000-0000-00004B020000}"/>
    <cellStyle name="40% - Accent2 33" xfId="644" xr:uid="{00000000-0005-0000-0000-00004C020000}"/>
    <cellStyle name="40% - Accent2 34" xfId="645" xr:uid="{00000000-0005-0000-0000-00004D020000}"/>
    <cellStyle name="40% - Accent2 4" xfId="646" xr:uid="{00000000-0005-0000-0000-00004E020000}"/>
    <cellStyle name="40% - Accent2 4 2" xfId="647" xr:uid="{00000000-0005-0000-0000-00004F020000}"/>
    <cellStyle name="40% - Accent2 4 3" xfId="648" xr:uid="{00000000-0005-0000-0000-000050020000}"/>
    <cellStyle name="40% - Accent2 5" xfId="649" xr:uid="{00000000-0005-0000-0000-000051020000}"/>
    <cellStyle name="40% - Accent2 5 2" xfId="650" xr:uid="{00000000-0005-0000-0000-000052020000}"/>
    <cellStyle name="40% - Accent2 5 3" xfId="651" xr:uid="{00000000-0005-0000-0000-000053020000}"/>
    <cellStyle name="40% - Accent2 6" xfId="652" xr:uid="{00000000-0005-0000-0000-000054020000}"/>
    <cellStyle name="40% - Accent2 6 2" xfId="653" xr:uid="{00000000-0005-0000-0000-000055020000}"/>
    <cellStyle name="40% - Accent2 6 3" xfId="654" xr:uid="{00000000-0005-0000-0000-000056020000}"/>
    <cellStyle name="40% - Accent2 7" xfId="655" xr:uid="{00000000-0005-0000-0000-000057020000}"/>
    <cellStyle name="40% - Accent2 7 2" xfId="656" xr:uid="{00000000-0005-0000-0000-000058020000}"/>
    <cellStyle name="40% - Accent2 7 3" xfId="657" xr:uid="{00000000-0005-0000-0000-000059020000}"/>
    <cellStyle name="40% - Accent2 8" xfId="658" xr:uid="{00000000-0005-0000-0000-00005A020000}"/>
    <cellStyle name="40% - Accent2 8 2" xfId="659" xr:uid="{00000000-0005-0000-0000-00005B020000}"/>
    <cellStyle name="40% - Accent2 8 3" xfId="660" xr:uid="{00000000-0005-0000-0000-00005C020000}"/>
    <cellStyle name="40% - Accent2 9" xfId="661" xr:uid="{00000000-0005-0000-0000-00005D020000}"/>
    <cellStyle name="40% - Accent2 9 2" xfId="662" xr:uid="{00000000-0005-0000-0000-00005E020000}"/>
    <cellStyle name="40% - Accent2 9 3" xfId="663" xr:uid="{00000000-0005-0000-0000-00005F020000}"/>
    <cellStyle name="40% - Accent3" xfId="8" builtinId="39"/>
    <cellStyle name="40% - Accent3 10" xfId="664" xr:uid="{00000000-0005-0000-0000-000061020000}"/>
    <cellStyle name="40% - Accent3 10 2" xfId="665" xr:uid="{00000000-0005-0000-0000-000062020000}"/>
    <cellStyle name="40% - Accent3 10 3" xfId="666" xr:uid="{00000000-0005-0000-0000-000063020000}"/>
    <cellStyle name="40% - Accent3 11" xfId="667" xr:uid="{00000000-0005-0000-0000-000064020000}"/>
    <cellStyle name="40% - Accent3 11 2" xfId="668" xr:uid="{00000000-0005-0000-0000-000065020000}"/>
    <cellStyle name="40% - Accent3 11 3" xfId="669" xr:uid="{00000000-0005-0000-0000-000066020000}"/>
    <cellStyle name="40% - Accent3 12" xfId="670" xr:uid="{00000000-0005-0000-0000-000067020000}"/>
    <cellStyle name="40% - Accent3 12 2" xfId="671" xr:uid="{00000000-0005-0000-0000-000068020000}"/>
    <cellStyle name="40% - Accent3 12 3" xfId="672" xr:uid="{00000000-0005-0000-0000-000069020000}"/>
    <cellStyle name="40% - Accent3 13" xfId="673" xr:uid="{00000000-0005-0000-0000-00006A020000}"/>
    <cellStyle name="40% - Accent3 13 2" xfId="674" xr:uid="{00000000-0005-0000-0000-00006B020000}"/>
    <cellStyle name="40% - Accent3 13 3" xfId="675" xr:uid="{00000000-0005-0000-0000-00006C020000}"/>
    <cellStyle name="40% - Accent3 14" xfId="676" xr:uid="{00000000-0005-0000-0000-00006D020000}"/>
    <cellStyle name="40% - Accent3 14 2" xfId="677" xr:uid="{00000000-0005-0000-0000-00006E020000}"/>
    <cellStyle name="40% - Accent3 14 3" xfId="678" xr:uid="{00000000-0005-0000-0000-00006F020000}"/>
    <cellStyle name="40% - Accent3 15" xfId="679" xr:uid="{00000000-0005-0000-0000-000070020000}"/>
    <cellStyle name="40% - Accent3 15 2" xfId="680" xr:uid="{00000000-0005-0000-0000-000071020000}"/>
    <cellStyle name="40% - Accent3 15 3" xfId="681" xr:uid="{00000000-0005-0000-0000-000072020000}"/>
    <cellStyle name="40% - Accent3 15 4" xfId="682" xr:uid="{00000000-0005-0000-0000-000073020000}"/>
    <cellStyle name="40% - Accent3 15 5" xfId="683" xr:uid="{00000000-0005-0000-0000-000074020000}"/>
    <cellStyle name="40% - Accent3 15 6" xfId="684" xr:uid="{00000000-0005-0000-0000-000075020000}"/>
    <cellStyle name="40% - Accent3 15 7" xfId="685" xr:uid="{00000000-0005-0000-0000-000076020000}"/>
    <cellStyle name="40% - Accent3 16" xfId="686" xr:uid="{00000000-0005-0000-0000-000077020000}"/>
    <cellStyle name="40% - Accent3 17" xfId="687" xr:uid="{00000000-0005-0000-0000-000078020000}"/>
    <cellStyle name="40% - Accent3 18" xfId="688" xr:uid="{00000000-0005-0000-0000-000079020000}"/>
    <cellStyle name="40% - Accent3 19" xfId="689" xr:uid="{00000000-0005-0000-0000-00007A020000}"/>
    <cellStyle name="40% - Accent3 2" xfId="47" xr:uid="{00000000-0005-0000-0000-00007B020000}"/>
    <cellStyle name="40% - Accent3 2 10" xfId="691" xr:uid="{00000000-0005-0000-0000-00007C020000}"/>
    <cellStyle name="40% - Accent3 2 11" xfId="692" xr:uid="{00000000-0005-0000-0000-00007D020000}"/>
    <cellStyle name="40% - Accent3 2 12" xfId="693" xr:uid="{00000000-0005-0000-0000-00007E020000}"/>
    <cellStyle name="40% - Accent3 2 13" xfId="694" xr:uid="{00000000-0005-0000-0000-00007F020000}"/>
    <cellStyle name="40% - Accent3 2 14" xfId="695" xr:uid="{00000000-0005-0000-0000-000080020000}"/>
    <cellStyle name="40% - Accent3 2 15" xfId="690" xr:uid="{00000000-0005-0000-0000-000081020000}"/>
    <cellStyle name="40% - Accent3 2 2" xfId="696" xr:uid="{00000000-0005-0000-0000-000082020000}"/>
    <cellStyle name="40% - Accent3 2 3" xfId="697" xr:uid="{00000000-0005-0000-0000-000083020000}"/>
    <cellStyle name="40% - Accent3 2 4" xfId="698" xr:uid="{00000000-0005-0000-0000-000084020000}"/>
    <cellStyle name="40% - Accent3 2 5" xfId="699" xr:uid="{00000000-0005-0000-0000-000085020000}"/>
    <cellStyle name="40% - Accent3 2 6" xfId="700" xr:uid="{00000000-0005-0000-0000-000086020000}"/>
    <cellStyle name="40% - Accent3 2 7" xfId="701" xr:uid="{00000000-0005-0000-0000-000087020000}"/>
    <cellStyle name="40% - Accent3 2 8" xfId="702" xr:uid="{00000000-0005-0000-0000-000088020000}"/>
    <cellStyle name="40% - Accent3 2 9" xfId="703" xr:uid="{00000000-0005-0000-0000-000089020000}"/>
    <cellStyle name="40% - Accent3 20" xfId="704" xr:uid="{00000000-0005-0000-0000-00008A020000}"/>
    <cellStyle name="40% - Accent3 21" xfId="705" xr:uid="{00000000-0005-0000-0000-00008B020000}"/>
    <cellStyle name="40% - Accent3 22" xfId="706" xr:uid="{00000000-0005-0000-0000-00008C020000}"/>
    <cellStyle name="40% - Accent3 23" xfId="707" xr:uid="{00000000-0005-0000-0000-00008D020000}"/>
    <cellStyle name="40% - Accent3 24" xfId="708" xr:uid="{00000000-0005-0000-0000-00008E020000}"/>
    <cellStyle name="40% - Accent3 25" xfId="709" xr:uid="{00000000-0005-0000-0000-00008F020000}"/>
    <cellStyle name="40% - Accent3 26" xfId="710" xr:uid="{00000000-0005-0000-0000-000090020000}"/>
    <cellStyle name="40% - Accent3 27" xfId="711" xr:uid="{00000000-0005-0000-0000-000091020000}"/>
    <cellStyle name="40% - Accent3 28" xfId="712" xr:uid="{00000000-0005-0000-0000-000092020000}"/>
    <cellStyle name="40% - Accent3 29" xfId="713" xr:uid="{00000000-0005-0000-0000-000093020000}"/>
    <cellStyle name="40% - Accent3 3" xfId="714" xr:uid="{00000000-0005-0000-0000-000094020000}"/>
    <cellStyle name="40% - Accent3 3 2" xfId="715" xr:uid="{00000000-0005-0000-0000-000095020000}"/>
    <cellStyle name="40% - Accent3 3 3" xfId="716" xr:uid="{00000000-0005-0000-0000-000096020000}"/>
    <cellStyle name="40% - Accent3 30" xfId="717" xr:uid="{00000000-0005-0000-0000-000097020000}"/>
    <cellStyle name="40% - Accent3 31" xfId="718" xr:uid="{00000000-0005-0000-0000-000098020000}"/>
    <cellStyle name="40% - Accent3 32" xfId="719" xr:uid="{00000000-0005-0000-0000-000099020000}"/>
    <cellStyle name="40% - Accent3 33" xfId="720" xr:uid="{00000000-0005-0000-0000-00009A020000}"/>
    <cellStyle name="40% - Accent3 34" xfId="721" xr:uid="{00000000-0005-0000-0000-00009B020000}"/>
    <cellStyle name="40% - Accent3 4" xfId="722" xr:uid="{00000000-0005-0000-0000-00009C020000}"/>
    <cellStyle name="40% - Accent3 4 2" xfId="723" xr:uid="{00000000-0005-0000-0000-00009D020000}"/>
    <cellStyle name="40% - Accent3 4 3" xfId="724" xr:uid="{00000000-0005-0000-0000-00009E020000}"/>
    <cellStyle name="40% - Accent3 5" xfId="725" xr:uid="{00000000-0005-0000-0000-00009F020000}"/>
    <cellStyle name="40% - Accent3 5 2" xfId="726" xr:uid="{00000000-0005-0000-0000-0000A0020000}"/>
    <cellStyle name="40% - Accent3 5 3" xfId="727" xr:uid="{00000000-0005-0000-0000-0000A1020000}"/>
    <cellStyle name="40% - Accent3 6" xfId="728" xr:uid="{00000000-0005-0000-0000-0000A2020000}"/>
    <cellStyle name="40% - Accent3 6 2" xfId="729" xr:uid="{00000000-0005-0000-0000-0000A3020000}"/>
    <cellStyle name="40% - Accent3 6 3" xfId="730" xr:uid="{00000000-0005-0000-0000-0000A4020000}"/>
    <cellStyle name="40% - Accent3 7" xfId="731" xr:uid="{00000000-0005-0000-0000-0000A5020000}"/>
    <cellStyle name="40% - Accent3 7 2" xfId="732" xr:uid="{00000000-0005-0000-0000-0000A6020000}"/>
    <cellStyle name="40% - Accent3 7 3" xfId="733" xr:uid="{00000000-0005-0000-0000-0000A7020000}"/>
    <cellStyle name="40% - Accent3 8" xfId="734" xr:uid="{00000000-0005-0000-0000-0000A8020000}"/>
    <cellStyle name="40% - Accent3 8 2" xfId="735" xr:uid="{00000000-0005-0000-0000-0000A9020000}"/>
    <cellStyle name="40% - Accent3 8 3" xfId="736" xr:uid="{00000000-0005-0000-0000-0000AA020000}"/>
    <cellStyle name="40% - Accent3 9" xfId="737" xr:uid="{00000000-0005-0000-0000-0000AB020000}"/>
    <cellStyle name="40% - Accent3 9 2" xfId="738" xr:uid="{00000000-0005-0000-0000-0000AC020000}"/>
    <cellStyle name="40% - Accent3 9 3" xfId="739" xr:uid="{00000000-0005-0000-0000-0000AD020000}"/>
    <cellStyle name="40% - Accent4 10" xfId="740" xr:uid="{00000000-0005-0000-0000-0000AE020000}"/>
    <cellStyle name="40% - Accent4 10 2" xfId="741" xr:uid="{00000000-0005-0000-0000-0000AF020000}"/>
    <cellStyle name="40% - Accent4 10 3" xfId="742" xr:uid="{00000000-0005-0000-0000-0000B0020000}"/>
    <cellStyle name="40% - Accent4 11" xfId="743" xr:uid="{00000000-0005-0000-0000-0000B1020000}"/>
    <cellStyle name="40% - Accent4 11 2" xfId="744" xr:uid="{00000000-0005-0000-0000-0000B2020000}"/>
    <cellStyle name="40% - Accent4 11 3" xfId="745" xr:uid="{00000000-0005-0000-0000-0000B3020000}"/>
    <cellStyle name="40% - Accent4 12" xfId="746" xr:uid="{00000000-0005-0000-0000-0000B4020000}"/>
    <cellStyle name="40% - Accent4 12 2" xfId="747" xr:uid="{00000000-0005-0000-0000-0000B5020000}"/>
    <cellStyle name="40% - Accent4 12 3" xfId="748" xr:uid="{00000000-0005-0000-0000-0000B6020000}"/>
    <cellStyle name="40% - Accent4 13" xfId="749" xr:uid="{00000000-0005-0000-0000-0000B7020000}"/>
    <cellStyle name="40% - Accent4 13 2" xfId="750" xr:uid="{00000000-0005-0000-0000-0000B8020000}"/>
    <cellStyle name="40% - Accent4 13 3" xfId="751" xr:uid="{00000000-0005-0000-0000-0000B9020000}"/>
    <cellStyle name="40% - Accent4 14" xfId="752" xr:uid="{00000000-0005-0000-0000-0000BA020000}"/>
    <cellStyle name="40% - Accent4 14 2" xfId="753" xr:uid="{00000000-0005-0000-0000-0000BB020000}"/>
    <cellStyle name="40% - Accent4 14 3" xfId="754" xr:uid="{00000000-0005-0000-0000-0000BC020000}"/>
    <cellStyle name="40% - Accent4 15" xfId="755" xr:uid="{00000000-0005-0000-0000-0000BD020000}"/>
    <cellStyle name="40% - Accent4 15 2" xfId="756" xr:uid="{00000000-0005-0000-0000-0000BE020000}"/>
    <cellStyle name="40% - Accent4 15 3" xfId="757" xr:uid="{00000000-0005-0000-0000-0000BF020000}"/>
    <cellStyle name="40% - Accent4 15 4" xfId="758" xr:uid="{00000000-0005-0000-0000-0000C0020000}"/>
    <cellStyle name="40% - Accent4 15 5" xfId="759" xr:uid="{00000000-0005-0000-0000-0000C1020000}"/>
    <cellStyle name="40% - Accent4 15 6" xfId="760" xr:uid="{00000000-0005-0000-0000-0000C2020000}"/>
    <cellStyle name="40% - Accent4 15 7" xfId="761" xr:uid="{00000000-0005-0000-0000-0000C3020000}"/>
    <cellStyle name="40% - Accent4 16" xfId="762" xr:uid="{00000000-0005-0000-0000-0000C4020000}"/>
    <cellStyle name="40% - Accent4 17" xfId="763" xr:uid="{00000000-0005-0000-0000-0000C5020000}"/>
    <cellStyle name="40% - Accent4 18" xfId="764" xr:uid="{00000000-0005-0000-0000-0000C6020000}"/>
    <cellStyle name="40% - Accent4 19" xfId="765" xr:uid="{00000000-0005-0000-0000-0000C7020000}"/>
    <cellStyle name="40% - Accent4 2" xfId="766" xr:uid="{00000000-0005-0000-0000-0000C8020000}"/>
    <cellStyle name="40% - Accent4 2 10" xfId="767" xr:uid="{00000000-0005-0000-0000-0000C9020000}"/>
    <cellStyle name="40% - Accent4 2 11" xfId="768" xr:uid="{00000000-0005-0000-0000-0000CA020000}"/>
    <cellStyle name="40% - Accent4 2 12" xfId="769" xr:uid="{00000000-0005-0000-0000-0000CB020000}"/>
    <cellStyle name="40% - Accent4 2 13" xfId="770" xr:uid="{00000000-0005-0000-0000-0000CC020000}"/>
    <cellStyle name="40% - Accent4 2 14" xfId="771" xr:uid="{00000000-0005-0000-0000-0000CD020000}"/>
    <cellStyle name="40% - Accent4 2 2" xfId="772" xr:uid="{00000000-0005-0000-0000-0000CE020000}"/>
    <cellStyle name="40% - Accent4 2 3" xfId="773" xr:uid="{00000000-0005-0000-0000-0000CF020000}"/>
    <cellStyle name="40% - Accent4 2 4" xfId="774" xr:uid="{00000000-0005-0000-0000-0000D0020000}"/>
    <cellStyle name="40% - Accent4 2 5" xfId="775" xr:uid="{00000000-0005-0000-0000-0000D1020000}"/>
    <cellStyle name="40% - Accent4 2 6" xfId="776" xr:uid="{00000000-0005-0000-0000-0000D2020000}"/>
    <cellStyle name="40% - Accent4 2 7" xfId="777" xr:uid="{00000000-0005-0000-0000-0000D3020000}"/>
    <cellStyle name="40% - Accent4 2 8" xfId="778" xr:uid="{00000000-0005-0000-0000-0000D4020000}"/>
    <cellStyle name="40% - Accent4 2 9" xfId="779" xr:uid="{00000000-0005-0000-0000-0000D5020000}"/>
    <cellStyle name="40% - Accent4 20" xfId="780" xr:uid="{00000000-0005-0000-0000-0000D6020000}"/>
    <cellStyle name="40% - Accent4 21" xfId="781" xr:uid="{00000000-0005-0000-0000-0000D7020000}"/>
    <cellStyle name="40% - Accent4 22" xfId="782" xr:uid="{00000000-0005-0000-0000-0000D8020000}"/>
    <cellStyle name="40% - Accent4 23" xfId="783" xr:uid="{00000000-0005-0000-0000-0000D9020000}"/>
    <cellStyle name="40% - Accent4 24" xfId="784" xr:uid="{00000000-0005-0000-0000-0000DA020000}"/>
    <cellStyle name="40% - Accent4 25" xfId="785" xr:uid="{00000000-0005-0000-0000-0000DB020000}"/>
    <cellStyle name="40% - Accent4 26" xfId="786" xr:uid="{00000000-0005-0000-0000-0000DC020000}"/>
    <cellStyle name="40% - Accent4 27" xfId="787" xr:uid="{00000000-0005-0000-0000-0000DD020000}"/>
    <cellStyle name="40% - Accent4 28" xfId="788" xr:uid="{00000000-0005-0000-0000-0000DE020000}"/>
    <cellStyle name="40% - Accent4 29" xfId="789" xr:uid="{00000000-0005-0000-0000-0000DF020000}"/>
    <cellStyle name="40% - Accent4 3" xfId="790" xr:uid="{00000000-0005-0000-0000-0000E0020000}"/>
    <cellStyle name="40% - Accent4 3 2" xfId="791" xr:uid="{00000000-0005-0000-0000-0000E1020000}"/>
    <cellStyle name="40% - Accent4 3 3" xfId="792" xr:uid="{00000000-0005-0000-0000-0000E2020000}"/>
    <cellStyle name="40% - Accent4 30" xfId="793" xr:uid="{00000000-0005-0000-0000-0000E3020000}"/>
    <cellStyle name="40% - Accent4 31" xfId="794" xr:uid="{00000000-0005-0000-0000-0000E4020000}"/>
    <cellStyle name="40% - Accent4 32" xfId="795" xr:uid="{00000000-0005-0000-0000-0000E5020000}"/>
    <cellStyle name="40% - Accent4 33" xfId="796" xr:uid="{00000000-0005-0000-0000-0000E6020000}"/>
    <cellStyle name="40% - Accent4 34" xfId="797" xr:uid="{00000000-0005-0000-0000-0000E7020000}"/>
    <cellStyle name="40% - Accent4 4" xfId="798" xr:uid="{00000000-0005-0000-0000-0000E8020000}"/>
    <cellStyle name="40% - Accent4 4 2" xfId="799" xr:uid="{00000000-0005-0000-0000-0000E9020000}"/>
    <cellStyle name="40% - Accent4 4 3" xfId="800" xr:uid="{00000000-0005-0000-0000-0000EA020000}"/>
    <cellStyle name="40% - Accent4 5" xfId="801" xr:uid="{00000000-0005-0000-0000-0000EB020000}"/>
    <cellStyle name="40% - Accent4 5 2" xfId="802" xr:uid="{00000000-0005-0000-0000-0000EC020000}"/>
    <cellStyle name="40% - Accent4 5 3" xfId="803" xr:uid="{00000000-0005-0000-0000-0000ED020000}"/>
    <cellStyle name="40% - Accent4 6" xfId="804" xr:uid="{00000000-0005-0000-0000-0000EE020000}"/>
    <cellStyle name="40% - Accent4 6 2" xfId="805" xr:uid="{00000000-0005-0000-0000-0000EF020000}"/>
    <cellStyle name="40% - Accent4 6 3" xfId="806" xr:uid="{00000000-0005-0000-0000-0000F0020000}"/>
    <cellStyle name="40% - Accent4 7" xfId="807" xr:uid="{00000000-0005-0000-0000-0000F1020000}"/>
    <cellStyle name="40% - Accent4 7 2" xfId="808" xr:uid="{00000000-0005-0000-0000-0000F2020000}"/>
    <cellStyle name="40% - Accent4 7 3" xfId="809" xr:uid="{00000000-0005-0000-0000-0000F3020000}"/>
    <cellStyle name="40% - Accent4 8" xfId="810" xr:uid="{00000000-0005-0000-0000-0000F4020000}"/>
    <cellStyle name="40% - Accent4 8 2" xfId="811" xr:uid="{00000000-0005-0000-0000-0000F5020000}"/>
    <cellStyle name="40% - Accent4 8 3" xfId="812" xr:uid="{00000000-0005-0000-0000-0000F6020000}"/>
    <cellStyle name="40% - Accent4 9" xfId="813" xr:uid="{00000000-0005-0000-0000-0000F7020000}"/>
    <cellStyle name="40% - Accent4 9 2" xfId="814" xr:uid="{00000000-0005-0000-0000-0000F8020000}"/>
    <cellStyle name="40% - Accent4 9 3" xfId="815" xr:uid="{00000000-0005-0000-0000-0000F9020000}"/>
    <cellStyle name="40% - Accent5 10" xfId="816" xr:uid="{00000000-0005-0000-0000-0000FA020000}"/>
    <cellStyle name="40% - Accent5 10 2" xfId="817" xr:uid="{00000000-0005-0000-0000-0000FB020000}"/>
    <cellStyle name="40% - Accent5 10 3" xfId="818" xr:uid="{00000000-0005-0000-0000-0000FC020000}"/>
    <cellStyle name="40% - Accent5 11" xfId="819" xr:uid="{00000000-0005-0000-0000-0000FD020000}"/>
    <cellStyle name="40% - Accent5 11 2" xfId="820" xr:uid="{00000000-0005-0000-0000-0000FE020000}"/>
    <cellStyle name="40% - Accent5 11 3" xfId="821" xr:uid="{00000000-0005-0000-0000-0000FF020000}"/>
    <cellStyle name="40% - Accent5 12" xfId="822" xr:uid="{00000000-0005-0000-0000-000000030000}"/>
    <cellStyle name="40% - Accent5 12 2" xfId="823" xr:uid="{00000000-0005-0000-0000-000001030000}"/>
    <cellStyle name="40% - Accent5 12 3" xfId="824" xr:uid="{00000000-0005-0000-0000-000002030000}"/>
    <cellStyle name="40% - Accent5 13" xfId="825" xr:uid="{00000000-0005-0000-0000-000003030000}"/>
    <cellStyle name="40% - Accent5 13 2" xfId="826" xr:uid="{00000000-0005-0000-0000-000004030000}"/>
    <cellStyle name="40% - Accent5 13 3" xfId="827" xr:uid="{00000000-0005-0000-0000-000005030000}"/>
    <cellStyle name="40% - Accent5 14" xfId="828" xr:uid="{00000000-0005-0000-0000-000006030000}"/>
    <cellStyle name="40% - Accent5 14 2" xfId="829" xr:uid="{00000000-0005-0000-0000-000007030000}"/>
    <cellStyle name="40% - Accent5 14 3" xfId="830" xr:uid="{00000000-0005-0000-0000-000008030000}"/>
    <cellStyle name="40% - Accent5 15" xfId="831" xr:uid="{00000000-0005-0000-0000-000009030000}"/>
    <cellStyle name="40% - Accent5 15 2" xfId="832" xr:uid="{00000000-0005-0000-0000-00000A030000}"/>
    <cellStyle name="40% - Accent5 15 3" xfId="833" xr:uid="{00000000-0005-0000-0000-00000B030000}"/>
    <cellStyle name="40% - Accent5 15 4" xfId="834" xr:uid="{00000000-0005-0000-0000-00000C030000}"/>
    <cellStyle name="40% - Accent5 15 5" xfId="835" xr:uid="{00000000-0005-0000-0000-00000D030000}"/>
    <cellStyle name="40% - Accent5 15 6" xfId="836" xr:uid="{00000000-0005-0000-0000-00000E030000}"/>
    <cellStyle name="40% - Accent5 15 7" xfId="837" xr:uid="{00000000-0005-0000-0000-00000F030000}"/>
    <cellStyle name="40% - Accent5 16" xfId="838" xr:uid="{00000000-0005-0000-0000-000010030000}"/>
    <cellStyle name="40% - Accent5 17" xfId="839" xr:uid="{00000000-0005-0000-0000-000011030000}"/>
    <cellStyle name="40% - Accent5 18" xfId="840" xr:uid="{00000000-0005-0000-0000-000012030000}"/>
    <cellStyle name="40% - Accent5 19" xfId="841" xr:uid="{00000000-0005-0000-0000-000013030000}"/>
    <cellStyle name="40% - Accent5 2" xfId="842" xr:uid="{00000000-0005-0000-0000-000014030000}"/>
    <cellStyle name="40% - Accent5 2 10" xfId="843" xr:uid="{00000000-0005-0000-0000-000015030000}"/>
    <cellStyle name="40% - Accent5 2 11" xfId="844" xr:uid="{00000000-0005-0000-0000-000016030000}"/>
    <cellStyle name="40% - Accent5 2 12" xfId="845" xr:uid="{00000000-0005-0000-0000-000017030000}"/>
    <cellStyle name="40% - Accent5 2 13" xfId="846" xr:uid="{00000000-0005-0000-0000-000018030000}"/>
    <cellStyle name="40% - Accent5 2 14" xfId="847" xr:uid="{00000000-0005-0000-0000-000019030000}"/>
    <cellStyle name="40% - Accent5 2 2" xfId="848" xr:uid="{00000000-0005-0000-0000-00001A030000}"/>
    <cellStyle name="40% - Accent5 2 3" xfId="849" xr:uid="{00000000-0005-0000-0000-00001B030000}"/>
    <cellStyle name="40% - Accent5 2 4" xfId="850" xr:uid="{00000000-0005-0000-0000-00001C030000}"/>
    <cellStyle name="40% - Accent5 2 5" xfId="851" xr:uid="{00000000-0005-0000-0000-00001D030000}"/>
    <cellStyle name="40% - Accent5 2 6" xfId="852" xr:uid="{00000000-0005-0000-0000-00001E030000}"/>
    <cellStyle name="40% - Accent5 2 7" xfId="853" xr:uid="{00000000-0005-0000-0000-00001F030000}"/>
    <cellStyle name="40% - Accent5 2 8" xfId="854" xr:uid="{00000000-0005-0000-0000-000020030000}"/>
    <cellStyle name="40% - Accent5 2 9" xfId="855" xr:uid="{00000000-0005-0000-0000-000021030000}"/>
    <cellStyle name="40% - Accent5 20" xfId="856" xr:uid="{00000000-0005-0000-0000-000022030000}"/>
    <cellStyle name="40% - Accent5 21" xfId="857" xr:uid="{00000000-0005-0000-0000-000023030000}"/>
    <cellStyle name="40% - Accent5 22" xfId="858" xr:uid="{00000000-0005-0000-0000-000024030000}"/>
    <cellStyle name="40% - Accent5 23" xfId="859" xr:uid="{00000000-0005-0000-0000-000025030000}"/>
    <cellStyle name="40% - Accent5 24" xfId="860" xr:uid="{00000000-0005-0000-0000-000026030000}"/>
    <cellStyle name="40% - Accent5 25" xfId="861" xr:uid="{00000000-0005-0000-0000-000027030000}"/>
    <cellStyle name="40% - Accent5 26" xfId="862" xr:uid="{00000000-0005-0000-0000-000028030000}"/>
    <cellStyle name="40% - Accent5 27" xfId="863" xr:uid="{00000000-0005-0000-0000-000029030000}"/>
    <cellStyle name="40% - Accent5 28" xfId="864" xr:uid="{00000000-0005-0000-0000-00002A030000}"/>
    <cellStyle name="40% - Accent5 29" xfId="865" xr:uid="{00000000-0005-0000-0000-00002B030000}"/>
    <cellStyle name="40% - Accent5 3" xfId="866" xr:uid="{00000000-0005-0000-0000-00002C030000}"/>
    <cellStyle name="40% - Accent5 3 2" xfId="867" xr:uid="{00000000-0005-0000-0000-00002D030000}"/>
    <cellStyle name="40% - Accent5 3 3" xfId="868" xr:uid="{00000000-0005-0000-0000-00002E030000}"/>
    <cellStyle name="40% - Accent5 30" xfId="869" xr:uid="{00000000-0005-0000-0000-00002F030000}"/>
    <cellStyle name="40% - Accent5 31" xfId="870" xr:uid="{00000000-0005-0000-0000-000030030000}"/>
    <cellStyle name="40% - Accent5 32" xfId="871" xr:uid="{00000000-0005-0000-0000-000031030000}"/>
    <cellStyle name="40% - Accent5 33" xfId="872" xr:uid="{00000000-0005-0000-0000-000032030000}"/>
    <cellStyle name="40% - Accent5 34" xfId="873" xr:uid="{00000000-0005-0000-0000-000033030000}"/>
    <cellStyle name="40% - Accent5 4" xfId="874" xr:uid="{00000000-0005-0000-0000-000034030000}"/>
    <cellStyle name="40% - Accent5 4 2" xfId="875" xr:uid="{00000000-0005-0000-0000-000035030000}"/>
    <cellStyle name="40% - Accent5 4 3" xfId="876" xr:uid="{00000000-0005-0000-0000-000036030000}"/>
    <cellStyle name="40% - Accent5 5" xfId="877" xr:uid="{00000000-0005-0000-0000-000037030000}"/>
    <cellStyle name="40% - Accent5 5 2" xfId="878" xr:uid="{00000000-0005-0000-0000-000038030000}"/>
    <cellStyle name="40% - Accent5 5 3" xfId="879" xr:uid="{00000000-0005-0000-0000-000039030000}"/>
    <cellStyle name="40% - Accent5 6" xfId="880" xr:uid="{00000000-0005-0000-0000-00003A030000}"/>
    <cellStyle name="40% - Accent5 6 2" xfId="881" xr:uid="{00000000-0005-0000-0000-00003B030000}"/>
    <cellStyle name="40% - Accent5 6 3" xfId="882" xr:uid="{00000000-0005-0000-0000-00003C030000}"/>
    <cellStyle name="40% - Accent5 7" xfId="883" xr:uid="{00000000-0005-0000-0000-00003D030000}"/>
    <cellStyle name="40% - Accent5 7 2" xfId="884" xr:uid="{00000000-0005-0000-0000-00003E030000}"/>
    <cellStyle name="40% - Accent5 7 3" xfId="885" xr:uid="{00000000-0005-0000-0000-00003F030000}"/>
    <cellStyle name="40% - Accent5 8" xfId="886" xr:uid="{00000000-0005-0000-0000-000040030000}"/>
    <cellStyle name="40% - Accent5 8 2" xfId="887" xr:uid="{00000000-0005-0000-0000-000041030000}"/>
    <cellStyle name="40% - Accent5 8 3" xfId="888" xr:uid="{00000000-0005-0000-0000-000042030000}"/>
    <cellStyle name="40% - Accent5 9" xfId="889" xr:uid="{00000000-0005-0000-0000-000043030000}"/>
    <cellStyle name="40% - Accent5 9 2" xfId="890" xr:uid="{00000000-0005-0000-0000-000044030000}"/>
    <cellStyle name="40% - Accent5 9 3" xfId="891" xr:uid="{00000000-0005-0000-0000-000045030000}"/>
    <cellStyle name="40% - Accent6 10" xfId="892" xr:uid="{00000000-0005-0000-0000-000046030000}"/>
    <cellStyle name="40% - Accent6 10 2" xfId="893" xr:uid="{00000000-0005-0000-0000-000047030000}"/>
    <cellStyle name="40% - Accent6 10 3" xfId="894" xr:uid="{00000000-0005-0000-0000-000048030000}"/>
    <cellStyle name="40% - Accent6 11" xfId="895" xr:uid="{00000000-0005-0000-0000-000049030000}"/>
    <cellStyle name="40% - Accent6 11 2" xfId="896" xr:uid="{00000000-0005-0000-0000-00004A030000}"/>
    <cellStyle name="40% - Accent6 11 3" xfId="897" xr:uid="{00000000-0005-0000-0000-00004B030000}"/>
    <cellStyle name="40% - Accent6 12" xfId="898" xr:uid="{00000000-0005-0000-0000-00004C030000}"/>
    <cellStyle name="40% - Accent6 12 2" xfId="899" xr:uid="{00000000-0005-0000-0000-00004D030000}"/>
    <cellStyle name="40% - Accent6 12 3" xfId="900" xr:uid="{00000000-0005-0000-0000-00004E030000}"/>
    <cellStyle name="40% - Accent6 13" xfId="901" xr:uid="{00000000-0005-0000-0000-00004F030000}"/>
    <cellStyle name="40% - Accent6 13 2" xfId="902" xr:uid="{00000000-0005-0000-0000-000050030000}"/>
    <cellStyle name="40% - Accent6 13 3" xfId="903" xr:uid="{00000000-0005-0000-0000-000051030000}"/>
    <cellStyle name="40% - Accent6 14" xfId="904" xr:uid="{00000000-0005-0000-0000-000052030000}"/>
    <cellStyle name="40% - Accent6 14 2" xfId="905" xr:uid="{00000000-0005-0000-0000-000053030000}"/>
    <cellStyle name="40% - Accent6 14 3" xfId="906" xr:uid="{00000000-0005-0000-0000-000054030000}"/>
    <cellStyle name="40% - Accent6 15" xfId="907" xr:uid="{00000000-0005-0000-0000-000055030000}"/>
    <cellStyle name="40% - Accent6 15 2" xfId="908" xr:uid="{00000000-0005-0000-0000-000056030000}"/>
    <cellStyle name="40% - Accent6 15 3" xfId="909" xr:uid="{00000000-0005-0000-0000-000057030000}"/>
    <cellStyle name="40% - Accent6 15 4" xfId="910" xr:uid="{00000000-0005-0000-0000-000058030000}"/>
    <cellStyle name="40% - Accent6 15 5" xfId="911" xr:uid="{00000000-0005-0000-0000-000059030000}"/>
    <cellStyle name="40% - Accent6 15 6" xfId="912" xr:uid="{00000000-0005-0000-0000-00005A030000}"/>
    <cellStyle name="40% - Accent6 15 7" xfId="913" xr:uid="{00000000-0005-0000-0000-00005B030000}"/>
    <cellStyle name="40% - Accent6 16" xfId="914" xr:uid="{00000000-0005-0000-0000-00005C030000}"/>
    <cellStyle name="40% - Accent6 17" xfId="915" xr:uid="{00000000-0005-0000-0000-00005D030000}"/>
    <cellStyle name="40% - Accent6 18" xfId="916" xr:uid="{00000000-0005-0000-0000-00005E030000}"/>
    <cellStyle name="40% - Accent6 19" xfId="917" xr:uid="{00000000-0005-0000-0000-00005F030000}"/>
    <cellStyle name="40% - Accent6 2" xfId="918" xr:uid="{00000000-0005-0000-0000-000060030000}"/>
    <cellStyle name="40% - Accent6 2 10" xfId="919" xr:uid="{00000000-0005-0000-0000-000061030000}"/>
    <cellStyle name="40% - Accent6 2 11" xfId="920" xr:uid="{00000000-0005-0000-0000-000062030000}"/>
    <cellStyle name="40% - Accent6 2 12" xfId="921" xr:uid="{00000000-0005-0000-0000-000063030000}"/>
    <cellStyle name="40% - Accent6 2 13" xfId="922" xr:uid="{00000000-0005-0000-0000-000064030000}"/>
    <cellStyle name="40% - Accent6 2 14" xfId="923" xr:uid="{00000000-0005-0000-0000-000065030000}"/>
    <cellStyle name="40% - Accent6 2 2" xfId="924" xr:uid="{00000000-0005-0000-0000-000066030000}"/>
    <cellStyle name="40% - Accent6 2 3" xfId="925" xr:uid="{00000000-0005-0000-0000-000067030000}"/>
    <cellStyle name="40% - Accent6 2 4" xfId="926" xr:uid="{00000000-0005-0000-0000-000068030000}"/>
    <cellStyle name="40% - Accent6 2 5" xfId="927" xr:uid="{00000000-0005-0000-0000-000069030000}"/>
    <cellStyle name="40% - Accent6 2 6" xfId="928" xr:uid="{00000000-0005-0000-0000-00006A030000}"/>
    <cellStyle name="40% - Accent6 2 7" xfId="929" xr:uid="{00000000-0005-0000-0000-00006B030000}"/>
    <cellStyle name="40% - Accent6 2 8" xfId="930" xr:uid="{00000000-0005-0000-0000-00006C030000}"/>
    <cellStyle name="40% - Accent6 2 9" xfId="931" xr:uid="{00000000-0005-0000-0000-00006D030000}"/>
    <cellStyle name="40% - Accent6 20" xfId="932" xr:uid="{00000000-0005-0000-0000-00006E030000}"/>
    <cellStyle name="40% - Accent6 21" xfId="933" xr:uid="{00000000-0005-0000-0000-00006F030000}"/>
    <cellStyle name="40% - Accent6 22" xfId="934" xr:uid="{00000000-0005-0000-0000-000070030000}"/>
    <cellStyle name="40% - Accent6 23" xfId="935" xr:uid="{00000000-0005-0000-0000-000071030000}"/>
    <cellStyle name="40% - Accent6 24" xfId="936" xr:uid="{00000000-0005-0000-0000-000072030000}"/>
    <cellStyle name="40% - Accent6 25" xfId="937" xr:uid="{00000000-0005-0000-0000-000073030000}"/>
    <cellStyle name="40% - Accent6 26" xfId="938" xr:uid="{00000000-0005-0000-0000-000074030000}"/>
    <cellStyle name="40% - Accent6 27" xfId="939" xr:uid="{00000000-0005-0000-0000-000075030000}"/>
    <cellStyle name="40% - Accent6 28" xfId="940" xr:uid="{00000000-0005-0000-0000-000076030000}"/>
    <cellStyle name="40% - Accent6 29" xfId="941" xr:uid="{00000000-0005-0000-0000-000077030000}"/>
    <cellStyle name="40% - Accent6 3" xfId="942" xr:uid="{00000000-0005-0000-0000-000078030000}"/>
    <cellStyle name="40% - Accent6 3 2" xfId="943" xr:uid="{00000000-0005-0000-0000-000079030000}"/>
    <cellStyle name="40% - Accent6 3 3" xfId="944" xr:uid="{00000000-0005-0000-0000-00007A030000}"/>
    <cellStyle name="40% - Accent6 30" xfId="945" xr:uid="{00000000-0005-0000-0000-00007B030000}"/>
    <cellStyle name="40% - Accent6 31" xfId="946" xr:uid="{00000000-0005-0000-0000-00007C030000}"/>
    <cellStyle name="40% - Accent6 32" xfId="947" xr:uid="{00000000-0005-0000-0000-00007D030000}"/>
    <cellStyle name="40% - Accent6 33" xfId="948" xr:uid="{00000000-0005-0000-0000-00007E030000}"/>
    <cellStyle name="40% - Accent6 34" xfId="949" xr:uid="{00000000-0005-0000-0000-00007F030000}"/>
    <cellStyle name="40% - Accent6 4" xfId="950" xr:uid="{00000000-0005-0000-0000-000080030000}"/>
    <cellStyle name="40% - Accent6 4 2" xfId="951" xr:uid="{00000000-0005-0000-0000-000081030000}"/>
    <cellStyle name="40% - Accent6 4 3" xfId="952" xr:uid="{00000000-0005-0000-0000-000082030000}"/>
    <cellStyle name="40% - Accent6 5" xfId="953" xr:uid="{00000000-0005-0000-0000-000083030000}"/>
    <cellStyle name="40% - Accent6 5 2" xfId="954" xr:uid="{00000000-0005-0000-0000-000084030000}"/>
    <cellStyle name="40% - Accent6 5 3" xfId="955" xr:uid="{00000000-0005-0000-0000-000085030000}"/>
    <cellStyle name="40% - Accent6 6" xfId="956" xr:uid="{00000000-0005-0000-0000-000086030000}"/>
    <cellStyle name="40% - Accent6 6 2" xfId="957" xr:uid="{00000000-0005-0000-0000-000087030000}"/>
    <cellStyle name="40% - Accent6 6 3" xfId="958" xr:uid="{00000000-0005-0000-0000-000088030000}"/>
    <cellStyle name="40% - Accent6 7" xfId="959" xr:uid="{00000000-0005-0000-0000-000089030000}"/>
    <cellStyle name="40% - Accent6 7 2" xfId="960" xr:uid="{00000000-0005-0000-0000-00008A030000}"/>
    <cellStyle name="40% - Accent6 7 3" xfId="961" xr:uid="{00000000-0005-0000-0000-00008B030000}"/>
    <cellStyle name="40% - Accent6 8" xfId="962" xr:uid="{00000000-0005-0000-0000-00008C030000}"/>
    <cellStyle name="40% - Accent6 8 2" xfId="963" xr:uid="{00000000-0005-0000-0000-00008D030000}"/>
    <cellStyle name="40% - Accent6 8 3" xfId="964" xr:uid="{00000000-0005-0000-0000-00008E030000}"/>
    <cellStyle name="40% - Accent6 9" xfId="965" xr:uid="{00000000-0005-0000-0000-00008F030000}"/>
    <cellStyle name="40% - Accent6 9 2" xfId="966" xr:uid="{00000000-0005-0000-0000-000090030000}"/>
    <cellStyle name="40% - Accent6 9 3" xfId="967" xr:uid="{00000000-0005-0000-0000-000091030000}"/>
    <cellStyle name="60% - Accent1 10" xfId="968" xr:uid="{00000000-0005-0000-0000-000092030000}"/>
    <cellStyle name="60% - Accent1 10 2" xfId="969" xr:uid="{00000000-0005-0000-0000-000093030000}"/>
    <cellStyle name="60% - Accent1 10 3" xfId="970" xr:uid="{00000000-0005-0000-0000-000094030000}"/>
    <cellStyle name="60% - Accent1 11" xfId="971" xr:uid="{00000000-0005-0000-0000-000095030000}"/>
    <cellStyle name="60% - Accent1 11 2" xfId="972" xr:uid="{00000000-0005-0000-0000-000096030000}"/>
    <cellStyle name="60% - Accent1 11 3" xfId="973" xr:uid="{00000000-0005-0000-0000-000097030000}"/>
    <cellStyle name="60% - Accent1 12" xfId="974" xr:uid="{00000000-0005-0000-0000-000098030000}"/>
    <cellStyle name="60% - Accent1 12 2" xfId="975" xr:uid="{00000000-0005-0000-0000-000099030000}"/>
    <cellStyle name="60% - Accent1 12 3" xfId="976" xr:uid="{00000000-0005-0000-0000-00009A030000}"/>
    <cellStyle name="60% - Accent1 13" xfId="977" xr:uid="{00000000-0005-0000-0000-00009B030000}"/>
    <cellStyle name="60% - Accent1 13 2" xfId="978" xr:uid="{00000000-0005-0000-0000-00009C030000}"/>
    <cellStyle name="60% - Accent1 13 3" xfId="979" xr:uid="{00000000-0005-0000-0000-00009D030000}"/>
    <cellStyle name="60% - Accent1 14" xfId="980" xr:uid="{00000000-0005-0000-0000-00009E030000}"/>
    <cellStyle name="60% - Accent1 14 2" xfId="981" xr:uid="{00000000-0005-0000-0000-00009F030000}"/>
    <cellStyle name="60% - Accent1 14 3" xfId="982" xr:uid="{00000000-0005-0000-0000-0000A0030000}"/>
    <cellStyle name="60% - Accent1 15" xfId="983" xr:uid="{00000000-0005-0000-0000-0000A1030000}"/>
    <cellStyle name="60% - Accent1 15 2" xfId="984" xr:uid="{00000000-0005-0000-0000-0000A2030000}"/>
    <cellStyle name="60% - Accent1 15 3" xfId="985" xr:uid="{00000000-0005-0000-0000-0000A3030000}"/>
    <cellStyle name="60% - Accent1 15 4" xfId="986" xr:uid="{00000000-0005-0000-0000-0000A4030000}"/>
    <cellStyle name="60% - Accent1 15 5" xfId="987" xr:uid="{00000000-0005-0000-0000-0000A5030000}"/>
    <cellStyle name="60% - Accent1 15 6" xfId="988" xr:uid="{00000000-0005-0000-0000-0000A6030000}"/>
    <cellStyle name="60% - Accent1 15 7" xfId="989" xr:uid="{00000000-0005-0000-0000-0000A7030000}"/>
    <cellStyle name="60% - Accent1 16" xfId="990" xr:uid="{00000000-0005-0000-0000-0000A8030000}"/>
    <cellStyle name="60% - Accent1 17" xfId="991" xr:uid="{00000000-0005-0000-0000-0000A9030000}"/>
    <cellStyle name="60% - Accent1 18" xfId="992" xr:uid="{00000000-0005-0000-0000-0000AA030000}"/>
    <cellStyle name="60% - Accent1 19" xfId="993" xr:uid="{00000000-0005-0000-0000-0000AB030000}"/>
    <cellStyle name="60% - Accent1 2" xfId="994" xr:uid="{00000000-0005-0000-0000-0000AC030000}"/>
    <cellStyle name="60% - Accent1 2 10" xfId="995" xr:uid="{00000000-0005-0000-0000-0000AD030000}"/>
    <cellStyle name="60% - Accent1 2 11" xfId="996" xr:uid="{00000000-0005-0000-0000-0000AE030000}"/>
    <cellStyle name="60% - Accent1 2 12" xfId="997" xr:uid="{00000000-0005-0000-0000-0000AF030000}"/>
    <cellStyle name="60% - Accent1 2 13" xfId="998" xr:uid="{00000000-0005-0000-0000-0000B0030000}"/>
    <cellStyle name="60% - Accent1 2 14" xfId="999" xr:uid="{00000000-0005-0000-0000-0000B1030000}"/>
    <cellStyle name="60% - Accent1 2 2" xfId="1000" xr:uid="{00000000-0005-0000-0000-0000B2030000}"/>
    <cellStyle name="60% - Accent1 2 3" xfId="1001" xr:uid="{00000000-0005-0000-0000-0000B3030000}"/>
    <cellStyle name="60% - Accent1 2 4" xfId="1002" xr:uid="{00000000-0005-0000-0000-0000B4030000}"/>
    <cellStyle name="60% - Accent1 2 5" xfId="1003" xr:uid="{00000000-0005-0000-0000-0000B5030000}"/>
    <cellStyle name="60% - Accent1 2 6" xfId="1004" xr:uid="{00000000-0005-0000-0000-0000B6030000}"/>
    <cellStyle name="60% - Accent1 2 7" xfId="1005" xr:uid="{00000000-0005-0000-0000-0000B7030000}"/>
    <cellStyle name="60% - Accent1 2 8" xfId="1006" xr:uid="{00000000-0005-0000-0000-0000B8030000}"/>
    <cellStyle name="60% - Accent1 2 9" xfId="1007" xr:uid="{00000000-0005-0000-0000-0000B9030000}"/>
    <cellStyle name="60% - Accent1 20" xfId="1008" xr:uid="{00000000-0005-0000-0000-0000BA030000}"/>
    <cellStyle name="60% - Accent1 21" xfId="1009" xr:uid="{00000000-0005-0000-0000-0000BB030000}"/>
    <cellStyle name="60% - Accent1 22" xfId="1010" xr:uid="{00000000-0005-0000-0000-0000BC030000}"/>
    <cellStyle name="60% - Accent1 23" xfId="1011" xr:uid="{00000000-0005-0000-0000-0000BD030000}"/>
    <cellStyle name="60% - Accent1 24" xfId="1012" xr:uid="{00000000-0005-0000-0000-0000BE030000}"/>
    <cellStyle name="60% - Accent1 25" xfId="1013" xr:uid="{00000000-0005-0000-0000-0000BF030000}"/>
    <cellStyle name="60% - Accent1 26" xfId="1014" xr:uid="{00000000-0005-0000-0000-0000C0030000}"/>
    <cellStyle name="60% - Accent1 27" xfId="1015" xr:uid="{00000000-0005-0000-0000-0000C1030000}"/>
    <cellStyle name="60% - Accent1 28" xfId="1016" xr:uid="{00000000-0005-0000-0000-0000C2030000}"/>
    <cellStyle name="60% - Accent1 29" xfId="1017" xr:uid="{00000000-0005-0000-0000-0000C3030000}"/>
    <cellStyle name="60% - Accent1 3" xfId="1018" xr:uid="{00000000-0005-0000-0000-0000C4030000}"/>
    <cellStyle name="60% - Accent1 3 2" xfId="1019" xr:uid="{00000000-0005-0000-0000-0000C5030000}"/>
    <cellStyle name="60% - Accent1 3 3" xfId="1020" xr:uid="{00000000-0005-0000-0000-0000C6030000}"/>
    <cellStyle name="60% - Accent1 30" xfId="1021" xr:uid="{00000000-0005-0000-0000-0000C7030000}"/>
    <cellStyle name="60% - Accent1 31" xfId="1022" xr:uid="{00000000-0005-0000-0000-0000C8030000}"/>
    <cellStyle name="60% - Accent1 32" xfId="1023" xr:uid="{00000000-0005-0000-0000-0000C9030000}"/>
    <cellStyle name="60% - Accent1 33" xfId="1024" xr:uid="{00000000-0005-0000-0000-0000CA030000}"/>
    <cellStyle name="60% - Accent1 34" xfId="1025" xr:uid="{00000000-0005-0000-0000-0000CB030000}"/>
    <cellStyle name="60% - Accent1 4" xfId="1026" xr:uid="{00000000-0005-0000-0000-0000CC030000}"/>
    <cellStyle name="60% - Accent1 4 2" xfId="1027" xr:uid="{00000000-0005-0000-0000-0000CD030000}"/>
    <cellStyle name="60% - Accent1 4 3" xfId="1028" xr:uid="{00000000-0005-0000-0000-0000CE030000}"/>
    <cellStyle name="60% - Accent1 5" xfId="1029" xr:uid="{00000000-0005-0000-0000-0000CF030000}"/>
    <cellStyle name="60% - Accent1 5 2" xfId="1030" xr:uid="{00000000-0005-0000-0000-0000D0030000}"/>
    <cellStyle name="60% - Accent1 5 3" xfId="1031" xr:uid="{00000000-0005-0000-0000-0000D1030000}"/>
    <cellStyle name="60% - Accent1 6" xfId="1032" xr:uid="{00000000-0005-0000-0000-0000D2030000}"/>
    <cellStyle name="60% - Accent1 6 2" xfId="1033" xr:uid="{00000000-0005-0000-0000-0000D3030000}"/>
    <cellStyle name="60% - Accent1 6 3" xfId="1034" xr:uid="{00000000-0005-0000-0000-0000D4030000}"/>
    <cellStyle name="60% - Accent1 7" xfId="1035" xr:uid="{00000000-0005-0000-0000-0000D5030000}"/>
    <cellStyle name="60% - Accent1 7 2" xfId="1036" xr:uid="{00000000-0005-0000-0000-0000D6030000}"/>
    <cellStyle name="60% - Accent1 7 3" xfId="1037" xr:uid="{00000000-0005-0000-0000-0000D7030000}"/>
    <cellStyle name="60% - Accent1 8" xfId="1038" xr:uid="{00000000-0005-0000-0000-0000D8030000}"/>
    <cellStyle name="60% - Accent1 8 2" xfId="1039" xr:uid="{00000000-0005-0000-0000-0000D9030000}"/>
    <cellStyle name="60% - Accent1 8 3" xfId="1040" xr:uid="{00000000-0005-0000-0000-0000DA030000}"/>
    <cellStyle name="60% - Accent1 9" xfId="1041" xr:uid="{00000000-0005-0000-0000-0000DB030000}"/>
    <cellStyle name="60% - Accent1 9 2" xfId="1042" xr:uid="{00000000-0005-0000-0000-0000DC030000}"/>
    <cellStyle name="60% - Accent1 9 3" xfId="1043" xr:uid="{00000000-0005-0000-0000-0000DD030000}"/>
    <cellStyle name="60% - Accent2 10" xfId="1044" xr:uid="{00000000-0005-0000-0000-0000DE030000}"/>
    <cellStyle name="60% - Accent2 10 2" xfId="1045" xr:uid="{00000000-0005-0000-0000-0000DF030000}"/>
    <cellStyle name="60% - Accent2 10 3" xfId="1046" xr:uid="{00000000-0005-0000-0000-0000E0030000}"/>
    <cellStyle name="60% - Accent2 11" xfId="1047" xr:uid="{00000000-0005-0000-0000-0000E1030000}"/>
    <cellStyle name="60% - Accent2 11 2" xfId="1048" xr:uid="{00000000-0005-0000-0000-0000E2030000}"/>
    <cellStyle name="60% - Accent2 11 3" xfId="1049" xr:uid="{00000000-0005-0000-0000-0000E3030000}"/>
    <cellStyle name="60% - Accent2 12" xfId="1050" xr:uid="{00000000-0005-0000-0000-0000E4030000}"/>
    <cellStyle name="60% - Accent2 12 2" xfId="1051" xr:uid="{00000000-0005-0000-0000-0000E5030000}"/>
    <cellStyle name="60% - Accent2 12 3" xfId="1052" xr:uid="{00000000-0005-0000-0000-0000E6030000}"/>
    <cellStyle name="60% - Accent2 13" xfId="1053" xr:uid="{00000000-0005-0000-0000-0000E7030000}"/>
    <cellStyle name="60% - Accent2 13 2" xfId="1054" xr:uid="{00000000-0005-0000-0000-0000E8030000}"/>
    <cellStyle name="60% - Accent2 13 3" xfId="1055" xr:uid="{00000000-0005-0000-0000-0000E9030000}"/>
    <cellStyle name="60% - Accent2 14" xfId="1056" xr:uid="{00000000-0005-0000-0000-0000EA030000}"/>
    <cellStyle name="60% - Accent2 14 2" xfId="1057" xr:uid="{00000000-0005-0000-0000-0000EB030000}"/>
    <cellStyle name="60% - Accent2 14 3" xfId="1058" xr:uid="{00000000-0005-0000-0000-0000EC030000}"/>
    <cellStyle name="60% - Accent2 15" xfId="1059" xr:uid="{00000000-0005-0000-0000-0000ED030000}"/>
    <cellStyle name="60% - Accent2 15 2" xfId="1060" xr:uid="{00000000-0005-0000-0000-0000EE030000}"/>
    <cellStyle name="60% - Accent2 15 3" xfId="1061" xr:uid="{00000000-0005-0000-0000-0000EF030000}"/>
    <cellStyle name="60% - Accent2 15 4" xfId="1062" xr:uid="{00000000-0005-0000-0000-0000F0030000}"/>
    <cellStyle name="60% - Accent2 15 5" xfId="1063" xr:uid="{00000000-0005-0000-0000-0000F1030000}"/>
    <cellStyle name="60% - Accent2 15 6" xfId="1064" xr:uid="{00000000-0005-0000-0000-0000F2030000}"/>
    <cellStyle name="60% - Accent2 15 7" xfId="1065" xr:uid="{00000000-0005-0000-0000-0000F3030000}"/>
    <cellStyle name="60% - Accent2 16" xfId="1066" xr:uid="{00000000-0005-0000-0000-0000F4030000}"/>
    <cellStyle name="60% - Accent2 17" xfId="1067" xr:uid="{00000000-0005-0000-0000-0000F5030000}"/>
    <cellStyle name="60% - Accent2 18" xfId="1068" xr:uid="{00000000-0005-0000-0000-0000F6030000}"/>
    <cellStyle name="60% - Accent2 19" xfId="1069" xr:uid="{00000000-0005-0000-0000-0000F7030000}"/>
    <cellStyle name="60% - Accent2 2" xfId="1070" xr:uid="{00000000-0005-0000-0000-0000F8030000}"/>
    <cellStyle name="60% - Accent2 2 10" xfId="1071" xr:uid="{00000000-0005-0000-0000-0000F9030000}"/>
    <cellStyle name="60% - Accent2 2 11" xfId="1072" xr:uid="{00000000-0005-0000-0000-0000FA030000}"/>
    <cellStyle name="60% - Accent2 2 12" xfId="1073" xr:uid="{00000000-0005-0000-0000-0000FB030000}"/>
    <cellStyle name="60% - Accent2 2 13" xfId="1074" xr:uid="{00000000-0005-0000-0000-0000FC030000}"/>
    <cellStyle name="60% - Accent2 2 14" xfId="1075" xr:uid="{00000000-0005-0000-0000-0000FD030000}"/>
    <cellStyle name="60% - Accent2 2 2" xfId="1076" xr:uid="{00000000-0005-0000-0000-0000FE030000}"/>
    <cellStyle name="60% - Accent2 2 3" xfId="1077" xr:uid="{00000000-0005-0000-0000-0000FF030000}"/>
    <cellStyle name="60% - Accent2 2 4" xfId="1078" xr:uid="{00000000-0005-0000-0000-000000040000}"/>
    <cellStyle name="60% - Accent2 2 5" xfId="1079" xr:uid="{00000000-0005-0000-0000-000001040000}"/>
    <cellStyle name="60% - Accent2 2 6" xfId="1080" xr:uid="{00000000-0005-0000-0000-000002040000}"/>
    <cellStyle name="60% - Accent2 2 7" xfId="1081" xr:uid="{00000000-0005-0000-0000-000003040000}"/>
    <cellStyle name="60% - Accent2 2 8" xfId="1082" xr:uid="{00000000-0005-0000-0000-000004040000}"/>
    <cellStyle name="60% - Accent2 2 9" xfId="1083" xr:uid="{00000000-0005-0000-0000-000005040000}"/>
    <cellStyle name="60% - Accent2 20" xfId="1084" xr:uid="{00000000-0005-0000-0000-000006040000}"/>
    <cellStyle name="60% - Accent2 21" xfId="1085" xr:uid="{00000000-0005-0000-0000-000007040000}"/>
    <cellStyle name="60% - Accent2 22" xfId="1086" xr:uid="{00000000-0005-0000-0000-000008040000}"/>
    <cellStyle name="60% - Accent2 23" xfId="1087" xr:uid="{00000000-0005-0000-0000-000009040000}"/>
    <cellStyle name="60% - Accent2 24" xfId="1088" xr:uid="{00000000-0005-0000-0000-00000A040000}"/>
    <cellStyle name="60% - Accent2 25" xfId="1089" xr:uid="{00000000-0005-0000-0000-00000B040000}"/>
    <cellStyle name="60% - Accent2 26" xfId="1090" xr:uid="{00000000-0005-0000-0000-00000C040000}"/>
    <cellStyle name="60% - Accent2 27" xfId="1091" xr:uid="{00000000-0005-0000-0000-00000D040000}"/>
    <cellStyle name="60% - Accent2 28" xfId="1092" xr:uid="{00000000-0005-0000-0000-00000E040000}"/>
    <cellStyle name="60% - Accent2 29" xfId="1093" xr:uid="{00000000-0005-0000-0000-00000F040000}"/>
    <cellStyle name="60% - Accent2 3" xfId="1094" xr:uid="{00000000-0005-0000-0000-000010040000}"/>
    <cellStyle name="60% - Accent2 3 2" xfId="1095" xr:uid="{00000000-0005-0000-0000-000011040000}"/>
    <cellStyle name="60% - Accent2 3 3" xfId="1096" xr:uid="{00000000-0005-0000-0000-000012040000}"/>
    <cellStyle name="60% - Accent2 30" xfId="1097" xr:uid="{00000000-0005-0000-0000-000013040000}"/>
    <cellStyle name="60% - Accent2 31" xfId="1098" xr:uid="{00000000-0005-0000-0000-000014040000}"/>
    <cellStyle name="60% - Accent2 32" xfId="1099" xr:uid="{00000000-0005-0000-0000-000015040000}"/>
    <cellStyle name="60% - Accent2 33" xfId="1100" xr:uid="{00000000-0005-0000-0000-000016040000}"/>
    <cellStyle name="60% - Accent2 34" xfId="1101" xr:uid="{00000000-0005-0000-0000-000017040000}"/>
    <cellStyle name="60% - Accent2 4" xfId="1102" xr:uid="{00000000-0005-0000-0000-000018040000}"/>
    <cellStyle name="60% - Accent2 4 2" xfId="1103" xr:uid="{00000000-0005-0000-0000-000019040000}"/>
    <cellStyle name="60% - Accent2 4 3" xfId="1104" xr:uid="{00000000-0005-0000-0000-00001A040000}"/>
    <cellStyle name="60% - Accent2 5" xfId="1105" xr:uid="{00000000-0005-0000-0000-00001B040000}"/>
    <cellStyle name="60% - Accent2 5 2" xfId="1106" xr:uid="{00000000-0005-0000-0000-00001C040000}"/>
    <cellStyle name="60% - Accent2 5 3" xfId="1107" xr:uid="{00000000-0005-0000-0000-00001D040000}"/>
    <cellStyle name="60% - Accent2 6" xfId="1108" xr:uid="{00000000-0005-0000-0000-00001E040000}"/>
    <cellStyle name="60% - Accent2 6 2" xfId="1109" xr:uid="{00000000-0005-0000-0000-00001F040000}"/>
    <cellStyle name="60% - Accent2 6 3" xfId="1110" xr:uid="{00000000-0005-0000-0000-000020040000}"/>
    <cellStyle name="60% - Accent2 7" xfId="1111" xr:uid="{00000000-0005-0000-0000-000021040000}"/>
    <cellStyle name="60% - Accent2 7 2" xfId="1112" xr:uid="{00000000-0005-0000-0000-000022040000}"/>
    <cellStyle name="60% - Accent2 7 3" xfId="1113" xr:uid="{00000000-0005-0000-0000-000023040000}"/>
    <cellStyle name="60% - Accent2 8" xfId="1114" xr:uid="{00000000-0005-0000-0000-000024040000}"/>
    <cellStyle name="60% - Accent2 8 2" xfId="1115" xr:uid="{00000000-0005-0000-0000-000025040000}"/>
    <cellStyle name="60% - Accent2 8 3" xfId="1116" xr:uid="{00000000-0005-0000-0000-000026040000}"/>
    <cellStyle name="60% - Accent2 9" xfId="1117" xr:uid="{00000000-0005-0000-0000-000027040000}"/>
    <cellStyle name="60% - Accent2 9 2" xfId="1118" xr:uid="{00000000-0005-0000-0000-000028040000}"/>
    <cellStyle name="60% - Accent2 9 3" xfId="1119" xr:uid="{00000000-0005-0000-0000-000029040000}"/>
    <cellStyle name="60% - Accent3 10" xfId="1120" xr:uid="{00000000-0005-0000-0000-00002A040000}"/>
    <cellStyle name="60% - Accent3 10 2" xfId="1121" xr:uid="{00000000-0005-0000-0000-00002B040000}"/>
    <cellStyle name="60% - Accent3 10 3" xfId="1122" xr:uid="{00000000-0005-0000-0000-00002C040000}"/>
    <cellStyle name="60% - Accent3 11" xfId="1123" xr:uid="{00000000-0005-0000-0000-00002D040000}"/>
    <cellStyle name="60% - Accent3 11 2" xfId="1124" xr:uid="{00000000-0005-0000-0000-00002E040000}"/>
    <cellStyle name="60% - Accent3 11 3" xfId="1125" xr:uid="{00000000-0005-0000-0000-00002F040000}"/>
    <cellStyle name="60% - Accent3 12" xfId="1126" xr:uid="{00000000-0005-0000-0000-000030040000}"/>
    <cellStyle name="60% - Accent3 12 2" xfId="1127" xr:uid="{00000000-0005-0000-0000-000031040000}"/>
    <cellStyle name="60% - Accent3 12 3" xfId="1128" xr:uid="{00000000-0005-0000-0000-000032040000}"/>
    <cellStyle name="60% - Accent3 13" xfId="1129" xr:uid="{00000000-0005-0000-0000-000033040000}"/>
    <cellStyle name="60% - Accent3 13 2" xfId="1130" xr:uid="{00000000-0005-0000-0000-000034040000}"/>
    <cellStyle name="60% - Accent3 13 3" xfId="1131" xr:uid="{00000000-0005-0000-0000-000035040000}"/>
    <cellStyle name="60% - Accent3 14" xfId="1132" xr:uid="{00000000-0005-0000-0000-000036040000}"/>
    <cellStyle name="60% - Accent3 14 2" xfId="1133" xr:uid="{00000000-0005-0000-0000-000037040000}"/>
    <cellStyle name="60% - Accent3 14 3" xfId="1134" xr:uid="{00000000-0005-0000-0000-000038040000}"/>
    <cellStyle name="60% - Accent3 15" xfId="1135" xr:uid="{00000000-0005-0000-0000-000039040000}"/>
    <cellStyle name="60% - Accent3 15 2" xfId="1136" xr:uid="{00000000-0005-0000-0000-00003A040000}"/>
    <cellStyle name="60% - Accent3 15 3" xfId="1137" xr:uid="{00000000-0005-0000-0000-00003B040000}"/>
    <cellStyle name="60% - Accent3 15 4" xfId="1138" xr:uid="{00000000-0005-0000-0000-00003C040000}"/>
    <cellStyle name="60% - Accent3 15 5" xfId="1139" xr:uid="{00000000-0005-0000-0000-00003D040000}"/>
    <cellStyle name="60% - Accent3 15 6" xfId="1140" xr:uid="{00000000-0005-0000-0000-00003E040000}"/>
    <cellStyle name="60% - Accent3 15 7" xfId="1141" xr:uid="{00000000-0005-0000-0000-00003F040000}"/>
    <cellStyle name="60% - Accent3 16" xfId="1142" xr:uid="{00000000-0005-0000-0000-000040040000}"/>
    <cellStyle name="60% - Accent3 17" xfId="1143" xr:uid="{00000000-0005-0000-0000-000041040000}"/>
    <cellStyle name="60% - Accent3 18" xfId="1144" xr:uid="{00000000-0005-0000-0000-000042040000}"/>
    <cellStyle name="60% - Accent3 19" xfId="1145" xr:uid="{00000000-0005-0000-0000-000043040000}"/>
    <cellStyle name="60% - Accent3 2" xfId="1146" xr:uid="{00000000-0005-0000-0000-000044040000}"/>
    <cellStyle name="60% - Accent3 2 10" xfId="1147" xr:uid="{00000000-0005-0000-0000-000045040000}"/>
    <cellStyle name="60% - Accent3 2 11" xfId="1148" xr:uid="{00000000-0005-0000-0000-000046040000}"/>
    <cellStyle name="60% - Accent3 2 12" xfId="1149" xr:uid="{00000000-0005-0000-0000-000047040000}"/>
    <cellStyle name="60% - Accent3 2 13" xfId="1150" xr:uid="{00000000-0005-0000-0000-000048040000}"/>
    <cellStyle name="60% - Accent3 2 14" xfId="1151" xr:uid="{00000000-0005-0000-0000-000049040000}"/>
    <cellStyle name="60% - Accent3 2 2" xfId="1152" xr:uid="{00000000-0005-0000-0000-00004A040000}"/>
    <cellStyle name="60% - Accent3 2 3" xfId="1153" xr:uid="{00000000-0005-0000-0000-00004B040000}"/>
    <cellStyle name="60% - Accent3 2 4" xfId="1154" xr:uid="{00000000-0005-0000-0000-00004C040000}"/>
    <cellStyle name="60% - Accent3 2 5" xfId="1155" xr:uid="{00000000-0005-0000-0000-00004D040000}"/>
    <cellStyle name="60% - Accent3 2 6" xfId="1156" xr:uid="{00000000-0005-0000-0000-00004E040000}"/>
    <cellStyle name="60% - Accent3 2 7" xfId="1157" xr:uid="{00000000-0005-0000-0000-00004F040000}"/>
    <cellStyle name="60% - Accent3 2 8" xfId="1158" xr:uid="{00000000-0005-0000-0000-000050040000}"/>
    <cellStyle name="60% - Accent3 2 9" xfId="1159" xr:uid="{00000000-0005-0000-0000-000051040000}"/>
    <cellStyle name="60% - Accent3 20" xfId="1160" xr:uid="{00000000-0005-0000-0000-000052040000}"/>
    <cellStyle name="60% - Accent3 21" xfId="1161" xr:uid="{00000000-0005-0000-0000-000053040000}"/>
    <cellStyle name="60% - Accent3 22" xfId="1162" xr:uid="{00000000-0005-0000-0000-000054040000}"/>
    <cellStyle name="60% - Accent3 23" xfId="1163" xr:uid="{00000000-0005-0000-0000-000055040000}"/>
    <cellStyle name="60% - Accent3 24" xfId="1164" xr:uid="{00000000-0005-0000-0000-000056040000}"/>
    <cellStyle name="60% - Accent3 25" xfId="1165" xr:uid="{00000000-0005-0000-0000-000057040000}"/>
    <cellStyle name="60% - Accent3 26" xfId="1166" xr:uid="{00000000-0005-0000-0000-000058040000}"/>
    <cellStyle name="60% - Accent3 27" xfId="1167" xr:uid="{00000000-0005-0000-0000-000059040000}"/>
    <cellStyle name="60% - Accent3 28" xfId="1168" xr:uid="{00000000-0005-0000-0000-00005A040000}"/>
    <cellStyle name="60% - Accent3 29" xfId="1169" xr:uid="{00000000-0005-0000-0000-00005B040000}"/>
    <cellStyle name="60% - Accent3 3" xfId="1170" xr:uid="{00000000-0005-0000-0000-00005C040000}"/>
    <cellStyle name="60% - Accent3 3 2" xfId="1171" xr:uid="{00000000-0005-0000-0000-00005D040000}"/>
    <cellStyle name="60% - Accent3 3 3" xfId="1172" xr:uid="{00000000-0005-0000-0000-00005E040000}"/>
    <cellStyle name="60% - Accent3 30" xfId="1173" xr:uid="{00000000-0005-0000-0000-00005F040000}"/>
    <cellStyle name="60% - Accent3 31" xfId="1174" xr:uid="{00000000-0005-0000-0000-000060040000}"/>
    <cellStyle name="60% - Accent3 32" xfId="1175" xr:uid="{00000000-0005-0000-0000-000061040000}"/>
    <cellStyle name="60% - Accent3 33" xfId="1176" xr:uid="{00000000-0005-0000-0000-000062040000}"/>
    <cellStyle name="60% - Accent3 34" xfId="1177" xr:uid="{00000000-0005-0000-0000-000063040000}"/>
    <cellStyle name="60% - Accent3 4" xfId="1178" xr:uid="{00000000-0005-0000-0000-000064040000}"/>
    <cellStyle name="60% - Accent3 4 2" xfId="1179" xr:uid="{00000000-0005-0000-0000-000065040000}"/>
    <cellStyle name="60% - Accent3 4 3" xfId="1180" xr:uid="{00000000-0005-0000-0000-000066040000}"/>
    <cellStyle name="60% - Accent3 5" xfId="1181" xr:uid="{00000000-0005-0000-0000-000067040000}"/>
    <cellStyle name="60% - Accent3 5 2" xfId="1182" xr:uid="{00000000-0005-0000-0000-000068040000}"/>
    <cellStyle name="60% - Accent3 5 3" xfId="1183" xr:uid="{00000000-0005-0000-0000-000069040000}"/>
    <cellStyle name="60% - Accent3 6" xfId="1184" xr:uid="{00000000-0005-0000-0000-00006A040000}"/>
    <cellStyle name="60% - Accent3 6 2" xfId="1185" xr:uid="{00000000-0005-0000-0000-00006B040000}"/>
    <cellStyle name="60% - Accent3 6 3" xfId="1186" xr:uid="{00000000-0005-0000-0000-00006C040000}"/>
    <cellStyle name="60% - Accent3 7" xfId="1187" xr:uid="{00000000-0005-0000-0000-00006D040000}"/>
    <cellStyle name="60% - Accent3 7 2" xfId="1188" xr:uid="{00000000-0005-0000-0000-00006E040000}"/>
    <cellStyle name="60% - Accent3 7 3" xfId="1189" xr:uid="{00000000-0005-0000-0000-00006F040000}"/>
    <cellStyle name="60% - Accent3 8" xfId="1190" xr:uid="{00000000-0005-0000-0000-000070040000}"/>
    <cellStyle name="60% - Accent3 8 2" xfId="1191" xr:uid="{00000000-0005-0000-0000-000071040000}"/>
    <cellStyle name="60% - Accent3 8 3" xfId="1192" xr:uid="{00000000-0005-0000-0000-000072040000}"/>
    <cellStyle name="60% - Accent3 9" xfId="1193" xr:uid="{00000000-0005-0000-0000-000073040000}"/>
    <cellStyle name="60% - Accent3 9 2" xfId="1194" xr:uid="{00000000-0005-0000-0000-000074040000}"/>
    <cellStyle name="60% - Accent3 9 3" xfId="1195" xr:uid="{00000000-0005-0000-0000-000075040000}"/>
    <cellStyle name="60% - Accent4 10" xfId="1196" xr:uid="{00000000-0005-0000-0000-000076040000}"/>
    <cellStyle name="60% - Accent4 10 2" xfId="1197" xr:uid="{00000000-0005-0000-0000-000077040000}"/>
    <cellStyle name="60% - Accent4 10 3" xfId="1198" xr:uid="{00000000-0005-0000-0000-000078040000}"/>
    <cellStyle name="60% - Accent4 11" xfId="1199" xr:uid="{00000000-0005-0000-0000-000079040000}"/>
    <cellStyle name="60% - Accent4 11 2" xfId="1200" xr:uid="{00000000-0005-0000-0000-00007A040000}"/>
    <cellStyle name="60% - Accent4 11 3" xfId="1201" xr:uid="{00000000-0005-0000-0000-00007B040000}"/>
    <cellStyle name="60% - Accent4 12" xfId="1202" xr:uid="{00000000-0005-0000-0000-00007C040000}"/>
    <cellStyle name="60% - Accent4 12 2" xfId="1203" xr:uid="{00000000-0005-0000-0000-00007D040000}"/>
    <cellStyle name="60% - Accent4 12 3" xfId="1204" xr:uid="{00000000-0005-0000-0000-00007E040000}"/>
    <cellStyle name="60% - Accent4 13" xfId="1205" xr:uid="{00000000-0005-0000-0000-00007F040000}"/>
    <cellStyle name="60% - Accent4 13 2" xfId="1206" xr:uid="{00000000-0005-0000-0000-000080040000}"/>
    <cellStyle name="60% - Accent4 13 3" xfId="1207" xr:uid="{00000000-0005-0000-0000-000081040000}"/>
    <cellStyle name="60% - Accent4 14" xfId="1208" xr:uid="{00000000-0005-0000-0000-000082040000}"/>
    <cellStyle name="60% - Accent4 14 2" xfId="1209" xr:uid="{00000000-0005-0000-0000-000083040000}"/>
    <cellStyle name="60% - Accent4 14 3" xfId="1210" xr:uid="{00000000-0005-0000-0000-000084040000}"/>
    <cellStyle name="60% - Accent4 15" xfId="1211" xr:uid="{00000000-0005-0000-0000-000085040000}"/>
    <cellStyle name="60% - Accent4 15 2" xfId="1212" xr:uid="{00000000-0005-0000-0000-000086040000}"/>
    <cellStyle name="60% - Accent4 15 3" xfId="1213" xr:uid="{00000000-0005-0000-0000-000087040000}"/>
    <cellStyle name="60% - Accent4 15 4" xfId="1214" xr:uid="{00000000-0005-0000-0000-000088040000}"/>
    <cellStyle name="60% - Accent4 15 5" xfId="1215" xr:uid="{00000000-0005-0000-0000-000089040000}"/>
    <cellStyle name="60% - Accent4 15 6" xfId="1216" xr:uid="{00000000-0005-0000-0000-00008A040000}"/>
    <cellStyle name="60% - Accent4 15 7" xfId="1217" xr:uid="{00000000-0005-0000-0000-00008B040000}"/>
    <cellStyle name="60% - Accent4 16" xfId="1218" xr:uid="{00000000-0005-0000-0000-00008C040000}"/>
    <cellStyle name="60% - Accent4 17" xfId="1219" xr:uid="{00000000-0005-0000-0000-00008D040000}"/>
    <cellStyle name="60% - Accent4 18" xfId="1220" xr:uid="{00000000-0005-0000-0000-00008E040000}"/>
    <cellStyle name="60% - Accent4 19" xfId="1221" xr:uid="{00000000-0005-0000-0000-00008F040000}"/>
    <cellStyle name="60% - Accent4 2" xfId="1222" xr:uid="{00000000-0005-0000-0000-000090040000}"/>
    <cellStyle name="60% - Accent4 2 10" xfId="1223" xr:uid="{00000000-0005-0000-0000-000091040000}"/>
    <cellStyle name="60% - Accent4 2 11" xfId="1224" xr:uid="{00000000-0005-0000-0000-000092040000}"/>
    <cellStyle name="60% - Accent4 2 12" xfId="1225" xr:uid="{00000000-0005-0000-0000-000093040000}"/>
    <cellStyle name="60% - Accent4 2 13" xfId="1226" xr:uid="{00000000-0005-0000-0000-000094040000}"/>
    <cellStyle name="60% - Accent4 2 14" xfId="1227" xr:uid="{00000000-0005-0000-0000-000095040000}"/>
    <cellStyle name="60% - Accent4 2 2" xfId="1228" xr:uid="{00000000-0005-0000-0000-000096040000}"/>
    <cellStyle name="60% - Accent4 2 3" xfId="1229" xr:uid="{00000000-0005-0000-0000-000097040000}"/>
    <cellStyle name="60% - Accent4 2 4" xfId="1230" xr:uid="{00000000-0005-0000-0000-000098040000}"/>
    <cellStyle name="60% - Accent4 2 5" xfId="1231" xr:uid="{00000000-0005-0000-0000-000099040000}"/>
    <cellStyle name="60% - Accent4 2 6" xfId="1232" xr:uid="{00000000-0005-0000-0000-00009A040000}"/>
    <cellStyle name="60% - Accent4 2 7" xfId="1233" xr:uid="{00000000-0005-0000-0000-00009B040000}"/>
    <cellStyle name="60% - Accent4 2 8" xfId="1234" xr:uid="{00000000-0005-0000-0000-00009C040000}"/>
    <cellStyle name="60% - Accent4 2 9" xfId="1235" xr:uid="{00000000-0005-0000-0000-00009D040000}"/>
    <cellStyle name="60% - Accent4 20" xfId="1236" xr:uid="{00000000-0005-0000-0000-00009E040000}"/>
    <cellStyle name="60% - Accent4 21" xfId="1237" xr:uid="{00000000-0005-0000-0000-00009F040000}"/>
    <cellStyle name="60% - Accent4 22" xfId="1238" xr:uid="{00000000-0005-0000-0000-0000A0040000}"/>
    <cellStyle name="60% - Accent4 23" xfId="1239" xr:uid="{00000000-0005-0000-0000-0000A1040000}"/>
    <cellStyle name="60% - Accent4 24" xfId="1240" xr:uid="{00000000-0005-0000-0000-0000A2040000}"/>
    <cellStyle name="60% - Accent4 25" xfId="1241" xr:uid="{00000000-0005-0000-0000-0000A3040000}"/>
    <cellStyle name="60% - Accent4 26" xfId="1242" xr:uid="{00000000-0005-0000-0000-0000A4040000}"/>
    <cellStyle name="60% - Accent4 27" xfId="1243" xr:uid="{00000000-0005-0000-0000-0000A5040000}"/>
    <cellStyle name="60% - Accent4 28" xfId="1244" xr:uid="{00000000-0005-0000-0000-0000A6040000}"/>
    <cellStyle name="60% - Accent4 29" xfId="1245" xr:uid="{00000000-0005-0000-0000-0000A7040000}"/>
    <cellStyle name="60% - Accent4 3" xfId="1246" xr:uid="{00000000-0005-0000-0000-0000A8040000}"/>
    <cellStyle name="60% - Accent4 3 2" xfId="1247" xr:uid="{00000000-0005-0000-0000-0000A9040000}"/>
    <cellStyle name="60% - Accent4 3 3" xfId="1248" xr:uid="{00000000-0005-0000-0000-0000AA040000}"/>
    <cellStyle name="60% - Accent4 30" xfId="1249" xr:uid="{00000000-0005-0000-0000-0000AB040000}"/>
    <cellStyle name="60% - Accent4 31" xfId="1250" xr:uid="{00000000-0005-0000-0000-0000AC040000}"/>
    <cellStyle name="60% - Accent4 32" xfId="1251" xr:uid="{00000000-0005-0000-0000-0000AD040000}"/>
    <cellStyle name="60% - Accent4 33" xfId="1252" xr:uid="{00000000-0005-0000-0000-0000AE040000}"/>
    <cellStyle name="60% - Accent4 34" xfId="1253" xr:uid="{00000000-0005-0000-0000-0000AF040000}"/>
    <cellStyle name="60% - Accent4 4" xfId="1254" xr:uid="{00000000-0005-0000-0000-0000B0040000}"/>
    <cellStyle name="60% - Accent4 4 2" xfId="1255" xr:uid="{00000000-0005-0000-0000-0000B1040000}"/>
    <cellStyle name="60% - Accent4 4 3" xfId="1256" xr:uid="{00000000-0005-0000-0000-0000B2040000}"/>
    <cellStyle name="60% - Accent4 5" xfId="1257" xr:uid="{00000000-0005-0000-0000-0000B3040000}"/>
    <cellStyle name="60% - Accent4 5 2" xfId="1258" xr:uid="{00000000-0005-0000-0000-0000B4040000}"/>
    <cellStyle name="60% - Accent4 5 3" xfId="1259" xr:uid="{00000000-0005-0000-0000-0000B5040000}"/>
    <cellStyle name="60% - Accent4 6" xfId="1260" xr:uid="{00000000-0005-0000-0000-0000B6040000}"/>
    <cellStyle name="60% - Accent4 6 2" xfId="1261" xr:uid="{00000000-0005-0000-0000-0000B7040000}"/>
    <cellStyle name="60% - Accent4 6 3" xfId="1262" xr:uid="{00000000-0005-0000-0000-0000B8040000}"/>
    <cellStyle name="60% - Accent4 7" xfId="1263" xr:uid="{00000000-0005-0000-0000-0000B9040000}"/>
    <cellStyle name="60% - Accent4 7 2" xfId="1264" xr:uid="{00000000-0005-0000-0000-0000BA040000}"/>
    <cellStyle name="60% - Accent4 7 3" xfId="1265" xr:uid="{00000000-0005-0000-0000-0000BB040000}"/>
    <cellStyle name="60% - Accent4 8" xfId="1266" xr:uid="{00000000-0005-0000-0000-0000BC040000}"/>
    <cellStyle name="60% - Accent4 8 2" xfId="1267" xr:uid="{00000000-0005-0000-0000-0000BD040000}"/>
    <cellStyle name="60% - Accent4 8 3" xfId="1268" xr:uid="{00000000-0005-0000-0000-0000BE040000}"/>
    <cellStyle name="60% - Accent4 9" xfId="1269" xr:uid="{00000000-0005-0000-0000-0000BF040000}"/>
    <cellStyle name="60% - Accent4 9 2" xfId="1270" xr:uid="{00000000-0005-0000-0000-0000C0040000}"/>
    <cellStyle name="60% - Accent4 9 3" xfId="1271" xr:uid="{00000000-0005-0000-0000-0000C1040000}"/>
    <cellStyle name="60% - Accent5 10" xfId="1272" xr:uid="{00000000-0005-0000-0000-0000C2040000}"/>
    <cellStyle name="60% - Accent5 10 2" xfId="1273" xr:uid="{00000000-0005-0000-0000-0000C3040000}"/>
    <cellStyle name="60% - Accent5 10 3" xfId="1274" xr:uid="{00000000-0005-0000-0000-0000C4040000}"/>
    <cellStyle name="60% - Accent5 11" xfId="1275" xr:uid="{00000000-0005-0000-0000-0000C5040000}"/>
    <cellStyle name="60% - Accent5 11 2" xfId="1276" xr:uid="{00000000-0005-0000-0000-0000C6040000}"/>
    <cellStyle name="60% - Accent5 11 3" xfId="1277" xr:uid="{00000000-0005-0000-0000-0000C7040000}"/>
    <cellStyle name="60% - Accent5 12" xfId="1278" xr:uid="{00000000-0005-0000-0000-0000C8040000}"/>
    <cellStyle name="60% - Accent5 12 2" xfId="1279" xr:uid="{00000000-0005-0000-0000-0000C9040000}"/>
    <cellStyle name="60% - Accent5 12 3" xfId="1280" xr:uid="{00000000-0005-0000-0000-0000CA040000}"/>
    <cellStyle name="60% - Accent5 13" xfId="1281" xr:uid="{00000000-0005-0000-0000-0000CB040000}"/>
    <cellStyle name="60% - Accent5 13 2" xfId="1282" xr:uid="{00000000-0005-0000-0000-0000CC040000}"/>
    <cellStyle name="60% - Accent5 13 3" xfId="1283" xr:uid="{00000000-0005-0000-0000-0000CD040000}"/>
    <cellStyle name="60% - Accent5 14" xfId="1284" xr:uid="{00000000-0005-0000-0000-0000CE040000}"/>
    <cellStyle name="60% - Accent5 14 2" xfId="1285" xr:uid="{00000000-0005-0000-0000-0000CF040000}"/>
    <cellStyle name="60% - Accent5 14 3" xfId="1286" xr:uid="{00000000-0005-0000-0000-0000D0040000}"/>
    <cellStyle name="60% - Accent5 15" xfId="1287" xr:uid="{00000000-0005-0000-0000-0000D1040000}"/>
    <cellStyle name="60% - Accent5 15 2" xfId="1288" xr:uid="{00000000-0005-0000-0000-0000D2040000}"/>
    <cellStyle name="60% - Accent5 15 3" xfId="1289" xr:uid="{00000000-0005-0000-0000-0000D3040000}"/>
    <cellStyle name="60% - Accent5 15 4" xfId="1290" xr:uid="{00000000-0005-0000-0000-0000D4040000}"/>
    <cellStyle name="60% - Accent5 15 5" xfId="1291" xr:uid="{00000000-0005-0000-0000-0000D5040000}"/>
    <cellStyle name="60% - Accent5 15 6" xfId="1292" xr:uid="{00000000-0005-0000-0000-0000D6040000}"/>
    <cellStyle name="60% - Accent5 15 7" xfId="1293" xr:uid="{00000000-0005-0000-0000-0000D7040000}"/>
    <cellStyle name="60% - Accent5 16" xfId="1294" xr:uid="{00000000-0005-0000-0000-0000D8040000}"/>
    <cellStyle name="60% - Accent5 17" xfId="1295" xr:uid="{00000000-0005-0000-0000-0000D9040000}"/>
    <cellStyle name="60% - Accent5 18" xfId="1296" xr:uid="{00000000-0005-0000-0000-0000DA040000}"/>
    <cellStyle name="60% - Accent5 19" xfId="1297" xr:uid="{00000000-0005-0000-0000-0000DB040000}"/>
    <cellStyle name="60% - Accent5 2" xfId="1298" xr:uid="{00000000-0005-0000-0000-0000DC040000}"/>
    <cellStyle name="60% - Accent5 2 10" xfId="1299" xr:uid="{00000000-0005-0000-0000-0000DD040000}"/>
    <cellStyle name="60% - Accent5 2 11" xfId="1300" xr:uid="{00000000-0005-0000-0000-0000DE040000}"/>
    <cellStyle name="60% - Accent5 2 12" xfId="1301" xr:uid="{00000000-0005-0000-0000-0000DF040000}"/>
    <cellStyle name="60% - Accent5 2 13" xfId="1302" xr:uid="{00000000-0005-0000-0000-0000E0040000}"/>
    <cellStyle name="60% - Accent5 2 14" xfId="1303" xr:uid="{00000000-0005-0000-0000-0000E1040000}"/>
    <cellStyle name="60% - Accent5 2 2" xfId="1304" xr:uid="{00000000-0005-0000-0000-0000E2040000}"/>
    <cellStyle name="60% - Accent5 2 3" xfId="1305" xr:uid="{00000000-0005-0000-0000-0000E3040000}"/>
    <cellStyle name="60% - Accent5 2 4" xfId="1306" xr:uid="{00000000-0005-0000-0000-0000E4040000}"/>
    <cellStyle name="60% - Accent5 2 5" xfId="1307" xr:uid="{00000000-0005-0000-0000-0000E5040000}"/>
    <cellStyle name="60% - Accent5 2 6" xfId="1308" xr:uid="{00000000-0005-0000-0000-0000E6040000}"/>
    <cellStyle name="60% - Accent5 2 7" xfId="1309" xr:uid="{00000000-0005-0000-0000-0000E7040000}"/>
    <cellStyle name="60% - Accent5 2 8" xfId="1310" xr:uid="{00000000-0005-0000-0000-0000E8040000}"/>
    <cellStyle name="60% - Accent5 2 9" xfId="1311" xr:uid="{00000000-0005-0000-0000-0000E9040000}"/>
    <cellStyle name="60% - Accent5 20" xfId="1312" xr:uid="{00000000-0005-0000-0000-0000EA040000}"/>
    <cellStyle name="60% - Accent5 21" xfId="1313" xr:uid="{00000000-0005-0000-0000-0000EB040000}"/>
    <cellStyle name="60% - Accent5 22" xfId="1314" xr:uid="{00000000-0005-0000-0000-0000EC040000}"/>
    <cellStyle name="60% - Accent5 23" xfId="1315" xr:uid="{00000000-0005-0000-0000-0000ED040000}"/>
    <cellStyle name="60% - Accent5 24" xfId="1316" xr:uid="{00000000-0005-0000-0000-0000EE040000}"/>
    <cellStyle name="60% - Accent5 25" xfId="1317" xr:uid="{00000000-0005-0000-0000-0000EF040000}"/>
    <cellStyle name="60% - Accent5 26" xfId="1318" xr:uid="{00000000-0005-0000-0000-0000F0040000}"/>
    <cellStyle name="60% - Accent5 27" xfId="1319" xr:uid="{00000000-0005-0000-0000-0000F1040000}"/>
    <cellStyle name="60% - Accent5 28" xfId="1320" xr:uid="{00000000-0005-0000-0000-0000F2040000}"/>
    <cellStyle name="60% - Accent5 29" xfId="1321" xr:uid="{00000000-0005-0000-0000-0000F3040000}"/>
    <cellStyle name="60% - Accent5 3" xfId="1322" xr:uid="{00000000-0005-0000-0000-0000F4040000}"/>
    <cellStyle name="60% - Accent5 3 2" xfId="1323" xr:uid="{00000000-0005-0000-0000-0000F5040000}"/>
    <cellStyle name="60% - Accent5 3 3" xfId="1324" xr:uid="{00000000-0005-0000-0000-0000F6040000}"/>
    <cellStyle name="60% - Accent5 30" xfId="1325" xr:uid="{00000000-0005-0000-0000-0000F7040000}"/>
    <cellStyle name="60% - Accent5 31" xfId="1326" xr:uid="{00000000-0005-0000-0000-0000F8040000}"/>
    <cellStyle name="60% - Accent5 32" xfId="1327" xr:uid="{00000000-0005-0000-0000-0000F9040000}"/>
    <cellStyle name="60% - Accent5 33" xfId="1328" xr:uid="{00000000-0005-0000-0000-0000FA040000}"/>
    <cellStyle name="60% - Accent5 34" xfId="1329" xr:uid="{00000000-0005-0000-0000-0000FB040000}"/>
    <cellStyle name="60% - Accent5 4" xfId="1330" xr:uid="{00000000-0005-0000-0000-0000FC040000}"/>
    <cellStyle name="60% - Accent5 4 2" xfId="1331" xr:uid="{00000000-0005-0000-0000-0000FD040000}"/>
    <cellStyle name="60% - Accent5 4 3" xfId="1332" xr:uid="{00000000-0005-0000-0000-0000FE040000}"/>
    <cellStyle name="60% - Accent5 5" xfId="1333" xr:uid="{00000000-0005-0000-0000-0000FF040000}"/>
    <cellStyle name="60% - Accent5 5 2" xfId="1334" xr:uid="{00000000-0005-0000-0000-000000050000}"/>
    <cellStyle name="60% - Accent5 5 3" xfId="1335" xr:uid="{00000000-0005-0000-0000-000001050000}"/>
    <cellStyle name="60% - Accent5 6" xfId="1336" xr:uid="{00000000-0005-0000-0000-000002050000}"/>
    <cellStyle name="60% - Accent5 6 2" xfId="1337" xr:uid="{00000000-0005-0000-0000-000003050000}"/>
    <cellStyle name="60% - Accent5 6 3" xfId="1338" xr:uid="{00000000-0005-0000-0000-000004050000}"/>
    <cellStyle name="60% - Accent5 7" xfId="1339" xr:uid="{00000000-0005-0000-0000-000005050000}"/>
    <cellStyle name="60% - Accent5 7 2" xfId="1340" xr:uid="{00000000-0005-0000-0000-000006050000}"/>
    <cellStyle name="60% - Accent5 7 3" xfId="1341" xr:uid="{00000000-0005-0000-0000-000007050000}"/>
    <cellStyle name="60% - Accent5 8" xfId="1342" xr:uid="{00000000-0005-0000-0000-000008050000}"/>
    <cellStyle name="60% - Accent5 8 2" xfId="1343" xr:uid="{00000000-0005-0000-0000-000009050000}"/>
    <cellStyle name="60% - Accent5 8 3" xfId="1344" xr:uid="{00000000-0005-0000-0000-00000A050000}"/>
    <cellStyle name="60% - Accent5 9" xfId="1345" xr:uid="{00000000-0005-0000-0000-00000B050000}"/>
    <cellStyle name="60% - Accent5 9 2" xfId="1346" xr:uid="{00000000-0005-0000-0000-00000C050000}"/>
    <cellStyle name="60% - Accent5 9 3" xfId="1347" xr:uid="{00000000-0005-0000-0000-00000D050000}"/>
    <cellStyle name="60% - Accent6 10" xfId="1348" xr:uid="{00000000-0005-0000-0000-00000E050000}"/>
    <cellStyle name="60% - Accent6 10 2" xfId="1349" xr:uid="{00000000-0005-0000-0000-00000F050000}"/>
    <cellStyle name="60% - Accent6 10 3" xfId="1350" xr:uid="{00000000-0005-0000-0000-000010050000}"/>
    <cellStyle name="60% - Accent6 11" xfId="1351" xr:uid="{00000000-0005-0000-0000-000011050000}"/>
    <cellStyle name="60% - Accent6 11 2" xfId="1352" xr:uid="{00000000-0005-0000-0000-000012050000}"/>
    <cellStyle name="60% - Accent6 11 3" xfId="1353" xr:uid="{00000000-0005-0000-0000-000013050000}"/>
    <cellStyle name="60% - Accent6 12" xfId="1354" xr:uid="{00000000-0005-0000-0000-000014050000}"/>
    <cellStyle name="60% - Accent6 12 2" xfId="1355" xr:uid="{00000000-0005-0000-0000-000015050000}"/>
    <cellStyle name="60% - Accent6 12 3" xfId="1356" xr:uid="{00000000-0005-0000-0000-000016050000}"/>
    <cellStyle name="60% - Accent6 13" xfId="1357" xr:uid="{00000000-0005-0000-0000-000017050000}"/>
    <cellStyle name="60% - Accent6 13 2" xfId="1358" xr:uid="{00000000-0005-0000-0000-000018050000}"/>
    <cellStyle name="60% - Accent6 13 3" xfId="1359" xr:uid="{00000000-0005-0000-0000-000019050000}"/>
    <cellStyle name="60% - Accent6 14" xfId="1360" xr:uid="{00000000-0005-0000-0000-00001A050000}"/>
    <cellStyle name="60% - Accent6 14 2" xfId="1361" xr:uid="{00000000-0005-0000-0000-00001B050000}"/>
    <cellStyle name="60% - Accent6 14 3" xfId="1362" xr:uid="{00000000-0005-0000-0000-00001C050000}"/>
    <cellStyle name="60% - Accent6 15" xfId="1363" xr:uid="{00000000-0005-0000-0000-00001D050000}"/>
    <cellStyle name="60% - Accent6 15 2" xfId="1364" xr:uid="{00000000-0005-0000-0000-00001E050000}"/>
    <cellStyle name="60% - Accent6 15 3" xfId="1365" xr:uid="{00000000-0005-0000-0000-00001F050000}"/>
    <cellStyle name="60% - Accent6 15 4" xfId="1366" xr:uid="{00000000-0005-0000-0000-000020050000}"/>
    <cellStyle name="60% - Accent6 15 5" xfId="1367" xr:uid="{00000000-0005-0000-0000-000021050000}"/>
    <cellStyle name="60% - Accent6 15 6" xfId="1368" xr:uid="{00000000-0005-0000-0000-000022050000}"/>
    <cellStyle name="60% - Accent6 15 7" xfId="1369" xr:uid="{00000000-0005-0000-0000-000023050000}"/>
    <cellStyle name="60% - Accent6 16" xfId="1370" xr:uid="{00000000-0005-0000-0000-000024050000}"/>
    <cellStyle name="60% - Accent6 17" xfId="1371" xr:uid="{00000000-0005-0000-0000-000025050000}"/>
    <cellStyle name="60% - Accent6 18" xfId="1372" xr:uid="{00000000-0005-0000-0000-000026050000}"/>
    <cellStyle name="60% - Accent6 19" xfId="1373" xr:uid="{00000000-0005-0000-0000-000027050000}"/>
    <cellStyle name="60% - Accent6 2" xfId="1374" xr:uid="{00000000-0005-0000-0000-000028050000}"/>
    <cellStyle name="60% - Accent6 2 10" xfId="1375" xr:uid="{00000000-0005-0000-0000-000029050000}"/>
    <cellStyle name="60% - Accent6 2 11" xfId="1376" xr:uid="{00000000-0005-0000-0000-00002A050000}"/>
    <cellStyle name="60% - Accent6 2 12" xfId="1377" xr:uid="{00000000-0005-0000-0000-00002B050000}"/>
    <cellStyle name="60% - Accent6 2 13" xfId="1378" xr:uid="{00000000-0005-0000-0000-00002C050000}"/>
    <cellStyle name="60% - Accent6 2 14" xfId="1379" xr:uid="{00000000-0005-0000-0000-00002D050000}"/>
    <cellStyle name="60% - Accent6 2 2" xfId="1380" xr:uid="{00000000-0005-0000-0000-00002E050000}"/>
    <cellStyle name="60% - Accent6 2 3" xfId="1381" xr:uid="{00000000-0005-0000-0000-00002F050000}"/>
    <cellStyle name="60% - Accent6 2 4" xfId="1382" xr:uid="{00000000-0005-0000-0000-000030050000}"/>
    <cellStyle name="60% - Accent6 2 5" xfId="1383" xr:uid="{00000000-0005-0000-0000-000031050000}"/>
    <cellStyle name="60% - Accent6 2 6" xfId="1384" xr:uid="{00000000-0005-0000-0000-000032050000}"/>
    <cellStyle name="60% - Accent6 2 7" xfId="1385" xr:uid="{00000000-0005-0000-0000-000033050000}"/>
    <cellStyle name="60% - Accent6 2 8" xfId="1386" xr:uid="{00000000-0005-0000-0000-000034050000}"/>
    <cellStyle name="60% - Accent6 2 9" xfId="1387" xr:uid="{00000000-0005-0000-0000-000035050000}"/>
    <cellStyle name="60% - Accent6 20" xfId="1388" xr:uid="{00000000-0005-0000-0000-000036050000}"/>
    <cellStyle name="60% - Accent6 21" xfId="1389" xr:uid="{00000000-0005-0000-0000-000037050000}"/>
    <cellStyle name="60% - Accent6 22" xfId="1390" xr:uid="{00000000-0005-0000-0000-000038050000}"/>
    <cellStyle name="60% - Accent6 23" xfId="1391" xr:uid="{00000000-0005-0000-0000-000039050000}"/>
    <cellStyle name="60% - Accent6 24" xfId="1392" xr:uid="{00000000-0005-0000-0000-00003A050000}"/>
    <cellStyle name="60% - Accent6 25" xfId="1393" xr:uid="{00000000-0005-0000-0000-00003B050000}"/>
    <cellStyle name="60% - Accent6 26" xfId="1394" xr:uid="{00000000-0005-0000-0000-00003C050000}"/>
    <cellStyle name="60% - Accent6 27" xfId="1395" xr:uid="{00000000-0005-0000-0000-00003D050000}"/>
    <cellStyle name="60% - Accent6 28" xfId="1396" xr:uid="{00000000-0005-0000-0000-00003E050000}"/>
    <cellStyle name="60% - Accent6 29" xfId="1397" xr:uid="{00000000-0005-0000-0000-00003F050000}"/>
    <cellStyle name="60% - Accent6 3" xfId="1398" xr:uid="{00000000-0005-0000-0000-000040050000}"/>
    <cellStyle name="60% - Accent6 3 2" xfId="1399" xr:uid="{00000000-0005-0000-0000-000041050000}"/>
    <cellStyle name="60% - Accent6 3 3" xfId="1400" xr:uid="{00000000-0005-0000-0000-000042050000}"/>
    <cellStyle name="60% - Accent6 30" xfId="1401" xr:uid="{00000000-0005-0000-0000-000043050000}"/>
    <cellStyle name="60% - Accent6 31" xfId="1402" xr:uid="{00000000-0005-0000-0000-000044050000}"/>
    <cellStyle name="60% - Accent6 32" xfId="1403" xr:uid="{00000000-0005-0000-0000-000045050000}"/>
    <cellStyle name="60% - Accent6 33" xfId="1404" xr:uid="{00000000-0005-0000-0000-000046050000}"/>
    <cellStyle name="60% - Accent6 34" xfId="1405" xr:uid="{00000000-0005-0000-0000-000047050000}"/>
    <cellStyle name="60% - Accent6 4" xfId="1406" xr:uid="{00000000-0005-0000-0000-000048050000}"/>
    <cellStyle name="60% - Accent6 4 2" xfId="1407" xr:uid="{00000000-0005-0000-0000-000049050000}"/>
    <cellStyle name="60% - Accent6 4 3" xfId="1408" xr:uid="{00000000-0005-0000-0000-00004A050000}"/>
    <cellStyle name="60% - Accent6 5" xfId="1409" xr:uid="{00000000-0005-0000-0000-00004B050000}"/>
    <cellStyle name="60% - Accent6 5 2" xfId="1410" xr:uid="{00000000-0005-0000-0000-00004C050000}"/>
    <cellStyle name="60% - Accent6 5 3" xfId="1411" xr:uid="{00000000-0005-0000-0000-00004D050000}"/>
    <cellStyle name="60% - Accent6 6" xfId="1412" xr:uid="{00000000-0005-0000-0000-00004E050000}"/>
    <cellStyle name="60% - Accent6 6 2" xfId="1413" xr:uid="{00000000-0005-0000-0000-00004F050000}"/>
    <cellStyle name="60% - Accent6 6 3" xfId="1414" xr:uid="{00000000-0005-0000-0000-000050050000}"/>
    <cellStyle name="60% - Accent6 7" xfId="1415" xr:uid="{00000000-0005-0000-0000-000051050000}"/>
    <cellStyle name="60% - Accent6 7 2" xfId="1416" xr:uid="{00000000-0005-0000-0000-000052050000}"/>
    <cellStyle name="60% - Accent6 7 3" xfId="1417" xr:uid="{00000000-0005-0000-0000-000053050000}"/>
    <cellStyle name="60% - Accent6 8" xfId="1418" xr:uid="{00000000-0005-0000-0000-000054050000}"/>
    <cellStyle name="60% - Accent6 8 2" xfId="1419" xr:uid="{00000000-0005-0000-0000-000055050000}"/>
    <cellStyle name="60% - Accent6 8 3" xfId="1420" xr:uid="{00000000-0005-0000-0000-000056050000}"/>
    <cellStyle name="60% - Accent6 9" xfId="1421" xr:uid="{00000000-0005-0000-0000-000057050000}"/>
    <cellStyle name="60% - Accent6 9 2" xfId="1422" xr:uid="{00000000-0005-0000-0000-000058050000}"/>
    <cellStyle name="60% - Accent6 9 3" xfId="1423" xr:uid="{00000000-0005-0000-0000-000059050000}"/>
    <cellStyle name="Accent1 10" xfId="1424" xr:uid="{00000000-0005-0000-0000-00005A050000}"/>
    <cellStyle name="Accent1 10 2" xfId="1425" xr:uid="{00000000-0005-0000-0000-00005B050000}"/>
    <cellStyle name="Accent1 10 3" xfId="1426" xr:uid="{00000000-0005-0000-0000-00005C050000}"/>
    <cellStyle name="Accent1 11" xfId="1427" xr:uid="{00000000-0005-0000-0000-00005D050000}"/>
    <cellStyle name="Accent1 11 2" xfId="1428" xr:uid="{00000000-0005-0000-0000-00005E050000}"/>
    <cellStyle name="Accent1 11 3" xfId="1429" xr:uid="{00000000-0005-0000-0000-00005F050000}"/>
    <cellStyle name="Accent1 12" xfId="1430" xr:uid="{00000000-0005-0000-0000-000060050000}"/>
    <cellStyle name="Accent1 12 2" xfId="1431" xr:uid="{00000000-0005-0000-0000-000061050000}"/>
    <cellStyle name="Accent1 12 3" xfId="1432" xr:uid="{00000000-0005-0000-0000-000062050000}"/>
    <cellStyle name="Accent1 13" xfId="1433" xr:uid="{00000000-0005-0000-0000-000063050000}"/>
    <cellStyle name="Accent1 13 2" xfId="1434" xr:uid="{00000000-0005-0000-0000-000064050000}"/>
    <cellStyle name="Accent1 13 3" xfId="1435" xr:uid="{00000000-0005-0000-0000-000065050000}"/>
    <cellStyle name="Accent1 14" xfId="1436" xr:uid="{00000000-0005-0000-0000-000066050000}"/>
    <cellStyle name="Accent1 14 2" xfId="1437" xr:uid="{00000000-0005-0000-0000-000067050000}"/>
    <cellStyle name="Accent1 14 3" xfId="1438" xr:uid="{00000000-0005-0000-0000-000068050000}"/>
    <cellStyle name="Accent1 15" xfId="1439" xr:uid="{00000000-0005-0000-0000-000069050000}"/>
    <cellStyle name="Accent1 15 2" xfId="1440" xr:uid="{00000000-0005-0000-0000-00006A050000}"/>
    <cellStyle name="Accent1 15 3" xfId="1441" xr:uid="{00000000-0005-0000-0000-00006B050000}"/>
    <cellStyle name="Accent1 15 4" xfId="1442" xr:uid="{00000000-0005-0000-0000-00006C050000}"/>
    <cellStyle name="Accent1 15 5" xfId="1443" xr:uid="{00000000-0005-0000-0000-00006D050000}"/>
    <cellStyle name="Accent1 15 6" xfId="1444" xr:uid="{00000000-0005-0000-0000-00006E050000}"/>
    <cellStyle name="Accent1 15 7" xfId="1445" xr:uid="{00000000-0005-0000-0000-00006F050000}"/>
    <cellStyle name="Accent1 16" xfId="1446" xr:uid="{00000000-0005-0000-0000-000070050000}"/>
    <cellStyle name="Accent1 17" xfId="1447" xr:uid="{00000000-0005-0000-0000-000071050000}"/>
    <cellStyle name="Accent1 18" xfId="1448" xr:uid="{00000000-0005-0000-0000-000072050000}"/>
    <cellStyle name="Accent1 19" xfId="1449" xr:uid="{00000000-0005-0000-0000-000073050000}"/>
    <cellStyle name="Accent1 2" xfId="1450" xr:uid="{00000000-0005-0000-0000-000074050000}"/>
    <cellStyle name="Accent1 2 10" xfId="1451" xr:uid="{00000000-0005-0000-0000-000075050000}"/>
    <cellStyle name="Accent1 2 11" xfId="1452" xr:uid="{00000000-0005-0000-0000-000076050000}"/>
    <cellStyle name="Accent1 2 12" xfId="1453" xr:uid="{00000000-0005-0000-0000-000077050000}"/>
    <cellStyle name="Accent1 2 13" xfId="1454" xr:uid="{00000000-0005-0000-0000-000078050000}"/>
    <cellStyle name="Accent1 2 14" xfId="1455" xr:uid="{00000000-0005-0000-0000-000079050000}"/>
    <cellStyle name="Accent1 2 2" xfId="1456" xr:uid="{00000000-0005-0000-0000-00007A050000}"/>
    <cellStyle name="Accent1 2 3" xfId="1457" xr:uid="{00000000-0005-0000-0000-00007B050000}"/>
    <cellStyle name="Accent1 2 4" xfId="1458" xr:uid="{00000000-0005-0000-0000-00007C050000}"/>
    <cellStyle name="Accent1 2 5" xfId="1459" xr:uid="{00000000-0005-0000-0000-00007D050000}"/>
    <cellStyle name="Accent1 2 6" xfId="1460" xr:uid="{00000000-0005-0000-0000-00007E050000}"/>
    <cellStyle name="Accent1 2 7" xfId="1461" xr:uid="{00000000-0005-0000-0000-00007F050000}"/>
    <cellStyle name="Accent1 2 8" xfId="1462" xr:uid="{00000000-0005-0000-0000-000080050000}"/>
    <cellStyle name="Accent1 2 9" xfId="1463" xr:uid="{00000000-0005-0000-0000-000081050000}"/>
    <cellStyle name="Accent1 20" xfId="1464" xr:uid="{00000000-0005-0000-0000-000082050000}"/>
    <cellStyle name="Accent1 21" xfId="1465" xr:uid="{00000000-0005-0000-0000-000083050000}"/>
    <cellStyle name="Accent1 22" xfId="1466" xr:uid="{00000000-0005-0000-0000-000084050000}"/>
    <cellStyle name="Accent1 23" xfId="1467" xr:uid="{00000000-0005-0000-0000-000085050000}"/>
    <cellStyle name="Accent1 24" xfId="1468" xr:uid="{00000000-0005-0000-0000-000086050000}"/>
    <cellStyle name="Accent1 25" xfId="1469" xr:uid="{00000000-0005-0000-0000-000087050000}"/>
    <cellStyle name="Accent1 26" xfId="1470" xr:uid="{00000000-0005-0000-0000-000088050000}"/>
    <cellStyle name="Accent1 27" xfId="1471" xr:uid="{00000000-0005-0000-0000-000089050000}"/>
    <cellStyle name="Accent1 28" xfId="1472" xr:uid="{00000000-0005-0000-0000-00008A050000}"/>
    <cellStyle name="Accent1 29" xfId="1473" xr:uid="{00000000-0005-0000-0000-00008B050000}"/>
    <cellStyle name="Accent1 3" xfId="1474" xr:uid="{00000000-0005-0000-0000-00008C050000}"/>
    <cellStyle name="Accent1 3 2" xfId="1475" xr:uid="{00000000-0005-0000-0000-00008D050000}"/>
    <cellStyle name="Accent1 3 3" xfId="1476" xr:uid="{00000000-0005-0000-0000-00008E050000}"/>
    <cellStyle name="Accent1 30" xfId="1477" xr:uid="{00000000-0005-0000-0000-00008F050000}"/>
    <cellStyle name="Accent1 31" xfId="1478" xr:uid="{00000000-0005-0000-0000-000090050000}"/>
    <cellStyle name="Accent1 32" xfId="1479" xr:uid="{00000000-0005-0000-0000-000091050000}"/>
    <cellStyle name="Accent1 33" xfId="1480" xr:uid="{00000000-0005-0000-0000-000092050000}"/>
    <cellStyle name="Accent1 34" xfId="1481" xr:uid="{00000000-0005-0000-0000-000093050000}"/>
    <cellStyle name="Accent1 4" xfId="1482" xr:uid="{00000000-0005-0000-0000-000094050000}"/>
    <cellStyle name="Accent1 4 2" xfId="1483" xr:uid="{00000000-0005-0000-0000-000095050000}"/>
    <cellStyle name="Accent1 4 3" xfId="1484" xr:uid="{00000000-0005-0000-0000-000096050000}"/>
    <cellStyle name="Accent1 5" xfId="1485" xr:uid="{00000000-0005-0000-0000-000097050000}"/>
    <cellStyle name="Accent1 5 2" xfId="1486" xr:uid="{00000000-0005-0000-0000-000098050000}"/>
    <cellStyle name="Accent1 5 3" xfId="1487" xr:uid="{00000000-0005-0000-0000-000099050000}"/>
    <cellStyle name="Accent1 6" xfId="1488" xr:uid="{00000000-0005-0000-0000-00009A050000}"/>
    <cellStyle name="Accent1 6 2" xfId="1489" xr:uid="{00000000-0005-0000-0000-00009B050000}"/>
    <cellStyle name="Accent1 6 3" xfId="1490" xr:uid="{00000000-0005-0000-0000-00009C050000}"/>
    <cellStyle name="Accent1 7" xfId="1491" xr:uid="{00000000-0005-0000-0000-00009D050000}"/>
    <cellStyle name="Accent1 7 2" xfId="1492" xr:uid="{00000000-0005-0000-0000-00009E050000}"/>
    <cellStyle name="Accent1 7 3" xfId="1493" xr:uid="{00000000-0005-0000-0000-00009F050000}"/>
    <cellStyle name="Accent1 8" xfId="1494" xr:uid="{00000000-0005-0000-0000-0000A0050000}"/>
    <cellStyle name="Accent1 8 2" xfId="1495" xr:uid="{00000000-0005-0000-0000-0000A1050000}"/>
    <cellStyle name="Accent1 8 3" xfId="1496" xr:uid="{00000000-0005-0000-0000-0000A2050000}"/>
    <cellStyle name="Accent1 9" xfId="1497" xr:uid="{00000000-0005-0000-0000-0000A3050000}"/>
    <cellStyle name="Accent1 9 2" xfId="1498" xr:uid="{00000000-0005-0000-0000-0000A4050000}"/>
    <cellStyle name="Accent1 9 3" xfId="1499" xr:uid="{00000000-0005-0000-0000-0000A5050000}"/>
    <cellStyle name="Accent2 10" xfId="1500" xr:uid="{00000000-0005-0000-0000-0000A6050000}"/>
    <cellStyle name="Accent2 10 2" xfId="1501" xr:uid="{00000000-0005-0000-0000-0000A7050000}"/>
    <cellStyle name="Accent2 10 3" xfId="1502" xr:uid="{00000000-0005-0000-0000-0000A8050000}"/>
    <cellStyle name="Accent2 11" xfId="1503" xr:uid="{00000000-0005-0000-0000-0000A9050000}"/>
    <cellStyle name="Accent2 11 2" xfId="1504" xr:uid="{00000000-0005-0000-0000-0000AA050000}"/>
    <cellStyle name="Accent2 11 3" xfId="1505" xr:uid="{00000000-0005-0000-0000-0000AB050000}"/>
    <cellStyle name="Accent2 12" xfId="1506" xr:uid="{00000000-0005-0000-0000-0000AC050000}"/>
    <cellStyle name="Accent2 12 2" xfId="1507" xr:uid="{00000000-0005-0000-0000-0000AD050000}"/>
    <cellStyle name="Accent2 12 3" xfId="1508" xr:uid="{00000000-0005-0000-0000-0000AE050000}"/>
    <cellStyle name="Accent2 13" xfId="1509" xr:uid="{00000000-0005-0000-0000-0000AF050000}"/>
    <cellStyle name="Accent2 13 2" xfId="1510" xr:uid="{00000000-0005-0000-0000-0000B0050000}"/>
    <cellStyle name="Accent2 13 3" xfId="1511" xr:uid="{00000000-0005-0000-0000-0000B1050000}"/>
    <cellStyle name="Accent2 14" xfId="1512" xr:uid="{00000000-0005-0000-0000-0000B2050000}"/>
    <cellStyle name="Accent2 14 2" xfId="1513" xr:uid="{00000000-0005-0000-0000-0000B3050000}"/>
    <cellStyle name="Accent2 14 3" xfId="1514" xr:uid="{00000000-0005-0000-0000-0000B4050000}"/>
    <cellStyle name="Accent2 15" xfId="1515" xr:uid="{00000000-0005-0000-0000-0000B5050000}"/>
    <cellStyle name="Accent2 15 2" xfId="1516" xr:uid="{00000000-0005-0000-0000-0000B6050000}"/>
    <cellStyle name="Accent2 15 3" xfId="1517" xr:uid="{00000000-0005-0000-0000-0000B7050000}"/>
    <cellStyle name="Accent2 15 4" xfId="1518" xr:uid="{00000000-0005-0000-0000-0000B8050000}"/>
    <cellStyle name="Accent2 15 5" xfId="1519" xr:uid="{00000000-0005-0000-0000-0000B9050000}"/>
    <cellStyle name="Accent2 15 6" xfId="1520" xr:uid="{00000000-0005-0000-0000-0000BA050000}"/>
    <cellStyle name="Accent2 15 7" xfId="1521" xr:uid="{00000000-0005-0000-0000-0000BB050000}"/>
    <cellStyle name="Accent2 16" xfId="1522" xr:uid="{00000000-0005-0000-0000-0000BC050000}"/>
    <cellStyle name="Accent2 17" xfId="1523" xr:uid="{00000000-0005-0000-0000-0000BD050000}"/>
    <cellStyle name="Accent2 18" xfId="1524" xr:uid="{00000000-0005-0000-0000-0000BE050000}"/>
    <cellStyle name="Accent2 19" xfId="1525" xr:uid="{00000000-0005-0000-0000-0000BF050000}"/>
    <cellStyle name="Accent2 2" xfId="1526" xr:uid="{00000000-0005-0000-0000-0000C0050000}"/>
    <cellStyle name="Accent2 2 10" xfId="1527" xr:uid="{00000000-0005-0000-0000-0000C1050000}"/>
    <cellStyle name="Accent2 2 11" xfId="1528" xr:uid="{00000000-0005-0000-0000-0000C2050000}"/>
    <cellStyle name="Accent2 2 12" xfId="1529" xr:uid="{00000000-0005-0000-0000-0000C3050000}"/>
    <cellStyle name="Accent2 2 13" xfId="1530" xr:uid="{00000000-0005-0000-0000-0000C4050000}"/>
    <cellStyle name="Accent2 2 14" xfId="1531" xr:uid="{00000000-0005-0000-0000-0000C5050000}"/>
    <cellStyle name="Accent2 2 2" xfId="1532" xr:uid="{00000000-0005-0000-0000-0000C6050000}"/>
    <cellStyle name="Accent2 2 3" xfId="1533" xr:uid="{00000000-0005-0000-0000-0000C7050000}"/>
    <cellStyle name="Accent2 2 4" xfId="1534" xr:uid="{00000000-0005-0000-0000-0000C8050000}"/>
    <cellStyle name="Accent2 2 5" xfId="1535" xr:uid="{00000000-0005-0000-0000-0000C9050000}"/>
    <cellStyle name="Accent2 2 6" xfId="1536" xr:uid="{00000000-0005-0000-0000-0000CA050000}"/>
    <cellStyle name="Accent2 2 7" xfId="1537" xr:uid="{00000000-0005-0000-0000-0000CB050000}"/>
    <cellStyle name="Accent2 2 8" xfId="1538" xr:uid="{00000000-0005-0000-0000-0000CC050000}"/>
    <cellStyle name="Accent2 2 9" xfId="1539" xr:uid="{00000000-0005-0000-0000-0000CD050000}"/>
    <cellStyle name="Accent2 20" xfId="1540" xr:uid="{00000000-0005-0000-0000-0000CE050000}"/>
    <cellStyle name="Accent2 21" xfId="1541" xr:uid="{00000000-0005-0000-0000-0000CF050000}"/>
    <cellStyle name="Accent2 22" xfId="1542" xr:uid="{00000000-0005-0000-0000-0000D0050000}"/>
    <cellStyle name="Accent2 23" xfId="1543" xr:uid="{00000000-0005-0000-0000-0000D1050000}"/>
    <cellStyle name="Accent2 24" xfId="1544" xr:uid="{00000000-0005-0000-0000-0000D2050000}"/>
    <cellStyle name="Accent2 25" xfId="1545" xr:uid="{00000000-0005-0000-0000-0000D3050000}"/>
    <cellStyle name="Accent2 26" xfId="1546" xr:uid="{00000000-0005-0000-0000-0000D4050000}"/>
    <cellStyle name="Accent2 27" xfId="1547" xr:uid="{00000000-0005-0000-0000-0000D5050000}"/>
    <cellStyle name="Accent2 28" xfId="1548" xr:uid="{00000000-0005-0000-0000-0000D6050000}"/>
    <cellStyle name="Accent2 29" xfId="1549" xr:uid="{00000000-0005-0000-0000-0000D7050000}"/>
    <cellStyle name="Accent2 3" xfId="1550" xr:uid="{00000000-0005-0000-0000-0000D8050000}"/>
    <cellStyle name="Accent2 3 2" xfId="1551" xr:uid="{00000000-0005-0000-0000-0000D9050000}"/>
    <cellStyle name="Accent2 3 3" xfId="1552" xr:uid="{00000000-0005-0000-0000-0000DA050000}"/>
    <cellStyle name="Accent2 30" xfId="1553" xr:uid="{00000000-0005-0000-0000-0000DB050000}"/>
    <cellStyle name="Accent2 31" xfId="1554" xr:uid="{00000000-0005-0000-0000-0000DC050000}"/>
    <cellStyle name="Accent2 32" xfId="1555" xr:uid="{00000000-0005-0000-0000-0000DD050000}"/>
    <cellStyle name="Accent2 33" xfId="1556" xr:uid="{00000000-0005-0000-0000-0000DE050000}"/>
    <cellStyle name="Accent2 34" xfId="1557" xr:uid="{00000000-0005-0000-0000-0000DF050000}"/>
    <cellStyle name="Accent2 4" xfId="1558" xr:uid="{00000000-0005-0000-0000-0000E0050000}"/>
    <cellStyle name="Accent2 4 2" xfId="1559" xr:uid="{00000000-0005-0000-0000-0000E1050000}"/>
    <cellStyle name="Accent2 4 3" xfId="1560" xr:uid="{00000000-0005-0000-0000-0000E2050000}"/>
    <cellStyle name="Accent2 5" xfId="1561" xr:uid="{00000000-0005-0000-0000-0000E3050000}"/>
    <cellStyle name="Accent2 5 2" xfId="1562" xr:uid="{00000000-0005-0000-0000-0000E4050000}"/>
    <cellStyle name="Accent2 5 3" xfId="1563" xr:uid="{00000000-0005-0000-0000-0000E5050000}"/>
    <cellStyle name="Accent2 6" xfId="1564" xr:uid="{00000000-0005-0000-0000-0000E6050000}"/>
    <cellStyle name="Accent2 6 2" xfId="1565" xr:uid="{00000000-0005-0000-0000-0000E7050000}"/>
    <cellStyle name="Accent2 6 3" xfId="1566" xr:uid="{00000000-0005-0000-0000-0000E8050000}"/>
    <cellStyle name="Accent2 7" xfId="1567" xr:uid="{00000000-0005-0000-0000-0000E9050000}"/>
    <cellStyle name="Accent2 7 2" xfId="1568" xr:uid="{00000000-0005-0000-0000-0000EA050000}"/>
    <cellStyle name="Accent2 7 3" xfId="1569" xr:uid="{00000000-0005-0000-0000-0000EB050000}"/>
    <cellStyle name="Accent2 8" xfId="1570" xr:uid="{00000000-0005-0000-0000-0000EC050000}"/>
    <cellStyle name="Accent2 8 2" xfId="1571" xr:uid="{00000000-0005-0000-0000-0000ED050000}"/>
    <cellStyle name="Accent2 8 3" xfId="1572" xr:uid="{00000000-0005-0000-0000-0000EE050000}"/>
    <cellStyle name="Accent2 9" xfId="1573" xr:uid="{00000000-0005-0000-0000-0000EF050000}"/>
    <cellStyle name="Accent2 9 2" xfId="1574" xr:uid="{00000000-0005-0000-0000-0000F0050000}"/>
    <cellStyle name="Accent2 9 3" xfId="1575" xr:uid="{00000000-0005-0000-0000-0000F1050000}"/>
    <cellStyle name="Accent3 10" xfId="1576" xr:uid="{00000000-0005-0000-0000-0000F2050000}"/>
    <cellStyle name="Accent3 10 2" xfId="1577" xr:uid="{00000000-0005-0000-0000-0000F3050000}"/>
    <cellStyle name="Accent3 10 3" xfId="1578" xr:uid="{00000000-0005-0000-0000-0000F4050000}"/>
    <cellStyle name="Accent3 11" xfId="1579" xr:uid="{00000000-0005-0000-0000-0000F5050000}"/>
    <cellStyle name="Accent3 11 2" xfId="1580" xr:uid="{00000000-0005-0000-0000-0000F6050000}"/>
    <cellStyle name="Accent3 11 3" xfId="1581" xr:uid="{00000000-0005-0000-0000-0000F7050000}"/>
    <cellStyle name="Accent3 12" xfId="1582" xr:uid="{00000000-0005-0000-0000-0000F8050000}"/>
    <cellStyle name="Accent3 12 2" xfId="1583" xr:uid="{00000000-0005-0000-0000-0000F9050000}"/>
    <cellStyle name="Accent3 12 3" xfId="1584" xr:uid="{00000000-0005-0000-0000-0000FA050000}"/>
    <cellStyle name="Accent3 13" xfId="1585" xr:uid="{00000000-0005-0000-0000-0000FB050000}"/>
    <cellStyle name="Accent3 13 2" xfId="1586" xr:uid="{00000000-0005-0000-0000-0000FC050000}"/>
    <cellStyle name="Accent3 13 3" xfId="1587" xr:uid="{00000000-0005-0000-0000-0000FD050000}"/>
    <cellStyle name="Accent3 14" xfId="1588" xr:uid="{00000000-0005-0000-0000-0000FE050000}"/>
    <cellStyle name="Accent3 14 2" xfId="1589" xr:uid="{00000000-0005-0000-0000-0000FF050000}"/>
    <cellStyle name="Accent3 14 3" xfId="1590" xr:uid="{00000000-0005-0000-0000-000000060000}"/>
    <cellStyle name="Accent3 15" xfId="1591" xr:uid="{00000000-0005-0000-0000-000001060000}"/>
    <cellStyle name="Accent3 15 2" xfId="1592" xr:uid="{00000000-0005-0000-0000-000002060000}"/>
    <cellStyle name="Accent3 15 3" xfId="1593" xr:uid="{00000000-0005-0000-0000-000003060000}"/>
    <cellStyle name="Accent3 15 4" xfId="1594" xr:uid="{00000000-0005-0000-0000-000004060000}"/>
    <cellStyle name="Accent3 15 5" xfId="1595" xr:uid="{00000000-0005-0000-0000-000005060000}"/>
    <cellStyle name="Accent3 15 6" xfId="1596" xr:uid="{00000000-0005-0000-0000-000006060000}"/>
    <cellStyle name="Accent3 15 7" xfId="1597" xr:uid="{00000000-0005-0000-0000-000007060000}"/>
    <cellStyle name="Accent3 16" xfId="1598" xr:uid="{00000000-0005-0000-0000-000008060000}"/>
    <cellStyle name="Accent3 17" xfId="1599" xr:uid="{00000000-0005-0000-0000-000009060000}"/>
    <cellStyle name="Accent3 18" xfId="1600" xr:uid="{00000000-0005-0000-0000-00000A060000}"/>
    <cellStyle name="Accent3 19" xfId="1601" xr:uid="{00000000-0005-0000-0000-00000B060000}"/>
    <cellStyle name="Accent3 2" xfId="1602" xr:uid="{00000000-0005-0000-0000-00000C060000}"/>
    <cellStyle name="Accent3 2 10" xfId="1603" xr:uid="{00000000-0005-0000-0000-00000D060000}"/>
    <cellStyle name="Accent3 2 11" xfId="1604" xr:uid="{00000000-0005-0000-0000-00000E060000}"/>
    <cellStyle name="Accent3 2 12" xfId="1605" xr:uid="{00000000-0005-0000-0000-00000F060000}"/>
    <cellStyle name="Accent3 2 13" xfId="1606" xr:uid="{00000000-0005-0000-0000-000010060000}"/>
    <cellStyle name="Accent3 2 14" xfId="1607" xr:uid="{00000000-0005-0000-0000-000011060000}"/>
    <cellStyle name="Accent3 2 2" xfId="1608" xr:uid="{00000000-0005-0000-0000-000012060000}"/>
    <cellStyle name="Accent3 2 3" xfId="1609" xr:uid="{00000000-0005-0000-0000-000013060000}"/>
    <cellStyle name="Accent3 2 4" xfId="1610" xr:uid="{00000000-0005-0000-0000-000014060000}"/>
    <cellStyle name="Accent3 2 5" xfId="1611" xr:uid="{00000000-0005-0000-0000-000015060000}"/>
    <cellStyle name="Accent3 2 6" xfId="1612" xr:uid="{00000000-0005-0000-0000-000016060000}"/>
    <cellStyle name="Accent3 2 7" xfId="1613" xr:uid="{00000000-0005-0000-0000-000017060000}"/>
    <cellStyle name="Accent3 2 8" xfId="1614" xr:uid="{00000000-0005-0000-0000-000018060000}"/>
    <cellStyle name="Accent3 2 9" xfId="1615" xr:uid="{00000000-0005-0000-0000-000019060000}"/>
    <cellStyle name="Accent3 20" xfId="1616" xr:uid="{00000000-0005-0000-0000-00001A060000}"/>
    <cellStyle name="Accent3 21" xfId="1617" xr:uid="{00000000-0005-0000-0000-00001B060000}"/>
    <cellStyle name="Accent3 22" xfId="1618" xr:uid="{00000000-0005-0000-0000-00001C060000}"/>
    <cellStyle name="Accent3 23" xfId="1619" xr:uid="{00000000-0005-0000-0000-00001D060000}"/>
    <cellStyle name="Accent3 24" xfId="1620" xr:uid="{00000000-0005-0000-0000-00001E060000}"/>
    <cellStyle name="Accent3 25" xfId="1621" xr:uid="{00000000-0005-0000-0000-00001F060000}"/>
    <cellStyle name="Accent3 26" xfId="1622" xr:uid="{00000000-0005-0000-0000-000020060000}"/>
    <cellStyle name="Accent3 27" xfId="1623" xr:uid="{00000000-0005-0000-0000-000021060000}"/>
    <cellStyle name="Accent3 28" xfId="1624" xr:uid="{00000000-0005-0000-0000-000022060000}"/>
    <cellStyle name="Accent3 29" xfId="1625" xr:uid="{00000000-0005-0000-0000-000023060000}"/>
    <cellStyle name="Accent3 3" xfId="1626" xr:uid="{00000000-0005-0000-0000-000024060000}"/>
    <cellStyle name="Accent3 3 2" xfId="1627" xr:uid="{00000000-0005-0000-0000-000025060000}"/>
    <cellStyle name="Accent3 3 3" xfId="1628" xr:uid="{00000000-0005-0000-0000-000026060000}"/>
    <cellStyle name="Accent3 30" xfId="1629" xr:uid="{00000000-0005-0000-0000-000027060000}"/>
    <cellStyle name="Accent3 31" xfId="1630" xr:uid="{00000000-0005-0000-0000-000028060000}"/>
    <cellStyle name="Accent3 32" xfId="1631" xr:uid="{00000000-0005-0000-0000-000029060000}"/>
    <cellStyle name="Accent3 33" xfId="1632" xr:uid="{00000000-0005-0000-0000-00002A060000}"/>
    <cellStyle name="Accent3 34" xfId="1633" xr:uid="{00000000-0005-0000-0000-00002B060000}"/>
    <cellStyle name="Accent3 4" xfId="1634" xr:uid="{00000000-0005-0000-0000-00002C060000}"/>
    <cellStyle name="Accent3 4 2" xfId="1635" xr:uid="{00000000-0005-0000-0000-00002D060000}"/>
    <cellStyle name="Accent3 4 3" xfId="1636" xr:uid="{00000000-0005-0000-0000-00002E060000}"/>
    <cellStyle name="Accent3 5" xfId="1637" xr:uid="{00000000-0005-0000-0000-00002F060000}"/>
    <cellStyle name="Accent3 5 2" xfId="1638" xr:uid="{00000000-0005-0000-0000-000030060000}"/>
    <cellStyle name="Accent3 5 3" xfId="1639" xr:uid="{00000000-0005-0000-0000-000031060000}"/>
    <cellStyle name="Accent3 6" xfId="1640" xr:uid="{00000000-0005-0000-0000-000032060000}"/>
    <cellStyle name="Accent3 6 2" xfId="1641" xr:uid="{00000000-0005-0000-0000-000033060000}"/>
    <cellStyle name="Accent3 6 3" xfId="1642" xr:uid="{00000000-0005-0000-0000-000034060000}"/>
    <cellStyle name="Accent3 7" xfId="1643" xr:uid="{00000000-0005-0000-0000-000035060000}"/>
    <cellStyle name="Accent3 7 2" xfId="1644" xr:uid="{00000000-0005-0000-0000-000036060000}"/>
    <cellStyle name="Accent3 7 3" xfId="1645" xr:uid="{00000000-0005-0000-0000-000037060000}"/>
    <cellStyle name="Accent3 8" xfId="1646" xr:uid="{00000000-0005-0000-0000-000038060000}"/>
    <cellStyle name="Accent3 8 2" xfId="1647" xr:uid="{00000000-0005-0000-0000-000039060000}"/>
    <cellStyle name="Accent3 8 3" xfId="1648" xr:uid="{00000000-0005-0000-0000-00003A060000}"/>
    <cellStyle name="Accent3 9" xfId="1649" xr:uid="{00000000-0005-0000-0000-00003B060000}"/>
    <cellStyle name="Accent3 9 2" xfId="1650" xr:uid="{00000000-0005-0000-0000-00003C060000}"/>
    <cellStyle name="Accent3 9 3" xfId="1651" xr:uid="{00000000-0005-0000-0000-00003D060000}"/>
    <cellStyle name="Accent4 10" xfId="1652" xr:uid="{00000000-0005-0000-0000-00003E060000}"/>
    <cellStyle name="Accent4 10 2" xfId="1653" xr:uid="{00000000-0005-0000-0000-00003F060000}"/>
    <cellStyle name="Accent4 10 3" xfId="1654" xr:uid="{00000000-0005-0000-0000-000040060000}"/>
    <cellStyle name="Accent4 11" xfId="1655" xr:uid="{00000000-0005-0000-0000-000041060000}"/>
    <cellStyle name="Accent4 11 2" xfId="1656" xr:uid="{00000000-0005-0000-0000-000042060000}"/>
    <cellStyle name="Accent4 11 3" xfId="1657" xr:uid="{00000000-0005-0000-0000-000043060000}"/>
    <cellStyle name="Accent4 12" xfId="1658" xr:uid="{00000000-0005-0000-0000-000044060000}"/>
    <cellStyle name="Accent4 12 2" xfId="1659" xr:uid="{00000000-0005-0000-0000-000045060000}"/>
    <cellStyle name="Accent4 12 3" xfId="1660" xr:uid="{00000000-0005-0000-0000-000046060000}"/>
    <cellStyle name="Accent4 13" xfId="1661" xr:uid="{00000000-0005-0000-0000-000047060000}"/>
    <cellStyle name="Accent4 13 2" xfId="1662" xr:uid="{00000000-0005-0000-0000-000048060000}"/>
    <cellStyle name="Accent4 13 3" xfId="1663" xr:uid="{00000000-0005-0000-0000-000049060000}"/>
    <cellStyle name="Accent4 14" xfId="1664" xr:uid="{00000000-0005-0000-0000-00004A060000}"/>
    <cellStyle name="Accent4 14 2" xfId="1665" xr:uid="{00000000-0005-0000-0000-00004B060000}"/>
    <cellStyle name="Accent4 14 3" xfId="1666" xr:uid="{00000000-0005-0000-0000-00004C060000}"/>
    <cellStyle name="Accent4 15" xfId="1667" xr:uid="{00000000-0005-0000-0000-00004D060000}"/>
    <cellStyle name="Accent4 15 2" xfId="1668" xr:uid="{00000000-0005-0000-0000-00004E060000}"/>
    <cellStyle name="Accent4 15 3" xfId="1669" xr:uid="{00000000-0005-0000-0000-00004F060000}"/>
    <cellStyle name="Accent4 15 4" xfId="1670" xr:uid="{00000000-0005-0000-0000-000050060000}"/>
    <cellStyle name="Accent4 15 5" xfId="1671" xr:uid="{00000000-0005-0000-0000-000051060000}"/>
    <cellStyle name="Accent4 15 6" xfId="1672" xr:uid="{00000000-0005-0000-0000-000052060000}"/>
    <cellStyle name="Accent4 15 7" xfId="1673" xr:uid="{00000000-0005-0000-0000-000053060000}"/>
    <cellStyle name="Accent4 16" xfId="1674" xr:uid="{00000000-0005-0000-0000-000054060000}"/>
    <cellStyle name="Accent4 17" xfId="1675" xr:uid="{00000000-0005-0000-0000-000055060000}"/>
    <cellStyle name="Accent4 18" xfId="1676" xr:uid="{00000000-0005-0000-0000-000056060000}"/>
    <cellStyle name="Accent4 19" xfId="1677" xr:uid="{00000000-0005-0000-0000-000057060000}"/>
    <cellStyle name="Accent4 2" xfId="1678" xr:uid="{00000000-0005-0000-0000-000058060000}"/>
    <cellStyle name="Accent4 2 10" xfId="1679" xr:uid="{00000000-0005-0000-0000-000059060000}"/>
    <cellStyle name="Accent4 2 11" xfId="1680" xr:uid="{00000000-0005-0000-0000-00005A060000}"/>
    <cellStyle name="Accent4 2 12" xfId="1681" xr:uid="{00000000-0005-0000-0000-00005B060000}"/>
    <cellStyle name="Accent4 2 13" xfId="1682" xr:uid="{00000000-0005-0000-0000-00005C060000}"/>
    <cellStyle name="Accent4 2 14" xfId="1683" xr:uid="{00000000-0005-0000-0000-00005D060000}"/>
    <cellStyle name="Accent4 2 2" xfId="1684" xr:uid="{00000000-0005-0000-0000-00005E060000}"/>
    <cellStyle name="Accent4 2 3" xfId="1685" xr:uid="{00000000-0005-0000-0000-00005F060000}"/>
    <cellStyle name="Accent4 2 4" xfId="1686" xr:uid="{00000000-0005-0000-0000-000060060000}"/>
    <cellStyle name="Accent4 2 5" xfId="1687" xr:uid="{00000000-0005-0000-0000-000061060000}"/>
    <cellStyle name="Accent4 2 6" xfId="1688" xr:uid="{00000000-0005-0000-0000-000062060000}"/>
    <cellStyle name="Accent4 2 7" xfId="1689" xr:uid="{00000000-0005-0000-0000-000063060000}"/>
    <cellStyle name="Accent4 2 8" xfId="1690" xr:uid="{00000000-0005-0000-0000-000064060000}"/>
    <cellStyle name="Accent4 2 9" xfId="1691" xr:uid="{00000000-0005-0000-0000-000065060000}"/>
    <cellStyle name="Accent4 20" xfId="1692" xr:uid="{00000000-0005-0000-0000-000066060000}"/>
    <cellStyle name="Accent4 21" xfId="1693" xr:uid="{00000000-0005-0000-0000-000067060000}"/>
    <cellStyle name="Accent4 22" xfId="1694" xr:uid="{00000000-0005-0000-0000-000068060000}"/>
    <cellStyle name="Accent4 23" xfId="1695" xr:uid="{00000000-0005-0000-0000-000069060000}"/>
    <cellStyle name="Accent4 24" xfId="1696" xr:uid="{00000000-0005-0000-0000-00006A060000}"/>
    <cellStyle name="Accent4 25" xfId="1697" xr:uid="{00000000-0005-0000-0000-00006B060000}"/>
    <cellStyle name="Accent4 26" xfId="1698" xr:uid="{00000000-0005-0000-0000-00006C060000}"/>
    <cellStyle name="Accent4 27" xfId="1699" xr:uid="{00000000-0005-0000-0000-00006D060000}"/>
    <cellStyle name="Accent4 28" xfId="1700" xr:uid="{00000000-0005-0000-0000-00006E060000}"/>
    <cellStyle name="Accent4 29" xfId="1701" xr:uid="{00000000-0005-0000-0000-00006F060000}"/>
    <cellStyle name="Accent4 3" xfId="1702" xr:uid="{00000000-0005-0000-0000-000070060000}"/>
    <cellStyle name="Accent4 3 2" xfId="1703" xr:uid="{00000000-0005-0000-0000-000071060000}"/>
    <cellStyle name="Accent4 3 3" xfId="1704" xr:uid="{00000000-0005-0000-0000-000072060000}"/>
    <cellStyle name="Accent4 30" xfId="1705" xr:uid="{00000000-0005-0000-0000-000073060000}"/>
    <cellStyle name="Accent4 31" xfId="1706" xr:uid="{00000000-0005-0000-0000-000074060000}"/>
    <cellStyle name="Accent4 32" xfId="1707" xr:uid="{00000000-0005-0000-0000-000075060000}"/>
    <cellStyle name="Accent4 33" xfId="1708" xr:uid="{00000000-0005-0000-0000-000076060000}"/>
    <cellStyle name="Accent4 34" xfId="1709" xr:uid="{00000000-0005-0000-0000-000077060000}"/>
    <cellStyle name="Accent4 4" xfId="1710" xr:uid="{00000000-0005-0000-0000-000078060000}"/>
    <cellStyle name="Accent4 4 2" xfId="1711" xr:uid="{00000000-0005-0000-0000-000079060000}"/>
    <cellStyle name="Accent4 4 3" xfId="1712" xr:uid="{00000000-0005-0000-0000-00007A060000}"/>
    <cellStyle name="Accent4 5" xfId="1713" xr:uid="{00000000-0005-0000-0000-00007B060000}"/>
    <cellStyle name="Accent4 5 2" xfId="1714" xr:uid="{00000000-0005-0000-0000-00007C060000}"/>
    <cellStyle name="Accent4 5 3" xfId="1715" xr:uid="{00000000-0005-0000-0000-00007D060000}"/>
    <cellStyle name="Accent4 6" xfId="1716" xr:uid="{00000000-0005-0000-0000-00007E060000}"/>
    <cellStyle name="Accent4 6 2" xfId="1717" xr:uid="{00000000-0005-0000-0000-00007F060000}"/>
    <cellStyle name="Accent4 6 3" xfId="1718" xr:uid="{00000000-0005-0000-0000-000080060000}"/>
    <cellStyle name="Accent4 7" xfId="1719" xr:uid="{00000000-0005-0000-0000-000081060000}"/>
    <cellStyle name="Accent4 7 2" xfId="1720" xr:uid="{00000000-0005-0000-0000-000082060000}"/>
    <cellStyle name="Accent4 7 3" xfId="1721" xr:uid="{00000000-0005-0000-0000-000083060000}"/>
    <cellStyle name="Accent4 8" xfId="1722" xr:uid="{00000000-0005-0000-0000-000084060000}"/>
    <cellStyle name="Accent4 8 2" xfId="1723" xr:uid="{00000000-0005-0000-0000-000085060000}"/>
    <cellStyle name="Accent4 8 3" xfId="1724" xr:uid="{00000000-0005-0000-0000-000086060000}"/>
    <cellStyle name="Accent4 9" xfId="1725" xr:uid="{00000000-0005-0000-0000-000087060000}"/>
    <cellStyle name="Accent4 9 2" xfId="1726" xr:uid="{00000000-0005-0000-0000-000088060000}"/>
    <cellStyle name="Accent4 9 3" xfId="1727" xr:uid="{00000000-0005-0000-0000-000089060000}"/>
    <cellStyle name="Accent5 10" xfId="1728" xr:uid="{00000000-0005-0000-0000-00008A060000}"/>
    <cellStyle name="Accent5 10 2" xfId="1729" xr:uid="{00000000-0005-0000-0000-00008B060000}"/>
    <cellStyle name="Accent5 10 3" xfId="1730" xr:uid="{00000000-0005-0000-0000-00008C060000}"/>
    <cellStyle name="Accent5 11" xfId="1731" xr:uid="{00000000-0005-0000-0000-00008D060000}"/>
    <cellStyle name="Accent5 11 2" xfId="1732" xr:uid="{00000000-0005-0000-0000-00008E060000}"/>
    <cellStyle name="Accent5 11 3" xfId="1733" xr:uid="{00000000-0005-0000-0000-00008F060000}"/>
    <cellStyle name="Accent5 12" xfId="1734" xr:uid="{00000000-0005-0000-0000-000090060000}"/>
    <cellStyle name="Accent5 12 2" xfId="1735" xr:uid="{00000000-0005-0000-0000-000091060000}"/>
    <cellStyle name="Accent5 12 3" xfId="1736" xr:uid="{00000000-0005-0000-0000-000092060000}"/>
    <cellStyle name="Accent5 13" xfId="1737" xr:uid="{00000000-0005-0000-0000-000093060000}"/>
    <cellStyle name="Accent5 13 2" xfId="1738" xr:uid="{00000000-0005-0000-0000-000094060000}"/>
    <cellStyle name="Accent5 13 3" xfId="1739" xr:uid="{00000000-0005-0000-0000-000095060000}"/>
    <cellStyle name="Accent5 14" xfId="1740" xr:uid="{00000000-0005-0000-0000-000096060000}"/>
    <cellStyle name="Accent5 14 2" xfId="1741" xr:uid="{00000000-0005-0000-0000-000097060000}"/>
    <cellStyle name="Accent5 14 3" xfId="1742" xr:uid="{00000000-0005-0000-0000-000098060000}"/>
    <cellStyle name="Accent5 15" xfId="1743" xr:uid="{00000000-0005-0000-0000-000099060000}"/>
    <cellStyle name="Accent5 15 2" xfId="1744" xr:uid="{00000000-0005-0000-0000-00009A060000}"/>
    <cellStyle name="Accent5 15 3" xfId="1745" xr:uid="{00000000-0005-0000-0000-00009B060000}"/>
    <cellStyle name="Accent5 15 4" xfId="1746" xr:uid="{00000000-0005-0000-0000-00009C060000}"/>
    <cellStyle name="Accent5 15 5" xfId="1747" xr:uid="{00000000-0005-0000-0000-00009D060000}"/>
    <cellStyle name="Accent5 15 6" xfId="1748" xr:uid="{00000000-0005-0000-0000-00009E060000}"/>
    <cellStyle name="Accent5 15 7" xfId="1749" xr:uid="{00000000-0005-0000-0000-00009F060000}"/>
    <cellStyle name="Accent5 16" xfId="1750" xr:uid="{00000000-0005-0000-0000-0000A0060000}"/>
    <cellStyle name="Accent5 17" xfId="1751" xr:uid="{00000000-0005-0000-0000-0000A1060000}"/>
    <cellStyle name="Accent5 18" xfId="1752" xr:uid="{00000000-0005-0000-0000-0000A2060000}"/>
    <cellStyle name="Accent5 19" xfId="1753" xr:uid="{00000000-0005-0000-0000-0000A3060000}"/>
    <cellStyle name="Accent5 2" xfId="1754" xr:uid="{00000000-0005-0000-0000-0000A4060000}"/>
    <cellStyle name="Accent5 2 10" xfId="1755" xr:uid="{00000000-0005-0000-0000-0000A5060000}"/>
    <cellStyle name="Accent5 2 11" xfId="1756" xr:uid="{00000000-0005-0000-0000-0000A6060000}"/>
    <cellStyle name="Accent5 2 12" xfId="1757" xr:uid="{00000000-0005-0000-0000-0000A7060000}"/>
    <cellStyle name="Accent5 2 13" xfId="1758" xr:uid="{00000000-0005-0000-0000-0000A8060000}"/>
    <cellStyle name="Accent5 2 14" xfId="1759" xr:uid="{00000000-0005-0000-0000-0000A9060000}"/>
    <cellStyle name="Accent5 2 2" xfId="1760" xr:uid="{00000000-0005-0000-0000-0000AA060000}"/>
    <cellStyle name="Accent5 2 3" xfId="1761" xr:uid="{00000000-0005-0000-0000-0000AB060000}"/>
    <cellStyle name="Accent5 2 4" xfId="1762" xr:uid="{00000000-0005-0000-0000-0000AC060000}"/>
    <cellStyle name="Accent5 2 5" xfId="1763" xr:uid="{00000000-0005-0000-0000-0000AD060000}"/>
    <cellStyle name="Accent5 2 6" xfId="1764" xr:uid="{00000000-0005-0000-0000-0000AE060000}"/>
    <cellStyle name="Accent5 2 7" xfId="1765" xr:uid="{00000000-0005-0000-0000-0000AF060000}"/>
    <cellStyle name="Accent5 2 8" xfId="1766" xr:uid="{00000000-0005-0000-0000-0000B0060000}"/>
    <cellStyle name="Accent5 2 9" xfId="1767" xr:uid="{00000000-0005-0000-0000-0000B1060000}"/>
    <cellStyle name="Accent5 20" xfId="1768" xr:uid="{00000000-0005-0000-0000-0000B2060000}"/>
    <cellStyle name="Accent5 21" xfId="1769" xr:uid="{00000000-0005-0000-0000-0000B3060000}"/>
    <cellStyle name="Accent5 22" xfId="1770" xr:uid="{00000000-0005-0000-0000-0000B4060000}"/>
    <cellStyle name="Accent5 23" xfId="1771" xr:uid="{00000000-0005-0000-0000-0000B5060000}"/>
    <cellStyle name="Accent5 24" xfId="1772" xr:uid="{00000000-0005-0000-0000-0000B6060000}"/>
    <cellStyle name="Accent5 25" xfId="1773" xr:uid="{00000000-0005-0000-0000-0000B7060000}"/>
    <cellStyle name="Accent5 26" xfId="1774" xr:uid="{00000000-0005-0000-0000-0000B8060000}"/>
    <cellStyle name="Accent5 27" xfId="1775" xr:uid="{00000000-0005-0000-0000-0000B9060000}"/>
    <cellStyle name="Accent5 28" xfId="1776" xr:uid="{00000000-0005-0000-0000-0000BA060000}"/>
    <cellStyle name="Accent5 29" xfId="1777" xr:uid="{00000000-0005-0000-0000-0000BB060000}"/>
    <cellStyle name="Accent5 3" xfId="1778" xr:uid="{00000000-0005-0000-0000-0000BC060000}"/>
    <cellStyle name="Accent5 3 2" xfId="1779" xr:uid="{00000000-0005-0000-0000-0000BD060000}"/>
    <cellStyle name="Accent5 3 3" xfId="1780" xr:uid="{00000000-0005-0000-0000-0000BE060000}"/>
    <cellStyle name="Accent5 30" xfId="1781" xr:uid="{00000000-0005-0000-0000-0000BF060000}"/>
    <cellStyle name="Accent5 31" xfId="1782" xr:uid="{00000000-0005-0000-0000-0000C0060000}"/>
    <cellStyle name="Accent5 32" xfId="1783" xr:uid="{00000000-0005-0000-0000-0000C1060000}"/>
    <cellStyle name="Accent5 33" xfId="1784" xr:uid="{00000000-0005-0000-0000-0000C2060000}"/>
    <cellStyle name="Accent5 34" xfId="1785" xr:uid="{00000000-0005-0000-0000-0000C3060000}"/>
    <cellStyle name="Accent5 4" xfId="1786" xr:uid="{00000000-0005-0000-0000-0000C4060000}"/>
    <cellStyle name="Accent5 4 2" xfId="1787" xr:uid="{00000000-0005-0000-0000-0000C5060000}"/>
    <cellStyle name="Accent5 4 3" xfId="1788" xr:uid="{00000000-0005-0000-0000-0000C6060000}"/>
    <cellStyle name="Accent5 5" xfId="1789" xr:uid="{00000000-0005-0000-0000-0000C7060000}"/>
    <cellStyle name="Accent5 5 2" xfId="1790" xr:uid="{00000000-0005-0000-0000-0000C8060000}"/>
    <cellStyle name="Accent5 5 3" xfId="1791" xr:uid="{00000000-0005-0000-0000-0000C9060000}"/>
    <cellStyle name="Accent5 6" xfId="1792" xr:uid="{00000000-0005-0000-0000-0000CA060000}"/>
    <cellStyle name="Accent5 6 2" xfId="1793" xr:uid="{00000000-0005-0000-0000-0000CB060000}"/>
    <cellStyle name="Accent5 6 3" xfId="1794" xr:uid="{00000000-0005-0000-0000-0000CC060000}"/>
    <cellStyle name="Accent5 7" xfId="1795" xr:uid="{00000000-0005-0000-0000-0000CD060000}"/>
    <cellStyle name="Accent5 7 2" xfId="1796" xr:uid="{00000000-0005-0000-0000-0000CE060000}"/>
    <cellStyle name="Accent5 7 3" xfId="1797" xr:uid="{00000000-0005-0000-0000-0000CF060000}"/>
    <cellStyle name="Accent5 8" xfId="1798" xr:uid="{00000000-0005-0000-0000-0000D0060000}"/>
    <cellStyle name="Accent5 8 2" xfId="1799" xr:uid="{00000000-0005-0000-0000-0000D1060000}"/>
    <cellStyle name="Accent5 8 3" xfId="1800" xr:uid="{00000000-0005-0000-0000-0000D2060000}"/>
    <cellStyle name="Accent5 9" xfId="1801" xr:uid="{00000000-0005-0000-0000-0000D3060000}"/>
    <cellStyle name="Accent5 9 2" xfId="1802" xr:uid="{00000000-0005-0000-0000-0000D4060000}"/>
    <cellStyle name="Accent5 9 3" xfId="1803" xr:uid="{00000000-0005-0000-0000-0000D5060000}"/>
    <cellStyle name="Accent6 10" xfId="1804" xr:uid="{00000000-0005-0000-0000-0000D6060000}"/>
    <cellStyle name="Accent6 10 2" xfId="1805" xr:uid="{00000000-0005-0000-0000-0000D7060000}"/>
    <cellStyle name="Accent6 10 3" xfId="1806" xr:uid="{00000000-0005-0000-0000-0000D8060000}"/>
    <cellStyle name="Accent6 11" xfId="1807" xr:uid="{00000000-0005-0000-0000-0000D9060000}"/>
    <cellStyle name="Accent6 11 2" xfId="1808" xr:uid="{00000000-0005-0000-0000-0000DA060000}"/>
    <cellStyle name="Accent6 11 3" xfId="1809" xr:uid="{00000000-0005-0000-0000-0000DB060000}"/>
    <cellStyle name="Accent6 12" xfId="1810" xr:uid="{00000000-0005-0000-0000-0000DC060000}"/>
    <cellStyle name="Accent6 12 2" xfId="1811" xr:uid="{00000000-0005-0000-0000-0000DD060000}"/>
    <cellStyle name="Accent6 12 3" xfId="1812" xr:uid="{00000000-0005-0000-0000-0000DE060000}"/>
    <cellStyle name="Accent6 13" xfId="1813" xr:uid="{00000000-0005-0000-0000-0000DF060000}"/>
    <cellStyle name="Accent6 13 2" xfId="1814" xr:uid="{00000000-0005-0000-0000-0000E0060000}"/>
    <cellStyle name="Accent6 13 3" xfId="1815" xr:uid="{00000000-0005-0000-0000-0000E1060000}"/>
    <cellStyle name="Accent6 14" xfId="1816" xr:uid="{00000000-0005-0000-0000-0000E2060000}"/>
    <cellStyle name="Accent6 14 2" xfId="1817" xr:uid="{00000000-0005-0000-0000-0000E3060000}"/>
    <cellStyle name="Accent6 14 3" xfId="1818" xr:uid="{00000000-0005-0000-0000-0000E4060000}"/>
    <cellStyle name="Accent6 15" xfId="1819" xr:uid="{00000000-0005-0000-0000-0000E5060000}"/>
    <cellStyle name="Accent6 15 2" xfId="1820" xr:uid="{00000000-0005-0000-0000-0000E6060000}"/>
    <cellStyle name="Accent6 15 3" xfId="1821" xr:uid="{00000000-0005-0000-0000-0000E7060000}"/>
    <cellStyle name="Accent6 15 4" xfId="1822" xr:uid="{00000000-0005-0000-0000-0000E8060000}"/>
    <cellStyle name="Accent6 15 5" xfId="1823" xr:uid="{00000000-0005-0000-0000-0000E9060000}"/>
    <cellStyle name="Accent6 15 6" xfId="1824" xr:uid="{00000000-0005-0000-0000-0000EA060000}"/>
    <cellStyle name="Accent6 15 7" xfId="1825" xr:uid="{00000000-0005-0000-0000-0000EB060000}"/>
    <cellStyle name="Accent6 16" xfId="1826" xr:uid="{00000000-0005-0000-0000-0000EC060000}"/>
    <cellStyle name="Accent6 17" xfId="1827" xr:uid="{00000000-0005-0000-0000-0000ED060000}"/>
    <cellStyle name="Accent6 18" xfId="1828" xr:uid="{00000000-0005-0000-0000-0000EE060000}"/>
    <cellStyle name="Accent6 19" xfId="1829" xr:uid="{00000000-0005-0000-0000-0000EF060000}"/>
    <cellStyle name="Accent6 2" xfId="1830" xr:uid="{00000000-0005-0000-0000-0000F0060000}"/>
    <cellStyle name="Accent6 2 10" xfId="1831" xr:uid="{00000000-0005-0000-0000-0000F1060000}"/>
    <cellStyle name="Accent6 2 11" xfId="1832" xr:uid="{00000000-0005-0000-0000-0000F2060000}"/>
    <cellStyle name="Accent6 2 12" xfId="1833" xr:uid="{00000000-0005-0000-0000-0000F3060000}"/>
    <cellStyle name="Accent6 2 13" xfId="1834" xr:uid="{00000000-0005-0000-0000-0000F4060000}"/>
    <cellStyle name="Accent6 2 14" xfId="1835" xr:uid="{00000000-0005-0000-0000-0000F5060000}"/>
    <cellStyle name="Accent6 2 2" xfId="1836" xr:uid="{00000000-0005-0000-0000-0000F6060000}"/>
    <cellStyle name="Accent6 2 3" xfId="1837" xr:uid="{00000000-0005-0000-0000-0000F7060000}"/>
    <cellStyle name="Accent6 2 4" xfId="1838" xr:uid="{00000000-0005-0000-0000-0000F8060000}"/>
    <cellStyle name="Accent6 2 5" xfId="1839" xr:uid="{00000000-0005-0000-0000-0000F9060000}"/>
    <cellStyle name="Accent6 2 6" xfId="1840" xr:uid="{00000000-0005-0000-0000-0000FA060000}"/>
    <cellStyle name="Accent6 2 7" xfId="1841" xr:uid="{00000000-0005-0000-0000-0000FB060000}"/>
    <cellStyle name="Accent6 2 8" xfId="1842" xr:uid="{00000000-0005-0000-0000-0000FC060000}"/>
    <cellStyle name="Accent6 2 9" xfId="1843" xr:uid="{00000000-0005-0000-0000-0000FD060000}"/>
    <cellStyle name="Accent6 20" xfId="1844" xr:uid="{00000000-0005-0000-0000-0000FE060000}"/>
    <cellStyle name="Accent6 21" xfId="1845" xr:uid="{00000000-0005-0000-0000-0000FF060000}"/>
    <cellStyle name="Accent6 22" xfId="1846" xr:uid="{00000000-0005-0000-0000-000000070000}"/>
    <cellStyle name="Accent6 23" xfId="1847" xr:uid="{00000000-0005-0000-0000-000001070000}"/>
    <cellStyle name="Accent6 24" xfId="1848" xr:uid="{00000000-0005-0000-0000-000002070000}"/>
    <cellStyle name="Accent6 25" xfId="1849" xr:uid="{00000000-0005-0000-0000-000003070000}"/>
    <cellStyle name="Accent6 26" xfId="1850" xr:uid="{00000000-0005-0000-0000-000004070000}"/>
    <cellStyle name="Accent6 27" xfId="1851" xr:uid="{00000000-0005-0000-0000-000005070000}"/>
    <cellStyle name="Accent6 28" xfId="1852" xr:uid="{00000000-0005-0000-0000-000006070000}"/>
    <cellStyle name="Accent6 29" xfId="1853" xr:uid="{00000000-0005-0000-0000-000007070000}"/>
    <cellStyle name="Accent6 3" xfId="1854" xr:uid="{00000000-0005-0000-0000-000008070000}"/>
    <cellStyle name="Accent6 3 2" xfId="1855" xr:uid="{00000000-0005-0000-0000-000009070000}"/>
    <cellStyle name="Accent6 3 3" xfId="1856" xr:uid="{00000000-0005-0000-0000-00000A070000}"/>
    <cellStyle name="Accent6 30" xfId="1857" xr:uid="{00000000-0005-0000-0000-00000B070000}"/>
    <cellStyle name="Accent6 31" xfId="1858" xr:uid="{00000000-0005-0000-0000-00000C070000}"/>
    <cellStyle name="Accent6 32" xfId="1859" xr:uid="{00000000-0005-0000-0000-00000D070000}"/>
    <cellStyle name="Accent6 33" xfId="1860" xr:uid="{00000000-0005-0000-0000-00000E070000}"/>
    <cellStyle name="Accent6 34" xfId="1861" xr:uid="{00000000-0005-0000-0000-00000F070000}"/>
    <cellStyle name="Accent6 4" xfId="1862" xr:uid="{00000000-0005-0000-0000-000010070000}"/>
    <cellStyle name="Accent6 4 2" xfId="1863" xr:uid="{00000000-0005-0000-0000-000011070000}"/>
    <cellStyle name="Accent6 4 3" xfId="1864" xr:uid="{00000000-0005-0000-0000-000012070000}"/>
    <cellStyle name="Accent6 5" xfId="1865" xr:uid="{00000000-0005-0000-0000-000013070000}"/>
    <cellStyle name="Accent6 5 2" xfId="1866" xr:uid="{00000000-0005-0000-0000-000014070000}"/>
    <cellStyle name="Accent6 5 3" xfId="1867" xr:uid="{00000000-0005-0000-0000-000015070000}"/>
    <cellStyle name="Accent6 6" xfId="1868" xr:uid="{00000000-0005-0000-0000-000016070000}"/>
    <cellStyle name="Accent6 6 2" xfId="1869" xr:uid="{00000000-0005-0000-0000-000017070000}"/>
    <cellStyle name="Accent6 6 3" xfId="1870" xr:uid="{00000000-0005-0000-0000-000018070000}"/>
    <cellStyle name="Accent6 7" xfId="1871" xr:uid="{00000000-0005-0000-0000-000019070000}"/>
    <cellStyle name="Accent6 7 2" xfId="1872" xr:uid="{00000000-0005-0000-0000-00001A070000}"/>
    <cellStyle name="Accent6 7 3" xfId="1873" xr:uid="{00000000-0005-0000-0000-00001B070000}"/>
    <cellStyle name="Accent6 8" xfId="1874" xr:uid="{00000000-0005-0000-0000-00001C070000}"/>
    <cellStyle name="Accent6 8 2" xfId="1875" xr:uid="{00000000-0005-0000-0000-00001D070000}"/>
    <cellStyle name="Accent6 8 3" xfId="1876" xr:uid="{00000000-0005-0000-0000-00001E070000}"/>
    <cellStyle name="Accent6 9" xfId="1877" xr:uid="{00000000-0005-0000-0000-00001F070000}"/>
    <cellStyle name="Accent6 9 2" xfId="1878" xr:uid="{00000000-0005-0000-0000-000020070000}"/>
    <cellStyle name="Accent6 9 3" xfId="1879" xr:uid="{00000000-0005-0000-0000-000021070000}"/>
    <cellStyle name="Bad 10" xfId="1880" xr:uid="{00000000-0005-0000-0000-000022070000}"/>
    <cellStyle name="Bad 10 2" xfId="1881" xr:uid="{00000000-0005-0000-0000-000023070000}"/>
    <cellStyle name="Bad 10 3" xfId="1882" xr:uid="{00000000-0005-0000-0000-000024070000}"/>
    <cellStyle name="Bad 11" xfId="1883" xr:uid="{00000000-0005-0000-0000-000025070000}"/>
    <cellStyle name="Bad 11 2" xfId="1884" xr:uid="{00000000-0005-0000-0000-000026070000}"/>
    <cellStyle name="Bad 11 3" xfId="1885" xr:uid="{00000000-0005-0000-0000-000027070000}"/>
    <cellStyle name="Bad 12" xfId="1886" xr:uid="{00000000-0005-0000-0000-000028070000}"/>
    <cellStyle name="Bad 12 2" xfId="1887" xr:uid="{00000000-0005-0000-0000-000029070000}"/>
    <cellStyle name="Bad 12 3" xfId="1888" xr:uid="{00000000-0005-0000-0000-00002A070000}"/>
    <cellStyle name="Bad 13" xfId="1889" xr:uid="{00000000-0005-0000-0000-00002B070000}"/>
    <cellStyle name="Bad 13 2" xfId="1890" xr:uid="{00000000-0005-0000-0000-00002C070000}"/>
    <cellStyle name="Bad 13 3" xfId="1891" xr:uid="{00000000-0005-0000-0000-00002D070000}"/>
    <cellStyle name="Bad 14" xfId="1892" xr:uid="{00000000-0005-0000-0000-00002E070000}"/>
    <cellStyle name="Bad 14 2" xfId="1893" xr:uid="{00000000-0005-0000-0000-00002F070000}"/>
    <cellStyle name="Bad 14 3" xfId="1894" xr:uid="{00000000-0005-0000-0000-000030070000}"/>
    <cellStyle name="Bad 15" xfId="1895" xr:uid="{00000000-0005-0000-0000-000031070000}"/>
    <cellStyle name="Bad 15 2" xfId="1896" xr:uid="{00000000-0005-0000-0000-000032070000}"/>
    <cellStyle name="Bad 15 3" xfId="1897" xr:uid="{00000000-0005-0000-0000-000033070000}"/>
    <cellStyle name="Bad 15 4" xfId="1898" xr:uid="{00000000-0005-0000-0000-000034070000}"/>
    <cellStyle name="Bad 15 5" xfId="1899" xr:uid="{00000000-0005-0000-0000-000035070000}"/>
    <cellStyle name="Bad 15 6" xfId="1900" xr:uid="{00000000-0005-0000-0000-000036070000}"/>
    <cellStyle name="Bad 15 7" xfId="1901" xr:uid="{00000000-0005-0000-0000-000037070000}"/>
    <cellStyle name="Bad 16" xfId="1902" xr:uid="{00000000-0005-0000-0000-000038070000}"/>
    <cellStyle name="Bad 17" xfId="1903" xr:uid="{00000000-0005-0000-0000-000039070000}"/>
    <cellStyle name="Bad 18" xfId="1904" xr:uid="{00000000-0005-0000-0000-00003A070000}"/>
    <cellStyle name="Bad 19" xfId="1905" xr:uid="{00000000-0005-0000-0000-00003B070000}"/>
    <cellStyle name="Bad 2" xfId="1906" xr:uid="{00000000-0005-0000-0000-00003C070000}"/>
    <cellStyle name="Bad 2 10" xfId="1907" xr:uid="{00000000-0005-0000-0000-00003D070000}"/>
    <cellStyle name="Bad 2 11" xfId="1908" xr:uid="{00000000-0005-0000-0000-00003E070000}"/>
    <cellStyle name="Bad 2 12" xfId="1909" xr:uid="{00000000-0005-0000-0000-00003F070000}"/>
    <cellStyle name="Bad 2 13" xfId="1910" xr:uid="{00000000-0005-0000-0000-000040070000}"/>
    <cellStyle name="Bad 2 14" xfId="1911" xr:uid="{00000000-0005-0000-0000-000041070000}"/>
    <cellStyle name="Bad 2 2" xfId="1912" xr:uid="{00000000-0005-0000-0000-000042070000}"/>
    <cellStyle name="Bad 2 3" xfId="1913" xr:uid="{00000000-0005-0000-0000-000043070000}"/>
    <cellStyle name="Bad 2 4" xfId="1914" xr:uid="{00000000-0005-0000-0000-000044070000}"/>
    <cellStyle name="Bad 2 5" xfId="1915" xr:uid="{00000000-0005-0000-0000-000045070000}"/>
    <cellStyle name="Bad 2 6" xfId="1916" xr:uid="{00000000-0005-0000-0000-000046070000}"/>
    <cellStyle name="Bad 2 7" xfId="1917" xr:uid="{00000000-0005-0000-0000-000047070000}"/>
    <cellStyle name="Bad 2 8" xfId="1918" xr:uid="{00000000-0005-0000-0000-000048070000}"/>
    <cellStyle name="Bad 2 9" xfId="1919" xr:uid="{00000000-0005-0000-0000-000049070000}"/>
    <cellStyle name="Bad 20" xfId="1920" xr:uid="{00000000-0005-0000-0000-00004A070000}"/>
    <cellStyle name="Bad 21" xfId="1921" xr:uid="{00000000-0005-0000-0000-00004B070000}"/>
    <cellStyle name="Bad 22" xfId="1922" xr:uid="{00000000-0005-0000-0000-00004C070000}"/>
    <cellStyle name="Bad 23" xfId="1923" xr:uid="{00000000-0005-0000-0000-00004D070000}"/>
    <cellStyle name="Bad 24" xfId="1924" xr:uid="{00000000-0005-0000-0000-00004E070000}"/>
    <cellStyle name="Bad 25" xfId="1925" xr:uid="{00000000-0005-0000-0000-00004F070000}"/>
    <cellStyle name="Bad 26" xfId="1926" xr:uid="{00000000-0005-0000-0000-000050070000}"/>
    <cellStyle name="Bad 27" xfId="1927" xr:uid="{00000000-0005-0000-0000-000051070000}"/>
    <cellStyle name="Bad 28" xfId="1928" xr:uid="{00000000-0005-0000-0000-000052070000}"/>
    <cellStyle name="Bad 29" xfId="1929" xr:uid="{00000000-0005-0000-0000-000053070000}"/>
    <cellStyle name="Bad 3" xfId="1930" xr:uid="{00000000-0005-0000-0000-000054070000}"/>
    <cellStyle name="Bad 3 2" xfId="1931" xr:uid="{00000000-0005-0000-0000-000055070000}"/>
    <cellStyle name="Bad 3 3" xfId="1932" xr:uid="{00000000-0005-0000-0000-000056070000}"/>
    <cellStyle name="Bad 30" xfId="1933" xr:uid="{00000000-0005-0000-0000-000057070000}"/>
    <cellStyle name="Bad 31" xfId="1934" xr:uid="{00000000-0005-0000-0000-000058070000}"/>
    <cellStyle name="Bad 32" xfId="1935" xr:uid="{00000000-0005-0000-0000-000059070000}"/>
    <cellStyle name="Bad 33" xfId="1936" xr:uid="{00000000-0005-0000-0000-00005A070000}"/>
    <cellStyle name="Bad 34" xfId="1937" xr:uid="{00000000-0005-0000-0000-00005B070000}"/>
    <cellStyle name="Bad 4" xfId="1938" xr:uid="{00000000-0005-0000-0000-00005C070000}"/>
    <cellStyle name="Bad 4 2" xfId="1939" xr:uid="{00000000-0005-0000-0000-00005D070000}"/>
    <cellStyle name="Bad 4 3" xfId="1940" xr:uid="{00000000-0005-0000-0000-00005E070000}"/>
    <cellStyle name="Bad 5" xfId="1941" xr:uid="{00000000-0005-0000-0000-00005F070000}"/>
    <cellStyle name="Bad 5 2" xfId="1942" xr:uid="{00000000-0005-0000-0000-000060070000}"/>
    <cellStyle name="Bad 5 3" xfId="1943" xr:uid="{00000000-0005-0000-0000-000061070000}"/>
    <cellStyle name="Bad 6" xfId="1944" xr:uid="{00000000-0005-0000-0000-000062070000}"/>
    <cellStyle name="Bad 6 2" xfId="1945" xr:uid="{00000000-0005-0000-0000-000063070000}"/>
    <cellStyle name="Bad 6 3" xfId="1946" xr:uid="{00000000-0005-0000-0000-000064070000}"/>
    <cellStyle name="Bad 7" xfId="1947" xr:uid="{00000000-0005-0000-0000-000065070000}"/>
    <cellStyle name="Bad 7 2" xfId="1948" xr:uid="{00000000-0005-0000-0000-000066070000}"/>
    <cellStyle name="Bad 7 3" xfId="1949" xr:uid="{00000000-0005-0000-0000-000067070000}"/>
    <cellStyle name="Bad 8" xfId="1950" xr:uid="{00000000-0005-0000-0000-000068070000}"/>
    <cellStyle name="Bad 8 2" xfId="1951" xr:uid="{00000000-0005-0000-0000-000069070000}"/>
    <cellStyle name="Bad 8 3" xfId="1952" xr:uid="{00000000-0005-0000-0000-00006A070000}"/>
    <cellStyle name="Bad 9" xfId="1953" xr:uid="{00000000-0005-0000-0000-00006B070000}"/>
    <cellStyle name="Bad 9 2" xfId="1954" xr:uid="{00000000-0005-0000-0000-00006C070000}"/>
    <cellStyle name="Bad 9 3" xfId="1955" xr:uid="{00000000-0005-0000-0000-00006D070000}"/>
    <cellStyle name="Calculation 10" xfId="1956" xr:uid="{00000000-0005-0000-0000-00006E070000}"/>
    <cellStyle name="Calculation 10 2" xfId="1957" xr:uid="{00000000-0005-0000-0000-00006F070000}"/>
    <cellStyle name="Calculation 10 3" xfId="1958" xr:uid="{00000000-0005-0000-0000-000070070000}"/>
    <cellStyle name="Calculation 11" xfId="1959" xr:uid="{00000000-0005-0000-0000-000071070000}"/>
    <cellStyle name="Calculation 11 2" xfId="1960" xr:uid="{00000000-0005-0000-0000-000072070000}"/>
    <cellStyle name="Calculation 11 3" xfId="1961" xr:uid="{00000000-0005-0000-0000-000073070000}"/>
    <cellStyle name="Calculation 12" xfId="1962" xr:uid="{00000000-0005-0000-0000-000074070000}"/>
    <cellStyle name="Calculation 12 2" xfId="1963" xr:uid="{00000000-0005-0000-0000-000075070000}"/>
    <cellStyle name="Calculation 12 3" xfId="1964" xr:uid="{00000000-0005-0000-0000-000076070000}"/>
    <cellStyle name="Calculation 13" xfId="1965" xr:uid="{00000000-0005-0000-0000-000077070000}"/>
    <cellStyle name="Calculation 13 2" xfId="1966" xr:uid="{00000000-0005-0000-0000-000078070000}"/>
    <cellStyle name="Calculation 13 3" xfId="1967" xr:uid="{00000000-0005-0000-0000-000079070000}"/>
    <cellStyle name="Calculation 14" xfId="1968" xr:uid="{00000000-0005-0000-0000-00007A070000}"/>
    <cellStyle name="Calculation 14 2" xfId="1969" xr:uid="{00000000-0005-0000-0000-00007B070000}"/>
    <cellStyle name="Calculation 14 3" xfId="1970" xr:uid="{00000000-0005-0000-0000-00007C070000}"/>
    <cellStyle name="Calculation 15" xfId="1971" xr:uid="{00000000-0005-0000-0000-00007D070000}"/>
    <cellStyle name="Calculation 15 2" xfId="1972" xr:uid="{00000000-0005-0000-0000-00007E070000}"/>
    <cellStyle name="Calculation 15 3" xfId="1973" xr:uid="{00000000-0005-0000-0000-00007F070000}"/>
    <cellStyle name="Calculation 15 4" xfId="1974" xr:uid="{00000000-0005-0000-0000-000080070000}"/>
    <cellStyle name="Calculation 15 5" xfId="1975" xr:uid="{00000000-0005-0000-0000-000081070000}"/>
    <cellStyle name="Calculation 15 6" xfId="1976" xr:uid="{00000000-0005-0000-0000-000082070000}"/>
    <cellStyle name="Calculation 15 7" xfId="1977" xr:uid="{00000000-0005-0000-0000-000083070000}"/>
    <cellStyle name="Calculation 16" xfId="1978" xr:uid="{00000000-0005-0000-0000-000084070000}"/>
    <cellStyle name="Calculation 17" xfId="1979" xr:uid="{00000000-0005-0000-0000-000085070000}"/>
    <cellStyle name="Calculation 18" xfId="1980" xr:uid="{00000000-0005-0000-0000-000086070000}"/>
    <cellStyle name="Calculation 19" xfId="1981" xr:uid="{00000000-0005-0000-0000-000087070000}"/>
    <cellStyle name="Calculation 2" xfId="1982" xr:uid="{00000000-0005-0000-0000-000088070000}"/>
    <cellStyle name="Calculation 2 10" xfId="1983" xr:uid="{00000000-0005-0000-0000-000089070000}"/>
    <cellStyle name="Calculation 2 11" xfId="1984" xr:uid="{00000000-0005-0000-0000-00008A070000}"/>
    <cellStyle name="Calculation 2 12" xfId="1985" xr:uid="{00000000-0005-0000-0000-00008B070000}"/>
    <cellStyle name="Calculation 2 13" xfId="1986" xr:uid="{00000000-0005-0000-0000-00008C070000}"/>
    <cellStyle name="Calculation 2 14" xfId="1987" xr:uid="{00000000-0005-0000-0000-00008D070000}"/>
    <cellStyle name="Calculation 2 2" xfId="1988" xr:uid="{00000000-0005-0000-0000-00008E070000}"/>
    <cellStyle name="Calculation 2 3" xfId="1989" xr:uid="{00000000-0005-0000-0000-00008F070000}"/>
    <cellStyle name="Calculation 2 4" xfId="1990" xr:uid="{00000000-0005-0000-0000-000090070000}"/>
    <cellStyle name="Calculation 2 5" xfId="1991" xr:uid="{00000000-0005-0000-0000-000091070000}"/>
    <cellStyle name="Calculation 2 6" xfId="1992" xr:uid="{00000000-0005-0000-0000-000092070000}"/>
    <cellStyle name="Calculation 2 7" xfId="1993" xr:uid="{00000000-0005-0000-0000-000093070000}"/>
    <cellStyle name="Calculation 2 8" xfId="1994" xr:uid="{00000000-0005-0000-0000-000094070000}"/>
    <cellStyle name="Calculation 2 9" xfId="1995" xr:uid="{00000000-0005-0000-0000-000095070000}"/>
    <cellStyle name="Calculation 20" xfId="1996" xr:uid="{00000000-0005-0000-0000-000096070000}"/>
    <cellStyle name="Calculation 21" xfId="1997" xr:uid="{00000000-0005-0000-0000-000097070000}"/>
    <cellStyle name="Calculation 22" xfId="1998" xr:uid="{00000000-0005-0000-0000-000098070000}"/>
    <cellStyle name="Calculation 23" xfId="1999" xr:uid="{00000000-0005-0000-0000-000099070000}"/>
    <cellStyle name="Calculation 24" xfId="2000" xr:uid="{00000000-0005-0000-0000-00009A070000}"/>
    <cellStyle name="Calculation 25" xfId="2001" xr:uid="{00000000-0005-0000-0000-00009B070000}"/>
    <cellStyle name="Calculation 26" xfId="2002" xr:uid="{00000000-0005-0000-0000-00009C070000}"/>
    <cellStyle name="Calculation 27" xfId="2003" xr:uid="{00000000-0005-0000-0000-00009D070000}"/>
    <cellStyle name="Calculation 28" xfId="2004" xr:uid="{00000000-0005-0000-0000-00009E070000}"/>
    <cellStyle name="Calculation 29" xfId="2005" xr:uid="{00000000-0005-0000-0000-00009F070000}"/>
    <cellStyle name="Calculation 3" xfId="2006" xr:uid="{00000000-0005-0000-0000-0000A0070000}"/>
    <cellStyle name="Calculation 3 2" xfId="2007" xr:uid="{00000000-0005-0000-0000-0000A1070000}"/>
    <cellStyle name="Calculation 3 3" xfId="2008" xr:uid="{00000000-0005-0000-0000-0000A2070000}"/>
    <cellStyle name="Calculation 30" xfId="2009" xr:uid="{00000000-0005-0000-0000-0000A3070000}"/>
    <cellStyle name="Calculation 31" xfId="2010" xr:uid="{00000000-0005-0000-0000-0000A4070000}"/>
    <cellStyle name="Calculation 32" xfId="2011" xr:uid="{00000000-0005-0000-0000-0000A5070000}"/>
    <cellStyle name="Calculation 33" xfId="2012" xr:uid="{00000000-0005-0000-0000-0000A6070000}"/>
    <cellStyle name="Calculation 34" xfId="2013" xr:uid="{00000000-0005-0000-0000-0000A7070000}"/>
    <cellStyle name="Calculation 4" xfId="2014" xr:uid="{00000000-0005-0000-0000-0000A8070000}"/>
    <cellStyle name="Calculation 4 2" xfId="2015" xr:uid="{00000000-0005-0000-0000-0000A9070000}"/>
    <cellStyle name="Calculation 4 3" xfId="2016" xr:uid="{00000000-0005-0000-0000-0000AA070000}"/>
    <cellStyle name="Calculation 5" xfId="2017" xr:uid="{00000000-0005-0000-0000-0000AB070000}"/>
    <cellStyle name="Calculation 5 2" xfId="2018" xr:uid="{00000000-0005-0000-0000-0000AC070000}"/>
    <cellStyle name="Calculation 5 3" xfId="2019" xr:uid="{00000000-0005-0000-0000-0000AD070000}"/>
    <cellStyle name="Calculation 6" xfId="2020" xr:uid="{00000000-0005-0000-0000-0000AE070000}"/>
    <cellStyle name="Calculation 6 2" xfId="2021" xr:uid="{00000000-0005-0000-0000-0000AF070000}"/>
    <cellStyle name="Calculation 6 3" xfId="2022" xr:uid="{00000000-0005-0000-0000-0000B0070000}"/>
    <cellStyle name="Calculation 7" xfId="2023" xr:uid="{00000000-0005-0000-0000-0000B1070000}"/>
    <cellStyle name="Calculation 7 2" xfId="2024" xr:uid="{00000000-0005-0000-0000-0000B2070000}"/>
    <cellStyle name="Calculation 7 3" xfId="2025" xr:uid="{00000000-0005-0000-0000-0000B3070000}"/>
    <cellStyle name="Calculation 8" xfId="2026" xr:uid="{00000000-0005-0000-0000-0000B4070000}"/>
    <cellStyle name="Calculation 8 2" xfId="2027" xr:uid="{00000000-0005-0000-0000-0000B5070000}"/>
    <cellStyle name="Calculation 8 3" xfId="2028" xr:uid="{00000000-0005-0000-0000-0000B6070000}"/>
    <cellStyle name="Calculation 9" xfId="2029" xr:uid="{00000000-0005-0000-0000-0000B7070000}"/>
    <cellStyle name="Calculation 9 2" xfId="2030" xr:uid="{00000000-0005-0000-0000-0000B8070000}"/>
    <cellStyle name="Calculation 9 3" xfId="2031" xr:uid="{00000000-0005-0000-0000-0000B9070000}"/>
    <cellStyle name="Check Cell 10" xfId="2032" xr:uid="{00000000-0005-0000-0000-0000BA070000}"/>
    <cellStyle name="Check Cell 10 2" xfId="2033" xr:uid="{00000000-0005-0000-0000-0000BB070000}"/>
    <cellStyle name="Check Cell 10 3" xfId="2034" xr:uid="{00000000-0005-0000-0000-0000BC070000}"/>
    <cellStyle name="Check Cell 11" xfId="2035" xr:uid="{00000000-0005-0000-0000-0000BD070000}"/>
    <cellStyle name="Check Cell 11 2" xfId="2036" xr:uid="{00000000-0005-0000-0000-0000BE070000}"/>
    <cellStyle name="Check Cell 11 3" xfId="2037" xr:uid="{00000000-0005-0000-0000-0000BF070000}"/>
    <cellStyle name="Check Cell 12" xfId="2038" xr:uid="{00000000-0005-0000-0000-0000C0070000}"/>
    <cellStyle name="Check Cell 12 2" xfId="2039" xr:uid="{00000000-0005-0000-0000-0000C1070000}"/>
    <cellStyle name="Check Cell 12 3" xfId="2040" xr:uid="{00000000-0005-0000-0000-0000C2070000}"/>
    <cellStyle name="Check Cell 13" xfId="2041" xr:uid="{00000000-0005-0000-0000-0000C3070000}"/>
    <cellStyle name="Check Cell 13 2" xfId="2042" xr:uid="{00000000-0005-0000-0000-0000C4070000}"/>
    <cellStyle name="Check Cell 13 3" xfId="2043" xr:uid="{00000000-0005-0000-0000-0000C5070000}"/>
    <cellStyle name="Check Cell 14" xfId="2044" xr:uid="{00000000-0005-0000-0000-0000C6070000}"/>
    <cellStyle name="Check Cell 14 2" xfId="2045" xr:uid="{00000000-0005-0000-0000-0000C7070000}"/>
    <cellStyle name="Check Cell 14 3" xfId="2046" xr:uid="{00000000-0005-0000-0000-0000C8070000}"/>
    <cellStyle name="Check Cell 15" xfId="2047" xr:uid="{00000000-0005-0000-0000-0000C9070000}"/>
    <cellStyle name="Check Cell 15 2" xfId="2048" xr:uid="{00000000-0005-0000-0000-0000CA070000}"/>
    <cellStyle name="Check Cell 15 3" xfId="2049" xr:uid="{00000000-0005-0000-0000-0000CB070000}"/>
    <cellStyle name="Check Cell 15 4" xfId="2050" xr:uid="{00000000-0005-0000-0000-0000CC070000}"/>
    <cellStyle name="Check Cell 15 5" xfId="2051" xr:uid="{00000000-0005-0000-0000-0000CD070000}"/>
    <cellStyle name="Check Cell 15 6" xfId="2052" xr:uid="{00000000-0005-0000-0000-0000CE070000}"/>
    <cellStyle name="Check Cell 15 7" xfId="2053" xr:uid="{00000000-0005-0000-0000-0000CF070000}"/>
    <cellStyle name="Check Cell 16" xfId="2054" xr:uid="{00000000-0005-0000-0000-0000D0070000}"/>
    <cellStyle name="Check Cell 17" xfId="2055" xr:uid="{00000000-0005-0000-0000-0000D1070000}"/>
    <cellStyle name="Check Cell 18" xfId="2056" xr:uid="{00000000-0005-0000-0000-0000D2070000}"/>
    <cellStyle name="Check Cell 19" xfId="2057" xr:uid="{00000000-0005-0000-0000-0000D3070000}"/>
    <cellStyle name="Check Cell 2" xfId="2058" xr:uid="{00000000-0005-0000-0000-0000D4070000}"/>
    <cellStyle name="Check Cell 2 10" xfId="2059" xr:uid="{00000000-0005-0000-0000-0000D5070000}"/>
    <cellStyle name="Check Cell 2 11" xfId="2060" xr:uid="{00000000-0005-0000-0000-0000D6070000}"/>
    <cellStyle name="Check Cell 2 12" xfId="2061" xr:uid="{00000000-0005-0000-0000-0000D7070000}"/>
    <cellStyle name="Check Cell 2 13" xfId="2062" xr:uid="{00000000-0005-0000-0000-0000D8070000}"/>
    <cellStyle name="Check Cell 2 14" xfId="2063" xr:uid="{00000000-0005-0000-0000-0000D9070000}"/>
    <cellStyle name="Check Cell 2 2" xfId="2064" xr:uid="{00000000-0005-0000-0000-0000DA070000}"/>
    <cellStyle name="Check Cell 2 3" xfId="2065" xr:uid="{00000000-0005-0000-0000-0000DB070000}"/>
    <cellStyle name="Check Cell 2 4" xfId="2066" xr:uid="{00000000-0005-0000-0000-0000DC070000}"/>
    <cellStyle name="Check Cell 2 5" xfId="2067" xr:uid="{00000000-0005-0000-0000-0000DD070000}"/>
    <cellStyle name="Check Cell 2 6" xfId="2068" xr:uid="{00000000-0005-0000-0000-0000DE070000}"/>
    <cellStyle name="Check Cell 2 7" xfId="2069" xr:uid="{00000000-0005-0000-0000-0000DF070000}"/>
    <cellStyle name="Check Cell 2 8" xfId="2070" xr:uid="{00000000-0005-0000-0000-0000E0070000}"/>
    <cellStyle name="Check Cell 2 9" xfId="2071" xr:uid="{00000000-0005-0000-0000-0000E1070000}"/>
    <cellStyle name="Check Cell 20" xfId="2072" xr:uid="{00000000-0005-0000-0000-0000E2070000}"/>
    <cellStyle name="Check Cell 21" xfId="2073" xr:uid="{00000000-0005-0000-0000-0000E3070000}"/>
    <cellStyle name="Check Cell 22" xfId="2074" xr:uid="{00000000-0005-0000-0000-0000E4070000}"/>
    <cellStyle name="Check Cell 23" xfId="2075" xr:uid="{00000000-0005-0000-0000-0000E5070000}"/>
    <cellStyle name="Check Cell 24" xfId="2076" xr:uid="{00000000-0005-0000-0000-0000E6070000}"/>
    <cellStyle name="Check Cell 25" xfId="2077" xr:uid="{00000000-0005-0000-0000-0000E7070000}"/>
    <cellStyle name="Check Cell 26" xfId="2078" xr:uid="{00000000-0005-0000-0000-0000E8070000}"/>
    <cellStyle name="Check Cell 27" xfId="2079" xr:uid="{00000000-0005-0000-0000-0000E9070000}"/>
    <cellStyle name="Check Cell 28" xfId="2080" xr:uid="{00000000-0005-0000-0000-0000EA070000}"/>
    <cellStyle name="Check Cell 29" xfId="2081" xr:uid="{00000000-0005-0000-0000-0000EB070000}"/>
    <cellStyle name="Check Cell 3" xfId="2082" xr:uid="{00000000-0005-0000-0000-0000EC070000}"/>
    <cellStyle name="Check Cell 3 2" xfId="2083" xr:uid="{00000000-0005-0000-0000-0000ED070000}"/>
    <cellStyle name="Check Cell 3 3" xfId="2084" xr:uid="{00000000-0005-0000-0000-0000EE070000}"/>
    <cellStyle name="Check Cell 30" xfId="2085" xr:uid="{00000000-0005-0000-0000-0000EF070000}"/>
    <cellStyle name="Check Cell 31" xfId="2086" xr:uid="{00000000-0005-0000-0000-0000F0070000}"/>
    <cellStyle name="Check Cell 32" xfId="2087" xr:uid="{00000000-0005-0000-0000-0000F1070000}"/>
    <cellStyle name="Check Cell 33" xfId="2088" xr:uid="{00000000-0005-0000-0000-0000F2070000}"/>
    <cellStyle name="Check Cell 34" xfId="2089" xr:uid="{00000000-0005-0000-0000-0000F3070000}"/>
    <cellStyle name="Check Cell 4" xfId="2090" xr:uid="{00000000-0005-0000-0000-0000F4070000}"/>
    <cellStyle name="Check Cell 4 2" xfId="2091" xr:uid="{00000000-0005-0000-0000-0000F5070000}"/>
    <cellStyle name="Check Cell 4 3" xfId="2092" xr:uid="{00000000-0005-0000-0000-0000F6070000}"/>
    <cellStyle name="Check Cell 5" xfId="2093" xr:uid="{00000000-0005-0000-0000-0000F7070000}"/>
    <cellStyle name="Check Cell 5 2" xfId="2094" xr:uid="{00000000-0005-0000-0000-0000F8070000}"/>
    <cellStyle name="Check Cell 5 3" xfId="2095" xr:uid="{00000000-0005-0000-0000-0000F9070000}"/>
    <cellStyle name="Check Cell 6" xfId="2096" xr:uid="{00000000-0005-0000-0000-0000FA070000}"/>
    <cellStyle name="Check Cell 6 2" xfId="2097" xr:uid="{00000000-0005-0000-0000-0000FB070000}"/>
    <cellStyle name="Check Cell 6 3" xfId="2098" xr:uid="{00000000-0005-0000-0000-0000FC070000}"/>
    <cellStyle name="Check Cell 7" xfId="2099" xr:uid="{00000000-0005-0000-0000-0000FD070000}"/>
    <cellStyle name="Check Cell 7 2" xfId="2100" xr:uid="{00000000-0005-0000-0000-0000FE070000}"/>
    <cellStyle name="Check Cell 7 3" xfId="2101" xr:uid="{00000000-0005-0000-0000-0000FF070000}"/>
    <cellStyle name="Check Cell 8" xfId="2102" xr:uid="{00000000-0005-0000-0000-000000080000}"/>
    <cellStyle name="Check Cell 8 2" xfId="2103" xr:uid="{00000000-0005-0000-0000-000001080000}"/>
    <cellStyle name="Check Cell 8 3" xfId="2104" xr:uid="{00000000-0005-0000-0000-000002080000}"/>
    <cellStyle name="Check Cell 9" xfId="2105" xr:uid="{00000000-0005-0000-0000-000003080000}"/>
    <cellStyle name="Check Cell 9 2" xfId="2106" xr:uid="{00000000-0005-0000-0000-000004080000}"/>
    <cellStyle name="Check Cell 9 3" xfId="2107" xr:uid="{00000000-0005-0000-0000-000005080000}"/>
    <cellStyle name="Comma" xfId="7" builtinId="3"/>
    <cellStyle name="Comma 10" xfId="2108" xr:uid="{00000000-0005-0000-0000-000007080000}"/>
    <cellStyle name="Comma 10 10" xfId="2109" xr:uid="{00000000-0005-0000-0000-000008080000}"/>
    <cellStyle name="Comma 10 11" xfId="2110" xr:uid="{00000000-0005-0000-0000-000009080000}"/>
    <cellStyle name="Comma 10 12" xfId="2111" xr:uid="{00000000-0005-0000-0000-00000A080000}"/>
    <cellStyle name="Comma 10 13" xfId="2112" xr:uid="{00000000-0005-0000-0000-00000B080000}"/>
    <cellStyle name="Comma 10 14" xfId="2113" xr:uid="{00000000-0005-0000-0000-00000C080000}"/>
    <cellStyle name="Comma 10 15" xfId="2114" xr:uid="{00000000-0005-0000-0000-00000D080000}"/>
    <cellStyle name="Comma 10 16" xfId="2115" xr:uid="{00000000-0005-0000-0000-00000E080000}"/>
    <cellStyle name="Comma 10 17" xfId="2116" xr:uid="{00000000-0005-0000-0000-00000F080000}"/>
    <cellStyle name="Comma 10 2" xfId="2117" xr:uid="{00000000-0005-0000-0000-000010080000}"/>
    <cellStyle name="Comma 10 2 2" xfId="2118" xr:uid="{00000000-0005-0000-0000-000011080000}"/>
    <cellStyle name="Comma 10 3" xfId="2119" xr:uid="{00000000-0005-0000-0000-000012080000}"/>
    <cellStyle name="Comma 10 3 2" xfId="2120" xr:uid="{00000000-0005-0000-0000-000013080000}"/>
    <cellStyle name="Comma 10 4" xfId="2121" xr:uid="{00000000-0005-0000-0000-000014080000}"/>
    <cellStyle name="Comma 10 4 2" xfId="2122" xr:uid="{00000000-0005-0000-0000-000015080000}"/>
    <cellStyle name="Comma 10 5" xfId="2123" xr:uid="{00000000-0005-0000-0000-000016080000}"/>
    <cellStyle name="Comma 10 5 2" xfId="2124" xr:uid="{00000000-0005-0000-0000-000017080000}"/>
    <cellStyle name="Comma 10 6" xfId="2125" xr:uid="{00000000-0005-0000-0000-000018080000}"/>
    <cellStyle name="Comma 10 7" xfId="2126" xr:uid="{00000000-0005-0000-0000-000019080000}"/>
    <cellStyle name="Comma 10 8" xfId="2127" xr:uid="{00000000-0005-0000-0000-00001A080000}"/>
    <cellStyle name="Comma 10 9" xfId="2128" xr:uid="{00000000-0005-0000-0000-00001B080000}"/>
    <cellStyle name="Comma 11" xfId="2129" xr:uid="{00000000-0005-0000-0000-00001C080000}"/>
    <cellStyle name="Comma 11 2" xfId="2130" xr:uid="{00000000-0005-0000-0000-00001D080000}"/>
    <cellStyle name="Comma 11 2 10" xfId="2131" xr:uid="{00000000-0005-0000-0000-00001E080000}"/>
    <cellStyle name="Comma 11 2 2" xfId="2132" xr:uid="{00000000-0005-0000-0000-00001F080000}"/>
    <cellStyle name="Comma 11 2 3" xfId="2133" xr:uid="{00000000-0005-0000-0000-000020080000}"/>
    <cellStyle name="Comma 11 2 4" xfId="2134" xr:uid="{00000000-0005-0000-0000-000021080000}"/>
    <cellStyle name="Comma 11 2 5" xfId="2135" xr:uid="{00000000-0005-0000-0000-000022080000}"/>
    <cellStyle name="Comma 11 2 6" xfId="2136" xr:uid="{00000000-0005-0000-0000-000023080000}"/>
    <cellStyle name="Comma 11 2 7" xfId="2137" xr:uid="{00000000-0005-0000-0000-000024080000}"/>
    <cellStyle name="Comma 11 2 8" xfId="2138" xr:uid="{00000000-0005-0000-0000-000025080000}"/>
    <cellStyle name="Comma 11 2 9" xfId="2139" xr:uid="{00000000-0005-0000-0000-000026080000}"/>
    <cellStyle name="Comma 11 3" xfId="2140" xr:uid="{00000000-0005-0000-0000-000027080000}"/>
    <cellStyle name="Comma 11 3 10" xfId="2141" xr:uid="{00000000-0005-0000-0000-000028080000}"/>
    <cellStyle name="Comma 11 3 2" xfId="2142" xr:uid="{00000000-0005-0000-0000-000029080000}"/>
    <cellStyle name="Comma 11 3 3" xfId="2143" xr:uid="{00000000-0005-0000-0000-00002A080000}"/>
    <cellStyle name="Comma 11 3 4" xfId="2144" xr:uid="{00000000-0005-0000-0000-00002B080000}"/>
    <cellStyle name="Comma 11 3 5" xfId="2145" xr:uid="{00000000-0005-0000-0000-00002C080000}"/>
    <cellStyle name="Comma 11 3 6" xfId="2146" xr:uid="{00000000-0005-0000-0000-00002D080000}"/>
    <cellStyle name="Comma 11 3 7" xfId="2147" xr:uid="{00000000-0005-0000-0000-00002E080000}"/>
    <cellStyle name="Comma 11 3 8" xfId="2148" xr:uid="{00000000-0005-0000-0000-00002F080000}"/>
    <cellStyle name="Comma 11 3 9" xfId="2149" xr:uid="{00000000-0005-0000-0000-000030080000}"/>
    <cellStyle name="Comma 11 4" xfId="2150" xr:uid="{00000000-0005-0000-0000-000031080000}"/>
    <cellStyle name="Comma 11 4 10" xfId="2151" xr:uid="{00000000-0005-0000-0000-000032080000}"/>
    <cellStyle name="Comma 11 4 2" xfId="2152" xr:uid="{00000000-0005-0000-0000-000033080000}"/>
    <cellStyle name="Comma 11 4 3" xfId="2153" xr:uid="{00000000-0005-0000-0000-000034080000}"/>
    <cellStyle name="Comma 11 4 4" xfId="2154" xr:uid="{00000000-0005-0000-0000-000035080000}"/>
    <cellStyle name="Comma 11 4 5" xfId="2155" xr:uid="{00000000-0005-0000-0000-000036080000}"/>
    <cellStyle name="Comma 11 4 6" xfId="2156" xr:uid="{00000000-0005-0000-0000-000037080000}"/>
    <cellStyle name="Comma 11 4 7" xfId="2157" xr:uid="{00000000-0005-0000-0000-000038080000}"/>
    <cellStyle name="Comma 11 4 8" xfId="2158" xr:uid="{00000000-0005-0000-0000-000039080000}"/>
    <cellStyle name="Comma 11 4 9" xfId="2159" xr:uid="{00000000-0005-0000-0000-00003A080000}"/>
    <cellStyle name="Comma 11 5" xfId="2160" xr:uid="{00000000-0005-0000-0000-00003B080000}"/>
    <cellStyle name="Comma 11 5 10" xfId="2161" xr:uid="{00000000-0005-0000-0000-00003C080000}"/>
    <cellStyle name="Comma 11 5 2" xfId="2162" xr:uid="{00000000-0005-0000-0000-00003D080000}"/>
    <cellStyle name="Comma 11 5 3" xfId="2163" xr:uid="{00000000-0005-0000-0000-00003E080000}"/>
    <cellStyle name="Comma 11 5 4" xfId="2164" xr:uid="{00000000-0005-0000-0000-00003F080000}"/>
    <cellStyle name="Comma 11 5 5" xfId="2165" xr:uid="{00000000-0005-0000-0000-000040080000}"/>
    <cellStyle name="Comma 11 5 6" xfId="2166" xr:uid="{00000000-0005-0000-0000-000041080000}"/>
    <cellStyle name="Comma 11 5 7" xfId="2167" xr:uid="{00000000-0005-0000-0000-000042080000}"/>
    <cellStyle name="Comma 11 5 8" xfId="2168" xr:uid="{00000000-0005-0000-0000-000043080000}"/>
    <cellStyle name="Comma 11 5 9" xfId="2169" xr:uid="{00000000-0005-0000-0000-000044080000}"/>
    <cellStyle name="Comma 11 6" xfId="2170" xr:uid="{00000000-0005-0000-0000-000045080000}"/>
    <cellStyle name="Comma 11 6 10" xfId="2171" xr:uid="{00000000-0005-0000-0000-000046080000}"/>
    <cellStyle name="Comma 11 6 2" xfId="2172" xr:uid="{00000000-0005-0000-0000-000047080000}"/>
    <cellStyle name="Comma 11 6 3" xfId="2173" xr:uid="{00000000-0005-0000-0000-000048080000}"/>
    <cellStyle name="Comma 11 6 4" xfId="2174" xr:uid="{00000000-0005-0000-0000-000049080000}"/>
    <cellStyle name="Comma 11 6 5" xfId="2175" xr:uid="{00000000-0005-0000-0000-00004A080000}"/>
    <cellStyle name="Comma 11 6 6" xfId="2176" xr:uid="{00000000-0005-0000-0000-00004B080000}"/>
    <cellStyle name="Comma 11 6 7" xfId="2177" xr:uid="{00000000-0005-0000-0000-00004C080000}"/>
    <cellStyle name="Comma 11 6 8" xfId="2178" xr:uid="{00000000-0005-0000-0000-00004D080000}"/>
    <cellStyle name="Comma 11 6 9" xfId="2179" xr:uid="{00000000-0005-0000-0000-00004E080000}"/>
    <cellStyle name="Comma 11 7" xfId="2180" xr:uid="{00000000-0005-0000-0000-00004F080000}"/>
    <cellStyle name="Comma 11 7 10" xfId="2181" xr:uid="{00000000-0005-0000-0000-000050080000}"/>
    <cellStyle name="Comma 11 7 2" xfId="2182" xr:uid="{00000000-0005-0000-0000-000051080000}"/>
    <cellStyle name="Comma 11 7 3" xfId="2183" xr:uid="{00000000-0005-0000-0000-000052080000}"/>
    <cellStyle name="Comma 11 7 4" xfId="2184" xr:uid="{00000000-0005-0000-0000-000053080000}"/>
    <cellStyle name="Comma 11 7 5" xfId="2185" xr:uid="{00000000-0005-0000-0000-000054080000}"/>
    <cellStyle name="Comma 11 7 6" xfId="2186" xr:uid="{00000000-0005-0000-0000-000055080000}"/>
    <cellStyle name="Comma 11 7 7" xfId="2187" xr:uid="{00000000-0005-0000-0000-000056080000}"/>
    <cellStyle name="Comma 11 7 8" xfId="2188" xr:uid="{00000000-0005-0000-0000-000057080000}"/>
    <cellStyle name="Comma 11 7 9" xfId="2189" xr:uid="{00000000-0005-0000-0000-000058080000}"/>
    <cellStyle name="Comma 11 8" xfId="2190" xr:uid="{00000000-0005-0000-0000-000059080000}"/>
    <cellStyle name="Comma 12" xfId="2191" xr:uid="{00000000-0005-0000-0000-00005A080000}"/>
    <cellStyle name="Comma 12 2" xfId="2192" xr:uid="{00000000-0005-0000-0000-00005B080000}"/>
    <cellStyle name="Comma 13" xfId="2193" xr:uid="{00000000-0005-0000-0000-00005C080000}"/>
    <cellStyle name="Comma 13 2" xfId="2194" xr:uid="{00000000-0005-0000-0000-00005D080000}"/>
    <cellStyle name="Comma 14" xfId="2195" xr:uid="{00000000-0005-0000-0000-00005E080000}"/>
    <cellStyle name="Comma 14 2" xfId="2196" xr:uid="{00000000-0005-0000-0000-00005F080000}"/>
    <cellStyle name="Comma 15" xfId="2197" xr:uid="{00000000-0005-0000-0000-000060080000}"/>
    <cellStyle name="Comma 15 2" xfId="2198" xr:uid="{00000000-0005-0000-0000-000061080000}"/>
    <cellStyle name="Comma 16" xfId="2199" xr:uid="{00000000-0005-0000-0000-000062080000}"/>
    <cellStyle name="Comma 16 2" xfId="2200" xr:uid="{00000000-0005-0000-0000-000063080000}"/>
    <cellStyle name="Comma 17" xfId="2201" xr:uid="{00000000-0005-0000-0000-000064080000}"/>
    <cellStyle name="Comma 17 2" xfId="2202" xr:uid="{00000000-0005-0000-0000-000065080000}"/>
    <cellStyle name="Comma 18" xfId="2203" xr:uid="{00000000-0005-0000-0000-000066080000}"/>
    <cellStyle name="Comma 18 2" xfId="2204" xr:uid="{00000000-0005-0000-0000-000067080000}"/>
    <cellStyle name="Comma 19" xfId="2205" xr:uid="{00000000-0005-0000-0000-000068080000}"/>
    <cellStyle name="Comma 19 2" xfId="2206" xr:uid="{00000000-0005-0000-0000-000069080000}"/>
    <cellStyle name="Comma 2" xfId="12" xr:uid="{00000000-0005-0000-0000-00006A080000}"/>
    <cellStyle name="Comma 2 10" xfId="2208" xr:uid="{00000000-0005-0000-0000-00006B080000}"/>
    <cellStyle name="Comma 2 11" xfId="2209" xr:uid="{00000000-0005-0000-0000-00006C080000}"/>
    <cellStyle name="Comma 2 12" xfId="2210" xr:uid="{00000000-0005-0000-0000-00006D080000}"/>
    <cellStyle name="Comma 2 13" xfId="2211" xr:uid="{00000000-0005-0000-0000-00006E080000}"/>
    <cellStyle name="Comma 2 14" xfId="2212" xr:uid="{00000000-0005-0000-0000-00006F080000}"/>
    <cellStyle name="Comma 2 15" xfId="2213" xr:uid="{00000000-0005-0000-0000-000070080000}"/>
    <cellStyle name="Comma 2 16" xfId="2214" xr:uid="{00000000-0005-0000-0000-000071080000}"/>
    <cellStyle name="Comma 2 17" xfId="2215" xr:uid="{00000000-0005-0000-0000-000072080000}"/>
    <cellStyle name="Comma 2 18" xfId="2216" xr:uid="{00000000-0005-0000-0000-000073080000}"/>
    <cellStyle name="Comma 2 19" xfId="2217" xr:uid="{00000000-0005-0000-0000-000074080000}"/>
    <cellStyle name="Comma 2 2" xfId="2218" xr:uid="{00000000-0005-0000-0000-000075080000}"/>
    <cellStyle name="Comma 2 2 10" xfId="2219" xr:uid="{00000000-0005-0000-0000-000076080000}"/>
    <cellStyle name="Comma 2 2 11" xfId="2220" xr:uid="{00000000-0005-0000-0000-000077080000}"/>
    <cellStyle name="Comma 2 2 12" xfId="2221" xr:uid="{00000000-0005-0000-0000-000078080000}"/>
    <cellStyle name="Comma 2 2 13" xfId="2222" xr:uid="{00000000-0005-0000-0000-000079080000}"/>
    <cellStyle name="Comma 2 2 14" xfId="2223" xr:uid="{00000000-0005-0000-0000-00007A080000}"/>
    <cellStyle name="Comma 2 2 15" xfId="2224" xr:uid="{00000000-0005-0000-0000-00007B080000}"/>
    <cellStyle name="Comma 2 2 16" xfId="2225" xr:uid="{00000000-0005-0000-0000-00007C080000}"/>
    <cellStyle name="Comma 2 2 17" xfId="2226" xr:uid="{00000000-0005-0000-0000-00007D080000}"/>
    <cellStyle name="Comma 2 2 18" xfId="2227" xr:uid="{00000000-0005-0000-0000-00007E080000}"/>
    <cellStyle name="Comma 2 2 19" xfId="2228" xr:uid="{00000000-0005-0000-0000-00007F080000}"/>
    <cellStyle name="Comma 2 2 2" xfId="2229" xr:uid="{00000000-0005-0000-0000-000080080000}"/>
    <cellStyle name="Comma 2 2 2 2" xfId="2230" xr:uid="{00000000-0005-0000-0000-000081080000}"/>
    <cellStyle name="Comma 2 2 2 3" xfId="2231" xr:uid="{00000000-0005-0000-0000-000082080000}"/>
    <cellStyle name="Comma 2 2 2 4" xfId="2232" xr:uid="{00000000-0005-0000-0000-000083080000}"/>
    <cellStyle name="Comma 2 2 20" xfId="2233" xr:uid="{00000000-0005-0000-0000-000084080000}"/>
    <cellStyle name="Comma 2 2 21" xfId="2234" xr:uid="{00000000-0005-0000-0000-000085080000}"/>
    <cellStyle name="Comma 2 2 22" xfId="2235" xr:uid="{00000000-0005-0000-0000-000086080000}"/>
    <cellStyle name="Comma 2 2 23" xfId="2236" xr:uid="{00000000-0005-0000-0000-000087080000}"/>
    <cellStyle name="Comma 2 2 24" xfId="2237" xr:uid="{00000000-0005-0000-0000-000088080000}"/>
    <cellStyle name="Comma 2 2 25" xfId="2238" xr:uid="{00000000-0005-0000-0000-000089080000}"/>
    <cellStyle name="Comma 2 2 26" xfId="2239" xr:uid="{00000000-0005-0000-0000-00008A080000}"/>
    <cellStyle name="Comma 2 2 27" xfId="2240" xr:uid="{00000000-0005-0000-0000-00008B080000}"/>
    <cellStyle name="Comma 2 2 28" xfId="2241" xr:uid="{00000000-0005-0000-0000-00008C080000}"/>
    <cellStyle name="Comma 2 2 29" xfId="2242" xr:uid="{00000000-0005-0000-0000-00008D080000}"/>
    <cellStyle name="Comma 2 2 3" xfId="2243" xr:uid="{00000000-0005-0000-0000-00008E080000}"/>
    <cellStyle name="Comma 2 2 30" xfId="2244" xr:uid="{00000000-0005-0000-0000-00008F080000}"/>
    <cellStyle name="Comma 2 2 31" xfId="2245" xr:uid="{00000000-0005-0000-0000-000090080000}"/>
    <cellStyle name="Comma 2 2 4" xfId="2246" xr:uid="{00000000-0005-0000-0000-000091080000}"/>
    <cellStyle name="Comma 2 2 5" xfId="2247" xr:uid="{00000000-0005-0000-0000-000092080000}"/>
    <cellStyle name="Comma 2 2 6" xfId="2248" xr:uid="{00000000-0005-0000-0000-000093080000}"/>
    <cellStyle name="Comma 2 2 7" xfId="2249" xr:uid="{00000000-0005-0000-0000-000094080000}"/>
    <cellStyle name="Comma 2 2 8" xfId="2250" xr:uid="{00000000-0005-0000-0000-000095080000}"/>
    <cellStyle name="Comma 2 2 9" xfId="2251" xr:uid="{00000000-0005-0000-0000-000096080000}"/>
    <cellStyle name="Comma 2 20" xfId="2252" xr:uid="{00000000-0005-0000-0000-000097080000}"/>
    <cellStyle name="Comma 2 21" xfId="2253" xr:uid="{00000000-0005-0000-0000-000098080000}"/>
    <cellStyle name="Comma 2 22" xfId="2254" xr:uid="{00000000-0005-0000-0000-000099080000}"/>
    <cellStyle name="Comma 2 23" xfId="2255" xr:uid="{00000000-0005-0000-0000-00009A080000}"/>
    <cellStyle name="Comma 2 23 2" xfId="2256" xr:uid="{00000000-0005-0000-0000-00009B080000}"/>
    <cellStyle name="Comma 2 23 2 2" xfId="2257" xr:uid="{00000000-0005-0000-0000-00009C080000}"/>
    <cellStyle name="Comma 2 23 2 3" xfId="2258" xr:uid="{00000000-0005-0000-0000-00009D080000}"/>
    <cellStyle name="Comma 2 23 3" xfId="2259" xr:uid="{00000000-0005-0000-0000-00009E080000}"/>
    <cellStyle name="Comma 2 23 4" xfId="2260" xr:uid="{00000000-0005-0000-0000-00009F080000}"/>
    <cellStyle name="Comma 2 24" xfId="2261" xr:uid="{00000000-0005-0000-0000-0000A0080000}"/>
    <cellStyle name="Comma 2 25" xfId="2262" xr:uid="{00000000-0005-0000-0000-0000A1080000}"/>
    <cellStyle name="Comma 2 26" xfId="2263" xr:uid="{00000000-0005-0000-0000-0000A2080000}"/>
    <cellStyle name="Comma 2 27" xfId="2264" xr:uid="{00000000-0005-0000-0000-0000A3080000}"/>
    <cellStyle name="Comma 2 28" xfId="2265" xr:uid="{00000000-0005-0000-0000-0000A4080000}"/>
    <cellStyle name="Comma 2 29" xfId="2266" xr:uid="{00000000-0005-0000-0000-0000A5080000}"/>
    <cellStyle name="Comma 2 3" xfId="2267" xr:uid="{00000000-0005-0000-0000-0000A6080000}"/>
    <cellStyle name="Comma 2 3 10" xfId="2268" xr:uid="{00000000-0005-0000-0000-0000A7080000}"/>
    <cellStyle name="Comma 2 3 11" xfId="2269" xr:uid="{00000000-0005-0000-0000-0000A8080000}"/>
    <cellStyle name="Comma 2 3 12" xfId="2270" xr:uid="{00000000-0005-0000-0000-0000A9080000}"/>
    <cellStyle name="Comma 2 3 2" xfId="2271" xr:uid="{00000000-0005-0000-0000-0000AA080000}"/>
    <cellStyle name="Comma 2 3 2 2" xfId="2272" xr:uid="{00000000-0005-0000-0000-0000AB080000}"/>
    <cellStyle name="Comma 2 3 2 3" xfId="2273" xr:uid="{00000000-0005-0000-0000-0000AC080000}"/>
    <cellStyle name="Comma 2 3 2 4" xfId="2274" xr:uid="{00000000-0005-0000-0000-0000AD080000}"/>
    <cellStyle name="Comma 2 3 3" xfId="2275" xr:uid="{00000000-0005-0000-0000-0000AE080000}"/>
    <cellStyle name="Comma 2 3 4" xfId="2276" xr:uid="{00000000-0005-0000-0000-0000AF080000}"/>
    <cellStyle name="Comma 2 3 5" xfId="2277" xr:uid="{00000000-0005-0000-0000-0000B0080000}"/>
    <cellStyle name="Comma 2 3 6" xfId="2278" xr:uid="{00000000-0005-0000-0000-0000B1080000}"/>
    <cellStyle name="Comma 2 3 7" xfId="2279" xr:uid="{00000000-0005-0000-0000-0000B2080000}"/>
    <cellStyle name="Comma 2 3 8" xfId="2280" xr:uid="{00000000-0005-0000-0000-0000B3080000}"/>
    <cellStyle name="Comma 2 3 9" xfId="2281" xr:uid="{00000000-0005-0000-0000-0000B4080000}"/>
    <cellStyle name="Comma 2 30" xfId="2282" xr:uid="{00000000-0005-0000-0000-0000B5080000}"/>
    <cellStyle name="Comma 2 31" xfId="2283" xr:uid="{00000000-0005-0000-0000-0000B6080000}"/>
    <cellStyle name="Comma 2 32" xfId="2284" xr:uid="{00000000-0005-0000-0000-0000B7080000}"/>
    <cellStyle name="Comma 2 33" xfId="2285" xr:uid="{00000000-0005-0000-0000-0000B8080000}"/>
    <cellStyle name="Comma 2 34" xfId="2286" xr:uid="{00000000-0005-0000-0000-0000B9080000}"/>
    <cellStyle name="Comma 2 35" xfId="2287" xr:uid="{00000000-0005-0000-0000-0000BA080000}"/>
    <cellStyle name="Comma 2 36" xfId="2288" xr:uid="{00000000-0005-0000-0000-0000BB080000}"/>
    <cellStyle name="Comma 2 37" xfId="2289" xr:uid="{00000000-0005-0000-0000-0000BC080000}"/>
    <cellStyle name="Comma 2 38" xfId="2290" xr:uid="{00000000-0005-0000-0000-0000BD080000}"/>
    <cellStyle name="Comma 2 39" xfId="2291" xr:uid="{00000000-0005-0000-0000-0000BE080000}"/>
    <cellStyle name="Comma 2 4" xfId="2292" xr:uid="{00000000-0005-0000-0000-0000BF080000}"/>
    <cellStyle name="Comma 2 40" xfId="2293" xr:uid="{00000000-0005-0000-0000-0000C0080000}"/>
    <cellStyle name="Comma 2 41" xfId="2294" xr:uid="{00000000-0005-0000-0000-0000C1080000}"/>
    <cellStyle name="Comma 2 42" xfId="2295" xr:uid="{00000000-0005-0000-0000-0000C2080000}"/>
    <cellStyle name="Comma 2 43" xfId="2296" xr:uid="{00000000-0005-0000-0000-0000C3080000}"/>
    <cellStyle name="Comma 2 43 2" xfId="2297" xr:uid="{00000000-0005-0000-0000-0000C4080000}"/>
    <cellStyle name="Comma 2 43 3" xfId="2298" xr:uid="{00000000-0005-0000-0000-0000C5080000}"/>
    <cellStyle name="Comma 2 44" xfId="2299" xr:uid="{00000000-0005-0000-0000-0000C6080000}"/>
    <cellStyle name="Comma 2 44 2" xfId="2300" xr:uid="{00000000-0005-0000-0000-0000C7080000}"/>
    <cellStyle name="Comma 2 44 3" xfId="2301" xr:uid="{00000000-0005-0000-0000-0000C8080000}"/>
    <cellStyle name="Comma 2 45" xfId="2302" xr:uid="{00000000-0005-0000-0000-0000C9080000}"/>
    <cellStyle name="Comma 2 45 2" xfId="2303" xr:uid="{00000000-0005-0000-0000-0000CA080000}"/>
    <cellStyle name="Comma 2 45 3" xfId="2304" xr:uid="{00000000-0005-0000-0000-0000CB080000}"/>
    <cellStyle name="Comma 2 46" xfId="2305" xr:uid="{00000000-0005-0000-0000-0000CC080000}"/>
    <cellStyle name="Comma 2 46 2" xfId="2306" xr:uid="{00000000-0005-0000-0000-0000CD080000}"/>
    <cellStyle name="Comma 2 46 3" xfId="2307" xr:uid="{00000000-0005-0000-0000-0000CE080000}"/>
    <cellStyle name="Comma 2 47" xfId="2308" xr:uid="{00000000-0005-0000-0000-0000CF080000}"/>
    <cellStyle name="Comma 2 47 2" xfId="2309" xr:uid="{00000000-0005-0000-0000-0000D0080000}"/>
    <cellStyle name="Comma 2 47 3" xfId="2310" xr:uid="{00000000-0005-0000-0000-0000D1080000}"/>
    <cellStyle name="Comma 2 48" xfId="2311" xr:uid="{00000000-0005-0000-0000-0000D2080000}"/>
    <cellStyle name="Comma 2 48 2" xfId="2312" xr:uid="{00000000-0005-0000-0000-0000D3080000}"/>
    <cellStyle name="Comma 2 48 3" xfId="2313" xr:uid="{00000000-0005-0000-0000-0000D4080000}"/>
    <cellStyle name="Comma 2 49" xfId="2314" xr:uid="{00000000-0005-0000-0000-0000D5080000}"/>
    <cellStyle name="Comma 2 49 2" xfId="2315" xr:uid="{00000000-0005-0000-0000-0000D6080000}"/>
    <cellStyle name="Comma 2 49 3" xfId="2316" xr:uid="{00000000-0005-0000-0000-0000D7080000}"/>
    <cellStyle name="Comma 2 5" xfId="2317" xr:uid="{00000000-0005-0000-0000-0000D8080000}"/>
    <cellStyle name="Comma 2 50" xfId="2318" xr:uid="{00000000-0005-0000-0000-0000D9080000}"/>
    <cellStyle name="Comma 2 50 2" xfId="2319" xr:uid="{00000000-0005-0000-0000-0000DA080000}"/>
    <cellStyle name="Comma 2 50 3" xfId="2320" xr:uid="{00000000-0005-0000-0000-0000DB080000}"/>
    <cellStyle name="Comma 2 51" xfId="2321" xr:uid="{00000000-0005-0000-0000-0000DC080000}"/>
    <cellStyle name="Comma 2 51 2" xfId="2322" xr:uid="{00000000-0005-0000-0000-0000DD080000}"/>
    <cellStyle name="Comma 2 51 3" xfId="2323" xr:uid="{00000000-0005-0000-0000-0000DE080000}"/>
    <cellStyle name="Comma 2 52" xfId="2324" xr:uid="{00000000-0005-0000-0000-0000DF080000}"/>
    <cellStyle name="Comma 2 52 2" xfId="2325" xr:uid="{00000000-0005-0000-0000-0000E0080000}"/>
    <cellStyle name="Comma 2 52 3" xfId="2326" xr:uid="{00000000-0005-0000-0000-0000E1080000}"/>
    <cellStyle name="Comma 2 53" xfId="2327" xr:uid="{00000000-0005-0000-0000-0000E2080000}"/>
    <cellStyle name="Comma 2 53 2" xfId="2328" xr:uid="{00000000-0005-0000-0000-0000E3080000}"/>
    <cellStyle name="Comma 2 53 3" xfId="2329" xr:uid="{00000000-0005-0000-0000-0000E4080000}"/>
    <cellStyle name="Comma 2 54" xfId="2330" xr:uid="{00000000-0005-0000-0000-0000E5080000}"/>
    <cellStyle name="Comma 2 54 2" xfId="2331" xr:uid="{00000000-0005-0000-0000-0000E6080000}"/>
    <cellStyle name="Comma 2 54 3" xfId="2332" xr:uid="{00000000-0005-0000-0000-0000E7080000}"/>
    <cellStyle name="Comma 2 55" xfId="2333" xr:uid="{00000000-0005-0000-0000-0000E8080000}"/>
    <cellStyle name="Comma 2 55 2" xfId="2334" xr:uid="{00000000-0005-0000-0000-0000E9080000}"/>
    <cellStyle name="Comma 2 55 3" xfId="2335" xr:uid="{00000000-0005-0000-0000-0000EA080000}"/>
    <cellStyle name="Comma 2 56" xfId="2336" xr:uid="{00000000-0005-0000-0000-0000EB080000}"/>
    <cellStyle name="Comma 2 57" xfId="2337" xr:uid="{00000000-0005-0000-0000-0000EC080000}"/>
    <cellStyle name="Comma 2 58" xfId="2338" xr:uid="{00000000-0005-0000-0000-0000ED080000}"/>
    <cellStyle name="Comma 2 59" xfId="2339" xr:uid="{00000000-0005-0000-0000-0000EE080000}"/>
    <cellStyle name="Comma 2 6" xfId="2340" xr:uid="{00000000-0005-0000-0000-0000EF080000}"/>
    <cellStyle name="Comma 2 60" xfId="2341" xr:uid="{00000000-0005-0000-0000-0000F0080000}"/>
    <cellStyle name="Comma 2 61" xfId="2342" xr:uid="{00000000-0005-0000-0000-0000F1080000}"/>
    <cellStyle name="Comma 2 62" xfId="2343" xr:uid="{00000000-0005-0000-0000-0000F2080000}"/>
    <cellStyle name="Comma 2 63" xfId="2344" xr:uid="{00000000-0005-0000-0000-0000F3080000}"/>
    <cellStyle name="Comma 2 64" xfId="2345" xr:uid="{00000000-0005-0000-0000-0000F4080000}"/>
    <cellStyle name="Comma 2 65" xfId="2346" xr:uid="{00000000-0005-0000-0000-0000F5080000}"/>
    <cellStyle name="Comma 2 66" xfId="2347" xr:uid="{00000000-0005-0000-0000-0000F6080000}"/>
    <cellStyle name="Comma 2 67" xfId="2348" xr:uid="{00000000-0005-0000-0000-0000F7080000}"/>
    <cellStyle name="Comma 2 68" xfId="2349" xr:uid="{00000000-0005-0000-0000-0000F8080000}"/>
    <cellStyle name="Comma 2 69" xfId="2207" xr:uid="{00000000-0005-0000-0000-0000F9080000}"/>
    <cellStyle name="Comma 2 7" xfId="2350" xr:uid="{00000000-0005-0000-0000-0000FA080000}"/>
    <cellStyle name="Comma 2 8" xfId="2351" xr:uid="{00000000-0005-0000-0000-0000FB080000}"/>
    <cellStyle name="Comma 2 9" xfId="2352" xr:uid="{00000000-0005-0000-0000-0000FC080000}"/>
    <cellStyle name="Comma 20" xfId="2353" xr:uid="{00000000-0005-0000-0000-0000FD080000}"/>
    <cellStyle name="Comma 20 2" xfId="2354" xr:uid="{00000000-0005-0000-0000-0000FE080000}"/>
    <cellStyle name="Comma 21" xfId="2355" xr:uid="{00000000-0005-0000-0000-0000FF080000}"/>
    <cellStyle name="Comma 21 2" xfId="2356" xr:uid="{00000000-0005-0000-0000-000000090000}"/>
    <cellStyle name="Comma 22" xfId="2357" xr:uid="{00000000-0005-0000-0000-000001090000}"/>
    <cellStyle name="Comma 22 2" xfId="2358" xr:uid="{00000000-0005-0000-0000-000002090000}"/>
    <cellStyle name="Comma 23" xfId="2359" xr:uid="{00000000-0005-0000-0000-000003090000}"/>
    <cellStyle name="Comma 24" xfId="2360" xr:uid="{00000000-0005-0000-0000-000004090000}"/>
    <cellStyle name="Comma 25" xfId="2361" xr:uid="{00000000-0005-0000-0000-000005090000}"/>
    <cellStyle name="Comma 26" xfId="2362" xr:uid="{00000000-0005-0000-0000-000006090000}"/>
    <cellStyle name="Comma 27" xfId="2363" xr:uid="{00000000-0005-0000-0000-000007090000}"/>
    <cellStyle name="Comma 28" xfId="2364" xr:uid="{00000000-0005-0000-0000-000008090000}"/>
    <cellStyle name="Comma 28 10" xfId="2365" xr:uid="{00000000-0005-0000-0000-000009090000}"/>
    <cellStyle name="Comma 28 11" xfId="2366" xr:uid="{00000000-0005-0000-0000-00000A090000}"/>
    <cellStyle name="Comma 28 12" xfId="2367" xr:uid="{00000000-0005-0000-0000-00000B090000}"/>
    <cellStyle name="Comma 28 13" xfId="2368" xr:uid="{00000000-0005-0000-0000-00000C090000}"/>
    <cellStyle name="Comma 28 14" xfId="2369" xr:uid="{00000000-0005-0000-0000-00000D090000}"/>
    <cellStyle name="Comma 28 15" xfId="2370" xr:uid="{00000000-0005-0000-0000-00000E090000}"/>
    <cellStyle name="Comma 28 16" xfId="2371" xr:uid="{00000000-0005-0000-0000-00000F090000}"/>
    <cellStyle name="Comma 28 17" xfId="2372" xr:uid="{00000000-0005-0000-0000-000010090000}"/>
    <cellStyle name="Comma 28 2" xfId="2373" xr:uid="{00000000-0005-0000-0000-000011090000}"/>
    <cellStyle name="Comma 28 2 10" xfId="2374" xr:uid="{00000000-0005-0000-0000-000012090000}"/>
    <cellStyle name="Comma 28 2 11" xfId="2375" xr:uid="{00000000-0005-0000-0000-000013090000}"/>
    <cellStyle name="Comma 28 2 12" xfId="2376" xr:uid="{00000000-0005-0000-0000-000014090000}"/>
    <cellStyle name="Comma 28 2 13" xfId="2377" xr:uid="{00000000-0005-0000-0000-000015090000}"/>
    <cellStyle name="Comma 28 2 14" xfId="2378" xr:uid="{00000000-0005-0000-0000-000016090000}"/>
    <cellStyle name="Comma 28 2 2" xfId="2379" xr:uid="{00000000-0005-0000-0000-000017090000}"/>
    <cellStyle name="Comma 28 2 2 2" xfId="2380" xr:uid="{00000000-0005-0000-0000-000018090000}"/>
    <cellStyle name="Comma 28 2 2 2 2" xfId="2381" xr:uid="{00000000-0005-0000-0000-000019090000}"/>
    <cellStyle name="Comma 28 2 2 2 3" xfId="2382" xr:uid="{00000000-0005-0000-0000-00001A090000}"/>
    <cellStyle name="Comma 28 2 2 3" xfId="2383" xr:uid="{00000000-0005-0000-0000-00001B090000}"/>
    <cellStyle name="Comma 28 2 3" xfId="2384" xr:uid="{00000000-0005-0000-0000-00001C090000}"/>
    <cellStyle name="Comma 28 2 4" xfId="2385" xr:uid="{00000000-0005-0000-0000-00001D090000}"/>
    <cellStyle name="Comma 28 2 5" xfId="2386" xr:uid="{00000000-0005-0000-0000-00001E090000}"/>
    <cellStyle name="Comma 28 2 6" xfId="2387" xr:uid="{00000000-0005-0000-0000-00001F090000}"/>
    <cellStyle name="Comma 28 2 7" xfId="2388" xr:uid="{00000000-0005-0000-0000-000020090000}"/>
    <cellStyle name="Comma 28 2 8" xfId="2389" xr:uid="{00000000-0005-0000-0000-000021090000}"/>
    <cellStyle name="Comma 28 2 9" xfId="2390" xr:uid="{00000000-0005-0000-0000-000022090000}"/>
    <cellStyle name="Comma 28 3" xfId="2391" xr:uid="{00000000-0005-0000-0000-000023090000}"/>
    <cellStyle name="Comma 28 4" xfId="2392" xr:uid="{00000000-0005-0000-0000-000024090000}"/>
    <cellStyle name="Comma 28 5" xfId="2393" xr:uid="{00000000-0005-0000-0000-000025090000}"/>
    <cellStyle name="Comma 28 6" xfId="2394" xr:uid="{00000000-0005-0000-0000-000026090000}"/>
    <cellStyle name="Comma 28 6 2" xfId="2395" xr:uid="{00000000-0005-0000-0000-000027090000}"/>
    <cellStyle name="Comma 28 6 2 2" xfId="2396" xr:uid="{00000000-0005-0000-0000-000028090000}"/>
    <cellStyle name="Comma 28 6 2 3" xfId="2397" xr:uid="{00000000-0005-0000-0000-000029090000}"/>
    <cellStyle name="Comma 28 6 3" xfId="2398" xr:uid="{00000000-0005-0000-0000-00002A090000}"/>
    <cellStyle name="Comma 28 7" xfId="2399" xr:uid="{00000000-0005-0000-0000-00002B090000}"/>
    <cellStyle name="Comma 28 7 2" xfId="2400" xr:uid="{00000000-0005-0000-0000-00002C090000}"/>
    <cellStyle name="Comma 28 7 2 2" xfId="2401" xr:uid="{00000000-0005-0000-0000-00002D090000}"/>
    <cellStyle name="Comma 28 7 2 3" xfId="2402" xr:uid="{00000000-0005-0000-0000-00002E090000}"/>
    <cellStyle name="Comma 28 7 3" xfId="2403" xr:uid="{00000000-0005-0000-0000-00002F090000}"/>
    <cellStyle name="Comma 28 8" xfId="2404" xr:uid="{00000000-0005-0000-0000-000030090000}"/>
    <cellStyle name="Comma 28 9" xfId="2405" xr:uid="{00000000-0005-0000-0000-000031090000}"/>
    <cellStyle name="Comma 29" xfId="2406" xr:uid="{00000000-0005-0000-0000-000032090000}"/>
    <cellStyle name="Comma 29 10" xfId="2407" xr:uid="{00000000-0005-0000-0000-000033090000}"/>
    <cellStyle name="Comma 29 11" xfId="2408" xr:uid="{00000000-0005-0000-0000-000034090000}"/>
    <cellStyle name="Comma 29 12" xfId="2409" xr:uid="{00000000-0005-0000-0000-000035090000}"/>
    <cellStyle name="Comma 29 13" xfId="2410" xr:uid="{00000000-0005-0000-0000-000036090000}"/>
    <cellStyle name="Comma 29 14" xfId="2411" xr:uid="{00000000-0005-0000-0000-000037090000}"/>
    <cellStyle name="Comma 29 15" xfId="2412" xr:uid="{00000000-0005-0000-0000-000038090000}"/>
    <cellStyle name="Comma 29 16" xfId="2413" xr:uid="{00000000-0005-0000-0000-000039090000}"/>
    <cellStyle name="Comma 29 17" xfId="2414" xr:uid="{00000000-0005-0000-0000-00003A090000}"/>
    <cellStyle name="Comma 29 2" xfId="2415" xr:uid="{00000000-0005-0000-0000-00003B090000}"/>
    <cellStyle name="Comma 29 2 10" xfId="2416" xr:uid="{00000000-0005-0000-0000-00003C090000}"/>
    <cellStyle name="Comma 29 2 11" xfId="2417" xr:uid="{00000000-0005-0000-0000-00003D090000}"/>
    <cellStyle name="Comma 29 2 12" xfId="2418" xr:uid="{00000000-0005-0000-0000-00003E090000}"/>
    <cellStyle name="Comma 29 2 13" xfId="2419" xr:uid="{00000000-0005-0000-0000-00003F090000}"/>
    <cellStyle name="Comma 29 2 14" xfId="2420" xr:uid="{00000000-0005-0000-0000-000040090000}"/>
    <cellStyle name="Comma 29 2 2" xfId="2421" xr:uid="{00000000-0005-0000-0000-000041090000}"/>
    <cellStyle name="Comma 29 2 2 2" xfId="2422" xr:uid="{00000000-0005-0000-0000-000042090000}"/>
    <cellStyle name="Comma 29 2 2 2 2" xfId="2423" xr:uid="{00000000-0005-0000-0000-000043090000}"/>
    <cellStyle name="Comma 29 2 2 2 3" xfId="2424" xr:uid="{00000000-0005-0000-0000-000044090000}"/>
    <cellStyle name="Comma 29 2 2 3" xfId="2425" xr:uid="{00000000-0005-0000-0000-000045090000}"/>
    <cellStyle name="Comma 29 2 3" xfId="2426" xr:uid="{00000000-0005-0000-0000-000046090000}"/>
    <cellStyle name="Comma 29 2 4" xfId="2427" xr:uid="{00000000-0005-0000-0000-000047090000}"/>
    <cellStyle name="Comma 29 2 5" xfId="2428" xr:uid="{00000000-0005-0000-0000-000048090000}"/>
    <cellStyle name="Comma 29 2 6" xfId="2429" xr:uid="{00000000-0005-0000-0000-000049090000}"/>
    <cellStyle name="Comma 29 2 7" xfId="2430" xr:uid="{00000000-0005-0000-0000-00004A090000}"/>
    <cellStyle name="Comma 29 2 8" xfId="2431" xr:uid="{00000000-0005-0000-0000-00004B090000}"/>
    <cellStyle name="Comma 29 2 9" xfId="2432" xr:uid="{00000000-0005-0000-0000-00004C090000}"/>
    <cellStyle name="Comma 29 3" xfId="2433" xr:uid="{00000000-0005-0000-0000-00004D090000}"/>
    <cellStyle name="Comma 29 4" xfId="2434" xr:uid="{00000000-0005-0000-0000-00004E090000}"/>
    <cellStyle name="Comma 29 5" xfId="2435" xr:uid="{00000000-0005-0000-0000-00004F090000}"/>
    <cellStyle name="Comma 29 6" xfId="2436" xr:uid="{00000000-0005-0000-0000-000050090000}"/>
    <cellStyle name="Comma 29 6 2" xfId="2437" xr:uid="{00000000-0005-0000-0000-000051090000}"/>
    <cellStyle name="Comma 29 6 2 2" xfId="2438" xr:uid="{00000000-0005-0000-0000-000052090000}"/>
    <cellStyle name="Comma 29 6 2 3" xfId="2439" xr:uid="{00000000-0005-0000-0000-000053090000}"/>
    <cellStyle name="Comma 29 6 3" xfId="2440" xr:uid="{00000000-0005-0000-0000-000054090000}"/>
    <cellStyle name="Comma 29 7" xfId="2441" xr:uid="{00000000-0005-0000-0000-000055090000}"/>
    <cellStyle name="Comma 29 7 2" xfId="2442" xr:uid="{00000000-0005-0000-0000-000056090000}"/>
    <cellStyle name="Comma 29 7 2 2" xfId="2443" xr:uid="{00000000-0005-0000-0000-000057090000}"/>
    <cellStyle name="Comma 29 7 2 3" xfId="2444" xr:uid="{00000000-0005-0000-0000-000058090000}"/>
    <cellStyle name="Comma 29 7 3" xfId="2445" xr:uid="{00000000-0005-0000-0000-000059090000}"/>
    <cellStyle name="Comma 29 8" xfId="2446" xr:uid="{00000000-0005-0000-0000-00005A090000}"/>
    <cellStyle name="Comma 29 9" xfId="2447" xr:uid="{00000000-0005-0000-0000-00005B090000}"/>
    <cellStyle name="Comma 3" xfId="13" xr:uid="{00000000-0005-0000-0000-00005C090000}"/>
    <cellStyle name="Comma 3 10" xfId="2449" xr:uid="{00000000-0005-0000-0000-00005D090000}"/>
    <cellStyle name="Comma 3 11" xfId="2450" xr:uid="{00000000-0005-0000-0000-00005E090000}"/>
    <cellStyle name="Comma 3 12" xfId="2451" xr:uid="{00000000-0005-0000-0000-00005F090000}"/>
    <cellStyle name="Comma 3 13" xfId="2452" xr:uid="{00000000-0005-0000-0000-000060090000}"/>
    <cellStyle name="Comma 3 14" xfId="2453" xr:uid="{00000000-0005-0000-0000-000061090000}"/>
    <cellStyle name="Comma 3 15" xfId="2454" xr:uid="{00000000-0005-0000-0000-000062090000}"/>
    <cellStyle name="Comma 3 16" xfId="2455" xr:uid="{00000000-0005-0000-0000-000063090000}"/>
    <cellStyle name="Comma 3 17" xfId="2456" xr:uid="{00000000-0005-0000-0000-000064090000}"/>
    <cellStyle name="Comma 3 18" xfId="2457" xr:uid="{00000000-0005-0000-0000-000065090000}"/>
    <cellStyle name="Comma 3 19" xfId="2458" xr:uid="{00000000-0005-0000-0000-000066090000}"/>
    <cellStyle name="Comma 3 2" xfId="2459" xr:uid="{00000000-0005-0000-0000-000067090000}"/>
    <cellStyle name="Comma 3 20" xfId="2460" xr:uid="{00000000-0005-0000-0000-000068090000}"/>
    <cellStyle name="Comma 3 21" xfId="2461" xr:uid="{00000000-0005-0000-0000-000069090000}"/>
    <cellStyle name="Comma 3 22" xfId="2462" xr:uid="{00000000-0005-0000-0000-00006A090000}"/>
    <cellStyle name="Comma 3 23" xfId="2463" xr:uid="{00000000-0005-0000-0000-00006B090000}"/>
    <cellStyle name="Comma 3 24" xfId="2464" xr:uid="{00000000-0005-0000-0000-00006C090000}"/>
    <cellStyle name="Comma 3 25" xfId="2465" xr:uid="{00000000-0005-0000-0000-00006D090000}"/>
    <cellStyle name="Comma 3 26" xfId="2466" xr:uid="{00000000-0005-0000-0000-00006E090000}"/>
    <cellStyle name="Comma 3 27" xfId="2467" xr:uid="{00000000-0005-0000-0000-00006F090000}"/>
    <cellStyle name="Comma 3 28" xfId="2468" xr:uid="{00000000-0005-0000-0000-000070090000}"/>
    <cellStyle name="Comma 3 29" xfId="2469" xr:uid="{00000000-0005-0000-0000-000071090000}"/>
    <cellStyle name="Comma 3 3" xfId="2470" xr:uid="{00000000-0005-0000-0000-000072090000}"/>
    <cellStyle name="Comma 3 3 10" xfId="2471" xr:uid="{00000000-0005-0000-0000-000073090000}"/>
    <cellStyle name="Comma 3 3 10 2" xfId="2472" xr:uid="{00000000-0005-0000-0000-000074090000}"/>
    <cellStyle name="Comma 3 3 10 3" xfId="2473" xr:uid="{00000000-0005-0000-0000-000075090000}"/>
    <cellStyle name="Comma 3 3 11" xfId="2474" xr:uid="{00000000-0005-0000-0000-000076090000}"/>
    <cellStyle name="Comma 3 3 11 2" xfId="2475" xr:uid="{00000000-0005-0000-0000-000077090000}"/>
    <cellStyle name="Comma 3 3 11 3" xfId="2476" xr:uid="{00000000-0005-0000-0000-000078090000}"/>
    <cellStyle name="Comma 3 3 12" xfId="2477" xr:uid="{00000000-0005-0000-0000-000079090000}"/>
    <cellStyle name="Comma 3 3 12 2" xfId="2478" xr:uid="{00000000-0005-0000-0000-00007A090000}"/>
    <cellStyle name="Comma 3 3 12 3" xfId="2479" xr:uid="{00000000-0005-0000-0000-00007B090000}"/>
    <cellStyle name="Comma 3 3 13" xfId="2480" xr:uid="{00000000-0005-0000-0000-00007C090000}"/>
    <cellStyle name="Comma 3 3 14" xfId="2481" xr:uid="{00000000-0005-0000-0000-00007D090000}"/>
    <cellStyle name="Comma 3 3 2" xfId="2482" xr:uid="{00000000-0005-0000-0000-00007E090000}"/>
    <cellStyle name="Comma 3 3 2 2" xfId="2483" xr:uid="{00000000-0005-0000-0000-00007F090000}"/>
    <cellStyle name="Comma 3 3 2 2 2" xfId="2484" xr:uid="{00000000-0005-0000-0000-000080090000}"/>
    <cellStyle name="Comma 3 3 2 2 3" xfId="2485" xr:uid="{00000000-0005-0000-0000-000081090000}"/>
    <cellStyle name="Comma 3 3 2 3" xfId="2486" xr:uid="{00000000-0005-0000-0000-000082090000}"/>
    <cellStyle name="Comma 3 3 3" xfId="2487" xr:uid="{00000000-0005-0000-0000-000083090000}"/>
    <cellStyle name="Comma 3 3 3 2" xfId="2488" xr:uid="{00000000-0005-0000-0000-000084090000}"/>
    <cellStyle name="Comma 3 3 3 2 2" xfId="2489" xr:uid="{00000000-0005-0000-0000-000085090000}"/>
    <cellStyle name="Comma 3 3 3 2 3" xfId="2490" xr:uid="{00000000-0005-0000-0000-000086090000}"/>
    <cellStyle name="Comma 3 3 3 3" xfId="2491" xr:uid="{00000000-0005-0000-0000-000087090000}"/>
    <cellStyle name="Comma 3 3 4" xfId="2492" xr:uid="{00000000-0005-0000-0000-000088090000}"/>
    <cellStyle name="Comma 3 3 4 2" xfId="2493" xr:uid="{00000000-0005-0000-0000-000089090000}"/>
    <cellStyle name="Comma 3 3 4 3" xfId="2494" xr:uid="{00000000-0005-0000-0000-00008A090000}"/>
    <cellStyle name="Comma 3 3 5" xfId="2495" xr:uid="{00000000-0005-0000-0000-00008B090000}"/>
    <cellStyle name="Comma 3 3 5 2" xfId="2496" xr:uid="{00000000-0005-0000-0000-00008C090000}"/>
    <cellStyle name="Comma 3 3 5 3" xfId="2497" xr:uid="{00000000-0005-0000-0000-00008D090000}"/>
    <cellStyle name="Comma 3 3 6" xfId="2498" xr:uid="{00000000-0005-0000-0000-00008E090000}"/>
    <cellStyle name="Comma 3 3 6 2" xfId="2499" xr:uid="{00000000-0005-0000-0000-00008F090000}"/>
    <cellStyle name="Comma 3 3 6 3" xfId="2500" xr:uid="{00000000-0005-0000-0000-000090090000}"/>
    <cellStyle name="Comma 3 3 7" xfId="2501" xr:uid="{00000000-0005-0000-0000-000091090000}"/>
    <cellStyle name="Comma 3 3 7 2" xfId="2502" xr:uid="{00000000-0005-0000-0000-000092090000}"/>
    <cellStyle name="Comma 3 3 7 3" xfId="2503" xr:uid="{00000000-0005-0000-0000-000093090000}"/>
    <cellStyle name="Comma 3 3 8" xfId="2504" xr:uid="{00000000-0005-0000-0000-000094090000}"/>
    <cellStyle name="Comma 3 3 8 2" xfId="2505" xr:uid="{00000000-0005-0000-0000-000095090000}"/>
    <cellStyle name="Comma 3 3 8 3" xfId="2506" xr:uid="{00000000-0005-0000-0000-000096090000}"/>
    <cellStyle name="Comma 3 3 9" xfId="2507" xr:uid="{00000000-0005-0000-0000-000097090000}"/>
    <cellStyle name="Comma 3 3 9 2" xfId="2508" xr:uid="{00000000-0005-0000-0000-000098090000}"/>
    <cellStyle name="Comma 3 3 9 3" xfId="2509" xr:uid="{00000000-0005-0000-0000-000099090000}"/>
    <cellStyle name="Comma 3 30" xfId="2510" xr:uid="{00000000-0005-0000-0000-00009A090000}"/>
    <cellStyle name="Comma 3 30 2" xfId="2511" xr:uid="{00000000-0005-0000-0000-00009B090000}"/>
    <cellStyle name="Comma 3 30 3" xfId="2512" xr:uid="{00000000-0005-0000-0000-00009C090000}"/>
    <cellStyle name="Comma 3 31" xfId="2513" xr:uid="{00000000-0005-0000-0000-00009D090000}"/>
    <cellStyle name="Comma 3 31 2" xfId="2514" xr:uid="{00000000-0005-0000-0000-00009E090000}"/>
    <cellStyle name="Comma 3 31 3" xfId="2515" xr:uid="{00000000-0005-0000-0000-00009F090000}"/>
    <cellStyle name="Comma 3 32" xfId="2516" xr:uid="{00000000-0005-0000-0000-0000A0090000}"/>
    <cellStyle name="Comma 3 32 2" xfId="2517" xr:uid="{00000000-0005-0000-0000-0000A1090000}"/>
    <cellStyle name="Comma 3 32 3" xfId="2518" xr:uid="{00000000-0005-0000-0000-0000A2090000}"/>
    <cellStyle name="Comma 3 33" xfId="2519" xr:uid="{00000000-0005-0000-0000-0000A3090000}"/>
    <cellStyle name="Comma 3 33 2" xfId="2520" xr:uid="{00000000-0005-0000-0000-0000A4090000}"/>
    <cellStyle name="Comma 3 33 3" xfId="2521" xr:uid="{00000000-0005-0000-0000-0000A5090000}"/>
    <cellStyle name="Comma 3 34" xfId="2522" xr:uid="{00000000-0005-0000-0000-0000A6090000}"/>
    <cellStyle name="Comma 3 34 2" xfId="2523" xr:uid="{00000000-0005-0000-0000-0000A7090000}"/>
    <cellStyle name="Comma 3 34 3" xfId="2524" xr:uid="{00000000-0005-0000-0000-0000A8090000}"/>
    <cellStyle name="Comma 3 35" xfId="2525" xr:uid="{00000000-0005-0000-0000-0000A9090000}"/>
    <cellStyle name="Comma 3 35 2" xfId="2526" xr:uid="{00000000-0005-0000-0000-0000AA090000}"/>
    <cellStyle name="Comma 3 35 3" xfId="2527" xr:uid="{00000000-0005-0000-0000-0000AB090000}"/>
    <cellStyle name="Comma 3 36" xfId="2528" xr:uid="{00000000-0005-0000-0000-0000AC090000}"/>
    <cellStyle name="Comma 3 36 2" xfId="2529" xr:uid="{00000000-0005-0000-0000-0000AD090000}"/>
    <cellStyle name="Comma 3 36 3" xfId="2530" xr:uid="{00000000-0005-0000-0000-0000AE090000}"/>
    <cellStyle name="Comma 3 37" xfId="2531" xr:uid="{00000000-0005-0000-0000-0000AF090000}"/>
    <cellStyle name="Comma 3 37 2" xfId="2532" xr:uid="{00000000-0005-0000-0000-0000B0090000}"/>
    <cellStyle name="Comma 3 37 3" xfId="2533" xr:uid="{00000000-0005-0000-0000-0000B1090000}"/>
    <cellStyle name="Comma 3 38" xfId="2534" xr:uid="{00000000-0005-0000-0000-0000B2090000}"/>
    <cellStyle name="Comma 3 38 2" xfId="2535" xr:uid="{00000000-0005-0000-0000-0000B3090000}"/>
    <cellStyle name="Comma 3 38 3" xfId="2536" xr:uid="{00000000-0005-0000-0000-0000B4090000}"/>
    <cellStyle name="Comma 3 39" xfId="2537" xr:uid="{00000000-0005-0000-0000-0000B5090000}"/>
    <cellStyle name="Comma 3 39 2" xfId="2538" xr:uid="{00000000-0005-0000-0000-0000B6090000}"/>
    <cellStyle name="Comma 3 39 3" xfId="2539" xr:uid="{00000000-0005-0000-0000-0000B7090000}"/>
    <cellStyle name="Comma 3 4" xfId="2540" xr:uid="{00000000-0005-0000-0000-0000B8090000}"/>
    <cellStyle name="Comma 3 4 2" xfId="2541" xr:uid="{00000000-0005-0000-0000-0000B9090000}"/>
    <cellStyle name="Comma 3 4 2 2" xfId="2542" xr:uid="{00000000-0005-0000-0000-0000BA090000}"/>
    <cellStyle name="Comma 3 4 2 3" xfId="2543" xr:uid="{00000000-0005-0000-0000-0000BB090000}"/>
    <cellStyle name="Comma 3 4 3" xfId="2544" xr:uid="{00000000-0005-0000-0000-0000BC090000}"/>
    <cellStyle name="Comma 3 4 4" xfId="2545" xr:uid="{00000000-0005-0000-0000-0000BD090000}"/>
    <cellStyle name="Comma 3 40" xfId="2546" xr:uid="{00000000-0005-0000-0000-0000BE090000}"/>
    <cellStyle name="Comma 3 40 2" xfId="2547" xr:uid="{00000000-0005-0000-0000-0000BF090000}"/>
    <cellStyle name="Comma 3 40 3" xfId="2548" xr:uid="{00000000-0005-0000-0000-0000C0090000}"/>
    <cellStyle name="Comma 3 41" xfId="2549" xr:uid="{00000000-0005-0000-0000-0000C1090000}"/>
    <cellStyle name="Comma 3 41 2" xfId="2550" xr:uid="{00000000-0005-0000-0000-0000C2090000}"/>
    <cellStyle name="Comma 3 41 3" xfId="2551" xr:uid="{00000000-0005-0000-0000-0000C3090000}"/>
    <cellStyle name="Comma 3 42" xfId="2552" xr:uid="{00000000-0005-0000-0000-0000C4090000}"/>
    <cellStyle name="Comma 3 42 2" xfId="2553" xr:uid="{00000000-0005-0000-0000-0000C5090000}"/>
    <cellStyle name="Comma 3 42 3" xfId="2554" xr:uid="{00000000-0005-0000-0000-0000C6090000}"/>
    <cellStyle name="Comma 3 43" xfId="2555" xr:uid="{00000000-0005-0000-0000-0000C7090000}"/>
    <cellStyle name="Comma 3 43 2" xfId="2556" xr:uid="{00000000-0005-0000-0000-0000C8090000}"/>
    <cellStyle name="Comma 3 43 3" xfId="2557" xr:uid="{00000000-0005-0000-0000-0000C9090000}"/>
    <cellStyle name="Comma 3 44" xfId="2558" xr:uid="{00000000-0005-0000-0000-0000CA090000}"/>
    <cellStyle name="Comma 3 44 2" xfId="2559" xr:uid="{00000000-0005-0000-0000-0000CB090000}"/>
    <cellStyle name="Comma 3 44 3" xfId="2560" xr:uid="{00000000-0005-0000-0000-0000CC090000}"/>
    <cellStyle name="Comma 3 45" xfId="2561" xr:uid="{00000000-0005-0000-0000-0000CD090000}"/>
    <cellStyle name="Comma 3 45 2" xfId="2562" xr:uid="{00000000-0005-0000-0000-0000CE090000}"/>
    <cellStyle name="Comma 3 45 3" xfId="2563" xr:uid="{00000000-0005-0000-0000-0000CF090000}"/>
    <cellStyle name="Comma 3 46" xfId="2564" xr:uid="{00000000-0005-0000-0000-0000D0090000}"/>
    <cellStyle name="Comma 3 46 2" xfId="2565" xr:uid="{00000000-0005-0000-0000-0000D1090000}"/>
    <cellStyle name="Comma 3 46 3" xfId="2566" xr:uid="{00000000-0005-0000-0000-0000D2090000}"/>
    <cellStyle name="Comma 3 47" xfId="2567" xr:uid="{00000000-0005-0000-0000-0000D3090000}"/>
    <cellStyle name="Comma 3 47 2" xfId="2568" xr:uid="{00000000-0005-0000-0000-0000D4090000}"/>
    <cellStyle name="Comma 3 47 3" xfId="2569" xr:uid="{00000000-0005-0000-0000-0000D5090000}"/>
    <cellStyle name="Comma 3 48" xfId="2570" xr:uid="{00000000-0005-0000-0000-0000D6090000}"/>
    <cellStyle name="Comma 3 48 2" xfId="2571" xr:uid="{00000000-0005-0000-0000-0000D7090000}"/>
    <cellStyle name="Comma 3 48 3" xfId="2572" xr:uid="{00000000-0005-0000-0000-0000D8090000}"/>
    <cellStyle name="Comma 3 49" xfId="2573" xr:uid="{00000000-0005-0000-0000-0000D9090000}"/>
    <cellStyle name="Comma 3 49 2" xfId="2574" xr:uid="{00000000-0005-0000-0000-0000DA090000}"/>
    <cellStyle name="Comma 3 49 3" xfId="2575" xr:uid="{00000000-0005-0000-0000-0000DB090000}"/>
    <cellStyle name="Comma 3 5" xfId="2576" xr:uid="{00000000-0005-0000-0000-0000DC090000}"/>
    <cellStyle name="Comma 3 50" xfId="2577" xr:uid="{00000000-0005-0000-0000-0000DD090000}"/>
    <cellStyle name="Comma 3 51" xfId="2578" xr:uid="{00000000-0005-0000-0000-0000DE090000}"/>
    <cellStyle name="Comma 3 52" xfId="2579" xr:uid="{00000000-0005-0000-0000-0000DF090000}"/>
    <cellStyle name="Comma 3 53" xfId="2580" xr:uid="{00000000-0005-0000-0000-0000E0090000}"/>
    <cellStyle name="Comma 3 54" xfId="2581" xr:uid="{00000000-0005-0000-0000-0000E1090000}"/>
    <cellStyle name="Comma 3 55" xfId="2582" xr:uid="{00000000-0005-0000-0000-0000E2090000}"/>
    <cellStyle name="Comma 3 56" xfId="2583" xr:uid="{00000000-0005-0000-0000-0000E3090000}"/>
    <cellStyle name="Comma 3 56 2" xfId="2584" xr:uid="{00000000-0005-0000-0000-0000E4090000}"/>
    <cellStyle name="Comma 3 56 3" xfId="2585" xr:uid="{00000000-0005-0000-0000-0000E5090000}"/>
    <cellStyle name="Comma 3 57" xfId="2586" xr:uid="{00000000-0005-0000-0000-0000E6090000}"/>
    <cellStyle name="Comma 3 57 2" xfId="2587" xr:uid="{00000000-0005-0000-0000-0000E7090000}"/>
    <cellStyle name="Comma 3 57 3" xfId="2588" xr:uid="{00000000-0005-0000-0000-0000E8090000}"/>
    <cellStyle name="Comma 3 58" xfId="2589" xr:uid="{00000000-0005-0000-0000-0000E9090000}"/>
    <cellStyle name="Comma 3 59" xfId="2590" xr:uid="{00000000-0005-0000-0000-0000EA090000}"/>
    <cellStyle name="Comma 3 6" xfId="2591" xr:uid="{00000000-0005-0000-0000-0000EB090000}"/>
    <cellStyle name="Comma 3 60" xfId="2592" xr:uid="{00000000-0005-0000-0000-0000EC090000}"/>
    <cellStyle name="Comma 3 61" xfId="2593" xr:uid="{00000000-0005-0000-0000-0000ED090000}"/>
    <cellStyle name="Comma 3 62" xfId="2594" xr:uid="{00000000-0005-0000-0000-0000EE090000}"/>
    <cellStyle name="Comma 3 63" xfId="2595" xr:uid="{00000000-0005-0000-0000-0000EF090000}"/>
    <cellStyle name="Comma 3 63 2" xfId="2596" xr:uid="{00000000-0005-0000-0000-0000F0090000}"/>
    <cellStyle name="Comma 3 63 3" xfId="2597" xr:uid="{00000000-0005-0000-0000-0000F1090000}"/>
    <cellStyle name="Comma 3 64" xfId="2598" xr:uid="{00000000-0005-0000-0000-0000F2090000}"/>
    <cellStyle name="Comma 3 65" xfId="2599" xr:uid="{00000000-0005-0000-0000-0000F3090000}"/>
    <cellStyle name="Comma 3 66" xfId="2600" xr:uid="{00000000-0005-0000-0000-0000F4090000}"/>
    <cellStyle name="Comma 3 67" xfId="2601" xr:uid="{00000000-0005-0000-0000-0000F5090000}"/>
    <cellStyle name="Comma 3 68" xfId="2448" xr:uid="{00000000-0005-0000-0000-0000F6090000}"/>
    <cellStyle name="Comma 3 7" xfId="2602" xr:uid="{00000000-0005-0000-0000-0000F7090000}"/>
    <cellStyle name="Comma 3 8" xfId="2603" xr:uid="{00000000-0005-0000-0000-0000F8090000}"/>
    <cellStyle name="Comma 3 9" xfId="2604" xr:uid="{00000000-0005-0000-0000-0000F9090000}"/>
    <cellStyle name="Comma 30" xfId="2605" xr:uid="{00000000-0005-0000-0000-0000FA090000}"/>
    <cellStyle name="Comma 31" xfId="2606" xr:uid="{00000000-0005-0000-0000-0000FB090000}"/>
    <cellStyle name="Comma 31 2" xfId="2607" xr:uid="{00000000-0005-0000-0000-0000FC090000}"/>
    <cellStyle name="Comma 31 3" xfId="2608" xr:uid="{00000000-0005-0000-0000-0000FD090000}"/>
    <cellStyle name="Comma 31 4" xfId="2609" xr:uid="{00000000-0005-0000-0000-0000FE090000}"/>
    <cellStyle name="Comma 31 5" xfId="2610" xr:uid="{00000000-0005-0000-0000-0000FF090000}"/>
    <cellStyle name="Comma 31 6" xfId="2611" xr:uid="{00000000-0005-0000-0000-0000000A0000}"/>
    <cellStyle name="Comma 31 7" xfId="2612" xr:uid="{00000000-0005-0000-0000-0000010A0000}"/>
    <cellStyle name="Comma 32" xfId="2613" xr:uid="{00000000-0005-0000-0000-0000020A0000}"/>
    <cellStyle name="Comma 33" xfId="2614" xr:uid="{00000000-0005-0000-0000-0000030A0000}"/>
    <cellStyle name="Comma 34" xfId="2615" xr:uid="{00000000-0005-0000-0000-0000040A0000}"/>
    <cellStyle name="Comma 35" xfId="2616" xr:uid="{00000000-0005-0000-0000-0000050A0000}"/>
    <cellStyle name="Comma 36" xfId="2617" xr:uid="{00000000-0005-0000-0000-0000060A0000}"/>
    <cellStyle name="Comma 37" xfId="2618" xr:uid="{00000000-0005-0000-0000-0000070A0000}"/>
    <cellStyle name="Comma 38" xfId="2619" xr:uid="{00000000-0005-0000-0000-0000080A0000}"/>
    <cellStyle name="Comma 39" xfId="2620" xr:uid="{00000000-0005-0000-0000-0000090A0000}"/>
    <cellStyle name="Comma 39 2" xfId="2621" xr:uid="{00000000-0005-0000-0000-00000A0A0000}"/>
    <cellStyle name="Comma 4" xfId="14" xr:uid="{00000000-0005-0000-0000-00000B0A0000}"/>
    <cellStyle name="Comma 4 2" xfId="15" xr:uid="{00000000-0005-0000-0000-00000C0A0000}"/>
    <cellStyle name="Comma 4 2 2" xfId="2623" xr:uid="{00000000-0005-0000-0000-00000D0A0000}"/>
    <cellStyle name="Comma 4 3" xfId="2624" xr:uid="{00000000-0005-0000-0000-00000E0A0000}"/>
    <cellStyle name="Comma 4 4" xfId="2625" xr:uid="{00000000-0005-0000-0000-00000F0A0000}"/>
    <cellStyle name="Comma 4 5" xfId="2626" xr:uid="{00000000-0005-0000-0000-0000100A0000}"/>
    <cellStyle name="Comma 4 6" xfId="2622" xr:uid="{00000000-0005-0000-0000-0000110A0000}"/>
    <cellStyle name="Comma 40" xfId="2627" xr:uid="{00000000-0005-0000-0000-0000120A0000}"/>
    <cellStyle name="Comma 40 2" xfId="2628" xr:uid="{00000000-0005-0000-0000-0000130A0000}"/>
    <cellStyle name="Comma 41" xfId="2629" xr:uid="{00000000-0005-0000-0000-0000140A0000}"/>
    <cellStyle name="Comma 41 2" xfId="2630" xr:uid="{00000000-0005-0000-0000-0000150A0000}"/>
    <cellStyle name="Comma 42" xfId="2631" xr:uid="{00000000-0005-0000-0000-0000160A0000}"/>
    <cellStyle name="Comma 42 2" xfId="2632" xr:uid="{00000000-0005-0000-0000-0000170A0000}"/>
    <cellStyle name="Comma 43" xfId="2633" xr:uid="{00000000-0005-0000-0000-0000180A0000}"/>
    <cellStyle name="Comma 43 10" xfId="2634" xr:uid="{00000000-0005-0000-0000-0000190A0000}"/>
    <cellStyle name="Comma 43 2" xfId="2635" xr:uid="{00000000-0005-0000-0000-00001A0A0000}"/>
    <cellStyle name="Comma 43 3" xfId="2636" xr:uid="{00000000-0005-0000-0000-00001B0A0000}"/>
    <cellStyle name="Comma 43 4" xfId="2637" xr:uid="{00000000-0005-0000-0000-00001C0A0000}"/>
    <cellStyle name="Comma 43 5" xfId="2638" xr:uid="{00000000-0005-0000-0000-00001D0A0000}"/>
    <cellStyle name="Comma 43 6" xfId="2639" xr:uid="{00000000-0005-0000-0000-00001E0A0000}"/>
    <cellStyle name="Comma 43 7" xfId="2640" xr:uid="{00000000-0005-0000-0000-00001F0A0000}"/>
    <cellStyle name="Comma 43 8" xfId="2641" xr:uid="{00000000-0005-0000-0000-0000200A0000}"/>
    <cellStyle name="Comma 43 9" xfId="2642" xr:uid="{00000000-0005-0000-0000-0000210A0000}"/>
    <cellStyle name="Comma 44" xfId="2643" xr:uid="{00000000-0005-0000-0000-0000220A0000}"/>
    <cellStyle name="Comma 44 10" xfId="2644" xr:uid="{00000000-0005-0000-0000-0000230A0000}"/>
    <cellStyle name="Comma 44 2" xfId="2645" xr:uid="{00000000-0005-0000-0000-0000240A0000}"/>
    <cellStyle name="Comma 44 3" xfId="2646" xr:uid="{00000000-0005-0000-0000-0000250A0000}"/>
    <cellStyle name="Comma 44 4" xfId="2647" xr:uid="{00000000-0005-0000-0000-0000260A0000}"/>
    <cellStyle name="Comma 44 5" xfId="2648" xr:uid="{00000000-0005-0000-0000-0000270A0000}"/>
    <cellStyle name="Comma 44 6" xfId="2649" xr:uid="{00000000-0005-0000-0000-0000280A0000}"/>
    <cellStyle name="Comma 44 7" xfId="2650" xr:uid="{00000000-0005-0000-0000-0000290A0000}"/>
    <cellStyle name="Comma 44 8" xfId="2651" xr:uid="{00000000-0005-0000-0000-00002A0A0000}"/>
    <cellStyle name="Comma 44 9" xfId="2652" xr:uid="{00000000-0005-0000-0000-00002B0A0000}"/>
    <cellStyle name="Comma 45" xfId="2653" xr:uid="{00000000-0005-0000-0000-00002C0A0000}"/>
    <cellStyle name="Comma 45 10" xfId="2654" xr:uid="{00000000-0005-0000-0000-00002D0A0000}"/>
    <cellStyle name="Comma 45 2" xfId="2655" xr:uid="{00000000-0005-0000-0000-00002E0A0000}"/>
    <cellStyle name="Comma 45 3" xfId="2656" xr:uid="{00000000-0005-0000-0000-00002F0A0000}"/>
    <cellStyle name="Comma 45 4" xfId="2657" xr:uid="{00000000-0005-0000-0000-0000300A0000}"/>
    <cellStyle name="Comma 45 5" xfId="2658" xr:uid="{00000000-0005-0000-0000-0000310A0000}"/>
    <cellStyle name="Comma 45 6" xfId="2659" xr:uid="{00000000-0005-0000-0000-0000320A0000}"/>
    <cellStyle name="Comma 45 7" xfId="2660" xr:uid="{00000000-0005-0000-0000-0000330A0000}"/>
    <cellStyle name="Comma 45 8" xfId="2661" xr:uid="{00000000-0005-0000-0000-0000340A0000}"/>
    <cellStyle name="Comma 45 9" xfId="2662" xr:uid="{00000000-0005-0000-0000-0000350A0000}"/>
    <cellStyle name="Comma 46" xfId="2663" xr:uid="{00000000-0005-0000-0000-0000360A0000}"/>
    <cellStyle name="Comma 46 10" xfId="2664" xr:uid="{00000000-0005-0000-0000-0000370A0000}"/>
    <cellStyle name="Comma 46 11" xfId="2665" xr:uid="{00000000-0005-0000-0000-0000380A0000}"/>
    <cellStyle name="Comma 46 12" xfId="2666" xr:uid="{00000000-0005-0000-0000-0000390A0000}"/>
    <cellStyle name="Comma 46 13" xfId="2667" xr:uid="{00000000-0005-0000-0000-00003A0A0000}"/>
    <cellStyle name="Comma 46 2" xfId="2668" xr:uid="{00000000-0005-0000-0000-00003B0A0000}"/>
    <cellStyle name="Comma 46 3" xfId="2669" xr:uid="{00000000-0005-0000-0000-00003C0A0000}"/>
    <cellStyle name="Comma 46 4" xfId="2670" xr:uid="{00000000-0005-0000-0000-00003D0A0000}"/>
    <cellStyle name="Comma 46 5" xfId="2671" xr:uid="{00000000-0005-0000-0000-00003E0A0000}"/>
    <cellStyle name="Comma 46 6" xfId="2672" xr:uid="{00000000-0005-0000-0000-00003F0A0000}"/>
    <cellStyle name="Comma 46 7" xfId="2673" xr:uid="{00000000-0005-0000-0000-0000400A0000}"/>
    <cellStyle name="Comma 46 8" xfId="2674" xr:uid="{00000000-0005-0000-0000-0000410A0000}"/>
    <cellStyle name="Comma 46 9" xfId="2675" xr:uid="{00000000-0005-0000-0000-0000420A0000}"/>
    <cellStyle name="Comma 47" xfId="2676" xr:uid="{00000000-0005-0000-0000-0000430A0000}"/>
    <cellStyle name="Comma 47 10" xfId="2677" xr:uid="{00000000-0005-0000-0000-0000440A0000}"/>
    <cellStyle name="Comma 47 2" xfId="2678" xr:uid="{00000000-0005-0000-0000-0000450A0000}"/>
    <cellStyle name="Comma 47 3" xfId="2679" xr:uid="{00000000-0005-0000-0000-0000460A0000}"/>
    <cellStyle name="Comma 47 4" xfId="2680" xr:uid="{00000000-0005-0000-0000-0000470A0000}"/>
    <cellStyle name="Comma 47 5" xfId="2681" xr:uid="{00000000-0005-0000-0000-0000480A0000}"/>
    <cellStyle name="Comma 47 6" xfId="2682" xr:uid="{00000000-0005-0000-0000-0000490A0000}"/>
    <cellStyle name="Comma 47 7" xfId="2683" xr:uid="{00000000-0005-0000-0000-00004A0A0000}"/>
    <cellStyle name="Comma 47 8" xfId="2684" xr:uid="{00000000-0005-0000-0000-00004B0A0000}"/>
    <cellStyle name="Comma 47 9" xfId="2685" xr:uid="{00000000-0005-0000-0000-00004C0A0000}"/>
    <cellStyle name="Comma 48" xfId="2686" xr:uid="{00000000-0005-0000-0000-00004D0A0000}"/>
    <cellStyle name="Comma 48 10" xfId="2687" xr:uid="{00000000-0005-0000-0000-00004E0A0000}"/>
    <cellStyle name="Comma 48 2" xfId="2688" xr:uid="{00000000-0005-0000-0000-00004F0A0000}"/>
    <cellStyle name="Comma 48 3" xfId="2689" xr:uid="{00000000-0005-0000-0000-0000500A0000}"/>
    <cellStyle name="Comma 48 4" xfId="2690" xr:uid="{00000000-0005-0000-0000-0000510A0000}"/>
    <cellStyle name="Comma 48 5" xfId="2691" xr:uid="{00000000-0005-0000-0000-0000520A0000}"/>
    <cellStyle name="Comma 48 6" xfId="2692" xr:uid="{00000000-0005-0000-0000-0000530A0000}"/>
    <cellStyle name="Comma 48 7" xfId="2693" xr:uid="{00000000-0005-0000-0000-0000540A0000}"/>
    <cellStyle name="Comma 48 8" xfId="2694" xr:uid="{00000000-0005-0000-0000-0000550A0000}"/>
    <cellStyle name="Comma 48 9" xfId="2695" xr:uid="{00000000-0005-0000-0000-0000560A0000}"/>
    <cellStyle name="Comma 49" xfId="2696" xr:uid="{00000000-0005-0000-0000-0000570A0000}"/>
    <cellStyle name="Comma 49 2" xfId="2697" xr:uid="{00000000-0005-0000-0000-0000580A0000}"/>
    <cellStyle name="Comma 5" xfId="16" xr:uid="{00000000-0005-0000-0000-0000590A0000}"/>
    <cellStyle name="Comma 5 10" xfId="2699" xr:uid="{00000000-0005-0000-0000-00005A0A0000}"/>
    <cellStyle name="Comma 5 10 2" xfId="2700" xr:uid="{00000000-0005-0000-0000-00005B0A0000}"/>
    <cellStyle name="Comma 5 11" xfId="2701" xr:uid="{00000000-0005-0000-0000-00005C0A0000}"/>
    <cellStyle name="Comma 5 11 2" xfId="2702" xr:uid="{00000000-0005-0000-0000-00005D0A0000}"/>
    <cellStyle name="Comma 5 12" xfId="2703" xr:uid="{00000000-0005-0000-0000-00005E0A0000}"/>
    <cellStyle name="Comma 5 12 2" xfId="2704" xr:uid="{00000000-0005-0000-0000-00005F0A0000}"/>
    <cellStyle name="Comma 5 13" xfId="2705" xr:uid="{00000000-0005-0000-0000-0000600A0000}"/>
    <cellStyle name="Comma 5 13 2" xfId="2706" xr:uid="{00000000-0005-0000-0000-0000610A0000}"/>
    <cellStyle name="Comma 5 14" xfId="2707" xr:uid="{00000000-0005-0000-0000-0000620A0000}"/>
    <cellStyle name="Comma 5 14 2" xfId="2708" xr:uid="{00000000-0005-0000-0000-0000630A0000}"/>
    <cellStyle name="Comma 5 15" xfId="2709" xr:uid="{00000000-0005-0000-0000-0000640A0000}"/>
    <cellStyle name="Comma 5 15 2" xfId="2710" xr:uid="{00000000-0005-0000-0000-0000650A0000}"/>
    <cellStyle name="Comma 5 16" xfId="2711" xr:uid="{00000000-0005-0000-0000-0000660A0000}"/>
    <cellStyle name="Comma 5 16 2" xfId="2712" xr:uid="{00000000-0005-0000-0000-0000670A0000}"/>
    <cellStyle name="Comma 5 17" xfId="2713" xr:uid="{00000000-0005-0000-0000-0000680A0000}"/>
    <cellStyle name="Comma 5 17 2" xfId="2714" xr:uid="{00000000-0005-0000-0000-0000690A0000}"/>
    <cellStyle name="Comma 5 18" xfId="2715" xr:uid="{00000000-0005-0000-0000-00006A0A0000}"/>
    <cellStyle name="Comma 5 19" xfId="2716" xr:uid="{00000000-0005-0000-0000-00006B0A0000}"/>
    <cellStyle name="Comma 5 19 2" xfId="2717" xr:uid="{00000000-0005-0000-0000-00006C0A0000}"/>
    <cellStyle name="Comma 5 19 2 2" xfId="2718" xr:uid="{00000000-0005-0000-0000-00006D0A0000}"/>
    <cellStyle name="Comma 5 19 2 3" xfId="2719" xr:uid="{00000000-0005-0000-0000-00006E0A0000}"/>
    <cellStyle name="Comma 5 19 3" xfId="2720" xr:uid="{00000000-0005-0000-0000-00006F0A0000}"/>
    <cellStyle name="Comma 5 19 4" xfId="2721" xr:uid="{00000000-0005-0000-0000-0000700A0000}"/>
    <cellStyle name="Comma 5 2" xfId="2722" xr:uid="{00000000-0005-0000-0000-0000710A0000}"/>
    <cellStyle name="Comma 5 2 2" xfId="2723" xr:uid="{00000000-0005-0000-0000-0000720A0000}"/>
    <cellStyle name="Comma 5 20" xfId="2724" xr:uid="{00000000-0005-0000-0000-0000730A0000}"/>
    <cellStyle name="Comma 5 21" xfId="2725" xr:uid="{00000000-0005-0000-0000-0000740A0000}"/>
    <cellStyle name="Comma 5 22" xfId="2726" xr:uid="{00000000-0005-0000-0000-0000750A0000}"/>
    <cellStyle name="Comma 5 23" xfId="2727" xr:uid="{00000000-0005-0000-0000-0000760A0000}"/>
    <cellStyle name="Comma 5 24" xfId="2728" xr:uid="{00000000-0005-0000-0000-0000770A0000}"/>
    <cellStyle name="Comma 5 24 2" xfId="2729" xr:uid="{00000000-0005-0000-0000-0000780A0000}"/>
    <cellStyle name="Comma 5 24 2 2" xfId="2730" xr:uid="{00000000-0005-0000-0000-0000790A0000}"/>
    <cellStyle name="Comma 5 24 2 3" xfId="2731" xr:uid="{00000000-0005-0000-0000-00007A0A0000}"/>
    <cellStyle name="Comma 5 24 3" xfId="2732" xr:uid="{00000000-0005-0000-0000-00007B0A0000}"/>
    <cellStyle name="Comma 5 25" xfId="2733" xr:uid="{00000000-0005-0000-0000-00007C0A0000}"/>
    <cellStyle name="Comma 5 26" xfId="2734" xr:uid="{00000000-0005-0000-0000-00007D0A0000}"/>
    <cellStyle name="Comma 5 27" xfId="2735" xr:uid="{00000000-0005-0000-0000-00007E0A0000}"/>
    <cellStyle name="Comma 5 28" xfId="2736" xr:uid="{00000000-0005-0000-0000-00007F0A0000}"/>
    <cellStyle name="Comma 5 29" xfId="2737" xr:uid="{00000000-0005-0000-0000-0000800A0000}"/>
    <cellStyle name="Comma 5 3" xfId="2738" xr:uid="{00000000-0005-0000-0000-0000810A0000}"/>
    <cellStyle name="Comma 5 3 2" xfId="2739" xr:uid="{00000000-0005-0000-0000-0000820A0000}"/>
    <cellStyle name="Comma 5 30" xfId="2740" xr:uid="{00000000-0005-0000-0000-0000830A0000}"/>
    <cellStyle name="Comma 5 31" xfId="2741" xr:uid="{00000000-0005-0000-0000-0000840A0000}"/>
    <cellStyle name="Comma 5 32" xfId="2742" xr:uid="{00000000-0005-0000-0000-0000850A0000}"/>
    <cellStyle name="Comma 5 33" xfId="2743" xr:uid="{00000000-0005-0000-0000-0000860A0000}"/>
    <cellStyle name="Comma 5 34" xfId="2744" xr:uid="{00000000-0005-0000-0000-0000870A0000}"/>
    <cellStyle name="Comma 5 35" xfId="2745" xr:uid="{00000000-0005-0000-0000-0000880A0000}"/>
    <cellStyle name="Comma 5 36" xfId="2746" xr:uid="{00000000-0005-0000-0000-0000890A0000}"/>
    <cellStyle name="Comma 5 37" xfId="2698" xr:uid="{00000000-0005-0000-0000-00008A0A0000}"/>
    <cellStyle name="Comma 5 4" xfId="2747" xr:uid="{00000000-0005-0000-0000-00008B0A0000}"/>
    <cellStyle name="Comma 5 4 2" xfId="2748" xr:uid="{00000000-0005-0000-0000-00008C0A0000}"/>
    <cellStyle name="Comma 5 5" xfId="2749" xr:uid="{00000000-0005-0000-0000-00008D0A0000}"/>
    <cellStyle name="Comma 5 5 2" xfId="2750" xr:uid="{00000000-0005-0000-0000-00008E0A0000}"/>
    <cellStyle name="Comma 5 6" xfId="2751" xr:uid="{00000000-0005-0000-0000-00008F0A0000}"/>
    <cellStyle name="Comma 5 6 2" xfId="2752" xr:uid="{00000000-0005-0000-0000-0000900A0000}"/>
    <cellStyle name="Comma 5 7" xfId="2753" xr:uid="{00000000-0005-0000-0000-0000910A0000}"/>
    <cellStyle name="Comma 5 7 2" xfId="2754" xr:uid="{00000000-0005-0000-0000-0000920A0000}"/>
    <cellStyle name="Comma 5 8" xfId="2755" xr:uid="{00000000-0005-0000-0000-0000930A0000}"/>
    <cellStyle name="Comma 5 8 2" xfId="2756" xr:uid="{00000000-0005-0000-0000-0000940A0000}"/>
    <cellStyle name="Comma 5 9" xfId="2757" xr:uid="{00000000-0005-0000-0000-0000950A0000}"/>
    <cellStyle name="Comma 5 9 2" xfId="2758" xr:uid="{00000000-0005-0000-0000-0000960A0000}"/>
    <cellStyle name="Comma 50 2" xfId="2759" xr:uid="{00000000-0005-0000-0000-0000970A0000}"/>
    <cellStyle name="Comma 52" xfId="2760" xr:uid="{00000000-0005-0000-0000-0000980A0000}"/>
    <cellStyle name="Comma 53" xfId="2761" xr:uid="{00000000-0005-0000-0000-0000990A0000}"/>
    <cellStyle name="Comma 56" xfId="2762" xr:uid="{00000000-0005-0000-0000-00009A0A0000}"/>
    <cellStyle name="Comma 59 2" xfId="2763" xr:uid="{00000000-0005-0000-0000-00009B0A0000}"/>
    <cellStyle name="Comma 59 3" xfId="2764" xr:uid="{00000000-0005-0000-0000-00009C0A0000}"/>
    <cellStyle name="Comma 6" xfId="11" xr:uid="{00000000-0005-0000-0000-00009D0A0000}"/>
    <cellStyle name="Comma 6 10" xfId="2766" xr:uid="{00000000-0005-0000-0000-00009E0A0000}"/>
    <cellStyle name="Comma 6 11" xfId="2767" xr:uid="{00000000-0005-0000-0000-00009F0A0000}"/>
    <cellStyle name="Comma 6 12" xfId="2768" xr:uid="{00000000-0005-0000-0000-0000A00A0000}"/>
    <cellStyle name="Comma 6 13" xfId="2769" xr:uid="{00000000-0005-0000-0000-0000A10A0000}"/>
    <cellStyle name="Comma 6 14" xfId="2765" xr:uid="{00000000-0005-0000-0000-0000A20A0000}"/>
    <cellStyle name="Comma 6 2" xfId="2770" xr:uid="{00000000-0005-0000-0000-0000A30A0000}"/>
    <cellStyle name="Comma 6 2 2" xfId="2771" xr:uid="{00000000-0005-0000-0000-0000A40A0000}"/>
    <cellStyle name="Comma 6 3" xfId="2772" xr:uid="{00000000-0005-0000-0000-0000A50A0000}"/>
    <cellStyle name="Comma 6 3 2" xfId="2773" xr:uid="{00000000-0005-0000-0000-0000A60A0000}"/>
    <cellStyle name="Comma 6 4" xfId="2774" xr:uid="{00000000-0005-0000-0000-0000A70A0000}"/>
    <cellStyle name="Comma 6 4 2" xfId="2775" xr:uid="{00000000-0005-0000-0000-0000A80A0000}"/>
    <cellStyle name="Comma 6 5" xfId="2776" xr:uid="{00000000-0005-0000-0000-0000A90A0000}"/>
    <cellStyle name="Comma 6 5 2" xfId="2777" xr:uid="{00000000-0005-0000-0000-0000AA0A0000}"/>
    <cellStyle name="Comma 6 6" xfId="2778" xr:uid="{00000000-0005-0000-0000-0000AB0A0000}"/>
    <cellStyle name="Comma 6 7" xfId="2779" xr:uid="{00000000-0005-0000-0000-0000AC0A0000}"/>
    <cellStyle name="Comma 6 8" xfId="2780" xr:uid="{00000000-0005-0000-0000-0000AD0A0000}"/>
    <cellStyle name="Comma 6 9" xfId="2781" xr:uid="{00000000-0005-0000-0000-0000AE0A0000}"/>
    <cellStyle name="Comma 60 2" xfId="2782" xr:uid="{00000000-0005-0000-0000-0000AF0A0000}"/>
    <cellStyle name="Comma 60 3" xfId="2783" xr:uid="{00000000-0005-0000-0000-0000B00A0000}"/>
    <cellStyle name="Comma 7" xfId="44" xr:uid="{00000000-0005-0000-0000-0000B10A0000}"/>
    <cellStyle name="Comma 7 10" xfId="2785" xr:uid="{00000000-0005-0000-0000-0000B20A0000}"/>
    <cellStyle name="Comma 7 11" xfId="2786" xr:uid="{00000000-0005-0000-0000-0000B30A0000}"/>
    <cellStyle name="Comma 7 12" xfId="2784" xr:uid="{00000000-0005-0000-0000-0000B40A0000}"/>
    <cellStyle name="Comma 7 2" xfId="2787" xr:uid="{00000000-0005-0000-0000-0000B50A0000}"/>
    <cellStyle name="Comma 7 2 2" xfId="2788" xr:uid="{00000000-0005-0000-0000-0000B60A0000}"/>
    <cellStyle name="Comma 7 3" xfId="2789" xr:uid="{00000000-0005-0000-0000-0000B70A0000}"/>
    <cellStyle name="Comma 7 3 2" xfId="2790" xr:uid="{00000000-0005-0000-0000-0000B80A0000}"/>
    <cellStyle name="Comma 7 4" xfId="2791" xr:uid="{00000000-0005-0000-0000-0000B90A0000}"/>
    <cellStyle name="Comma 7 4 2" xfId="2792" xr:uid="{00000000-0005-0000-0000-0000BA0A0000}"/>
    <cellStyle name="Comma 7 5" xfId="2793" xr:uid="{00000000-0005-0000-0000-0000BB0A0000}"/>
    <cellStyle name="Comma 7 5 2" xfId="2794" xr:uid="{00000000-0005-0000-0000-0000BC0A0000}"/>
    <cellStyle name="Comma 7 6" xfId="2795" xr:uid="{00000000-0005-0000-0000-0000BD0A0000}"/>
    <cellStyle name="Comma 7 7" xfId="2796" xr:uid="{00000000-0005-0000-0000-0000BE0A0000}"/>
    <cellStyle name="Comma 7 8" xfId="2797" xr:uid="{00000000-0005-0000-0000-0000BF0A0000}"/>
    <cellStyle name="Comma 7 9" xfId="2798" xr:uid="{00000000-0005-0000-0000-0000C00A0000}"/>
    <cellStyle name="Comma 8" xfId="42" xr:uid="{00000000-0005-0000-0000-0000C10A0000}"/>
    <cellStyle name="Comma 8 10" xfId="2800" xr:uid="{00000000-0005-0000-0000-0000C20A0000}"/>
    <cellStyle name="Comma 8 11" xfId="2801" xr:uid="{00000000-0005-0000-0000-0000C30A0000}"/>
    <cellStyle name="Comma 8 12" xfId="2799" xr:uid="{00000000-0005-0000-0000-0000C40A0000}"/>
    <cellStyle name="Comma 8 2" xfId="2802" xr:uid="{00000000-0005-0000-0000-0000C50A0000}"/>
    <cellStyle name="Comma 8 2 2" xfId="2803" xr:uid="{00000000-0005-0000-0000-0000C60A0000}"/>
    <cellStyle name="Comma 8 3" xfId="2804" xr:uid="{00000000-0005-0000-0000-0000C70A0000}"/>
    <cellStyle name="Comma 8 3 2" xfId="2805" xr:uid="{00000000-0005-0000-0000-0000C80A0000}"/>
    <cellStyle name="Comma 8 4" xfId="2806" xr:uid="{00000000-0005-0000-0000-0000C90A0000}"/>
    <cellStyle name="Comma 8 4 2" xfId="2807" xr:uid="{00000000-0005-0000-0000-0000CA0A0000}"/>
    <cellStyle name="Comma 8 5" xfId="2808" xr:uid="{00000000-0005-0000-0000-0000CB0A0000}"/>
    <cellStyle name="Comma 8 5 2" xfId="2809" xr:uid="{00000000-0005-0000-0000-0000CC0A0000}"/>
    <cellStyle name="Comma 8 6" xfId="2810" xr:uid="{00000000-0005-0000-0000-0000CD0A0000}"/>
    <cellStyle name="Comma 8 7" xfId="2811" xr:uid="{00000000-0005-0000-0000-0000CE0A0000}"/>
    <cellStyle name="Comma 8 8" xfId="2812" xr:uid="{00000000-0005-0000-0000-0000CF0A0000}"/>
    <cellStyle name="Comma 8 9" xfId="2813" xr:uid="{00000000-0005-0000-0000-0000D00A0000}"/>
    <cellStyle name="Comma 9" xfId="2814" xr:uid="{00000000-0005-0000-0000-0000D10A0000}"/>
    <cellStyle name="Comma 9 2" xfId="2815" xr:uid="{00000000-0005-0000-0000-0000D20A0000}"/>
    <cellStyle name="Comma 9 3" xfId="2816" xr:uid="{00000000-0005-0000-0000-0000D30A0000}"/>
    <cellStyle name="Comma 9 4" xfId="2817" xr:uid="{00000000-0005-0000-0000-0000D40A0000}"/>
    <cellStyle name="Comma 9 5" xfId="2818" xr:uid="{00000000-0005-0000-0000-0000D50A0000}"/>
    <cellStyle name="Currency [0] 2" xfId="2819" xr:uid="{00000000-0005-0000-0000-0000D70A0000}"/>
    <cellStyle name="Currency 10" xfId="2820" xr:uid="{00000000-0005-0000-0000-0000D80A0000}"/>
    <cellStyle name="Currency 100" xfId="2821" xr:uid="{00000000-0005-0000-0000-0000D90A0000}"/>
    <cellStyle name="Currency 13" xfId="2822" xr:uid="{00000000-0005-0000-0000-0000DA0A0000}"/>
    <cellStyle name="Currency 14" xfId="2823" xr:uid="{00000000-0005-0000-0000-0000DB0A0000}"/>
    <cellStyle name="Currency 15" xfId="2824" xr:uid="{00000000-0005-0000-0000-0000DC0A0000}"/>
    <cellStyle name="Currency 16" xfId="2825" xr:uid="{00000000-0005-0000-0000-0000DD0A0000}"/>
    <cellStyle name="Currency 2" xfId="18" xr:uid="{00000000-0005-0000-0000-0000DE0A0000}"/>
    <cellStyle name="Currency 2 10" xfId="2827" xr:uid="{00000000-0005-0000-0000-0000DF0A0000}"/>
    <cellStyle name="Currency 2 10 2" xfId="2828" xr:uid="{00000000-0005-0000-0000-0000E00A0000}"/>
    <cellStyle name="Currency 2 10 2 2" xfId="2829" xr:uid="{00000000-0005-0000-0000-0000E10A0000}"/>
    <cellStyle name="Currency 2 10 2 2 2" xfId="2830" xr:uid="{00000000-0005-0000-0000-0000E20A0000}"/>
    <cellStyle name="Currency 2 10 2 2 3" xfId="2831" xr:uid="{00000000-0005-0000-0000-0000E30A0000}"/>
    <cellStyle name="Currency 2 10 2 2 4" xfId="2832" xr:uid="{00000000-0005-0000-0000-0000E40A0000}"/>
    <cellStyle name="Currency 2 10 2 3" xfId="2833" xr:uid="{00000000-0005-0000-0000-0000E50A0000}"/>
    <cellStyle name="Currency 2 10 2 4" xfId="2834" xr:uid="{00000000-0005-0000-0000-0000E60A0000}"/>
    <cellStyle name="Currency 2 10 2 5" xfId="2835" xr:uid="{00000000-0005-0000-0000-0000E70A0000}"/>
    <cellStyle name="Currency 2 10 3" xfId="2836" xr:uid="{00000000-0005-0000-0000-0000E80A0000}"/>
    <cellStyle name="Currency 2 10 3 2" xfId="2837" xr:uid="{00000000-0005-0000-0000-0000E90A0000}"/>
    <cellStyle name="Currency 2 10 3 3" xfId="2838" xr:uid="{00000000-0005-0000-0000-0000EA0A0000}"/>
    <cellStyle name="Currency 2 10 3 4" xfId="2839" xr:uid="{00000000-0005-0000-0000-0000EB0A0000}"/>
    <cellStyle name="Currency 2 10 4" xfId="2840" xr:uid="{00000000-0005-0000-0000-0000EC0A0000}"/>
    <cellStyle name="Currency 2 10 5" xfId="2841" xr:uid="{00000000-0005-0000-0000-0000ED0A0000}"/>
    <cellStyle name="Currency 2 10 6" xfId="2842" xr:uid="{00000000-0005-0000-0000-0000EE0A0000}"/>
    <cellStyle name="Currency 2 11" xfId="2843" xr:uid="{00000000-0005-0000-0000-0000EF0A0000}"/>
    <cellStyle name="Currency 2 11 2" xfId="2844" xr:uid="{00000000-0005-0000-0000-0000F00A0000}"/>
    <cellStyle name="Currency 2 11 2 2" xfId="2845" xr:uid="{00000000-0005-0000-0000-0000F10A0000}"/>
    <cellStyle name="Currency 2 11 2 2 2" xfId="2846" xr:uid="{00000000-0005-0000-0000-0000F20A0000}"/>
    <cellStyle name="Currency 2 11 2 2 3" xfId="2847" xr:uid="{00000000-0005-0000-0000-0000F30A0000}"/>
    <cellStyle name="Currency 2 11 2 2 4" xfId="2848" xr:uid="{00000000-0005-0000-0000-0000F40A0000}"/>
    <cellStyle name="Currency 2 11 2 3" xfId="2849" xr:uid="{00000000-0005-0000-0000-0000F50A0000}"/>
    <cellStyle name="Currency 2 11 2 4" xfId="2850" xr:uid="{00000000-0005-0000-0000-0000F60A0000}"/>
    <cellStyle name="Currency 2 11 2 5" xfId="2851" xr:uid="{00000000-0005-0000-0000-0000F70A0000}"/>
    <cellStyle name="Currency 2 11 3" xfId="2852" xr:uid="{00000000-0005-0000-0000-0000F80A0000}"/>
    <cellStyle name="Currency 2 11 3 2" xfId="2853" xr:uid="{00000000-0005-0000-0000-0000F90A0000}"/>
    <cellStyle name="Currency 2 11 3 3" xfId="2854" xr:uid="{00000000-0005-0000-0000-0000FA0A0000}"/>
    <cellStyle name="Currency 2 11 3 4" xfId="2855" xr:uid="{00000000-0005-0000-0000-0000FB0A0000}"/>
    <cellStyle name="Currency 2 11 4" xfId="2856" xr:uid="{00000000-0005-0000-0000-0000FC0A0000}"/>
    <cellStyle name="Currency 2 11 5" xfId="2857" xr:uid="{00000000-0005-0000-0000-0000FD0A0000}"/>
    <cellStyle name="Currency 2 11 6" xfId="2858" xr:uid="{00000000-0005-0000-0000-0000FE0A0000}"/>
    <cellStyle name="Currency 2 12" xfId="2859" xr:uid="{00000000-0005-0000-0000-0000FF0A0000}"/>
    <cellStyle name="Currency 2 12 2" xfId="2860" xr:uid="{00000000-0005-0000-0000-0000000B0000}"/>
    <cellStyle name="Currency 2 12 2 2" xfId="2861" xr:uid="{00000000-0005-0000-0000-0000010B0000}"/>
    <cellStyle name="Currency 2 12 2 2 2" xfId="2862" xr:uid="{00000000-0005-0000-0000-0000020B0000}"/>
    <cellStyle name="Currency 2 12 2 2 3" xfId="2863" xr:uid="{00000000-0005-0000-0000-0000030B0000}"/>
    <cellStyle name="Currency 2 12 2 2 4" xfId="2864" xr:uid="{00000000-0005-0000-0000-0000040B0000}"/>
    <cellStyle name="Currency 2 12 2 3" xfId="2865" xr:uid="{00000000-0005-0000-0000-0000050B0000}"/>
    <cellStyle name="Currency 2 12 2 4" xfId="2866" xr:uid="{00000000-0005-0000-0000-0000060B0000}"/>
    <cellStyle name="Currency 2 12 2 5" xfId="2867" xr:uid="{00000000-0005-0000-0000-0000070B0000}"/>
    <cellStyle name="Currency 2 12 3" xfId="2868" xr:uid="{00000000-0005-0000-0000-0000080B0000}"/>
    <cellStyle name="Currency 2 12 3 2" xfId="2869" xr:uid="{00000000-0005-0000-0000-0000090B0000}"/>
    <cellStyle name="Currency 2 12 3 3" xfId="2870" xr:uid="{00000000-0005-0000-0000-00000A0B0000}"/>
    <cellStyle name="Currency 2 12 3 4" xfId="2871" xr:uid="{00000000-0005-0000-0000-00000B0B0000}"/>
    <cellStyle name="Currency 2 12 4" xfId="2872" xr:uid="{00000000-0005-0000-0000-00000C0B0000}"/>
    <cellStyle name="Currency 2 12 5" xfId="2873" xr:uid="{00000000-0005-0000-0000-00000D0B0000}"/>
    <cellStyle name="Currency 2 12 6" xfId="2874" xr:uid="{00000000-0005-0000-0000-00000E0B0000}"/>
    <cellStyle name="Currency 2 13" xfId="2875" xr:uid="{00000000-0005-0000-0000-00000F0B0000}"/>
    <cellStyle name="Currency 2 14" xfId="2876" xr:uid="{00000000-0005-0000-0000-0000100B0000}"/>
    <cellStyle name="Currency 2 15" xfId="2877" xr:uid="{00000000-0005-0000-0000-0000110B0000}"/>
    <cellStyle name="Currency 2 16" xfId="2878" xr:uid="{00000000-0005-0000-0000-0000120B0000}"/>
    <cellStyle name="Currency 2 17" xfId="2879" xr:uid="{00000000-0005-0000-0000-0000130B0000}"/>
    <cellStyle name="Currency 2 18" xfId="2880" xr:uid="{00000000-0005-0000-0000-0000140B0000}"/>
    <cellStyle name="Currency 2 19" xfId="2881" xr:uid="{00000000-0005-0000-0000-0000150B0000}"/>
    <cellStyle name="Currency 2 2" xfId="2882" xr:uid="{00000000-0005-0000-0000-0000160B0000}"/>
    <cellStyle name="Currency 2 2 10" xfId="2883" xr:uid="{00000000-0005-0000-0000-0000170B0000}"/>
    <cellStyle name="Currency 2 2 11" xfId="2884" xr:uid="{00000000-0005-0000-0000-0000180B0000}"/>
    <cellStyle name="Currency 2 2 12" xfId="2885" xr:uid="{00000000-0005-0000-0000-0000190B0000}"/>
    <cellStyle name="Currency 2 2 13" xfId="2886" xr:uid="{00000000-0005-0000-0000-00001A0B0000}"/>
    <cellStyle name="Currency 2 2 14" xfId="2887" xr:uid="{00000000-0005-0000-0000-00001B0B0000}"/>
    <cellStyle name="Currency 2 2 15" xfId="2888" xr:uid="{00000000-0005-0000-0000-00001C0B0000}"/>
    <cellStyle name="Currency 2 2 16" xfId="2889" xr:uid="{00000000-0005-0000-0000-00001D0B0000}"/>
    <cellStyle name="Currency 2 2 17" xfId="2890" xr:uid="{00000000-0005-0000-0000-00001E0B0000}"/>
    <cellStyle name="Currency 2 2 18" xfId="2891" xr:uid="{00000000-0005-0000-0000-00001F0B0000}"/>
    <cellStyle name="Currency 2 2 19" xfId="2892" xr:uid="{00000000-0005-0000-0000-0000200B0000}"/>
    <cellStyle name="Currency 2 2 2" xfId="2893" xr:uid="{00000000-0005-0000-0000-0000210B0000}"/>
    <cellStyle name="Currency 2 2 2 2" xfId="2894" xr:uid="{00000000-0005-0000-0000-0000220B0000}"/>
    <cellStyle name="Currency 2 2 2 3" xfId="2895" xr:uid="{00000000-0005-0000-0000-0000230B0000}"/>
    <cellStyle name="Currency 2 2 2 4" xfId="2896" xr:uid="{00000000-0005-0000-0000-0000240B0000}"/>
    <cellStyle name="Currency 2 2 20" xfId="2897" xr:uid="{00000000-0005-0000-0000-0000250B0000}"/>
    <cellStyle name="Currency 2 2 21" xfId="2898" xr:uid="{00000000-0005-0000-0000-0000260B0000}"/>
    <cellStyle name="Currency 2 2 22" xfId="2899" xr:uid="{00000000-0005-0000-0000-0000270B0000}"/>
    <cellStyle name="Currency 2 2 23" xfId="2900" xr:uid="{00000000-0005-0000-0000-0000280B0000}"/>
    <cellStyle name="Currency 2 2 24" xfId="2901" xr:uid="{00000000-0005-0000-0000-0000290B0000}"/>
    <cellStyle name="Currency 2 2 25" xfId="2902" xr:uid="{00000000-0005-0000-0000-00002A0B0000}"/>
    <cellStyle name="Currency 2 2 26" xfId="2903" xr:uid="{00000000-0005-0000-0000-00002B0B0000}"/>
    <cellStyle name="Currency 2 2 27" xfId="2904" xr:uid="{00000000-0005-0000-0000-00002C0B0000}"/>
    <cellStyle name="Currency 2 2 28" xfId="2905" xr:uid="{00000000-0005-0000-0000-00002D0B0000}"/>
    <cellStyle name="Currency 2 2 29" xfId="2906" xr:uid="{00000000-0005-0000-0000-00002E0B0000}"/>
    <cellStyle name="Currency 2 2 3" xfId="2907" xr:uid="{00000000-0005-0000-0000-00002F0B0000}"/>
    <cellStyle name="Currency 2 2 30" xfId="2908" xr:uid="{00000000-0005-0000-0000-0000300B0000}"/>
    <cellStyle name="Currency 2 2 31" xfId="2909" xr:uid="{00000000-0005-0000-0000-0000310B0000}"/>
    <cellStyle name="Currency 2 2 4" xfId="2910" xr:uid="{00000000-0005-0000-0000-0000320B0000}"/>
    <cellStyle name="Currency 2 2 5" xfId="2911" xr:uid="{00000000-0005-0000-0000-0000330B0000}"/>
    <cellStyle name="Currency 2 2 6" xfId="2912" xr:uid="{00000000-0005-0000-0000-0000340B0000}"/>
    <cellStyle name="Currency 2 2 7" xfId="2913" xr:uid="{00000000-0005-0000-0000-0000350B0000}"/>
    <cellStyle name="Currency 2 2 8" xfId="2914" xr:uid="{00000000-0005-0000-0000-0000360B0000}"/>
    <cellStyle name="Currency 2 2 9" xfId="2915" xr:uid="{00000000-0005-0000-0000-0000370B0000}"/>
    <cellStyle name="Currency 2 20" xfId="2916" xr:uid="{00000000-0005-0000-0000-0000380B0000}"/>
    <cellStyle name="Currency 2 21" xfId="2917" xr:uid="{00000000-0005-0000-0000-0000390B0000}"/>
    <cellStyle name="Currency 2 22" xfId="2918" xr:uid="{00000000-0005-0000-0000-00003A0B0000}"/>
    <cellStyle name="Currency 2 23" xfId="2919" xr:uid="{00000000-0005-0000-0000-00003B0B0000}"/>
    <cellStyle name="Currency 2 24" xfId="2920" xr:uid="{00000000-0005-0000-0000-00003C0B0000}"/>
    <cellStyle name="Currency 2 25" xfId="2921" xr:uid="{00000000-0005-0000-0000-00003D0B0000}"/>
    <cellStyle name="Currency 2 26" xfId="2922" xr:uid="{00000000-0005-0000-0000-00003E0B0000}"/>
    <cellStyle name="Currency 2 27" xfId="2923" xr:uid="{00000000-0005-0000-0000-00003F0B0000}"/>
    <cellStyle name="Currency 2 28" xfId="2924" xr:uid="{00000000-0005-0000-0000-0000400B0000}"/>
    <cellStyle name="Currency 2 29" xfId="2925" xr:uid="{00000000-0005-0000-0000-0000410B0000}"/>
    <cellStyle name="Currency 2 3" xfId="2926" xr:uid="{00000000-0005-0000-0000-0000420B0000}"/>
    <cellStyle name="Currency 2 3 10" xfId="2927" xr:uid="{00000000-0005-0000-0000-0000430B0000}"/>
    <cellStyle name="Currency 2 3 11" xfId="2928" xr:uid="{00000000-0005-0000-0000-0000440B0000}"/>
    <cellStyle name="Currency 2 3 12" xfId="2929" xr:uid="{00000000-0005-0000-0000-0000450B0000}"/>
    <cellStyle name="Currency 2 3 13" xfId="2930" xr:uid="{00000000-0005-0000-0000-0000460B0000}"/>
    <cellStyle name="Currency 2 3 14" xfId="2931" xr:uid="{00000000-0005-0000-0000-0000470B0000}"/>
    <cellStyle name="Currency 2 3 15" xfId="2932" xr:uid="{00000000-0005-0000-0000-0000480B0000}"/>
    <cellStyle name="Currency 2 3 16" xfId="2933" xr:uid="{00000000-0005-0000-0000-0000490B0000}"/>
    <cellStyle name="Currency 2 3 17" xfId="2934" xr:uid="{00000000-0005-0000-0000-00004A0B0000}"/>
    <cellStyle name="Currency 2 3 18" xfId="2935" xr:uid="{00000000-0005-0000-0000-00004B0B0000}"/>
    <cellStyle name="Currency 2 3 19" xfId="2936" xr:uid="{00000000-0005-0000-0000-00004C0B0000}"/>
    <cellStyle name="Currency 2 3 2" xfId="2937" xr:uid="{00000000-0005-0000-0000-00004D0B0000}"/>
    <cellStyle name="Currency 2 3 2 2" xfId="2938" xr:uid="{00000000-0005-0000-0000-00004E0B0000}"/>
    <cellStyle name="Currency 2 3 2 3" xfId="2939" xr:uid="{00000000-0005-0000-0000-00004F0B0000}"/>
    <cellStyle name="Currency 2 3 2 4" xfId="2940" xr:uid="{00000000-0005-0000-0000-0000500B0000}"/>
    <cellStyle name="Currency 2 3 20" xfId="2941" xr:uid="{00000000-0005-0000-0000-0000510B0000}"/>
    <cellStyle name="Currency 2 3 21" xfId="2942" xr:uid="{00000000-0005-0000-0000-0000520B0000}"/>
    <cellStyle name="Currency 2 3 22" xfId="2943" xr:uid="{00000000-0005-0000-0000-0000530B0000}"/>
    <cellStyle name="Currency 2 3 23" xfId="2944" xr:uid="{00000000-0005-0000-0000-0000540B0000}"/>
    <cellStyle name="Currency 2 3 24" xfId="2945" xr:uid="{00000000-0005-0000-0000-0000550B0000}"/>
    <cellStyle name="Currency 2 3 25" xfId="2946" xr:uid="{00000000-0005-0000-0000-0000560B0000}"/>
    <cellStyle name="Currency 2 3 26" xfId="2947" xr:uid="{00000000-0005-0000-0000-0000570B0000}"/>
    <cellStyle name="Currency 2 3 27" xfId="2948" xr:uid="{00000000-0005-0000-0000-0000580B0000}"/>
    <cellStyle name="Currency 2 3 28" xfId="2949" xr:uid="{00000000-0005-0000-0000-0000590B0000}"/>
    <cellStyle name="Currency 2 3 29" xfId="2950" xr:uid="{00000000-0005-0000-0000-00005A0B0000}"/>
    <cellStyle name="Currency 2 3 3" xfId="2951" xr:uid="{00000000-0005-0000-0000-00005B0B0000}"/>
    <cellStyle name="Currency 2 3 30" xfId="2952" xr:uid="{00000000-0005-0000-0000-00005C0B0000}"/>
    <cellStyle name="Currency 2 3 31" xfId="2953" xr:uid="{00000000-0005-0000-0000-00005D0B0000}"/>
    <cellStyle name="Currency 2 3 4" xfId="2954" xr:uid="{00000000-0005-0000-0000-00005E0B0000}"/>
    <cellStyle name="Currency 2 3 5" xfId="2955" xr:uid="{00000000-0005-0000-0000-00005F0B0000}"/>
    <cellStyle name="Currency 2 3 6" xfId="2956" xr:uid="{00000000-0005-0000-0000-0000600B0000}"/>
    <cellStyle name="Currency 2 3 7" xfId="2957" xr:uid="{00000000-0005-0000-0000-0000610B0000}"/>
    <cellStyle name="Currency 2 3 8" xfId="2958" xr:uid="{00000000-0005-0000-0000-0000620B0000}"/>
    <cellStyle name="Currency 2 3 9" xfId="2959" xr:uid="{00000000-0005-0000-0000-0000630B0000}"/>
    <cellStyle name="Currency 2 30" xfId="2960" xr:uid="{00000000-0005-0000-0000-0000640B0000}"/>
    <cellStyle name="Currency 2 31" xfId="2961" xr:uid="{00000000-0005-0000-0000-0000650B0000}"/>
    <cellStyle name="Currency 2 32" xfId="2962" xr:uid="{00000000-0005-0000-0000-0000660B0000}"/>
    <cellStyle name="Currency 2 33" xfId="2963" xr:uid="{00000000-0005-0000-0000-0000670B0000}"/>
    <cellStyle name="Currency 2 34" xfId="2964" xr:uid="{00000000-0005-0000-0000-0000680B0000}"/>
    <cellStyle name="Currency 2 35" xfId="2965" xr:uid="{00000000-0005-0000-0000-0000690B0000}"/>
    <cellStyle name="Currency 2 36" xfId="2966" xr:uid="{00000000-0005-0000-0000-00006A0B0000}"/>
    <cellStyle name="Currency 2 37" xfId="2967" xr:uid="{00000000-0005-0000-0000-00006B0B0000}"/>
    <cellStyle name="Currency 2 37 2" xfId="2968" xr:uid="{00000000-0005-0000-0000-00006C0B0000}"/>
    <cellStyle name="Currency 2 37 2 2" xfId="2969" xr:uid="{00000000-0005-0000-0000-00006D0B0000}"/>
    <cellStyle name="Currency 2 37 2 3" xfId="2970" xr:uid="{00000000-0005-0000-0000-00006E0B0000}"/>
    <cellStyle name="Currency 2 37 3" xfId="2971" xr:uid="{00000000-0005-0000-0000-00006F0B0000}"/>
    <cellStyle name="Currency 2 38" xfId="2972" xr:uid="{00000000-0005-0000-0000-0000700B0000}"/>
    <cellStyle name="Currency 2 39" xfId="2973" xr:uid="{00000000-0005-0000-0000-0000710B0000}"/>
    <cellStyle name="Currency 2 4" xfId="2974" xr:uid="{00000000-0005-0000-0000-0000720B0000}"/>
    <cellStyle name="Currency 2 40" xfId="2975" xr:uid="{00000000-0005-0000-0000-0000730B0000}"/>
    <cellStyle name="Currency 2 41" xfId="2976" xr:uid="{00000000-0005-0000-0000-0000740B0000}"/>
    <cellStyle name="Currency 2 42" xfId="2977" xr:uid="{00000000-0005-0000-0000-0000750B0000}"/>
    <cellStyle name="Currency 2 43" xfId="2978" xr:uid="{00000000-0005-0000-0000-0000760B0000}"/>
    <cellStyle name="Currency 2 44" xfId="2979" xr:uid="{00000000-0005-0000-0000-0000770B0000}"/>
    <cellStyle name="Currency 2 45" xfId="2980" xr:uid="{00000000-0005-0000-0000-0000780B0000}"/>
    <cellStyle name="Currency 2 46" xfId="2981" xr:uid="{00000000-0005-0000-0000-0000790B0000}"/>
    <cellStyle name="Currency 2 47" xfId="2982" xr:uid="{00000000-0005-0000-0000-00007A0B0000}"/>
    <cellStyle name="Currency 2 48" xfId="2983" xr:uid="{00000000-0005-0000-0000-00007B0B0000}"/>
    <cellStyle name="Currency 2 49" xfId="2984" xr:uid="{00000000-0005-0000-0000-00007C0B0000}"/>
    <cellStyle name="Currency 2 5" xfId="2985" xr:uid="{00000000-0005-0000-0000-00007D0B0000}"/>
    <cellStyle name="Currency 2 50" xfId="2826" xr:uid="{00000000-0005-0000-0000-00007E0B0000}"/>
    <cellStyle name="Currency 2 6" xfId="2986" xr:uid="{00000000-0005-0000-0000-00007F0B0000}"/>
    <cellStyle name="Currency 2 7" xfId="2987" xr:uid="{00000000-0005-0000-0000-0000800B0000}"/>
    <cellStyle name="Currency 2 8" xfId="2988" xr:uid="{00000000-0005-0000-0000-0000810B0000}"/>
    <cellStyle name="Currency 2 9" xfId="2989" xr:uid="{00000000-0005-0000-0000-0000820B0000}"/>
    <cellStyle name="Currency 21" xfId="2990" xr:uid="{00000000-0005-0000-0000-0000830B0000}"/>
    <cellStyle name="Currency 22" xfId="2991" xr:uid="{00000000-0005-0000-0000-0000840B0000}"/>
    <cellStyle name="Currency 23" xfId="2992" xr:uid="{00000000-0005-0000-0000-0000850B0000}"/>
    <cellStyle name="Currency 26" xfId="2993" xr:uid="{00000000-0005-0000-0000-0000860B0000}"/>
    <cellStyle name="Currency 27" xfId="2994" xr:uid="{00000000-0005-0000-0000-0000870B0000}"/>
    <cellStyle name="Currency 28" xfId="2995" xr:uid="{00000000-0005-0000-0000-0000880B0000}"/>
    <cellStyle name="Currency 3" xfId="19" xr:uid="{00000000-0005-0000-0000-0000890B0000}"/>
    <cellStyle name="Currency 3 10" xfId="2996" xr:uid="{00000000-0005-0000-0000-00008A0B0000}"/>
    <cellStyle name="Currency 3 11" xfId="2997" xr:uid="{00000000-0005-0000-0000-00008B0B0000}"/>
    <cellStyle name="Currency 3 12" xfId="2998" xr:uid="{00000000-0005-0000-0000-00008C0B0000}"/>
    <cellStyle name="Currency 3 13" xfId="2999" xr:uid="{00000000-0005-0000-0000-00008D0B0000}"/>
    <cellStyle name="Currency 3 14" xfId="3000" xr:uid="{00000000-0005-0000-0000-00008E0B0000}"/>
    <cellStyle name="Currency 3 15" xfId="3001" xr:uid="{00000000-0005-0000-0000-00008F0B0000}"/>
    <cellStyle name="Currency 3 16" xfId="3002" xr:uid="{00000000-0005-0000-0000-0000900B0000}"/>
    <cellStyle name="Currency 3 17" xfId="3003" xr:uid="{00000000-0005-0000-0000-0000910B0000}"/>
    <cellStyle name="Currency 3 18" xfId="3004" xr:uid="{00000000-0005-0000-0000-0000920B0000}"/>
    <cellStyle name="Currency 3 19" xfId="3005" xr:uid="{00000000-0005-0000-0000-0000930B0000}"/>
    <cellStyle name="Currency 3 2" xfId="3006" xr:uid="{00000000-0005-0000-0000-0000940B0000}"/>
    <cellStyle name="Currency 3 2 2" xfId="3007" xr:uid="{00000000-0005-0000-0000-0000950B0000}"/>
    <cellStyle name="Currency 3 2 3" xfId="3008" xr:uid="{00000000-0005-0000-0000-0000960B0000}"/>
    <cellStyle name="Currency 3 2 4" xfId="3009" xr:uid="{00000000-0005-0000-0000-0000970B0000}"/>
    <cellStyle name="Currency 3 3" xfId="3010" xr:uid="{00000000-0005-0000-0000-0000980B0000}"/>
    <cellStyle name="Currency 3 4" xfId="3011" xr:uid="{00000000-0005-0000-0000-0000990B0000}"/>
    <cellStyle name="Currency 3 5" xfId="3012" xr:uid="{00000000-0005-0000-0000-00009A0B0000}"/>
    <cellStyle name="Currency 3 6" xfId="3013" xr:uid="{00000000-0005-0000-0000-00009B0B0000}"/>
    <cellStyle name="Currency 3 7" xfId="3014" xr:uid="{00000000-0005-0000-0000-00009C0B0000}"/>
    <cellStyle name="Currency 3 8" xfId="3015" xr:uid="{00000000-0005-0000-0000-00009D0B0000}"/>
    <cellStyle name="Currency 3 9" xfId="3016" xr:uid="{00000000-0005-0000-0000-00009E0B0000}"/>
    <cellStyle name="Currency 33" xfId="3017" xr:uid="{00000000-0005-0000-0000-00009F0B0000}"/>
    <cellStyle name="Currency 34" xfId="3018" xr:uid="{00000000-0005-0000-0000-0000A00B0000}"/>
    <cellStyle name="Currency 35" xfId="3019" xr:uid="{00000000-0005-0000-0000-0000A10B0000}"/>
    <cellStyle name="Currency 4" xfId="20" xr:uid="{00000000-0005-0000-0000-0000A20B0000}"/>
    <cellStyle name="Currency 4 2" xfId="21" xr:uid="{00000000-0005-0000-0000-0000A30B0000}"/>
    <cellStyle name="Currency 4 3" xfId="3020" xr:uid="{00000000-0005-0000-0000-0000A40B0000}"/>
    <cellStyle name="Currency 42" xfId="3021" xr:uid="{00000000-0005-0000-0000-0000A50B0000}"/>
    <cellStyle name="Currency 43" xfId="3022" xr:uid="{00000000-0005-0000-0000-0000A60B0000}"/>
    <cellStyle name="Currency 44" xfId="3023" xr:uid="{00000000-0005-0000-0000-0000A70B0000}"/>
    <cellStyle name="Currency 5" xfId="22" xr:uid="{00000000-0005-0000-0000-0000A80B0000}"/>
    <cellStyle name="Currency 5 10" xfId="3025" xr:uid="{00000000-0005-0000-0000-0000A90B0000}"/>
    <cellStyle name="Currency 5 11" xfId="3024" xr:uid="{00000000-0005-0000-0000-0000AA0B0000}"/>
    <cellStyle name="Currency 5 2" xfId="3026" xr:uid="{00000000-0005-0000-0000-0000AB0B0000}"/>
    <cellStyle name="Currency 5 2 2" xfId="3027" xr:uid="{00000000-0005-0000-0000-0000AC0B0000}"/>
    <cellStyle name="Currency 5 2 3" xfId="3028" xr:uid="{00000000-0005-0000-0000-0000AD0B0000}"/>
    <cellStyle name="Currency 5 2 4" xfId="3029" xr:uid="{00000000-0005-0000-0000-0000AE0B0000}"/>
    <cellStyle name="Currency 5 3" xfId="3030" xr:uid="{00000000-0005-0000-0000-0000AF0B0000}"/>
    <cellStyle name="Currency 5 4" xfId="3031" xr:uid="{00000000-0005-0000-0000-0000B00B0000}"/>
    <cellStyle name="Currency 5 5" xfId="3032" xr:uid="{00000000-0005-0000-0000-0000B10B0000}"/>
    <cellStyle name="Currency 5 6" xfId="3033" xr:uid="{00000000-0005-0000-0000-0000B20B0000}"/>
    <cellStyle name="Currency 5 7" xfId="3034" xr:uid="{00000000-0005-0000-0000-0000B30B0000}"/>
    <cellStyle name="Currency 5 8" xfId="3035" xr:uid="{00000000-0005-0000-0000-0000B40B0000}"/>
    <cellStyle name="Currency 5 9" xfId="3036" xr:uid="{00000000-0005-0000-0000-0000B50B0000}"/>
    <cellStyle name="Currency 51" xfId="3037" xr:uid="{00000000-0005-0000-0000-0000B60B0000}"/>
    <cellStyle name="Currency 52" xfId="3038" xr:uid="{00000000-0005-0000-0000-0000B70B0000}"/>
    <cellStyle name="Currency 53" xfId="3039" xr:uid="{00000000-0005-0000-0000-0000B80B0000}"/>
    <cellStyle name="Currency 59" xfId="3040" xr:uid="{00000000-0005-0000-0000-0000B90B0000}"/>
    <cellStyle name="Currency 6" xfId="17" xr:uid="{00000000-0005-0000-0000-0000BA0B0000}"/>
    <cellStyle name="Currency 6 2" xfId="3042" xr:uid="{00000000-0005-0000-0000-0000BB0B0000}"/>
    <cellStyle name="Currency 6 3" xfId="3041" xr:uid="{00000000-0005-0000-0000-0000BC0B0000}"/>
    <cellStyle name="Currency 60" xfId="3043" xr:uid="{00000000-0005-0000-0000-0000BD0B0000}"/>
    <cellStyle name="Currency 61" xfId="3044" xr:uid="{00000000-0005-0000-0000-0000BE0B0000}"/>
    <cellStyle name="Currency 67" xfId="3045" xr:uid="{00000000-0005-0000-0000-0000BF0B0000}"/>
    <cellStyle name="Currency 68" xfId="3046" xr:uid="{00000000-0005-0000-0000-0000C00B0000}"/>
    <cellStyle name="Currency 69" xfId="3047" xr:uid="{00000000-0005-0000-0000-0000C10B0000}"/>
    <cellStyle name="Currency 7" xfId="45" xr:uid="{00000000-0005-0000-0000-0000C20B0000}"/>
    <cellStyle name="Currency 7 2" xfId="3048" xr:uid="{00000000-0005-0000-0000-0000C30B0000}"/>
    <cellStyle name="Currency 75" xfId="3049" xr:uid="{00000000-0005-0000-0000-0000C40B0000}"/>
    <cellStyle name="Currency 76" xfId="3050" xr:uid="{00000000-0005-0000-0000-0000C50B0000}"/>
    <cellStyle name="Currency 77" xfId="3051" xr:uid="{00000000-0005-0000-0000-0000C60B0000}"/>
    <cellStyle name="Currency 83" xfId="3052" xr:uid="{00000000-0005-0000-0000-0000C70B0000}"/>
    <cellStyle name="Currency 84" xfId="3053" xr:uid="{00000000-0005-0000-0000-0000C80B0000}"/>
    <cellStyle name="Currency 85" xfId="3054" xr:uid="{00000000-0005-0000-0000-0000C90B0000}"/>
    <cellStyle name="Currency 9" xfId="3055" xr:uid="{00000000-0005-0000-0000-0000CA0B0000}"/>
    <cellStyle name="Currency 91" xfId="3056" xr:uid="{00000000-0005-0000-0000-0000CB0B0000}"/>
    <cellStyle name="Currency 92" xfId="3057" xr:uid="{00000000-0005-0000-0000-0000CC0B0000}"/>
    <cellStyle name="Currency 93" xfId="3058" xr:uid="{00000000-0005-0000-0000-0000CD0B0000}"/>
    <cellStyle name="Currency 99" xfId="3059" xr:uid="{00000000-0005-0000-0000-0000CE0B0000}"/>
    <cellStyle name="Data Field" xfId="3060" xr:uid="{00000000-0005-0000-0000-0000CF0B0000}"/>
    <cellStyle name="Data Name" xfId="3061" xr:uid="{00000000-0005-0000-0000-0000D00B0000}"/>
    <cellStyle name="Explanatory Text 10" xfId="3062" xr:uid="{00000000-0005-0000-0000-0000D10B0000}"/>
    <cellStyle name="Explanatory Text 10 2" xfId="3063" xr:uid="{00000000-0005-0000-0000-0000D20B0000}"/>
    <cellStyle name="Explanatory Text 10 3" xfId="3064" xr:uid="{00000000-0005-0000-0000-0000D30B0000}"/>
    <cellStyle name="Explanatory Text 11" xfId="3065" xr:uid="{00000000-0005-0000-0000-0000D40B0000}"/>
    <cellStyle name="Explanatory Text 11 2" xfId="3066" xr:uid="{00000000-0005-0000-0000-0000D50B0000}"/>
    <cellStyle name="Explanatory Text 11 3" xfId="3067" xr:uid="{00000000-0005-0000-0000-0000D60B0000}"/>
    <cellStyle name="Explanatory Text 12" xfId="3068" xr:uid="{00000000-0005-0000-0000-0000D70B0000}"/>
    <cellStyle name="Explanatory Text 12 2" xfId="3069" xr:uid="{00000000-0005-0000-0000-0000D80B0000}"/>
    <cellStyle name="Explanatory Text 12 3" xfId="3070" xr:uid="{00000000-0005-0000-0000-0000D90B0000}"/>
    <cellStyle name="Explanatory Text 13" xfId="3071" xr:uid="{00000000-0005-0000-0000-0000DA0B0000}"/>
    <cellStyle name="Explanatory Text 13 2" xfId="3072" xr:uid="{00000000-0005-0000-0000-0000DB0B0000}"/>
    <cellStyle name="Explanatory Text 13 3" xfId="3073" xr:uid="{00000000-0005-0000-0000-0000DC0B0000}"/>
    <cellStyle name="Explanatory Text 14" xfId="3074" xr:uid="{00000000-0005-0000-0000-0000DD0B0000}"/>
    <cellStyle name="Explanatory Text 14 2" xfId="3075" xr:uid="{00000000-0005-0000-0000-0000DE0B0000}"/>
    <cellStyle name="Explanatory Text 14 3" xfId="3076" xr:uid="{00000000-0005-0000-0000-0000DF0B0000}"/>
    <cellStyle name="Explanatory Text 15" xfId="3077" xr:uid="{00000000-0005-0000-0000-0000E00B0000}"/>
    <cellStyle name="Explanatory Text 15 2" xfId="3078" xr:uid="{00000000-0005-0000-0000-0000E10B0000}"/>
    <cellStyle name="Explanatory Text 15 3" xfId="3079" xr:uid="{00000000-0005-0000-0000-0000E20B0000}"/>
    <cellStyle name="Explanatory Text 15 4" xfId="3080" xr:uid="{00000000-0005-0000-0000-0000E30B0000}"/>
    <cellStyle name="Explanatory Text 15 5" xfId="3081" xr:uid="{00000000-0005-0000-0000-0000E40B0000}"/>
    <cellStyle name="Explanatory Text 15 6" xfId="3082" xr:uid="{00000000-0005-0000-0000-0000E50B0000}"/>
    <cellStyle name="Explanatory Text 15 7" xfId="3083" xr:uid="{00000000-0005-0000-0000-0000E60B0000}"/>
    <cellStyle name="Explanatory Text 16" xfId="3084" xr:uid="{00000000-0005-0000-0000-0000E70B0000}"/>
    <cellStyle name="Explanatory Text 17" xfId="3085" xr:uid="{00000000-0005-0000-0000-0000E80B0000}"/>
    <cellStyle name="Explanatory Text 18" xfId="3086" xr:uid="{00000000-0005-0000-0000-0000E90B0000}"/>
    <cellStyle name="Explanatory Text 19" xfId="3087" xr:uid="{00000000-0005-0000-0000-0000EA0B0000}"/>
    <cellStyle name="Explanatory Text 2" xfId="3088" xr:uid="{00000000-0005-0000-0000-0000EB0B0000}"/>
    <cellStyle name="Explanatory Text 2 10" xfId="3089" xr:uid="{00000000-0005-0000-0000-0000EC0B0000}"/>
    <cellStyle name="Explanatory Text 2 11" xfId="3090" xr:uid="{00000000-0005-0000-0000-0000ED0B0000}"/>
    <cellStyle name="Explanatory Text 2 12" xfId="3091" xr:uid="{00000000-0005-0000-0000-0000EE0B0000}"/>
    <cellStyle name="Explanatory Text 2 13" xfId="3092" xr:uid="{00000000-0005-0000-0000-0000EF0B0000}"/>
    <cellStyle name="Explanatory Text 2 14" xfId="3093" xr:uid="{00000000-0005-0000-0000-0000F00B0000}"/>
    <cellStyle name="Explanatory Text 2 2" xfId="3094" xr:uid="{00000000-0005-0000-0000-0000F10B0000}"/>
    <cellStyle name="Explanatory Text 2 3" xfId="3095" xr:uid="{00000000-0005-0000-0000-0000F20B0000}"/>
    <cellStyle name="Explanatory Text 2 4" xfId="3096" xr:uid="{00000000-0005-0000-0000-0000F30B0000}"/>
    <cellStyle name="Explanatory Text 2 5" xfId="3097" xr:uid="{00000000-0005-0000-0000-0000F40B0000}"/>
    <cellStyle name="Explanatory Text 2 6" xfId="3098" xr:uid="{00000000-0005-0000-0000-0000F50B0000}"/>
    <cellStyle name="Explanatory Text 2 7" xfId="3099" xr:uid="{00000000-0005-0000-0000-0000F60B0000}"/>
    <cellStyle name="Explanatory Text 2 8" xfId="3100" xr:uid="{00000000-0005-0000-0000-0000F70B0000}"/>
    <cellStyle name="Explanatory Text 2 9" xfId="3101" xr:uid="{00000000-0005-0000-0000-0000F80B0000}"/>
    <cellStyle name="Explanatory Text 20" xfId="3102" xr:uid="{00000000-0005-0000-0000-0000F90B0000}"/>
    <cellStyle name="Explanatory Text 21" xfId="3103" xr:uid="{00000000-0005-0000-0000-0000FA0B0000}"/>
    <cellStyle name="Explanatory Text 22" xfId="3104" xr:uid="{00000000-0005-0000-0000-0000FB0B0000}"/>
    <cellStyle name="Explanatory Text 23" xfId="3105" xr:uid="{00000000-0005-0000-0000-0000FC0B0000}"/>
    <cellStyle name="Explanatory Text 24" xfId="3106" xr:uid="{00000000-0005-0000-0000-0000FD0B0000}"/>
    <cellStyle name="Explanatory Text 25" xfId="3107" xr:uid="{00000000-0005-0000-0000-0000FE0B0000}"/>
    <cellStyle name="Explanatory Text 26" xfId="3108" xr:uid="{00000000-0005-0000-0000-0000FF0B0000}"/>
    <cellStyle name="Explanatory Text 27" xfId="3109" xr:uid="{00000000-0005-0000-0000-0000000C0000}"/>
    <cellStyle name="Explanatory Text 28" xfId="3110" xr:uid="{00000000-0005-0000-0000-0000010C0000}"/>
    <cellStyle name="Explanatory Text 29" xfId="3111" xr:uid="{00000000-0005-0000-0000-0000020C0000}"/>
    <cellStyle name="Explanatory Text 3" xfId="3112" xr:uid="{00000000-0005-0000-0000-0000030C0000}"/>
    <cellStyle name="Explanatory Text 3 2" xfId="3113" xr:uid="{00000000-0005-0000-0000-0000040C0000}"/>
    <cellStyle name="Explanatory Text 3 3" xfId="3114" xr:uid="{00000000-0005-0000-0000-0000050C0000}"/>
    <cellStyle name="Explanatory Text 30" xfId="3115" xr:uid="{00000000-0005-0000-0000-0000060C0000}"/>
    <cellStyle name="Explanatory Text 31" xfId="3116" xr:uid="{00000000-0005-0000-0000-0000070C0000}"/>
    <cellStyle name="Explanatory Text 32" xfId="3117" xr:uid="{00000000-0005-0000-0000-0000080C0000}"/>
    <cellStyle name="Explanatory Text 33" xfId="3118" xr:uid="{00000000-0005-0000-0000-0000090C0000}"/>
    <cellStyle name="Explanatory Text 34" xfId="3119" xr:uid="{00000000-0005-0000-0000-00000A0C0000}"/>
    <cellStyle name="Explanatory Text 4" xfId="3120" xr:uid="{00000000-0005-0000-0000-00000B0C0000}"/>
    <cellStyle name="Explanatory Text 4 2" xfId="3121" xr:uid="{00000000-0005-0000-0000-00000C0C0000}"/>
    <cellStyle name="Explanatory Text 4 3" xfId="3122" xr:uid="{00000000-0005-0000-0000-00000D0C0000}"/>
    <cellStyle name="Explanatory Text 5" xfId="3123" xr:uid="{00000000-0005-0000-0000-00000E0C0000}"/>
    <cellStyle name="Explanatory Text 5 2" xfId="3124" xr:uid="{00000000-0005-0000-0000-00000F0C0000}"/>
    <cellStyle name="Explanatory Text 5 3" xfId="3125" xr:uid="{00000000-0005-0000-0000-0000100C0000}"/>
    <cellStyle name="Explanatory Text 6" xfId="3126" xr:uid="{00000000-0005-0000-0000-0000110C0000}"/>
    <cellStyle name="Explanatory Text 6 2" xfId="3127" xr:uid="{00000000-0005-0000-0000-0000120C0000}"/>
    <cellStyle name="Explanatory Text 6 3" xfId="3128" xr:uid="{00000000-0005-0000-0000-0000130C0000}"/>
    <cellStyle name="Explanatory Text 7" xfId="3129" xr:uid="{00000000-0005-0000-0000-0000140C0000}"/>
    <cellStyle name="Explanatory Text 7 2" xfId="3130" xr:uid="{00000000-0005-0000-0000-0000150C0000}"/>
    <cellStyle name="Explanatory Text 7 3" xfId="3131" xr:uid="{00000000-0005-0000-0000-0000160C0000}"/>
    <cellStyle name="Explanatory Text 8" xfId="3132" xr:uid="{00000000-0005-0000-0000-0000170C0000}"/>
    <cellStyle name="Explanatory Text 8 2" xfId="3133" xr:uid="{00000000-0005-0000-0000-0000180C0000}"/>
    <cellStyle name="Explanatory Text 8 3" xfId="3134" xr:uid="{00000000-0005-0000-0000-0000190C0000}"/>
    <cellStyle name="Explanatory Text 9" xfId="3135" xr:uid="{00000000-0005-0000-0000-00001A0C0000}"/>
    <cellStyle name="Explanatory Text 9 2" xfId="3136" xr:uid="{00000000-0005-0000-0000-00001B0C0000}"/>
    <cellStyle name="Explanatory Text 9 3" xfId="3137" xr:uid="{00000000-0005-0000-0000-00001C0C0000}"/>
    <cellStyle name="Good 10" xfId="3138" xr:uid="{00000000-0005-0000-0000-00001D0C0000}"/>
    <cellStyle name="Good 10 2" xfId="3139" xr:uid="{00000000-0005-0000-0000-00001E0C0000}"/>
    <cellStyle name="Good 10 3" xfId="3140" xr:uid="{00000000-0005-0000-0000-00001F0C0000}"/>
    <cellStyle name="Good 11" xfId="3141" xr:uid="{00000000-0005-0000-0000-0000200C0000}"/>
    <cellStyle name="Good 11 2" xfId="3142" xr:uid="{00000000-0005-0000-0000-0000210C0000}"/>
    <cellStyle name="Good 11 3" xfId="3143" xr:uid="{00000000-0005-0000-0000-0000220C0000}"/>
    <cellStyle name="Good 12" xfId="3144" xr:uid="{00000000-0005-0000-0000-0000230C0000}"/>
    <cellStyle name="Good 12 2" xfId="3145" xr:uid="{00000000-0005-0000-0000-0000240C0000}"/>
    <cellStyle name="Good 12 3" xfId="3146" xr:uid="{00000000-0005-0000-0000-0000250C0000}"/>
    <cellStyle name="Good 13" xfId="3147" xr:uid="{00000000-0005-0000-0000-0000260C0000}"/>
    <cellStyle name="Good 13 2" xfId="3148" xr:uid="{00000000-0005-0000-0000-0000270C0000}"/>
    <cellStyle name="Good 13 3" xfId="3149" xr:uid="{00000000-0005-0000-0000-0000280C0000}"/>
    <cellStyle name="Good 14" xfId="3150" xr:uid="{00000000-0005-0000-0000-0000290C0000}"/>
    <cellStyle name="Good 14 2" xfId="3151" xr:uid="{00000000-0005-0000-0000-00002A0C0000}"/>
    <cellStyle name="Good 14 3" xfId="3152" xr:uid="{00000000-0005-0000-0000-00002B0C0000}"/>
    <cellStyle name="Good 15" xfId="3153" xr:uid="{00000000-0005-0000-0000-00002C0C0000}"/>
    <cellStyle name="Good 15 2" xfId="3154" xr:uid="{00000000-0005-0000-0000-00002D0C0000}"/>
    <cellStyle name="Good 15 3" xfId="3155" xr:uid="{00000000-0005-0000-0000-00002E0C0000}"/>
    <cellStyle name="Good 15 4" xfId="3156" xr:uid="{00000000-0005-0000-0000-00002F0C0000}"/>
    <cellStyle name="Good 15 5" xfId="3157" xr:uid="{00000000-0005-0000-0000-0000300C0000}"/>
    <cellStyle name="Good 15 6" xfId="3158" xr:uid="{00000000-0005-0000-0000-0000310C0000}"/>
    <cellStyle name="Good 15 7" xfId="3159" xr:uid="{00000000-0005-0000-0000-0000320C0000}"/>
    <cellStyle name="Good 16" xfId="3160" xr:uid="{00000000-0005-0000-0000-0000330C0000}"/>
    <cellStyle name="Good 17" xfId="3161" xr:uid="{00000000-0005-0000-0000-0000340C0000}"/>
    <cellStyle name="Good 18" xfId="3162" xr:uid="{00000000-0005-0000-0000-0000350C0000}"/>
    <cellStyle name="Good 19" xfId="3163" xr:uid="{00000000-0005-0000-0000-0000360C0000}"/>
    <cellStyle name="Good 2" xfId="3164" xr:uid="{00000000-0005-0000-0000-0000370C0000}"/>
    <cellStyle name="Good 2 10" xfId="3165" xr:uid="{00000000-0005-0000-0000-0000380C0000}"/>
    <cellStyle name="Good 2 11" xfId="3166" xr:uid="{00000000-0005-0000-0000-0000390C0000}"/>
    <cellStyle name="Good 2 12" xfId="3167" xr:uid="{00000000-0005-0000-0000-00003A0C0000}"/>
    <cellStyle name="Good 2 13" xfId="3168" xr:uid="{00000000-0005-0000-0000-00003B0C0000}"/>
    <cellStyle name="Good 2 14" xfId="3169" xr:uid="{00000000-0005-0000-0000-00003C0C0000}"/>
    <cellStyle name="Good 2 2" xfId="3170" xr:uid="{00000000-0005-0000-0000-00003D0C0000}"/>
    <cellStyle name="Good 2 3" xfId="3171" xr:uid="{00000000-0005-0000-0000-00003E0C0000}"/>
    <cellStyle name="Good 2 4" xfId="3172" xr:uid="{00000000-0005-0000-0000-00003F0C0000}"/>
    <cellStyle name="Good 2 5" xfId="3173" xr:uid="{00000000-0005-0000-0000-0000400C0000}"/>
    <cellStyle name="Good 2 6" xfId="3174" xr:uid="{00000000-0005-0000-0000-0000410C0000}"/>
    <cellStyle name="Good 2 7" xfId="3175" xr:uid="{00000000-0005-0000-0000-0000420C0000}"/>
    <cellStyle name="Good 2 8" xfId="3176" xr:uid="{00000000-0005-0000-0000-0000430C0000}"/>
    <cellStyle name="Good 2 9" xfId="3177" xr:uid="{00000000-0005-0000-0000-0000440C0000}"/>
    <cellStyle name="Good 20" xfId="3178" xr:uid="{00000000-0005-0000-0000-0000450C0000}"/>
    <cellStyle name="Good 21" xfId="3179" xr:uid="{00000000-0005-0000-0000-0000460C0000}"/>
    <cellStyle name="Good 22" xfId="3180" xr:uid="{00000000-0005-0000-0000-0000470C0000}"/>
    <cellStyle name="Good 23" xfId="3181" xr:uid="{00000000-0005-0000-0000-0000480C0000}"/>
    <cellStyle name="Good 24" xfId="3182" xr:uid="{00000000-0005-0000-0000-0000490C0000}"/>
    <cellStyle name="Good 25" xfId="3183" xr:uid="{00000000-0005-0000-0000-00004A0C0000}"/>
    <cellStyle name="Good 26" xfId="3184" xr:uid="{00000000-0005-0000-0000-00004B0C0000}"/>
    <cellStyle name="Good 27" xfId="3185" xr:uid="{00000000-0005-0000-0000-00004C0C0000}"/>
    <cellStyle name="Good 28" xfId="3186" xr:uid="{00000000-0005-0000-0000-00004D0C0000}"/>
    <cellStyle name="Good 29" xfId="3187" xr:uid="{00000000-0005-0000-0000-00004E0C0000}"/>
    <cellStyle name="Good 3" xfId="3188" xr:uid="{00000000-0005-0000-0000-00004F0C0000}"/>
    <cellStyle name="Good 3 2" xfId="3189" xr:uid="{00000000-0005-0000-0000-0000500C0000}"/>
    <cellStyle name="Good 3 3" xfId="3190" xr:uid="{00000000-0005-0000-0000-0000510C0000}"/>
    <cellStyle name="Good 30" xfId="3191" xr:uid="{00000000-0005-0000-0000-0000520C0000}"/>
    <cellStyle name="Good 31" xfId="3192" xr:uid="{00000000-0005-0000-0000-0000530C0000}"/>
    <cellStyle name="Good 32" xfId="3193" xr:uid="{00000000-0005-0000-0000-0000540C0000}"/>
    <cellStyle name="Good 33" xfId="3194" xr:uid="{00000000-0005-0000-0000-0000550C0000}"/>
    <cellStyle name="Good 34" xfId="3195" xr:uid="{00000000-0005-0000-0000-0000560C0000}"/>
    <cellStyle name="Good 4" xfId="3196" xr:uid="{00000000-0005-0000-0000-0000570C0000}"/>
    <cellStyle name="Good 4 2" xfId="3197" xr:uid="{00000000-0005-0000-0000-0000580C0000}"/>
    <cellStyle name="Good 4 3" xfId="3198" xr:uid="{00000000-0005-0000-0000-0000590C0000}"/>
    <cellStyle name="Good 5" xfId="3199" xr:uid="{00000000-0005-0000-0000-00005A0C0000}"/>
    <cellStyle name="Good 5 2" xfId="3200" xr:uid="{00000000-0005-0000-0000-00005B0C0000}"/>
    <cellStyle name="Good 5 3" xfId="3201" xr:uid="{00000000-0005-0000-0000-00005C0C0000}"/>
    <cellStyle name="Good 6" xfId="3202" xr:uid="{00000000-0005-0000-0000-00005D0C0000}"/>
    <cellStyle name="Good 6 2" xfId="3203" xr:uid="{00000000-0005-0000-0000-00005E0C0000}"/>
    <cellStyle name="Good 6 3" xfId="3204" xr:uid="{00000000-0005-0000-0000-00005F0C0000}"/>
    <cellStyle name="Good 7" xfId="3205" xr:uid="{00000000-0005-0000-0000-0000600C0000}"/>
    <cellStyle name="Good 7 2" xfId="3206" xr:uid="{00000000-0005-0000-0000-0000610C0000}"/>
    <cellStyle name="Good 7 3" xfId="3207" xr:uid="{00000000-0005-0000-0000-0000620C0000}"/>
    <cellStyle name="Good 8" xfId="3208" xr:uid="{00000000-0005-0000-0000-0000630C0000}"/>
    <cellStyle name="Good 8 2" xfId="3209" xr:uid="{00000000-0005-0000-0000-0000640C0000}"/>
    <cellStyle name="Good 8 3" xfId="3210" xr:uid="{00000000-0005-0000-0000-0000650C0000}"/>
    <cellStyle name="Good 9" xfId="3211" xr:uid="{00000000-0005-0000-0000-0000660C0000}"/>
    <cellStyle name="Good 9 2" xfId="3212" xr:uid="{00000000-0005-0000-0000-0000670C0000}"/>
    <cellStyle name="Good 9 3" xfId="3213" xr:uid="{00000000-0005-0000-0000-0000680C0000}"/>
    <cellStyle name="Heading 1 10" xfId="3214" xr:uid="{00000000-0005-0000-0000-0000690C0000}"/>
    <cellStyle name="Heading 1 10 2" xfId="3215" xr:uid="{00000000-0005-0000-0000-00006A0C0000}"/>
    <cellStyle name="Heading 1 10 3" xfId="3216" xr:uid="{00000000-0005-0000-0000-00006B0C0000}"/>
    <cellStyle name="Heading 1 11" xfId="3217" xr:uid="{00000000-0005-0000-0000-00006C0C0000}"/>
    <cellStyle name="Heading 1 11 2" xfId="3218" xr:uid="{00000000-0005-0000-0000-00006D0C0000}"/>
    <cellStyle name="Heading 1 11 3" xfId="3219" xr:uid="{00000000-0005-0000-0000-00006E0C0000}"/>
    <cellStyle name="Heading 1 12" xfId="3220" xr:uid="{00000000-0005-0000-0000-00006F0C0000}"/>
    <cellStyle name="Heading 1 12 2" xfId="3221" xr:uid="{00000000-0005-0000-0000-0000700C0000}"/>
    <cellStyle name="Heading 1 12 3" xfId="3222" xr:uid="{00000000-0005-0000-0000-0000710C0000}"/>
    <cellStyle name="Heading 1 13" xfId="3223" xr:uid="{00000000-0005-0000-0000-0000720C0000}"/>
    <cellStyle name="Heading 1 13 2" xfId="3224" xr:uid="{00000000-0005-0000-0000-0000730C0000}"/>
    <cellStyle name="Heading 1 13 3" xfId="3225" xr:uid="{00000000-0005-0000-0000-0000740C0000}"/>
    <cellStyle name="Heading 1 14" xfId="3226" xr:uid="{00000000-0005-0000-0000-0000750C0000}"/>
    <cellStyle name="Heading 1 14 2" xfId="3227" xr:uid="{00000000-0005-0000-0000-0000760C0000}"/>
    <cellStyle name="Heading 1 14 3" xfId="3228" xr:uid="{00000000-0005-0000-0000-0000770C0000}"/>
    <cellStyle name="Heading 1 15" xfId="3229" xr:uid="{00000000-0005-0000-0000-0000780C0000}"/>
    <cellStyle name="Heading 1 15 2" xfId="3230" xr:uid="{00000000-0005-0000-0000-0000790C0000}"/>
    <cellStyle name="Heading 1 15 3" xfId="3231" xr:uid="{00000000-0005-0000-0000-00007A0C0000}"/>
    <cellStyle name="Heading 1 15 4" xfId="3232" xr:uid="{00000000-0005-0000-0000-00007B0C0000}"/>
    <cellStyle name="Heading 1 15 5" xfId="3233" xr:uid="{00000000-0005-0000-0000-00007C0C0000}"/>
    <cellStyle name="Heading 1 15 6" xfId="3234" xr:uid="{00000000-0005-0000-0000-00007D0C0000}"/>
    <cellStyle name="Heading 1 15 7" xfId="3235" xr:uid="{00000000-0005-0000-0000-00007E0C0000}"/>
    <cellStyle name="Heading 1 16" xfId="3236" xr:uid="{00000000-0005-0000-0000-00007F0C0000}"/>
    <cellStyle name="Heading 1 17" xfId="3237" xr:uid="{00000000-0005-0000-0000-0000800C0000}"/>
    <cellStyle name="Heading 1 18" xfId="3238" xr:uid="{00000000-0005-0000-0000-0000810C0000}"/>
    <cellStyle name="Heading 1 19" xfId="3239" xr:uid="{00000000-0005-0000-0000-0000820C0000}"/>
    <cellStyle name="Heading 1 2" xfId="3240" xr:uid="{00000000-0005-0000-0000-0000830C0000}"/>
    <cellStyle name="Heading 1 2 10" xfId="3241" xr:uid="{00000000-0005-0000-0000-0000840C0000}"/>
    <cellStyle name="Heading 1 2 11" xfId="3242" xr:uid="{00000000-0005-0000-0000-0000850C0000}"/>
    <cellStyle name="Heading 1 2 12" xfId="3243" xr:uid="{00000000-0005-0000-0000-0000860C0000}"/>
    <cellStyle name="Heading 1 2 13" xfId="3244" xr:uid="{00000000-0005-0000-0000-0000870C0000}"/>
    <cellStyle name="Heading 1 2 14" xfId="3245" xr:uid="{00000000-0005-0000-0000-0000880C0000}"/>
    <cellStyle name="Heading 1 2 2" xfId="3246" xr:uid="{00000000-0005-0000-0000-0000890C0000}"/>
    <cellStyle name="Heading 1 2 3" xfId="3247" xr:uid="{00000000-0005-0000-0000-00008A0C0000}"/>
    <cellStyle name="Heading 1 2 4" xfId="3248" xr:uid="{00000000-0005-0000-0000-00008B0C0000}"/>
    <cellStyle name="Heading 1 2 5" xfId="3249" xr:uid="{00000000-0005-0000-0000-00008C0C0000}"/>
    <cellStyle name="Heading 1 2 6" xfId="3250" xr:uid="{00000000-0005-0000-0000-00008D0C0000}"/>
    <cellStyle name="Heading 1 2 7" xfId="3251" xr:uid="{00000000-0005-0000-0000-00008E0C0000}"/>
    <cellStyle name="Heading 1 2 8" xfId="3252" xr:uid="{00000000-0005-0000-0000-00008F0C0000}"/>
    <cellStyle name="Heading 1 2 9" xfId="3253" xr:uid="{00000000-0005-0000-0000-0000900C0000}"/>
    <cellStyle name="Heading 1 20" xfId="3254" xr:uid="{00000000-0005-0000-0000-0000910C0000}"/>
    <cellStyle name="Heading 1 21" xfId="3255" xr:uid="{00000000-0005-0000-0000-0000920C0000}"/>
    <cellStyle name="Heading 1 22" xfId="3256" xr:uid="{00000000-0005-0000-0000-0000930C0000}"/>
    <cellStyle name="Heading 1 23" xfId="3257" xr:uid="{00000000-0005-0000-0000-0000940C0000}"/>
    <cellStyle name="Heading 1 24" xfId="3258" xr:uid="{00000000-0005-0000-0000-0000950C0000}"/>
    <cellStyle name="Heading 1 25" xfId="3259" xr:uid="{00000000-0005-0000-0000-0000960C0000}"/>
    <cellStyle name="Heading 1 26" xfId="3260" xr:uid="{00000000-0005-0000-0000-0000970C0000}"/>
    <cellStyle name="Heading 1 27" xfId="3261" xr:uid="{00000000-0005-0000-0000-0000980C0000}"/>
    <cellStyle name="Heading 1 28" xfId="3262" xr:uid="{00000000-0005-0000-0000-0000990C0000}"/>
    <cellStyle name="Heading 1 29" xfId="3263" xr:uid="{00000000-0005-0000-0000-00009A0C0000}"/>
    <cellStyle name="Heading 1 3" xfId="3264" xr:uid="{00000000-0005-0000-0000-00009B0C0000}"/>
    <cellStyle name="Heading 1 3 2" xfId="3265" xr:uid="{00000000-0005-0000-0000-00009C0C0000}"/>
    <cellStyle name="Heading 1 3 3" xfId="3266" xr:uid="{00000000-0005-0000-0000-00009D0C0000}"/>
    <cellStyle name="Heading 1 30" xfId="3267" xr:uid="{00000000-0005-0000-0000-00009E0C0000}"/>
    <cellStyle name="Heading 1 31" xfId="3268" xr:uid="{00000000-0005-0000-0000-00009F0C0000}"/>
    <cellStyle name="Heading 1 32" xfId="3269" xr:uid="{00000000-0005-0000-0000-0000A00C0000}"/>
    <cellStyle name="Heading 1 33" xfId="3270" xr:uid="{00000000-0005-0000-0000-0000A10C0000}"/>
    <cellStyle name="Heading 1 34" xfId="3271" xr:uid="{00000000-0005-0000-0000-0000A20C0000}"/>
    <cellStyle name="Heading 1 4" xfId="3272" xr:uid="{00000000-0005-0000-0000-0000A30C0000}"/>
    <cellStyle name="Heading 1 4 2" xfId="3273" xr:uid="{00000000-0005-0000-0000-0000A40C0000}"/>
    <cellStyle name="Heading 1 4 3" xfId="3274" xr:uid="{00000000-0005-0000-0000-0000A50C0000}"/>
    <cellStyle name="Heading 1 5" xfId="3275" xr:uid="{00000000-0005-0000-0000-0000A60C0000}"/>
    <cellStyle name="Heading 1 5 2" xfId="3276" xr:uid="{00000000-0005-0000-0000-0000A70C0000}"/>
    <cellStyle name="Heading 1 5 3" xfId="3277" xr:uid="{00000000-0005-0000-0000-0000A80C0000}"/>
    <cellStyle name="Heading 1 6" xfId="3278" xr:uid="{00000000-0005-0000-0000-0000A90C0000}"/>
    <cellStyle name="Heading 1 6 2" xfId="3279" xr:uid="{00000000-0005-0000-0000-0000AA0C0000}"/>
    <cellStyle name="Heading 1 6 3" xfId="3280" xr:uid="{00000000-0005-0000-0000-0000AB0C0000}"/>
    <cellStyle name="Heading 1 7" xfId="3281" xr:uid="{00000000-0005-0000-0000-0000AC0C0000}"/>
    <cellStyle name="Heading 1 7 2" xfId="3282" xr:uid="{00000000-0005-0000-0000-0000AD0C0000}"/>
    <cellStyle name="Heading 1 7 3" xfId="3283" xr:uid="{00000000-0005-0000-0000-0000AE0C0000}"/>
    <cellStyle name="Heading 1 8" xfId="3284" xr:uid="{00000000-0005-0000-0000-0000AF0C0000}"/>
    <cellStyle name="Heading 1 8 2" xfId="3285" xr:uid="{00000000-0005-0000-0000-0000B00C0000}"/>
    <cellStyle name="Heading 1 8 3" xfId="3286" xr:uid="{00000000-0005-0000-0000-0000B10C0000}"/>
    <cellStyle name="Heading 1 9" xfId="3287" xr:uid="{00000000-0005-0000-0000-0000B20C0000}"/>
    <cellStyle name="Heading 1 9 2" xfId="3288" xr:uid="{00000000-0005-0000-0000-0000B30C0000}"/>
    <cellStyle name="Heading 1 9 3" xfId="3289" xr:uid="{00000000-0005-0000-0000-0000B40C0000}"/>
    <cellStyle name="Heading 2 10" xfId="3290" xr:uid="{00000000-0005-0000-0000-0000B50C0000}"/>
    <cellStyle name="Heading 2 10 2" xfId="3291" xr:uid="{00000000-0005-0000-0000-0000B60C0000}"/>
    <cellStyle name="Heading 2 10 3" xfId="3292" xr:uid="{00000000-0005-0000-0000-0000B70C0000}"/>
    <cellStyle name="Heading 2 11" xfId="3293" xr:uid="{00000000-0005-0000-0000-0000B80C0000}"/>
    <cellStyle name="Heading 2 11 2" xfId="3294" xr:uid="{00000000-0005-0000-0000-0000B90C0000}"/>
    <cellStyle name="Heading 2 11 3" xfId="3295" xr:uid="{00000000-0005-0000-0000-0000BA0C0000}"/>
    <cellStyle name="Heading 2 12" xfId="3296" xr:uid="{00000000-0005-0000-0000-0000BB0C0000}"/>
    <cellStyle name="Heading 2 12 2" xfId="3297" xr:uid="{00000000-0005-0000-0000-0000BC0C0000}"/>
    <cellStyle name="Heading 2 12 3" xfId="3298" xr:uid="{00000000-0005-0000-0000-0000BD0C0000}"/>
    <cellStyle name="Heading 2 13" xfId="3299" xr:uid="{00000000-0005-0000-0000-0000BE0C0000}"/>
    <cellStyle name="Heading 2 13 2" xfId="3300" xr:uid="{00000000-0005-0000-0000-0000BF0C0000}"/>
    <cellStyle name="Heading 2 13 3" xfId="3301" xr:uid="{00000000-0005-0000-0000-0000C00C0000}"/>
    <cellStyle name="Heading 2 14" xfId="3302" xr:uid="{00000000-0005-0000-0000-0000C10C0000}"/>
    <cellStyle name="Heading 2 14 2" xfId="3303" xr:uid="{00000000-0005-0000-0000-0000C20C0000}"/>
    <cellStyle name="Heading 2 14 3" xfId="3304" xr:uid="{00000000-0005-0000-0000-0000C30C0000}"/>
    <cellStyle name="Heading 2 15" xfId="3305" xr:uid="{00000000-0005-0000-0000-0000C40C0000}"/>
    <cellStyle name="Heading 2 15 2" xfId="3306" xr:uid="{00000000-0005-0000-0000-0000C50C0000}"/>
    <cellStyle name="Heading 2 15 3" xfId="3307" xr:uid="{00000000-0005-0000-0000-0000C60C0000}"/>
    <cellStyle name="Heading 2 15 4" xfId="3308" xr:uid="{00000000-0005-0000-0000-0000C70C0000}"/>
    <cellStyle name="Heading 2 15 5" xfId="3309" xr:uid="{00000000-0005-0000-0000-0000C80C0000}"/>
    <cellStyle name="Heading 2 15 6" xfId="3310" xr:uid="{00000000-0005-0000-0000-0000C90C0000}"/>
    <cellStyle name="Heading 2 15 7" xfId="3311" xr:uid="{00000000-0005-0000-0000-0000CA0C0000}"/>
    <cellStyle name="Heading 2 16" xfId="3312" xr:uid="{00000000-0005-0000-0000-0000CB0C0000}"/>
    <cellStyle name="Heading 2 17" xfId="3313" xr:uid="{00000000-0005-0000-0000-0000CC0C0000}"/>
    <cellStyle name="Heading 2 18" xfId="3314" xr:uid="{00000000-0005-0000-0000-0000CD0C0000}"/>
    <cellStyle name="Heading 2 19" xfId="3315" xr:uid="{00000000-0005-0000-0000-0000CE0C0000}"/>
    <cellStyle name="Heading 2 2" xfId="3316" xr:uid="{00000000-0005-0000-0000-0000CF0C0000}"/>
    <cellStyle name="Heading 2 2 10" xfId="3317" xr:uid="{00000000-0005-0000-0000-0000D00C0000}"/>
    <cellStyle name="Heading 2 2 11" xfId="3318" xr:uid="{00000000-0005-0000-0000-0000D10C0000}"/>
    <cellStyle name="Heading 2 2 12" xfId="3319" xr:uid="{00000000-0005-0000-0000-0000D20C0000}"/>
    <cellStyle name="Heading 2 2 13" xfId="3320" xr:uid="{00000000-0005-0000-0000-0000D30C0000}"/>
    <cellStyle name="Heading 2 2 14" xfId="3321" xr:uid="{00000000-0005-0000-0000-0000D40C0000}"/>
    <cellStyle name="Heading 2 2 15" xfId="3322" xr:uid="{00000000-0005-0000-0000-0000D50C0000}"/>
    <cellStyle name="Heading 2 2 16" xfId="3323" xr:uid="{00000000-0005-0000-0000-0000D60C0000}"/>
    <cellStyle name="Heading 2 2 17" xfId="3324" xr:uid="{00000000-0005-0000-0000-0000D70C0000}"/>
    <cellStyle name="Heading 2 2 18" xfId="3325" xr:uid="{00000000-0005-0000-0000-0000D80C0000}"/>
    <cellStyle name="Heading 2 2 19" xfId="3326" xr:uid="{00000000-0005-0000-0000-0000D90C0000}"/>
    <cellStyle name="Heading 2 2 2" xfId="3327" xr:uid="{00000000-0005-0000-0000-0000DA0C0000}"/>
    <cellStyle name="Heading 2 2 20" xfId="3328" xr:uid="{00000000-0005-0000-0000-0000DB0C0000}"/>
    <cellStyle name="Heading 2 2 21" xfId="3329" xr:uid="{00000000-0005-0000-0000-0000DC0C0000}"/>
    <cellStyle name="Heading 2 2 3" xfId="3330" xr:uid="{00000000-0005-0000-0000-0000DD0C0000}"/>
    <cellStyle name="Heading 2 2 4" xfId="3331" xr:uid="{00000000-0005-0000-0000-0000DE0C0000}"/>
    <cellStyle name="Heading 2 2 5" xfId="3332" xr:uid="{00000000-0005-0000-0000-0000DF0C0000}"/>
    <cellStyle name="Heading 2 2 6" xfId="3333" xr:uid="{00000000-0005-0000-0000-0000E00C0000}"/>
    <cellStyle name="Heading 2 2 7" xfId="3334" xr:uid="{00000000-0005-0000-0000-0000E10C0000}"/>
    <cellStyle name="Heading 2 2 8" xfId="3335" xr:uid="{00000000-0005-0000-0000-0000E20C0000}"/>
    <cellStyle name="Heading 2 2 9" xfId="3336" xr:uid="{00000000-0005-0000-0000-0000E30C0000}"/>
    <cellStyle name="Heading 2 20" xfId="3337" xr:uid="{00000000-0005-0000-0000-0000E40C0000}"/>
    <cellStyle name="Heading 2 21" xfId="3338" xr:uid="{00000000-0005-0000-0000-0000E50C0000}"/>
    <cellStyle name="Heading 2 22" xfId="3339" xr:uid="{00000000-0005-0000-0000-0000E60C0000}"/>
    <cellStyle name="Heading 2 23" xfId="3340" xr:uid="{00000000-0005-0000-0000-0000E70C0000}"/>
    <cellStyle name="Heading 2 24" xfId="3341" xr:uid="{00000000-0005-0000-0000-0000E80C0000}"/>
    <cellStyle name="Heading 2 25" xfId="3342" xr:uid="{00000000-0005-0000-0000-0000E90C0000}"/>
    <cellStyle name="Heading 2 26" xfId="3343" xr:uid="{00000000-0005-0000-0000-0000EA0C0000}"/>
    <cellStyle name="Heading 2 27" xfId="3344" xr:uid="{00000000-0005-0000-0000-0000EB0C0000}"/>
    <cellStyle name="Heading 2 28" xfId="3345" xr:uid="{00000000-0005-0000-0000-0000EC0C0000}"/>
    <cellStyle name="Heading 2 29" xfId="3346" xr:uid="{00000000-0005-0000-0000-0000ED0C0000}"/>
    <cellStyle name="Heading 2 3" xfId="3347" xr:uid="{00000000-0005-0000-0000-0000EE0C0000}"/>
    <cellStyle name="Heading 2 3 2" xfId="3348" xr:uid="{00000000-0005-0000-0000-0000EF0C0000}"/>
    <cellStyle name="Heading 2 3 3" xfId="3349" xr:uid="{00000000-0005-0000-0000-0000F00C0000}"/>
    <cellStyle name="Heading 2 30" xfId="3350" xr:uid="{00000000-0005-0000-0000-0000F10C0000}"/>
    <cellStyle name="Heading 2 31" xfId="3351" xr:uid="{00000000-0005-0000-0000-0000F20C0000}"/>
    <cellStyle name="Heading 2 32" xfId="3352" xr:uid="{00000000-0005-0000-0000-0000F30C0000}"/>
    <cellStyle name="Heading 2 33" xfId="3353" xr:uid="{00000000-0005-0000-0000-0000F40C0000}"/>
    <cellStyle name="Heading 2 34" xfId="3354" xr:uid="{00000000-0005-0000-0000-0000F50C0000}"/>
    <cellStyle name="Heading 2 4" xfId="3355" xr:uid="{00000000-0005-0000-0000-0000F60C0000}"/>
    <cellStyle name="Heading 2 4 2" xfId="3356" xr:uid="{00000000-0005-0000-0000-0000F70C0000}"/>
    <cellStyle name="Heading 2 4 3" xfId="3357" xr:uid="{00000000-0005-0000-0000-0000F80C0000}"/>
    <cellStyle name="Heading 2 5" xfId="3358" xr:uid="{00000000-0005-0000-0000-0000F90C0000}"/>
    <cellStyle name="Heading 2 5 2" xfId="3359" xr:uid="{00000000-0005-0000-0000-0000FA0C0000}"/>
    <cellStyle name="Heading 2 5 3" xfId="3360" xr:uid="{00000000-0005-0000-0000-0000FB0C0000}"/>
    <cellStyle name="Heading 2 6" xfId="3361" xr:uid="{00000000-0005-0000-0000-0000FC0C0000}"/>
    <cellStyle name="Heading 2 6 2" xfId="3362" xr:uid="{00000000-0005-0000-0000-0000FD0C0000}"/>
    <cellStyle name="Heading 2 6 3" xfId="3363" xr:uid="{00000000-0005-0000-0000-0000FE0C0000}"/>
    <cellStyle name="Heading 2 7" xfId="3364" xr:uid="{00000000-0005-0000-0000-0000FF0C0000}"/>
    <cellStyle name="Heading 2 7 2" xfId="3365" xr:uid="{00000000-0005-0000-0000-0000000D0000}"/>
    <cellStyle name="Heading 2 7 3" xfId="3366" xr:uid="{00000000-0005-0000-0000-0000010D0000}"/>
    <cellStyle name="Heading 2 8" xfId="3367" xr:uid="{00000000-0005-0000-0000-0000020D0000}"/>
    <cellStyle name="Heading 2 8 2" xfId="3368" xr:uid="{00000000-0005-0000-0000-0000030D0000}"/>
    <cellStyle name="Heading 2 8 3" xfId="3369" xr:uid="{00000000-0005-0000-0000-0000040D0000}"/>
    <cellStyle name="Heading 2 9" xfId="3370" xr:uid="{00000000-0005-0000-0000-0000050D0000}"/>
    <cellStyle name="Heading 2 9 2" xfId="3371" xr:uid="{00000000-0005-0000-0000-0000060D0000}"/>
    <cellStyle name="Heading 2 9 3" xfId="3372" xr:uid="{00000000-0005-0000-0000-0000070D0000}"/>
    <cellStyle name="Heading 3 10" xfId="3373" xr:uid="{00000000-0005-0000-0000-0000080D0000}"/>
    <cellStyle name="Heading 3 10 2" xfId="3374" xr:uid="{00000000-0005-0000-0000-0000090D0000}"/>
    <cellStyle name="Heading 3 10 3" xfId="3375" xr:uid="{00000000-0005-0000-0000-00000A0D0000}"/>
    <cellStyle name="Heading 3 11" xfId="3376" xr:uid="{00000000-0005-0000-0000-00000B0D0000}"/>
    <cellStyle name="Heading 3 11 2" xfId="3377" xr:uid="{00000000-0005-0000-0000-00000C0D0000}"/>
    <cellStyle name="Heading 3 11 3" xfId="3378" xr:uid="{00000000-0005-0000-0000-00000D0D0000}"/>
    <cellStyle name="Heading 3 12" xfId="3379" xr:uid="{00000000-0005-0000-0000-00000E0D0000}"/>
    <cellStyle name="Heading 3 12 2" xfId="3380" xr:uid="{00000000-0005-0000-0000-00000F0D0000}"/>
    <cellStyle name="Heading 3 12 3" xfId="3381" xr:uid="{00000000-0005-0000-0000-0000100D0000}"/>
    <cellStyle name="Heading 3 13" xfId="3382" xr:uid="{00000000-0005-0000-0000-0000110D0000}"/>
    <cellStyle name="Heading 3 13 2" xfId="3383" xr:uid="{00000000-0005-0000-0000-0000120D0000}"/>
    <cellStyle name="Heading 3 13 3" xfId="3384" xr:uid="{00000000-0005-0000-0000-0000130D0000}"/>
    <cellStyle name="Heading 3 14" xfId="3385" xr:uid="{00000000-0005-0000-0000-0000140D0000}"/>
    <cellStyle name="Heading 3 14 2" xfId="3386" xr:uid="{00000000-0005-0000-0000-0000150D0000}"/>
    <cellStyle name="Heading 3 14 3" xfId="3387" xr:uid="{00000000-0005-0000-0000-0000160D0000}"/>
    <cellStyle name="Heading 3 15" xfId="3388" xr:uid="{00000000-0005-0000-0000-0000170D0000}"/>
    <cellStyle name="Heading 3 15 2" xfId="3389" xr:uid="{00000000-0005-0000-0000-0000180D0000}"/>
    <cellStyle name="Heading 3 15 3" xfId="3390" xr:uid="{00000000-0005-0000-0000-0000190D0000}"/>
    <cellStyle name="Heading 3 15 4" xfId="3391" xr:uid="{00000000-0005-0000-0000-00001A0D0000}"/>
    <cellStyle name="Heading 3 15 5" xfId="3392" xr:uid="{00000000-0005-0000-0000-00001B0D0000}"/>
    <cellStyle name="Heading 3 15 6" xfId="3393" xr:uid="{00000000-0005-0000-0000-00001C0D0000}"/>
    <cellStyle name="Heading 3 15 7" xfId="3394" xr:uid="{00000000-0005-0000-0000-00001D0D0000}"/>
    <cellStyle name="Heading 3 16" xfId="3395" xr:uid="{00000000-0005-0000-0000-00001E0D0000}"/>
    <cellStyle name="Heading 3 17" xfId="3396" xr:uid="{00000000-0005-0000-0000-00001F0D0000}"/>
    <cellStyle name="Heading 3 18" xfId="3397" xr:uid="{00000000-0005-0000-0000-0000200D0000}"/>
    <cellStyle name="Heading 3 19" xfId="3398" xr:uid="{00000000-0005-0000-0000-0000210D0000}"/>
    <cellStyle name="Heading 3 2" xfId="46" xr:uid="{00000000-0005-0000-0000-0000220D0000}"/>
    <cellStyle name="Heading 3 2 10" xfId="3400" xr:uid="{00000000-0005-0000-0000-0000230D0000}"/>
    <cellStyle name="Heading 3 2 11" xfId="3401" xr:uid="{00000000-0005-0000-0000-0000240D0000}"/>
    <cellStyle name="Heading 3 2 12" xfId="3402" xr:uid="{00000000-0005-0000-0000-0000250D0000}"/>
    <cellStyle name="Heading 3 2 13" xfId="3403" xr:uid="{00000000-0005-0000-0000-0000260D0000}"/>
    <cellStyle name="Heading 3 2 14" xfId="3404" xr:uid="{00000000-0005-0000-0000-0000270D0000}"/>
    <cellStyle name="Heading 3 2 15" xfId="3399" xr:uid="{00000000-0005-0000-0000-0000280D0000}"/>
    <cellStyle name="Heading 3 2 2" xfId="3405" xr:uid="{00000000-0005-0000-0000-0000290D0000}"/>
    <cellStyle name="Heading 3 2 3" xfId="3406" xr:uid="{00000000-0005-0000-0000-00002A0D0000}"/>
    <cellStyle name="Heading 3 2 4" xfId="3407" xr:uid="{00000000-0005-0000-0000-00002B0D0000}"/>
    <cellStyle name="Heading 3 2 5" xfId="3408" xr:uid="{00000000-0005-0000-0000-00002C0D0000}"/>
    <cellStyle name="Heading 3 2 6" xfId="3409" xr:uid="{00000000-0005-0000-0000-00002D0D0000}"/>
    <cellStyle name="Heading 3 2 7" xfId="3410" xr:uid="{00000000-0005-0000-0000-00002E0D0000}"/>
    <cellStyle name="Heading 3 2 8" xfId="3411" xr:uid="{00000000-0005-0000-0000-00002F0D0000}"/>
    <cellStyle name="Heading 3 2 9" xfId="3412" xr:uid="{00000000-0005-0000-0000-0000300D0000}"/>
    <cellStyle name="Heading 3 20" xfId="3413" xr:uid="{00000000-0005-0000-0000-0000310D0000}"/>
    <cellStyle name="Heading 3 21" xfId="3414" xr:uid="{00000000-0005-0000-0000-0000320D0000}"/>
    <cellStyle name="Heading 3 22" xfId="3415" xr:uid="{00000000-0005-0000-0000-0000330D0000}"/>
    <cellStyle name="Heading 3 23" xfId="3416" xr:uid="{00000000-0005-0000-0000-0000340D0000}"/>
    <cellStyle name="Heading 3 24" xfId="3417" xr:uid="{00000000-0005-0000-0000-0000350D0000}"/>
    <cellStyle name="Heading 3 25" xfId="3418" xr:uid="{00000000-0005-0000-0000-0000360D0000}"/>
    <cellStyle name="Heading 3 26" xfId="3419" xr:uid="{00000000-0005-0000-0000-0000370D0000}"/>
    <cellStyle name="Heading 3 27" xfId="3420" xr:uid="{00000000-0005-0000-0000-0000380D0000}"/>
    <cellStyle name="Heading 3 28" xfId="3421" xr:uid="{00000000-0005-0000-0000-0000390D0000}"/>
    <cellStyle name="Heading 3 29" xfId="3422" xr:uid="{00000000-0005-0000-0000-00003A0D0000}"/>
    <cellStyle name="Heading 3 3" xfId="3423" xr:uid="{00000000-0005-0000-0000-00003B0D0000}"/>
    <cellStyle name="Heading 3 3 2" xfId="3424" xr:uid="{00000000-0005-0000-0000-00003C0D0000}"/>
    <cellStyle name="Heading 3 3 3" xfId="3425" xr:uid="{00000000-0005-0000-0000-00003D0D0000}"/>
    <cellStyle name="Heading 3 30" xfId="3426" xr:uid="{00000000-0005-0000-0000-00003E0D0000}"/>
    <cellStyle name="Heading 3 31" xfId="3427" xr:uid="{00000000-0005-0000-0000-00003F0D0000}"/>
    <cellStyle name="Heading 3 32" xfId="3428" xr:uid="{00000000-0005-0000-0000-0000400D0000}"/>
    <cellStyle name="Heading 3 33" xfId="3429" xr:uid="{00000000-0005-0000-0000-0000410D0000}"/>
    <cellStyle name="Heading 3 34" xfId="3430" xr:uid="{00000000-0005-0000-0000-0000420D0000}"/>
    <cellStyle name="Heading 3 4" xfId="3431" xr:uid="{00000000-0005-0000-0000-0000430D0000}"/>
    <cellStyle name="Heading 3 4 2" xfId="3432" xr:uid="{00000000-0005-0000-0000-0000440D0000}"/>
    <cellStyle name="Heading 3 4 3" xfId="3433" xr:uid="{00000000-0005-0000-0000-0000450D0000}"/>
    <cellStyle name="Heading 3 5" xfId="3434" xr:uid="{00000000-0005-0000-0000-0000460D0000}"/>
    <cellStyle name="Heading 3 5 2" xfId="3435" xr:uid="{00000000-0005-0000-0000-0000470D0000}"/>
    <cellStyle name="Heading 3 5 3" xfId="3436" xr:uid="{00000000-0005-0000-0000-0000480D0000}"/>
    <cellStyle name="Heading 3 6" xfId="3437" xr:uid="{00000000-0005-0000-0000-0000490D0000}"/>
    <cellStyle name="Heading 3 6 2" xfId="3438" xr:uid="{00000000-0005-0000-0000-00004A0D0000}"/>
    <cellStyle name="Heading 3 6 3" xfId="3439" xr:uid="{00000000-0005-0000-0000-00004B0D0000}"/>
    <cellStyle name="Heading 3 7" xfId="3440" xr:uid="{00000000-0005-0000-0000-00004C0D0000}"/>
    <cellStyle name="Heading 3 7 2" xfId="3441" xr:uid="{00000000-0005-0000-0000-00004D0D0000}"/>
    <cellStyle name="Heading 3 7 3" xfId="3442" xr:uid="{00000000-0005-0000-0000-00004E0D0000}"/>
    <cellStyle name="Heading 3 8" xfId="3443" xr:uid="{00000000-0005-0000-0000-00004F0D0000}"/>
    <cellStyle name="Heading 3 8 2" xfId="3444" xr:uid="{00000000-0005-0000-0000-0000500D0000}"/>
    <cellStyle name="Heading 3 8 3" xfId="3445" xr:uid="{00000000-0005-0000-0000-0000510D0000}"/>
    <cellStyle name="Heading 3 9" xfId="3446" xr:uid="{00000000-0005-0000-0000-0000520D0000}"/>
    <cellStyle name="Heading 3 9 2" xfId="3447" xr:uid="{00000000-0005-0000-0000-0000530D0000}"/>
    <cellStyle name="Heading 3 9 3" xfId="3448" xr:uid="{00000000-0005-0000-0000-0000540D0000}"/>
    <cellStyle name="Heading 4 10" xfId="3449" xr:uid="{00000000-0005-0000-0000-0000550D0000}"/>
    <cellStyle name="Heading 4 10 2" xfId="3450" xr:uid="{00000000-0005-0000-0000-0000560D0000}"/>
    <cellStyle name="Heading 4 10 3" xfId="3451" xr:uid="{00000000-0005-0000-0000-0000570D0000}"/>
    <cellStyle name="Heading 4 11" xfId="3452" xr:uid="{00000000-0005-0000-0000-0000580D0000}"/>
    <cellStyle name="Heading 4 11 2" xfId="3453" xr:uid="{00000000-0005-0000-0000-0000590D0000}"/>
    <cellStyle name="Heading 4 11 3" xfId="3454" xr:uid="{00000000-0005-0000-0000-00005A0D0000}"/>
    <cellStyle name="Heading 4 12" xfId="3455" xr:uid="{00000000-0005-0000-0000-00005B0D0000}"/>
    <cellStyle name="Heading 4 12 2" xfId="3456" xr:uid="{00000000-0005-0000-0000-00005C0D0000}"/>
    <cellStyle name="Heading 4 12 3" xfId="3457" xr:uid="{00000000-0005-0000-0000-00005D0D0000}"/>
    <cellStyle name="Heading 4 13" xfId="3458" xr:uid="{00000000-0005-0000-0000-00005E0D0000}"/>
    <cellStyle name="Heading 4 13 2" xfId="3459" xr:uid="{00000000-0005-0000-0000-00005F0D0000}"/>
    <cellStyle name="Heading 4 13 3" xfId="3460" xr:uid="{00000000-0005-0000-0000-0000600D0000}"/>
    <cellStyle name="Heading 4 14" xfId="3461" xr:uid="{00000000-0005-0000-0000-0000610D0000}"/>
    <cellStyle name="Heading 4 14 2" xfId="3462" xr:uid="{00000000-0005-0000-0000-0000620D0000}"/>
    <cellStyle name="Heading 4 14 3" xfId="3463" xr:uid="{00000000-0005-0000-0000-0000630D0000}"/>
    <cellStyle name="Heading 4 15" xfId="3464" xr:uid="{00000000-0005-0000-0000-0000640D0000}"/>
    <cellStyle name="Heading 4 15 2" xfId="3465" xr:uid="{00000000-0005-0000-0000-0000650D0000}"/>
    <cellStyle name="Heading 4 15 3" xfId="3466" xr:uid="{00000000-0005-0000-0000-0000660D0000}"/>
    <cellStyle name="Heading 4 15 4" xfId="3467" xr:uid="{00000000-0005-0000-0000-0000670D0000}"/>
    <cellStyle name="Heading 4 15 5" xfId="3468" xr:uid="{00000000-0005-0000-0000-0000680D0000}"/>
    <cellStyle name="Heading 4 15 6" xfId="3469" xr:uid="{00000000-0005-0000-0000-0000690D0000}"/>
    <cellStyle name="Heading 4 15 7" xfId="3470" xr:uid="{00000000-0005-0000-0000-00006A0D0000}"/>
    <cellStyle name="Heading 4 16" xfId="3471" xr:uid="{00000000-0005-0000-0000-00006B0D0000}"/>
    <cellStyle name="Heading 4 17" xfId="3472" xr:uid="{00000000-0005-0000-0000-00006C0D0000}"/>
    <cellStyle name="Heading 4 18" xfId="3473" xr:uid="{00000000-0005-0000-0000-00006D0D0000}"/>
    <cellStyle name="Heading 4 19" xfId="3474" xr:uid="{00000000-0005-0000-0000-00006E0D0000}"/>
    <cellStyle name="Heading 4 2" xfId="3475" xr:uid="{00000000-0005-0000-0000-00006F0D0000}"/>
    <cellStyle name="Heading 4 2 10" xfId="3476" xr:uid="{00000000-0005-0000-0000-0000700D0000}"/>
    <cellStyle name="Heading 4 2 11" xfId="3477" xr:uid="{00000000-0005-0000-0000-0000710D0000}"/>
    <cellStyle name="Heading 4 2 12" xfId="3478" xr:uid="{00000000-0005-0000-0000-0000720D0000}"/>
    <cellStyle name="Heading 4 2 13" xfId="3479" xr:uid="{00000000-0005-0000-0000-0000730D0000}"/>
    <cellStyle name="Heading 4 2 14" xfId="3480" xr:uid="{00000000-0005-0000-0000-0000740D0000}"/>
    <cellStyle name="Heading 4 2 2" xfId="3481" xr:uid="{00000000-0005-0000-0000-0000750D0000}"/>
    <cellStyle name="Heading 4 2 3" xfId="3482" xr:uid="{00000000-0005-0000-0000-0000760D0000}"/>
    <cellStyle name="Heading 4 2 4" xfId="3483" xr:uid="{00000000-0005-0000-0000-0000770D0000}"/>
    <cellStyle name="Heading 4 2 5" xfId="3484" xr:uid="{00000000-0005-0000-0000-0000780D0000}"/>
    <cellStyle name="Heading 4 2 6" xfId="3485" xr:uid="{00000000-0005-0000-0000-0000790D0000}"/>
    <cellStyle name="Heading 4 2 7" xfId="3486" xr:uid="{00000000-0005-0000-0000-00007A0D0000}"/>
    <cellStyle name="Heading 4 2 8" xfId="3487" xr:uid="{00000000-0005-0000-0000-00007B0D0000}"/>
    <cellStyle name="Heading 4 2 9" xfId="3488" xr:uid="{00000000-0005-0000-0000-00007C0D0000}"/>
    <cellStyle name="Heading 4 20" xfId="3489" xr:uid="{00000000-0005-0000-0000-00007D0D0000}"/>
    <cellStyle name="Heading 4 21" xfId="3490" xr:uid="{00000000-0005-0000-0000-00007E0D0000}"/>
    <cellStyle name="Heading 4 22" xfId="3491" xr:uid="{00000000-0005-0000-0000-00007F0D0000}"/>
    <cellStyle name="Heading 4 23" xfId="3492" xr:uid="{00000000-0005-0000-0000-0000800D0000}"/>
    <cellStyle name="Heading 4 24" xfId="3493" xr:uid="{00000000-0005-0000-0000-0000810D0000}"/>
    <cellStyle name="Heading 4 25" xfId="3494" xr:uid="{00000000-0005-0000-0000-0000820D0000}"/>
    <cellStyle name="Heading 4 26" xfId="3495" xr:uid="{00000000-0005-0000-0000-0000830D0000}"/>
    <cellStyle name="Heading 4 27" xfId="3496" xr:uid="{00000000-0005-0000-0000-0000840D0000}"/>
    <cellStyle name="Heading 4 28" xfId="3497" xr:uid="{00000000-0005-0000-0000-0000850D0000}"/>
    <cellStyle name="Heading 4 29" xfId="3498" xr:uid="{00000000-0005-0000-0000-0000860D0000}"/>
    <cellStyle name="Heading 4 3" xfId="3499" xr:uid="{00000000-0005-0000-0000-0000870D0000}"/>
    <cellStyle name="Heading 4 3 2" xfId="3500" xr:uid="{00000000-0005-0000-0000-0000880D0000}"/>
    <cellStyle name="Heading 4 3 3" xfId="3501" xr:uid="{00000000-0005-0000-0000-0000890D0000}"/>
    <cellStyle name="Heading 4 30" xfId="3502" xr:uid="{00000000-0005-0000-0000-00008A0D0000}"/>
    <cellStyle name="Heading 4 31" xfId="3503" xr:uid="{00000000-0005-0000-0000-00008B0D0000}"/>
    <cellStyle name="Heading 4 32" xfId="3504" xr:uid="{00000000-0005-0000-0000-00008C0D0000}"/>
    <cellStyle name="Heading 4 33" xfId="3505" xr:uid="{00000000-0005-0000-0000-00008D0D0000}"/>
    <cellStyle name="Heading 4 34" xfId="3506" xr:uid="{00000000-0005-0000-0000-00008E0D0000}"/>
    <cellStyle name="Heading 4 4" xfId="3507" xr:uid="{00000000-0005-0000-0000-00008F0D0000}"/>
    <cellStyle name="Heading 4 4 2" xfId="3508" xr:uid="{00000000-0005-0000-0000-0000900D0000}"/>
    <cellStyle name="Heading 4 4 3" xfId="3509" xr:uid="{00000000-0005-0000-0000-0000910D0000}"/>
    <cellStyle name="Heading 4 5" xfId="3510" xr:uid="{00000000-0005-0000-0000-0000920D0000}"/>
    <cellStyle name="Heading 4 5 2" xfId="3511" xr:uid="{00000000-0005-0000-0000-0000930D0000}"/>
    <cellStyle name="Heading 4 5 3" xfId="3512" xr:uid="{00000000-0005-0000-0000-0000940D0000}"/>
    <cellStyle name="Heading 4 6" xfId="3513" xr:uid="{00000000-0005-0000-0000-0000950D0000}"/>
    <cellStyle name="Heading 4 6 2" xfId="3514" xr:uid="{00000000-0005-0000-0000-0000960D0000}"/>
    <cellStyle name="Heading 4 6 3" xfId="3515" xr:uid="{00000000-0005-0000-0000-0000970D0000}"/>
    <cellStyle name="Heading 4 7" xfId="3516" xr:uid="{00000000-0005-0000-0000-0000980D0000}"/>
    <cellStyle name="Heading 4 7 2" xfId="3517" xr:uid="{00000000-0005-0000-0000-0000990D0000}"/>
    <cellStyle name="Heading 4 7 3" xfId="3518" xr:uid="{00000000-0005-0000-0000-00009A0D0000}"/>
    <cellStyle name="Heading 4 8" xfId="3519" xr:uid="{00000000-0005-0000-0000-00009B0D0000}"/>
    <cellStyle name="Heading 4 8 2" xfId="3520" xr:uid="{00000000-0005-0000-0000-00009C0D0000}"/>
    <cellStyle name="Heading 4 8 3" xfId="3521" xr:uid="{00000000-0005-0000-0000-00009D0D0000}"/>
    <cellStyle name="Heading 4 9" xfId="3522" xr:uid="{00000000-0005-0000-0000-00009E0D0000}"/>
    <cellStyle name="Heading 4 9 2" xfId="3523" xr:uid="{00000000-0005-0000-0000-00009F0D0000}"/>
    <cellStyle name="Heading 4 9 3" xfId="3524" xr:uid="{00000000-0005-0000-0000-0000A00D0000}"/>
    <cellStyle name="Hyperlink" xfId="1" builtinId="8"/>
    <cellStyle name="Hyperlink 2" xfId="23" xr:uid="{00000000-0005-0000-0000-0000A20D0000}"/>
    <cellStyle name="Hyperlink 2 2" xfId="3525" xr:uid="{00000000-0005-0000-0000-0000A30D0000}"/>
    <cellStyle name="Hyperlink 3" xfId="24" xr:uid="{00000000-0005-0000-0000-0000A40D0000}"/>
    <cellStyle name="Hyperlink 3 2" xfId="3526" xr:uid="{00000000-0005-0000-0000-0000A50D0000}"/>
    <cellStyle name="Input 10" xfId="3527" xr:uid="{00000000-0005-0000-0000-0000A60D0000}"/>
    <cellStyle name="Input 10 2" xfId="3528" xr:uid="{00000000-0005-0000-0000-0000A70D0000}"/>
    <cellStyle name="Input 10 3" xfId="3529" xr:uid="{00000000-0005-0000-0000-0000A80D0000}"/>
    <cellStyle name="Input 11" xfId="3530" xr:uid="{00000000-0005-0000-0000-0000A90D0000}"/>
    <cellStyle name="Input 11 2" xfId="3531" xr:uid="{00000000-0005-0000-0000-0000AA0D0000}"/>
    <cellStyle name="Input 11 3" xfId="3532" xr:uid="{00000000-0005-0000-0000-0000AB0D0000}"/>
    <cellStyle name="Input 12" xfId="3533" xr:uid="{00000000-0005-0000-0000-0000AC0D0000}"/>
    <cellStyle name="Input 12 2" xfId="3534" xr:uid="{00000000-0005-0000-0000-0000AD0D0000}"/>
    <cellStyle name="Input 12 3" xfId="3535" xr:uid="{00000000-0005-0000-0000-0000AE0D0000}"/>
    <cellStyle name="Input 13" xfId="3536" xr:uid="{00000000-0005-0000-0000-0000AF0D0000}"/>
    <cellStyle name="Input 13 2" xfId="3537" xr:uid="{00000000-0005-0000-0000-0000B00D0000}"/>
    <cellStyle name="Input 13 3" xfId="3538" xr:uid="{00000000-0005-0000-0000-0000B10D0000}"/>
    <cellStyle name="Input 14" xfId="3539" xr:uid="{00000000-0005-0000-0000-0000B20D0000}"/>
    <cellStyle name="Input 14 2" xfId="3540" xr:uid="{00000000-0005-0000-0000-0000B30D0000}"/>
    <cellStyle name="Input 14 3" xfId="3541" xr:uid="{00000000-0005-0000-0000-0000B40D0000}"/>
    <cellStyle name="Input 15" xfId="3542" xr:uid="{00000000-0005-0000-0000-0000B50D0000}"/>
    <cellStyle name="Input 15 2" xfId="3543" xr:uid="{00000000-0005-0000-0000-0000B60D0000}"/>
    <cellStyle name="Input 15 3" xfId="3544" xr:uid="{00000000-0005-0000-0000-0000B70D0000}"/>
    <cellStyle name="Input 15 4" xfId="3545" xr:uid="{00000000-0005-0000-0000-0000B80D0000}"/>
    <cellStyle name="Input 15 5" xfId="3546" xr:uid="{00000000-0005-0000-0000-0000B90D0000}"/>
    <cellStyle name="Input 15 6" xfId="3547" xr:uid="{00000000-0005-0000-0000-0000BA0D0000}"/>
    <cellStyle name="Input 15 7" xfId="3548" xr:uid="{00000000-0005-0000-0000-0000BB0D0000}"/>
    <cellStyle name="Input 16" xfId="3549" xr:uid="{00000000-0005-0000-0000-0000BC0D0000}"/>
    <cellStyle name="Input 17" xfId="3550" xr:uid="{00000000-0005-0000-0000-0000BD0D0000}"/>
    <cellStyle name="Input 18" xfId="3551" xr:uid="{00000000-0005-0000-0000-0000BE0D0000}"/>
    <cellStyle name="Input 19" xfId="3552" xr:uid="{00000000-0005-0000-0000-0000BF0D0000}"/>
    <cellStyle name="Input 2" xfId="3553" xr:uid="{00000000-0005-0000-0000-0000C00D0000}"/>
    <cellStyle name="Input 2 10" xfId="3554" xr:uid="{00000000-0005-0000-0000-0000C10D0000}"/>
    <cellStyle name="Input 2 11" xfId="3555" xr:uid="{00000000-0005-0000-0000-0000C20D0000}"/>
    <cellStyle name="Input 2 12" xfId="3556" xr:uid="{00000000-0005-0000-0000-0000C30D0000}"/>
    <cellStyle name="Input 2 13" xfId="3557" xr:uid="{00000000-0005-0000-0000-0000C40D0000}"/>
    <cellStyle name="Input 2 14" xfId="3558" xr:uid="{00000000-0005-0000-0000-0000C50D0000}"/>
    <cellStyle name="Input 2 15" xfId="3559" xr:uid="{00000000-0005-0000-0000-0000C60D0000}"/>
    <cellStyle name="Input 2 16" xfId="3560" xr:uid="{00000000-0005-0000-0000-0000C70D0000}"/>
    <cellStyle name="Input 2 2" xfId="3561" xr:uid="{00000000-0005-0000-0000-0000C80D0000}"/>
    <cellStyle name="Input 2 3" xfId="3562" xr:uid="{00000000-0005-0000-0000-0000C90D0000}"/>
    <cellStyle name="Input 2 4" xfId="3563" xr:uid="{00000000-0005-0000-0000-0000CA0D0000}"/>
    <cellStyle name="Input 2 4 2" xfId="3564" xr:uid="{00000000-0005-0000-0000-0000CB0D0000}"/>
    <cellStyle name="Input 2 4 2 2" xfId="3565" xr:uid="{00000000-0005-0000-0000-0000CC0D0000}"/>
    <cellStyle name="Input 2 4 2 3" xfId="3566" xr:uid="{00000000-0005-0000-0000-0000CD0D0000}"/>
    <cellStyle name="Input 2 4 3" xfId="3567" xr:uid="{00000000-0005-0000-0000-0000CE0D0000}"/>
    <cellStyle name="Input 2 5" xfId="3568" xr:uid="{00000000-0005-0000-0000-0000CF0D0000}"/>
    <cellStyle name="Input 2 6" xfId="3569" xr:uid="{00000000-0005-0000-0000-0000D00D0000}"/>
    <cellStyle name="Input 2 7" xfId="3570" xr:uid="{00000000-0005-0000-0000-0000D10D0000}"/>
    <cellStyle name="Input 2 8" xfId="3571" xr:uid="{00000000-0005-0000-0000-0000D20D0000}"/>
    <cellStyle name="Input 2 9" xfId="3572" xr:uid="{00000000-0005-0000-0000-0000D30D0000}"/>
    <cellStyle name="Input 20" xfId="3573" xr:uid="{00000000-0005-0000-0000-0000D40D0000}"/>
    <cellStyle name="Input 21" xfId="3574" xr:uid="{00000000-0005-0000-0000-0000D50D0000}"/>
    <cellStyle name="Input 22" xfId="3575" xr:uid="{00000000-0005-0000-0000-0000D60D0000}"/>
    <cellStyle name="Input 23" xfId="3576" xr:uid="{00000000-0005-0000-0000-0000D70D0000}"/>
    <cellStyle name="Input 24" xfId="3577" xr:uid="{00000000-0005-0000-0000-0000D80D0000}"/>
    <cellStyle name="Input 25" xfId="3578" xr:uid="{00000000-0005-0000-0000-0000D90D0000}"/>
    <cellStyle name="Input 26" xfId="3579" xr:uid="{00000000-0005-0000-0000-0000DA0D0000}"/>
    <cellStyle name="Input 27" xfId="3580" xr:uid="{00000000-0005-0000-0000-0000DB0D0000}"/>
    <cellStyle name="Input 28" xfId="3581" xr:uid="{00000000-0005-0000-0000-0000DC0D0000}"/>
    <cellStyle name="Input 29" xfId="3582" xr:uid="{00000000-0005-0000-0000-0000DD0D0000}"/>
    <cellStyle name="Input 3" xfId="3583" xr:uid="{00000000-0005-0000-0000-0000DE0D0000}"/>
    <cellStyle name="Input 3 2" xfId="3584" xr:uid="{00000000-0005-0000-0000-0000DF0D0000}"/>
    <cellStyle name="Input 3 3" xfId="3585" xr:uid="{00000000-0005-0000-0000-0000E00D0000}"/>
    <cellStyle name="Input 30" xfId="3586" xr:uid="{00000000-0005-0000-0000-0000E10D0000}"/>
    <cellStyle name="Input 31" xfId="3587" xr:uid="{00000000-0005-0000-0000-0000E20D0000}"/>
    <cellStyle name="Input 32" xfId="3588" xr:uid="{00000000-0005-0000-0000-0000E30D0000}"/>
    <cellStyle name="Input 33" xfId="3589" xr:uid="{00000000-0005-0000-0000-0000E40D0000}"/>
    <cellStyle name="Input 34" xfId="3590" xr:uid="{00000000-0005-0000-0000-0000E50D0000}"/>
    <cellStyle name="Input 4" xfId="3591" xr:uid="{00000000-0005-0000-0000-0000E60D0000}"/>
    <cellStyle name="Input 4 2" xfId="3592" xr:uid="{00000000-0005-0000-0000-0000E70D0000}"/>
    <cellStyle name="Input 4 3" xfId="3593" xr:uid="{00000000-0005-0000-0000-0000E80D0000}"/>
    <cellStyle name="Input 5" xfId="3594" xr:uid="{00000000-0005-0000-0000-0000E90D0000}"/>
    <cellStyle name="Input 5 2" xfId="3595" xr:uid="{00000000-0005-0000-0000-0000EA0D0000}"/>
    <cellStyle name="Input 5 3" xfId="3596" xr:uid="{00000000-0005-0000-0000-0000EB0D0000}"/>
    <cellStyle name="Input 6" xfId="3597" xr:uid="{00000000-0005-0000-0000-0000EC0D0000}"/>
    <cellStyle name="Input 6 2" xfId="3598" xr:uid="{00000000-0005-0000-0000-0000ED0D0000}"/>
    <cellStyle name="Input 6 3" xfId="3599" xr:uid="{00000000-0005-0000-0000-0000EE0D0000}"/>
    <cellStyle name="Input 7" xfId="3600" xr:uid="{00000000-0005-0000-0000-0000EF0D0000}"/>
    <cellStyle name="Input 7 2" xfId="3601" xr:uid="{00000000-0005-0000-0000-0000F00D0000}"/>
    <cellStyle name="Input 7 3" xfId="3602" xr:uid="{00000000-0005-0000-0000-0000F10D0000}"/>
    <cellStyle name="Input 8" xfId="3603" xr:uid="{00000000-0005-0000-0000-0000F20D0000}"/>
    <cellStyle name="Input 8 2" xfId="3604" xr:uid="{00000000-0005-0000-0000-0000F30D0000}"/>
    <cellStyle name="Input 8 3" xfId="3605" xr:uid="{00000000-0005-0000-0000-0000F40D0000}"/>
    <cellStyle name="Input 9" xfId="3606" xr:uid="{00000000-0005-0000-0000-0000F50D0000}"/>
    <cellStyle name="Input 9 2" xfId="3607" xr:uid="{00000000-0005-0000-0000-0000F60D0000}"/>
    <cellStyle name="Input 9 3" xfId="3608" xr:uid="{00000000-0005-0000-0000-0000F70D0000}"/>
    <cellStyle name="Linked Cell 10" xfId="3609" xr:uid="{00000000-0005-0000-0000-0000F80D0000}"/>
    <cellStyle name="Linked Cell 10 2" xfId="3610" xr:uid="{00000000-0005-0000-0000-0000F90D0000}"/>
    <cellStyle name="Linked Cell 10 3" xfId="3611" xr:uid="{00000000-0005-0000-0000-0000FA0D0000}"/>
    <cellStyle name="Linked Cell 11" xfId="3612" xr:uid="{00000000-0005-0000-0000-0000FB0D0000}"/>
    <cellStyle name="Linked Cell 11 2" xfId="3613" xr:uid="{00000000-0005-0000-0000-0000FC0D0000}"/>
    <cellStyle name="Linked Cell 11 3" xfId="3614" xr:uid="{00000000-0005-0000-0000-0000FD0D0000}"/>
    <cellStyle name="Linked Cell 12" xfId="3615" xr:uid="{00000000-0005-0000-0000-0000FE0D0000}"/>
    <cellStyle name="Linked Cell 12 2" xfId="3616" xr:uid="{00000000-0005-0000-0000-0000FF0D0000}"/>
    <cellStyle name="Linked Cell 12 3" xfId="3617" xr:uid="{00000000-0005-0000-0000-0000000E0000}"/>
    <cellStyle name="Linked Cell 13" xfId="3618" xr:uid="{00000000-0005-0000-0000-0000010E0000}"/>
    <cellStyle name="Linked Cell 13 2" xfId="3619" xr:uid="{00000000-0005-0000-0000-0000020E0000}"/>
    <cellStyle name="Linked Cell 13 3" xfId="3620" xr:uid="{00000000-0005-0000-0000-0000030E0000}"/>
    <cellStyle name="Linked Cell 14" xfId="3621" xr:uid="{00000000-0005-0000-0000-0000040E0000}"/>
    <cellStyle name="Linked Cell 14 2" xfId="3622" xr:uid="{00000000-0005-0000-0000-0000050E0000}"/>
    <cellStyle name="Linked Cell 14 3" xfId="3623" xr:uid="{00000000-0005-0000-0000-0000060E0000}"/>
    <cellStyle name="Linked Cell 15" xfId="3624" xr:uid="{00000000-0005-0000-0000-0000070E0000}"/>
    <cellStyle name="Linked Cell 15 2" xfId="3625" xr:uid="{00000000-0005-0000-0000-0000080E0000}"/>
    <cellStyle name="Linked Cell 15 3" xfId="3626" xr:uid="{00000000-0005-0000-0000-0000090E0000}"/>
    <cellStyle name="Linked Cell 15 4" xfId="3627" xr:uid="{00000000-0005-0000-0000-00000A0E0000}"/>
    <cellStyle name="Linked Cell 15 5" xfId="3628" xr:uid="{00000000-0005-0000-0000-00000B0E0000}"/>
    <cellStyle name="Linked Cell 15 6" xfId="3629" xr:uid="{00000000-0005-0000-0000-00000C0E0000}"/>
    <cellStyle name="Linked Cell 15 7" xfId="3630" xr:uid="{00000000-0005-0000-0000-00000D0E0000}"/>
    <cellStyle name="Linked Cell 16" xfId="3631" xr:uid="{00000000-0005-0000-0000-00000E0E0000}"/>
    <cellStyle name="Linked Cell 17" xfId="3632" xr:uid="{00000000-0005-0000-0000-00000F0E0000}"/>
    <cellStyle name="Linked Cell 18" xfId="3633" xr:uid="{00000000-0005-0000-0000-0000100E0000}"/>
    <cellStyle name="Linked Cell 19" xfId="3634" xr:uid="{00000000-0005-0000-0000-0000110E0000}"/>
    <cellStyle name="Linked Cell 2" xfId="3635" xr:uid="{00000000-0005-0000-0000-0000120E0000}"/>
    <cellStyle name="Linked Cell 2 10" xfId="3636" xr:uid="{00000000-0005-0000-0000-0000130E0000}"/>
    <cellStyle name="Linked Cell 2 11" xfId="3637" xr:uid="{00000000-0005-0000-0000-0000140E0000}"/>
    <cellStyle name="Linked Cell 2 12" xfId="3638" xr:uid="{00000000-0005-0000-0000-0000150E0000}"/>
    <cellStyle name="Linked Cell 2 13" xfId="3639" xr:uid="{00000000-0005-0000-0000-0000160E0000}"/>
    <cellStyle name="Linked Cell 2 14" xfId="3640" xr:uid="{00000000-0005-0000-0000-0000170E0000}"/>
    <cellStyle name="Linked Cell 2 2" xfId="3641" xr:uid="{00000000-0005-0000-0000-0000180E0000}"/>
    <cellStyle name="Linked Cell 2 3" xfId="3642" xr:uid="{00000000-0005-0000-0000-0000190E0000}"/>
    <cellStyle name="Linked Cell 2 4" xfId="3643" xr:uid="{00000000-0005-0000-0000-00001A0E0000}"/>
    <cellStyle name="Linked Cell 2 5" xfId="3644" xr:uid="{00000000-0005-0000-0000-00001B0E0000}"/>
    <cellStyle name="Linked Cell 2 6" xfId="3645" xr:uid="{00000000-0005-0000-0000-00001C0E0000}"/>
    <cellStyle name="Linked Cell 2 7" xfId="3646" xr:uid="{00000000-0005-0000-0000-00001D0E0000}"/>
    <cellStyle name="Linked Cell 2 8" xfId="3647" xr:uid="{00000000-0005-0000-0000-00001E0E0000}"/>
    <cellStyle name="Linked Cell 2 9" xfId="3648" xr:uid="{00000000-0005-0000-0000-00001F0E0000}"/>
    <cellStyle name="Linked Cell 20" xfId="3649" xr:uid="{00000000-0005-0000-0000-0000200E0000}"/>
    <cellStyle name="Linked Cell 21" xfId="3650" xr:uid="{00000000-0005-0000-0000-0000210E0000}"/>
    <cellStyle name="Linked Cell 22" xfId="3651" xr:uid="{00000000-0005-0000-0000-0000220E0000}"/>
    <cellStyle name="Linked Cell 23" xfId="3652" xr:uid="{00000000-0005-0000-0000-0000230E0000}"/>
    <cellStyle name="Linked Cell 24" xfId="3653" xr:uid="{00000000-0005-0000-0000-0000240E0000}"/>
    <cellStyle name="Linked Cell 25" xfId="3654" xr:uid="{00000000-0005-0000-0000-0000250E0000}"/>
    <cellStyle name="Linked Cell 26" xfId="3655" xr:uid="{00000000-0005-0000-0000-0000260E0000}"/>
    <cellStyle name="Linked Cell 27" xfId="3656" xr:uid="{00000000-0005-0000-0000-0000270E0000}"/>
    <cellStyle name="Linked Cell 28" xfId="3657" xr:uid="{00000000-0005-0000-0000-0000280E0000}"/>
    <cellStyle name="Linked Cell 29" xfId="3658" xr:uid="{00000000-0005-0000-0000-0000290E0000}"/>
    <cellStyle name="Linked Cell 3" xfId="3659" xr:uid="{00000000-0005-0000-0000-00002A0E0000}"/>
    <cellStyle name="Linked Cell 3 2" xfId="3660" xr:uid="{00000000-0005-0000-0000-00002B0E0000}"/>
    <cellStyle name="Linked Cell 3 3" xfId="3661" xr:uid="{00000000-0005-0000-0000-00002C0E0000}"/>
    <cellStyle name="Linked Cell 30" xfId="3662" xr:uid="{00000000-0005-0000-0000-00002D0E0000}"/>
    <cellStyle name="Linked Cell 31" xfId="3663" xr:uid="{00000000-0005-0000-0000-00002E0E0000}"/>
    <cellStyle name="Linked Cell 32" xfId="3664" xr:uid="{00000000-0005-0000-0000-00002F0E0000}"/>
    <cellStyle name="Linked Cell 33" xfId="3665" xr:uid="{00000000-0005-0000-0000-0000300E0000}"/>
    <cellStyle name="Linked Cell 34" xfId="3666" xr:uid="{00000000-0005-0000-0000-0000310E0000}"/>
    <cellStyle name="Linked Cell 4" xfId="3667" xr:uid="{00000000-0005-0000-0000-0000320E0000}"/>
    <cellStyle name="Linked Cell 4 2" xfId="3668" xr:uid="{00000000-0005-0000-0000-0000330E0000}"/>
    <cellStyle name="Linked Cell 4 3" xfId="3669" xr:uid="{00000000-0005-0000-0000-0000340E0000}"/>
    <cellStyle name="Linked Cell 5" xfId="3670" xr:uid="{00000000-0005-0000-0000-0000350E0000}"/>
    <cellStyle name="Linked Cell 5 2" xfId="3671" xr:uid="{00000000-0005-0000-0000-0000360E0000}"/>
    <cellStyle name="Linked Cell 5 3" xfId="3672" xr:uid="{00000000-0005-0000-0000-0000370E0000}"/>
    <cellStyle name="Linked Cell 6" xfId="3673" xr:uid="{00000000-0005-0000-0000-0000380E0000}"/>
    <cellStyle name="Linked Cell 6 2" xfId="3674" xr:uid="{00000000-0005-0000-0000-0000390E0000}"/>
    <cellStyle name="Linked Cell 6 3" xfId="3675" xr:uid="{00000000-0005-0000-0000-00003A0E0000}"/>
    <cellStyle name="Linked Cell 7" xfId="3676" xr:uid="{00000000-0005-0000-0000-00003B0E0000}"/>
    <cellStyle name="Linked Cell 7 2" xfId="3677" xr:uid="{00000000-0005-0000-0000-00003C0E0000}"/>
    <cellStyle name="Linked Cell 7 3" xfId="3678" xr:uid="{00000000-0005-0000-0000-00003D0E0000}"/>
    <cellStyle name="Linked Cell 8" xfId="3679" xr:uid="{00000000-0005-0000-0000-00003E0E0000}"/>
    <cellStyle name="Linked Cell 8 2" xfId="3680" xr:uid="{00000000-0005-0000-0000-00003F0E0000}"/>
    <cellStyle name="Linked Cell 8 3" xfId="3681" xr:uid="{00000000-0005-0000-0000-0000400E0000}"/>
    <cellStyle name="Linked Cell 9" xfId="3682" xr:uid="{00000000-0005-0000-0000-0000410E0000}"/>
    <cellStyle name="Linked Cell 9 2" xfId="3683" xr:uid="{00000000-0005-0000-0000-0000420E0000}"/>
    <cellStyle name="Linked Cell 9 3" xfId="3684" xr:uid="{00000000-0005-0000-0000-0000430E0000}"/>
    <cellStyle name="Neutral 10" xfId="3685" xr:uid="{00000000-0005-0000-0000-0000440E0000}"/>
    <cellStyle name="Neutral 10 2" xfId="3686" xr:uid="{00000000-0005-0000-0000-0000450E0000}"/>
    <cellStyle name="Neutral 10 3" xfId="3687" xr:uid="{00000000-0005-0000-0000-0000460E0000}"/>
    <cellStyle name="Neutral 11" xfId="3688" xr:uid="{00000000-0005-0000-0000-0000470E0000}"/>
    <cellStyle name="Neutral 11 2" xfId="3689" xr:uid="{00000000-0005-0000-0000-0000480E0000}"/>
    <cellStyle name="Neutral 11 3" xfId="3690" xr:uid="{00000000-0005-0000-0000-0000490E0000}"/>
    <cellStyle name="Neutral 12" xfId="3691" xr:uid="{00000000-0005-0000-0000-00004A0E0000}"/>
    <cellStyle name="Neutral 12 2" xfId="3692" xr:uid="{00000000-0005-0000-0000-00004B0E0000}"/>
    <cellStyle name="Neutral 12 3" xfId="3693" xr:uid="{00000000-0005-0000-0000-00004C0E0000}"/>
    <cellStyle name="Neutral 13" xfId="3694" xr:uid="{00000000-0005-0000-0000-00004D0E0000}"/>
    <cellStyle name="Neutral 13 2" xfId="3695" xr:uid="{00000000-0005-0000-0000-00004E0E0000}"/>
    <cellStyle name="Neutral 13 3" xfId="3696" xr:uid="{00000000-0005-0000-0000-00004F0E0000}"/>
    <cellStyle name="Neutral 14" xfId="3697" xr:uid="{00000000-0005-0000-0000-0000500E0000}"/>
    <cellStyle name="Neutral 14 2" xfId="3698" xr:uid="{00000000-0005-0000-0000-0000510E0000}"/>
    <cellStyle name="Neutral 14 3" xfId="3699" xr:uid="{00000000-0005-0000-0000-0000520E0000}"/>
    <cellStyle name="Neutral 15" xfId="3700" xr:uid="{00000000-0005-0000-0000-0000530E0000}"/>
    <cellStyle name="Neutral 15 2" xfId="3701" xr:uid="{00000000-0005-0000-0000-0000540E0000}"/>
    <cellStyle name="Neutral 15 3" xfId="3702" xr:uid="{00000000-0005-0000-0000-0000550E0000}"/>
    <cellStyle name="Neutral 15 4" xfId="3703" xr:uid="{00000000-0005-0000-0000-0000560E0000}"/>
    <cellStyle name="Neutral 15 5" xfId="3704" xr:uid="{00000000-0005-0000-0000-0000570E0000}"/>
    <cellStyle name="Neutral 15 6" xfId="3705" xr:uid="{00000000-0005-0000-0000-0000580E0000}"/>
    <cellStyle name="Neutral 15 7" xfId="3706" xr:uid="{00000000-0005-0000-0000-0000590E0000}"/>
    <cellStyle name="Neutral 16" xfId="3707" xr:uid="{00000000-0005-0000-0000-00005A0E0000}"/>
    <cellStyle name="Neutral 17" xfId="3708" xr:uid="{00000000-0005-0000-0000-00005B0E0000}"/>
    <cellStyle name="Neutral 18" xfId="3709" xr:uid="{00000000-0005-0000-0000-00005C0E0000}"/>
    <cellStyle name="Neutral 19" xfId="3710" xr:uid="{00000000-0005-0000-0000-00005D0E0000}"/>
    <cellStyle name="Neutral 2" xfId="3711" xr:uid="{00000000-0005-0000-0000-00005E0E0000}"/>
    <cellStyle name="Neutral 2 10" xfId="3712" xr:uid="{00000000-0005-0000-0000-00005F0E0000}"/>
    <cellStyle name="Neutral 2 11" xfId="3713" xr:uid="{00000000-0005-0000-0000-0000600E0000}"/>
    <cellStyle name="Neutral 2 12" xfId="3714" xr:uid="{00000000-0005-0000-0000-0000610E0000}"/>
    <cellStyle name="Neutral 2 13" xfId="3715" xr:uid="{00000000-0005-0000-0000-0000620E0000}"/>
    <cellStyle name="Neutral 2 14" xfId="3716" xr:uid="{00000000-0005-0000-0000-0000630E0000}"/>
    <cellStyle name="Neutral 2 2" xfId="3717" xr:uid="{00000000-0005-0000-0000-0000640E0000}"/>
    <cellStyle name="Neutral 2 3" xfId="3718" xr:uid="{00000000-0005-0000-0000-0000650E0000}"/>
    <cellStyle name="Neutral 2 4" xfId="3719" xr:uid="{00000000-0005-0000-0000-0000660E0000}"/>
    <cellStyle name="Neutral 2 5" xfId="3720" xr:uid="{00000000-0005-0000-0000-0000670E0000}"/>
    <cellStyle name="Neutral 2 6" xfId="3721" xr:uid="{00000000-0005-0000-0000-0000680E0000}"/>
    <cellStyle name="Neutral 2 7" xfId="3722" xr:uid="{00000000-0005-0000-0000-0000690E0000}"/>
    <cellStyle name="Neutral 2 8" xfId="3723" xr:uid="{00000000-0005-0000-0000-00006A0E0000}"/>
    <cellStyle name="Neutral 2 9" xfId="3724" xr:uid="{00000000-0005-0000-0000-00006B0E0000}"/>
    <cellStyle name="Neutral 20" xfId="3725" xr:uid="{00000000-0005-0000-0000-00006C0E0000}"/>
    <cellStyle name="Neutral 21" xfId="3726" xr:uid="{00000000-0005-0000-0000-00006D0E0000}"/>
    <cellStyle name="Neutral 22" xfId="3727" xr:uid="{00000000-0005-0000-0000-00006E0E0000}"/>
    <cellStyle name="Neutral 23" xfId="3728" xr:uid="{00000000-0005-0000-0000-00006F0E0000}"/>
    <cellStyle name="Neutral 24" xfId="3729" xr:uid="{00000000-0005-0000-0000-0000700E0000}"/>
    <cellStyle name="Neutral 25" xfId="3730" xr:uid="{00000000-0005-0000-0000-0000710E0000}"/>
    <cellStyle name="Neutral 26" xfId="3731" xr:uid="{00000000-0005-0000-0000-0000720E0000}"/>
    <cellStyle name="Neutral 27" xfId="3732" xr:uid="{00000000-0005-0000-0000-0000730E0000}"/>
    <cellStyle name="Neutral 28" xfId="3733" xr:uid="{00000000-0005-0000-0000-0000740E0000}"/>
    <cellStyle name="Neutral 29" xfId="3734" xr:uid="{00000000-0005-0000-0000-0000750E0000}"/>
    <cellStyle name="Neutral 3" xfId="3735" xr:uid="{00000000-0005-0000-0000-0000760E0000}"/>
    <cellStyle name="Neutral 3 2" xfId="3736" xr:uid="{00000000-0005-0000-0000-0000770E0000}"/>
    <cellStyle name="Neutral 3 3" xfId="3737" xr:uid="{00000000-0005-0000-0000-0000780E0000}"/>
    <cellStyle name="Neutral 30" xfId="3738" xr:uid="{00000000-0005-0000-0000-0000790E0000}"/>
    <cellStyle name="Neutral 31" xfId="3739" xr:uid="{00000000-0005-0000-0000-00007A0E0000}"/>
    <cellStyle name="Neutral 32" xfId="3740" xr:uid="{00000000-0005-0000-0000-00007B0E0000}"/>
    <cellStyle name="Neutral 33" xfId="3741" xr:uid="{00000000-0005-0000-0000-00007C0E0000}"/>
    <cellStyle name="Neutral 34" xfId="3742" xr:uid="{00000000-0005-0000-0000-00007D0E0000}"/>
    <cellStyle name="Neutral 4" xfId="3743" xr:uid="{00000000-0005-0000-0000-00007E0E0000}"/>
    <cellStyle name="Neutral 4 2" xfId="3744" xr:uid="{00000000-0005-0000-0000-00007F0E0000}"/>
    <cellStyle name="Neutral 4 3" xfId="3745" xr:uid="{00000000-0005-0000-0000-0000800E0000}"/>
    <cellStyle name="Neutral 5" xfId="3746" xr:uid="{00000000-0005-0000-0000-0000810E0000}"/>
    <cellStyle name="Neutral 5 2" xfId="3747" xr:uid="{00000000-0005-0000-0000-0000820E0000}"/>
    <cellStyle name="Neutral 5 3" xfId="3748" xr:uid="{00000000-0005-0000-0000-0000830E0000}"/>
    <cellStyle name="Neutral 6" xfId="3749" xr:uid="{00000000-0005-0000-0000-0000840E0000}"/>
    <cellStyle name="Neutral 6 2" xfId="3750" xr:uid="{00000000-0005-0000-0000-0000850E0000}"/>
    <cellStyle name="Neutral 6 3" xfId="3751" xr:uid="{00000000-0005-0000-0000-0000860E0000}"/>
    <cellStyle name="Neutral 7" xfId="3752" xr:uid="{00000000-0005-0000-0000-0000870E0000}"/>
    <cellStyle name="Neutral 7 2" xfId="3753" xr:uid="{00000000-0005-0000-0000-0000880E0000}"/>
    <cellStyle name="Neutral 7 3" xfId="3754" xr:uid="{00000000-0005-0000-0000-0000890E0000}"/>
    <cellStyle name="Neutral 8" xfId="3755" xr:uid="{00000000-0005-0000-0000-00008A0E0000}"/>
    <cellStyle name="Neutral 8 2" xfId="3756" xr:uid="{00000000-0005-0000-0000-00008B0E0000}"/>
    <cellStyle name="Neutral 8 3" xfId="3757" xr:uid="{00000000-0005-0000-0000-00008C0E0000}"/>
    <cellStyle name="Neutral 9" xfId="3758" xr:uid="{00000000-0005-0000-0000-00008D0E0000}"/>
    <cellStyle name="Neutral 9 2" xfId="3759" xr:uid="{00000000-0005-0000-0000-00008E0E0000}"/>
    <cellStyle name="Neutral 9 3" xfId="3760" xr:uid="{00000000-0005-0000-0000-00008F0E0000}"/>
    <cellStyle name="Normal" xfId="0" builtinId="0"/>
    <cellStyle name="Normal 10" xfId="4" xr:uid="{00000000-0005-0000-0000-0000910E0000}"/>
    <cellStyle name="Normal 10 10" xfId="3762" xr:uid="{00000000-0005-0000-0000-0000920E0000}"/>
    <cellStyle name="Normal 10 11" xfId="3763" xr:uid="{00000000-0005-0000-0000-0000930E0000}"/>
    <cellStyle name="Normal 10 12" xfId="3764" xr:uid="{00000000-0005-0000-0000-0000940E0000}"/>
    <cellStyle name="Normal 10 13" xfId="3761" xr:uid="{00000000-0005-0000-0000-0000950E0000}"/>
    <cellStyle name="Normal 10 2" xfId="3765" xr:uid="{00000000-0005-0000-0000-0000960E0000}"/>
    <cellStyle name="Normal 10 3" xfId="3766" xr:uid="{00000000-0005-0000-0000-0000970E0000}"/>
    <cellStyle name="Normal 10 4" xfId="3767" xr:uid="{00000000-0005-0000-0000-0000980E0000}"/>
    <cellStyle name="Normal 10 5" xfId="3768" xr:uid="{00000000-0005-0000-0000-0000990E0000}"/>
    <cellStyle name="Normal 10 6" xfId="3769" xr:uid="{00000000-0005-0000-0000-00009A0E0000}"/>
    <cellStyle name="Normal 10 7" xfId="3770" xr:uid="{00000000-0005-0000-0000-00009B0E0000}"/>
    <cellStyle name="Normal 10 8" xfId="3771" xr:uid="{00000000-0005-0000-0000-00009C0E0000}"/>
    <cellStyle name="Normal 10 9" xfId="3772" xr:uid="{00000000-0005-0000-0000-00009D0E0000}"/>
    <cellStyle name="Normal 100" xfId="3773" xr:uid="{00000000-0005-0000-0000-00009E0E0000}"/>
    <cellStyle name="Normal 101" xfId="3774" xr:uid="{00000000-0005-0000-0000-00009F0E0000}"/>
    <cellStyle name="Normal 102" xfId="3775" xr:uid="{00000000-0005-0000-0000-0000A00E0000}"/>
    <cellStyle name="Normal 103" xfId="3776" xr:uid="{00000000-0005-0000-0000-0000A10E0000}"/>
    <cellStyle name="Normal 104" xfId="3777" xr:uid="{00000000-0005-0000-0000-0000A20E0000}"/>
    <cellStyle name="Normal 105" xfId="3778" xr:uid="{00000000-0005-0000-0000-0000A30E0000}"/>
    <cellStyle name="Normal 106" xfId="3779" xr:uid="{00000000-0005-0000-0000-0000A40E0000}"/>
    <cellStyle name="Normal 106 2" xfId="3780" xr:uid="{00000000-0005-0000-0000-0000A50E0000}"/>
    <cellStyle name="Normal 107" xfId="3781" xr:uid="{00000000-0005-0000-0000-0000A60E0000}"/>
    <cellStyle name="Normal 107 2" xfId="3782" xr:uid="{00000000-0005-0000-0000-0000A70E0000}"/>
    <cellStyle name="Normal 108" xfId="57076" xr:uid="{00000000-0005-0000-0000-0000A80E0000}"/>
    <cellStyle name="Normal 109" xfId="57077" xr:uid="{00000000-0005-0000-0000-0000A90E0000}"/>
    <cellStyle name="Normal 11" xfId="25" xr:uid="{00000000-0005-0000-0000-0000AA0E0000}"/>
    <cellStyle name="Normal 11 10" xfId="3784" xr:uid="{00000000-0005-0000-0000-0000AB0E0000}"/>
    <cellStyle name="Normal 11 10 10" xfId="3785" xr:uid="{00000000-0005-0000-0000-0000AC0E0000}"/>
    <cellStyle name="Normal 11 10 11" xfId="3786" xr:uid="{00000000-0005-0000-0000-0000AD0E0000}"/>
    <cellStyle name="Normal 11 10 12" xfId="3787" xr:uid="{00000000-0005-0000-0000-0000AE0E0000}"/>
    <cellStyle name="Normal 11 10 13" xfId="3788" xr:uid="{00000000-0005-0000-0000-0000AF0E0000}"/>
    <cellStyle name="Normal 11 10 14" xfId="3789" xr:uid="{00000000-0005-0000-0000-0000B00E0000}"/>
    <cellStyle name="Normal 11 10 2" xfId="3790" xr:uid="{00000000-0005-0000-0000-0000B10E0000}"/>
    <cellStyle name="Normal 11 10 2 2" xfId="3791" xr:uid="{00000000-0005-0000-0000-0000B20E0000}"/>
    <cellStyle name="Normal 11 10 2 2 2" xfId="3792" xr:uid="{00000000-0005-0000-0000-0000B30E0000}"/>
    <cellStyle name="Normal 11 10 2 2 3" xfId="3793" xr:uid="{00000000-0005-0000-0000-0000B40E0000}"/>
    <cellStyle name="Normal 11 10 2 3" xfId="3794" xr:uid="{00000000-0005-0000-0000-0000B50E0000}"/>
    <cellStyle name="Normal 11 10 3" xfId="3795" xr:uid="{00000000-0005-0000-0000-0000B60E0000}"/>
    <cellStyle name="Normal 11 10 4" xfId="3796" xr:uid="{00000000-0005-0000-0000-0000B70E0000}"/>
    <cellStyle name="Normal 11 10 5" xfId="3797" xr:uid="{00000000-0005-0000-0000-0000B80E0000}"/>
    <cellStyle name="Normal 11 10 6" xfId="3798" xr:uid="{00000000-0005-0000-0000-0000B90E0000}"/>
    <cellStyle name="Normal 11 10 7" xfId="3799" xr:uid="{00000000-0005-0000-0000-0000BA0E0000}"/>
    <cellStyle name="Normal 11 10 8" xfId="3800" xr:uid="{00000000-0005-0000-0000-0000BB0E0000}"/>
    <cellStyle name="Normal 11 10 9" xfId="3801" xr:uid="{00000000-0005-0000-0000-0000BC0E0000}"/>
    <cellStyle name="Normal 11 11" xfId="3802" xr:uid="{00000000-0005-0000-0000-0000BD0E0000}"/>
    <cellStyle name="Normal 11 12" xfId="3803" xr:uid="{00000000-0005-0000-0000-0000BE0E0000}"/>
    <cellStyle name="Normal 11 13" xfId="3804" xr:uid="{00000000-0005-0000-0000-0000BF0E0000}"/>
    <cellStyle name="Normal 11 13 2" xfId="3805" xr:uid="{00000000-0005-0000-0000-0000C00E0000}"/>
    <cellStyle name="Normal 11 13 2 2" xfId="3806" xr:uid="{00000000-0005-0000-0000-0000C10E0000}"/>
    <cellStyle name="Normal 11 13 2 3" xfId="3807" xr:uid="{00000000-0005-0000-0000-0000C20E0000}"/>
    <cellStyle name="Normal 11 13 3" xfId="3808" xr:uid="{00000000-0005-0000-0000-0000C30E0000}"/>
    <cellStyle name="Normal 11 14" xfId="3809" xr:uid="{00000000-0005-0000-0000-0000C40E0000}"/>
    <cellStyle name="Normal 11 14 2" xfId="3810" xr:uid="{00000000-0005-0000-0000-0000C50E0000}"/>
    <cellStyle name="Normal 11 14 2 2" xfId="3811" xr:uid="{00000000-0005-0000-0000-0000C60E0000}"/>
    <cellStyle name="Normal 11 14 2 3" xfId="3812" xr:uid="{00000000-0005-0000-0000-0000C70E0000}"/>
    <cellStyle name="Normal 11 14 3" xfId="3813" xr:uid="{00000000-0005-0000-0000-0000C80E0000}"/>
    <cellStyle name="Normal 11 15" xfId="3814" xr:uid="{00000000-0005-0000-0000-0000C90E0000}"/>
    <cellStyle name="Normal 11 16" xfId="3815" xr:uid="{00000000-0005-0000-0000-0000CA0E0000}"/>
    <cellStyle name="Normal 11 17" xfId="3816" xr:uid="{00000000-0005-0000-0000-0000CB0E0000}"/>
    <cellStyle name="Normal 11 18" xfId="3817" xr:uid="{00000000-0005-0000-0000-0000CC0E0000}"/>
    <cellStyle name="Normal 11 19" xfId="3818" xr:uid="{00000000-0005-0000-0000-0000CD0E0000}"/>
    <cellStyle name="Normal 11 2" xfId="3819" xr:uid="{00000000-0005-0000-0000-0000CE0E0000}"/>
    <cellStyle name="Normal 11 20" xfId="3820" xr:uid="{00000000-0005-0000-0000-0000CF0E0000}"/>
    <cellStyle name="Normal 11 21" xfId="3821" xr:uid="{00000000-0005-0000-0000-0000D00E0000}"/>
    <cellStyle name="Normal 11 22" xfId="3822" xr:uid="{00000000-0005-0000-0000-0000D10E0000}"/>
    <cellStyle name="Normal 11 23" xfId="3823" xr:uid="{00000000-0005-0000-0000-0000D20E0000}"/>
    <cellStyle name="Normal 11 24" xfId="3824" xr:uid="{00000000-0005-0000-0000-0000D30E0000}"/>
    <cellStyle name="Normal 11 25" xfId="3783" xr:uid="{00000000-0005-0000-0000-0000D40E0000}"/>
    <cellStyle name="Normal 11 3" xfId="3825" xr:uid="{00000000-0005-0000-0000-0000D50E0000}"/>
    <cellStyle name="Normal 11 4" xfId="3826" xr:uid="{00000000-0005-0000-0000-0000D60E0000}"/>
    <cellStyle name="Normal 11 5" xfId="3827" xr:uid="{00000000-0005-0000-0000-0000D70E0000}"/>
    <cellStyle name="Normal 11 6" xfId="3828" xr:uid="{00000000-0005-0000-0000-0000D80E0000}"/>
    <cellStyle name="Normal 11 7" xfId="3829" xr:uid="{00000000-0005-0000-0000-0000D90E0000}"/>
    <cellStyle name="Normal 11 8" xfId="3830" xr:uid="{00000000-0005-0000-0000-0000DA0E0000}"/>
    <cellStyle name="Normal 11 9" xfId="3831" xr:uid="{00000000-0005-0000-0000-0000DB0E0000}"/>
    <cellStyle name="Normal 110" xfId="57078" xr:uid="{00000000-0005-0000-0000-0000DC0E0000}"/>
    <cellStyle name="Normal 111" xfId="57079" xr:uid="{00000000-0005-0000-0000-0000DD0E0000}"/>
    <cellStyle name="Normal 112" xfId="57080" xr:uid="{00000000-0005-0000-0000-0000DE0E0000}"/>
    <cellStyle name="Normal 12" xfId="26" xr:uid="{00000000-0005-0000-0000-0000DF0E0000}"/>
    <cellStyle name="Normal 12 10" xfId="3833" xr:uid="{00000000-0005-0000-0000-0000E00E0000}"/>
    <cellStyle name="Normal 12 11" xfId="3834" xr:uid="{00000000-0005-0000-0000-0000E10E0000}"/>
    <cellStyle name="Normal 12 11 2" xfId="3835" xr:uid="{00000000-0005-0000-0000-0000E20E0000}"/>
    <cellStyle name="Normal 12 11 2 2" xfId="3836" xr:uid="{00000000-0005-0000-0000-0000E30E0000}"/>
    <cellStyle name="Normal 12 11 2 3" xfId="3837" xr:uid="{00000000-0005-0000-0000-0000E40E0000}"/>
    <cellStyle name="Normal 12 11 3" xfId="3838" xr:uid="{00000000-0005-0000-0000-0000E50E0000}"/>
    <cellStyle name="Normal 12 12" xfId="3839" xr:uid="{00000000-0005-0000-0000-0000E60E0000}"/>
    <cellStyle name="Normal 12 12 2" xfId="3840" xr:uid="{00000000-0005-0000-0000-0000E70E0000}"/>
    <cellStyle name="Normal 12 12 2 2" xfId="3841" xr:uid="{00000000-0005-0000-0000-0000E80E0000}"/>
    <cellStyle name="Normal 12 12 2 3" xfId="3842" xr:uid="{00000000-0005-0000-0000-0000E90E0000}"/>
    <cellStyle name="Normal 12 12 3" xfId="3843" xr:uid="{00000000-0005-0000-0000-0000EA0E0000}"/>
    <cellStyle name="Normal 12 13" xfId="3844" xr:uid="{00000000-0005-0000-0000-0000EB0E0000}"/>
    <cellStyle name="Normal 12 14" xfId="3845" xr:uid="{00000000-0005-0000-0000-0000EC0E0000}"/>
    <cellStyle name="Normal 12 15" xfId="3846" xr:uid="{00000000-0005-0000-0000-0000ED0E0000}"/>
    <cellStyle name="Normal 12 16" xfId="3847" xr:uid="{00000000-0005-0000-0000-0000EE0E0000}"/>
    <cellStyle name="Normal 12 17" xfId="3848" xr:uid="{00000000-0005-0000-0000-0000EF0E0000}"/>
    <cellStyle name="Normal 12 18" xfId="3849" xr:uid="{00000000-0005-0000-0000-0000F00E0000}"/>
    <cellStyle name="Normal 12 19" xfId="3850" xr:uid="{00000000-0005-0000-0000-0000F10E0000}"/>
    <cellStyle name="Normal 12 2" xfId="3851" xr:uid="{00000000-0005-0000-0000-0000F20E0000}"/>
    <cellStyle name="Normal 12 20" xfId="3852" xr:uid="{00000000-0005-0000-0000-0000F30E0000}"/>
    <cellStyle name="Normal 12 21" xfId="3853" xr:uid="{00000000-0005-0000-0000-0000F40E0000}"/>
    <cellStyle name="Normal 12 22" xfId="3854" xr:uid="{00000000-0005-0000-0000-0000F50E0000}"/>
    <cellStyle name="Normal 12 23" xfId="3832" xr:uid="{00000000-0005-0000-0000-0000F60E0000}"/>
    <cellStyle name="Normal 12 3" xfId="3855" xr:uid="{00000000-0005-0000-0000-0000F70E0000}"/>
    <cellStyle name="Normal 12 4" xfId="3856" xr:uid="{00000000-0005-0000-0000-0000F80E0000}"/>
    <cellStyle name="Normal 12 5" xfId="3857" xr:uid="{00000000-0005-0000-0000-0000F90E0000}"/>
    <cellStyle name="Normal 12 6" xfId="3858" xr:uid="{00000000-0005-0000-0000-0000FA0E0000}"/>
    <cellStyle name="Normal 12 7" xfId="3859" xr:uid="{00000000-0005-0000-0000-0000FB0E0000}"/>
    <cellStyle name="Normal 12 8" xfId="3860" xr:uid="{00000000-0005-0000-0000-0000FC0E0000}"/>
    <cellStyle name="Normal 12 8 10" xfId="3861" xr:uid="{00000000-0005-0000-0000-0000FD0E0000}"/>
    <cellStyle name="Normal 12 8 11" xfId="3862" xr:uid="{00000000-0005-0000-0000-0000FE0E0000}"/>
    <cellStyle name="Normal 12 8 12" xfId="3863" xr:uid="{00000000-0005-0000-0000-0000FF0E0000}"/>
    <cellStyle name="Normal 12 8 13" xfId="3864" xr:uid="{00000000-0005-0000-0000-0000000F0000}"/>
    <cellStyle name="Normal 12 8 14" xfId="3865" xr:uid="{00000000-0005-0000-0000-0000010F0000}"/>
    <cellStyle name="Normal 12 8 2" xfId="3866" xr:uid="{00000000-0005-0000-0000-0000020F0000}"/>
    <cellStyle name="Normal 12 8 2 2" xfId="3867" xr:uid="{00000000-0005-0000-0000-0000030F0000}"/>
    <cellStyle name="Normal 12 8 2 2 2" xfId="3868" xr:uid="{00000000-0005-0000-0000-0000040F0000}"/>
    <cellStyle name="Normal 12 8 2 2 3" xfId="3869" xr:uid="{00000000-0005-0000-0000-0000050F0000}"/>
    <cellStyle name="Normal 12 8 2 3" xfId="3870" xr:uid="{00000000-0005-0000-0000-0000060F0000}"/>
    <cellStyle name="Normal 12 8 3" xfId="3871" xr:uid="{00000000-0005-0000-0000-0000070F0000}"/>
    <cellStyle name="Normal 12 8 4" xfId="3872" xr:uid="{00000000-0005-0000-0000-0000080F0000}"/>
    <cellStyle name="Normal 12 8 5" xfId="3873" xr:uid="{00000000-0005-0000-0000-0000090F0000}"/>
    <cellStyle name="Normal 12 8 6" xfId="3874" xr:uid="{00000000-0005-0000-0000-00000A0F0000}"/>
    <cellStyle name="Normal 12 8 7" xfId="3875" xr:uid="{00000000-0005-0000-0000-00000B0F0000}"/>
    <cellStyle name="Normal 12 8 8" xfId="3876" xr:uid="{00000000-0005-0000-0000-00000C0F0000}"/>
    <cellStyle name="Normal 12 8 9" xfId="3877" xr:uid="{00000000-0005-0000-0000-00000D0F0000}"/>
    <cellStyle name="Normal 12 9" xfId="3878" xr:uid="{00000000-0005-0000-0000-00000E0F0000}"/>
    <cellStyle name="Normal 13" xfId="27" xr:uid="{00000000-0005-0000-0000-00000F0F0000}"/>
    <cellStyle name="Normal 13 10" xfId="3880" xr:uid="{00000000-0005-0000-0000-0000100F0000}"/>
    <cellStyle name="Normal 13 10 10" xfId="3881" xr:uid="{00000000-0005-0000-0000-0000110F0000}"/>
    <cellStyle name="Normal 13 10 11" xfId="3882" xr:uid="{00000000-0005-0000-0000-0000120F0000}"/>
    <cellStyle name="Normal 13 10 12" xfId="3883" xr:uid="{00000000-0005-0000-0000-0000130F0000}"/>
    <cellStyle name="Normal 13 10 13" xfId="3884" xr:uid="{00000000-0005-0000-0000-0000140F0000}"/>
    <cellStyle name="Normal 13 10 14" xfId="3885" xr:uid="{00000000-0005-0000-0000-0000150F0000}"/>
    <cellStyle name="Normal 13 10 2" xfId="3886" xr:uid="{00000000-0005-0000-0000-0000160F0000}"/>
    <cellStyle name="Normal 13 10 2 2" xfId="3887" xr:uid="{00000000-0005-0000-0000-0000170F0000}"/>
    <cellStyle name="Normal 13 10 2 2 2" xfId="3888" xr:uid="{00000000-0005-0000-0000-0000180F0000}"/>
    <cellStyle name="Normal 13 10 2 2 3" xfId="3889" xr:uid="{00000000-0005-0000-0000-0000190F0000}"/>
    <cellStyle name="Normal 13 10 2 3" xfId="3890" xr:uid="{00000000-0005-0000-0000-00001A0F0000}"/>
    <cellStyle name="Normal 13 10 3" xfId="3891" xr:uid="{00000000-0005-0000-0000-00001B0F0000}"/>
    <cellStyle name="Normal 13 10 4" xfId="3892" xr:uid="{00000000-0005-0000-0000-00001C0F0000}"/>
    <cellStyle name="Normal 13 10 5" xfId="3893" xr:uid="{00000000-0005-0000-0000-00001D0F0000}"/>
    <cellStyle name="Normal 13 10 6" xfId="3894" xr:uid="{00000000-0005-0000-0000-00001E0F0000}"/>
    <cellStyle name="Normal 13 10 7" xfId="3895" xr:uid="{00000000-0005-0000-0000-00001F0F0000}"/>
    <cellStyle name="Normal 13 10 8" xfId="3896" xr:uid="{00000000-0005-0000-0000-0000200F0000}"/>
    <cellStyle name="Normal 13 10 9" xfId="3897" xr:uid="{00000000-0005-0000-0000-0000210F0000}"/>
    <cellStyle name="Normal 13 11" xfId="3898" xr:uid="{00000000-0005-0000-0000-0000220F0000}"/>
    <cellStyle name="Normal 13 12" xfId="3899" xr:uid="{00000000-0005-0000-0000-0000230F0000}"/>
    <cellStyle name="Normal 13 13" xfId="3900" xr:uid="{00000000-0005-0000-0000-0000240F0000}"/>
    <cellStyle name="Normal 13 13 2" xfId="3901" xr:uid="{00000000-0005-0000-0000-0000250F0000}"/>
    <cellStyle name="Normal 13 13 2 2" xfId="3902" xr:uid="{00000000-0005-0000-0000-0000260F0000}"/>
    <cellStyle name="Normal 13 13 2 3" xfId="3903" xr:uid="{00000000-0005-0000-0000-0000270F0000}"/>
    <cellStyle name="Normal 13 13 3" xfId="3904" xr:uid="{00000000-0005-0000-0000-0000280F0000}"/>
    <cellStyle name="Normal 13 14" xfId="3905" xr:uid="{00000000-0005-0000-0000-0000290F0000}"/>
    <cellStyle name="Normal 13 14 2" xfId="3906" xr:uid="{00000000-0005-0000-0000-00002A0F0000}"/>
    <cellStyle name="Normal 13 14 2 2" xfId="3907" xr:uid="{00000000-0005-0000-0000-00002B0F0000}"/>
    <cellStyle name="Normal 13 14 2 3" xfId="3908" xr:uid="{00000000-0005-0000-0000-00002C0F0000}"/>
    <cellStyle name="Normal 13 14 3" xfId="3909" xr:uid="{00000000-0005-0000-0000-00002D0F0000}"/>
    <cellStyle name="Normal 13 15" xfId="3910" xr:uid="{00000000-0005-0000-0000-00002E0F0000}"/>
    <cellStyle name="Normal 13 16" xfId="3911" xr:uid="{00000000-0005-0000-0000-00002F0F0000}"/>
    <cellStyle name="Normal 13 17" xfId="3912" xr:uid="{00000000-0005-0000-0000-0000300F0000}"/>
    <cellStyle name="Normal 13 18" xfId="3913" xr:uid="{00000000-0005-0000-0000-0000310F0000}"/>
    <cellStyle name="Normal 13 19" xfId="3914" xr:uid="{00000000-0005-0000-0000-0000320F0000}"/>
    <cellStyle name="Normal 13 2" xfId="3915" xr:uid="{00000000-0005-0000-0000-0000330F0000}"/>
    <cellStyle name="Normal 13 20" xfId="3916" xr:uid="{00000000-0005-0000-0000-0000340F0000}"/>
    <cellStyle name="Normal 13 21" xfId="3917" xr:uid="{00000000-0005-0000-0000-0000350F0000}"/>
    <cellStyle name="Normal 13 22" xfId="3918" xr:uid="{00000000-0005-0000-0000-0000360F0000}"/>
    <cellStyle name="Normal 13 23" xfId="3919" xr:uid="{00000000-0005-0000-0000-0000370F0000}"/>
    <cellStyle name="Normal 13 24" xfId="3920" xr:uid="{00000000-0005-0000-0000-0000380F0000}"/>
    <cellStyle name="Normal 13 25" xfId="3879" xr:uid="{00000000-0005-0000-0000-0000390F0000}"/>
    <cellStyle name="Normal 13 3" xfId="3921" xr:uid="{00000000-0005-0000-0000-00003A0F0000}"/>
    <cellStyle name="Normal 13 4" xfId="3922" xr:uid="{00000000-0005-0000-0000-00003B0F0000}"/>
    <cellStyle name="Normal 13 5" xfId="3923" xr:uid="{00000000-0005-0000-0000-00003C0F0000}"/>
    <cellStyle name="Normal 13 6" xfId="3924" xr:uid="{00000000-0005-0000-0000-00003D0F0000}"/>
    <cellStyle name="Normal 13 7" xfId="3925" xr:uid="{00000000-0005-0000-0000-00003E0F0000}"/>
    <cellStyle name="Normal 13 8" xfId="3926" xr:uid="{00000000-0005-0000-0000-00003F0F0000}"/>
    <cellStyle name="Normal 13 9" xfId="3927" xr:uid="{00000000-0005-0000-0000-0000400F0000}"/>
    <cellStyle name="Normal 14" xfId="39" xr:uid="{00000000-0005-0000-0000-0000410F0000}"/>
    <cellStyle name="Normal 14 10" xfId="3929" xr:uid="{00000000-0005-0000-0000-0000420F0000}"/>
    <cellStyle name="Normal 14 10 10" xfId="3930" xr:uid="{00000000-0005-0000-0000-0000430F0000}"/>
    <cellStyle name="Normal 14 10 11" xfId="3931" xr:uid="{00000000-0005-0000-0000-0000440F0000}"/>
    <cellStyle name="Normal 14 10 12" xfId="3932" xr:uid="{00000000-0005-0000-0000-0000450F0000}"/>
    <cellStyle name="Normal 14 10 13" xfId="3933" xr:uid="{00000000-0005-0000-0000-0000460F0000}"/>
    <cellStyle name="Normal 14 10 14" xfId="3934" xr:uid="{00000000-0005-0000-0000-0000470F0000}"/>
    <cellStyle name="Normal 14 10 2" xfId="3935" xr:uid="{00000000-0005-0000-0000-0000480F0000}"/>
    <cellStyle name="Normal 14 10 2 2" xfId="3936" xr:uid="{00000000-0005-0000-0000-0000490F0000}"/>
    <cellStyle name="Normal 14 10 2 2 2" xfId="3937" xr:uid="{00000000-0005-0000-0000-00004A0F0000}"/>
    <cellStyle name="Normal 14 10 2 2 3" xfId="3938" xr:uid="{00000000-0005-0000-0000-00004B0F0000}"/>
    <cellStyle name="Normal 14 10 2 3" xfId="3939" xr:uid="{00000000-0005-0000-0000-00004C0F0000}"/>
    <cellStyle name="Normal 14 10 3" xfId="3940" xr:uid="{00000000-0005-0000-0000-00004D0F0000}"/>
    <cellStyle name="Normal 14 10 4" xfId="3941" xr:uid="{00000000-0005-0000-0000-00004E0F0000}"/>
    <cellStyle name="Normal 14 10 5" xfId="3942" xr:uid="{00000000-0005-0000-0000-00004F0F0000}"/>
    <cellStyle name="Normal 14 10 6" xfId="3943" xr:uid="{00000000-0005-0000-0000-0000500F0000}"/>
    <cellStyle name="Normal 14 10 7" xfId="3944" xr:uid="{00000000-0005-0000-0000-0000510F0000}"/>
    <cellStyle name="Normal 14 10 8" xfId="3945" xr:uid="{00000000-0005-0000-0000-0000520F0000}"/>
    <cellStyle name="Normal 14 10 9" xfId="3946" xr:uid="{00000000-0005-0000-0000-0000530F0000}"/>
    <cellStyle name="Normal 14 11" xfId="3947" xr:uid="{00000000-0005-0000-0000-0000540F0000}"/>
    <cellStyle name="Normal 14 12" xfId="3948" xr:uid="{00000000-0005-0000-0000-0000550F0000}"/>
    <cellStyle name="Normal 14 13" xfId="3949" xr:uid="{00000000-0005-0000-0000-0000560F0000}"/>
    <cellStyle name="Normal 14 13 2" xfId="3950" xr:uid="{00000000-0005-0000-0000-0000570F0000}"/>
    <cellStyle name="Normal 14 13 2 2" xfId="3951" xr:uid="{00000000-0005-0000-0000-0000580F0000}"/>
    <cellStyle name="Normal 14 13 2 3" xfId="3952" xr:uid="{00000000-0005-0000-0000-0000590F0000}"/>
    <cellStyle name="Normal 14 13 3" xfId="3953" xr:uid="{00000000-0005-0000-0000-00005A0F0000}"/>
    <cellStyle name="Normal 14 14" xfId="3954" xr:uid="{00000000-0005-0000-0000-00005B0F0000}"/>
    <cellStyle name="Normal 14 14 2" xfId="3955" xr:uid="{00000000-0005-0000-0000-00005C0F0000}"/>
    <cellStyle name="Normal 14 14 2 2" xfId="3956" xr:uid="{00000000-0005-0000-0000-00005D0F0000}"/>
    <cellStyle name="Normal 14 14 2 3" xfId="3957" xr:uid="{00000000-0005-0000-0000-00005E0F0000}"/>
    <cellStyle name="Normal 14 14 3" xfId="3958" xr:uid="{00000000-0005-0000-0000-00005F0F0000}"/>
    <cellStyle name="Normal 14 15" xfId="3959" xr:uid="{00000000-0005-0000-0000-0000600F0000}"/>
    <cellStyle name="Normal 14 16" xfId="3960" xr:uid="{00000000-0005-0000-0000-0000610F0000}"/>
    <cellStyle name="Normal 14 17" xfId="3961" xr:uid="{00000000-0005-0000-0000-0000620F0000}"/>
    <cellStyle name="Normal 14 18" xfId="3962" xr:uid="{00000000-0005-0000-0000-0000630F0000}"/>
    <cellStyle name="Normal 14 19" xfId="3963" xr:uid="{00000000-0005-0000-0000-0000640F0000}"/>
    <cellStyle name="Normal 14 2" xfId="3964" xr:uid="{00000000-0005-0000-0000-0000650F0000}"/>
    <cellStyle name="Normal 14 20" xfId="3965" xr:uid="{00000000-0005-0000-0000-0000660F0000}"/>
    <cellStyle name="Normal 14 21" xfId="3966" xr:uid="{00000000-0005-0000-0000-0000670F0000}"/>
    <cellStyle name="Normal 14 22" xfId="3967" xr:uid="{00000000-0005-0000-0000-0000680F0000}"/>
    <cellStyle name="Normal 14 23" xfId="3968" xr:uid="{00000000-0005-0000-0000-0000690F0000}"/>
    <cellStyle name="Normal 14 24" xfId="3969" xr:uid="{00000000-0005-0000-0000-00006A0F0000}"/>
    <cellStyle name="Normal 14 25" xfId="3928" xr:uid="{00000000-0005-0000-0000-00006B0F0000}"/>
    <cellStyle name="Normal 14 3" xfId="3970" xr:uid="{00000000-0005-0000-0000-00006C0F0000}"/>
    <cellStyle name="Normal 14 4" xfId="3971" xr:uid="{00000000-0005-0000-0000-00006D0F0000}"/>
    <cellStyle name="Normal 14 5" xfId="3972" xr:uid="{00000000-0005-0000-0000-00006E0F0000}"/>
    <cellStyle name="Normal 14 6" xfId="3973" xr:uid="{00000000-0005-0000-0000-00006F0F0000}"/>
    <cellStyle name="Normal 14 7" xfId="3974" xr:uid="{00000000-0005-0000-0000-0000700F0000}"/>
    <cellStyle name="Normal 14 8" xfId="3975" xr:uid="{00000000-0005-0000-0000-0000710F0000}"/>
    <cellStyle name="Normal 14 9" xfId="3976" xr:uid="{00000000-0005-0000-0000-0000720F0000}"/>
    <cellStyle name="Normal 15" xfId="37" xr:uid="{00000000-0005-0000-0000-0000730F0000}"/>
    <cellStyle name="Normal 15 10" xfId="3978" xr:uid="{00000000-0005-0000-0000-0000740F0000}"/>
    <cellStyle name="Normal 15 11" xfId="3979" xr:uid="{00000000-0005-0000-0000-0000750F0000}"/>
    <cellStyle name="Normal 15 11 2" xfId="3980" xr:uid="{00000000-0005-0000-0000-0000760F0000}"/>
    <cellStyle name="Normal 15 11 2 2" xfId="3981" xr:uid="{00000000-0005-0000-0000-0000770F0000}"/>
    <cellStyle name="Normal 15 11 2 3" xfId="3982" xr:uid="{00000000-0005-0000-0000-0000780F0000}"/>
    <cellStyle name="Normal 15 11 3" xfId="3983" xr:uid="{00000000-0005-0000-0000-0000790F0000}"/>
    <cellStyle name="Normal 15 12" xfId="3984" xr:uid="{00000000-0005-0000-0000-00007A0F0000}"/>
    <cellStyle name="Normal 15 12 2" xfId="3985" xr:uid="{00000000-0005-0000-0000-00007B0F0000}"/>
    <cellStyle name="Normal 15 12 2 2" xfId="3986" xr:uid="{00000000-0005-0000-0000-00007C0F0000}"/>
    <cellStyle name="Normal 15 12 2 3" xfId="3987" xr:uid="{00000000-0005-0000-0000-00007D0F0000}"/>
    <cellStyle name="Normal 15 12 3" xfId="3988" xr:uid="{00000000-0005-0000-0000-00007E0F0000}"/>
    <cellStyle name="Normal 15 13" xfId="3989" xr:uid="{00000000-0005-0000-0000-00007F0F0000}"/>
    <cellStyle name="Normal 15 14" xfId="3990" xr:uid="{00000000-0005-0000-0000-0000800F0000}"/>
    <cellStyle name="Normal 15 15" xfId="3991" xr:uid="{00000000-0005-0000-0000-0000810F0000}"/>
    <cellStyle name="Normal 15 16" xfId="3992" xr:uid="{00000000-0005-0000-0000-0000820F0000}"/>
    <cellStyle name="Normal 15 17" xfId="3993" xr:uid="{00000000-0005-0000-0000-0000830F0000}"/>
    <cellStyle name="Normal 15 18" xfId="3994" xr:uid="{00000000-0005-0000-0000-0000840F0000}"/>
    <cellStyle name="Normal 15 19" xfId="3995" xr:uid="{00000000-0005-0000-0000-0000850F0000}"/>
    <cellStyle name="Normal 15 2" xfId="3996" xr:uid="{00000000-0005-0000-0000-0000860F0000}"/>
    <cellStyle name="Normal 15 20" xfId="3997" xr:uid="{00000000-0005-0000-0000-0000870F0000}"/>
    <cellStyle name="Normal 15 21" xfId="3998" xr:uid="{00000000-0005-0000-0000-0000880F0000}"/>
    <cellStyle name="Normal 15 22" xfId="3999" xr:uid="{00000000-0005-0000-0000-0000890F0000}"/>
    <cellStyle name="Normal 15 23" xfId="3977" xr:uid="{00000000-0005-0000-0000-00008A0F0000}"/>
    <cellStyle name="Normal 15 3" xfId="4000" xr:uid="{00000000-0005-0000-0000-00008B0F0000}"/>
    <cellStyle name="Normal 15 4" xfId="4001" xr:uid="{00000000-0005-0000-0000-00008C0F0000}"/>
    <cellStyle name="Normal 15 5" xfId="4002" xr:uid="{00000000-0005-0000-0000-00008D0F0000}"/>
    <cellStyle name="Normal 15 6" xfId="4003" xr:uid="{00000000-0005-0000-0000-00008E0F0000}"/>
    <cellStyle name="Normal 15 7" xfId="4004" xr:uid="{00000000-0005-0000-0000-00008F0F0000}"/>
    <cellStyle name="Normal 15 8" xfId="4005" xr:uid="{00000000-0005-0000-0000-0000900F0000}"/>
    <cellStyle name="Normal 15 8 10" xfId="4006" xr:uid="{00000000-0005-0000-0000-0000910F0000}"/>
    <cellStyle name="Normal 15 8 11" xfId="4007" xr:uid="{00000000-0005-0000-0000-0000920F0000}"/>
    <cellStyle name="Normal 15 8 12" xfId="4008" xr:uid="{00000000-0005-0000-0000-0000930F0000}"/>
    <cellStyle name="Normal 15 8 13" xfId="4009" xr:uid="{00000000-0005-0000-0000-0000940F0000}"/>
    <cellStyle name="Normal 15 8 14" xfId="4010" xr:uid="{00000000-0005-0000-0000-0000950F0000}"/>
    <cellStyle name="Normal 15 8 2" xfId="4011" xr:uid="{00000000-0005-0000-0000-0000960F0000}"/>
    <cellStyle name="Normal 15 8 2 2" xfId="4012" xr:uid="{00000000-0005-0000-0000-0000970F0000}"/>
    <cellStyle name="Normal 15 8 2 2 2" xfId="4013" xr:uid="{00000000-0005-0000-0000-0000980F0000}"/>
    <cellStyle name="Normal 15 8 2 2 3" xfId="4014" xr:uid="{00000000-0005-0000-0000-0000990F0000}"/>
    <cellStyle name="Normal 15 8 2 3" xfId="4015" xr:uid="{00000000-0005-0000-0000-00009A0F0000}"/>
    <cellStyle name="Normal 15 8 3" xfId="4016" xr:uid="{00000000-0005-0000-0000-00009B0F0000}"/>
    <cellStyle name="Normal 15 8 4" xfId="4017" xr:uid="{00000000-0005-0000-0000-00009C0F0000}"/>
    <cellStyle name="Normal 15 8 5" xfId="4018" xr:uid="{00000000-0005-0000-0000-00009D0F0000}"/>
    <cellStyle name="Normal 15 8 6" xfId="4019" xr:uid="{00000000-0005-0000-0000-00009E0F0000}"/>
    <cellStyle name="Normal 15 8 7" xfId="4020" xr:uid="{00000000-0005-0000-0000-00009F0F0000}"/>
    <cellStyle name="Normal 15 8 8" xfId="4021" xr:uid="{00000000-0005-0000-0000-0000A00F0000}"/>
    <cellStyle name="Normal 15 8 9" xfId="4022" xr:uid="{00000000-0005-0000-0000-0000A10F0000}"/>
    <cellStyle name="Normal 15 9" xfId="4023" xr:uid="{00000000-0005-0000-0000-0000A20F0000}"/>
    <cellStyle name="Normal 16" xfId="40" xr:uid="{00000000-0005-0000-0000-0000A30F0000}"/>
    <cellStyle name="Normal 16 10" xfId="4025" xr:uid="{00000000-0005-0000-0000-0000A40F0000}"/>
    <cellStyle name="Normal 16 11" xfId="4026" xr:uid="{00000000-0005-0000-0000-0000A50F0000}"/>
    <cellStyle name="Normal 16 12" xfId="4027" xr:uid="{00000000-0005-0000-0000-0000A60F0000}"/>
    <cellStyle name="Normal 16 13" xfId="4028" xr:uid="{00000000-0005-0000-0000-0000A70F0000}"/>
    <cellStyle name="Normal 16 14" xfId="4029" xr:uid="{00000000-0005-0000-0000-0000A80F0000}"/>
    <cellStyle name="Normal 16 15" xfId="4030" xr:uid="{00000000-0005-0000-0000-0000A90F0000}"/>
    <cellStyle name="Normal 16 16" xfId="4031" xr:uid="{00000000-0005-0000-0000-0000AA0F0000}"/>
    <cellStyle name="Normal 16 17" xfId="4032" xr:uid="{00000000-0005-0000-0000-0000AB0F0000}"/>
    <cellStyle name="Normal 16 18" xfId="4033" xr:uid="{00000000-0005-0000-0000-0000AC0F0000}"/>
    <cellStyle name="Normal 16 19" xfId="4024" xr:uid="{00000000-0005-0000-0000-0000AD0F0000}"/>
    <cellStyle name="Normal 16 2" xfId="4034" xr:uid="{00000000-0005-0000-0000-0000AE0F0000}"/>
    <cellStyle name="Normal 16 2 10" xfId="4035" xr:uid="{00000000-0005-0000-0000-0000AF0F0000}"/>
    <cellStyle name="Normal 16 2 11" xfId="4036" xr:uid="{00000000-0005-0000-0000-0000B00F0000}"/>
    <cellStyle name="Normal 16 2 12" xfId="4037" xr:uid="{00000000-0005-0000-0000-0000B10F0000}"/>
    <cellStyle name="Normal 16 2 13" xfId="4038" xr:uid="{00000000-0005-0000-0000-0000B20F0000}"/>
    <cellStyle name="Normal 16 2 14" xfId="4039" xr:uid="{00000000-0005-0000-0000-0000B30F0000}"/>
    <cellStyle name="Normal 16 2 15" xfId="4040" xr:uid="{00000000-0005-0000-0000-0000B40F0000}"/>
    <cellStyle name="Normal 16 2 16" xfId="4041" xr:uid="{00000000-0005-0000-0000-0000B50F0000}"/>
    <cellStyle name="Normal 16 2 17" xfId="4042" xr:uid="{00000000-0005-0000-0000-0000B60F0000}"/>
    <cellStyle name="Normal 16 2 2" xfId="4043" xr:uid="{00000000-0005-0000-0000-0000B70F0000}"/>
    <cellStyle name="Normal 16 2 2 10" xfId="4044" xr:uid="{00000000-0005-0000-0000-0000B80F0000}"/>
    <cellStyle name="Normal 16 2 2 11" xfId="4045" xr:uid="{00000000-0005-0000-0000-0000B90F0000}"/>
    <cellStyle name="Normal 16 2 2 12" xfId="4046" xr:uid="{00000000-0005-0000-0000-0000BA0F0000}"/>
    <cellStyle name="Normal 16 2 2 13" xfId="4047" xr:uid="{00000000-0005-0000-0000-0000BB0F0000}"/>
    <cellStyle name="Normal 16 2 2 14" xfId="4048" xr:uid="{00000000-0005-0000-0000-0000BC0F0000}"/>
    <cellStyle name="Normal 16 2 2 2" xfId="4049" xr:uid="{00000000-0005-0000-0000-0000BD0F0000}"/>
    <cellStyle name="Normal 16 2 2 2 2" xfId="4050" xr:uid="{00000000-0005-0000-0000-0000BE0F0000}"/>
    <cellStyle name="Normal 16 2 2 2 2 2" xfId="4051" xr:uid="{00000000-0005-0000-0000-0000BF0F0000}"/>
    <cellStyle name="Normal 16 2 2 2 2 3" xfId="4052" xr:uid="{00000000-0005-0000-0000-0000C00F0000}"/>
    <cellStyle name="Normal 16 2 2 2 3" xfId="4053" xr:uid="{00000000-0005-0000-0000-0000C10F0000}"/>
    <cellStyle name="Normal 16 2 2 3" xfId="4054" xr:uid="{00000000-0005-0000-0000-0000C20F0000}"/>
    <cellStyle name="Normal 16 2 2 4" xfId="4055" xr:uid="{00000000-0005-0000-0000-0000C30F0000}"/>
    <cellStyle name="Normal 16 2 2 5" xfId="4056" xr:uid="{00000000-0005-0000-0000-0000C40F0000}"/>
    <cellStyle name="Normal 16 2 2 6" xfId="4057" xr:uid="{00000000-0005-0000-0000-0000C50F0000}"/>
    <cellStyle name="Normal 16 2 2 7" xfId="4058" xr:uid="{00000000-0005-0000-0000-0000C60F0000}"/>
    <cellStyle name="Normal 16 2 2 8" xfId="4059" xr:uid="{00000000-0005-0000-0000-0000C70F0000}"/>
    <cellStyle name="Normal 16 2 2 9" xfId="4060" xr:uid="{00000000-0005-0000-0000-0000C80F0000}"/>
    <cellStyle name="Normal 16 2 3" xfId="4061" xr:uid="{00000000-0005-0000-0000-0000C90F0000}"/>
    <cellStyle name="Normal 16 2 4" xfId="4062" xr:uid="{00000000-0005-0000-0000-0000CA0F0000}"/>
    <cellStyle name="Normal 16 2 5" xfId="4063" xr:uid="{00000000-0005-0000-0000-0000CB0F0000}"/>
    <cellStyle name="Normal 16 2 6" xfId="4064" xr:uid="{00000000-0005-0000-0000-0000CC0F0000}"/>
    <cellStyle name="Normal 16 2 6 2" xfId="4065" xr:uid="{00000000-0005-0000-0000-0000CD0F0000}"/>
    <cellStyle name="Normal 16 2 6 2 2" xfId="4066" xr:uid="{00000000-0005-0000-0000-0000CE0F0000}"/>
    <cellStyle name="Normal 16 2 6 2 3" xfId="4067" xr:uid="{00000000-0005-0000-0000-0000CF0F0000}"/>
    <cellStyle name="Normal 16 2 6 3" xfId="4068" xr:uid="{00000000-0005-0000-0000-0000D00F0000}"/>
    <cellStyle name="Normal 16 2 7" xfId="4069" xr:uid="{00000000-0005-0000-0000-0000D10F0000}"/>
    <cellStyle name="Normal 16 2 7 2" xfId="4070" xr:uid="{00000000-0005-0000-0000-0000D20F0000}"/>
    <cellStyle name="Normal 16 2 7 2 2" xfId="4071" xr:uid="{00000000-0005-0000-0000-0000D30F0000}"/>
    <cellStyle name="Normal 16 2 7 2 3" xfId="4072" xr:uid="{00000000-0005-0000-0000-0000D40F0000}"/>
    <cellStyle name="Normal 16 2 7 3" xfId="4073" xr:uid="{00000000-0005-0000-0000-0000D50F0000}"/>
    <cellStyle name="Normal 16 2 8" xfId="4074" xr:uid="{00000000-0005-0000-0000-0000D60F0000}"/>
    <cellStyle name="Normal 16 2 9" xfId="4075" xr:uid="{00000000-0005-0000-0000-0000D70F0000}"/>
    <cellStyle name="Normal 16 3" xfId="4076" xr:uid="{00000000-0005-0000-0000-0000D80F0000}"/>
    <cellStyle name="Normal 16 4" xfId="4077" xr:uid="{00000000-0005-0000-0000-0000D90F0000}"/>
    <cellStyle name="Normal 16 4 10" xfId="4078" xr:uid="{00000000-0005-0000-0000-0000DA0F0000}"/>
    <cellStyle name="Normal 16 4 11" xfId="4079" xr:uid="{00000000-0005-0000-0000-0000DB0F0000}"/>
    <cellStyle name="Normal 16 4 12" xfId="4080" xr:uid="{00000000-0005-0000-0000-0000DC0F0000}"/>
    <cellStyle name="Normal 16 4 13" xfId="4081" xr:uid="{00000000-0005-0000-0000-0000DD0F0000}"/>
    <cellStyle name="Normal 16 4 14" xfId="4082" xr:uid="{00000000-0005-0000-0000-0000DE0F0000}"/>
    <cellStyle name="Normal 16 4 2" xfId="4083" xr:uid="{00000000-0005-0000-0000-0000DF0F0000}"/>
    <cellStyle name="Normal 16 4 2 2" xfId="4084" xr:uid="{00000000-0005-0000-0000-0000E00F0000}"/>
    <cellStyle name="Normal 16 4 2 2 2" xfId="4085" xr:uid="{00000000-0005-0000-0000-0000E10F0000}"/>
    <cellStyle name="Normal 16 4 2 2 3" xfId="4086" xr:uid="{00000000-0005-0000-0000-0000E20F0000}"/>
    <cellStyle name="Normal 16 4 2 3" xfId="4087" xr:uid="{00000000-0005-0000-0000-0000E30F0000}"/>
    <cellStyle name="Normal 16 4 3" xfId="4088" xr:uid="{00000000-0005-0000-0000-0000E40F0000}"/>
    <cellStyle name="Normal 16 4 4" xfId="4089" xr:uid="{00000000-0005-0000-0000-0000E50F0000}"/>
    <cellStyle name="Normal 16 4 5" xfId="4090" xr:uid="{00000000-0005-0000-0000-0000E60F0000}"/>
    <cellStyle name="Normal 16 4 6" xfId="4091" xr:uid="{00000000-0005-0000-0000-0000E70F0000}"/>
    <cellStyle name="Normal 16 4 7" xfId="4092" xr:uid="{00000000-0005-0000-0000-0000E80F0000}"/>
    <cellStyle name="Normal 16 4 8" xfId="4093" xr:uid="{00000000-0005-0000-0000-0000E90F0000}"/>
    <cellStyle name="Normal 16 4 9" xfId="4094" xr:uid="{00000000-0005-0000-0000-0000EA0F0000}"/>
    <cellStyle name="Normal 16 5" xfId="4095" xr:uid="{00000000-0005-0000-0000-0000EB0F0000}"/>
    <cellStyle name="Normal 16 6" xfId="4096" xr:uid="{00000000-0005-0000-0000-0000EC0F0000}"/>
    <cellStyle name="Normal 16 7" xfId="4097" xr:uid="{00000000-0005-0000-0000-0000ED0F0000}"/>
    <cellStyle name="Normal 16 7 2" xfId="4098" xr:uid="{00000000-0005-0000-0000-0000EE0F0000}"/>
    <cellStyle name="Normal 16 7 2 2" xfId="4099" xr:uid="{00000000-0005-0000-0000-0000EF0F0000}"/>
    <cellStyle name="Normal 16 7 2 3" xfId="4100" xr:uid="{00000000-0005-0000-0000-0000F00F0000}"/>
    <cellStyle name="Normal 16 7 3" xfId="4101" xr:uid="{00000000-0005-0000-0000-0000F10F0000}"/>
    <cellStyle name="Normal 16 8" xfId="4102" xr:uid="{00000000-0005-0000-0000-0000F20F0000}"/>
    <cellStyle name="Normal 16 8 2" xfId="4103" xr:uid="{00000000-0005-0000-0000-0000F30F0000}"/>
    <cellStyle name="Normal 16 8 2 2" xfId="4104" xr:uid="{00000000-0005-0000-0000-0000F40F0000}"/>
    <cellStyle name="Normal 16 8 2 3" xfId="4105" xr:uid="{00000000-0005-0000-0000-0000F50F0000}"/>
    <cellStyle name="Normal 16 8 3" xfId="4106" xr:uid="{00000000-0005-0000-0000-0000F60F0000}"/>
    <cellStyle name="Normal 16 9" xfId="4107" xr:uid="{00000000-0005-0000-0000-0000F70F0000}"/>
    <cellStyle name="Normal 17" xfId="43" xr:uid="{00000000-0005-0000-0000-0000F80F0000}"/>
    <cellStyle name="Normal 17 10" xfId="4109" xr:uid="{00000000-0005-0000-0000-0000F90F0000}"/>
    <cellStyle name="Normal 17 11" xfId="4110" xr:uid="{00000000-0005-0000-0000-0000FA0F0000}"/>
    <cellStyle name="Normal 17 12" xfId="4111" xr:uid="{00000000-0005-0000-0000-0000FB0F0000}"/>
    <cellStyle name="Normal 17 13" xfId="4112" xr:uid="{00000000-0005-0000-0000-0000FC0F0000}"/>
    <cellStyle name="Normal 17 14" xfId="4113" xr:uid="{00000000-0005-0000-0000-0000FD0F0000}"/>
    <cellStyle name="Normal 17 15" xfId="4114" xr:uid="{00000000-0005-0000-0000-0000FE0F0000}"/>
    <cellStyle name="Normal 17 16" xfId="4115" xr:uid="{00000000-0005-0000-0000-0000FF0F0000}"/>
    <cellStyle name="Normal 17 17" xfId="4116" xr:uid="{00000000-0005-0000-0000-000000100000}"/>
    <cellStyle name="Normal 17 18" xfId="4117" xr:uid="{00000000-0005-0000-0000-000001100000}"/>
    <cellStyle name="Normal 17 19" xfId="4108" xr:uid="{00000000-0005-0000-0000-000002100000}"/>
    <cellStyle name="Normal 17 2" xfId="4118" xr:uid="{00000000-0005-0000-0000-000003100000}"/>
    <cellStyle name="Normal 17 2 10" xfId="4119" xr:uid="{00000000-0005-0000-0000-000004100000}"/>
    <cellStyle name="Normal 17 2 11" xfId="4120" xr:uid="{00000000-0005-0000-0000-000005100000}"/>
    <cellStyle name="Normal 17 2 12" xfId="4121" xr:uid="{00000000-0005-0000-0000-000006100000}"/>
    <cellStyle name="Normal 17 2 13" xfId="4122" xr:uid="{00000000-0005-0000-0000-000007100000}"/>
    <cellStyle name="Normal 17 2 14" xfId="4123" xr:uid="{00000000-0005-0000-0000-000008100000}"/>
    <cellStyle name="Normal 17 2 15" xfId="4124" xr:uid="{00000000-0005-0000-0000-000009100000}"/>
    <cellStyle name="Normal 17 2 16" xfId="4125" xr:uid="{00000000-0005-0000-0000-00000A100000}"/>
    <cellStyle name="Normal 17 2 17" xfId="4126" xr:uid="{00000000-0005-0000-0000-00000B100000}"/>
    <cellStyle name="Normal 17 2 2" xfId="4127" xr:uid="{00000000-0005-0000-0000-00000C100000}"/>
    <cellStyle name="Normal 17 2 2 10" xfId="4128" xr:uid="{00000000-0005-0000-0000-00000D100000}"/>
    <cellStyle name="Normal 17 2 2 11" xfId="4129" xr:uid="{00000000-0005-0000-0000-00000E100000}"/>
    <cellStyle name="Normal 17 2 2 12" xfId="4130" xr:uid="{00000000-0005-0000-0000-00000F100000}"/>
    <cellStyle name="Normal 17 2 2 13" xfId="4131" xr:uid="{00000000-0005-0000-0000-000010100000}"/>
    <cellStyle name="Normal 17 2 2 14" xfId="4132" xr:uid="{00000000-0005-0000-0000-000011100000}"/>
    <cellStyle name="Normal 17 2 2 2" xfId="4133" xr:uid="{00000000-0005-0000-0000-000012100000}"/>
    <cellStyle name="Normal 17 2 2 2 2" xfId="4134" xr:uid="{00000000-0005-0000-0000-000013100000}"/>
    <cellStyle name="Normal 17 2 2 2 2 2" xfId="4135" xr:uid="{00000000-0005-0000-0000-000014100000}"/>
    <cellStyle name="Normal 17 2 2 2 2 3" xfId="4136" xr:uid="{00000000-0005-0000-0000-000015100000}"/>
    <cellStyle name="Normal 17 2 2 2 3" xfId="4137" xr:uid="{00000000-0005-0000-0000-000016100000}"/>
    <cellStyle name="Normal 17 2 2 3" xfId="4138" xr:uid="{00000000-0005-0000-0000-000017100000}"/>
    <cellStyle name="Normal 17 2 2 4" xfId="4139" xr:uid="{00000000-0005-0000-0000-000018100000}"/>
    <cellStyle name="Normal 17 2 2 5" xfId="4140" xr:uid="{00000000-0005-0000-0000-000019100000}"/>
    <cellStyle name="Normal 17 2 2 6" xfId="4141" xr:uid="{00000000-0005-0000-0000-00001A100000}"/>
    <cellStyle name="Normal 17 2 2 7" xfId="4142" xr:uid="{00000000-0005-0000-0000-00001B100000}"/>
    <cellStyle name="Normal 17 2 2 8" xfId="4143" xr:uid="{00000000-0005-0000-0000-00001C100000}"/>
    <cellStyle name="Normal 17 2 2 9" xfId="4144" xr:uid="{00000000-0005-0000-0000-00001D100000}"/>
    <cellStyle name="Normal 17 2 3" xfId="4145" xr:uid="{00000000-0005-0000-0000-00001E100000}"/>
    <cellStyle name="Normal 17 2 4" xfId="4146" xr:uid="{00000000-0005-0000-0000-00001F100000}"/>
    <cellStyle name="Normal 17 2 5" xfId="4147" xr:uid="{00000000-0005-0000-0000-000020100000}"/>
    <cellStyle name="Normal 17 2 6" xfId="4148" xr:uid="{00000000-0005-0000-0000-000021100000}"/>
    <cellStyle name="Normal 17 2 6 2" xfId="4149" xr:uid="{00000000-0005-0000-0000-000022100000}"/>
    <cellStyle name="Normal 17 2 6 2 2" xfId="4150" xr:uid="{00000000-0005-0000-0000-000023100000}"/>
    <cellStyle name="Normal 17 2 6 2 3" xfId="4151" xr:uid="{00000000-0005-0000-0000-000024100000}"/>
    <cellStyle name="Normal 17 2 6 3" xfId="4152" xr:uid="{00000000-0005-0000-0000-000025100000}"/>
    <cellStyle name="Normal 17 2 7" xfId="4153" xr:uid="{00000000-0005-0000-0000-000026100000}"/>
    <cellStyle name="Normal 17 2 7 2" xfId="4154" xr:uid="{00000000-0005-0000-0000-000027100000}"/>
    <cellStyle name="Normal 17 2 7 2 2" xfId="4155" xr:uid="{00000000-0005-0000-0000-000028100000}"/>
    <cellStyle name="Normal 17 2 7 2 3" xfId="4156" xr:uid="{00000000-0005-0000-0000-000029100000}"/>
    <cellStyle name="Normal 17 2 7 3" xfId="4157" xr:uid="{00000000-0005-0000-0000-00002A100000}"/>
    <cellStyle name="Normal 17 2 8" xfId="4158" xr:uid="{00000000-0005-0000-0000-00002B100000}"/>
    <cellStyle name="Normal 17 2 9" xfId="4159" xr:uid="{00000000-0005-0000-0000-00002C100000}"/>
    <cellStyle name="Normal 17 3" xfId="4160" xr:uid="{00000000-0005-0000-0000-00002D100000}"/>
    <cellStyle name="Normal 17 4" xfId="4161" xr:uid="{00000000-0005-0000-0000-00002E100000}"/>
    <cellStyle name="Normal 17 4 10" xfId="4162" xr:uid="{00000000-0005-0000-0000-00002F100000}"/>
    <cellStyle name="Normal 17 4 11" xfId="4163" xr:uid="{00000000-0005-0000-0000-000030100000}"/>
    <cellStyle name="Normal 17 4 12" xfId="4164" xr:uid="{00000000-0005-0000-0000-000031100000}"/>
    <cellStyle name="Normal 17 4 13" xfId="4165" xr:uid="{00000000-0005-0000-0000-000032100000}"/>
    <cellStyle name="Normal 17 4 14" xfId="4166" xr:uid="{00000000-0005-0000-0000-000033100000}"/>
    <cellStyle name="Normal 17 4 2" xfId="4167" xr:uid="{00000000-0005-0000-0000-000034100000}"/>
    <cellStyle name="Normal 17 4 2 2" xfId="4168" xr:uid="{00000000-0005-0000-0000-000035100000}"/>
    <cellStyle name="Normal 17 4 2 2 2" xfId="4169" xr:uid="{00000000-0005-0000-0000-000036100000}"/>
    <cellStyle name="Normal 17 4 2 2 3" xfId="4170" xr:uid="{00000000-0005-0000-0000-000037100000}"/>
    <cellStyle name="Normal 17 4 2 3" xfId="4171" xr:uid="{00000000-0005-0000-0000-000038100000}"/>
    <cellStyle name="Normal 17 4 3" xfId="4172" xr:uid="{00000000-0005-0000-0000-000039100000}"/>
    <cellStyle name="Normal 17 4 4" xfId="4173" xr:uid="{00000000-0005-0000-0000-00003A100000}"/>
    <cellStyle name="Normal 17 4 5" xfId="4174" xr:uid="{00000000-0005-0000-0000-00003B100000}"/>
    <cellStyle name="Normal 17 4 6" xfId="4175" xr:uid="{00000000-0005-0000-0000-00003C100000}"/>
    <cellStyle name="Normal 17 4 7" xfId="4176" xr:uid="{00000000-0005-0000-0000-00003D100000}"/>
    <cellStyle name="Normal 17 4 8" xfId="4177" xr:uid="{00000000-0005-0000-0000-00003E100000}"/>
    <cellStyle name="Normal 17 4 9" xfId="4178" xr:uid="{00000000-0005-0000-0000-00003F100000}"/>
    <cellStyle name="Normal 17 5" xfId="4179" xr:uid="{00000000-0005-0000-0000-000040100000}"/>
    <cellStyle name="Normal 17 6" xfId="4180" xr:uid="{00000000-0005-0000-0000-000041100000}"/>
    <cellStyle name="Normal 17 7" xfId="4181" xr:uid="{00000000-0005-0000-0000-000042100000}"/>
    <cellStyle name="Normal 17 7 2" xfId="4182" xr:uid="{00000000-0005-0000-0000-000043100000}"/>
    <cellStyle name="Normal 17 7 2 2" xfId="4183" xr:uid="{00000000-0005-0000-0000-000044100000}"/>
    <cellStyle name="Normal 17 7 2 3" xfId="4184" xr:uid="{00000000-0005-0000-0000-000045100000}"/>
    <cellStyle name="Normal 17 7 3" xfId="4185" xr:uid="{00000000-0005-0000-0000-000046100000}"/>
    <cellStyle name="Normal 17 8" xfId="4186" xr:uid="{00000000-0005-0000-0000-000047100000}"/>
    <cellStyle name="Normal 17 8 2" xfId="4187" xr:uid="{00000000-0005-0000-0000-000048100000}"/>
    <cellStyle name="Normal 17 8 2 2" xfId="4188" xr:uid="{00000000-0005-0000-0000-000049100000}"/>
    <cellStyle name="Normal 17 8 2 3" xfId="4189" xr:uid="{00000000-0005-0000-0000-00004A100000}"/>
    <cellStyle name="Normal 17 8 3" xfId="4190" xr:uid="{00000000-0005-0000-0000-00004B100000}"/>
    <cellStyle name="Normal 17 9" xfId="4191" xr:uid="{00000000-0005-0000-0000-00004C100000}"/>
    <cellStyle name="Normal 18" xfId="41" xr:uid="{00000000-0005-0000-0000-00004D100000}"/>
    <cellStyle name="Normal 18 10" xfId="4193" xr:uid="{00000000-0005-0000-0000-00004E100000}"/>
    <cellStyle name="Normal 18 10 10" xfId="4194" xr:uid="{00000000-0005-0000-0000-00004F100000}"/>
    <cellStyle name="Normal 18 10 11" xfId="4195" xr:uid="{00000000-0005-0000-0000-000050100000}"/>
    <cellStyle name="Normal 18 10 12" xfId="4196" xr:uid="{00000000-0005-0000-0000-000051100000}"/>
    <cellStyle name="Normal 18 10 13" xfId="4197" xr:uid="{00000000-0005-0000-0000-000052100000}"/>
    <cellStyle name="Normal 18 10 14" xfId="4198" xr:uid="{00000000-0005-0000-0000-000053100000}"/>
    <cellStyle name="Normal 18 10 2" xfId="4199" xr:uid="{00000000-0005-0000-0000-000054100000}"/>
    <cellStyle name="Normal 18 10 2 2" xfId="4200" xr:uid="{00000000-0005-0000-0000-000055100000}"/>
    <cellStyle name="Normal 18 10 2 2 2" xfId="4201" xr:uid="{00000000-0005-0000-0000-000056100000}"/>
    <cellStyle name="Normal 18 10 2 2 3" xfId="4202" xr:uid="{00000000-0005-0000-0000-000057100000}"/>
    <cellStyle name="Normal 18 10 2 3" xfId="4203" xr:uid="{00000000-0005-0000-0000-000058100000}"/>
    <cellStyle name="Normal 18 10 3" xfId="4204" xr:uid="{00000000-0005-0000-0000-000059100000}"/>
    <cellStyle name="Normal 18 10 4" xfId="4205" xr:uid="{00000000-0005-0000-0000-00005A100000}"/>
    <cellStyle name="Normal 18 10 5" xfId="4206" xr:uid="{00000000-0005-0000-0000-00005B100000}"/>
    <cellStyle name="Normal 18 10 6" xfId="4207" xr:uid="{00000000-0005-0000-0000-00005C100000}"/>
    <cellStyle name="Normal 18 10 7" xfId="4208" xr:uid="{00000000-0005-0000-0000-00005D100000}"/>
    <cellStyle name="Normal 18 10 8" xfId="4209" xr:uid="{00000000-0005-0000-0000-00005E100000}"/>
    <cellStyle name="Normal 18 10 9" xfId="4210" xr:uid="{00000000-0005-0000-0000-00005F100000}"/>
    <cellStyle name="Normal 18 11" xfId="4211" xr:uid="{00000000-0005-0000-0000-000060100000}"/>
    <cellStyle name="Normal 18 12" xfId="4212" xr:uid="{00000000-0005-0000-0000-000061100000}"/>
    <cellStyle name="Normal 18 13" xfId="4213" xr:uid="{00000000-0005-0000-0000-000062100000}"/>
    <cellStyle name="Normal 18 13 2" xfId="4214" xr:uid="{00000000-0005-0000-0000-000063100000}"/>
    <cellStyle name="Normal 18 13 2 2" xfId="4215" xr:uid="{00000000-0005-0000-0000-000064100000}"/>
    <cellStyle name="Normal 18 13 2 3" xfId="4216" xr:uid="{00000000-0005-0000-0000-000065100000}"/>
    <cellStyle name="Normal 18 13 3" xfId="4217" xr:uid="{00000000-0005-0000-0000-000066100000}"/>
    <cellStyle name="Normal 18 14" xfId="4218" xr:uid="{00000000-0005-0000-0000-000067100000}"/>
    <cellStyle name="Normal 18 14 2" xfId="4219" xr:uid="{00000000-0005-0000-0000-000068100000}"/>
    <cellStyle name="Normal 18 14 2 2" xfId="4220" xr:uid="{00000000-0005-0000-0000-000069100000}"/>
    <cellStyle name="Normal 18 14 2 3" xfId="4221" xr:uid="{00000000-0005-0000-0000-00006A100000}"/>
    <cellStyle name="Normal 18 14 3" xfId="4222" xr:uid="{00000000-0005-0000-0000-00006B100000}"/>
    <cellStyle name="Normal 18 15" xfId="4223" xr:uid="{00000000-0005-0000-0000-00006C100000}"/>
    <cellStyle name="Normal 18 16" xfId="4224" xr:uid="{00000000-0005-0000-0000-00006D100000}"/>
    <cellStyle name="Normal 18 17" xfId="4225" xr:uid="{00000000-0005-0000-0000-00006E100000}"/>
    <cellStyle name="Normal 18 18" xfId="4226" xr:uid="{00000000-0005-0000-0000-00006F100000}"/>
    <cellStyle name="Normal 18 19" xfId="4227" xr:uid="{00000000-0005-0000-0000-000070100000}"/>
    <cellStyle name="Normal 18 2" xfId="4228" xr:uid="{00000000-0005-0000-0000-000071100000}"/>
    <cellStyle name="Normal 18 20" xfId="4229" xr:uid="{00000000-0005-0000-0000-000072100000}"/>
    <cellStyle name="Normal 18 21" xfId="4230" xr:uid="{00000000-0005-0000-0000-000073100000}"/>
    <cellStyle name="Normal 18 22" xfId="4231" xr:uid="{00000000-0005-0000-0000-000074100000}"/>
    <cellStyle name="Normal 18 23" xfId="4232" xr:uid="{00000000-0005-0000-0000-000075100000}"/>
    <cellStyle name="Normal 18 24" xfId="4233" xr:uid="{00000000-0005-0000-0000-000076100000}"/>
    <cellStyle name="Normal 18 25" xfId="4192" xr:uid="{00000000-0005-0000-0000-000077100000}"/>
    <cellStyle name="Normal 18 3" xfId="4234" xr:uid="{00000000-0005-0000-0000-000078100000}"/>
    <cellStyle name="Normal 18 4" xfId="4235" xr:uid="{00000000-0005-0000-0000-000079100000}"/>
    <cellStyle name="Normal 18 5" xfId="4236" xr:uid="{00000000-0005-0000-0000-00007A100000}"/>
    <cellStyle name="Normal 18 6" xfId="4237" xr:uid="{00000000-0005-0000-0000-00007B100000}"/>
    <cellStyle name="Normal 18 7" xfId="4238" xr:uid="{00000000-0005-0000-0000-00007C100000}"/>
    <cellStyle name="Normal 18 8" xfId="4239" xr:uid="{00000000-0005-0000-0000-00007D100000}"/>
    <cellStyle name="Normal 18 9" xfId="4240" xr:uid="{00000000-0005-0000-0000-00007E100000}"/>
    <cellStyle name="Normal 19" xfId="49" xr:uid="{00000000-0005-0000-0000-00007F100000}"/>
    <cellStyle name="Normal 19 10" xfId="4242" xr:uid="{00000000-0005-0000-0000-000080100000}"/>
    <cellStyle name="Normal 19 11" xfId="4243" xr:uid="{00000000-0005-0000-0000-000081100000}"/>
    <cellStyle name="Normal 19 12" xfId="4244" xr:uid="{00000000-0005-0000-0000-000082100000}"/>
    <cellStyle name="Normal 19 13" xfId="4245" xr:uid="{00000000-0005-0000-0000-000083100000}"/>
    <cellStyle name="Normal 19 14" xfId="4246" xr:uid="{00000000-0005-0000-0000-000084100000}"/>
    <cellStyle name="Normal 19 15" xfId="4247" xr:uid="{00000000-0005-0000-0000-000085100000}"/>
    <cellStyle name="Normal 19 16" xfId="4248" xr:uid="{00000000-0005-0000-0000-000086100000}"/>
    <cellStyle name="Normal 19 17" xfId="4249" xr:uid="{00000000-0005-0000-0000-000087100000}"/>
    <cellStyle name="Normal 19 18" xfId="4250" xr:uid="{00000000-0005-0000-0000-000088100000}"/>
    <cellStyle name="Normal 19 19" xfId="4241" xr:uid="{00000000-0005-0000-0000-000089100000}"/>
    <cellStyle name="Normal 19 2" xfId="4251" xr:uid="{00000000-0005-0000-0000-00008A100000}"/>
    <cellStyle name="Normal 19 2 10" xfId="4252" xr:uid="{00000000-0005-0000-0000-00008B100000}"/>
    <cellStyle name="Normal 19 2 11" xfId="4253" xr:uid="{00000000-0005-0000-0000-00008C100000}"/>
    <cellStyle name="Normal 19 2 12" xfId="4254" xr:uid="{00000000-0005-0000-0000-00008D100000}"/>
    <cellStyle name="Normal 19 2 13" xfId="4255" xr:uid="{00000000-0005-0000-0000-00008E100000}"/>
    <cellStyle name="Normal 19 2 14" xfId="4256" xr:uid="{00000000-0005-0000-0000-00008F100000}"/>
    <cellStyle name="Normal 19 2 15" xfId="4257" xr:uid="{00000000-0005-0000-0000-000090100000}"/>
    <cellStyle name="Normal 19 2 16" xfId="4258" xr:uid="{00000000-0005-0000-0000-000091100000}"/>
    <cellStyle name="Normal 19 2 17" xfId="4259" xr:uid="{00000000-0005-0000-0000-000092100000}"/>
    <cellStyle name="Normal 19 2 2" xfId="4260" xr:uid="{00000000-0005-0000-0000-000093100000}"/>
    <cellStyle name="Normal 19 2 2 10" xfId="4261" xr:uid="{00000000-0005-0000-0000-000094100000}"/>
    <cellStyle name="Normal 19 2 2 11" xfId="4262" xr:uid="{00000000-0005-0000-0000-000095100000}"/>
    <cellStyle name="Normal 19 2 2 12" xfId="4263" xr:uid="{00000000-0005-0000-0000-000096100000}"/>
    <cellStyle name="Normal 19 2 2 13" xfId="4264" xr:uid="{00000000-0005-0000-0000-000097100000}"/>
    <cellStyle name="Normal 19 2 2 14" xfId="4265" xr:uid="{00000000-0005-0000-0000-000098100000}"/>
    <cellStyle name="Normal 19 2 2 2" xfId="4266" xr:uid="{00000000-0005-0000-0000-000099100000}"/>
    <cellStyle name="Normal 19 2 2 2 2" xfId="4267" xr:uid="{00000000-0005-0000-0000-00009A100000}"/>
    <cellStyle name="Normal 19 2 2 2 2 2" xfId="4268" xr:uid="{00000000-0005-0000-0000-00009B100000}"/>
    <cellStyle name="Normal 19 2 2 2 2 3" xfId="4269" xr:uid="{00000000-0005-0000-0000-00009C100000}"/>
    <cellStyle name="Normal 19 2 2 2 3" xfId="4270" xr:uid="{00000000-0005-0000-0000-00009D100000}"/>
    <cellStyle name="Normal 19 2 2 3" xfId="4271" xr:uid="{00000000-0005-0000-0000-00009E100000}"/>
    <cellStyle name="Normal 19 2 2 4" xfId="4272" xr:uid="{00000000-0005-0000-0000-00009F100000}"/>
    <cellStyle name="Normal 19 2 2 5" xfId="4273" xr:uid="{00000000-0005-0000-0000-0000A0100000}"/>
    <cellStyle name="Normal 19 2 2 6" xfId="4274" xr:uid="{00000000-0005-0000-0000-0000A1100000}"/>
    <cellStyle name="Normal 19 2 2 7" xfId="4275" xr:uid="{00000000-0005-0000-0000-0000A2100000}"/>
    <cellStyle name="Normal 19 2 2 8" xfId="4276" xr:uid="{00000000-0005-0000-0000-0000A3100000}"/>
    <cellStyle name="Normal 19 2 2 9" xfId="4277" xr:uid="{00000000-0005-0000-0000-0000A4100000}"/>
    <cellStyle name="Normal 19 2 3" xfId="4278" xr:uid="{00000000-0005-0000-0000-0000A5100000}"/>
    <cellStyle name="Normal 19 2 4" xfId="4279" xr:uid="{00000000-0005-0000-0000-0000A6100000}"/>
    <cellStyle name="Normal 19 2 5" xfId="4280" xr:uid="{00000000-0005-0000-0000-0000A7100000}"/>
    <cellStyle name="Normal 19 2 6" xfId="4281" xr:uid="{00000000-0005-0000-0000-0000A8100000}"/>
    <cellStyle name="Normal 19 2 6 2" xfId="4282" xr:uid="{00000000-0005-0000-0000-0000A9100000}"/>
    <cellStyle name="Normal 19 2 6 2 2" xfId="4283" xr:uid="{00000000-0005-0000-0000-0000AA100000}"/>
    <cellStyle name="Normal 19 2 6 2 3" xfId="4284" xr:uid="{00000000-0005-0000-0000-0000AB100000}"/>
    <cellStyle name="Normal 19 2 6 3" xfId="4285" xr:uid="{00000000-0005-0000-0000-0000AC100000}"/>
    <cellStyle name="Normal 19 2 7" xfId="4286" xr:uid="{00000000-0005-0000-0000-0000AD100000}"/>
    <cellStyle name="Normal 19 2 7 2" xfId="4287" xr:uid="{00000000-0005-0000-0000-0000AE100000}"/>
    <cellStyle name="Normal 19 2 7 2 2" xfId="4288" xr:uid="{00000000-0005-0000-0000-0000AF100000}"/>
    <cellStyle name="Normal 19 2 7 2 3" xfId="4289" xr:uid="{00000000-0005-0000-0000-0000B0100000}"/>
    <cellStyle name="Normal 19 2 7 3" xfId="4290" xr:uid="{00000000-0005-0000-0000-0000B1100000}"/>
    <cellStyle name="Normal 19 2 8" xfId="4291" xr:uid="{00000000-0005-0000-0000-0000B2100000}"/>
    <cellStyle name="Normal 19 2 9" xfId="4292" xr:uid="{00000000-0005-0000-0000-0000B3100000}"/>
    <cellStyle name="Normal 19 3" xfId="4293" xr:uid="{00000000-0005-0000-0000-0000B4100000}"/>
    <cellStyle name="Normal 19 4" xfId="4294" xr:uid="{00000000-0005-0000-0000-0000B5100000}"/>
    <cellStyle name="Normal 19 4 10" xfId="4295" xr:uid="{00000000-0005-0000-0000-0000B6100000}"/>
    <cellStyle name="Normal 19 4 11" xfId="4296" xr:uid="{00000000-0005-0000-0000-0000B7100000}"/>
    <cellStyle name="Normal 19 4 12" xfId="4297" xr:uid="{00000000-0005-0000-0000-0000B8100000}"/>
    <cellStyle name="Normal 19 4 13" xfId="4298" xr:uid="{00000000-0005-0000-0000-0000B9100000}"/>
    <cellStyle name="Normal 19 4 14" xfId="4299" xr:uid="{00000000-0005-0000-0000-0000BA100000}"/>
    <cellStyle name="Normal 19 4 2" xfId="4300" xr:uid="{00000000-0005-0000-0000-0000BB100000}"/>
    <cellStyle name="Normal 19 4 2 2" xfId="4301" xr:uid="{00000000-0005-0000-0000-0000BC100000}"/>
    <cellStyle name="Normal 19 4 2 2 2" xfId="4302" xr:uid="{00000000-0005-0000-0000-0000BD100000}"/>
    <cellStyle name="Normal 19 4 2 2 3" xfId="4303" xr:uid="{00000000-0005-0000-0000-0000BE100000}"/>
    <cellStyle name="Normal 19 4 2 3" xfId="4304" xr:uid="{00000000-0005-0000-0000-0000BF100000}"/>
    <cellStyle name="Normal 19 4 3" xfId="4305" xr:uid="{00000000-0005-0000-0000-0000C0100000}"/>
    <cellStyle name="Normal 19 4 4" xfId="4306" xr:uid="{00000000-0005-0000-0000-0000C1100000}"/>
    <cellStyle name="Normal 19 4 5" xfId="4307" xr:uid="{00000000-0005-0000-0000-0000C2100000}"/>
    <cellStyle name="Normal 19 4 6" xfId="4308" xr:uid="{00000000-0005-0000-0000-0000C3100000}"/>
    <cellStyle name="Normal 19 4 7" xfId="4309" xr:uid="{00000000-0005-0000-0000-0000C4100000}"/>
    <cellStyle name="Normal 19 4 8" xfId="4310" xr:uid="{00000000-0005-0000-0000-0000C5100000}"/>
    <cellStyle name="Normal 19 4 9" xfId="4311" xr:uid="{00000000-0005-0000-0000-0000C6100000}"/>
    <cellStyle name="Normal 19 5" xfId="4312" xr:uid="{00000000-0005-0000-0000-0000C7100000}"/>
    <cellStyle name="Normal 19 6" xfId="4313" xr:uid="{00000000-0005-0000-0000-0000C8100000}"/>
    <cellStyle name="Normal 19 7" xfId="4314" xr:uid="{00000000-0005-0000-0000-0000C9100000}"/>
    <cellStyle name="Normal 19 7 2" xfId="4315" xr:uid="{00000000-0005-0000-0000-0000CA100000}"/>
    <cellStyle name="Normal 19 7 2 2" xfId="4316" xr:uid="{00000000-0005-0000-0000-0000CB100000}"/>
    <cellStyle name="Normal 19 7 2 3" xfId="4317" xr:uid="{00000000-0005-0000-0000-0000CC100000}"/>
    <cellStyle name="Normal 19 7 3" xfId="4318" xr:uid="{00000000-0005-0000-0000-0000CD100000}"/>
    <cellStyle name="Normal 19 8" xfId="4319" xr:uid="{00000000-0005-0000-0000-0000CE100000}"/>
    <cellStyle name="Normal 19 8 2" xfId="4320" xr:uid="{00000000-0005-0000-0000-0000CF100000}"/>
    <cellStyle name="Normal 19 8 2 2" xfId="4321" xr:uid="{00000000-0005-0000-0000-0000D0100000}"/>
    <cellStyle name="Normal 19 8 2 3" xfId="4322" xr:uid="{00000000-0005-0000-0000-0000D1100000}"/>
    <cellStyle name="Normal 19 8 3" xfId="4323" xr:uid="{00000000-0005-0000-0000-0000D2100000}"/>
    <cellStyle name="Normal 19 9" xfId="4324" xr:uid="{00000000-0005-0000-0000-0000D3100000}"/>
    <cellStyle name="Normal 2" xfId="5" xr:uid="{00000000-0005-0000-0000-0000D4100000}"/>
    <cellStyle name="Normal 2 10" xfId="4326" xr:uid="{00000000-0005-0000-0000-0000D5100000}"/>
    <cellStyle name="Normal 2 10 2" xfId="4327" xr:uid="{00000000-0005-0000-0000-0000D6100000}"/>
    <cellStyle name="Normal 2 10 2 2" xfId="4328" xr:uid="{00000000-0005-0000-0000-0000D7100000}"/>
    <cellStyle name="Normal 2 10 3" xfId="4329" xr:uid="{00000000-0005-0000-0000-0000D8100000}"/>
    <cellStyle name="Normal 2 10 3 2" xfId="4330" xr:uid="{00000000-0005-0000-0000-0000D9100000}"/>
    <cellStyle name="Normal 2 10 4" xfId="4331" xr:uid="{00000000-0005-0000-0000-0000DA100000}"/>
    <cellStyle name="Normal 2 10 4 2" xfId="4332" xr:uid="{00000000-0005-0000-0000-0000DB100000}"/>
    <cellStyle name="Normal 2 10 5" xfId="4333" xr:uid="{00000000-0005-0000-0000-0000DC100000}"/>
    <cellStyle name="Normal 2 10 5 2" xfId="4334" xr:uid="{00000000-0005-0000-0000-0000DD100000}"/>
    <cellStyle name="Normal 2 10 6" xfId="4335" xr:uid="{00000000-0005-0000-0000-0000DE100000}"/>
    <cellStyle name="Normal 2 10 6 2" xfId="4336" xr:uid="{00000000-0005-0000-0000-0000DF100000}"/>
    <cellStyle name="Normal 2 10 7" xfId="4337" xr:uid="{00000000-0005-0000-0000-0000E0100000}"/>
    <cellStyle name="Normal 2 10 7 2" xfId="4338" xr:uid="{00000000-0005-0000-0000-0000E1100000}"/>
    <cellStyle name="Normal 2 10 8" xfId="4339" xr:uid="{00000000-0005-0000-0000-0000E2100000}"/>
    <cellStyle name="Normal 2 11" xfId="4340" xr:uid="{00000000-0005-0000-0000-0000E3100000}"/>
    <cellStyle name="Normal 2 11 2" xfId="4341" xr:uid="{00000000-0005-0000-0000-0000E4100000}"/>
    <cellStyle name="Normal 2 11 2 2" xfId="4342" xr:uid="{00000000-0005-0000-0000-0000E5100000}"/>
    <cellStyle name="Normal 2 11 3" xfId="4343" xr:uid="{00000000-0005-0000-0000-0000E6100000}"/>
    <cellStyle name="Normal 2 11 3 2" xfId="4344" xr:uid="{00000000-0005-0000-0000-0000E7100000}"/>
    <cellStyle name="Normal 2 11 4" xfId="4345" xr:uid="{00000000-0005-0000-0000-0000E8100000}"/>
    <cellStyle name="Normal 2 11 4 2" xfId="4346" xr:uid="{00000000-0005-0000-0000-0000E9100000}"/>
    <cellStyle name="Normal 2 11 5" xfId="4347" xr:uid="{00000000-0005-0000-0000-0000EA100000}"/>
    <cellStyle name="Normal 2 11 5 2" xfId="4348" xr:uid="{00000000-0005-0000-0000-0000EB100000}"/>
    <cellStyle name="Normal 2 11 6" xfId="4349" xr:uid="{00000000-0005-0000-0000-0000EC100000}"/>
    <cellStyle name="Normal 2 11 6 2" xfId="4350" xr:uid="{00000000-0005-0000-0000-0000ED100000}"/>
    <cellStyle name="Normal 2 11 7" xfId="4351" xr:uid="{00000000-0005-0000-0000-0000EE100000}"/>
    <cellStyle name="Normal 2 11 7 2" xfId="4352" xr:uid="{00000000-0005-0000-0000-0000EF100000}"/>
    <cellStyle name="Normal 2 11 8" xfId="4353" xr:uid="{00000000-0005-0000-0000-0000F0100000}"/>
    <cellStyle name="Normal 2 12" xfId="4354" xr:uid="{00000000-0005-0000-0000-0000F1100000}"/>
    <cellStyle name="Normal 2 12 2" xfId="4355" xr:uid="{00000000-0005-0000-0000-0000F2100000}"/>
    <cellStyle name="Normal 2 12 2 2" xfId="4356" xr:uid="{00000000-0005-0000-0000-0000F3100000}"/>
    <cellStyle name="Normal 2 12 3" xfId="4357" xr:uid="{00000000-0005-0000-0000-0000F4100000}"/>
    <cellStyle name="Normal 2 12 3 2" xfId="4358" xr:uid="{00000000-0005-0000-0000-0000F5100000}"/>
    <cellStyle name="Normal 2 12 4" xfId="4359" xr:uid="{00000000-0005-0000-0000-0000F6100000}"/>
    <cellStyle name="Normal 2 12 4 2" xfId="4360" xr:uid="{00000000-0005-0000-0000-0000F7100000}"/>
    <cellStyle name="Normal 2 12 5" xfId="4361" xr:uid="{00000000-0005-0000-0000-0000F8100000}"/>
    <cellStyle name="Normal 2 12 5 2" xfId="4362" xr:uid="{00000000-0005-0000-0000-0000F9100000}"/>
    <cellStyle name="Normal 2 12 6" xfId="4363" xr:uid="{00000000-0005-0000-0000-0000FA100000}"/>
    <cellStyle name="Normal 2 12 6 2" xfId="4364" xr:uid="{00000000-0005-0000-0000-0000FB100000}"/>
    <cellStyle name="Normal 2 12 7" xfId="4365" xr:uid="{00000000-0005-0000-0000-0000FC100000}"/>
    <cellStyle name="Normal 2 12 7 2" xfId="4366" xr:uid="{00000000-0005-0000-0000-0000FD100000}"/>
    <cellStyle name="Normal 2 12 8" xfId="4367" xr:uid="{00000000-0005-0000-0000-0000FE100000}"/>
    <cellStyle name="Normal 2 13" xfId="4368" xr:uid="{00000000-0005-0000-0000-0000FF100000}"/>
    <cellStyle name="Normal 2 13 2" xfId="4369" xr:uid="{00000000-0005-0000-0000-000000110000}"/>
    <cellStyle name="Normal 2 13 2 2" xfId="4370" xr:uid="{00000000-0005-0000-0000-000001110000}"/>
    <cellStyle name="Normal 2 13 3" xfId="4371" xr:uid="{00000000-0005-0000-0000-000002110000}"/>
    <cellStyle name="Normal 2 13 3 2" xfId="4372" xr:uid="{00000000-0005-0000-0000-000003110000}"/>
    <cellStyle name="Normal 2 13 4" xfId="4373" xr:uid="{00000000-0005-0000-0000-000004110000}"/>
    <cellStyle name="Normal 2 13 4 2" xfId="4374" xr:uid="{00000000-0005-0000-0000-000005110000}"/>
    <cellStyle name="Normal 2 13 5" xfId="4375" xr:uid="{00000000-0005-0000-0000-000006110000}"/>
    <cellStyle name="Normal 2 13 5 2" xfId="4376" xr:uid="{00000000-0005-0000-0000-000007110000}"/>
    <cellStyle name="Normal 2 13 6" xfId="4377" xr:uid="{00000000-0005-0000-0000-000008110000}"/>
    <cellStyle name="Normal 2 13 6 2" xfId="4378" xr:uid="{00000000-0005-0000-0000-000009110000}"/>
    <cellStyle name="Normal 2 13 7" xfId="4379" xr:uid="{00000000-0005-0000-0000-00000A110000}"/>
    <cellStyle name="Normal 2 13 7 2" xfId="4380" xr:uid="{00000000-0005-0000-0000-00000B110000}"/>
    <cellStyle name="Normal 2 13 8" xfId="4381" xr:uid="{00000000-0005-0000-0000-00000C110000}"/>
    <cellStyle name="Normal 2 14" xfId="4382" xr:uid="{00000000-0005-0000-0000-00000D110000}"/>
    <cellStyle name="Normal 2 14 2" xfId="4383" xr:uid="{00000000-0005-0000-0000-00000E110000}"/>
    <cellStyle name="Normal 2 15" xfId="4384" xr:uid="{00000000-0005-0000-0000-00000F110000}"/>
    <cellStyle name="Normal 2 15 2" xfId="4385" xr:uid="{00000000-0005-0000-0000-000010110000}"/>
    <cellStyle name="Normal 2 16" xfId="4386" xr:uid="{00000000-0005-0000-0000-000011110000}"/>
    <cellStyle name="Normal 2 16 2" xfId="4387" xr:uid="{00000000-0005-0000-0000-000012110000}"/>
    <cellStyle name="Normal 2 17" xfId="4388" xr:uid="{00000000-0005-0000-0000-000013110000}"/>
    <cellStyle name="Normal 2 17 2" xfId="4389" xr:uid="{00000000-0005-0000-0000-000014110000}"/>
    <cellStyle name="Normal 2 18" xfId="4390" xr:uid="{00000000-0005-0000-0000-000015110000}"/>
    <cellStyle name="Normal 2 18 2" xfId="4391" xr:uid="{00000000-0005-0000-0000-000016110000}"/>
    <cellStyle name="Normal 2 18 2 2" xfId="4392" xr:uid="{00000000-0005-0000-0000-000017110000}"/>
    <cellStyle name="Normal 2 18 2 3" xfId="4393" xr:uid="{00000000-0005-0000-0000-000018110000}"/>
    <cellStyle name="Normal 2 18 2 4" xfId="4394" xr:uid="{00000000-0005-0000-0000-000019110000}"/>
    <cellStyle name="Normal 2 18 3" xfId="4395" xr:uid="{00000000-0005-0000-0000-00001A110000}"/>
    <cellStyle name="Normal 2 18 4" xfId="4396" xr:uid="{00000000-0005-0000-0000-00001B110000}"/>
    <cellStyle name="Normal 2 18 5" xfId="4397" xr:uid="{00000000-0005-0000-0000-00001C110000}"/>
    <cellStyle name="Normal 2 18 6" xfId="4398" xr:uid="{00000000-0005-0000-0000-00001D110000}"/>
    <cellStyle name="Normal 2 18 7" xfId="4399" xr:uid="{00000000-0005-0000-0000-00001E110000}"/>
    <cellStyle name="Normal 2 18 8" xfId="4400" xr:uid="{00000000-0005-0000-0000-00001F110000}"/>
    <cellStyle name="Normal 2 18 9" xfId="4401" xr:uid="{00000000-0005-0000-0000-000020110000}"/>
    <cellStyle name="Normal 2 19" xfId="4402" xr:uid="{00000000-0005-0000-0000-000021110000}"/>
    <cellStyle name="Normal 2 19 2" xfId="4403" xr:uid="{00000000-0005-0000-0000-000022110000}"/>
    <cellStyle name="Normal 2 19 2 2" xfId="4404" xr:uid="{00000000-0005-0000-0000-000023110000}"/>
    <cellStyle name="Normal 2 19 2 3" xfId="4405" xr:uid="{00000000-0005-0000-0000-000024110000}"/>
    <cellStyle name="Normal 2 19 2 4" xfId="4406" xr:uid="{00000000-0005-0000-0000-000025110000}"/>
    <cellStyle name="Normal 2 19 3" xfId="4407" xr:uid="{00000000-0005-0000-0000-000026110000}"/>
    <cellStyle name="Normal 2 19 4" xfId="4408" xr:uid="{00000000-0005-0000-0000-000027110000}"/>
    <cellStyle name="Normal 2 19 5" xfId="4409" xr:uid="{00000000-0005-0000-0000-000028110000}"/>
    <cellStyle name="Normal 2 19 6" xfId="4410" xr:uid="{00000000-0005-0000-0000-000029110000}"/>
    <cellStyle name="Normal 2 19 7" xfId="4411" xr:uid="{00000000-0005-0000-0000-00002A110000}"/>
    <cellStyle name="Normal 2 19 8" xfId="4412" xr:uid="{00000000-0005-0000-0000-00002B110000}"/>
    <cellStyle name="Normal 2 19 9" xfId="4413" xr:uid="{00000000-0005-0000-0000-00002C110000}"/>
    <cellStyle name="Normal 2 2" xfId="4414" xr:uid="{00000000-0005-0000-0000-00002D110000}"/>
    <cellStyle name="Normal 2 2 10" xfId="4415" xr:uid="{00000000-0005-0000-0000-00002E110000}"/>
    <cellStyle name="Normal 2 2 11" xfId="4416" xr:uid="{00000000-0005-0000-0000-00002F110000}"/>
    <cellStyle name="Normal 2 2 12" xfId="4417" xr:uid="{00000000-0005-0000-0000-000030110000}"/>
    <cellStyle name="Normal 2 2 13" xfId="4418" xr:uid="{00000000-0005-0000-0000-000031110000}"/>
    <cellStyle name="Normal 2 2 14" xfId="4419" xr:uid="{00000000-0005-0000-0000-000032110000}"/>
    <cellStyle name="Normal 2 2 15" xfId="4420" xr:uid="{00000000-0005-0000-0000-000033110000}"/>
    <cellStyle name="Normal 2 2 16" xfId="4421" xr:uid="{00000000-0005-0000-0000-000034110000}"/>
    <cellStyle name="Normal 2 2 17" xfId="4422" xr:uid="{00000000-0005-0000-0000-000035110000}"/>
    <cellStyle name="Normal 2 2 18" xfId="4423" xr:uid="{00000000-0005-0000-0000-000036110000}"/>
    <cellStyle name="Normal 2 2 19" xfId="4424" xr:uid="{00000000-0005-0000-0000-000037110000}"/>
    <cellStyle name="Normal 2 2 2" xfId="4425" xr:uid="{00000000-0005-0000-0000-000038110000}"/>
    <cellStyle name="Normal 2 2 2 10" xfId="4426" xr:uid="{00000000-0005-0000-0000-000039110000}"/>
    <cellStyle name="Normal 2 2 2 11" xfId="4427" xr:uid="{00000000-0005-0000-0000-00003A110000}"/>
    <cellStyle name="Normal 2 2 2 12" xfId="4428" xr:uid="{00000000-0005-0000-0000-00003B110000}"/>
    <cellStyle name="Normal 2 2 2 13" xfId="4429" xr:uid="{00000000-0005-0000-0000-00003C110000}"/>
    <cellStyle name="Normal 2 2 2 14" xfId="4430" xr:uid="{00000000-0005-0000-0000-00003D110000}"/>
    <cellStyle name="Normal 2 2 2 15" xfId="4431" xr:uid="{00000000-0005-0000-0000-00003E110000}"/>
    <cellStyle name="Normal 2 2 2 16" xfId="4432" xr:uid="{00000000-0005-0000-0000-00003F110000}"/>
    <cellStyle name="Normal 2 2 2 17" xfId="4433" xr:uid="{00000000-0005-0000-0000-000040110000}"/>
    <cellStyle name="Normal 2 2 2 18" xfId="4434" xr:uid="{00000000-0005-0000-0000-000041110000}"/>
    <cellStyle name="Normal 2 2 2 19" xfId="4435" xr:uid="{00000000-0005-0000-0000-000042110000}"/>
    <cellStyle name="Normal 2 2 2 2" xfId="4436" xr:uid="{00000000-0005-0000-0000-000043110000}"/>
    <cellStyle name="Normal 2 2 2 2 10" xfId="4437" xr:uid="{00000000-0005-0000-0000-000044110000}"/>
    <cellStyle name="Normal 2 2 2 2 11" xfId="4438" xr:uid="{00000000-0005-0000-0000-000045110000}"/>
    <cellStyle name="Normal 2 2 2 2 12" xfId="4439" xr:uid="{00000000-0005-0000-0000-000046110000}"/>
    <cellStyle name="Normal 2 2 2 2 13" xfId="4440" xr:uid="{00000000-0005-0000-0000-000047110000}"/>
    <cellStyle name="Normal 2 2 2 2 14" xfId="4441" xr:uid="{00000000-0005-0000-0000-000048110000}"/>
    <cellStyle name="Normal 2 2 2 2 15" xfId="4442" xr:uid="{00000000-0005-0000-0000-000049110000}"/>
    <cellStyle name="Normal 2 2 2 2 15 2" xfId="4443" xr:uid="{00000000-0005-0000-0000-00004A110000}"/>
    <cellStyle name="Normal 2 2 2 2 15 3" xfId="4444" xr:uid="{00000000-0005-0000-0000-00004B110000}"/>
    <cellStyle name="Normal 2 2 2 2 16" xfId="4445" xr:uid="{00000000-0005-0000-0000-00004C110000}"/>
    <cellStyle name="Normal 2 2 2 2 17" xfId="4446" xr:uid="{00000000-0005-0000-0000-00004D110000}"/>
    <cellStyle name="Normal 2 2 2 2 18" xfId="4447" xr:uid="{00000000-0005-0000-0000-00004E110000}"/>
    <cellStyle name="Normal 2 2 2 2 18 2" xfId="4448" xr:uid="{00000000-0005-0000-0000-00004F110000}"/>
    <cellStyle name="Normal 2 2 2 2 18 3" xfId="4449" xr:uid="{00000000-0005-0000-0000-000050110000}"/>
    <cellStyle name="Normal 2 2 2 2 19" xfId="4450" xr:uid="{00000000-0005-0000-0000-000051110000}"/>
    <cellStyle name="Normal 2 2 2 2 19 2" xfId="4451" xr:uid="{00000000-0005-0000-0000-000052110000}"/>
    <cellStyle name="Normal 2 2 2 2 19 3" xfId="4452" xr:uid="{00000000-0005-0000-0000-000053110000}"/>
    <cellStyle name="Normal 2 2 2 2 2" xfId="4453" xr:uid="{00000000-0005-0000-0000-000054110000}"/>
    <cellStyle name="Normal 2 2 2 2 2 10" xfId="4454" xr:uid="{00000000-0005-0000-0000-000055110000}"/>
    <cellStyle name="Normal 2 2 2 2 2 11" xfId="4455" xr:uid="{00000000-0005-0000-0000-000056110000}"/>
    <cellStyle name="Normal 2 2 2 2 2 12" xfId="4456" xr:uid="{00000000-0005-0000-0000-000057110000}"/>
    <cellStyle name="Normal 2 2 2 2 2 13" xfId="4457" xr:uid="{00000000-0005-0000-0000-000058110000}"/>
    <cellStyle name="Normal 2 2 2 2 2 14" xfId="4458" xr:uid="{00000000-0005-0000-0000-000059110000}"/>
    <cellStyle name="Normal 2 2 2 2 2 15" xfId="4459" xr:uid="{00000000-0005-0000-0000-00005A110000}"/>
    <cellStyle name="Normal 2 2 2 2 2 16" xfId="4460" xr:uid="{00000000-0005-0000-0000-00005B110000}"/>
    <cellStyle name="Normal 2 2 2 2 2 17" xfId="4461" xr:uid="{00000000-0005-0000-0000-00005C110000}"/>
    <cellStyle name="Normal 2 2 2 2 2 18" xfId="4462" xr:uid="{00000000-0005-0000-0000-00005D110000}"/>
    <cellStyle name="Normal 2 2 2 2 2 19" xfId="4463" xr:uid="{00000000-0005-0000-0000-00005E110000}"/>
    <cellStyle name="Normal 2 2 2 2 2 2" xfId="4464" xr:uid="{00000000-0005-0000-0000-00005F110000}"/>
    <cellStyle name="Normal 2 2 2 2 2 2 10" xfId="4465" xr:uid="{00000000-0005-0000-0000-000060110000}"/>
    <cellStyle name="Normal 2 2 2 2 2 2 11" xfId="4466" xr:uid="{00000000-0005-0000-0000-000061110000}"/>
    <cellStyle name="Normal 2 2 2 2 2 2 12" xfId="4467" xr:uid="{00000000-0005-0000-0000-000062110000}"/>
    <cellStyle name="Normal 2 2 2 2 2 2 13" xfId="4468" xr:uid="{00000000-0005-0000-0000-000063110000}"/>
    <cellStyle name="Normal 2 2 2 2 2 2 14" xfId="4469" xr:uid="{00000000-0005-0000-0000-000064110000}"/>
    <cellStyle name="Normal 2 2 2 2 2 2 15" xfId="4470" xr:uid="{00000000-0005-0000-0000-000065110000}"/>
    <cellStyle name="Normal 2 2 2 2 2 2 16" xfId="4471" xr:uid="{00000000-0005-0000-0000-000066110000}"/>
    <cellStyle name="Normal 2 2 2 2 2 2 17" xfId="4472" xr:uid="{00000000-0005-0000-0000-000067110000}"/>
    <cellStyle name="Normal 2 2 2 2 2 2 2" xfId="4473" xr:uid="{00000000-0005-0000-0000-000068110000}"/>
    <cellStyle name="Normal 2 2 2 2 2 2 2 10" xfId="4474" xr:uid="{00000000-0005-0000-0000-000069110000}"/>
    <cellStyle name="Normal 2 2 2 2 2 2 2 2" xfId="4475" xr:uid="{00000000-0005-0000-0000-00006A110000}"/>
    <cellStyle name="Normal 2 2 2 2 2 2 2 2 2" xfId="4476" xr:uid="{00000000-0005-0000-0000-00006B110000}"/>
    <cellStyle name="Normal 2 2 2 2 2 2 2 2 2 10" xfId="4477" xr:uid="{00000000-0005-0000-0000-00006C110000}"/>
    <cellStyle name="Normal 2 2 2 2 2 2 2 2 2 10 2" xfId="4478" xr:uid="{00000000-0005-0000-0000-00006D110000}"/>
    <cellStyle name="Normal 2 2 2 2 2 2 2 2 2 10 3" xfId="4479" xr:uid="{00000000-0005-0000-0000-00006E110000}"/>
    <cellStyle name="Normal 2 2 2 2 2 2 2 2 2 11" xfId="4480" xr:uid="{00000000-0005-0000-0000-00006F110000}"/>
    <cellStyle name="Normal 2 2 2 2 2 2 2 2 2 11 2" xfId="4481" xr:uid="{00000000-0005-0000-0000-000070110000}"/>
    <cellStyle name="Normal 2 2 2 2 2 2 2 2 2 11 3" xfId="4482" xr:uid="{00000000-0005-0000-0000-000071110000}"/>
    <cellStyle name="Normal 2 2 2 2 2 2 2 2 2 12" xfId="4483" xr:uid="{00000000-0005-0000-0000-000072110000}"/>
    <cellStyle name="Normal 2 2 2 2 2 2 2 2 2 12 2" xfId="4484" xr:uid="{00000000-0005-0000-0000-000073110000}"/>
    <cellStyle name="Normal 2 2 2 2 2 2 2 2 2 12 3" xfId="4485" xr:uid="{00000000-0005-0000-0000-000074110000}"/>
    <cellStyle name="Normal 2 2 2 2 2 2 2 2 2 13" xfId="4486" xr:uid="{00000000-0005-0000-0000-000075110000}"/>
    <cellStyle name="Normal 2 2 2 2 2 2 2 2 2 13 2" xfId="4487" xr:uid="{00000000-0005-0000-0000-000076110000}"/>
    <cellStyle name="Normal 2 2 2 2 2 2 2 2 2 13 3" xfId="4488" xr:uid="{00000000-0005-0000-0000-000077110000}"/>
    <cellStyle name="Normal 2 2 2 2 2 2 2 2 2 14" xfId="4489" xr:uid="{00000000-0005-0000-0000-000078110000}"/>
    <cellStyle name="Normal 2 2 2 2 2 2 2 2 2 14 2" xfId="4490" xr:uid="{00000000-0005-0000-0000-000079110000}"/>
    <cellStyle name="Normal 2 2 2 2 2 2 2 2 2 14 3" xfId="4491" xr:uid="{00000000-0005-0000-0000-00007A110000}"/>
    <cellStyle name="Normal 2 2 2 2 2 2 2 2 2 15" xfId="4492" xr:uid="{00000000-0005-0000-0000-00007B110000}"/>
    <cellStyle name="Normal 2 2 2 2 2 2 2 2 2 16" xfId="4493" xr:uid="{00000000-0005-0000-0000-00007C110000}"/>
    <cellStyle name="Normal 2 2 2 2 2 2 2 2 2 2" xfId="4494" xr:uid="{00000000-0005-0000-0000-00007D110000}"/>
    <cellStyle name="Normal 2 2 2 2 2 2 2 2 2 2 2" xfId="4495" xr:uid="{00000000-0005-0000-0000-00007E110000}"/>
    <cellStyle name="Normal 2 2 2 2 2 2 2 2 2 2 3" xfId="4496" xr:uid="{00000000-0005-0000-0000-00007F110000}"/>
    <cellStyle name="Normal 2 2 2 2 2 2 2 2 2 3" xfId="4497" xr:uid="{00000000-0005-0000-0000-000080110000}"/>
    <cellStyle name="Normal 2 2 2 2 2 2 2 2 2 3 2" xfId="4498" xr:uid="{00000000-0005-0000-0000-000081110000}"/>
    <cellStyle name="Normal 2 2 2 2 2 2 2 2 2 3 3" xfId="4499" xr:uid="{00000000-0005-0000-0000-000082110000}"/>
    <cellStyle name="Normal 2 2 2 2 2 2 2 2 2 4" xfId="4500" xr:uid="{00000000-0005-0000-0000-000083110000}"/>
    <cellStyle name="Normal 2 2 2 2 2 2 2 2 2 4 2" xfId="4501" xr:uid="{00000000-0005-0000-0000-000084110000}"/>
    <cellStyle name="Normal 2 2 2 2 2 2 2 2 2 4 3" xfId="4502" xr:uid="{00000000-0005-0000-0000-000085110000}"/>
    <cellStyle name="Normal 2 2 2 2 2 2 2 2 2 5" xfId="4503" xr:uid="{00000000-0005-0000-0000-000086110000}"/>
    <cellStyle name="Normal 2 2 2 2 2 2 2 2 2 5 2" xfId="4504" xr:uid="{00000000-0005-0000-0000-000087110000}"/>
    <cellStyle name="Normal 2 2 2 2 2 2 2 2 2 5 3" xfId="4505" xr:uid="{00000000-0005-0000-0000-000088110000}"/>
    <cellStyle name="Normal 2 2 2 2 2 2 2 2 2 6" xfId="4506" xr:uid="{00000000-0005-0000-0000-000089110000}"/>
    <cellStyle name="Normal 2 2 2 2 2 2 2 2 2 6 2" xfId="4507" xr:uid="{00000000-0005-0000-0000-00008A110000}"/>
    <cellStyle name="Normal 2 2 2 2 2 2 2 2 2 6 3" xfId="4508" xr:uid="{00000000-0005-0000-0000-00008B110000}"/>
    <cellStyle name="Normal 2 2 2 2 2 2 2 2 2 7" xfId="4509" xr:uid="{00000000-0005-0000-0000-00008C110000}"/>
    <cellStyle name="Normal 2 2 2 2 2 2 2 2 2 7 2" xfId="4510" xr:uid="{00000000-0005-0000-0000-00008D110000}"/>
    <cellStyle name="Normal 2 2 2 2 2 2 2 2 2 7 3" xfId="4511" xr:uid="{00000000-0005-0000-0000-00008E110000}"/>
    <cellStyle name="Normal 2 2 2 2 2 2 2 2 2 8" xfId="4512" xr:uid="{00000000-0005-0000-0000-00008F110000}"/>
    <cellStyle name="Normal 2 2 2 2 2 2 2 2 2 8 2" xfId="4513" xr:uid="{00000000-0005-0000-0000-000090110000}"/>
    <cellStyle name="Normal 2 2 2 2 2 2 2 2 2 8 3" xfId="4514" xr:uid="{00000000-0005-0000-0000-000091110000}"/>
    <cellStyle name="Normal 2 2 2 2 2 2 2 2 2 9" xfId="4515" xr:uid="{00000000-0005-0000-0000-000092110000}"/>
    <cellStyle name="Normal 2 2 2 2 2 2 2 2 2 9 2" xfId="4516" xr:uid="{00000000-0005-0000-0000-000093110000}"/>
    <cellStyle name="Normal 2 2 2 2 2 2 2 2 2 9 3" xfId="4517" xr:uid="{00000000-0005-0000-0000-000094110000}"/>
    <cellStyle name="Normal 2 2 2 2 2 2 2 3" xfId="4518" xr:uid="{00000000-0005-0000-0000-000095110000}"/>
    <cellStyle name="Normal 2 2 2 2 2 2 2 4" xfId="4519" xr:uid="{00000000-0005-0000-0000-000096110000}"/>
    <cellStyle name="Normal 2 2 2 2 2 2 2 5" xfId="4520" xr:uid="{00000000-0005-0000-0000-000097110000}"/>
    <cellStyle name="Normal 2 2 2 2 2 2 2 6" xfId="4521" xr:uid="{00000000-0005-0000-0000-000098110000}"/>
    <cellStyle name="Normal 2 2 2 2 2 2 2 7" xfId="4522" xr:uid="{00000000-0005-0000-0000-000099110000}"/>
    <cellStyle name="Normal 2 2 2 2 2 2 2 8" xfId="4523" xr:uid="{00000000-0005-0000-0000-00009A110000}"/>
    <cellStyle name="Normal 2 2 2 2 2 2 2 9" xfId="4524" xr:uid="{00000000-0005-0000-0000-00009B110000}"/>
    <cellStyle name="Normal 2 2 2 2 2 2 3" xfId="4525" xr:uid="{00000000-0005-0000-0000-00009C110000}"/>
    <cellStyle name="Normal 2 2 2 2 2 2 4" xfId="4526" xr:uid="{00000000-0005-0000-0000-00009D110000}"/>
    <cellStyle name="Normal 2 2 2 2 2 2 5" xfId="4527" xr:uid="{00000000-0005-0000-0000-00009E110000}"/>
    <cellStyle name="Normal 2 2 2 2 2 2 6" xfId="4528" xr:uid="{00000000-0005-0000-0000-00009F110000}"/>
    <cellStyle name="Normal 2 2 2 2 2 2 7" xfId="4529" xr:uid="{00000000-0005-0000-0000-0000A0110000}"/>
    <cellStyle name="Normal 2 2 2 2 2 2 8" xfId="4530" xr:uid="{00000000-0005-0000-0000-0000A1110000}"/>
    <cellStyle name="Normal 2 2 2 2 2 2 9" xfId="4531" xr:uid="{00000000-0005-0000-0000-0000A2110000}"/>
    <cellStyle name="Normal 2 2 2 2 2 3" xfId="4532" xr:uid="{00000000-0005-0000-0000-0000A3110000}"/>
    <cellStyle name="Normal 2 2 2 2 2 4" xfId="4533" xr:uid="{00000000-0005-0000-0000-0000A4110000}"/>
    <cellStyle name="Normal 2 2 2 2 2 5" xfId="4534" xr:uid="{00000000-0005-0000-0000-0000A5110000}"/>
    <cellStyle name="Normal 2 2 2 2 2 5 2" xfId="4535" xr:uid="{00000000-0005-0000-0000-0000A6110000}"/>
    <cellStyle name="Normal 2 2 2 2 2 5 3" xfId="4536" xr:uid="{00000000-0005-0000-0000-0000A7110000}"/>
    <cellStyle name="Normal 2 2 2 2 2 6" xfId="4537" xr:uid="{00000000-0005-0000-0000-0000A8110000}"/>
    <cellStyle name="Normal 2 2 2 2 2 6 2" xfId="4538" xr:uid="{00000000-0005-0000-0000-0000A9110000}"/>
    <cellStyle name="Normal 2 2 2 2 2 6 3" xfId="4539" xr:uid="{00000000-0005-0000-0000-0000AA110000}"/>
    <cellStyle name="Normal 2 2 2 2 2 7" xfId="4540" xr:uid="{00000000-0005-0000-0000-0000AB110000}"/>
    <cellStyle name="Normal 2 2 2 2 2 7 2" xfId="4541" xr:uid="{00000000-0005-0000-0000-0000AC110000}"/>
    <cellStyle name="Normal 2 2 2 2 2 7 3" xfId="4542" xr:uid="{00000000-0005-0000-0000-0000AD110000}"/>
    <cellStyle name="Normal 2 2 2 2 2 8" xfId="4543" xr:uid="{00000000-0005-0000-0000-0000AE110000}"/>
    <cellStyle name="Normal 2 2 2 2 2 8 2" xfId="4544" xr:uid="{00000000-0005-0000-0000-0000AF110000}"/>
    <cellStyle name="Normal 2 2 2 2 2 8 3" xfId="4545" xr:uid="{00000000-0005-0000-0000-0000B0110000}"/>
    <cellStyle name="Normal 2 2 2 2 2 9" xfId="4546" xr:uid="{00000000-0005-0000-0000-0000B1110000}"/>
    <cellStyle name="Normal 2 2 2 2 2 9 2" xfId="4547" xr:uid="{00000000-0005-0000-0000-0000B2110000}"/>
    <cellStyle name="Normal 2 2 2 2 2 9 3" xfId="4548" xr:uid="{00000000-0005-0000-0000-0000B3110000}"/>
    <cellStyle name="Normal 2 2 2 2 20" xfId="4549" xr:uid="{00000000-0005-0000-0000-0000B4110000}"/>
    <cellStyle name="Normal 2 2 2 2 20 2" xfId="4550" xr:uid="{00000000-0005-0000-0000-0000B5110000}"/>
    <cellStyle name="Normal 2 2 2 2 20 3" xfId="4551" xr:uid="{00000000-0005-0000-0000-0000B6110000}"/>
    <cellStyle name="Normal 2 2 2 2 21" xfId="4552" xr:uid="{00000000-0005-0000-0000-0000B7110000}"/>
    <cellStyle name="Normal 2 2 2 2 21 2" xfId="4553" xr:uid="{00000000-0005-0000-0000-0000B8110000}"/>
    <cellStyle name="Normal 2 2 2 2 21 3" xfId="4554" xr:uid="{00000000-0005-0000-0000-0000B9110000}"/>
    <cellStyle name="Normal 2 2 2 2 22" xfId="4555" xr:uid="{00000000-0005-0000-0000-0000BA110000}"/>
    <cellStyle name="Normal 2 2 2 2 23" xfId="4556" xr:uid="{00000000-0005-0000-0000-0000BB110000}"/>
    <cellStyle name="Normal 2 2 2 2 24" xfId="4557" xr:uid="{00000000-0005-0000-0000-0000BC110000}"/>
    <cellStyle name="Normal 2 2 2 2 25" xfId="4558" xr:uid="{00000000-0005-0000-0000-0000BD110000}"/>
    <cellStyle name="Normal 2 2 2 2 26" xfId="4559" xr:uid="{00000000-0005-0000-0000-0000BE110000}"/>
    <cellStyle name="Normal 2 2 2 2 27" xfId="4560" xr:uid="{00000000-0005-0000-0000-0000BF110000}"/>
    <cellStyle name="Normal 2 2 2 2 28" xfId="4561" xr:uid="{00000000-0005-0000-0000-0000C0110000}"/>
    <cellStyle name="Normal 2 2 2 2 29" xfId="4562" xr:uid="{00000000-0005-0000-0000-0000C1110000}"/>
    <cellStyle name="Normal 2 2 2 2 3" xfId="4563" xr:uid="{00000000-0005-0000-0000-0000C2110000}"/>
    <cellStyle name="Normal 2 2 2 2 30" xfId="4564" xr:uid="{00000000-0005-0000-0000-0000C3110000}"/>
    <cellStyle name="Normal 2 2 2 2 31" xfId="4565" xr:uid="{00000000-0005-0000-0000-0000C4110000}"/>
    <cellStyle name="Normal 2 2 2 2 32" xfId="4566" xr:uid="{00000000-0005-0000-0000-0000C5110000}"/>
    <cellStyle name="Normal 2 2 2 2 4" xfId="4567" xr:uid="{00000000-0005-0000-0000-0000C6110000}"/>
    <cellStyle name="Normal 2 2 2 2 5" xfId="4568" xr:uid="{00000000-0005-0000-0000-0000C7110000}"/>
    <cellStyle name="Normal 2 2 2 2 6" xfId="4569" xr:uid="{00000000-0005-0000-0000-0000C8110000}"/>
    <cellStyle name="Normal 2 2 2 2 7" xfId="4570" xr:uid="{00000000-0005-0000-0000-0000C9110000}"/>
    <cellStyle name="Normal 2 2 2 2 8" xfId="4571" xr:uid="{00000000-0005-0000-0000-0000CA110000}"/>
    <cellStyle name="Normal 2 2 2 2 9" xfId="4572" xr:uid="{00000000-0005-0000-0000-0000CB110000}"/>
    <cellStyle name="Normal 2 2 2 20" xfId="4573" xr:uid="{00000000-0005-0000-0000-0000CC110000}"/>
    <cellStyle name="Normal 2 2 2 20 2" xfId="4574" xr:uid="{00000000-0005-0000-0000-0000CD110000}"/>
    <cellStyle name="Normal 2 2 2 20 3" xfId="4575" xr:uid="{00000000-0005-0000-0000-0000CE110000}"/>
    <cellStyle name="Normal 2 2 2 21" xfId="4576" xr:uid="{00000000-0005-0000-0000-0000CF110000}"/>
    <cellStyle name="Normal 2 2 2 22" xfId="4577" xr:uid="{00000000-0005-0000-0000-0000D0110000}"/>
    <cellStyle name="Normal 2 2 2 23" xfId="4578" xr:uid="{00000000-0005-0000-0000-0000D1110000}"/>
    <cellStyle name="Normal 2 2 2 23 2" xfId="4579" xr:uid="{00000000-0005-0000-0000-0000D2110000}"/>
    <cellStyle name="Normal 2 2 2 23 3" xfId="4580" xr:uid="{00000000-0005-0000-0000-0000D3110000}"/>
    <cellStyle name="Normal 2 2 2 24" xfId="4581" xr:uid="{00000000-0005-0000-0000-0000D4110000}"/>
    <cellStyle name="Normal 2 2 2 24 2" xfId="4582" xr:uid="{00000000-0005-0000-0000-0000D5110000}"/>
    <cellStyle name="Normal 2 2 2 24 3" xfId="4583" xr:uid="{00000000-0005-0000-0000-0000D6110000}"/>
    <cellStyle name="Normal 2 2 2 25" xfId="4584" xr:uid="{00000000-0005-0000-0000-0000D7110000}"/>
    <cellStyle name="Normal 2 2 2 25 2" xfId="4585" xr:uid="{00000000-0005-0000-0000-0000D8110000}"/>
    <cellStyle name="Normal 2 2 2 25 3" xfId="4586" xr:uid="{00000000-0005-0000-0000-0000D9110000}"/>
    <cellStyle name="Normal 2 2 2 26" xfId="4587" xr:uid="{00000000-0005-0000-0000-0000DA110000}"/>
    <cellStyle name="Normal 2 2 2 26 2" xfId="4588" xr:uid="{00000000-0005-0000-0000-0000DB110000}"/>
    <cellStyle name="Normal 2 2 2 26 3" xfId="4589" xr:uid="{00000000-0005-0000-0000-0000DC110000}"/>
    <cellStyle name="Normal 2 2 2 27" xfId="4590" xr:uid="{00000000-0005-0000-0000-0000DD110000}"/>
    <cellStyle name="Normal 2 2 2 28" xfId="4591" xr:uid="{00000000-0005-0000-0000-0000DE110000}"/>
    <cellStyle name="Normal 2 2 2 29" xfId="4592" xr:uid="{00000000-0005-0000-0000-0000DF110000}"/>
    <cellStyle name="Normal 2 2 2 3" xfId="4593" xr:uid="{00000000-0005-0000-0000-0000E0110000}"/>
    <cellStyle name="Normal 2 2 2 3 2" xfId="4594" xr:uid="{00000000-0005-0000-0000-0000E1110000}"/>
    <cellStyle name="Normal 2 2 2 30" xfId="4595" xr:uid="{00000000-0005-0000-0000-0000E2110000}"/>
    <cellStyle name="Normal 2 2 2 31" xfId="4596" xr:uid="{00000000-0005-0000-0000-0000E3110000}"/>
    <cellStyle name="Normal 2 2 2 32" xfId="4597" xr:uid="{00000000-0005-0000-0000-0000E4110000}"/>
    <cellStyle name="Normal 2 2 2 33" xfId="4598" xr:uid="{00000000-0005-0000-0000-0000E5110000}"/>
    <cellStyle name="Normal 2 2 2 34" xfId="4599" xr:uid="{00000000-0005-0000-0000-0000E6110000}"/>
    <cellStyle name="Normal 2 2 2 35" xfId="4600" xr:uid="{00000000-0005-0000-0000-0000E7110000}"/>
    <cellStyle name="Normal 2 2 2 36" xfId="4601" xr:uid="{00000000-0005-0000-0000-0000E8110000}"/>
    <cellStyle name="Normal 2 2 2 37" xfId="4602" xr:uid="{00000000-0005-0000-0000-0000E9110000}"/>
    <cellStyle name="Normal 2 2 2 4" xfId="4603" xr:uid="{00000000-0005-0000-0000-0000EA110000}"/>
    <cellStyle name="Normal 2 2 2 4 2" xfId="4604" xr:uid="{00000000-0005-0000-0000-0000EB110000}"/>
    <cellStyle name="Normal 2 2 2 5" xfId="4605" xr:uid="{00000000-0005-0000-0000-0000EC110000}"/>
    <cellStyle name="Normal 2 2 2 5 2" xfId="4606" xr:uid="{00000000-0005-0000-0000-0000ED110000}"/>
    <cellStyle name="Normal 2 2 2 6" xfId="4607" xr:uid="{00000000-0005-0000-0000-0000EE110000}"/>
    <cellStyle name="Normal 2 2 2 6 2" xfId="4608" xr:uid="{00000000-0005-0000-0000-0000EF110000}"/>
    <cellStyle name="Normal 2 2 2 7" xfId="4609" xr:uid="{00000000-0005-0000-0000-0000F0110000}"/>
    <cellStyle name="Normal 2 2 2 7 2" xfId="4610" xr:uid="{00000000-0005-0000-0000-0000F1110000}"/>
    <cellStyle name="Normal 2 2 2 8" xfId="4611" xr:uid="{00000000-0005-0000-0000-0000F2110000}"/>
    <cellStyle name="Normal 2 2 2 8 10" xfId="4612" xr:uid="{00000000-0005-0000-0000-0000F3110000}"/>
    <cellStyle name="Normal 2 2 2 8 11" xfId="4613" xr:uid="{00000000-0005-0000-0000-0000F4110000}"/>
    <cellStyle name="Normal 2 2 2 8 2" xfId="4614" xr:uid="{00000000-0005-0000-0000-0000F5110000}"/>
    <cellStyle name="Normal 2 2 2 8 2 2" xfId="4615" xr:uid="{00000000-0005-0000-0000-0000F6110000}"/>
    <cellStyle name="Normal 2 2 2 8 2 3" xfId="4616" xr:uid="{00000000-0005-0000-0000-0000F7110000}"/>
    <cellStyle name="Normal 2 2 2 8 2 4" xfId="4617" xr:uid="{00000000-0005-0000-0000-0000F8110000}"/>
    <cellStyle name="Normal 2 2 2 8 2 5" xfId="4618" xr:uid="{00000000-0005-0000-0000-0000F9110000}"/>
    <cellStyle name="Normal 2 2 2 8 2 6" xfId="4619" xr:uid="{00000000-0005-0000-0000-0000FA110000}"/>
    <cellStyle name="Normal 2 2 2 8 2 7" xfId="4620" xr:uid="{00000000-0005-0000-0000-0000FB110000}"/>
    <cellStyle name="Normal 2 2 2 8 2 8" xfId="4621" xr:uid="{00000000-0005-0000-0000-0000FC110000}"/>
    <cellStyle name="Normal 2 2 2 8 2 9" xfId="4622" xr:uid="{00000000-0005-0000-0000-0000FD110000}"/>
    <cellStyle name="Normal 2 2 2 8 3" xfId="4623" xr:uid="{00000000-0005-0000-0000-0000FE110000}"/>
    <cellStyle name="Normal 2 2 2 8 4" xfId="4624" xr:uid="{00000000-0005-0000-0000-0000FF110000}"/>
    <cellStyle name="Normal 2 2 2 8 5" xfId="4625" xr:uid="{00000000-0005-0000-0000-000000120000}"/>
    <cellStyle name="Normal 2 2 2 8 5 2" xfId="4626" xr:uid="{00000000-0005-0000-0000-000001120000}"/>
    <cellStyle name="Normal 2 2 2 8 5 3" xfId="4627" xr:uid="{00000000-0005-0000-0000-000002120000}"/>
    <cellStyle name="Normal 2 2 2 8 6" xfId="4628" xr:uid="{00000000-0005-0000-0000-000003120000}"/>
    <cellStyle name="Normal 2 2 2 8 6 2" xfId="4629" xr:uid="{00000000-0005-0000-0000-000004120000}"/>
    <cellStyle name="Normal 2 2 2 8 6 3" xfId="4630" xr:uid="{00000000-0005-0000-0000-000005120000}"/>
    <cellStyle name="Normal 2 2 2 8 7" xfId="4631" xr:uid="{00000000-0005-0000-0000-000006120000}"/>
    <cellStyle name="Normal 2 2 2 8 7 2" xfId="4632" xr:uid="{00000000-0005-0000-0000-000007120000}"/>
    <cellStyle name="Normal 2 2 2 8 7 3" xfId="4633" xr:uid="{00000000-0005-0000-0000-000008120000}"/>
    <cellStyle name="Normal 2 2 2 8 8" xfId="4634" xr:uid="{00000000-0005-0000-0000-000009120000}"/>
    <cellStyle name="Normal 2 2 2 8 8 2" xfId="4635" xr:uid="{00000000-0005-0000-0000-00000A120000}"/>
    <cellStyle name="Normal 2 2 2 8 8 3" xfId="4636" xr:uid="{00000000-0005-0000-0000-00000B120000}"/>
    <cellStyle name="Normal 2 2 2 8 9" xfId="4637" xr:uid="{00000000-0005-0000-0000-00000C120000}"/>
    <cellStyle name="Normal 2 2 2 8 9 2" xfId="4638" xr:uid="{00000000-0005-0000-0000-00000D120000}"/>
    <cellStyle name="Normal 2 2 2 8 9 3" xfId="4639" xr:uid="{00000000-0005-0000-0000-00000E120000}"/>
    <cellStyle name="Normal 2 2 2 9" xfId="4640" xr:uid="{00000000-0005-0000-0000-00000F120000}"/>
    <cellStyle name="Normal 2 2 20" xfId="4641" xr:uid="{00000000-0005-0000-0000-000010120000}"/>
    <cellStyle name="Normal 2 2 20 2" xfId="4642" xr:uid="{00000000-0005-0000-0000-000011120000}"/>
    <cellStyle name="Normal 2 2 20 3" xfId="4643" xr:uid="{00000000-0005-0000-0000-000012120000}"/>
    <cellStyle name="Normal 2 2 21" xfId="4644" xr:uid="{00000000-0005-0000-0000-000013120000}"/>
    <cellStyle name="Normal 2 2 22" xfId="4645" xr:uid="{00000000-0005-0000-0000-000014120000}"/>
    <cellStyle name="Normal 2 2 23" xfId="4646" xr:uid="{00000000-0005-0000-0000-000015120000}"/>
    <cellStyle name="Normal 2 2 23 2" xfId="4647" xr:uid="{00000000-0005-0000-0000-000016120000}"/>
    <cellStyle name="Normal 2 2 23 3" xfId="4648" xr:uid="{00000000-0005-0000-0000-000017120000}"/>
    <cellStyle name="Normal 2 2 24" xfId="4649" xr:uid="{00000000-0005-0000-0000-000018120000}"/>
    <cellStyle name="Normal 2 2 24 2" xfId="4650" xr:uid="{00000000-0005-0000-0000-000019120000}"/>
    <cellStyle name="Normal 2 2 24 3" xfId="4651" xr:uid="{00000000-0005-0000-0000-00001A120000}"/>
    <cellStyle name="Normal 2 2 25" xfId="4652" xr:uid="{00000000-0005-0000-0000-00001B120000}"/>
    <cellStyle name="Normal 2 2 25 2" xfId="4653" xr:uid="{00000000-0005-0000-0000-00001C120000}"/>
    <cellStyle name="Normal 2 2 25 3" xfId="4654" xr:uid="{00000000-0005-0000-0000-00001D120000}"/>
    <cellStyle name="Normal 2 2 26" xfId="4655" xr:uid="{00000000-0005-0000-0000-00001E120000}"/>
    <cellStyle name="Normal 2 2 26 2" xfId="4656" xr:uid="{00000000-0005-0000-0000-00001F120000}"/>
    <cellStyle name="Normal 2 2 26 3" xfId="4657" xr:uid="{00000000-0005-0000-0000-000020120000}"/>
    <cellStyle name="Normal 2 2 27" xfId="4658" xr:uid="{00000000-0005-0000-0000-000021120000}"/>
    <cellStyle name="Normal 2 2 28" xfId="4659" xr:uid="{00000000-0005-0000-0000-000022120000}"/>
    <cellStyle name="Normal 2 2 29" xfId="4660" xr:uid="{00000000-0005-0000-0000-000023120000}"/>
    <cellStyle name="Normal 2 2 3" xfId="4661" xr:uid="{00000000-0005-0000-0000-000024120000}"/>
    <cellStyle name="Normal 2 2 30" xfId="4662" xr:uid="{00000000-0005-0000-0000-000025120000}"/>
    <cellStyle name="Normal 2 2 31" xfId="4663" xr:uid="{00000000-0005-0000-0000-000026120000}"/>
    <cellStyle name="Normal 2 2 32" xfId="4664" xr:uid="{00000000-0005-0000-0000-000027120000}"/>
    <cellStyle name="Normal 2 2 33" xfId="4665" xr:uid="{00000000-0005-0000-0000-000028120000}"/>
    <cellStyle name="Normal 2 2 34" xfId="4666" xr:uid="{00000000-0005-0000-0000-000029120000}"/>
    <cellStyle name="Normal 2 2 35" xfId="4667" xr:uid="{00000000-0005-0000-0000-00002A120000}"/>
    <cellStyle name="Normal 2 2 36" xfId="4668" xr:uid="{00000000-0005-0000-0000-00002B120000}"/>
    <cellStyle name="Normal 2 2 37" xfId="4669" xr:uid="{00000000-0005-0000-0000-00002C120000}"/>
    <cellStyle name="Normal 2 2 4" xfId="4670" xr:uid="{00000000-0005-0000-0000-00002D120000}"/>
    <cellStyle name="Normal 2 2 5" xfId="4671" xr:uid="{00000000-0005-0000-0000-00002E120000}"/>
    <cellStyle name="Normal 2 2 6" xfId="4672" xr:uid="{00000000-0005-0000-0000-00002F120000}"/>
    <cellStyle name="Normal 2 2 7" xfId="4673" xr:uid="{00000000-0005-0000-0000-000030120000}"/>
    <cellStyle name="Normal 2 2 8" xfId="4674" xr:uid="{00000000-0005-0000-0000-000031120000}"/>
    <cellStyle name="Normal 2 2 8 10" xfId="4675" xr:uid="{00000000-0005-0000-0000-000032120000}"/>
    <cellStyle name="Normal 2 2 8 11" xfId="4676" xr:uid="{00000000-0005-0000-0000-000033120000}"/>
    <cellStyle name="Normal 2 2 8 2" xfId="4677" xr:uid="{00000000-0005-0000-0000-000034120000}"/>
    <cellStyle name="Normal 2 2 8 2 2" xfId="4678" xr:uid="{00000000-0005-0000-0000-000035120000}"/>
    <cellStyle name="Normal 2 2 8 2 3" xfId="4679" xr:uid="{00000000-0005-0000-0000-000036120000}"/>
    <cellStyle name="Normal 2 2 8 2 4" xfId="4680" xr:uid="{00000000-0005-0000-0000-000037120000}"/>
    <cellStyle name="Normal 2 2 8 2 5" xfId="4681" xr:uid="{00000000-0005-0000-0000-000038120000}"/>
    <cellStyle name="Normal 2 2 8 2 6" xfId="4682" xr:uid="{00000000-0005-0000-0000-000039120000}"/>
    <cellStyle name="Normal 2 2 8 2 7" xfId="4683" xr:uid="{00000000-0005-0000-0000-00003A120000}"/>
    <cellStyle name="Normal 2 2 8 2 8" xfId="4684" xr:uid="{00000000-0005-0000-0000-00003B120000}"/>
    <cellStyle name="Normal 2 2 8 2 9" xfId="4685" xr:uid="{00000000-0005-0000-0000-00003C120000}"/>
    <cellStyle name="Normal 2 2 8 3" xfId="4686" xr:uid="{00000000-0005-0000-0000-00003D120000}"/>
    <cellStyle name="Normal 2 2 8 4" xfId="4687" xr:uid="{00000000-0005-0000-0000-00003E120000}"/>
    <cellStyle name="Normal 2 2 8 5" xfId="4688" xr:uid="{00000000-0005-0000-0000-00003F120000}"/>
    <cellStyle name="Normal 2 2 8 5 2" xfId="4689" xr:uid="{00000000-0005-0000-0000-000040120000}"/>
    <cellStyle name="Normal 2 2 8 5 3" xfId="4690" xr:uid="{00000000-0005-0000-0000-000041120000}"/>
    <cellStyle name="Normal 2 2 8 6" xfId="4691" xr:uid="{00000000-0005-0000-0000-000042120000}"/>
    <cellStyle name="Normal 2 2 8 6 2" xfId="4692" xr:uid="{00000000-0005-0000-0000-000043120000}"/>
    <cellStyle name="Normal 2 2 8 6 3" xfId="4693" xr:uid="{00000000-0005-0000-0000-000044120000}"/>
    <cellStyle name="Normal 2 2 8 7" xfId="4694" xr:uid="{00000000-0005-0000-0000-000045120000}"/>
    <cellStyle name="Normal 2 2 8 7 2" xfId="4695" xr:uid="{00000000-0005-0000-0000-000046120000}"/>
    <cellStyle name="Normal 2 2 8 7 3" xfId="4696" xr:uid="{00000000-0005-0000-0000-000047120000}"/>
    <cellStyle name="Normal 2 2 8 8" xfId="4697" xr:uid="{00000000-0005-0000-0000-000048120000}"/>
    <cellStyle name="Normal 2 2 8 8 2" xfId="4698" xr:uid="{00000000-0005-0000-0000-000049120000}"/>
    <cellStyle name="Normal 2 2 8 8 3" xfId="4699" xr:uid="{00000000-0005-0000-0000-00004A120000}"/>
    <cellStyle name="Normal 2 2 8 9" xfId="4700" xr:uid="{00000000-0005-0000-0000-00004B120000}"/>
    <cellStyle name="Normal 2 2 8 9 2" xfId="4701" xr:uid="{00000000-0005-0000-0000-00004C120000}"/>
    <cellStyle name="Normal 2 2 8 9 3" xfId="4702" xr:uid="{00000000-0005-0000-0000-00004D120000}"/>
    <cellStyle name="Normal 2 2 9" xfId="4703" xr:uid="{00000000-0005-0000-0000-00004E120000}"/>
    <cellStyle name="Normal 2 2_Residential Inputs Inland" xfId="4704" xr:uid="{00000000-0005-0000-0000-00004F120000}"/>
    <cellStyle name="Normal 2 20" xfId="4705" xr:uid="{00000000-0005-0000-0000-000050120000}"/>
    <cellStyle name="Normal 2 20 2" xfId="4706" xr:uid="{00000000-0005-0000-0000-000051120000}"/>
    <cellStyle name="Normal 2 20 2 2" xfId="4707" xr:uid="{00000000-0005-0000-0000-000052120000}"/>
    <cellStyle name="Normal 2 20 2 3" xfId="4708" xr:uid="{00000000-0005-0000-0000-000053120000}"/>
    <cellStyle name="Normal 2 20 2 4" xfId="4709" xr:uid="{00000000-0005-0000-0000-000054120000}"/>
    <cellStyle name="Normal 2 20 3" xfId="4710" xr:uid="{00000000-0005-0000-0000-000055120000}"/>
    <cellStyle name="Normal 2 20 4" xfId="4711" xr:uid="{00000000-0005-0000-0000-000056120000}"/>
    <cellStyle name="Normal 2 20 5" xfId="4712" xr:uid="{00000000-0005-0000-0000-000057120000}"/>
    <cellStyle name="Normal 2 20 6" xfId="4713" xr:uid="{00000000-0005-0000-0000-000058120000}"/>
    <cellStyle name="Normal 2 20 7" xfId="4714" xr:uid="{00000000-0005-0000-0000-000059120000}"/>
    <cellStyle name="Normal 2 20 8" xfId="4715" xr:uid="{00000000-0005-0000-0000-00005A120000}"/>
    <cellStyle name="Normal 2 20 9" xfId="4716" xr:uid="{00000000-0005-0000-0000-00005B120000}"/>
    <cellStyle name="Normal 2 21" xfId="4717" xr:uid="{00000000-0005-0000-0000-00005C120000}"/>
    <cellStyle name="Normal 2 21 2" xfId="4718" xr:uid="{00000000-0005-0000-0000-00005D120000}"/>
    <cellStyle name="Normal 2 21 2 2" xfId="4719" xr:uid="{00000000-0005-0000-0000-00005E120000}"/>
    <cellStyle name="Normal 2 21 2 3" xfId="4720" xr:uid="{00000000-0005-0000-0000-00005F120000}"/>
    <cellStyle name="Normal 2 21 2 4" xfId="4721" xr:uid="{00000000-0005-0000-0000-000060120000}"/>
    <cellStyle name="Normal 2 21 3" xfId="4722" xr:uid="{00000000-0005-0000-0000-000061120000}"/>
    <cellStyle name="Normal 2 21 4" xfId="4723" xr:uid="{00000000-0005-0000-0000-000062120000}"/>
    <cellStyle name="Normal 2 21 5" xfId="4724" xr:uid="{00000000-0005-0000-0000-000063120000}"/>
    <cellStyle name="Normal 2 21 6" xfId="4725" xr:uid="{00000000-0005-0000-0000-000064120000}"/>
    <cellStyle name="Normal 2 21 7" xfId="4726" xr:uid="{00000000-0005-0000-0000-000065120000}"/>
    <cellStyle name="Normal 2 21 8" xfId="4727" xr:uid="{00000000-0005-0000-0000-000066120000}"/>
    <cellStyle name="Normal 2 21 9" xfId="4728" xr:uid="{00000000-0005-0000-0000-000067120000}"/>
    <cellStyle name="Normal 2 22" xfId="4729" xr:uid="{00000000-0005-0000-0000-000068120000}"/>
    <cellStyle name="Normal 2 22 2" xfId="4730" xr:uid="{00000000-0005-0000-0000-000069120000}"/>
    <cellStyle name="Normal 2 22 2 2" xfId="4731" xr:uid="{00000000-0005-0000-0000-00006A120000}"/>
    <cellStyle name="Normal 2 22 2 3" xfId="4732" xr:uid="{00000000-0005-0000-0000-00006B120000}"/>
    <cellStyle name="Normal 2 22 2 4" xfId="4733" xr:uid="{00000000-0005-0000-0000-00006C120000}"/>
    <cellStyle name="Normal 2 22 3" xfId="4734" xr:uid="{00000000-0005-0000-0000-00006D120000}"/>
    <cellStyle name="Normal 2 22 4" xfId="4735" xr:uid="{00000000-0005-0000-0000-00006E120000}"/>
    <cellStyle name="Normal 2 22 5" xfId="4736" xr:uid="{00000000-0005-0000-0000-00006F120000}"/>
    <cellStyle name="Normal 2 22 6" xfId="4737" xr:uid="{00000000-0005-0000-0000-000070120000}"/>
    <cellStyle name="Normal 2 22 7" xfId="4738" xr:uid="{00000000-0005-0000-0000-000071120000}"/>
    <cellStyle name="Normal 2 22 8" xfId="4739" xr:uid="{00000000-0005-0000-0000-000072120000}"/>
    <cellStyle name="Normal 2 22 9" xfId="4740" xr:uid="{00000000-0005-0000-0000-000073120000}"/>
    <cellStyle name="Normal 2 23" xfId="4741" xr:uid="{00000000-0005-0000-0000-000074120000}"/>
    <cellStyle name="Normal 2 23 2" xfId="4742" xr:uid="{00000000-0005-0000-0000-000075120000}"/>
    <cellStyle name="Normal 2 23 2 2" xfId="4743" xr:uid="{00000000-0005-0000-0000-000076120000}"/>
    <cellStyle name="Normal 2 23 2 3" xfId="4744" xr:uid="{00000000-0005-0000-0000-000077120000}"/>
    <cellStyle name="Normal 2 23 2 4" xfId="4745" xr:uid="{00000000-0005-0000-0000-000078120000}"/>
    <cellStyle name="Normal 2 23 3" xfId="4746" xr:uid="{00000000-0005-0000-0000-000079120000}"/>
    <cellStyle name="Normal 2 23 4" xfId="4747" xr:uid="{00000000-0005-0000-0000-00007A120000}"/>
    <cellStyle name="Normal 2 23 5" xfId="4748" xr:uid="{00000000-0005-0000-0000-00007B120000}"/>
    <cellStyle name="Normal 2 23 6" xfId="4749" xr:uid="{00000000-0005-0000-0000-00007C120000}"/>
    <cellStyle name="Normal 2 23 7" xfId="4750" xr:uid="{00000000-0005-0000-0000-00007D120000}"/>
    <cellStyle name="Normal 2 23 8" xfId="4751" xr:uid="{00000000-0005-0000-0000-00007E120000}"/>
    <cellStyle name="Normal 2 23 9" xfId="4752" xr:uid="{00000000-0005-0000-0000-00007F120000}"/>
    <cellStyle name="Normal 2 24" xfId="4753" xr:uid="{00000000-0005-0000-0000-000080120000}"/>
    <cellStyle name="Normal 2 24 2" xfId="4754" xr:uid="{00000000-0005-0000-0000-000081120000}"/>
    <cellStyle name="Normal 2 24 2 2" xfId="4755" xr:uid="{00000000-0005-0000-0000-000082120000}"/>
    <cellStyle name="Normal 2 24 2 3" xfId="4756" xr:uid="{00000000-0005-0000-0000-000083120000}"/>
    <cellStyle name="Normal 2 24 2 4" xfId="4757" xr:uid="{00000000-0005-0000-0000-000084120000}"/>
    <cellStyle name="Normal 2 24 3" xfId="4758" xr:uid="{00000000-0005-0000-0000-000085120000}"/>
    <cellStyle name="Normal 2 24 4" xfId="4759" xr:uid="{00000000-0005-0000-0000-000086120000}"/>
    <cellStyle name="Normal 2 24 5" xfId="4760" xr:uid="{00000000-0005-0000-0000-000087120000}"/>
    <cellStyle name="Normal 2 24 6" xfId="4761" xr:uid="{00000000-0005-0000-0000-000088120000}"/>
    <cellStyle name="Normal 2 24 7" xfId="4762" xr:uid="{00000000-0005-0000-0000-000089120000}"/>
    <cellStyle name="Normal 2 24 8" xfId="4763" xr:uid="{00000000-0005-0000-0000-00008A120000}"/>
    <cellStyle name="Normal 2 24 9" xfId="4764" xr:uid="{00000000-0005-0000-0000-00008B120000}"/>
    <cellStyle name="Normal 2 25" xfId="4765" xr:uid="{00000000-0005-0000-0000-00008C120000}"/>
    <cellStyle name="Normal 2 25 2" xfId="4766" xr:uid="{00000000-0005-0000-0000-00008D120000}"/>
    <cellStyle name="Normal 2 25 2 2" xfId="4767" xr:uid="{00000000-0005-0000-0000-00008E120000}"/>
    <cellStyle name="Normal 2 25 2 3" xfId="4768" xr:uid="{00000000-0005-0000-0000-00008F120000}"/>
    <cellStyle name="Normal 2 25 2 4" xfId="4769" xr:uid="{00000000-0005-0000-0000-000090120000}"/>
    <cellStyle name="Normal 2 25 3" xfId="4770" xr:uid="{00000000-0005-0000-0000-000091120000}"/>
    <cellStyle name="Normal 2 25 4" xfId="4771" xr:uid="{00000000-0005-0000-0000-000092120000}"/>
    <cellStyle name="Normal 2 25 5" xfId="4772" xr:uid="{00000000-0005-0000-0000-000093120000}"/>
    <cellStyle name="Normal 2 25 6" xfId="4773" xr:uid="{00000000-0005-0000-0000-000094120000}"/>
    <cellStyle name="Normal 2 25 7" xfId="4774" xr:uid="{00000000-0005-0000-0000-000095120000}"/>
    <cellStyle name="Normal 2 25 8" xfId="4775" xr:uid="{00000000-0005-0000-0000-000096120000}"/>
    <cellStyle name="Normal 2 25 9" xfId="4776" xr:uid="{00000000-0005-0000-0000-000097120000}"/>
    <cellStyle name="Normal 2 26" xfId="4777" xr:uid="{00000000-0005-0000-0000-000098120000}"/>
    <cellStyle name="Normal 2 26 2" xfId="4778" xr:uid="{00000000-0005-0000-0000-000099120000}"/>
    <cellStyle name="Normal 2 26 2 2" xfId="4779" xr:uid="{00000000-0005-0000-0000-00009A120000}"/>
    <cellStyle name="Normal 2 26 2 3" xfId="4780" xr:uid="{00000000-0005-0000-0000-00009B120000}"/>
    <cellStyle name="Normal 2 26 2 4" xfId="4781" xr:uid="{00000000-0005-0000-0000-00009C120000}"/>
    <cellStyle name="Normal 2 26 3" xfId="4782" xr:uid="{00000000-0005-0000-0000-00009D120000}"/>
    <cellStyle name="Normal 2 26 4" xfId="4783" xr:uid="{00000000-0005-0000-0000-00009E120000}"/>
    <cellStyle name="Normal 2 26 5" xfId="4784" xr:uid="{00000000-0005-0000-0000-00009F120000}"/>
    <cellStyle name="Normal 2 26 6" xfId="4785" xr:uid="{00000000-0005-0000-0000-0000A0120000}"/>
    <cellStyle name="Normal 2 26 7" xfId="4786" xr:uid="{00000000-0005-0000-0000-0000A1120000}"/>
    <cellStyle name="Normal 2 26 8" xfId="4787" xr:uid="{00000000-0005-0000-0000-0000A2120000}"/>
    <cellStyle name="Normal 2 26 9" xfId="4788" xr:uid="{00000000-0005-0000-0000-0000A3120000}"/>
    <cellStyle name="Normal 2 27" xfId="4789" xr:uid="{00000000-0005-0000-0000-0000A4120000}"/>
    <cellStyle name="Normal 2 28" xfId="4790" xr:uid="{00000000-0005-0000-0000-0000A5120000}"/>
    <cellStyle name="Normal 2 29" xfId="4791" xr:uid="{00000000-0005-0000-0000-0000A6120000}"/>
    <cellStyle name="Normal 2 3" xfId="4792" xr:uid="{00000000-0005-0000-0000-0000A7120000}"/>
    <cellStyle name="Normal 2 3 2" xfId="4793" xr:uid="{00000000-0005-0000-0000-0000A8120000}"/>
    <cellStyle name="Normal 2 3 2 2" xfId="4794" xr:uid="{00000000-0005-0000-0000-0000A9120000}"/>
    <cellStyle name="Normal 2 3 2 2 2" xfId="4795" xr:uid="{00000000-0005-0000-0000-0000AA120000}"/>
    <cellStyle name="Normal 2 3 2 3" xfId="4796" xr:uid="{00000000-0005-0000-0000-0000AB120000}"/>
    <cellStyle name="Normal 2 3 2 3 2" xfId="4797" xr:uid="{00000000-0005-0000-0000-0000AC120000}"/>
    <cellStyle name="Normal 2 3 2 4" xfId="4798" xr:uid="{00000000-0005-0000-0000-0000AD120000}"/>
    <cellStyle name="Normal 2 3 2 4 2" xfId="4799" xr:uid="{00000000-0005-0000-0000-0000AE120000}"/>
    <cellStyle name="Normal 2 3 2 5" xfId="4800" xr:uid="{00000000-0005-0000-0000-0000AF120000}"/>
    <cellStyle name="Normal 2 3 2 5 2" xfId="4801" xr:uid="{00000000-0005-0000-0000-0000B0120000}"/>
    <cellStyle name="Normal 2 3 2 6" xfId="4802" xr:uid="{00000000-0005-0000-0000-0000B1120000}"/>
    <cellStyle name="Normal 2 3 2 6 2" xfId="4803" xr:uid="{00000000-0005-0000-0000-0000B2120000}"/>
    <cellStyle name="Normal 2 3 2 7" xfId="4804" xr:uid="{00000000-0005-0000-0000-0000B3120000}"/>
    <cellStyle name="Normal 2 3 2 7 2" xfId="4805" xr:uid="{00000000-0005-0000-0000-0000B4120000}"/>
    <cellStyle name="Normal 2 3 3" xfId="4806" xr:uid="{00000000-0005-0000-0000-0000B5120000}"/>
    <cellStyle name="Normal 2 3 4" xfId="4807" xr:uid="{00000000-0005-0000-0000-0000B6120000}"/>
    <cellStyle name="Normal 2 3 5" xfId="4808" xr:uid="{00000000-0005-0000-0000-0000B7120000}"/>
    <cellStyle name="Normal 2 3 6" xfId="4809" xr:uid="{00000000-0005-0000-0000-0000B8120000}"/>
    <cellStyle name="Normal 2 3 7" xfId="4810" xr:uid="{00000000-0005-0000-0000-0000B9120000}"/>
    <cellStyle name="Normal 2 3 8" xfId="4811" xr:uid="{00000000-0005-0000-0000-0000BA120000}"/>
    <cellStyle name="Normal 2 30" xfId="4812" xr:uid="{00000000-0005-0000-0000-0000BB120000}"/>
    <cellStyle name="Normal 2 30 2" xfId="4813" xr:uid="{00000000-0005-0000-0000-0000BC120000}"/>
    <cellStyle name="Normal 2 30 3" xfId="4814" xr:uid="{00000000-0005-0000-0000-0000BD120000}"/>
    <cellStyle name="Normal 2 31" xfId="4815" xr:uid="{00000000-0005-0000-0000-0000BE120000}"/>
    <cellStyle name="Normal 2 32" xfId="4816" xr:uid="{00000000-0005-0000-0000-0000BF120000}"/>
    <cellStyle name="Normal 2 33" xfId="4817" xr:uid="{00000000-0005-0000-0000-0000C0120000}"/>
    <cellStyle name="Normal 2 34" xfId="4818" xr:uid="{00000000-0005-0000-0000-0000C1120000}"/>
    <cellStyle name="Normal 2 35" xfId="4819" xr:uid="{00000000-0005-0000-0000-0000C2120000}"/>
    <cellStyle name="Normal 2 36" xfId="4820" xr:uid="{00000000-0005-0000-0000-0000C3120000}"/>
    <cellStyle name="Normal 2 37" xfId="4821" xr:uid="{00000000-0005-0000-0000-0000C4120000}"/>
    <cellStyle name="Normal 2 38" xfId="4822" xr:uid="{00000000-0005-0000-0000-0000C5120000}"/>
    <cellStyle name="Normal 2 39" xfId="4823" xr:uid="{00000000-0005-0000-0000-0000C6120000}"/>
    <cellStyle name="Normal 2 4" xfId="4824" xr:uid="{00000000-0005-0000-0000-0000C7120000}"/>
    <cellStyle name="Normal 2 4 10" xfId="4825" xr:uid="{00000000-0005-0000-0000-0000C8120000}"/>
    <cellStyle name="Normal 2 4 11" xfId="4826" xr:uid="{00000000-0005-0000-0000-0000C9120000}"/>
    <cellStyle name="Normal 2 4 12" xfId="4827" xr:uid="{00000000-0005-0000-0000-0000CA120000}"/>
    <cellStyle name="Normal 2 4 13" xfId="4828" xr:uid="{00000000-0005-0000-0000-0000CB120000}"/>
    <cellStyle name="Normal 2 4 14" xfId="4829" xr:uid="{00000000-0005-0000-0000-0000CC120000}"/>
    <cellStyle name="Normal 2 4 15" xfId="4830" xr:uid="{00000000-0005-0000-0000-0000CD120000}"/>
    <cellStyle name="Normal 2 4 16" xfId="4831" xr:uid="{00000000-0005-0000-0000-0000CE120000}"/>
    <cellStyle name="Normal 2 4 17" xfId="4832" xr:uid="{00000000-0005-0000-0000-0000CF120000}"/>
    <cellStyle name="Normal 2 4 17 10" xfId="4833" xr:uid="{00000000-0005-0000-0000-0000D0120000}"/>
    <cellStyle name="Normal 2 4 17 10 10" xfId="4834" xr:uid="{00000000-0005-0000-0000-0000D1120000}"/>
    <cellStyle name="Normal 2 4 17 10 10 2" xfId="4835" xr:uid="{00000000-0005-0000-0000-0000D2120000}"/>
    <cellStyle name="Normal 2 4 17 10 10 3" xfId="4836" xr:uid="{00000000-0005-0000-0000-0000D3120000}"/>
    <cellStyle name="Normal 2 4 17 10 11" xfId="4837" xr:uid="{00000000-0005-0000-0000-0000D4120000}"/>
    <cellStyle name="Normal 2 4 17 10 11 2" xfId="4838" xr:uid="{00000000-0005-0000-0000-0000D5120000}"/>
    <cellStyle name="Normal 2 4 17 10 11 3" xfId="4839" xr:uid="{00000000-0005-0000-0000-0000D6120000}"/>
    <cellStyle name="Normal 2 4 17 10 12" xfId="4840" xr:uid="{00000000-0005-0000-0000-0000D7120000}"/>
    <cellStyle name="Normal 2 4 17 10 12 2" xfId="4841" xr:uid="{00000000-0005-0000-0000-0000D8120000}"/>
    <cellStyle name="Normal 2 4 17 10 12 3" xfId="4842" xr:uid="{00000000-0005-0000-0000-0000D9120000}"/>
    <cellStyle name="Normal 2 4 17 10 13" xfId="4843" xr:uid="{00000000-0005-0000-0000-0000DA120000}"/>
    <cellStyle name="Normal 2 4 17 10 13 2" xfId="4844" xr:uid="{00000000-0005-0000-0000-0000DB120000}"/>
    <cellStyle name="Normal 2 4 17 10 13 3" xfId="4845" xr:uid="{00000000-0005-0000-0000-0000DC120000}"/>
    <cellStyle name="Normal 2 4 17 10 14" xfId="4846" xr:uid="{00000000-0005-0000-0000-0000DD120000}"/>
    <cellStyle name="Normal 2 4 17 10 14 2" xfId="4847" xr:uid="{00000000-0005-0000-0000-0000DE120000}"/>
    <cellStyle name="Normal 2 4 17 10 14 3" xfId="4848" xr:uid="{00000000-0005-0000-0000-0000DF120000}"/>
    <cellStyle name="Normal 2 4 17 10 15" xfId="4849" xr:uid="{00000000-0005-0000-0000-0000E0120000}"/>
    <cellStyle name="Normal 2 4 17 10 16" xfId="4850" xr:uid="{00000000-0005-0000-0000-0000E1120000}"/>
    <cellStyle name="Normal 2 4 17 10 2" xfId="4851" xr:uid="{00000000-0005-0000-0000-0000E2120000}"/>
    <cellStyle name="Normal 2 4 17 10 2 2" xfId="4852" xr:uid="{00000000-0005-0000-0000-0000E3120000}"/>
    <cellStyle name="Normal 2 4 17 10 2 3" xfId="4853" xr:uid="{00000000-0005-0000-0000-0000E4120000}"/>
    <cellStyle name="Normal 2 4 17 10 3" xfId="4854" xr:uid="{00000000-0005-0000-0000-0000E5120000}"/>
    <cellStyle name="Normal 2 4 17 10 3 2" xfId="4855" xr:uid="{00000000-0005-0000-0000-0000E6120000}"/>
    <cellStyle name="Normal 2 4 17 10 3 3" xfId="4856" xr:uid="{00000000-0005-0000-0000-0000E7120000}"/>
    <cellStyle name="Normal 2 4 17 10 4" xfId="4857" xr:uid="{00000000-0005-0000-0000-0000E8120000}"/>
    <cellStyle name="Normal 2 4 17 10 4 2" xfId="4858" xr:uid="{00000000-0005-0000-0000-0000E9120000}"/>
    <cellStyle name="Normal 2 4 17 10 4 3" xfId="4859" xr:uid="{00000000-0005-0000-0000-0000EA120000}"/>
    <cellStyle name="Normal 2 4 17 10 5" xfId="4860" xr:uid="{00000000-0005-0000-0000-0000EB120000}"/>
    <cellStyle name="Normal 2 4 17 10 5 2" xfId="4861" xr:uid="{00000000-0005-0000-0000-0000EC120000}"/>
    <cellStyle name="Normal 2 4 17 10 5 3" xfId="4862" xr:uid="{00000000-0005-0000-0000-0000ED120000}"/>
    <cellStyle name="Normal 2 4 17 10 6" xfId="4863" xr:uid="{00000000-0005-0000-0000-0000EE120000}"/>
    <cellStyle name="Normal 2 4 17 10 6 2" xfId="4864" xr:uid="{00000000-0005-0000-0000-0000EF120000}"/>
    <cellStyle name="Normal 2 4 17 10 6 3" xfId="4865" xr:uid="{00000000-0005-0000-0000-0000F0120000}"/>
    <cellStyle name="Normal 2 4 17 10 7" xfId="4866" xr:uid="{00000000-0005-0000-0000-0000F1120000}"/>
    <cellStyle name="Normal 2 4 17 10 7 2" xfId="4867" xr:uid="{00000000-0005-0000-0000-0000F2120000}"/>
    <cellStyle name="Normal 2 4 17 10 7 3" xfId="4868" xr:uid="{00000000-0005-0000-0000-0000F3120000}"/>
    <cellStyle name="Normal 2 4 17 10 8" xfId="4869" xr:uid="{00000000-0005-0000-0000-0000F4120000}"/>
    <cellStyle name="Normal 2 4 17 10 8 2" xfId="4870" xr:uid="{00000000-0005-0000-0000-0000F5120000}"/>
    <cellStyle name="Normal 2 4 17 10 8 3" xfId="4871" xr:uid="{00000000-0005-0000-0000-0000F6120000}"/>
    <cellStyle name="Normal 2 4 17 10 9" xfId="4872" xr:uid="{00000000-0005-0000-0000-0000F7120000}"/>
    <cellStyle name="Normal 2 4 17 10 9 2" xfId="4873" xr:uid="{00000000-0005-0000-0000-0000F8120000}"/>
    <cellStyle name="Normal 2 4 17 10 9 3" xfId="4874" xr:uid="{00000000-0005-0000-0000-0000F9120000}"/>
    <cellStyle name="Normal 2 4 17 11" xfId="4875" xr:uid="{00000000-0005-0000-0000-0000FA120000}"/>
    <cellStyle name="Normal 2 4 17 11 2" xfId="4876" xr:uid="{00000000-0005-0000-0000-0000FB120000}"/>
    <cellStyle name="Normal 2 4 17 11 3" xfId="4877" xr:uid="{00000000-0005-0000-0000-0000FC120000}"/>
    <cellStyle name="Normal 2 4 17 12" xfId="4878" xr:uid="{00000000-0005-0000-0000-0000FD120000}"/>
    <cellStyle name="Normal 2 4 17 12 2" xfId="4879" xr:uid="{00000000-0005-0000-0000-0000FE120000}"/>
    <cellStyle name="Normal 2 4 17 12 3" xfId="4880" xr:uid="{00000000-0005-0000-0000-0000FF120000}"/>
    <cellStyle name="Normal 2 4 17 13" xfId="4881" xr:uid="{00000000-0005-0000-0000-000000130000}"/>
    <cellStyle name="Normal 2 4 17 13 2" xfId="4882" xr:uid="{00000000-0005-0000-0000-000001130000}"/>
    <cellStyle name="Normal 2 4 17 13 3" xfId="4883" xr:uid="{00000000-0005-0000-0000-000002130000}"/>
    <cellStyle name="Normal 2 4 17 14" xfId="4884" xr:uid="{00000000-0005-0000-0000-000003130000}"/>
    <cellStyle name="Normal 2 4 17 14 2" xfId="4885" xr:uid="{00000000-0005-0000-0000-000004130000}"/>
    <cellStyle name="Normal 2 4 17 14 3" xfId="4886" xr:uid="{00000000-0005-0000-0000-000005130000}"/>
    <cellStyle name="Normal 2 4 17 15" xfId="4887" xr:uid="{00000000-0005-0000-0000-000006130000}"/>
    <cellStyle name="Normal 2 4 17 15 2" xfId="4888" xr:uid="{00000000-0005-0000-0000-000007130000}"/>
    <cellStyle name="Normal 2 4 17 15 3" xfId="4889" xr:uid="{00000000-0005-0000-0000-000008130000}"/>
    <cellStyle name="Normal 2 4 17 16" xfId="4890" xr:uid="{00000000-0005-0000-0000-000009130000}"/>
    <cellStyle name="Normal 2 4 17 16 2" xfId="4891" xr:uid="{00000000-0005-0000-0000-00000A130000}"/>
    <cellStyle name="Normal 2 4 17 16 3" xfId="4892" xr:uid="{00000000-0005-0000-0000-00000B130000}"/>
    <cellStyle name="Normal 2 4 17 17" xfId="4893" xr:uid="{00000000-0005-0000-0000-00000C130000}"/>
    <cellStyle name="Normal 2 4 17 17 2" xfId="4894" xr:uid="{00000000-0005-0000-0000-00000D130000}"/>
    <cellStyle name="Normal 2 4 17 17 3" xfId="4895" xr:uid="{00000000-0005-0000-0000-00000E130000}"/>
    <cellStyle name="Normal 2 4 17 18" xfId="4896" xr:uid="{00000000-0005-0000-0000-00000F130000}"/>
    <cellStyle name="Normal 2 4 17 18 2" xfId="4897" xr:uid="{00000000-0005-0000-0000-000010130000}"/>
    <cellStyle name="Normal 2 4 17 18 3" xfId="4898" xr:uid="{00000000-0005-0000-0000-000011130000}"/>
    <cellStyle name="Normal 2 4 17 19" xfId="4899" xr:uid="{00000000-0005-0000-0000-000012130000}"/>
    <cellStyle name="Normal 2 4 17 19 2" xfId="4900" xr:uid="{00000000-0005-0000-0000-000013130000}"/>
    <cellStyle name="Normal 2 4 17 19 3" xfId="4901" xr:uid="{00000000-0005-0000-0000-000014130000}"/>
    <cellStyle name="Normal 2 4 17 2" xfId="4902" xr:uid="{00000000-0005-0000-0000-000015130000}"/>
    <cellStyle name="Normal 2 4 17 2 10" xfId="4903" xr:uid="{00000000-0005-0000-0000-000016130000}"/>
    <cellStyle name="Normal 2 4 17 2 10 2" xfId="4904" xr:uid="{00000000-0005-0000-0000-000017130000}"/>
    <cellStyle name="Normal 2 4 17 2 10 3" xfId="4905" xr:uid="{00000000-0005-0000-0000-000018130000}"/>
    <cellStyle name="Normal 2 4 17 2 11" xfId="4906" xr:uid="{00000000-0005-0000-0000-000019130000}"/>
    <cellStyle name="Normal 2 4 17 2 11 2" xfId="4907" xr:uid="{00000000-0005-0000-0000-00001A130000}"/>
    <cellStyle name="Normal 2 4 17 2 11 3" xfId="4908" xr:uid="{00000000-0005-0000-0000-00001B130000}"/>
    <cellStyle name="Normal 2 4 17 2 12" xfId="4909" xr:uid="{00000000-0005-0000-0000-00001C130000}"/>
    <cellStyle name="Normal 2 4 17 2 12 2" xfId="4910" xr:uid="{00000000-0005-0000-0000-00001D130000}"/>
    <cellStyle name="Normal 2 4 17 2 12 3" xfId="4911" xr:uid="{00000000-0005-0000-0000-00001E130000}"/>
    <cellStyle name="Normal 2 4 17 2 13" xfId="4912" xr:uid="{00000000-0005-0000-0000-00001F130000}"/>
    <cellStyle name="Normal 2 4 17 2 13 2" xfId="4913" xr:uid="{00000000-0005-0000-0000-000020130000}"/>
    <cellStyle name="Normal 2 4 17 2 13 3" xfId="4914" xr:uid="{00000000-0005-0000-0000-000021130000}"/>
    <cellStyle name="Normal 2 4 17 2 14" xfId="4915" xr:uid="{00000000-0005-0000-0000-000022130000}"/>
    <cellStyle name="Normal 2 4 17 2 14 2" xfId="4916" xr:uid="{00000000-0005-0000-0000-000023130000}"/>
    <cellStyle name="Normal 2 4 17 2 14 3" xfId="4917" xr:uid="{00000000-0005-0000-0000-000024130000}"/>
    <cellStyle name="Normal 2 4 17 2 15" xfId="4918" xr:uid="{00000000-0005-0000-0000-000025130000}"/>
    <cellStyle name="Normal 2 4 17 2 15 2" xfId="4919" xr:uid="{00000000-0005-0000-0000-000026130000}"/>
    <cellStyle name="Normal 2 4 17 2 15 3" xfId="4920" xr:uid="{00000000-0005-0000-0000-000027130000}"/>
    <cellStyle name="Normal 2 4 17 2 16" xfId="4921" xr:uid="{00000000-0005-0000-0000-000028130000}"/>
    <cellStyle name="Normal 2 4 17 2 17" xfId="4922" xr:uid="{00000000-0005-0000-0000-000029130000}"/>
    <cellStyle name="Normal 2 4 17 2 2" xfId="4923" xr:uid="{00000000-0005-0000-0000-00002A130000}"/>
    <cellStyle name="Normal 2 4 17 2 2 10" xfId="4924" xr:uid="{00000000-0005-0000-0000-00002B130000}"/>
    <cellStyle name="Normal 2 4 17 2 2 10 2" xfId="4925" xr:uid="{00000000-0005-0000-0000-00002C130000}"/>
    <cellStyle name="Normal 2 4 17 2 2 10 3" xfId="4926" xr:uid="{00000000-0005-0000-0000-00002D130000}"/>
    <cellStyle name="Normal 2 4 17 2 2 11" xfId="4927" xr:uid="{00000000-0005-0000-0000-00002E130000}"/>
    <cellStyle name="Normal 2 4 17 2 2 11 2" xfId="4928" xr:uid="{00000000-0005-0000-0000-00002F130000}"/>
    <cellStyle name="Normal 2 4 17 2 2 11 3" xfId="4929" xr:uid="{00000000-0005-0000-0000-000030130000}"/>
    <cellStyle name="Normal 2 4 17 2 2 12" xfId="4930" xr:uid="{00000000-0005-0000-0000-000031130000}"/>
    <cellStyle name="Normal 2 4 17 2 2 12 2" xfId="4931" xr:uid="{00000000-0005-0000-0000-000032130000}"/>
    <cellStyle name="Normal 2 4 17 2 2 12 3" xfId="4932" xr:uid="{00000000-0005-0000-0000-000033130000}"/>
    <cellStyle name="Normal 2 4 17 2 2 13" xfId="4933" xr:uid="{00000000-0005-0000-0000-000034130000}"/>
    <cellStyle name="Normal 2 4 17 2 2 13 2" xfId="4934" xr:uid="{00000000-0005-0000-0000-000035130000}"/>
    <cellStyle name="Normal 2 4 17 2 2 13 3" xfId="4935" xr:uid="{00000000-0005-0000-0000-000036130000}"/>
    <cellStyle name="Normal 2 4 17 2 2 14" xfId="4936" xr:uid="{00000000-0005-0000-0000-000037130000}"/>
    <cellStyle name="Normal 2 4 17 2 2 14 2" xfId="4937" xr:uid="{00000000-0005-0000-0000-000038130000}"/>
    <cellStyle name="Normal 2 4 17 2 2 14 3" xfId="4938" xr:uid="{00000000-0005-0000-0000-000039130000}"/>
    <cellStyle name="Normal 2 4 17 2 2 15" xfId="4939" xr:uid="{00000000-0005-0000-0000-00003A130000}"/>
    <cellStyle name="Normal 2 4 17 2 2 16" xfId="4940" xr:uid="{00000000-0005-0000-0000-00003B130000}"/>
    <cellStyle name="Normal 2 4 17 2 2 2" xfId="4941" xr:uid="{00000000-0005-0000-0000-00003C130000}"/>
    <cellStyle name="Normal 2 4 17 2 2 2 2" xfId="4942" xr:uid="{00000000-0005-0000-0000-00003D130000}"/>
    <cellStyle name="Normal 2 4 17 2 2 2 3" xfId="4943" xr:uid="{00000000-0005-0000-0000-00003E130000}"/>
    <cellStyle name="Normal 2 4 17 2 2 3" xfId="4944" xr:uid="{00000000-0005-0000-0000-00003F130000}"/>
    <cellStyle name="Normal 2 4 17 2 2 3 2" xfId="4945" xr:uid="{00000000-0005-0000-0000-000040130000}"/>
    <cellStyle name="Normal 2 4 17 2 2 3 3" xfId="4946" xr:uid="{00000000-0005-0000-0000-000041130000}"/>
    <cellStyle name="Normal 2 4 17 2 2 4" xfId="4947" xr:uid="{00000000-0005-0000-0000-000042130000}"/>
    <cellStyle name="Normal 2 4 17 2 2 4 2" xfId="4948" xr:uid="{00000000-0005-0000-0000-000043130000}"/>
    <cellStyle name="Normal 2 4 17 2 2 4 3" xfId="4949" xr:uid="{00000000-0005-0000-0000-000044130000}"/>
    <cellStyle name="Normal 2 4 17 2 2 5" xfId="4950" xr:uid="{00000000-0005-0000-0000-000045130000}"/>
    <cellStyle name="Normal 2 4 17 2 2 5 2" xfId="4951" xr:uid="{00000000-0005-0000-0000-000046130000}"/>
    <cellStyle name="Normal 2 4 17 2 2 5 3" xfId="4952" xr:uid="{00000000-0005-0000-0000-000047130000}"/>
    <cellStyle name="Normal 2 4 17 2 2 6" xfId="4953" xr:uid="{00000000-0005-0000-0000-000048130000}"/>
    <cellStyle name="Normal 2 4 17 2 2 6 2" xfId="4954" xr:uid="{00000000-0005-0000-0000-000049130000}"/>
    <cellStyle name="Normal 2 4 17 2 2 6 3" xfId="4955" xr:uid="{00000000-0005-0000-0000-00004A130000}"/>
    <cellStyle name="Normal 2 4 17 2 2 7" xfId="4956" xr:uid="{00000000-0005-0000-0000-00004B130000}"/>
    <cellStyle name="Normal 2 4 17 2 2 7 2" xfId="4957" xr:uid="{00000000-0005-0000-0000-00004C130000}"/>
    <cellStyle name="Normal 2 4 17 2 2 7 3" xfId="4958" xr:uid="{00000000-0005-0000-0000-00004D130000}"/>
    <cellStyle name="Normal 2 4 17 2 2 8" xfId="4959" xr:uid="{00000000-0005-0000-0000-00004E130000}"/>
    <cellStyle name="Normal 2 4 17 2 2 8 2" xfId="4960" xr:uid="{00000000-0005-0000-0000-00004F130000}"/>
    <cellStyle name="Normal 2 4 17 2 2 8 3" xfId="4961" xr:uid="{00000000-0005-0000-0000-000050130000}"/>
    <cellStyle name="Normal 2 4 17 2 2 9" xfId="4962" xr:uid="{00000000-0005-0000-0000-000051130000}"/>
    <cellStyle name="Normal 2 4 17 2 2 9 2" xfId="4963" xr:uid="{00000000-0005-0000-0000-000052130000}"/>
    <cellStyle name="Normal 2 4 17 2 2 9 3" xfId="4964" xr:uid="{00000000-0005-0000-0000-000053130000}"/>
    <cellStyle name="Normal 2 4 17 2 3" xfId="4965" xr:uid="{00000000-0005-0000-0000-000054130000}"/>
    <cellStyle name="Normal 2 4 17 2 3 2" xfId="4966" xr:uid="{00000000-0005-0000-0000-000055130000}"/>
    <cellStyle name="Normal 2 4 17 2 3 3" xfId="4967" xr:uid="{00000000-0005-0000-0000-000056130000}"/>
    <cellStyle name="Normal 2 4 17 2 4" xfId="4968" xr:uid="{00000000-0005-0000-0000-000057130000}"/>
    <cellStyle name="Normal 2 4 17 2 4 2" xfId="4969" xr:uid="{00000000-0005-0000-0000-000058130000}"/>
    <cellStyle name="Normal 2 4 17 2 4 3" xfId="4970" xr:uid="{00000000-0005-0000-0000-000059130000}"/>
    <cellStyle name="Normal 2 4 17 2 5" xfId="4971" xr:uid="{00000000-0005-0000-0000-00005A130000}"/>
    <cellStyle name="Normal 2 4 17 2 5 2" xfId="4972" xr:uid="{00000000-0005-0000-0000-00005B130000}"/>
    <cellStyle name="Normal 2 4 17 2 5 3" xfId="4973" xr:uid="{00000000-0005-0000-0000-00005C130000}"/>
    <cellStyle name="Normal 2 4 17 2 6" xfId="4974" xr:uid="{00000000-0005-0000-0000-00005D130000}"/>
    <cellStyle name="Normal 2 4 17 2 6 2" xfId="4975" xr:uid="{00000000-0005-0000-0000-00005E130000}"/>
    <cellStyle name="Normal 2 4 17 2 6 3" xfId="4976" xr:uid="{00000000-0005-0000-0000-00005F130000}"/>
    <cellStyle name="Normal 2 4 17 2 7" xfId="4977" xr:uid="{00000000-0005-0000-0000-000060130000}"/>
    <cellStyle name="Normal 2 4 17 2 7 2" xfId="4978" xr:uid="{00000000-0005-0000-0000-000061130000}"/>
    <cellStyle name="Normal 2 4 17 2 7 3" xfId="4979" xr:uid="{00000000-0005-0000-0000-000062130000}"/>
    <cellStyle name="Normal 2 4 17 2 8" xfId="4980" xr:uid="{00000000-0005-0000-0000-000063130000}"/>
    <cellStyle name="Normal 2 4 17 2 8 2" xfId="4981" xr:uid="{00000000-0005-0000-0000-000064130000}"/>
    <cellStyle name="Normal 2 4 17 2 8 3" xfId="4982" xr:uid="{00000000-0005-0000-0000-000065130000}"/>
    <cellStyle name="Normal 2 4 17 2 9" xfId="4983" xr:uid="{00000000-0005-0000-0000-000066130000}"/>
    <cellStyle name="Normal 2 4 17 2 9 2" xfId="4984" xr:uid="{00000000-0005-0000-0000-000067130000}"/>
    <cellStyle name="Normal 2 4 17 2 9 3" xfId="4985" xr:uid="{00000000-0005-0000-0000-000068130000}"/>
    <cellStyle name="Normal 2 4 17 20" xfId="4986" xr:uid="{00000000-0005-0000-0000-000069130000}"/>
    <cellStyle name="Normal 2 4 17 20 2" xfId="4987" xr:uid="{00000000-0005-0000-0000-00006A130000}"/>
    <cellStyle name="Normal 2 4 17 20 3" xfId="4988" xr:uid="{00000000-0005-0000-0000-00006B130000}"/>
    <cellStyle name="Normal 2 4 17 21" xfId="4989" xr:uid="{00000000-0005-0000-0000-00006C130000}"/>
    <cellStyle name="Normal 2 4 17 21 2" xfId="4990" xr:uid="{00000000-0005-0000-0000-00006D130000}"/>
    <cellStyle name="Normal 2 4 17 21 3" xfId="4991" xr:uid="{00000000-0005-0000-0000-00006E130000}"/>
    <cellStyle name="Normal 2 4 17 22" xfId="4992" xr:uid="{00000000-0005-0000-0000-00006F130000}"/>
    <cellStyle name="Normal 2 4 17 22 2" xfId="4993" xr:uid="{00000000-0005-0000-0000-000070130000}"/>
    <cellStyle name="Normal 2 4 17 22 3" xfId="4994" xr:uid="{00000000-0005-0000-0000-000071130000}"/>
    <cellStyle name="Normal 2 4 17 23" xfId="4995" xr:uid="{00000000-0005-0000-0000-000072130000}"/>
    <cellStyle name="Normal 2 4 17 23 2" xfId="4996" xr:uid="{00000000-0005-0000-0000-000073130000}"/>
    <cellStyle name="Normal 2 4 17 23 3" xfId="4997" xr:uid="{00000000-0005-0000-0000-000074130000}"/>
    <cellStyle name="Normal 2 4 17 24" xfId="4998" xr:uid="{00000000-0005-0000-0000-000075130000}"/>
    <cellStyle name="Normal 2 4 17 25" xfId="4999" xr:uid="{00000000-0005-0000-0000-000076130000}"/>
    <cellStyle name="Normal 2 4 17 3" xfId="5000" xr:uid="{00000000-0005-0000-0000-000077130000}"/>
    <cellStyle name="Normal 2 4 17 3 10" xfId="5001" xr:uid="{00000000-0005-0000-0000-000078130000}"/>
    <cellStyle name="Normal 2 4 17 3 10 2" xfId="5002" xr:uid="{00000000-0005-0000-0000-000079130000}"/>
    <cellStyle name="Normal 2 4 17 3 10 3" xfId="5003" xr:uid="{00000000-0005-0000-0000-00007A130000}"/>
    <cellStyle name="Normal 2 4 17 3 11" xfId="5004" xr:uid="{00000000-0005-0000-0000-00007B130000}"/>
    <cellStyle name="Normal 2 4 17 3 11 2" xfId="5005" xr:uid="{00000000-0005-0000-0000-00007C130000}"/>
    <cellStyle name="Normal 2 4 17 3 11 3" xfId="5006" xr:uid="{00000000-0005-0000-0000-00007D130000}"/>
    <cellStyle name="Normal 2 4 17 3 12" xfId="5007" xr:uid="{00000000-0005-0000-0000-00007E130000}"/>
    <cellStyle name="Normal 2 4 17 3 12 2" xfId="5008" xr:uid="{00000000-0005-0000-0000-00007F130000}"/>
    <cellStyle name="Normal 2 4 17 3 12 3" xfId="5009" xr:uid="{00000000-0005-0000-0000-000080130000}"/>
    <cellStyle name="Normal 2 4 17 3 13" xfId="5010" xr:uid="{00000000-0005-0000-0000-000081130000}"/>
    <cellStyle name="Normal 2 4 17 3 13 2" xfId="5011" xr:uid="{00000000-0005-0000-0000-000082130000}"/>
    <cellStyle name="Normal 2 4 17 3 13 3" xfId="5012" xr:uid="{00000000-0005-0000-0000-000083130000}"/>
    <cellStyle name="Normal 2 4 17 3 14" xfId="5013" xr:uid="{00000000-0005-0000-0000-000084130000}"/>
    <cellStyle name="Normal 2 4 17 3 14 2" xfId="5014" xr:uid="{00000000-0005-0000-0000-000085130000}"/>
    <cellStyle name="Normal 2 4 17 3 14 3" xfId="5015" xr:uid="{00000000-0005-0000-0000-000086130000}"/>
    <cellStyle name="Normal 2 4 17 3 15" xfId="5016" xr:uid="{00000000-0005-0000-0000-000087130000}"/>
    <cellStyle name="Normal 2 4 17 3 15 2" xfId="5017" xr:uid="{00000000-0005-0000-0000-000088130000}"/>
    <cellStyle name="Normal 2 4 17 3 15 3" xfId="5018" xr:uid="{00000000-0005-0000-0000-000089130000}"/>
    <cellStyle name="Normal 2 4 17 3 16" xfId="5019" xr:uid="{00000000-0005-0000-0000-00008A130000}"/>
    <cellStyle name="Normal 2 4 17 3 17" xfId="5020" xr:uid="{00000000-0005-0000-0000-00008B130000}"/>
    <cellStyle name="Normal 2 4 17 3 2" xfId="5021" xr:uid="{00000000-0005-0000-0000-00008C130000}"/>
    <cellStyle name="Normal 2 4 17 3 2 10" xfId="5022" xr:uid="{00000000-0005-0000-0000-00008D130000}"/>
    <cellStyle name="Normal 2 4 17 3 2 10 2" xfId="5023" xr:uid="{00000000-0005-0000-0000-00008E130000}"/>
    <cellStyle name="Normal 2 4 17 3 2 10 3" xfId="5024" xr:uid="{00000000-0005-0000-0000-00008F130000}"/>
    <cellStyle name="Normal 2 4 17 3 2 11" xfId="5025" xr:uid="{00000000-0005-0000-0000-000090130000}"/>
    <cellStyle name="Normal 2 4 17 3 2 11 2" xfId="5026" xr:uid="{00000000-0005-0000-0000-000091130000}"/>
    <cellStyle name="Normal 2 4 17 3 2 11 3" xfId="5027" xr:uid="{00000000-0005-0000-0000-000092130000}"/>
    <cellStyle name="Normal 2 4 17 3 2 12" xfId="5028" xr:uid="{00000000-0005-0000-0000-000093130000}"/>
    <cellStyle name="Normal 2 4 17 3 2 12 2" xfId="5029" xr:uid="{00000000-0005-0000-0000-000094130000}"/>
    <cellStyle name="Normal 2 4 17 3 2 12 3" xfId="5030" xr:uid="{00000000-0005-0000-0000-000095130000}"/>
    <cellStyle name="Normal 2 4 17 3 2 13" xfId="5031" xr:uid="{00000000-0005-0000-0000-000096130000}"/>
    <cellStyle name="Normal 2 4 17 3 2 13 2" xfId="5032" xr:uid="{00000000-0005-0000-0000-000097130000}"/>
    <cellStyle name="Normal 2 4 17 3 2 13 3" xfId="5033" xr:uid="{00000000-0005-0000-0000-000098130000}"/>
    <cellStyle name="Normal 2 4 17 3 2 14" xfId="5034" xr:uid="{00000000-0005-0000-0000-000099130000}"/>
    <cellStyle name="Normal 2 4 17 3 2 14 2" xfId="5035" xr:uid="{00000000-0005-0000-0000-00009A130000}"/>
    <cellStyle name="Normal 2 4 17 3 2 14 3" xfId="5036" xr:uid="{00000000-0005-0000-0000-00009B130000}"/>
    <cellStyle name="Normal 2 4 17 3 2 15" xfId="5037" xr:uid="{00000000-0005-0000-0000-00009C130000}"/>
    <cellStyle name="Normal 2 4 17 3 2 16" xfId="5038" xr:uid="{00000000-0005-0000-0000-00009D130000}"/>
    <cellStyle name="Normal 2 4 17 3 2 2" xfId="5039" xr:uid="{00000000-0005-0000-0000-00009E130000}"/>
    <cellStyle name="Normal 2 4 17 3 2 2 2" xfId="5040" xr:uid="{00000000-0005-0000-0000-00009F130000}"/>
    <cellStyle name="Normal 2 4 17 3 2 2 3" xfId="5041" xr:uid="{00000000-0005-0000-0000-0000A0130000}"/>
    <cellStyle name="Normal 2 4 17 3 2 3" xfId="5042" xr:uid="{00000000-0005-0000-0000-0000A1130000}"/>
    <cellStyle name="Normal 2 4 17 3 2 3 2" xfId="5043" xr:uid="{00000000-0005-0000-0000-0000A2130000}"/>
    <cellStyle name="Normal 2 4 17 3 2 3 3" xfId="5044" xr:uid="{00000000-0005-0000-0000-0000A3130000}"/>
    <cellStyle name="Normal 2 4 17 3 2 4" xfId="5045" xr:uid="{00000000-0005-0000-0000-0000A4130000}"/>
    <cellStyle name="Normal 2 4 17 3 2 4 2" xfId="5046" xr:uid="{00000000-0005-0000-0000-0000A5130000}"/>
    <cellStyle name="Normal 2 4 17 3 2 4 3" xfId="5047" xr:uid="{00000000-0005-0000-0000-0000A6130000}"/>
    <cellStyle name="Normal 2 4 17 3 2 5" xfId="5048" xr:uid="{00000000-0005-0000-0000-0000A7130000}"/>
    <cellStyle name="Normal 2 4 17 3 2 5 2" xfId="5049" xr:uid="{00000000-0005-0000-0000-0000A8130000}"/>
    <cellStyle name="Normal 2 4 17 3 2 5 3" xfId="5050" xr:uid="{00000000-0005-0000-0000-0000A9130000}"/>
    <cellStyle name="Normal 2 4 17 3 2 6" xfId="5051" xr:uid="{00000000-0005-0000-0000-0000AA130000}"/>
    <cellStyle name="Normal 2 4 17 3 2 6 2" xfId="5052" xr:uid="{00000000-0005-0000-0000-0000AB130000}"/>
    <cellStyle name="Normal 2 4 17 3 2 6 3" xfId="5053" xr:uid="{00000000-0005-0000-0000-0000AC130000}"/>
    <cellStyle name="Normal 2 4 17 3 2 7" xfId="5054" xr:uid="{00000000-0005-0000-0000-0000AD130000}"/>
    <cellStyle name="Normal 2 4 17 3 2 7 2" xfId="5055" xr:uid="{00000000-0005-0000-0000-0000AE130000}"/>
    <cellStyle name="Normal 2 4 17 3 2 7 3" xfId="5056" xr:uid="{00000000-0005-0000-0000-0000AF130000}"/>
    <cellStyle name="Normal 2 4 17 3 2 8" xfId="5057" xr:uid="{00000000-0005-0000-0000-0000B0130000}"/>
    <cellStyle name="Normal 2 4 17 3 2 8 2" xfId="5058" xr:uid="{00000000-0005-0000-0000-0000B1130000}"/>
    <cellStyle name="Normal 2 4 17 3 2 8 3" xfId="5059" xr:uid="{00000000-0005-0000-0000-0000B2130000}"/>
    <cellStyle name="Normal 2 4 17 3 2 9" xfId="5060" xr:uid="{00000000-0005-0000-0000-0000B3130000}"/>
    <cellStyle name="Normal 2 4 17 3 2 9 2" xfId="5061" xr:uid="{00000000-0005-0000-0000-0000B4130000}"/>
    <cellStyle name="Normal 2 4 17 3 2 9 3" xfId="5062" xr:uid="{00000000-0005-0000-0000-0000B5130000}"/>
    <cellStyle name="Normal 2 4 17 3 3" xfId="5063" xr:uid="{00000000-0005-0000-0000-0000B6130000}"/>
    <cellStyle name="Normal 2 4 17 3 3 2" xfId="5064" xr:uid="{00000000-0005-0000-0000-0000B7130000}"/>
    <cellStyle name="Normal 2 4 17 3 3 3" xfId="5065" xr:uid="{00000000-0005-0000-0000-0000B8130000}"/>
    <cellStyle name="Normal 2 4 17 3 4" xfId="5066" xr:uid="{00000000-0005-0000-0000-0000B9130000}"/>
    <cellStyle name="Normal 2 4 17 3 4 2" xfId="5067" xr:uid="{00000000-0005-0000-0000-0000BA130000}"/>
    <cellStyle name="Normal 2 4 17 3 4 3" xfId="5068" xr:uid="{00000000-0005-0000-0000-0000BB130000}"/>
    <cellStyle name="Normal 2 4 17 3 5" xfId="5069" xr:uid="{00000000-0005-0000-0000-0000BC130000}"/>
    <cellStyle name="Normal 2 4 17 3 5 2" xfId="5070" xr:uid="{00000000-0005-0000-0000-0000BD130000}"/>
    <cellStyle name="Normal 2 4 17 3 5 3" xfId="5071" xr:uid="{00000000-0005-0000-0000-0000BE130000}"/>
    <cellStyle name="Normal 2 4 17 3 6" xfId="5072" xr:uid="{00000000-0005-0000-0000-0000BF130000}"/>
    <cellStyle name="Normal 2 4 17 3 6 2" xfId="5073" xr:uid="{00000000-0005-0000-0000-0000C0130000}"/>
    <cellStyle name="Normal 2 4 17 3 6 3" xfId="5074" xr:uid="{00000000-0005-0000-0000-0000C1130000}"/>
    <cellStyle name="Normal 2 4 17 3 7" xfId="5075" xr:uid="{00000000-0005-0000-0000-0000C2130000}"/>
    <cellStyle name="Normal 2 4 17 3 7 2" xfId="5076" xr:uid="{00000000-0005-0000-0000-0000C3130000}"/>
    <cellStyle name="Normal 2 4 17 3 7 3" xfId="5077" xr:uid="{00000000-0005-0000-0000-0000C4130000}"/>
    <cellStyle name="Normal 2 4 17 3 8" xfId="5078" xr:uid="{00000000-0005-0000-0000-0000C5130000}"/>
    <cellStyle name="Normal 2 4 17 3 8 2" xfId="5079" xr:uid="{00000000-0005-0000-0000-0000C6130000}"/>
    <cellStyle name="Normal 2 4 17 3 8 3" xfId="5080" xr:uid="{00000000-0005-0000-0000-0000C7130000}"/>
    <cellStyle name="Normal 2 4 17 3 9" xfId="5081" xr:uid="{00000000-0005-0000-0000-0000C8130000}"/>
    <cellStyle name="Normal 2 4 17 3 9 2" xfId="5082" xr:uid="{00000000-0005-0000-0000-0000C9130000}"/>
    <cellStyle name="Normal 2 4 17 3 9 3" xfId="5083" xr:uid="{00000000-0005-0000-0000-0000CA130000}"/>
    <cellStyle name="Normal 2 4 17 4" xfId="5084" xr:uid="{00000000-0005-0000-0000-0000CB130000}"/>
    <cellStyle name="Normal 2 4 17 4 10" xfId="5085" xr:uid="{00000000-0005-0000-0000-0000CC130000}"/>
    <cellStyle name="Normal 2 4 17 4 10 2" xfId="5086" xr:uid="{00000000-0005-0000-0000-0000CD130000}"/>
    <cellStyle name="Normal 2 4 17 4 10 3" xfId="5087" xr:uid="{00000000-0005-0000-0000-0000CE130000}"/>
    <cellStyle name="Normal 2 4 17 4 11" xfId="5088" xr:uid="{00000000-0005-0000-0000-0000CF130000}"/>
    <cellStyle name="Normal 2 4 17 4 11 2" xfId="5089" xr:uid="{00000000-0005-0000-0000-0000D0130000}"/>
    <cellStyle name="Normal 2 4 17 4 11 3" xfId="5090" xr:uid="{00000000-0005-0000-0000-0000D1130000}"/>
    <cellStyle name="Normal 2 4 17 4 12" xfId="5091" xr:uid="{00000000-0005-0000-0000-0000D2130000}"/>
    <cellStyle name="Normal 2 4 17 4 12 2" xfId="5092" xr:uid="{00000000-0005-0000-0000-0000D3130000}"/>
    <cellStyle name="Normal 2 4 17 4 12 3" xfId="5093" xr:uid="{00000000-0005-0000-0000-0000D4130000}"/>
    <cellStyle name="Normal 2 4 17 4 13" xfId="5094" xr:uid="{00000000-0005-0000-0000-0000D5130000}"/>
    <cellStyle name="Normal 2 4 17 4 13 2" xfId="5095" xr:uid="{00000000-0005-0000-0000-0000D6130000}"/>
    <cellStyle name="Normal 2 4 17 4 13 3" xfId="5096" xr:uid="{00000000-0005-0000-0000-0000D7130000}"/>
    <cellStyle name="Normal 2 4 17 4 14" xfId="5097" xr:uid="{00000000-0005-0000-0000-0000D8130000}"/>
    <cellStyle name="Normal 2 4 17 4 14 2" xfId="5098" xr:uid="{00000000-0005-0000-0000-0000D9130000}"/>
    <cellStyle name="Normal 2 4 17 4 14 3" xfId="5099" xr:uid="{00000000-0005-0000-0000-0000DA130000}"/>
    <cellStyle name="Normal 2 4 17 4 15" xfId="5100" xr:uid="{00000000-0005-0000-0000-0000DB130000}"/>
    <cellStyle name="Normal 2 4 17 4 15 2" xfId="5101" xr:uid="{00000000-0005-0000-0000-0000DC130000}"/>
    <cellStyle name="Normal 2 4 17 4 15 3" xfId="5102" xr:uid="{00000000-0005-0000-0000-0000DD130000}"/>
    <cellStyle name="Normal 2 4 17 4 16" xfId="5103" xr:uid="{00000000-0005-0000-0000-0000DE130000}"/>
    <cellStyle name="Normal 2 4 17 4 17" xfId="5104" xr:uid="{00000000-0005-0000-0000-0000DF130000}"/>
    <cellStyle name="Normal 2 4 17 4 2" xfId="5105" xr:uid="{00000000-0005-0000-0000-0000E0130000}"/>
    <cellStyle name="Normal 2 4 17 4 2 10" xfId="5106" xr:uid="{00000000-0005-0000-0000-0000E1130000}"/>
    <cellStyle name="Normal 2 4 17 4 2 10 2" xfId="5107" xr:uid="{00000000-0005-0000-0000-0000E2130000}"/>
    <cellStyle name="Normal 2 4 17 4 2 10 3" xfId="5108" xr:uid="{00000000-0005-0000-0000-0000E3130000}"/>
    <cellStyle name="Normal 2 4 17 4 2 11" xfId="5109" xr:uid="{00000000-0005-0000-0000-0000E4130000}"/>
    <cellStyle name="Normal 2 4 17 4 2 11 2" xfId="5110" xr:uid="{00000000-0005-0000-0000-0000E5130000}"/>
    <cellStyle name="Normal 2 4 17 4 2 11 3" xfId="5111" xr:uid="{00000000-0005-0000-0000-0000E6130000}"/>
    <cellStyle name="Normal 2 4 17 4 2 12" xfId="5112" xr:uid="{00000000-0005-0000-0000-0000E7130000}"/>
    <cellStyle name="Normal 2 4 17 4 2 12 2" xfId="5113" xr:uid="{00000000-0005-0000-0000-0000E8130000}"/>
    <cellStyle name="Normal 2 4 17 4 2 12 3" xfId="5114" xr:uid="{00000000-0005-0000-0000-0000E9130000}"/>
    <cellStyle name="Normal 2 4 17 4 2 13" xfId="5115" xr:uid="{00000000-0005-0000-0000-0000EA130000}"/>
    <cellStyle name="Normal 2 4 17 4 2 13 2" xfId="5116" xr:uid="{00000000-0005-0000-0000-0000EB130000}"/>
    <cellStyle name="Normal 2 4 17 4 2 13 3" xfId="5117" xr:uid="{00000000-0005-0000-0000-0000EC130000}"/>
    <cellStyle name="Normal 2 4 17 4 2 14" xfId="5118" xr:uid="{00000000-0005-0000-0000-0000ED130000}"/>
    <cellStyle name="Normal 2 4 17 4 2 14 2" xfId="5119" xr:uid="{00000000-0005-0000-0000-0000EE130000}"/>
    <cellStyle name="Normal 2 4 17 4 2 14 3" xfId="5120" xr:uid="{00000000-0005-0000-0000-0000EF130000}"/>
    <cellStyle name="Normal 2 4 17 4 2 15" xfId="5121" xr:uid="{00000000-0005-0000-0000-0000F0130000}"/>
    <cellStyle name="Normal 2 4 17 4 2 16" xfId="5122" xr:uid="{00000000-0005-0000-0000-0000F1130000}"/>
    <cellStyle name="Normal 2 4 17 4 2 2" xfId="5123" xr:uid="{00000000-0005-0000-0000-0000F2130000}"/>
    <cellStyle name="Normal 2 4 17 4 2 2 2" xfId="5124" xr:uid="{00000000-0005-0000-0000-0000F3130000}"/>
    <cellStyle name="Normal 2 4 17 4 2 2 3" xfId="5125" xr:uid="{00000000-0005-0000-0000-0000F4130000}"/>
    <cellStyle name="Normal 2 4 17 4 2 3" xfId="5126" xr:uid="{00000000-0005-0000-0000-0000F5130000}"/>
    <cellStyle name="Normal 2 4 17 4 2 3 2" xfId="5127" xr:uid="{00000000-0005-0000-0000-0000F6130000}"/>
    <cellStyle name="Normal 2 4 17 4 2 3 3" xfId="5128" xr:uid="{00000000-0005-0000-0000-0000F7130000}"/>
    <cellStyle name="Normal 2 4 17 4 2 4" xfId="5129" xr:uid="{00000000-0005-0000-0000-0000F8130000}"/>
    <cellStyle name="Normal 2 4 17 4 2 4 2" xfId="5130" xr:uid="{00000000-0005-0000-0000-0000F9130000}"/>
    <cellStyle name="Normal 2 4 17 4 2 4 3" xfId="5131" xr:uid="{00000000-0005-0000-0000-0000FA130000}"/>
    <cellStyle name="Normal 2 4 17 4 2 5" xfId="5132" xr:uid="{00000000-0005-0000-0000-0000FB130000}"/>
    <cellStyle name="Normal 2 4 17 4 2 5 2" xfId="5133" xr:uid="{00000000-0005-0000-0000-0000FC130000}"/>
    <cellStyle name="Normal 2 4 17 4 2 5 3" xfId="5134" xr:uid="{00000000-0005-0000-0000-0000FD130000}"/>
    <cellStyle name="Normal 2 4 17 4 2 6" xfId="5135" xr:uid="{00000000-0005-0000-0000-0000FE130000}"/>
    <cellStyle name="Normal 2 4 17 4 2 6 2" xfId="5136" xr:uid="{00000000-0005-0000-0000-0000FF130000}"/>
    <cellStyle name="Normal 2 4 17 4 2 6 3" xfId="5137" xr:uid="{00000000-0005-0000-0000-000000140000}"/>
    <cellStyle name="Normal 2 4 17 4 2 7" xfId="5138" xr:uid="{00000000-0005-0000-0000-000001140000}"/>
    <cellStyle name="Normal 2 4 17 4 2 7 2" xfId="5139" xr:uid="{00000000-0005-0000-0000-000002140000}"/>
    <cellStyle name="Normal 2 4 17 4 2 7 3" xfId="5140" xr:uid="{00000000-0005-0000-0000-000003140000}"/>
    <cellStyle name="Normal 2 4 17 4 2 8" xfId="5141" xr:uid="{00000000-0005-0000-0000-000004140000}"/>
    <cellStyle name="Normal 2 4 17 4 2 8 2" xfId="5142" xr:uid="{00000000-0005-0000-0000-000005140000}"/>
    <cellStyle name="Normal 2 4 17 4 2 8 3" xfId="5143" xr:uid="{00000000-0005-0000-0000-000006140000}"/>
    <cellStyle name="Normal 2 4 17 4 2 9" xfId="5144" xr:uid="{00000000-0005-0000-0000-000007140000}"/>
    <cellStyle name="Normal 2 4 17 4 2 9 2" xfId="5145" xr:uid="{00000000-0005-0000-0000-000008140000}"/>
    <cellStyle name="Normal 2 4 17 4 2 9 3" xfId="5146" xr:uid="{00000000-0005-0000-0000-000009140000}"/>
    <cellStyle name="Normal 2 4 17 4 3" xfId="5147" xr:uid="{00000000-0005-0000-0000-00000A140000}"/>
    <cellStyle name="Normal 2 4 17 4 3 2" xfId="5148" xr:uid="{00000000-0005-0000-0000-00000B140000}"/>
    <cellStyle name="Normal 2 4 17 4 3 3" xfId="5149" xr:uid="{00000000-0005-0000-0000-00000C140000}"/>
    <cellStyle name="Normal 2 4 17 4 4" xfId="5150" xr:uid="{00000000-0005-0000-0000-00000D140000}"/>
    <cellStyle name="Normal 2 4 17 4 4 2" xfId="5151" xr:uid="{00000000-0005-0000-0000-00000E140000}"/>
    <cellStyle name="Normal 2 4 17 4 4 3" xfId="5152" xr:uid="{00000000-0005-0000-0000-00000F140000}"/>
    <cellStyle name="Normal 2 4 17 4 5" xfId="5153" xr:uid="{00000000-0005-0000-0000-000010140000}"/>
    <cellStyle name="Normal 2 4 17 4 5 2" xfId="5154" xr:uid="{00000000-0005-0000-0000-000011140000}"/>
    <cellStyle name="Normal 2 4 17 4 5 3" xfId="5155" xr:uid="{00000000-0005-0000-0000-000012140000}"/>
    <cellStyle name="Normal 2 4 17 4 6" xfId="5156" xr:uid="{00000000-0005-0000-0000-000013140000}"/>
    <cellStyle name="Normal 2 4 17 4 6 2" xfId="5157" xr:uid="{00000000-0005-0000-0000-000014140000}"/>
    <cellStyle name="Normal 2 4 17 4 6 3" xfId="5158" xr:uid="{00000000-0005-0000-0000-000015140000}"/>
    <cellStyle name="Normal 2 4 17 4 7" xfId="5159" xr:uid="{00000000-0005-0000-0000-000016140000}"/>
    <cellStyle name="Normal 2 4 17 4 7 2" xfId="5160" xr:uid="{00000000-0005-0000-0000-000017140000}"/>
    <cellStyle name="Normal 2 4 17 4 7 3" xfId="5161" xr:uid="{00000000-0005-0000-0000-000018140000}"/>
    <cellStyle name="Normal 2 4 17 4 8" xfId="5162" xr:uid="{00000000-0005-0000-0000-000019140000}"/>
    <cellStyle name="Normal 2 4 17 4 8 2" xfId="5163" xr:uid="{00000000-0005-0000-0000-00001A140000}"/>
    <cellStyle name="Normal 2 4 17 4 8 3" xfId="5164" xr:uid="{00000000-0005-0000-0000-00001B140000}"/>
    <cellStyle name="Normal 2 4 17 4 9" xfId="5165" xr:uid="{00000000-0005-0000-0000-00001C140000}"/>
    <cellStyle name="Normal 2 4 17 4 9 2" xfId="5166" xr:uid="{00000000-0005-0000-0000-00001D140000}"/>
    <cellStyle name="Normal 2 4 17 4 9 3" xfId="5167" xr:uid="{00000000-0005-0000-0000-00001E140000}"/>
    <cellStyle name="Normal 2 4 17 5" xfId="5168" xr:uid="{00000000-0005-0000-0000-00001F140000}"/>
    <cellStyle name="Normal 2 4 17 5 10" xfId="5169" xr:uid="{00000000-0005-0000-0000-000020140000}"/>
    <cellStyle name="Normal 2 4 17 5 10 2" xfId="5170" xr:uid="{00000000-0005-0000-0000-000021140000}"/>
    <cellStyle name="Normal 2 4 17 5 10 3" xfId="5171" xr:uid="{00000000-0005-0000-0000-000022140000}"/>
    <cellStyle name="Normal 2 4 17 5 11" xfId="5172" xr:uid="{00000000-0005-0000-0000-000023140000}"/>
    <cellStyle name="Normal 2 4 17 5 11 2" xfId="5173" xr:uid="{00000000-0005-0000-0000-000024140000}"/>
    <cellStyle name="Normal 2 4 17 5 11 3" xfId="5174" xr:uid="{00000000-0005-0000-0000-000025140000}"/>
    <cellStyle name="Normal 2 4 17 5 12" xfId="5175" xr:uid="{00000000-0005-0000-0000-000026140000}"/>
    <cellStyle name="Normal 2 4 17 5 12 2" xfId="5176" xr:uid="{00000000-0005-0000-0000-000027140000}"/>
    <cellStyle name="Normal 2 4 17 5 12 3" xfId="5177" xr:uid="{00000000-0005-0000-0000-000028140000}"/>
    <cellStyle name="Normal 2 4 17 5 13" xfId="5178" xr:uid="{00000000-0005-0000-0000-000029140000}"/>
    <cellStyle name="Normal 2 4 17 5 13 2" xfId="5179" xr:uid="{00000000-0005-0000-0000-00002A140000}"/>
    <cellStyle name="Normal 2 4 17 5 13 3" xfId="5180" xr:uid="{00000000-0005-0000-0000-00002B140000}"/>
    <cellStyle name="Normal 2 4 17 5 14" xfId="5181" xr:uid="{00000000-0005-0000-0000-00002C140000}"/>
    <cellStyle name="Normal 2 4 17 5 14 2" xfId="5182" xr:uid="{00000000-0005-0000-0000-00002D140000}"/>
    <cellStyle name="Normal 2 4 17 5 14 3" xfId="5183" xr:uid="{00000000-0005-0000-0000-00002E140000}"/>
    <cellStyle name="Normal 2 4 17 5 15" xfId="5184" xr:uid="{00000000-0005-0000-0000-00002F140000}"/>
    <cellStyle name="Normal 2 4 17 5 16" xfId="5185" xr:uid="{00000000-0005-0000-0000-000030140000}"/>
    <cellStyle name="Normal 2 4 17 5 2" xfId="5186" xr:uid="{00000000-0005-0000-0000-000031140000}"/>
    <cellStyle name="Normal 2 4 17 5 2 2" xfId="5187" xr:uid="{00000000-0005-0000-0000-000032140000}"/>
    <cellStyle name="Normal 2 4 17 5 2 3" xfId="5188" xr:uid="{00000000-0005-0000-0000-000033140000}"/>
    <cellStyle name="Normal 2 4 17 5 3" xfId="5189" xr:uid="{00000000-0005-0000-0000-000034140000}"/>
    <cellStyle name="Normal 2 4 17 5 3 2" xfId="5190" xr:uid="{00000000-0005-0000-0000-000035140000}"/>
    <cellStyle name="Normal 2 4 17 5 3 3" xfId="5191" xr:uid="{00000000-0005-0000-0000-000036140000}"/>
    <cellStyle name="Normal 2 4 17 5 4" xfId="5192" xr:uid="{00000000-0005-0000-0000-000037140000}"/>
    <cellStyle name="Normal 2 4 17 5 4 2" xfId="5193" xr:uid="{00000000-0005-0000-0000-000038140000}"/>
    <cellStyle name="Normal 2 4 17 5 4 3" xfId="5194" xr:uid="{00000000-0005-0000-0000-000039140000}"/>
    <cellStyle name="Normal 2 4 17 5 5" xfId="5195" xr:uid="{00000000-0005-0000-0000-00003A140000}"/>
    <cellStyle name="Normal 2 4 17 5 5 2" xfId="5196" xr:uid="{00000000-0005-0000-0000-00003B140000}"/>
    <cellStyle name="Normal 2 4 17 5 5 3" xfId="5197" xr:uid="{00000000-0005-0000-0000-00003C140000}"/>
    <cellStyle name="Normal 2 4 17 5 6" xfId="5198" xr:uid="{00000000-0005-0000-0000-00003D140000}"/>
    <cellStyle name="Normal 2 4 17 5 6 2" xfId="5199" xr:uid="{00000000-0005-0000-0000-00003E140000}"/>
    <cellStyle name="Normal 2 4 17 5 6 3" xfId="5200" xr:uid="{00000000-0005-0000-0000-00003F140000}"/>
    <cellStyle name="Normal 2 4 17 5 7" xfId="5201" xr:uid="{00000000-0005-0000-0000-000040140000}"/>
    <cellStyle name="Normal 2 4 17 5 7 2" xfId="5202" xr:uid="{00000000-0005-0000-0000-000041140000}"/>
    <cellStyle name="Normal 2 4 17 5 7 3" xfId="5203" xr:uid="{00000000-0005-0000-0000-000042140000}"/>
    <cellStyle name="Normal 2 4 17 5 8" xfId="5204" xr:uid="{00000000-0005-0000-0000-000043140000}"/>
    <cellStyle name="Normal 2 4 17 5 8 2" xfId="5205" xr:uid="{00000000-0005-0000-0000-000044140000}"/>
    <cellStyle name="Normal 2 4 17 5 8 3" xfId="5206" xr:uid="{00000000-0005-0000-0000-000045140000}"/>
    <cellStyle name="Normal 2 4 17 5 9" xfId="5207" xr:uid="{00000000-0005-0000-0000-000046140000}"/>
    <cellStyle name="Normal 2 4 17 5 9 2" xfId="5208" xr:uid="{00000000-0005-0000-0000-000047140000}"/>
    <cellStyle name="Normal 2 4 17 5 9 3" xfId="5209" xr:uid="{00000000-0005-0000-0000-000048140000}"/>
    <cellStyle name="Normal 2 4 17 6" xfId="5210" xr:uid="{00000000-0005-0000-0000-000049140000}"/>
    <cellStyle name="Normal 2 4 17 6 10" xfId="5211" xr:uid="{00000000-0005-0000-0000-00004A140000}"/>
    <cellStyle name="Normal 2 4 17 6 10 2" xfId="5212" xr:uid="{00000000-0005-0000-0000-00004B140000}"/>
    <cellStyle name="Normal 2 4 17 6 10 3" xfId="5213" xr:uid="{00000000-0005-0000-0000-00004C140000}"/>
    <cellStyle name="Normal 2 4 17 6 11" xfId="5214" xr:uid="{00000000-0005-0000-0000-00004D140000}"/>
    <cellStyle name="Normal 2 4 17 6 11 2" xfId="5215" xr:uid="{00000000-0005-0000-0000-00004E140000}"/>
    <cellStyle name="Normal 2 4 17 6 11 3" xfId="5216" xr:uid="{00000000-0005-0000-0000-00004F140000}"/>
    <cellStyle name="Normal 2 4 17 6 12" xfId="5217" xr:uid="{00000000-0005-0000-0000-000050140000}"/>
    <cellStyle name="Normal 2 4 17 6 12 2" xfId="5218" xr:uid="{00000000-0005-0000-0000-000051140000}"/>
    <cellStyle name="Normal 2 4 17 6 12 3" xfId="5219" xr:uid="{00000000-0005-0000-0000-000052140000}"/>
    <cellStyle name="Normal 2 4 17 6 13" xfId="5220" xr:uid="{00000000-0005-0000-0000-000053140000}"/>
    <cellStyle name="Normal 2 4 17 6 13 2" xfId="5221" xr:uid="{00000000-0005-0000-0000-000054140000}"/>
    <cellStyle name="Normal 2 4 17 6 13 3" xfId="5222" xr:uid="{00000000-0005-0000-0000-000055140000}"/>
    <cellStyle name="Normal 2 4 17 6 14" xfId="5223" xr:uid="{00000000-0005-0000-0000-000056140000}"/>
    <cellStyle name="Normal 2 4 17 6 14 2" xfId="5224" xr:uid="{00000000-0005-0000-0000-000057140000}"/>
    <cellStyle name="Normal 2 4 17 6 14 3" xfId="5225" xr:uid="{00000000-0005-0000-0000-000058140000}"/>
    <cellStyle name="Normal 2 4 17 6 15" xfId="5226" xr:uid="{00000000-0005-0000-0000-000059140000}"/>
    <cellStyle name="Normal 2 4 17 6 16" xfId="5227" xr:uid="{00000000-0005-0000-0000-00005A140000}"/>
    <cellStyle name="Normal 2 4 17 6 2" xfId="5228" xr:uid="{00000000-0005-0000-0000-00005B140000}"/>
    <cellStyle name="Normal 2 4 17 6 2 2" xfId="5229" xr:uid="{00000000-0005-0000-0000-00005C140000}"/>
    <cellStyle name="Normal 2 4 17 6 2 3" xfId="5230" xr:uid="{00000000-0005-0000-0000-00005D140000}"/>
    <cellStyle name="Normal 2 4 17 6 3" xfId="5231" xr:uid="{00000000-0005-0000-0000-00005E140000}"/>
    <cellStyle name="Normal 2 4 17 6 3 2" xfId="5232" xr:uid="{00000000-0005-0000-0000-00005F140000}"/>
    <cellStyle name="Normal 2 4 17 6 3 3" xfId="5233" xr:uid="{00000000-0005-0000-0000-000060140000}"/>
    <cellStyle name="Normal 2 4 17 6 4" xfId="5234" xr:uid="{00000000-0005-0000-0000-000061140000}"/>
    <cellStyle name="Normal 2 4 17 6 4 2" xfId="5235" xr:uid="{00000000-0005-0000-0000-000062140000}"/>
    <cellStyle name="Normal 2 4 17 6 4 3" xfId="5236" xr:uid="{00000000-0005-0000-0000-000063140000}"/>
    <cellStyle name="Normal 2 4 17 6 5" xfId="5237" xr:uid="{00000000-0005-0000-0000-000064140000}"/>
    <cellStyle name="Normal 2 4 17 6 5 2" xfId="5238" xr:uid="{00000000-0005-0000-0000-000065140000}"/>
    <cellStyle name="Normal 2 4 17 6 5 3" xfId="5239" xr:uid="{00000000-0005-0000-0000-000066140000}"/>
    <cellStyle name="Normal 2 4 17 6 6" xfId="5240" xr:uid="{00000000-0005-0000-0000-000067140000}"/>
    <cellStyle name="Normal 2 4 17 6 6 2" xfId="5241" xr:uid="{00000000-0005-0000-0000-000068140000}"/>
    <cellStyle name="Normal 2 4 17 6 6 3" xfId="5242" xr:uid="{00000000-0005-0000-0000-000069140000}"/>
    <cellStyle name="Normal 2 4 17 6 7" xfId="5243" xr:uid="{00000000-0005-0000-0000-00006A140000}"/>
    <cellStyle name="Normal 2 4 17 6 7 2" xfId="5244" xr:uid="{00000000-0005-0000-0000-00006B140000}"/>
    <cellStyle name="Normal 2 4 17 6 7 3" xfId="5245" xr:uid="{00000000-0005-0000-0000-00006C140000}"/>
    <cellStyle name="Normal 2 4 17 6 8" xfId="5246" xr:uid="{00000000-0005-0000-0000-00006D140000}"/>
    <cellStyle name="Normal 2 4 17 6 8 2" xfId="5247" xr:uid="{00000000-0005-0000-0000-00006E140000}"/>
    <cellStyle name="Normal 2 4 17 6 8 3" xfId="5248" xr:uid="{00000000-0005-0000-0000-00006F140000}"/>
    <cellStyle name="Normal 2 4 17 6 9" xfId="5249" xr:uid="{00000000-0005-0000-0000-000070140000}"/>
    <cellStyle name="Normal 2 4 17 6 9 2" xfId="5250" xr:uid="{00000000-0005-0000-0000-000071140000}"/>
    <cellStyle name="Normal 2 4 17 6 9 3" xfId="5251" xr:uid="{00000000-0005-0000-0000-000072140000}"/>
    <cellStyle name="Normal 2 4 17 7" xfId="5252" xr:uid="{00000000-0005-0000-0000-000073140000}"/>
    <cellStyle name="Normal 2 4 17 7 10" xfId="5253" xr:uid="{00000000-0005-0000-0000-000074140000}"/>
    <cellStyle name="Normal 2 4 17 7 10 2" xfId="5254" xr:uid="{00000000-0005-0000-0000-000075140000}"/>
    <cellStyle name="Normal 2 4 17 7 10 3" xfId="5255" xr:uid="{00000000-0005-0000-0000-000076140000}"/>
    <cellStyle name="Normal 2 4 17 7 11" xfId="5256" xr:uid="{00000000-0005-0000-0000-000077140000}"/>
    <cellStyle name="Normal 2 4 17 7 11 2" xfId="5257" xr:uid="{00000000-0005-0000-0000-000078140000}"/>
    <cellStyle name="Normal 2 4 17 7 11 3" xfId="5258" xr:uid="{00000000-0005-0000-0000-000079140000}"/>
    <cellStyle name="Normal 2 4 17 7 12" xfId="5259" xr:uid="{00000000-0005-0000-0000-00007A140000}"/>
    <cellStyle name="Normal 2 4 17 7 12 2" xfId="5260" xr:uid="{00000000-0005-0000-0000-00007B140000}"/>
    <cellStyle name="Normal 2 4 17 7 12 3" xfId="5261" xr:uid="{00000000-0005-0000-0000-00007C140000}"/>
    <cellStyle name="Normal 2 4 17 7 13" xfId="5262" xr:uid="{00000000-0005-0000-0000-00007D140000}"/>
    <cellStyle name="Normal 2 4 17 7 13 2" xfId="5263" xr:uid="{00000000-0005-0000-0000-00007E140000}"/>
    <cellStyle name="Normal 2 4 17 7 13 3" xfId="5264" xr:uid="{00000000-0005-0000-0000-00007F140000}"/>
    <cellStyle name="Normal 2 4 17 7 14" xfId="5265" xr:uid="{00000000-0005-0000-0000-000080140000}"/>
    <cellStyle name="Normal 2 4 17 7 14 2" xfId="5266" xr:uid="{00000000-0005-0000-0000-000081140000}"/>
    <cellStyle name="Normal 2 4 17 7 14 3" xfId="5267" xr:uid="{00000000-0005-0000-0000-000082140000}"/>
    <cellStyle name="Normal 2 4 17 7 15" xfId="5268" xr:uid="{00000000-0005-0000-0000-000083140000}"/>
    <cellStyle name="Normal 2 4 17 7 16" xfId="5269" xr:uid="{00000000-0005-0000-0000-000084140000}"/>
    <cellStyle name="Normal 2 4 17 7 2" xfId="5270" xr:uid="{00000000-0005-0000-0000-000085140000}"/>
    <cellStyle name="Normal 2 4 17 7 2 2" xfId="5271" xr:uid="{00000000-0005-0000-0000-000086140000}"/>
    <cellStyle name="Normal 2 4 17 7 2 3" xfId="5272" xr:uid="{00000000-0005-0000-0000-000087140000}"/>
    <cellStyle name="Normal 2 4 17 7 3" xfId="5273" xr:uid="{00000000-0005-0000-0000-000088140000}"/>
    <cellStyle name="Normal 2 4 17 7 3 2" xfId="5274" xr:uid="{00000000-0005-0000-0000-000089140000}"/>
    <cellStyle name="Normal 2 4 17 7 3 3" xfId="5275" xr:uid="{00000000-0005-0000-0000-00008A140000}"/>
    <cellStyle name="Normal 2 4 17 7 4" xfId="5276" xr:uid="{00000000-0005-0000-0000-00008B140000}"/>
    <cellStyle name="Normal 2 4 17 7 4 2" xfId="5277" xr:uid="{00000000-0005-0000-0000-00008C140000}"/>
    <cellStyle name="Normal 2 4 17 7 4 3" xfId="5278" xr:uid="{00000000-0005-0000-0000-00008D140000}"/>
    <cellStyle name="Normal 2 4 17 7 5" xfId="5279" xr:uid="{00000000-0005-0000-0000-00008E140000}"/>
    <cellStyle name="Normal 2 4 17 7 5 2" xfId="5280" xr:uid="{00000000-0005-0000-0000-00008F140000}"/>
    <cellStyle name="Normal 2 4 17 7 5 3" xfId="5281" xr:uid="{00000000-0005-0000-0000-000090140000}"/>
    <cellStyle name="Normal 2 4 17 7 6" xfId="5282" xr:uid="{00000000-0005-0000-0000-000091140000}"/>
    <cellStyle name="Normal 2 4 17 7 6 2" xfId="5283" xr:uid="{00000000-0005-0000-0000-000092140000}"/>
    <cellStyle name="Normal 2 4 17 7 6 3" xfId="5284" xr:uid="{00000000-0005-0000-0000-000093140000}"/>
    <cellStyle name="Normal 2 4 17 7 7" xfId="5285" xr:uid="{00000000-0005-0000-0000-000094140000}"/>
    <cellStyle name="Normal 2 4 17 7 7 2" xfId="5286" xr:uid="{00000000-0005-0000-0000-000095140000}"/>
    <cellStyle name="Normal 2 4 17 7 7 3" xfId="5287" xr:uid="{00000000-0005-0000-0000-000096140000}"/>
    <cellStyle name="Normal 2 4 17 7 8" xfId="5288" xr:uid="{00000000-0005-0000-0000-000097140000}"/>
    <cellStyle name="Normal 2 4 17 7 8 2" xfId="5289" xr:uid="{00000000-0005-0000-0000-000098140000}"/>
    <cellStyle name="Normal 2 4 17 7 8 3" xfId="5290" xr:uid="{00000000-0005-0000-0000-000099140000}"/>
    <cellStyle name="Normal 2 4 17 7 9" xfId="5291" xr:uid="{00000000-0005-0000-0000-00009A140000}"/>
    <cellStyle name="Normal 2 4 17 7 9 2" xfId="5292" xr:uid="{00000000-0005-0000-0000-00009B140000}"/>
    <cellStyle name="Normal 2 4 17 7 9 3" xfId="5293" xr:uid="{00000000-0005-0000-0000-00009C140000}"/>
    <cellStyle name="Normal 2 4 17 8" xfId="5294" xr:uid="{00000000-0005-0000-0000-00009D140000}"/>
    <cellStyle name="Normal 2 4 17 8 10" xfId="5295" xr:uid="{00000000-0005-0000-0000-00009E140000}"/>
    <cellStyle name="Normal 2 4 17 8 10 2" xfId="5296" xr:uid="{00000000-0005-0000-0000-00009F140000}"/>
    <cellStyle name="Normal 2 4 17 8 10 3" xfId="5297" xr:uid="{00000000-0005-0000-0000-0000A0140000}"/>
    <cellStyle name="Normal 2 4 17 8 11" xfId="5298" xr:uid="{00000000-0005-0000-0000-0000A1140000}"/>
    <cellStyle name="Normal 2 4 17 8 11 2" xfId="5299" xr:uid="{00000000-0005-0000-0000-0000A2140000}"/>
    <cellStyle name="Normal 2 4 17 8 11 3" xfId="5300" xr:uid="{00000000-0005-0000-0000-0000A3140000}"/>
    <cellStyle name="Normal 2 4 17 8 12" xfId="5301" xr:uid="{00000000-0005-0000-0000-0000A4140000}"/>
    <cellStyle name="Normal 2 4 17 8 12 2" xfId="5302" xr:uid="{00000000-0005-0000-0000-0000A5140000}"/>
    <cellStyle name="Normal 2 4 17 8 12 3" xfId="5303" xr:uid="{00000000-0005-0000-0000-0000A6140000}"/>
    <cellStyle name="Normal 2 4 17 8 13" xfId="5304" xr:uid="{00000000-0005-0000-0000-0000A7140000}"/>
    <cellStyle name="Normal 2 4 17 8 13 2" xfId="5305" xr:uid="{00000000-0005-0000-0000-0000A8140000}"/>
    <cellStyle name="Normal 2 4 17 8 13 3" xfId="5306" xr:uid="{00000000-0005-0000-0000-0000A9140000}"/>
    <cellStyle name="Normal 2 4 17 8 14" xfId="5307" xr:uid="{00000000-0005-0000-0000-0000AA140000}"/>
    <cellStyle name="Normal 2 4 17 8 14 2" xfId="5308" xr:uid="{00000000-0005-0000-0000-0000AB140000}"/>
    <cellStyle name="Normal 2 4 17 8 14 3" xfId="5309" xr:uid="{00000000-0005-0000-0000-0000AC140000}"/>
    <cellStyle name="Normal 2 4 17 8 15" xfId="5310" xr:uid="{00000000-0005-0000-0000-0000AD140000}"/>
    <cellStyle name="Normal 2 4 17 8 16" xfId="5311" xr:uid="{00000000-0005-0000-0000-0000AE140000}"/>
    <cellStyle name="Normal 2 4 17 8 2" xfId="5312" xr:uid="{00000000-0005-0000-0000-0000AF140000}"/>
    <cellStyle name="Normal 2 4 17 8 2 2" xfId="5313" xr:uid="{00000000-0005-0000-0000-0000B0140000}"/>
    <cellStyle name="Normal 2 4 17 8 2 3" xfId="5314" xr:uid="{00000000-0005-0000-0000-0000B1140000}"/>
    <cellStyle name="Normal 2 4 17 8 3" xfId="5315" xr:uid="{00000000-0005-0000-0000-0000B2140000}"/>
    <cellStyle name="Normal 2 4 17 8 3 2" xfId="5316" xr:uid="{00000000-0005-0000-0000-0000B3140000}"/>
    <cellStyle name="Normal 2 4 17 8 3 3" xfId="5317" xr:uid="{00000000-0005-0000-0000-0000B4140000}"/>
    <cellStyle name="Normal 2 4 17 8 4" xfId="5318" xr:uid="{00000000-0005-0000-0000-0000B5140000}"/>
    <cellStyle name="Normal 2 4 17 8 4 2" xfId="5319" xr:uid="{00000000-0005-0000-0000-0000B6140000}"/>
    <cellStyle name="Normal 2 4 17 8 4 3" xfId="5320" xr:uid="{00000000-0005-0000-0000-0000B7140000}"/>
    <cellStyle name="Normal 2 4 17 8 5" xfId="5321" xr:uid="{00000000-0005-0000-0000-0000B8140000}"/>
    <cellStyle name="Normal 2 4 17 8 5 2" xfId="5322" xr:uid="{00000000-0005-0000-0000-0000B9140000}"/>
    <cellStyle name="Normal 2 4 17 8 5 3" xfId="5323" xr:uid="{00000000-0005-0000-0000-0000BA140000}"/>
    <cellStyle name="Normal 2 4 17 8 6" xfId="5324" xr:uid="{00000000-0005-0000-0000-0000BB140000}"/>
    <cellStyle name="Normal 2 4 17 8 6 2" xfId="5325" xr:uid="{00000000-0005-0000-0000-0000BC140000}"/>
    <cellStyle name="Normal 2 4 17 8 6 3" xfId="5326" xr:uid="{00000000-0005-0000-0000-0000BD140000}"/>
    <cellStyle name="Normal 2 4 17 8 7" xfId="5327" xr:uid="{00000000-0005-0000-0000-0000BE140000}"/>
    <cellStyle name="Normal 2 4 17 8 7 2" xfId="5328" xr:uid="{00000000-0005-0000-0000-0000BF140000}"/>
    <cellStyle name="Normal 2 4 17 8 7 3" xfId="5329" xr:uid="{00000000-0005-0000-0000-0000C0140000}"/>
    <cellStyle name="Normal 2 4 17 8 8" xfId="5330" xr:uid="{00000000-0005-0000-0000-0000C1140000}"/>
    <cellStyle name="Normal 2 4 17 8 8 2" xfId="5331" xr:uid="{00000000-0005-0000-0000-0000C2140000}"/>
    <cellStyle name="Normal 2 4 17 8 8 3" xfId="5332" xr:uid="{00000000-0005-0000-0000-0000C3140000}"/>
    <cellStyle name="Normal 2 4 17 8 9" xfId="5333" xr:uid="{00000000-0005-0000-0000-0000C4140000}"/>
    <cellStyle name="Normal 2 4 17 8 9 2" xfId="5334" xr:uid="{00000000-0005-0000-0000-0000C5140000}"/>
    <cellStyle name="Normal 2 4 17 8 9 3" xfId="5335" xr:uid="{00000000-0005-0000-0000-0000C6140000}"/>
    <cellStyle name="Normal 2 4 17 9" xfId="5336" xr:uid="{00000000-0005-0000-0000-0000C7140000}"/>
    <cellStyle name="Normal 2 4 17 9 10" xfId="5337" xr:uid="{00000000-0005-0000-0000-0000C8140000}"/>
    <cellStyle name="Normal 2 4 17 9 10 2" xfId="5338" xr:uid="{00000000-0005-0000-0000-0000C9140000}"/>
    <cellStyle name="Normal 2 4 17 9 10 3" xfId="5339" xr:uid="{00000000-0005-0000-0000-0000CA140000}"/>
    <cellStyle name="Normal 2 4 17 9 11" xfId="5340" xr:uid="{00000000-0005-0000-0000-0000CB140000}"/>
    <cellStyle name="Normal 2 4 17 9 11 2" xfId="5341" xr:uid="{00000000-0005-0000-0000-0000CC140000}"/>
    <cellStyle name="Normal 2 4 17 9 11 3" xfId="5342" xr:uid="{00000000-0005-0000-0000-0000CD140000}"/>
    <cellStyle name="Normal 2 4 17 9 12" xfId="5343" xr:uid="{00000000-0005-0000-0000-0000CE140000}"/>
    <cellStyle name="Normal 2 4 17 9 12 2" xfId="5344" xr:uid="{00000000-0005-0000-0000-0000CF140000}"/>
    <cellStyle name="Normal 2 4 17 9 12 3" xfId="5345" xr:uid="{00000000-0005-0000-0000-0000D0140000}"/>
    <cellStyle name="Normal 2 4 17 9 13" xfId="5346" xr:uid="{00000000-0005-0000-0000-0000D1140000}"/>
    <cellStyle name="Normal 2 4 17 9 13 2" xfId="5347" xr:uid="{00000000-0005-0000-0000-0000D2140000}"/>
    <cellStyle name="Normal 2 4 17 9 13 3" xfId="5348" xr:uid="{00000000-0005-0000-0000-0000D3140000}"/>
    <cellStyle name="Normal 2 4 17 9 14" xfId="5349" xr:uid="{00000000-0005-0000-0000-0000D4140000}"/>
    <cellStyle name="Normal 2 4 17 9 14 2" xfId="5350" xr:uid="{00000000-0005-0000-0000-0000D5140000}"/>
    <cellStyle name="Normal 2 4 17 9 14 3" xfId="5351" xr:uid="{00000000-0005-0000-0000-0000D6140000}"/>
    <cellStyle name="Normal 2 4 17 9 15" xfId="5352" xr:uid="{00000000-0005-0000-0000-0000D7140000}"/>
    <cellStyle name="Normal 2 4 17 9 16" xfId="5353" xr:uid="{00000000-0005-0000-0000-0000D8140000}"/>
    <cellStyle name="Normal 2 4 17 9 2" xfId="5354" xr:uid="{00000000-0005-0000-0000-0000D9140000}"/>
    <cellStyle name="Normal 2 4 17 9 2 2" xfId="5355" xr:uid="{00000000-0005-0000-0000-0000DA140000}"/>
    <cellStyle name="Normal 2 4 17 9 2 3" xfId="5356" xr:uid="{00000000-0005-0000-0000-0000DB140000}"/>
    <cellStyle name="Normal 2 4 17 9 3" xfId="5357" xr:uid="{00000000-0005-0000-0000-0000DC140000}"/>
    <cellStyle name="Normal 2 4 17 9 3 2" xfId="5358" xr:uid="{00000000-0005-0000-0000-0000DD140000}"/>
    <cellStyle name="Normal 2 4 17 9 3 3" xfId="5359" xr:uid="{00000000-0005-0000-0000-0000DE140000}"/>
    <cellStyle name="Normal 2 4 17 9 4" xfId="5360" xr:uid="{00000000-0005-0000-0000-0000DF140000}"/>
    <cellStyle name="Normal 2 4 17 9 4 2" xfId="5361" xr:uid="{00000000-0005-0000-0000-0000E0140000}"/>
    <cellStyle name="Normal 2 4 17 9 4 3" xfId="5362" xr:uid="{00000000-0005-0000-0000-0000E1140000}"/>
    <cellStyle name="Normal 2 4 17 9 5" xfId="5363" xr:uid="{00000000-0005-0000-0000-0000E2140000}"/>
    <cellStyle name="Normal 2 4 17 9 5 2" xfId="5364" xr:uid="{00000000-0005-0000-0000-0000E3140000}"/>
    <cellStyle name="Normal 2 4 17 9 5 3" xfId="5365" xr:uid="{00000000-0005-0000-0000-0000E4140000}"/>
    <cellStyle name="Normal 2 4 17 9 6" xfId="5366" xr:uid="{00000000-0005-0000-0000-0000E5140000}"/>
    <cellStyle name="Normal 2 4 17 9 6 2" xfId="5367" xr:uid="{00000000-0005-0000-0000-0000E6140000}"/>
    <cellStyle name="Normal 2 4 17 9 6 3" xfId="5368" xr:uid="{00000000-0005-0000-0000-0000E7140000}"/>
    <cellStyle name="Normal 2 4 17 9 7" xfId="5369" xr:uid="{00000000-0005-0000-0000-0000E8140000}"/>
    <cellStyle name="Normal 2 4 17 9 7 2" xfId="5370" xr:uid="{00000000-0005-0000-0000-0000E9140000}"/>
    <cellStyle name="Normal 2 4 17 9 7 3" xfId="5371" xr:uid="{00000000-0005-0000-0000-0000EA140000}"/>
    <cellStyle name="Normal 2 4 17 9 8" xfId="5372" xr:uid="{00000000-0005-0000-0000-0000EB140000}"/>
    <cellStyle name="Normal 2 4 17 9 8 2" xfId="5373" xr:uid="{00000000-0005-0000-0000-0000EC140000}"/>
    <cellStyle name="Normal 2 4 17 9 8 3" xfId="5374" xr:uid="{00000000-0005-0000-0000-0000ED140000}"/>
    <cellStyle name="Normal 2 4 17 9 9" xfId="5375" xr:uid="{00000000-0005-0000-0000-0000EE140000}"/>
    <cellStyle name="Normal 2 4 17 9 9 2" xfId="5376" xr:uid="{00000000-0005-0000-0000-0000EF140000}"/>
    <cellStyle name="Normal 2 4 17 9 9 3" xfId="5377" xr:uid="{00000000-0005-0000-0000-0000F0140000}"/>
    <cellStyle name="Normal 2 4 18" xfId="5378" xr:uid="{00000000-0005-0000-0000-0000F1140000}"/>
    <cellStyle name="Normal 2 4 18 10" xfId="5379" xr:uid="{00000000-0005-0000-0000-0000F2140000}"/>
    <cellStyle name="Normal 2 4 18 10 10" xfId="5380" xr:uid="{00000000-0005-0000-0000-0000F3140000}"/>
    <cellStyle name="Normal 2 4 18 10 10 2" xfId="5381" xr:uid="{00000000-0005-0000-0000-0000F4140000}"/>
    <cellStyle name="Normal 2 4 18 10 10 3" xfId="5382" xr:uid="{00000000-0005-0000-0000-0000F5140000}"/>
    <cellStyle name="Normal 2 4 18 10 11" xfId="5383" xr:uid="{00000000-0005-0000-0000-0000F6140000}"/>
    <cellStyle name="Normal 2 4 18 10 11 2" xfId="5384" xr:uid="{00000000-0005-0000-0000-0000F7140000}"/>
    <cellStyle name="Normal 2 4 18 10 11 3" xfId="5385" xr:uid="{00000000-0005-0000-0000-0000F8140000}"/>
    <cellStyle name="Normal 2 4 18 10 12" xfId="5386" xr:uid="{00000000-0005-0000-0000-0000F9140000}"/>
    <cellStyle name="Normal 2 4 18 10 12 2" xfId="5387" xr:uid="{00000000-0005-0000-0000-0000FA140000}"/>
    <cellStyle name="Normal 2 4 18 10 12 3" xfId="5388" xr:uid="{00000000-0005-0000-0000-0000FB140000}"/>
    <cellStyle name="Normal 2 4 18 10 13" xfId="5389" xr:uid="{00000000-0005-0000-0000-0000FC140000}"/>
    <cellStyle name="Normal 2 4 18 10 13 2" xfId="5390" xr:uid="{00000000-0005-0000-0000-0000FD140000}"/>
    <cellStyle name="Normal 2 4 18 10 13 3" xfId="5391" xr:uid="{00000000-0005-0000-0000-0000FE140000}"/>
    <cellStyle name="Normal 2 4 18 10 14" xfId="5392" xr:uid="{00000000-0005-0000-0000-0000FF140000}"/>
    <cellStyle name="Normal 2 4 18 10 14 2" xfId="5393" xr:uid="{00000000-0005-0000-0000-000000150000}"/>
    <cellStyle name="Normal 2 4 18 10 14 3" xfId="5394" xr:uid="{00000000-0005-0000-0000-000001150000}"/>
    <cellStyle name="Normal 2 4 18 10 15" xfId="5395" xr:uid="{00000000-0005-0000-0000-000002150000}"/>
    <cellStyle name="Normal 2 4 18 10 16" xfId="5396" xr:uid="{00000000-0005-0000-0000-000003150000}"/>
    <cellStyle name="Normal 2 4 18 10 2" xfId="5397" xr:uid="{00000000-0005-0000-0000-000004150000}"/>
    <cellStyle name="Normal 2 4 18 10 2 2" xfId="5398" xr:uid="{00000000-0005-0000-0000-000005150000}"/>
    <cellStyle name="Normal 2 4 18 10 2 3" xfId="5399" xr:uid="{00000000-0005-0000-0000-000006150000}"/>
    <cellStyle name="Normal 2 4 18 10 3" xfId="5400" xr:uid="{00000000-0005-0000-0000-000007150000}"/>
    <cellStyle name="Normal 2 4 18 10 3 2" xfId="5401" xr:uid="{00000000-0005-0000-0000-000008150000}"/>
    <cellStyle name="Normal 2 4 18 10 3 3" xfId="5402" xr:uid="{00000000-0005-0000-0000-000009150000}"/>
    <cellStyle name="Normal 2 4 18 10 4" xfId="5403" xr:uid="{00000000-0005-0000-0000-00000A150000}"/>
    <cellStyle name="Normal 2 4 18 10 4 2" xfId="5404" xr:uid="{00000000-0005-0000-0000-00000B150000}"/>
    <cellStyle name="Normal 2 4 18 10 4 3" xfId="5405" xr:uid="{00000000-0005-0000-0000-00000C150000}"/>
    <cellStyle name="Normal 2 4 18 10 5" xfId="5406" xr:uid="{00000000-0005-0000-0000-00000D150000}"/>
    <cellStyle name="Normal 2 4 18 10 5 2" xfId="5407" xr:uid="{00000000-0005-0000-0000-00000E150000}"/>
    <cellStyle name="Normal 2 4 18 10 5 3" xfId="5408" xr:uid="{00000000-0005-0000-0000-00000F150000}"/>
    <cellStyle name="Normal 2 4 18 10 6" xfId="5409" xr:uid="{00000000-0005-0000-0000-000010150000}"/>
    <cellStyle name="Normal 2 4 18 10 6 2" xfId="5410" xr:uid="{00000000-0005-0000-0000-000011150000}"/>
    <cellStyle name="Normal 2 4 18 10 6 3" xfId="5411" xr:uid="{00000000-0005-0000-0000-000012150000}"/>
    <cellStyle name="Normal 2 4 18 10 7" xfId="5412" xr:uid="{00000000-0005-0000-0000-000013150000}"/>
    <cellStyle name="Normal 2 4 18 10 7 2" xfId="5413" xr:uid="{00000000-0005-0000-0000-000014150000}"/>
    <cellStyle name="Normal 2 4 18 10 7 3" xfId="5414" xr:uid="{00000000-0005-0000-0000-000015150000}"/>
    <cellStyle name="Normal 2 4 18 10 8" xfId="5415" xr:uid="{00000000-0005-0000-0000-000016150000}"/>
    <cellStyle name="Normal 2 4 18 10 8 2" xfId="5416" xr:uid="{00000000-0005-0000-0000-000017150000}"/>
    <cellStyle name="Normal 2 4 18 10 8 3" xfId="5417" xr:uid="{00000000-0005-0000-0000-000018150000}"/>
    <cellStyle name="Normal 2 4 18 10 9" xfId="5418" xr:uid="{00000000-0005-0000-0000-000019150000}"/>
    <cellStyle name="Normal 2 4 18 10 9 2" xfId="5419" xr:uid="{00000000-0005-0000-0000-00001A150000}"/>
    <cellStyle name="Normal 2 4 18 10 9 3" xfId="5420" xr:uid="{00000000-0005-0000-0000-00001B150000}"/>
    <cellStyle name="Normal 2 4 18 11" xfId="5421" xr:uid="{00000000-0005-0000-0000-00001C150000}"/>
    <cellStyle name="Normal 2 4 18 11 2" xfId="5422" xr:uid="{00000000-0005-0000-0000-00001D150000}"/>
    <cellStyle name="Normal 2 4 18 11 3" xfId="5423" xr:uid="{00000000-0005-0000-0000-00001E150000}"/>
    <cellStyle name="Normal 2 4 18 12" xfId="5424" xr:uid="{00000000-0005-0000-0000-00001F150000}"/>
    <cellStyle name="Normal 2 4 18 12 2" xfId="5425" xr:uid="{00000000-0005-0000-0000-000020150000}"/>
    <cellStyle name="Normal 2 4 18 12 3" xfId="5426" xr:uid="{00000000-0005-0000-0000-000021150000}"/>
    <cellStyle name="Normal 2 4 18 13" xfId="5427" xr:uid="{00000000-0005-0000-0000-000022150000}"/>
    <cellStyle name="Normal 2 4 18 13 2" xfId="5428" xr:uid="{00000000-0005-0000-0000-000023150000}"/>
    <cellStyle name="Normal 2 4 18 13 3" xfId="5429" xr:uid="{00000000-0005-0000-0000-000024150000}"/>
    <cellStyle name="Normal 2 4 18 14" xfId="5430" xr:uid="{00000000-0005-0000-0000-000025150000}"/>
    <cellStyle name="Normal 2 4 18 14 2" xfId="5431" xr:uid="{00000000-0005-0000-0000-000026150000}"/>
    <cellStyle name="Normal 2 4 18 14 3" xfId="5432" xr:uid="{00000000-0005-0000-0000-000027150000}"/>
    <cellStyle name="Normal 2 4 18 15" xfId="5433" xr:uid="{00000000-0005-0000-0000-000028150000}"/>
    <cellStyle name="Normal 2 4 18 15 2" xfId="5434" xr:uid="{00000000-0005-0000-0000-000029150000}"/>
    <cellStyle name="Normal 2 4 18 15 3" xfId="5435" xr:uid="{00000000-0005-0000-0000-00002A150000}"/>
    <cellStyle name="Normal 2 4 18 16" xfId="5436" xr:uid="{00000000-0005-0000-0000-00002B150000}"/>
    <cellStyle name="Normal 2 4 18 16 2" xfId="5437" xr:uid="{00000000-0005-0000-0000-00002C150000}"/>
    <cellStyle name="Normal 2 4 18 16 3" xfId="5438" xr:uid="{00000000-0005-0000-0000-00002D150000}"/>
    <cellStyle name="Normal 2 4 18 17" xfId="5439" xr:uid="{00000000-0005-0000-0000-00002E150000}"/>
    <cellStyle name="Normal 2 4 18 17 2" xfId="5440" xr:uid="{00000000-0005-0000-0000-00002F150000}"/>
    <cellStyle name="Normal 2 4 18 17 3" xfId="5441" xr:uid="{00000000-0005-0000-0000-000030150000}"/>
    <cellStyle name="Normal 2 4 18 18" xfId="5442" xr:uid="{00000000-0005-0000-0000-000031150000}"/>
    <cellStyle name="Normal 2 4 18 18 2" xfId="5443" xr:uid="{00000000-0005-0000-0000-000032150000}"/>
    <cellStyle name="Normal 2 4 18 18 3" xfId="5444" xr:uid="{00000000-0005-0000-0000-000033150000}"/>
    <cellStyle name="Normal 2 4 18 19" xfId="5445" xr:uid="{00000000-0005-0000-0000-000034150000}"/>
    <cellStyle name="Normal 2 4 18 19 2" xfId="5446" xr:uid="{00000000-0005-0000-0000-000035150000}"/>
    <cellStyle name="Normal 2 4 18 19 3" xfId="5447" xr:uid="{00000000-0005-0000-0000-000036150000}"/>
    <cellStyle name="Normal 2 4 18 2" xfId="5448" xr:uid="{00000000-0005-0000-0000-000037150000}"/>
    <cellStyle name="Normal 2 4 18 2 10" xfId="5449" xr:uid="{00000000-0005-0000-0000-000038150000}"/>
    <cellStyle name="Normal 2 4 18 2 10 2" xfId="5450" xr:uid="{00000000-0005-0000-0000-000039150000}"/>
    <cellStyle name="Normal 2 4 18 2 10 3" xfId="5451" xr:uid="{00000000-0005-0000-0000-00003A150000}"/>
    <cellStyle name="Normal 2 4 18 2 11" xfId="5452" xr:uid="{00000000-0005-0000-0000-00003B150000}"/>
    <cellStyle name="Normal 2 4 18 2 11 2" xfId="5453" xr:uid="{00000000-0005-0000-0000-00003C150000}"/>
    <cellStyle name="Normal 2 4 18 2 11 3" xfId="5454" xr:uid="{00000000-0005-0000-0000-00003D150000}"/>
    <cellStyle name="Normal 2 4 18 2 12" xfId="5455" xr:uid="{00000000-0005-0000-0000-00003E150000}"/>
    <cellStyle name="Normal 2 4 18 2 12 2" xfId="5456" xr:uid="{00000000-0005-0000-0000-00003F150000}"/>
    <cellStyle name="Normal 2 4 18 2 12 3" xfId="5457" xr:uid="{00000000-0005-0000-0000-000040150000}"/>
    <cellStyle name="Normal 2 4 18 2 13" xfId="5458" xr:uid="{00000000-0005-0000-0000-000041150000}"/>
    <cellStyle name="Normal 2 4 18 2 13 2" xfId="5459" xr:uid="{00000000-0005-0000-0000-000042150000}"/>
    <cellStyle name="Normal 2 4 18 2 13 3" xfId="5460" xr:uid="{00000000-0005-0000-0000-000043150000}"/>
    <cellStyle name="Normal 2 4 18 2 14" xfId="5461" xr:uid="{00000000-0005-0000-0000-000044150000}"/>
    <cellStyle name="Normal 2 4 18 2 14 2" xfId="5462" xr:uid="{00000000-0005-0000-0000-000045150000}"/>
    <cellStyle name="Normal 2 4 18 2 14 3" xfId="5463" xr:uid="{00000000-0005-0000-0000-000046150000}"/>
    <cellStyle name="Normal 2 4 18 2 15" xfId="5464" xr:uid="{00000000-0005-0000-0000-000047150000}"/>
    <cellStyle name="Normal 2 4 18 2 15 2" xfId="5465" xr:uid="{00000000-0005-0000-0000-000048150000}"/>
    <cellStyle name="Normal 2 4 18 2 15 3" xfId="5466" xr:uid="{00000000-0005-0000-0000-000049150000}"/>
    <cellStyle name="Normal 2 4 18 2 16" xfId="5467" xr:uid="{00000000-0005-0000-0000-00004A150000}"/>
    <cellStyle name="Normal 2 4 18 2 17" xfId="5468" xr:uid="{00000000-0005-0000-0000-00004B150000}"/>
    <cellStyle name="Normal 2 4 18 2 2" xfId="5469" xr:uid="{00000000-0005-0000-0000-00004C150000}"/>
    <cellStyle name="Normal 2 4 18 2 2 10" xfId="5470" xr:uid="{00000000-0005-0000-0000-00004D150000}"/>
    <cellStyle name="Normal 2 4 18 2 2 10 2" xfId="5471" xr:uid="{00000000-0005-0000-0000-00004E150000}"/>
    <cellStyle name="Normal 2 4 18 2 2 10 3" xfId="5472" xr:uid="{00000000-0005-0000-0000-00004F150000}"/>
    <cellStyle name="Normal 2 4 18 2 2 11" xfId="5473" xr:uid="{00000000-0005-0000-0000-000050150000}"/>
    <cellStyle name="Normal 2 4 18 2 2 11 2" xfId="5474" xr:uid="{00000000-0005-0000-0000-000051150000}"/>
    <cellStyle name="Normal 2 4 18 2 2 11 3" xfId="5475" xr:uid="{00000000-0005-0000-0000-000052150000}"/>
    <cellStyle name="Normal 2 4 18 2 2 12" xfId="5476" xr:uid="{00000000-0005-0000-0000-000053150000}"/>
    <cellStyle name="Normal 2 4 18 2 2 12 2" xfId="5477" xr:uid="{00000000-0005-0000-0000-000054150000}"/>
    <cellStyle name="Normal 2 4 18 2 2 12 3" xfId="5478" xr:uid="{00000000-0005-0000-0000-000055150000}"/>
    <cellStyle name="Normal 2 4 18 2 2 13" xfId="5479" xr:uid="{00000000-0005-0000-0000-000056150000}"/>
    <cellStyle name="Normal 2 4 18 2 2 13 2" xfId="5480" xr:uid="{00000000-0005-0000-0000-000057150000}"/>
    <cellStyle name="Normal 2 4 18 2 2 13 3" xfId="5481" xr:uid="{00000000-0005-0000-0000-000058150000}"/>
    <cellStyle name="Normal 2 4 18 2 2 14" xfId="5482" xr:uid="{00000000-0005-0000-0000-000059150000}"/>
    <cellStyle name="Normal 2 4 18 2 2 14 2" xfId="5483" xr:uid="{00000000-0005-0000-0000-00005A150000}"/>
    <cellStyle name="Normal 2 4 18 2 2 14 3" xfId="5484" xr:uid="{00000000-0005-0000-0000-00005B150000}"/>
    <cellStyle name="Normal 2 4 18 2 2 15" xfId="5485" xr:uid="{00000000-0005-0000-0000-00005C150000}"/>
    <cellStyle name="Normal 2 4 18 2 2 16" xfId="5486" xr:uid="{00000000-0005-0000-0000-00005D150000}"/>
    <cellStyle name="Normal 2 4 18 2 2 2" xfId="5487" xr:uid="{00000000-0005-0000-0000-00005E150000}"/>
    <cellStyle name="Normal 2 4 18 2 2 2 2" xfId="5488" xr:uid="{00000000-0005-0000-0000-00005F150000}"/>
    <cellStyle name="Normal 2 4 18 2 2 2 3" xfId="5489" xr:uid="{00000000-0005-0000-0000-000060150000}"/>
    <cellStyle name="Normal 2 4 18 2 2 3" xfId="5490" xr:uid="{00000000-0005-0000-0000-000061150000}"/>
    <cellStyle name="Normal 2 4 18 2 2 3 2" xfId="5491" xr:uid="{00000000-0005-0000-0000-000062150000}"/>
    <cellStyle name="Normal 2 4 18 2 2 3 3" xfId="5492" xr:uid="{00000000-0005-0000-0000-000063150000}"/>
    <cellStyle name="Normal 2 4 18 2 2 4" xfId="5493" xr:uid="{00000000-0005-0000-0000-000064150000}"/>
    <cellStyle name="Normal 2 4 18 2 2 4 2" xfId="5494" xr:uid="{00000000-0005-0000-0000-000065150000}"/>
    <cellStyle name="Normal 2 4 18 2 2 4 3" xfId="5495" xr:uid="{00000000-0005-0000-0000-000066150000}"/>
    <cellStyle name="Normal 2 4 18 2 2 5" xfId="5496" xr:uid="{00000000-0005-0000-0000-000067150000}"/>
    <cellStyle name="Normal 2 4 18 2 2 5 2" xfId="5497" xr:uid="{00000000-0005-0000-0000-000068150000}"/>
    <cellStyle name="Normal 2 4 18 2 2 5 3" xfId="5498" xr:uid="{00000000-0005-0000-0000-000069150000}"/>
    <cellStyle name="Normal 2 4 18 2 2 6" xfId="5499" xr:uid="{00000000-0005-0000-0000-00006A150000}"/>
    <cellStyle name="Normal 2 4 18 2 2 6 2" xfId="5500" xr:uid="{00000000-0005-0000-0000-00006B150000}"/>
    <cellStyle name="Normal 2 4 18 2 2 6 3" xfId="5501" xr:uid="{00000000-0005-0000-0000-00006C150000}"/>
    <cellStyle name="Normal 2 4 18 2 2 7" xfId="5502" xr:uid="{00000000-0005-0000-0000-00006D150000}"/>
    <cellStyle name="Normal 2 4 18 2 2 7 2" xfId="5503" xr:uid="{00000000-0005-0000-0000-00006E150000}"/>
    <cellStyle name="Normal 2 4 18 2 2 7 3" xfId="5504" xr:uid="{00000000-0005-0000-0000-00006F150000}"/>
    <cellStyle name="Normal 2 4 18 2 2 8" xfId="5505" xr:uid="{00000000-0005-0000-0000-000070150000}"/>
    <cellStyle name="Normal 2 4 18 2 2 8 2" xfId="5506" xr:uid="{00000000-0005-0000-0000-000071150000}"/>
    <cellStyle name="Normal 2 4 18 2 2 8 3" xfId="5507" xr:uid="{00000000-0005-0000-0000-000072150000}"/>
    <cellStyle name="Normal 2 4 18 2 2 9" xfId="5508" xr:uid="{00000000-0005-0000-0000-000073150000}"/>
    <cellStyle name="Normal 2 4 18 2 2 9 2" xfId="5509" xr:uid="{00000000-0005-0000-0000-000074150000}"/>
    <cellStyle name="Normal 2 4 18 2 2 9 3" xfId="5510" xr:uid="{00000000-0005-0000-0000-000075150000}"/>
    <cellStyle name="Normal 2 4 18 2 3" xfId="5511" xr:uid="{00000000-0005-0000-0000-000076150000}"/>
    <cellStyle name="Normal 2 4 18 2 3 2" xfId="5512" xr:uid="{00000000-0005-0000-0000-000077150000}"/>
    <cellStyle name="Normal 2 4 18 2 3 3" xfId="5513" xr:uid="{00000000-0005-0000-0000-000078150000}"/>
    <cellStyle name="Normal 2 4 18 2 4" xfId="5514" xr:uid="{00000000-0005-0000-0000-000079150000}"/>
    <cellStyle name="Normal 2 4 18 2 4 2" xfId="5515" xr:uid="{00000000-0005-0000-0000-00007A150000}"/>
    <cellStyle name="Normal 2 4 18 2 4 3" xfId="5516" xr:uid="{00000000-0005-0000-0000-00007B150000}"/>
    <cellStyle name="Normal 2 4 18 2 5" xfId="5517" xr:uid="{00000000-0005-0000-0000-00007C150000}"/>
    <cellStyle name="Normal 2 4 18 2 5 2" xfId="5518" xr:uid="{00000000-0005-0000-0000-00007D150000}"/>
    <cellStyle name="Normal 2 4 18 2 5 3" xfId="5519" xr:uid="{00000000-0005-0000-0000-00007E150000}"/>
    <cellStyle name="Normal 2 4 18 2 6" xfId="5520" xr:uid="{00000000-0005-0000-0000-00007F150000}"/>
    <cellStyle name="Normal 2 4 18 2 6 2" xfId="5521" xr:uid="{00000000-0005-0000-0000-000080150000}"/>
    <cellStyle name="Normal 2 4 18 2 6 3" xfId="5522" xr:uid="{00000000-0005-0000-0000-000081150000}"/>
    <cellStyle name="Normal 2 4 18 2 7" xfId="5523" xr:uid="{00000000-0005-0000-0000-000082150000}"/>
    <cellStyle name="Normal 2 4 18 2 7 2" xfId="5524" xr:uid="{00000000-0005-0000-0000-000083150000}"/>
    <cellStyle name="Normal 2 4 18 2 7 3" xfId="5525" xr:uid="{00000000-0005-0000-0000-000084150000}"/>
    <cellStyle name="Normal 2 4 18 2 8" xfId="5526" xr:uid="{00000000-0005-0000-0000-000085150000}"/>
    <cellStyle name="Normal 2 4 18 2 8 2" xfId="5527" xr:uid="{00000000-0005-0000-0000-000086150000}"/>
    <cellStyle name="Normal 2 4 18 2 8 3" xfId="5528" xr:uid="{00000000-0005-0000-0000-000087150000}"/>
    <cellStyle name="Normal 2 4 18 2 9" xfId="5529" xr:uid="{00000000-0005-0000-0000-000088150000}"/>
    <cellStyle name="Normal 2 4 18 2 9 2" xfId="5530" xr:uid="{00000000-0005-0000-0000-000089150000}"/>
    <cellStyle name="Normal 2 4 18 2 9 3" xfId="5531" xr:uid="{00000000-0005-0000-0000-00008A150000}"/>
    <cellStyle name="Normal 2 4 18 20" xfId="5532" xr:uid="{00000000-0005-0000-0000-00008B150000}"/>
    <cellStyle name="Normal 2 4 18 20 2" xfId="5533" xr:uid="{00000000-0005-0000-0000-00008C150000}"/>
    <cellStyle name="Normal 2 4 18 20 3" xfId="5534" xr:uid="{00000000-0005-0000-0000-00008D150000}"/>
    <cellStyle name="Normal 2 4 18 21" xfId="5535" xr:uid="{00000000-0005-0000-0000-00008E150000}"/>
    <cellStyle name="Normal 2 4 18 21 2" xfId="5536" xr:uid="{00000000-0005-0000-0000-00008F150000}"/>
    <cellStyle name="Normal 2 4 18 21 3" xfId="5537" xr:uid="{00000000-0005-0000-0000-000090150000}"/>
    <cellStyle name="Normal 2 4 18 22" xfId="5538" xr:uid="{00000000-0005-0000-0000-000091150000}"/>
    <cellStyle name="Normal 2 4 18 22 2" xfId="5539" xr:uid="{00000000-0005-0000-0000-000092150000}"/>
    <cellStyle name="Normal 2 4 18 22 3" xfId="5540" xr:uid="{00000000-0005-0000-0000-000093150000}"/>
    <cellStyle name="Normal 2 4 18 23" xfId="5541" xr:uid="{00000000-0005-0000-0000-000094150000}"/>
    <cellStyle name="Normal 2 4 18 23 2" xfId="5542" xr:uid="{00000000-0005-0000-0000-000095150000}"/>
    <cellStyle name="Normal 2 4 18 23 3" xfId="5543" xr:uid="{00000000-0005-0000-0000-000096150000}"/>
    <cellStyle name="Normal 2 4 18 24" xfId="5544" xr:uid="{00000000-0005-0000-0000-000097150000}"/>
    <cellStyle name="Normal 2 4 18 25" xfId="5545" xr:uid="{00000000-0005-0000-0000-000098150000}"/>
    <cellStyle name="Normal 2 4 18 3" xfId="5546" xr:uid="{00000000-0005-0000-0000-000099150000}"/>
    <cellStyle name="Normal 2 4 18 3 10" xfId="5547" xr:uid="{00000000-0005-0000-0000-00009A150000}"/>
    <cellStyle name="Normal 2 4 18 3 10 2" xfId="5548" xr:uid="{00000000-0005-0000-0000-00009B150000}"/>
    <cellStyle name="Normal 2 4 18 3 10 3" xfId="5549" xr:uid="{00000000-0005-0000-0000-00009C150000}"/>
    <cellStyle name="Normal 2 4 18 3 11" xfId="5550" xr:uid="{00000000-0005-0000-0000-00009D150000}"/>
    <cellStyle name="Normal 2 4 18 3 11 2" xfId="5551" xr:uid="{00000000-0005-0000-0000-00009E150000}"/>
    <cellStyle name="Normal 2 4 18 3 11 3" xfId="5552" xr:uid="{00000000-0005-0000-0000-00009F150000}"/>
    <cellStyle name="Normal 2 4 18 3 12" xfId="5553" xr:uid="{00000000-0005-0000-0000-0000A0150000}"/>
    <cellStyle name="Normal 2 4 18 3 12 2" xfId="5554" xr:uid="{00000000-0005-0000-0000-0000A1150000}"/>
    <cellStyle name="Normal 2 4 18 3 12 3" xfId="5555" xr:uid="{00000000-0005-0000-0000-0000A2150000}"/>
    <cellStyle name="Normal 2 4 18 3 13" xfId="5556" xr:uid="{00000000-0005-0000-0000-0000A3150000}"/>
    <cellStyle name="Normal 2 4 18 3 13 2" xfId="5557" xr:uid="{00000000-0005-0000-0000-0000A4150000}"/>
    <cellStyle name="Normal 2 4 18 3 13 3" xfId="5558" xr:uid="{00000000-0005-0000-0000-0000A5150000}"/>
    <cellStyle name="Normal 2 4 18 3 14" xfId="5559" xr:uid="{00000000-0005-0000-0000-0000A6150000}"/>
    <cellStyle name="Normal 2 4 18 3 14 2" xfId="5560" xr:uid="{00000000-0005-0000-0000-0000A7150000}"/>
    <cellStyle name="Normal 2 4 18 3 14 3" xfId="5561" xr:uid="{00000000-0005-0000-0000-0000A8150000}"/>
    <cellStyle name="Normal 2 4 18 3 15" xfId="5562" xr:uid="{00000000-0005-0000-0000-0000A9150000}"/>
    <cellStyle name="Normal 2 4 18 3 15 2" xfId="5563" xr:uid="{00000000-0005-0000-0000-0000AA150000}"/>
    <cellStyle name="Normal 2 4 18 3 15 3" xfId="5564" xr:uid="{00000000-0005-0000-0000-0000AB150000}"/>
    <cellStyle name="Normal 2 4 18 3 16" xfId="5565" xr:uid="{00000000-0005-0000-0000-0000AC150000}"/>
    <cellStyle name="Normal 2 4 18 3 17" xfId="5566" xr:uid="{00000000-0005-0000-0000-0000AD150000}"/>
    <cellStyle name="Normal 2 4 18 3 2" xfId="5567" xr:uid="{00000000-0005-0000-0000-0000AE150000}"/>
    <cellStyle name="Normal 2 4 18 3 2 10" xfId="5568" xr:uid="{00000000-0005-0000-0000-0000AF150000}"/>
    <cellStyle name="Normal 2 4 18 3 2 10 2" xfId="5569" xr:uid="{00000000-0005-0000-0000-0000B0150000}"/>
    <cellStyle name="Normal 2 4 18 3 2 10 3" xfId="5570" xr:uid="{00000000-0005-0000-0000-0000B1150000}"/>
    <cellStyle name="Normal 2 4 18 3 2 11" xfId="5571" xr:uid="{00000000-0005-0000-0000-0000B2150000}"/>
    <cellStyle name="Normal 2 4 18 3 2 11 2" xfId="5572" xr:uid="{00000000-0005-0000-0000-0000B3150000}"/>
    <cellStyle name="Normal 2 4 18 3 2 11 3" xfId="5573" xr:uid="{00000000-0005-0000-0000-0000B4150000}"/>
    <cellStyle name="Normal 2 4 18 3 2 12" xfId="5574" xr:uid="{00000000-0005-0000-0000-0000B5150000}"/>
    <cellStyle name="Normal 2 4 18 3 2 12 2" xfId="5575" xr:uid="{00000000-0005-0000-0000-0000B6150000}"/>
    <cellStyle name="Normal 2 4 18 3 2 12 3" xfId="5576" xr:uid="{00000000-0005-0000-0000-0000B7150000}"/>
    <cellStyle name="Normal 2 4 18 3 2 13" xfId="5577" xr:uid="{00000000-0005-0000-0000-0000B8150000}"/>
    <cellStyle name="Normal 2 4 18 3 2 13 2" xfId="5578" xr:uid="{00000000-0005-0000-0000-0000B9150000}"/>
    <cellStyle name="Normal 2 4 18 3 2 13 3" xfId="5579" xr:uid="{00000000-0005-0000-0000-0000BA150000}"/>
    <cellStyle name="Normal 2 4 18 3 2 14" xfId="5580" xr:uid="{00000000-0005-0000-0000-0000BB150000}"/>
    <cellStyle name="Normal 2 4 18 3 2 14 2" xfId="5581" xr:uid="{00000000-0005-0000-0000-0000BC150000}"/>
    <cellStyle name="Normal 2 4 18 3 2 14 3" xfId="5582" xr:uid="{00000000-0005-0000-0000-0000BD150000}"/>
    <cellStyle name="Normal 2 4 18 3 2 15" xfId="5583" xr:uid="{00000000-0005-0000-0000-0000BE150000}"/>
    <cellStyle name="Normal 2 4 18 3 2 16" xfId="5584" xr:uid="{00000000-0005-0000-0000-0000BF150000}"/>
    <cellStyle name="Normal 2 4 18 3 2 2" xfId="5585" xr:uid="{00000000-0005-0000-0000-0000C0150000}"/>
    <cellStyle name="Normal 2 4 18 3 2 2 2" xfId="5586" xr:uid="{00000000-0005-0000-0000-0000C1150000}"/>
    <cellStyle name="Normal 2 4 18 3 2 2 3" xfId="5587" xr:uid="{00000000-0005-0000-0000-0000C2150000}"/>
    <cellStyle name="Normal 2 4 18 3 2 3" xfId="5588" xr:uid="{00000000-0005-0000-0000-0000C3150000}"/>
    <cellStyle name="Normal 2 4 18 3 2 3 2" xfId="5589" xr:uid="{00000000-0005-0000-0000-0000C4150000}"/>
    <cellStyle name="Normal 2 4 18 3 2 3 3" xfId="5590" xr:uid="{00000000-0005-0000-0000-0000C5150000}"/>
    <cellStyle name="Normal 2 4 18 3 2 4" xfId="5591" xr:uid="{00000000-0005-0000-0000-0000C6150000}"/>
    <cellStyle name="Normal 2 4 18 3 2 4 2" xfId="5592" xr:uid="{00000000-0005-0000-0000-0000C7150000}"/>
    <cellStyle name="Normal 2 4 18 3 2 4 3" xfId="5593" xr:uid="{00000000-0005-0000-0000-0000C8150000}"/>
    <cellStyle name="Normal 2 4 18 3 2 5" xfId="5594" xr:uid="{00000000-0005-0000-0000-0000C9150000}"/>
    <cellStyle name="Normal 2 4 18 3 2 5 2" xfId="5595" xr:uid="{00000000-0005-0000-0000-0000CA150000}"/>
    <cellStyle name="Normal 2 4 18 3 2 5 3" xfId="5596" xr:uid="{00000000-0005-0000-0000-0000CB150000}"/>
    <cellStyle name="Normal 2 4 18 3 2 6" xfId="5597" xr:uid="{00000000-0005-0000-0000-0000CC150000}"/>
    <cellStyle name="Normal 2 4 18 3 2 6 2" xfId="5598" xr:uid="{00000000-0005-0000-0000-0000CD150000}"/>
    <cellStyle name="Normal 2 4 18 3 2 6 3" xfId="5599" xr:uid="{00000000-0005-0000-0000-0000CE150000}"/>
    <cellStyle name="Normal 2 4 18 3 2 7" xfId="5600" xr:uid="{00000000-0005-0000-0000-0000CF150000}"/>
    <cellStyle name="Normal 2 4 18 3 2 7 2" xfId="5601" xr:uid="{00000000-0005-0000-0000-0000D0150000}"/>
    <cellStyle name="Normal 2 4 18 3 2 7 3" xfId="5602" xr:uid="{00000000-0005-0000-0000-0000D1150000}"/>
    <cellStyle name="Normal 2 4 18 3 2 8" xfId="5603" xr:uid="{00000000-0005-0000-0000-0000D2150000}"/>
    <cellStyle name="Normal 2 4 18 3 2 8 2" xfId="5604" xr:uid="{00000000-0005-0000-0000-0000D3150000}"/>
    <cellStyle name="Normal 2 4 18 3 2 8 3" xfId="5605" xr:uid="{00000000-0005-0000-0000-0000D4150000}"/>
    <cellStyle name="Normal 2 4 18 3 2 9" xfId="5606" xr:uid="{00000000-0005-0000-0000-0000D5150000}"/>
    <cellStyle name="Normal 2 4 18 3 2 9 2" xfId="5607" xr:uid="{00000000-0005-0000-0000-0000D6150000}"/>
    <cellStyle name="Normal 2 4 18 3 2 9 3" xfId="5608" xr:uid="{00000000-0005-0000-0000-0000D7150000}"/>
    <cellStyle name="Normal 2 4 18 3 3" xfId="5609" xr:uid="{00000000-0005-0000-0000-0000D8150000}"/>
    <cellStyle name="Normal 2 4 18 3 3 2" xfId="5610" xr:uid="{00000000-0005-0000-0000-0000D9150000}"/>
    <cellStyle name="Normal 2 4 18 3 3 3" xfId="5611" xr:uid="{00000000-0005-0000-0000-0000DA150000}"/>
    <cellStyle name="Normal 2 4 18 3 4" xfId="5612" xr:uid="{00000000-0005-0000-0000-0000DB150000}"/>
    <cellStyle name="Normal 2 4 18 3 4 2" xfId="5613" xr:uid="{00000000-0005-0000-0000-0000DC150000}"/>
    <cellStyle name="Normal 2 4 18 3 4 3" xfId="5614" xr:uid="{00000000-0005-0000-0000-0000DD150000}"/>
    <cellStyle name="Normal 2 4 18 3 5" xfId="5615" xr:uid="{00000000-0005-0000-0000-0000DE150000}"/>
    <cellStyle name="Normal 2 4 18 3 5 2" xfId="5616" xr:uid="{00000000-0005-0000-0000-0000DF150000}"/>
    <cellStyle name="Normal 2 4 18 3 5 3" xfId="5617" xr:uid="{00000000-0005-0000-0000-0000E0150000}"/>
    <cellStyle name="Normal 2 4 18 3 6" xfId="5618" xr:uid="{00000000-0005-0000-0000-0000E1150000}"/>
    <cellStyle name="Normal 2 4 18 3 6 2" xfId="5619" xr:uid="{00000000-0005-0000-0000-0000E2150000}"/>
    <cellStyle name="Normal 2 4 18 3 6 3" xfId="5620" xr:uid="{00000000-0005-0000-0000-0000E3150000}"/>
    <cellStyle name="Normal 2 4 18 3 7" xfId="5621" xr:uid="{00000000-0005-0000-0000-0000E4150000}"/>
    <cellStyle name="Normal 2 4 18 3 7 2" xfId="5622" xr:uid="{00000000-0005-0000-0000-0000E5150000}"/>
    <cellStyle name="Normal 2 4 18 3 7 3" xfId="5623" xr:uid="{00000000-0005-0000-0000-0000E6150000}"/>
    <cellStyle name="Normal 2 4 18 3 8" xfId="5624" xr:uid="{00000000-0005-0000-0000-0000E7150000}"/>
    <cellStyle name="Normal 2 4 18 3 8 2" xfId="5625" xr:uid="{00000000-0005-0000-0000-0000E8150000}"/>
    <cellStyle name="Normal 2 4 18 3 8 3" xfId="5626" xr:uid="{00000000-0005-0000-0000-0000E9150000}"/>
    <cellStyle name="Normal 2 4 18 3 9" xfId="5627" xr:uid="{00000000-0005-0000-0000-0000EA150000}"/>
    <cellStyle name="Normal 2 4 18 3 9 2" xfId="5628" xr:uid="{00000000-0005-0000-0000-0000EB150000}"/>
    <cellStyle name="Normal 2 4 18 3 9 3" xfId="5629" xr:uid="{00000000-0005-0000-0000-0000EC150000}"/>
    <cellStyle name="Normal 2 4 18 4" xfId="5630" xr:uid="{00000000-0005-0000-0000-0000ED150000}"/>
    <cellStyle name="Normal 2 4 18 4 10" xfId="5631" xr:uid="{00000000-0005-0000-0000-0000EE150000}"/>
    <cellStyle name="Normal 2 4 18 4 10 2" xfId="5632" xr:uid="{00000000-0005-0000-0000-0000EF150000}"/>
    <cellStyle name="Normal 2 4 18 4 10 3" xfId="5633" xr:uid="{00000000-0005-0000-0000-0000F0150000}"/>
    <cellStyle name="Normal 2 4 18 4 11" xfId="5634" xr:uid="{00000000-0005-0000-0000-0000F1150000}"/>
    <cellStyle name="Normal 2 4 18 4 11 2" xfId="5635" xr:uid="{00000000-0005-0000-0000-0000F2150000}"/>
    <cellStyle name="Normal 2 4 18 4 11 3" xfId="5636" xr:uid="{00000000-0005-0000-0000-0000F3150000}"/>
    <cellStyle name="Normal 2 4 18 4 12" xfId="5637" xr:uid="{00000000-0005-0000-0000-0000F4150000}"/>
    <cellStyle name="Normal 2 4 18 4 12 2" xfId="5638" xr:uid="{00000000-0005-0000-0000-0000F5150000}"/>
    <cellStyle name="Normal 2 4 18 4 12 3" xfId="5639" xr:uid="{00000000-0005-0000-0000-0000F6150000}"/>
    <cellStyle name="Normal 2 4 18 4 13" xfId="5640" xr:uid="{00000000-0005-0000-0000-0000F7150000}"/>
    <cellStyle name="Normal 2 4 18 4 13 2" xfId="5641" xr:uid="{00000000-0005-0000-0000-0000F8150000}"/>
    <cellStyle name="Normal 2 4 18 4 13 3" xfId="5642" xr:uid="{00000000-0005-0000-0000-0000F9150000}"/>
    <cellStyle name="Normal 2 4 18 4 14" xfId="5643" xr:uid="{00000000-0005-0000-0000-0000FA150000}"/>
    <cellStyle name="Normal 2 4 18 4 14 2" xfId="5644" xr:uid="{00000000-0005-0000-0000-0000FB150000}"/>
    <cellStyle name="Normal 2 4 18 4 14 3" xfId="5645" xr:uid="{00000000-0005-0000-0000-0000FC150000}"/>
    <cellStyle name="Normal 2 4 18 4 15" xfId="5646" xr:uid="{00000000-0005-0000-0000-0000FD150000}"/>
    <cellStyle name="Normal 2 4 18 4 15 2" xfId="5647" xr:uid="{00000000-0005-0000-0000-0000FE150000}"/>
    <cellStyle name="Normal 2 4 18 4 15 3" xfId="5648" xr:uid="{00000000-0005-0000-0000-0000FF150000}"/>
    <cellStyle name="Normal 2 4 18 4 16" xfId="5649" xr:uid="{00000000-0005-0000-0000-000000160000}"/>
    <cellStyle name="Normal 2 4 18 4 17" xfId="5650" xr:uid="{00000000-0005-0000-0000-000001160000}"/>
    <cellStyle name="Normal 2 4 18 4 2" xfId="5651" xr:uid="{00000000-0005-0000-0000-000002160000}"/>
    <cellStyle name="Normal 2 4 18 4 2 10" xfId="5652" xr:uid="{00000000-0005-0000-0000-000003160000}"/>
    <cellStyle name="Normal 2 4 18 4 2 10 2" xfId="5653" xr:uid="{00000000-0005-0000-0000-000004160000}"/>
    <cellStyle name="Normal 2 4 18 4 2 10 3" xfId="5654" xr:uid="{00000000-0005-0000-0000-000005160000}"/>
    <cellStyle name="Normal 2 4 18 4 2 11" xfId="5655" xr:uid="{00000000-0005-0000-0000-000006160000}"/>
    <cellStyle name="Normal 2 4 18 4 2 11 2" xfId="5656" xr:uid="{00000000-0005-0000-0000-000007160000}"/>
    <cellStyle name="Normal 2 4 18 4 2 11 3" xfId="5657" xr:uid="{00000000-0005-0000-0000-000008160000}"/>
    <cellStyle name="Normal 2 4 18 4 2 12" xfId="5658" xr:uid="{00000000-0005-0000-0000-000009160000}"/>
    <cellStyle name="Normal 2 4 18 4 2 12 2" xfId="5659" xr:uid="{00000000-0005-0000-0000-00000A160000}"/>
    <cellStyle name="Normal 2 4 18 4 2 12 3" xfId="5660" xr:uid="{00000000-0005-0000-0000-00000B160000}"/>
    <cellStyle name="Normal 2 4 18 4 2 13" xfId="5661" xr:uid="{00000000-0005-0000-0000-00000C160000}"/>
    <cellStyle name="Normal 2 4 18 4 2 13 2" xfId="5662" xr:uid="{00000000-0005-0000-0000-00000D160000}"/>
    <cellStyle name="Normal 2 4 18 4 2 13 3" xfId="5663" xr:uid="{00000000-0005-0000-0000-00000E160000}"/>
    <cellStyle name="Normal 2 4 18 4 2 14" xfId="5664" xr:uid="{00000000-0005-0000-0000-00000F160000}"/>
    <cellStyle name="Normal 2 4 18 4 2 14 2" xfId="5665" xr:uid="{00000000-0005-0000-0000-000010160000}"/>
    <cellStyle name="Normal 2 4 18 4 2 14 3" xfId="5666" xr:uid="{00000000-0005-0000-0000-000011160000}"/>
    <cellStyle name="Normal 2 4 18 4 2 15" xfId="5667" xr:uid="{00000000-0005-0000-0000-000012160000}"/>
    <cellStyle name="Normal 2 4 18 4 2 16" xfId="5668" xr:uid="{00000000-0005-0000-0000-000013160000}"/>
    <cellStyle name="Normal 2 4 18 4 2 2" xfId="5669" xr:uid="{00000000-0005-0000-0000-000014160000}"/>
    <cellStyle name="Normal 2 4 18 4 2 2 2" xfId="5670" xr:uid="{00000000-0005-0000-0000-000015160000}"/>
    <cellStyle name="Normal 2 4 18 4 2 2 3" xfId="5671" xr:uid="{00000000-0005-0000-0000-000016160000}"/>
    <cellStyle name="Normal 2 4 18 4 2 3" xfId="5672" xr:uid="{00000000-0005-0000-0000-000017160000}"/>
    <cellStyle name="Normal 2 4 18 4 2 3 2" xfId="5673" xr:uid="{00000000-0005-0000-0000-000018160000}"/>
    <cellStyle name="Normal 2 4 18 4 2 3 3" xfId="5674" xr:uid="{00000000-0005-0000-0000-000019160000}"/>
    <cellStyle name="Normal 2 4 18 4 2 4" xfId="5675" xr:uid="{00000000-0005-0000-0000-00001A160000}"/>
    <cellStyle name="Normal 2 4 18 4 2 4 2" xfId="5676" xr:uid="{00000000-0005-0000-0000-00001B160000}"/>
    <cellStyle name="Normal 2 4 18 4 2 4 3" xfId="5677" xr:uid="{00000000-0005-0000-0000-00001C160000}"/>
    <cellStyle name="Normal 2 4 18 4 2 5" xfId="5678" xr:uid="{00000000-0005-0000-0000-00001D160000}"/>
    <cellStyle name="Normal 2 4 18 4 2 5 2" xfId="5679" xr:uid="{00000000-0005-0000-0000-00001E160000}"/>
    <cellStyle name="Normal 2 4 18 4 2 5 3" xfId="5680" xr:uid="{00000000-0005-0000-0000-00001F160000}"/>
    <cellStyle name="Normal 2 4 18 4 2 6" xfId="5681" xr:uid="{00000000-0005-0000-0000-000020160000}"/>
    <cellStyle name="Normal 2 4 18 4 2 6 2" xfId="5682" xr:uid="{00000000-0005-0000-0000-000021160000}"/>
    <cellStyle name="Normal 2 4 18 4 2 6 3" xfId="5683" xr:uid="{00000000-0005-0000-0000-000022160000}"/>
    <cellStyle name="Normal 2 4 18 4 2 7" xfId="5684" xr:uid="{00000000-0005-0000-0000-000023160000}"/>
    <cellStyle name="Normal 2 4 18 4 2 7 2" xfId="5685" xr:uid="{00000000-0005-0000-0000-000024160000}"/>
    <cellStyle name="Normal 2 4 18 4 2 7 3" xfId="5686" xr:uid="{00000000-0005-0000-0000-000025160000}"/>
    <cellStyle name="Normal 2 4 18 4 2 8" xfId="5687" xr:uid="{00000000-0005-0000-0000-000026160000}"/>
    <cellStyle name="Normal 2 4 18 4 2 8 2" xfId="5688" xr:uid="{00000000-0005-0000-0000-000027160000}"/>
    <cellStyle name="Normal 2 4 18 4 2 8 3" xfId="5689" xr:uid="{00000000-0005-0000-0000-000028160000}"/>
    <cellStyle name="Normal 2 4 18 4 2 9" xfId="5690" xr:uid="{00000000-0005-0000-0000-000029160000}"/>
    <cellStyle name="Normal 2 4 18 4 2 9 2" xfId="5691" xr:uid="{00000000-0005-0000-0000-00002A160000}"/>
    <cellStyle name="Normal 2 4 18 4 2 9 3" xfId="5692" xr:uid="{00000000-0005-0000-0000-00002B160000}"/>
    <cellStyle name="Normal 2 4 18 4 3" xfId="5693" xr:uid="{00000000-0005-0000-0000-00002C160000}"/>
    <cellStyle name="Normal 2 4 18 4 3 2" xfId="5694" xr:uid="{00000000-0005-0000-0000-00002D160000}"/>
    <cellStyle name="Normal 2 4 18 4 3 3" xfId="5695" xr:uid="{00000000-0005-0000-0000-00002E160000}"/>
    <cellStyle name="Normal 2 4 18 4 4" xfId="5696" xr:uid="{00000000-0005-0000-0000-00002F160000}"/>
    <cellStyle name="Normal 2 4 18 4 4 2" xfId="5697" xr:uid="{00000000-0005-0000-0000-000030160000}"/>
    <cellStyle name="Normal 2 4 18 4 4 3" xfId="5698" xr:uid="{00000000-0005-0000-0000-000031160000}"/>
    <cellStyle name="Normal 2 4 18 4 5" xfId="5699" xr:uid="{00000000-0005-0000-0000-000032160000}"/>
    <cellStyle name="Normal 2 4 18 4 5 2" xfId="5700" xr:uid="{00000000-0005-0000-0000-000033160000}"/>
    <cellStyle name="Normal 2 4 18 4 5 3" xfId="5701" xr:uid="{00000000-0005-0000-0000-000034160000}"/>
    <cellStyle name="Normal 2 4 18 4 6" xfId="5702" xr:uid="{00000000-0005-0000-0000-000035160000}"/>
    <cellStyle name="Normal 2 4 18 4 6 2" xfId="5703" xr:uid="{00000000-0005-0000-0000-000036160000}"/>
    <cellStyle name="Normal 2 4 18 4 6 3" xfId="5704" xr:uid="{00000000-0005-0000-0000-000037160000}"/>
    <cellStyle name="Normal 2 4 18 4 7" xfId="5705" xr:uid="{00000000-0005-0000-0000-000038160000}"/>
    <cellStyle name="Normal 2 4 18 4 7 2" xfId="5706" xr:uid="{00000000-0005-0000-0000-000039160000}"/>
    <cellStyle name="Normal 2 4 18 4 7 3" xfId="5707" xr:uid="{00000000-0005-0000-0000-00003A160000}"/>
    <cellStyle name="Normal 2 4 18 4 8" xfId="5708" xr:uid="{00000000-0005-0000-0000-00003B160000}"/>
    <cellStyle name="Normal 2 4 18 4 8 2" xfId="5709" xr:uid="{00000000-0005-0000-0000-00003C160000}"/>
    <cellStyle name="Normal 2 4 18 4 8 3" xfId="5710" xr:uid="{00000000-0005-0000-0000-00003D160000}"/>
    <cellStyle name="Normal 2 4 18 4 9" xfId="5711" xr:uid="{00000000-0005-0000-0000-00003E160000}"/>
    <cellStyle name="Normal 2 4 18 4 9 2" xfId="5712" xr:uid="{00000000-0005-0000-0000-00003F160000}"/>
    <cellStyle name="Normal 2 4 18 4 9 3" xfId="5713" xr:uid="{00000000-0005-0000-0000-000040160000}"/>
    <cellStyle name="Normal 2 4 18 5" xfId="5714" xr:uid="{00000000-0005-0000-0000-000041160000}"/>
    <cellStyle name="Normal 2 4 18 5 10" xfId="5715" xr:uid="{00000000-0005-0000-0000-000042160000}"/>
    <cellStyle name="Normal 2 4 18 5 10 2" xfId="5716" xr:uid="{00000000-0005-0000-0000-000043160000}"/>
    <cellStyle name="Normal 2 4 18 5 10 3" xfId="5717" xr:uid="{00000000-0005-0000-0000-000044160000}"/>
    <cellStyle name="Normal 2 4 18 5 11" xfId="5718" xr:uid="{00000000-0005-0000-0000-000045160000}"/>
    <cellStyle name="Normal 2 4 18 5 11 2" xfId="5719" xr:uid="{00000000-0005-0000-0000-000046160000}"/>
    <cellStyle name="Normal 2 4 18 5 11 3" xfId="5720" xr:uid="{00000000-0005-0000-0000-000047160000}"/>
    <cellStyle name="Normal 2 4 18 5 12" xfId="5721" xr:uid="{00000000-0005-0000-0000-000048160000}"/>
    <cellStyle name="Normal 2 4 18 5 12 2" xfId="5722" xr:uid="{00000000-0005-0000-0000-000049160000}"/>
    <cellStyle name="Normal 2 4 18 5 12 3" xfId="5723" xr:uid="{00000000-0005-0000-0000-00004A160000}"/>
    <cellStyle name="Normal 2 4 18 5 13" xfId="5724" xr:uid="{00000000-0005-0000-0000-00004B160000}"/>
    <cellStyle name="Normal 2 4 18 5 13 2" xfId="5725" xr:uid="{00000000-0005-0000-0000-00004C160000}"/>
    <cellStyle name="Normal 2 4 18 5 13 3" xfId="5726" xr:uid="{00000000-0005-0000-0000-00004D160000}"/>
    <cellStyle name="Normal 2 4 18 5 14" xfId="5727" xr:uid="{00000000-0005-0000-0000-00004E160000}"/>
    <cellStyle name="Normal 2 4 18 5 14 2" xfId="5728" xr:uid="{00000000-0005-0000-0000-00004F160000}"/>
    <cellStyle name="Normal 2 4 18 5 14 3" xfId="5729" xr:uid="{00000000-0005-0000-0000-000050160000}"/>
    <cellStyle name="Normal 2 4 18 5 15" xfId="5730" xr:uid="{00000000-0005-0000-0000-000051160000}"/>
    <cellStyle name="Normal 2 4 18 5 16" xfId="5731" xr:uid="{00000000-0005-0000-0000-000052160000}"/>
    <cellStyle name="Normal 2 4 18 5 2" xfId="5732" xr:uid="{00000000-0005-0000-0000-000053160000}"/>
    <cellStyle name="Normal 2 4 18 5 2 2" xfId="5733" xr:uid="{00000000-0005-0000-0000-000054160000}"/>
    <cellStyle name="Normal 2 4 18 5 2 3" xfId="5734" xr:uid="{00000000-0005-0000-0000-000055160000}"/>
    <cellStyle name="Normal 2 4 18 5 3" xfId="5735" xr:uid="{00000000-0005-0000-0000-000056160000}"/>
    <cellStyle name="Normal 2 4 18 5 3 2" xfId="5736" xr:uid="{00000000-0005-0000-0000-000057160000}"/>
    <cellStyle name="Normal 2 4 18 5 3 3" xfId="5737" xr:uid="{00000000-0005-0000-0000-000058160000}"/>
    <cellStyle name="Normal 2 4 18 5 4" xfId="5738" xr:uid="{00000000-0005-0000-0000-000059160000}"/>
    <cellStyle name="Normal 2 4 18 5 4 2" xfId="5739" xr:uid="{00000000-0005-0000-0000-00005A160000}"/>
    <cellStyle name="Normal 2 4 18 5 4 3" xfId="5740" xr:uid="{00000000-0005-0000-0000-00005B160000}"/>
    <cellStyle name="Normal 2 4 18 5 5" xfId="5741" xr:uid="{00000000-0005-0000-0000-00005C160000}"/>
    <cellStyle name="Normal 2 4 18 5 5 2" xfId="5742" xr:uid="{00000000-0005-0000-0000-00005D160000}"/>
    <cellStyle name="Normal 2 4 18 5 5 3" xfId="5743" xr:uid="{00000000-0005-0000-0000-00005E160000}"/>
    <cellStyle name="Normal 2 4 18 5 6" xfId="5744" xr:uid="{00000000-0005-0000-0000-00005F160000}"/>
    <cellStyle name="Normal 2 4 18 5 6 2" xfId="5745" xr:uid="{00000000-0005-0000-0000-000060160000}"/>
    <cellStyle name="Normal 2 4 18 5 6 3" xfId="5746" xr:uid="{00000000-0005-0000-0000-000061160000}"/>
    <cellStyle name="Normal 2 4 18 5 7" xfId="5747" xr:uid="{00000000-0005-0000-0000-000062160000}"/>
    <cellStyle name="Normal 2 4 18 5 7 2" xfId="5748" xr:uid="{00000000-0005-0000-0000-000063160000}"/>
    <cellStyle name="Normal 2 4 18 5 7 3" xfId="5749" xr:uid="{00000000-0005-0000-0000-000064160000}"/>
    <cellStyle name="Normal 2 4 18 5 8" xfId="5750" xr:uid="{00000000-0005-0000-0000-000065160000}"/>
    <cellStyle name="Normal 2 4 18 5 8 2" xfId="5751" xr:uid="{00000000-0005-0000-0000-000066160000}"/>
    <cellStyle name="Normal 2 4 18 5 8 3" xfId="5752" xr:uid="{00000000-0005-0000-0000-000067160000}"/>
    <cellStyle name="Normal 2 4 18 5 9" xfId="5753" xr:uid="{00000000-0005-0000-0000-000068160000}"/>
    <cellStyle name="Normal 2 4 18 5 9 2" xfId="5754" xr:uid="{00000000-0005-0000-0000-000069160000}"/>
    <cellStyle name="Normal 2 4 18 5 9 3" xfId="5755" xr:uid="{00000000-0005-0000-0000-00006A160000}"/>
    <cellStyle name="Normal 2 4 18 6" xfId="5756" xr:uid="{00000000-0005-0000-0000-00006B160000}"/>
    <cellStyle name="Normal 2 4 18 6 10" xfId="5757" xr:uid="{00000000-0005-0000-0000-00006C160000}"/>
    <cellStyle name="Normal 2 4 18 6 10 2" xfId="5758" xr:uid="{00000000-0005-0000-0000-00006D160000}"/>
    <cellStyle name="Normal 2 4 18 6 10 3" xfId="5759" xr:uid="{00000000-0005-0000-0000-00006E160000}"/>
    <cellStyle name="Normal 2 4 18 6 11" xfId="5760" xr:uid="{00000000-0005-0000-0000-00006F160000}"/>
    <cellStyle name="Normal 2 4 18 6 11 2" xfId="5761" xr:uid="{00000000-0005-0000-0000-000070160000}"/>
    <cellStyle name="Normal 2 4 18 6 11 3" xfId="5762" xr:uid="{00000000-0005-0000-0000-000071160000}"/>
    <cellStyle name="Normal 2 4 18 6 12" xfId="5763" xr:uid="{00000000-0005-0000-0000-000072160000}"/>
    <cellStyle name="Normal 2 4 18 6 12 2" xfId="5764" xr:uid="{00000000-0005-0000-0000-000073160000}"/>
    <cellStyle name="Normal 2 4 18 6 12 3" xfId="5765" xr:uid="{00000000-0005-0000-0000-000074160000}"/>
    <cellStyle name="Normal 2 4 18 6 13" xfId="5766" xr:uid="{00000000-0005-0000-0000-000075160000}"/>
    <cellStyle name="Normal 2 4 18 6 13 2" xfId="5767" xr:uid="{00000000-0005-0000-0000-000076160000}"/>
    <cellStyle name="Normal 2 4 18 6 13 3" xfId="5768" xr:uid="{00000000-0005-0000-0000-000077160000}"/>
    <cellStyle name="Normal 2 4 18 6 14" xfId="5769" xr:uid="{00000000-0005-0000-0000-000078160000}"/>
    <cellStyle name="Normal 2 4 18 6 14 2" xfId="5770" xr:uid="{00000000-0005-0000-0000-000079160000}"/>
    <cellStyle name="Normal 2 4 18 6 14 3" xfId="5771" xr:uid="{00000000-0005-0000-0000-00007A160000}"/>
    <cellStyle name="Normal 2 4 18 6 15" xfId="5772" xr:uid="{00000000-0005-0000-0000-00007B160000}"/>
    <cellStyle name="Normal 2 4 18 6 16" xfId="5773" xr:uid="{00000000-0005-0000-0000-00007C160000}"/>
    <cellStyle name="Normal 2 4 18 6 2" xfId="5774" xr:uid="{00000000-0005-0000-0000-00007D160000}"/>
    <cellStyle name="Normal 2 4 18 6 2 2" xfId="5775" xr:uid="{00000000-0005-0000-0000-00007E160000}"/>
    <cellStyle name="Normal 2 4 18 6 2 3" xfId="5776" xr:uid="{00000000-0005-0000-0000-00007F160000}"/>
    <cellStyle name="Normal 2 4 18 6 3" xfId="5777" xr:uid="{00000000-0005-0000-0000-000080160000}"/>
    <cellStyle name="Normal 2 4 18 6 3 2" xfId="5778" xr:uid="{00000000-0005-0000-0000-000081160000}"/>
    <cellStyle name="Normal 2 4 18 6 3 3" xfId="5779" xr:uid="{00000000-0005-0000-0000-000082160000}"/>
    <cellStyle name="Normal 2 4 18 6 4" xfId="5780" xr:uid="{00000000-0005-0000-0000-000083160000}"/>
    <cellStyle name="Normal 2 4 18 6 4 2" xfId="5781" xr:uid="{00000000-0005-0000-0000-000084160000}"/>
    <cellStyle name="Normal 2 4 18 6 4 3" xfId="5782" xr:uid="{00000000-0005-0000-0000-000085160000}"/>
    <cellStyle name="Normal 2 4 18 6 5" xfId="5783" xr:uid="{00000000-0005-0000-0000-000086160000}"/>
    <cellStyle name="Normal 2 4 18 6 5 2" xfId="5784" xr:uid="{00000000-0005-0000-0000-000087160000}"/>
    <cellStyle name="Normal 2 4 18 6 5 3" xfId="5785" xr:uid="{00000000-0005-0000-0000-000088160000}"/>
    <cellStyle name="Normal 2 4 18 6 6" xfId="5786" xr:uid="{00000000-0005-0000-0000-000089160000}"/>
    <cellStyle name="Normal 2 4 18 6 6 2" xfId="5787" xr:uid="{00000000-0005-0000-0000-00008A160000}"/>
    <cellStyle name="Normal 2 4 18 6 6 3" xfId="5788" xr:uid="{00000000-0005-0000-0000-00008B160000}"/>
    <cellStyle name="Normal 2 4 18 6 7" xfId="5789" xr:uid="{00000000-0005-0000-0000-00008C160000}"/>
    <cellStyle name="Normal 2 4 18 6 7 2" xfId="5790" xr:uid="{00000000-0005-0000-0000-00008D160000}"/>
    <cellStyle name="Normal 2 4 18 6 7 3" xfId="5791" xr:uid="{00000000-0005-0000-0000-00008E160000}"/>
    <cellStyle name="Normal 2 4 18 6 8" xfId="5792" xr:uid="{00000000-0005-0000-0000-00008F160000}"/>
    <cellStyle name="Normal 2 4 18 6 8 2" xfId="5793" xr:uid="{00000000-0005-0000-0000-000090160000}"/>
    <cellStyle name="Normal 2 4 18 6 8 3" xfId="5794" xr:uid="{00000000-0005-0000-0000-000091160000}"/>
    <cellStyle name="Normal 2 4 18 6 9" xfId="5795" xr:uid="{00000000-0005-0000-0000-000092160000}"/>
    <cellStyle name="Normal 2 4 18 6 9 2" xfId="5796" xr:uid="{00000000-0005-0000-0000-000093160000}"/>
    <cellStyle name="Normal 2 4 18 6 9 3" xfId="5797" xr:uid="{00000000-0005-0000-0000-000094160000}"/>
    <cellStyle name="Normal 2 4 18 7" xfId="5798" xr:uid="{00000000-0005-0000-0000-000095160000}"/>
    <cellStyle name="Normal 2 4 18 7 10" xfId="5799" xr:uid="{00000000-0005-0000-0000-000096160000}"/>
    <cellStyle name="Normal 2 4 18 7 10 2" xfId="5800" xr:uid="{00000000-0005-0000-0000-000097160000}"/>
    <cellStyle name="Normal 2 4 18 7 10 3" xfId="5801" xr:uid="{00000000-0005-0000-0000-000098160000}"/>
    <cellStyle name="Normal 2 4 18 7 11" xfId="5802" xr:uid="{00000000-0005-0000-0000-000099160000}"/>
    <cellStyle name="Normal 2 4 18 7 11 2" xfId="5803" xr:uid="{00000000-0005-0000-0000-00009A160000}"/>
    <cellStyle name="Normal 2 4 18 7 11 3" xfId="5804" xr:uid="{00000000-0005-0000-0000-00009B160000}"/>
    <cellStyle name="Normal 2 4 18 7 12" xfId="5805" xr:uid="{00000000-0005-0000-0000-00009C160000}"/>
    <cellStyle name="Normal 2 4 18 7 12 2" xfId="5806" xr:uid="{00000000-0005-0000-0000-00009D160000}"/>
    <cellStyle name="Normal 2 4 18 7 12 3" xfId="5807" xr:uid="{00000000-0005-0000-0000-00009E160000}"/>
    <cellStyle name="Normal 2 4 18 7 13" xfId="5808" xr:uid="{00000000-0005-0000-0000-00009F160000}"/>
    <cellStyle name="Normal 2 4 18 7 13 2" xfId="5809" xr:uid="{00000000-0005-0000-0000-0000A0160000}"/>
    <cellStyle name="Normal 2 4 18 7 13 3" xfId="5810" xr:uid="{00000000-0005-0000-0000-0000A1160000}"/>
    <cellStyle name="Normal 2 4 18 7 14" xfId="5811" xr:uid="{00000000-0005-0000-0000-0000A2160000}"/>
    <cellStyle name="Normal 2 4 18 7 14 2" xfId="5812" xr:uid="{00000000-0005-0000-0000-0000A3160000}"/>
    <cellStyle name="Normal 2 4 18 7 14 3" xfId="5813" xr:uid="{00000000-0005-0000-0000-0000A4160000}"/>
    <cellStyle name="Normal 2 4 18 7 15" xfId="5814" xr:uid="{00000000-0005-0000-0000-0000A5160000}"/>
    <cellStyle name="Normal 2 4 18 7 16" xfId="5815" xr:uid="{00000000-0005-0000-0000-0000A6160000}"/>
    <cellStyle name="Normal 2 4 18 7 2" xfId="5816" xr:uid="{00000000-0005-0000-0000-0000A7160000}"/>
    <cellStyle name="Normal 2 4 18 7 2 2" xfId="5817" xr:uid="{00000000-0005-0000-0000-0000A8160000}"/>
    <cellStyle name="Normal 2 4 18 7 2 3" xfId="5818" xr:uid="{00000000-0005-0000-0000-0000A9160000}"/>
    <cellStyle name="Normal 2 4 18 7 3" xfId="5819" xr:uid="{00000000-0005-0000-0000-0000AA160000}"/>
    <cellStyle name="Normal 2 4 18 7 3 2" xfId="5820" xr:uid="{00000000-0005-0000-0000-0000AB160000}"/>
    <cellStyle name="Normal 2 4 18 7 3 3" xfId="5821" xr:uid="{00000000-0005-0000-0000-0000AC160000}"/>
    <cellStyle name="Normal 2 4 18 7 4" xfId="5822" xr:uid="{00000000-0005-0000-0000-0000AD160000}"/>
    <cellStyle name="Normal 2 4 18 7 4 2" xfId="5823" xr:uid="{00000000-0005-0000-0000-0000AE160000}"/>
    <cellStyle name="Normal 2 4 18 7 4 3" xfId="5824" xr:uid="{00000000-0005-0000-0000-0000AF160000}"/>
    <cellStyle name="Normal 2 4 18 7 5" xfId="5825" xr:uid="{00000000-0005-0000-0000-0000B0160000}"/>
    <cellStyle name="Normal 2 4 18 7 5 2" xfId="5826" xr:uid="{00000000-0005-0000-0000-0000B1160000}"/>
    <cellStyle name="Normal 2 4 18 7 5 3" xfId="5827" xr:uid="{00000000-0005-0000-0000-0000B2160000}"/>
    <cellStyle name="Normal 2 4 18 7 6" xfId="5828" xr:uid="{00000000-0005-0000-0000-0000B3160000}"/>
    <cellStyle name="Normal 2 4 18 7 6 2" xfId="5829" xr:uid="{00000000-0005-0000-0000-0000B4160000}"/>
    <cellStyle name="Normal 2 4 18 7 6 3" xfId="5830" xr:uid="{00000000-0005-0000-0000-0000B5160000}"/>
    <cellStyle name="Normal 2 4 18 7 7" xfId="5831" xr:uid="{00000000-0005-0000-0000-0000B6160000}"/>
    <cellStyle name="Normal 2 4 18 7 7 2" xfId="5832" xr:uid="{00000000-0005-0000-0000-0000B7160000}"/>
    <cellStyle name="Normal 2 4 18 7 7 3" xfId="5833" xr:uid="{00000000-0005-0000-0000-0000B8160000}"/>
    <cellStyle name="Normal 2 4 18 7 8" xfId="5834" xr:uid="{00000000-0005-0000-0000-0000B9160000}"/>
    <cellStyle name="Normal 2 4 18 7 8 2" xfId="5835" xr:uid="{00000000-0005-0000-0000-0000BA160000}"/>
    <cellStyle name="Normal 2 4 18 7 8 3" xfId="5836" xr:uid="{00000000-0005-0000-0000-0000BB160000}"/>
    <cellStyle name="Normal 2 4 18 7 9" xfId="5837" xr:uid="{00000000-0005-0000-0000-0000BC160000}"/>
    <cellStyle name="Normal 2 4 18 7 9 2" xfId="5838" xr:uid="{00000000-0005-0000-0000-0000BD160000}"/>
    <cellStyle name="Normal 2 4 18 7 9 3" xfId="5839" xr:uid="{00000000-0005-0000-0000-0000BE160000}"/>
    <cellStyle name="Normal 2 4 18 8" xfId="5840" xr:uid="{00000000-0005-0000-0000-0000BF160000}"/>
    <cellStyle name="Normal 2 4 18 8 10" xfId="5841" xr:uid="{00000000-0005-0000-0000-0000C0160000}"/>
    <cellStyle name="Normal 2 4 18 8 10 2" xfId="5842" xr:uid="{00000000-0005-0000-0000-0000C1160000}"/>
    <cellStyle name="Normal 2 4 18 8 10 3" xfId="5843" xr:uid="{00000000-0005-0000-0000-0000C2160000}"/>
    <cellStyle name="Normal 2 4 18 8 11" xfId="5844" xr:uid="{00000000-0005-0000-0000-0000C3160000}"/>
    <cellStyle name="Normal 2 4 18 8 11 2" xfId="5845" xr:uid="{00000000-0005-0000-0000-0000C4160000}"/>
    <cellStyle name="Normal 2 4 18 8 11 3" xfId="5846" xr:uid="{00000000-0005-0000-0000-0000C5160000}"/>
    <cellStyle name="Normal 2 4 18 8 12" xfId="5847" xr:uid="{00000000-0005-0000-0000-0000C6160000}"/>
    <cellStyle name="Normal 2 4 18 8 12 2" xfId="5848" xr:uid="{00000000-0005-0000-0000-0000C7160000}"/>
    <cellStyle name="Normal 2 4 18 8 12 3" xfId="5849" xr:uid="{00000000-0005-0000-0000-0000C8160000}"/>
    <cellStyle name="Normal 2 4 18 8 13" xfId="5850" xr:uid="{00000000-0005-0000-0000-0000C9160000}"/>
    <cellStyle name="Normal 2 4 18 8 13 2" xfId="5851" xr:uid="{00000000-0005-0000-0000-0000CA160000}"/>
    <cellStyle name="Normal 2 4 18 8 13 3" xfId="5852" xr:uid="{00000000-0005-0000-0000-0000CB160000}"/>
    <cellStyle name="Normal 2 4 18 8 14" xfId="5853" xr:uid="{00000000-0005-0000-0000-0000CC160000}"/>
    <cellStyle name="Normal 2 4 18 8 14 2" xfId="5854" xr:uid="{00000000-0005-0000-0000-0000CD160000}"/>
    <cellStyle name="Normal 2 4 18 8 14 3" xfId="5855" xr:uid="{00000000-0005-0000-0000-0000CE160000}"/>
    <cellStyle name="Normal 2 4 18 8 15" xfId="5856" xr:uid="{00000000-0005-0000-0000-0000CF160000}"/>
    <cellStyle name="Normal 2 4 18 8 16" xfId="5857" xr:uid="{00000000-0005-0000-0000-0000D0160000}"/>
    <cellStyle name="Normal 2 4 18 8 2" xfId="5858" xr:uid="{00000000-0005-0000-0000-0000D1160000}"/>
    <cellStyle name="Normal 2 4 18 8 2 2" xfId="5859" xr:uid="{00000000-0005-0000-0000-0000D2160000}"/>
    <cellStyle name="Normal 2 4 18 8 2 3" xfId="5860" xr:uid="{00000000-0005-0000-0000-0000D3160000}"/>
    <cellStyle name="Normal 2 4 18 8 3" xfId="5861" xr:uid="{00000000-0005-0000-0000-0000D4160000}"/>
    <cellStyle name="Normal 2 4 18 8 3 2" xfId="5862" xr:uid="{00000000-0005-0000-0000-0000D5160000}"/>
    <cellStyle name="Normal 2 4 18 8 3 3" xfId="5863" xr:uid="{00000000-0005-0000-0000-0000D6160000}"/>
    <cellStyle name="Normal 2 4 18 8 4" xfId="5864" xr:uid="{00000000-0005-0000-0000-0000D7160000}"/>
    <cellStyle name="Normal 2 4 18 8 4 2" xfId="5865" xr:uid="{00000000-0005-0000-0000-0000D8160000}"/>
    <cellStyle name="Normal 2 4 18 8 4 3" xfId="5866" xr:uid="{00000000-0005-0000-0000-0000D9160000}"/>
    <cellStyle name="Normal 2 4 18 8 5" xfId="5867" xr:uid="{00000000-0005-0000-0000-0000DA160000}"/>
    <cellStyle name="Normal 2 4 18 8 5 2" xfId="5868" xr:uid="{00000000-0005-0000-0000-0000DB160000}"/>
    <cellStyle name="Normal 2 4 18 8 5 3" xfId="5869" xr:uid="{00000000-0005-0000-0000-0000DC160000}"/>
    <cellStyle name="Normal 2 4 18 8 6" xfId="5870" xr:uid="{00000000-0005-0000-0000-0000DD160000}"/>
    <cellStyle name="Normal 2 4 18 8 6 2" xfId="5871" xr:uid="{00000000-0005-0000-0000-0000DE160000}"/>
    <cellStyle name="Normal 2 4 18 8 6 3" xfId="5872" xr:uid="{00000000-0005-0000-0000-0000DF160000}"/>
    <cellStyle name="Normal 2 4 18 8 7" xfId="5873" xr:uid="{00000000-0005-0000-0000-0000E0160000}"/>
    <cellStyle name="Normal 2 4 18 8 7 2" xfId="5874" xr:uid="{00000000-0005-0000-0000-0000E1160000}"/>
    <cellStyle name="Normal 2 4 18 8 7 3" xfId="5875" xr:uid="{00000000-0005-0000-0000-0000E2160000}"/>
    <cellStyle name="Normal 2 4 18 8 8" xfId="5876" xr:uid="{00000000-0005-0000-0000-0000E3160000}"/>
    <cellStyle name="Normal 2 4 18 8 8 2" xfId="5877" xr:uid="{00000000-0005-0000-0000-0000E4160000}"/>
    <cellStyle name="Normal 2 4 18 8 8 3" xfId="5878" xr:uid="{00000000-0005-0000-0000-0000E5160000}"/>
    <cellStyle name="Normal 2 4 18 8 9" xfId="5879" xr:uid="{00000000-0005-0000-0000-0000E6160000}"/>
    <cellStyle name="Normal 2 4 18 8 9 2" xfId="5880" xr:uid="{00000000-0005-0000-0000-0000E7160000}"/>
    <cellStyle name="Normal 2 4 18 8 9 3" xfId="5881" xr:uid="{00000000-0005-0000-0000-0000E8160000}"/>
    <cellStyle name="Normal 2 4 18 9" xfId="5882" xr:uid="{00000000-0005-0000-0000-0000E9160000}"/>
    <cellStyle name="Normal 2 4 18 9 10" xfId="5883" xr:uid="{00000000-0005-0000-0000-0000EA160000}"/>
    <cellStyle name="Normal 2 4 18 9 10 2" xfId="5884" xr:uid="{00000000-0005-0000-0000-0000EB160000}"/>
    <cellStyle name="Normal 2 4 18 9 10 3" xfId="5885" xr:uid="{00000000-0005-0000-0000-0000EC160000}"/>
    <cellStyle name="Normal 2 4 18 9 11" xfId="5886" xr:uid="{00000000-0005-0000-0000-0000ED160000}"/>
    <cellStyle name="Normal 2 4 18 9 11 2" xfId="5887" xr:uid="{00000000-0005-0000-0000-0000EE160000}"/>
    <cellStyle name="Normal 2 4 18 9 11 3" xfId="5888" xr:uid="{00000000-0005-0000-0000-0000EF160000}"/>
    <cellStyle name="Normal 2 4 18 9 12" xfId="5889" xr:uid="{00000000-0005-0000-0000-0000F0160000}"/>
    <cellStyle name="Normal 2 4 18 9 12 2" xfId="5890" xr:uid="{00000000-0005-0000-0000-0000F1160000}"/>
    <cellStyle name="Normal 2 4 18 9 12 3" xfId="5891" xr:uid="{00000000-0005-0000-0000-0000F2160000}"/>
    <cellStyle name="Normal 2 4 18 9 13" xfId="5892" xr:uid="{00000000-0005-0000-0000-0000F3160000}"/>
    <cellStyle name="Normal 2 4 18 9 13 2" xfId="5893" xr:uid="{00000000-0005-0000-0000-0000F4160000}"/>
    <cellStyle name="Normal 2 4 18 9 13 3" xfId="5894" xr:uid="{00000000-0005-0000-0000-0000F5160000}"/>
    <cellStyle name="Normal 2 4 18 9 14" xfId="5895" xr:uid="{00000000-0005-0000-0000-0000F6160000}"/>
    <cellStyle name="Normal 2 4 18 9 14 2" xfId="5896" xr:uid="{00000000-0005-0000-0000-0000F7160000}"/>
    <cellStyle name="Normal 2 4 18 9 14 3" xfId="5897" xr:uid="{00000000-0005-0000-0000-0000F8160000}"/>
    <cellStyle name="Normal 2 4 18 9 15" xfId="5898" xr:uid="{00000000-0005-0000-0000-0000F9160000}"/>
    <cellStyle name="Normal 2 4 18 9 16" xfId="5899" xr:uid="{00000000-0005-0000-0000-0000FA160000}"/>
    <cellStyle name="Normal 2 4 18 9 2" xfId="5900" xr:uid="{00000000-0005-0000-0000-0000FB160000}"/>
    <cellStyle name="Normal 2 4 18 9 2 2" xfId="5901" xr:uid="{00000000-0005-0000-0000-0000FC160000}"/>
    <cellStyle name="Normal 2 4 18 9 2 3" xfId="5902" xr:uid="{00000000-0005-0000-0000-0000FD160000}"/>
    <cellStyle name="Normal 2 4 18 9 3" xfId="5903" xr:uid="{00000000-0005-0000-0000-0000FE160000}"/>
    <cellStyle name="Normal 2 4 18 9 3 2" xfId="5904" xr:uid="{00000000-0005-0000-0000-0000FF160000}"/>
    <cellStyle name="Normal 2 4 18 9 3 3" xfId="5905" xr:uid="{00000000-0005-0000-0000-000000170000}"/>
    <cellStyle name="Normal 2 4 18 9 4" xfId="5906" xr:uid="{00000000-0005-0000-0000-000001170000}"/>
    <cellStyle name="Normal 2 4 18 9 4 2" xfId="5907" xr:uid="{00000000-0005-0000-0000-000002170000}"/>
    <cellStyle name="Normal 2 4 18 9 4 3" xfId="5908" xr:uid="{00000000-0005-0000-0000-000003170000}"/>
    <cellStyle name="Normal 2 4 18 9 5" xfId="5909" xr:uid="{00000000-0005-0000-0000-000004170000}"/>
    <cellStyle name="Normal 2 4 18 9 5 2" xfId="5910" xr:uid="{00000000-0005-0000-0000-000005170000}"/>
    <cellStyle name="Normal 2 4 18 9 5 3" xfId="5911" xr:uid="{00000000-0005-0000-0000-000006170000}"/>
    <cellStyle name="Normal 2 4 18 9 6" xfId="5912" xr:uid="{00000000-0005-0000-0000-000007170000}"/>
    <cellStyle name="Normal 2 4 18 9 6 2" xfId="5913" xr:uid="{00000000-0005-0000-0000-000008170000}"/>
    <cellStyle name="Normal 2 4 18 9 6 3" xfId="5914" xr:uid="{00000000-0005-0000-0000-000009170000}"/>
    <cellStyle name="Normal 2 4 18 9 7" xfId="5915" xr:uid="{00000000-0005-0000-0000-00000A170000}"/>
    <cellStyle name="Normal 2 4 18 9 7 2" xfId="5916" xr:uid="{00000000-0005-0000-0000-00000B170000}"/>
    <cellStyle name="Normal 2 4 18 9 7 3" xfId="5917" xr:uid="{00000000-0005-0000-0000-00000C170000}"/>
    <cellStyle name="Normal 2 4 18 9 8" xfId="5918" xr:uid="{00000000-0005-0000-0000-00000D170000}"/>
    <cellStyle name="Normal 2 4 18 9 8 2" xfId="5919" xr:uid="{00000000-0005-0000-0000-00000E170000}"/>
    <cellStyle name="Normal 2 4 18 9 8 3" xfId="5920" xr:uid="{00000000-0005-0000-0000-00000F170000}"/>
    <cellStyle name="Normal 2 4 18 9 9" xfId="5921" xr:uid="{00000000-0005-0000-0000-000010170000}"/>
    <cellStyle name="Normal 2 4 18 9 9 2" xfId="5922" xr:uid="{00000000-0005-0000-0000-000011170000}"/>
    <cellStyle name="Normal 2 4 18 9 9 3" xfId="5923" xr:uid="{00000000-0005-0000-0000-000012170000}"/>
    <cellStyle name="Normal 2 4 19" xfId="5924" xr:uid="{00000000-0005-0000-0000-000013170000}"/>
    <cellStyle name="Normal 2 4 19 10" xfId="5925" xr:uid="{00000000-0005-0000-0000-000014170000}"/>
    <cellStyle name="Normal 2 4 19 10 10" xfId="5926" xr:uid="{00000000-0005-0000-0000-000015170000}"/>
    <cellStyle name="Normal 2 4 19 10 10 2" xfId="5927" xr:uid="{00000000-0005-0000-0000-000016170000}"/>
    <cellStyle name="Normal 2 4 19 10 10 3" xfId="5928" xr:uid="{00000000-0005-0000-0000-000017170000}"/>
    <cellStyle name="Normal 2 4 19 10 11" xfId="5929" xr:uid="{00000000-0005-0000-0000-000018170000}"/>
    <cellStyle name="Normal 2 4 19 10 11 2" xfId="5930" xr:uid="{00000000-0005-0000-0000-000019170000}"/>
    <cellStyle name="Normal 2 4 19 10 11 3" xfId="5931" xr:uid="{00000000-0005-0000-0000-00001A170000}"/>
    <cellStyle name="Normal 2 4 19 10 12" xfId="5932" xr:uid="{00000000-0005-0000-0000-00001B170000}"/>
    <cellStyle name="Normal 2 4 19 10 12 2" xfId="5933" xr:uid="{00000000-0005-0000-0000-00001C170000}"/>
    <cellStyle name="Normal 2 4 19 10 12 3" xfId="5934" xr:uid="{00000000-0005-0000-0000-00001D170000}"/>
    <cellStyle name="Normal 2 4 19 10 13" xfId="5935" xr:uid="{00000000-0005-0000-0000-00001E170000}"/>
    <cellStyle name="Normal 2 4 19 10 13 2" xfId="5936" xr:uid="{00000000-0005-0000-0000-00001F170000}"/>
    <cellStyle name="Normal 2 4 19 10 13 3" xfId="5937" xr:uid="{00000000-0005-0000-0000-000020170000}"/>
    <cellStyle name="Normal 2 4 19 10 14" xfId="5938" xr:uid="{00000000-0005-0000-0000-000021170000}"/>
    <cellStyle name="Normal 2 4 19 10 14 2" xfId="5939" xr:uid="{00000000-0005-0000-0000-000022170000}"/>
    <cellStyle name="Normal 2 4 19 10 14 3" xfId="5940" xr:uid="{00000000-0005-0000-0000-000023170000}"/>
    <cellStyle name="Normal 2 4 19 10 15" xfId="5941" xr:uid="{00000000-0005-0000-0000-000024170000}"/>
    <cellStyle name="Normal 2 4 19 10 16" xfId="5942" xr:uid="{00000000-0005-0000-0000-000025170000}"/>
    <cellStyle name="Normal 2 4 19 10 2" xfId="5943" xr:uid="{00000000-0005-0000-0000-000026170000}"/>
    <cellStyle name="Normal 2 4 19 10 2 2" xfId="5944" xr:uid="{00000000-0005-0000-0000-000027170000}"/>
    <cellStyle name="Normal 2 4 19 10 2 3" xfId="5945" xr:uid="{00000000-0005-0000-0000-000028170000}"/>
    <cellStyle name="Normal 2 4 19 10 3" xfId="5946" xr:uid="{00000000-0005-0000-0000-000029170000}"/>
    <cellStyle name="Normal 2 4 19 10 3 2" xfId="5947" xr:uid="{00000000-0005-0000-0000-00002A170000}"/>
    <cellStyle name="Normal 2 4 19 10 3 3" xfId="5948" xr:uid="{00000000-0005-0000-0000-00002B170000}"/>
    <cellStyle name="Normal 2 4 19 10 4" xfId="5949" xr:uid="{00000000-0005-0000-0000-00002C170000}"/>
    <cellStyle name="Normal 2 4 19 10 4 2" xfId="5950" xr:uid="{00000000-0005-0000-0000-00002D170000}"/>
    <cellStyle name="Normal 2 4 19 10 4 3" xfId="5951" xr:uid="{00000000-0005-0000-0000-00002E170000}"/>
    <cellStyle name="Normal 2 4 19 10 5" xfId="5952" xr:uid="{00000000-0005-0000-0000-00002F170000}"/>
    <cellStyle name="Normal 2 4 19 10 5 2" xfId="5953" xr:uid="{00000000-0005-0000-0000-000030170000}"/>
    <cellStyle name="Normal 2 4 19 10 5 3" xfId="5954" xr:uid="{00000000-0005-0000-0000-000031170000}"/>
    <cellStyle name="Normal 2 4 19 10 6" xfId="5955" xr:uid="{00000000-0005-0000-0000-000032170000}"/>
    <cellStyle name="Normal 2 4 19 10 6 2" xfId="5956" xr:uid="{00000000-0005-0000-0000-000033170000}"/>
    <cellStyle name="Normal 2 4 19 10 6 3" xfId="5957" xr:uid="{00000000-0005-0000-0000-000034170000}"/>
    <cellStyle name="Normal 2 4 19 10 7" xfId="5958" xr:uid="{00000000-0005-0000-0000-000035170000}"/>
    <cellStyle name="Normal 2 4 19 10 7 2" xfId="5959" xr:uid="{00000000-0005-0000-0000-000036170000}"/>
    <cellStyle name="Normal 2 4 19 10 7 3" xfId="5960" xr:uid="{00000000-0005-0000-0000-000037170000}"/>
    <cellStyle name="Normal 2 4 19 10 8" xfId="5961" xr:uid="{00000000-0005-0000-0000-000038170000}"/>
    <cellStyle name="Normal 2 4 19 10 8 2" xfId="5962" xr:uid="{00000000-0005-0000-0000-000039170000}"/>
    <cellStyle name="Normal 2 4 19 10 8 3" xfId="5963" xr:uid="{00000000-0005-0000-0000-00003A170000}"/>
    <cellStyle name="Normal 2 4 19 10 9" xfId="5964" xr:uid="{00000000-0005-0000-0000-00003B170000}"/>
    <cellStyle name="Normal 2 4 19 10 9 2" xfId="5965" xr:uid="{00000000-0005-0000-0000-00003C170000}"/>
    <cellStyle name="Normal 2 4 19 10 9 3" xfId="5966" xr:uid="{00000000-0005-0000-0000-00003D170000}"/>
    <cellStyle name="Normal 2 4 19 11" xfId="5967" xr:uid="{00000000-0005-0000-0000-00003E170000}"/>
    <cellStyle name="Normal 2 4 19 11 2" xfId="5968" xr:uid="{00000000-0005-0000-0000-00003F170000}"/>
    <cellStyle name="Normal 2 4 19 11 3" xfId="5969" xr:uid="{00000000-0005-0000-0000-000040170000}"/>
    <cellStyle name="Normal 2 4 19 12" xfId="5970" xr:uid="{00000000-0005-0000-0000-000041170000}"/>
    <cellStyle name="Normal 2 4 19 12 2" xfId="5971" xr:uid="{00000000-0005-0000-0000-000042170000}"/>
    <cellStyle name="Normal 2 4 19 12 3" xfId="5972" xr:uid="{00000000-0005-0000-0000-000043170000}"/>
    <cellStyle name="Normal 2 4 19 13" xfId="5973" xr:uid="{00000000-0005-0000-0000-000044170000}"/>
    <cellStyle name="Normal 2 4 19 13 2" xfId="5974" xr:uid="{00000000-0005-0000-0000-000045170000}"/>
    <cellStyle name="Normal 2 4 19 13 3" xfId="5975" xr:uid="{00000000-0005-0000-0000-000046170000}"/>
    <cellStyle name="Normal 2 4 19 14" xfId="5976" xr:uid="{00000000-0005-0000-0000-000047170000}"/>
    <cellStyle name="Normal 2 4 19 14 2" xfId="5977" xr:uid="{00000000-0005-0000-0000-000048170000}"/>
    <cellStyle name="Normal 2 4 19 14 3" xfId="5978" xr:uid="{00000000-0005-0000-0000-000049170000}"/>
    <cellStyle name="Normal 2 4 19 15" xfId="5979" xr:uid="{00000000-0005-0000-0000-00004A170000}"/>
    <cellStyle name="Normal 2 4 19 15 2" xfId="5980" xr:uid="{00000000-0005-0000-0000-00004B170000}"/>
    <cellStyle name="Normal 2 4 19 15 3" xfId="5981" xr:uid="{00000000-0005-0000-0000-00004C170000}"/>
    <cellStyle name="Normal 2 4 19 16" xfId="5982" xr:uid="{00000000-0005-0000-0000-00004D170000}"/>
    <cellStyle name="Normal 2 4 19 16 2" xfId="5983" xr:uid="{00000000-0005-0000-0000-00004E170000}"/>
    <cellStyle name="Normal 2 4 19 16 3" xfId="5984" xr:uid="{00000000-0005-0000-0000-00004F170000}"/>
    <cellStyle name="Normal 2 4 19 17" xfId="5985" xr:uid="{00000000-0005-0000-0000-000050170000}"/>
    <cellStyle name="Normal 2 4 19 17 2" xfId="5986" xr:uid="{00000000-0005-0000-0000-000051170000}"/>
    <cellStyle name="Normal 2 4 19 17 3" xfId="5987" xr:uid="{00000000-0005-0000-0000-000052170000}"/>
    <cellStyle name="Normal 2 4 19 18" xfId="5988" xr:uid="{00000000-0005-0000-0000-000053170000}"/>
    <cellStyle name="Normal 2 4 19 18 2" xfId="5989" xr:uid="{00000000-0005-0000-0000-000054170000}"/>
    <cellStyle name="Normal 2 4 19 18 3" xfId="5990" xr:uid="{00000000-0005-0000-0000-000055170000}"/>
    <cellStyle name="Normal 2 4 19 19" xfId="5991" xr:uid="{00000000-0005-0000-0000-000056170000}"/>
    <cellStyle name="Normal 2 4 19 19 2" xfId="5992" xr:uid="{00000000-0005-0000-0000-000057170000}"/>
    <cellStyle name="Normal 2 4 19 19 3" xfId="5993" xr:uid="{00000000-0005-0000-0000-000058170000}"/>
    <cellStyle name="Normal 2 4 19 2" xfId="5994" xr:uid="{00000000-0005-0000-0000-000059170000}"/>
    <cellStyle name="Normal 2 4 19 2 10" xfId="5995" xr:uid="{00000000-0005-0000-0000-00005A170000}"/>
    <cellStyle name="Normal 2 4 19 2 10 2" xfId="5996" xr:uid="{00000000-0005-0000-0000-00005B170000}"/>
    <cellStyle name="Normal 2 4 19 2 10 3" xfId="5997" xr:uid="{00000000-0005-0000-0000-00005C170000}"/>
    <cellStyle name="Normal 2 4 19 2 11" xfId="5998" xr:uid="{00000000-0005-0000-0000-00005D170000}"/>
    <cellStyle name="Normal 2 4 19 2 11 2" xfId="5999" xr:uid="{00000000-0005-0000-0000-00005E170000}"/>
    <cellStyle name="Normal 2 4 19 2 11 3" xfId="6000" xr:uid="{00000000-0005-0000-0000-00005F170000}"/>
    <cellStyle name="Normal 2 4 19 2 12" xfId="6001" xr:uid="{00000000-0005-0000-0000-000060170000}"/>
    <cellStyle name="Normal 2 4 19 2 12 2" xfId="6002" xr:uid="{00000000-0005-0000-0000-000061170000}"/>
    <cellStyle name="Normal 2 4 19 2 12 3" xfId="6003" xr:uid="{00000000-0005-0000-0000-000062170000}"/>
    <cellStyle name="Normal 2 4 19 2 13" xfId="6004" xr:uid="{00000000-0005-0000-0000-000063170000}"/>
    <cellStyle name="Normal 2 4 19 2 13 2" xfId="6005" xr:uid="{00000000-0005-0000-0000-000064170000}"/>
    <cellStyle name="Normal 2 4 19 2 13 3" xfId="6006" xr:uid="{00000000-0005-0000-0000-000065170000}"/>
    <cellStyle name="Normal 2 4 19 2 14" xfId="6007" xr:uid="{00000000-0005-0000-0000-000066170000}"/>
    <cellStyle name="Normal 2 4 19 2 14 2" xfId="6008" xr:uid="{00000000-0005-0000-0000-000067170000}"/>
    <cellStyle name="Normal 2 4 19 2 14 3" xfId="6009" xr:uid="{00000000-0005-0000-0000-000068170000}"/>
    <cellStyle name="Normal 2 4 19 2 15" xfId="6010" xr:uid="{00000000-0005-0000-0000-000069170000}"/>
    <cellStyle name="Normal 2 4 19 2 15 2" xfId="6011" xr:uid="{00000000-0005-0000-0000-00006A170000}"/>
    <cellStyle name="Normal 2 4 19 2 15 3" xfId="6012" xr:uid="{00000000-0005-0000-0000-00006B170000}"/>
    <cellStyle name="Normal 2 4 19 2 16" xfId="6013" xr:uid="{00000000-0005-0000-0000-00006C170000}"/>
    <cellStyle name="Normal 2 4 19 2 17" xfId="6014" xr:uid="{00000000-0005-0000-0000-00006D170000}"/>
    <cellStyle name="Normal 2 4 19 2 2" xfId="6015" xr:uid="{00000000-0005-0000-0000-00006E170000}"/>
    <cellStyle name="Normal 2 4 19 2 2 10" xfId="6016" xr:uid="{00000000-0005-0000-0000-00006F170000}"/>
    <cellStyle name="Normal 2 4 19 2 2 10 2" xfId="6017" xr:uid="{00000000-0005-0000-0000-000070170000}"/>
    <cellStyle name="Normal 2 4 19 2 2 10 3" xfId="6018" xr:uid="{00000000-0005-0000-0000-000071170000}"/>
    <cellStyle name="Normal 2 4 19 2 2 11" xfId="6019" xr:uid="{00000000-0005-0000-0000-000072170000}"/>
    <cellStyle name="Normal 2 4 19 2 2 11 2" xfId="6020" xr:uid="{00000000-0005-0000-0000-000073170000}"/>
    <cellStyle name="Normal 2 4 19 2 2 11 3" xfId="6021" xr:uid="{00000000-0005-0000-0000-000074170000}"/>
    <cellStyle name="Normal 2 4 19 2 2 12" xfId="6022" xr:uid="{00000000-0005-0000-0000-000075170000}"/>
    <cellStyle name="Normal 2 4 19 2 2 12 2" xfId="6023" xr:uid="{00000000-0005-0000-0000-000076170000}"/>
    <cellStyle name="Normal 2 4 19 2 2 12 3" xfId="6024" xr:uid="{00000000-0005-0000-0000-000077170000}"/>
    <cellStyle name="Normal 2 4 19 2 2 13" xfId="6025" xr:uid="{00000000-0005-0000-0000-000078170000}"/>
    <cellStyle name="Normal 2 4 19 2 2 13 2" xfId="6026" xr:uid="{00000000-0005-0000-0000-000079170000}"/>
    <cellStyle name="Normal 2 4 19 2 2 13 3" xfId="6027" xr:uid="{00000000-0005-0000-0000-00007A170000}"/>
    <cellStyle name="Normal 2 4 19 2 2 14" xfId="6028" xr:uid="{00000000-0005-0000-0000-00007B170000}"/>
    <cellStyle name="Normal 2 4 19 2 2 14 2" xfId="6029" xr:uid="{00000000-0005-0000-0000-00007C170000}"/>
    <cellStyle name="Normal 2 4 19 2 2 14 3" xfId="6030" xr:uid="{00000000-0005-0000-0000-00007D170000}"/>
    <cellStyle name="Normal 2 4 19 2 2 15" xfId="6031" xr:uid="{00000000-0005-0000-0000-00007E170000}"/>
    <cellStyle name="Normal 2 4 19 2 2 16" xfId="6032" xr:uid="{00000000-0005-0000-0000-00007F170000}"/>
    <cellStyle name="Normal 2 4 19 2 2 2" xfId="6033" xr:uid="{00000000-0005-0000-0000-000080170000}"/>
    <cellStyle name="Normal 2 4 19 2 2 2 2" xfId="6034" xr:uid="{00000000-0005-0000-0000-000081170000}"/>
    <cellStyle name="Normal 2 4 19 2 2 2 3" xfId="6035" xr:uid="{00000000-0005-0000-0000-000082170000}"/>
    <cellStyle name="Normal 2 4 19 2 2 3" xfId="6036" xr:uid="{00000000-0005-0000-0000-000083170000}"/>
    <cellStyle name="Normal 2 4 19 2 2 3 2" xfId="6037" xr:uid="{00000000-0005-0000-0000-000084170000}"/>
    <cellStyle name="Normal 2 4 19 2 2 3 3" xfId="6038" xr:uid="{00000000-0005-0000-0000-000085170000}"/>
    <cellStyle name="Normal 2 4 19 2 2 4" xfId="6039" xr:uid="{00000000-0005-0000-0000-000086170000}"/>
    <cellStyle name="Normal 2 4 19 2 2 4 2" xfId="6040" xr:uid="{00000000-0005-0000-0000-000087170000}"/>
    <cellStyle name="Normal 2 4 19 2 2 4 3" xfId="6041" xr:uid="{00000000-0005-0000-0000-000088170000}"/>
    <cellStyle name="Normal 2 4 19 2 2 5" xfId="6042" xr:uid="{00000000-0005-0000-0000-000089170000}"/>
    <cellStyle name="Normal 2 4 19 2 2 5 2" xfId="6043" xr:uid="{00000000-0005-0000-0000-00008A170000}"/>
    <cellStyle name="Normal 2 4 19 2 2 5 3" xfId="6044" xr:uid="{00000000-0005-0000-0000-00008B170000}"/>
    <cellStyle name="Normal 2 4 19 2 2 6" xfId="6045" xr:uid="{00000000-0005-0000-0000-00008C170000}"/>
    <cellStyle name="Normal 2 4 19 2 2 6 2" xfId="6046" xr:uid="{00000000-0005-0000-0000-00008D170000}"/>
    <cellStyle name="Normal 2 4 19 2 2 6 3" xfId="6047" xr:uid="{00000000-0005-0000-0000-00008E170000}"/>
    <cellStyle name="Normal 2 4 19 2 2 7" xfId="6048" xr:uid="{00000000-0005-0000-0000-00008F170000}"/>
    <cellStyle name="Normal 2 4 19 2 2 7 2" xfId="6049" xr:uid="{00000000-0005-0000-0000-000090170000}"/>
    <cellStyle name="Normal 2 4 19 2 2 7 3" xfId="6050" xr:uid="{00000000-0005-0000-0000-000091170000}"/>
    <cellStyle name="Normal 2 4 19 2 2 8" xfId="6051" xr:uid="{00000000-0005-0000-0000-000092170000}"/>
    <cellStyle name="Normal 2 4 19 2 2 8 2" xfId="6052" xr:uid="{00000000-0005-0000-0000-000093170000}"/>
    <cellStyle name="Normal 2 4 19 2 2 8 3" xfId="6053" xr:uid="{00000000-0005-0000-0000-000094170000}"/>
    <cellStyle name="Normal 2 4 19 2 2 9" xfId="6054" xr:uid="{00000000-0005-0000-0000-000095170000}"/>
    <cellStyle name="Normal 2 4 19 2 2 9 2" xfId="6055" xr:uid="{00000000-0005-0000-0000-000096170000}"/>
    <cellStyle name="Normal 2 4 19 2 2 9 3" xfId="6056" xr:uid="{00000000-0005-0000-0000-000097170000}"/>
    <cellStyle name="Normal 2 4 19 2 3" xfId="6057" xr:uid="{00000000-0005-0000-0000-000098170000}"/>
    <cellStyle name="Normal 2 4 19 2 3 2" xfId="6058" xr:uid="{00000000-0005-0000-0000-000099170000}"/>
    <cellStyle name="Normal 2 4 19 2 3 3" xfId="6059" xr:uid="{00000000-0005-0000-0000-00009A170000}"/>
    <cellStyle name="Normal 2 4 19 2 4" xfId="6060" xr:uid="{00000000-0005-0000-0000-00009B170000}"/>
    <cellStyle name="Normal 2 4 19 2 4 2" xfId="6061" xr:uid="{00000000-0005-0000-0000-00009C170000}"/>
    <cellStyle name="Normal 2 4 19 2 4 3" xfId="6062" xr:uid="{00000000-0005-0000-0000-00009D170000}"/>
    <cellStyle name="Normal 2 4 19 2 5" xfId="6063" xr:uid="{00000000-0005-0000-0000-00009E170000}"/>
    <cellStyle name="Normal 2 4 19 2 5 2" xfId="6064" xr:uid="{00000000-0005-0000-0000-00009F170000}"/>
    <cellStyle name="Normal 2 4 19 2 5 3" xfId="6065" xr:uid="{00000000-0005-0000-0000-0000A0170000}"/>
    <cellStyle name="Normal 2 4 19 2 6" xfId="6066" xr:uid="{00000000-0005-0000-0000-0000A1170000}"/>
    <cellStyle name="Normal 2 4 19 2 6 2" xfId="6067" xr:uid="{00000000-0005-0000-0000-0000A2170000}"/>
    <cellStyle name="Normal 2 4 19 2 6 3" xfId="6068" xr:uid="{00000000-0005-0000-0000-0000A3170000}"/>
    <cellStyle name="Normal 2 4 19 2 7" xfId="6069" xr:uid="{00000000-0005-0000-0000-0000A4170000}"/>
    <cellStyle name="Normal 2 4 19 2 7 2" xfId="6070" xr:uid="{00000000-0005-0000-0000-0000A5170000}"/>
    <cellStyle name="Normal 2 4 19 2 7 3" xfId="6071" xr:uid="{00000000-0005-0000-0000-0000A6170000}"/>
    <cellStyle name="Normal 2 4 19 2 8" xfId="6072" xr:uid="{00000000-0005-0000-0000-0000A7170000}"/>
    <cellStyle name="Normal 2 4 19 2 8 2" xfId="6073" xr:uid="{00000000-0005-0000-0000-0000A8170000}"/>
    <cellStyle name="Normal 2 4 19 2 8 3" xfId="6074" xr:uid="{00000000-0005-0000-0000-0000A9170000}"/>
    <cellStyle name="Normal 2 4 19 2 9" xfId="6075" xr:uid="{00000000-0005-0000-0000-0000AA170000}"/>
    <cellStyle name="Normal 2 4 19 2 9 2" xfId="6076" xr:uid="{00000000-0005-0000-0000-0000AB170000}"/>
    <cellStyle name="Normal 2 4 19 2 9 3" xfId="6077" xr:uid="{00000000-0005-0000-0000-0000AC170000}"/>
    <cellStyle name="Normal 2 4 19 20" xfId="6078" xr:uid="{00000000-0005-0000-0000-0000AD170000}"/>
    <cellStyle name="Normal 2 4 19 20 2" xfId="6079" xr:uid="{00000000-0005-0000-0000-0000AE170000}"/>
    <cellStyle name="Normal 2 4 19 20 3" xfId="6080" xr:uid="{00000000-0005-0000-0000-0000AF170000}"/>
    <cellStyle name="Normal 2 4 19 21" xfId="6081" xr:uid="{00000000-0005-0000-0000-0000B0170000}"/>
    <cellStyle name="Normal 2 4 19 21 2" xfId="6082" xr:uid="{00000000-0005-0000-0000-0000B1170000}"/>
    <cellStyle name="Normal 2 4 19 21 3" xfId="6083" xr:uid="{00000000-0005-0000-0000-0000B2170000}"/>
    <cellStyle name="Normal 2 4 19 22" xfId="6084" xr:uid="{00000000-0005-0000-0000-0000B3170000}"/>
    <cellStyle name="Normal 2 4 19 22 2" xfId="6085" xr:uid="{00000000-0005-0000-0000-0000B4170000}"/>
    <cellStyle name="Normal 2 4 19 22 3" xfId="6086" xr:uid="{00000000-0005-0000-0000-0000B5170000}"/>
    <cellStyle name="Normal 2 4 19 23" xfId="6087" xr:uid="{00000000-0005-0000-0000-0000B6170000}"/>
    <cellStyle name="Normal 2 4 19 23 2" xfId="6088" xr:uid="{00000000-0005-0000-0000-0000B7170000}"/>
    <cellStyle name="Normal 2 4 19 23 3" xfId="6089" xr:uid="{00000000-0005-0000-0000-0000B8170000}"/>
    <cellStyle name="Normal 2 4 19 24" xfId="6090" xr:uid="{00000000-0005-0000-0000-0000B9170000}"/>
    <cellStyle name="Normal 2 4 19 25" xfId="6091" xr:uid="{00000000-0005-0000-0000-0000BA170000}"/>
    <cellStyle name="Normal 2 4 19 3" xfId="6092" xr:uid="{00000000-0005-0000-0000-0000BB170000}"/>
    <cellStyle name="Normal 2 4 19 3 10" xfId="6093" xr:uid="{00000000-0005-0000-0000-0000BC170000}"/>
    <cellStyle name="Normal 2 4 19 3 10 2" xfId="6094" xr:uid="{00000000-0005-0000-0000-0000BD170000}"/>
    <cellStyle name="Normal 2 4 19 3 10 3" xfId="6095" xr:uid="{00000000-0005-0000-0000-0000BE170000}"/>
    <cellStyle name="Normal 2 4 19 3 11" xfId="6096" xr:uid="{00000000-0005-0000-0000-0000BF170000}"/>
    <cellStyle name="Normal 2 4 19 3 11 2" xfId="6097" xr:uid="{00000000-0005-0000-0000-0000C0170000}"/>
    <cellStyle name="Normal 2 4 19 3 11 3" xfId="6098" xr:uid="{00000000-0005-0000-0000-0000C1170000}"/>
    <cellStyle name="Normal 2 4 19 3 12" xfId="6099" xr:uid="{00000000-0005-0000-0000-0000C2170000}"/>
    <cellStyle name="Normal 2 4 19 3 12 2" xfId="6100" xr:uid="{00000000-0005-0000-0000-0000C3170000}"/>
    <cellStyle name="Normal 2 4 19 3 12 3" xfId="6101" xr:uid="{00000000-0005-0000-0000-0000C4170000}"/>
    <cellStyle name="Normal 2 4 19 3 13" xfId="6102" xr:uid="{00000000-0005-0000-0000-0000C5170000}"/>
    <cellStyle name="Normal 2 4 19 3 13 2" xfId="6103" xr:uid="{00000000-0005-0000-0000-0000C6170000}"/>
    <cellStyle name="Normal 2 4 19 3 13 3" xfId="6104" xr:uid="{00000000-0005-0000-0000-0000C7170000}"/>
    <cellStyle name="Normal 2 4 19 3 14" xfId="6105" xr:uid="{00000000-0005-0000-0000-0000C8170000}"/>
    <cellStyle name="Normal 2 4 19 3 14 2" xfId="6106" xr:uid="{00000000-0005-0000-0000-0000C9170000}"/>
    <cellStyle name="Normal 2 4 19 3 14 3" xfId="6107" xr:uid="{00000000-0005-0000-0000-0000CA170000}"/>
    <cellStyle name="Normal 2 4 19 3 15" xfId="6108" xr:uid="{00000000-0005-0000-0000-0000CB170000}"/>
    <cellStyle name="Normal 2 4 19 3 15 2" xfId="6109" xr:uid="{00000000-0005-0000-0000-0000CC170000}"/>
    <cellStyle name="Normal 2 4 19 3 15 3" xfId="6110" xr:uid="{00000000-0005-0000-0000-0000CD170000}"/>
    <cellStyle name="Normal 2 4 19 3 16" xfId="6111" xr:uid="{00000000-0005-0000-0000-0000CE170000}"/>
    <cellStyle name="Normal 2 4 19 3 17" xfId="6112" xr:uid="{00000000-0005-0000-0000-0000CF170000}"/>
    <cellStyle name="Normal 2 4 19 3 2" xfId="6113" xr:uid="{00000000-0005-0000-0000-0000D0170000}"/>
    <cellStyle name="Normal 2 4 19 3 2 10" xfId="6114" xr:uid="{00000000-0005-0000-0000-0000D1170000}"/>
    <cellStyle name="Normal 2 4 19 3 2 10 2" xfId="6115" xr:uid="{00000000-0005-0000-0000-0000D2170000}"/>
    <cellStyle name="Normal 2 4 19 3 2 10 3" xfId="6116" xr:uid="{00000000-0005-0000-0000-0000D3170000}"/>
    <cellStyle name="Normal 2 4 19 3 2 11" xfId="6117" xr:uid="{00000000-0005-0000-0000-0000D4170000}"/>
    <cellStyle name="Normal 2 4 19 3 2 11 2" xfId="6118" xr:uid="{00000000-0005-0000-0000-0000D5170000}"/>
    <cellStyle name="Normal 2 4 19 3 2 11 3" xfId="6119" xr:uid="{00000000-0005-0000-0000-0000D6170000}"/>
    <cellStyle name="Normal 2 4 19 3 2 12" xfId="6120" xr:uid="{00000000-0005-0000-0000-0000D7170000}"/>
    <cellStyle name="Normal 2 4 19 3 2 12 2" xfId="6121" xr:uid="{00000000-0005-0000-0000-0000D8170000}"/>
    <cellStyle name="Normal 2 4 19 3 2 12 3" xfId="6122" xr:uid="{00000000-0005-0000-0000-0000D9170000}"/>
    <cellStyle name="Normal 2 4 19 3 2 13" xfId="6123" xr:uid="{00000000-0005-0000-0000-0000DA170000}"/>
    <cellStyle name="Normal 2 4 19 3 2 13 2" xfId="6124" xr:uid="{00000000-0005-0000-0000-0000DB170000}"/>
    <cellStyle name="Normal 2 4 19 3 2 13 3" xfId="6125" xr:uid="{00000000-0005-0000-0000-0000DC170000}"/>
    <cellStyle name="Normal 2 4 19 3 2 14" xfId="6126" xr:uid="{00000000-0005-0000-0000-0000DD170000}"/>
    <cellStyle name="Normal 2 4 19 3 2 14 2" xfId="6127" xr:uid="{00000000-0005-0000-0000-0000DE170000}"/>
    <cellStyle name="Normal 2 4 19 3 2 14 3" xfId="6128" xr:uid="{00000000-0005-0000-0000-0000DF170000}"/>
    <cellStyle name="Normal 2 4 19 3 2 15" xfId="6129" xr:uid="{00000000-0005-0000-0000-0000E0170000}"/>
    <cellStyle name="Normal 2 4 19 3 2 16" xfId="6130" xr:uid="{00000000-0005-0000-0000-0000E1170000}"/>
    <cellStyle name="Normal 2 4 19 3 2 2" xfId="6131" xr:uid="{00000000-0005-0000-0000-0000E2170000}"/>
    <cellStyle name="Normal 2 4 19 3 2 2 2" xfId="6132" xr:uid="{00000000-0005-0000-0000-0000E3170000}"/>
    <cellStyle name="Normal 2 4 19 3 2 2 3" xfId="6133" xr:uid="{00000000-0005-0000-0000-0000E4170000}"/>
    <cellStyle name="Normal 2 4 19 3 2 3" xfId="6134" xr:uid="{00000000-0005-0000-0000-0000E5170000}"/>
    <cellStyle name="Normal 2 4 19 3 2 3 2" xfId="6135" xr:uid="{00000000-0005-0000-0000-0000E6170000}"/>
    <cellStyle name="Normal 2 4 19 3 2 3 3" xfId="6136" xr:uid="{00000000-0005-0000-0000-0000E7170000}"/>
    <cellStyle name="Normal 2 4 19 3 2 4" xfId="6137" xr:uid="{00000000-0005-0000-0000-0000E8170000}"/>
    <cellStyle name="Normal 2 4 19 3 2 4 2" xfId="6138" xr:uid="{00000000-0005-0000-0000-0000E9170000}"/>
    <cellStyle name="Normal 2 4 19 3 2 4 3" xfId="6139" xr:uid="{00000000-0005-0000-0000-0000EA170000}"/>
    <cellStyle name="Normal 2 4 19 3 2 5" xfId="6140" xr:uid="{00000000-0005-0000-0000-0000EB170000}"/>
    <cellStyle name="Normal 2 4 19 3 2 5 2" xfId="6141" xr:uid="{00000000-0005-0000-0000-0000EC170000}"/>
    <cellStyle name="Normal 2 4 19 3 2 5 3" xfId="6142" xr:uid="{00000000-0005-0000-0000-0000ED170000}"/>
    <cellStyle name="Normal 2 4 19 3 2 6" xfId="6143" xr:uid="{00000000-0005-0000-0000-0000EE170000}"/>
    <cellStyle name="Normal 2 4 19 3 2 6 2" xfId="6144" xr:uid="{00000000-0005-0000-0000-0000EF170000}"/>
    <cellStyle name="Normal 2 4 19 3 2 6 3" xfId="6145" xr:uid="{00000000-0005-0000-0000-0000F0170000}"/>
    <cellStyle name="Normal 2 4 19 3 2 7" xfId="6146" xr:uid="{00000000-0005-0000-0000-0000F1170000}"/>
    <cellStyle name="Normal 2 4 19 3 2 7 2" xfId="6147" xr:uid="{00000000-0005-0000-0000-0000F2170000}"/>
    <cellStyle name="Normal 2 4 19 3 2 7 3" xfId="6148" xr:uid="{00000000-0005-0000-0000-0000F3170000}"/>
    <cellStyle name="Normal 2 4 19 3 2 8" xfId="6149" xr:uid="{00000000-0005-0000-0000-0000F4170000}"/>
    <cellStyle name="Normal 2 4 19 3 2 8 2" xfId="6150" xr:uid="{00000000-0005-0000-0000-0000F5170000}"/>
    <cellStyle name="Normal 2 4 19 3 2 8 3" xfId="6151" xr:uid="{00000000-0005-0000-0000-0000F6170000}"/>
    <cellStyle name="Normal 2 4 19 3 2 9" xfId="6152" xr:uid="{00000000-0005-0000-0000-0000F7170000}"/>
    <cellStyle name="Normal 2 4 19 3 2 9 2" xfId="6153" xr:uid="{00000000-0005-0000-0000-0000F8170000}"/>
    <cellStyle name="Normal 2 4 19 3 2 9 3" xfId="6154" xr:uid="{00000000-0005-0000-0000-0000F9170000}"/>
    <cellStyle name="Normal 2 4 19 3 3" xfId="6155" xr:uid="{00000000-0005-0000-0000-0000FA170000}"/>
    <cellStyle name="Normal 2 4 19 3 3 2" xfId="6156" xr:uid="{00000000-0005-0000-0000-0000FB170000}"/>
    <cellStyle name="Normal 2 4 19 3 3 3" xfId="6157" xr:uid="{00000000-0005-0000-0000-0000FC170000}"/>
    <cellStyle name="Normal 2 4 19 3 4" xfId="6158" xr:uid="{00000000-0005-0000-0000-0000FD170000}"/>
    <cellStyle name="Normal 2 4 19 3 4 2" xfId="6159" xr:uid="{00000000-0005-0000-0000-0000FE170000}"/>
    <cellStyle name="Normal 2 4 19 3 4 3" xfId="6160" xr:uid="{00000000-0005-0000-0000-0000FF170000}"/>
    <cellStyle name="Normal 2 4 19 3 5" xfId="6161" xr:uid="{00000000-0005-0000-0000-000000180000}"/>
    <cellStyle name="Normal 2 4 19 3 5 2" xfId="6162" xr:uid="{00000000-0005-0000-0000-000001180000}"/>
    <cellStyle name="Normal 2 4 19 3 5 3" xfId="6163" xr:uid="{00000000-0005-0000-0000-000002180000}"/>
    <cellStyle name="Normal 2 4 19 3 6" xfId="6164" xr:uid="{00000000-0005-0000-0000-000003180000}"/>
    <cellStyle name="Normal 2 4 19 3 6 2" xfId="6165" xr:uid="{00000000-0005-0000-0000-000004180000}"/>
    <cellStyle name="Normal 2 4 19 3 6 3" xfId="6166" xr:uid="{00000000-0005-0000-0000-000005180000}"/>
    <cellStyle name="Normal 2 4 19 3 7" xfId="6167" xr:uid="{00000000-0005-0000-0000-000006180000}"/>
    <cellStyle name="Normal 2 4 19 3 7 2" xfId="6168" xr:uid="{00000000-0005-0000-0000-000007180000}"/>
    <cellStyle name="Normal 2 4 19 3 7 3" xfId="6169" xr:uid="{00000000-0005-0000-0000-000008180000}"/>
    <cellStyle name="Normal 2 4 19 3 8" xfId="6170" xr:uid="{00000000-0005-0000-0000-000009180000}"/>
    <cellStyle name="Normal 2 4 19 3 8 2" xfId="6171" xr:uid="{00000000-0005-0000-0000-00000A180000}"/>
    <cellStyle name="Normal 2 4 19 3 8 3" xfId="6172" xr:uid="{00000000-0005-0000-0000-00000B180000}"/>
    <cellStyle name="Normal 2 4 19 3 9" xfId="6173" xr:uid="{00000000-0005-0000-0000-00000C180000}"/>
    <cellStyle name="Normal 2 4 19 3 9 2" xfId="6174" xr:uid="{00000000-0005-0000-0000-00000D180000}"/>
    <cellStyle name="Normal 2 4 19 3 9 3" xfId="6175" xr:uid="{00000000-0005-0000-0000-00000E180000}"/>
    <cellStyle name="Normal 2 4 19 4" xfId="6176" xr:uid="{00000000-0005-0000-0000-00000F180000}"/>
    <cellStyle name="Normal 2 4 19 4 10" xfId="6177" xr:uid="{00000000-0005-0000-0000-000010180000}"/>
    <cellStyle name="Normal 2 4 19 4 10 2" xfId="6178" xr:uid="{00000000-0005-0000-0000-000011180000}"/>
    <cellStyle name="Normal 2 4 19 4 10 3" xfId="6179" xr:uid="{00000000-0005-0000-0000-000012180000}"/>
    <cellStyle name="Normal 2 4 19 4 11" xfId="6180" xr:uid="{00000000-0005-0000-0000-000013180000}"/>
    <cellStyle name="Normal 2 4 19 4 11 2" xfId="6181" xr:uid="{00000000-0005-0000-0000-000014180000}"/>
    <cellStyle name="Normal 2 4 19 4 11 3" xfId="6182" xr:uid="{00000000-0005-0000-0000-000015180000}"/>
    <cellStyle name="Normal 2 4 19 4 12" xfId="6183" xr:uid="{00000000-0005-0000-0000-000016180000}"/>
    <cellStyle name="Normal 2 4 19 4 12 2" xfId="6184" xr:uid="{00000000-0005-0000-0000-000017180000}"/>
    <cellStyle name="Normal 2 4 19 4 12 3" xfId="6185" xr:uid="{00000000-0005-0000-0000-000018180000}"/>
    <cellStyle name="Normal 2 4 19 4 13" xfId="6186" xr:uid="{00000000-0005-0000-0000-000019180000}"/>
    <cellStyle name="Normal 2 4 19 4 13 2" xfId="6187" xr:uid="{00000000-0005-0000-0000-00001A180000}"/>
    <cellStyle name="Normal 2 4 19 4 13 3" xfId="6188" xr:uid="{00000000-0005-0000-0000-00001B180000}"/>
    <cellStyle name="Normal 2 4 19 4 14" xfId="6189" xr:uid="{00000000-0005-0000-0000-00001C180000}"/>
    <cellStyle name="Normal 2 4 19 4 14 2" xfId="6190" xr:uid="{00000000-0005-0000-0000-00001D180000}"/>
    <cellStyle name="Normal 2 4 19 4 14 3" xfId="6191" xr:uid="{00000000-0005-0000-0000-00001E180000}"/>
    <cellStyle name="Normal 2 4 19 4 15" xfId="6192" xr:uid="{00000000-0005-0000-0000-00001F180000}"/>
    <cellStyle name="Normal 2 4 19 4 15 2" xfId="6193" xr:uid="{00000000-0005-0000-0000-000020180000}"/>
    <cellStyle name="Normal 2 4 19 4 15 3" xfId="6194" xr:uid="{00000000-0005-0000-0000-000021180000}"/>
    <cellStyle name="Normal 2 4 19 4 16" xfId="6195" xr:uid="{00000000-0005-0000-0000-000022180000}"/>
    <cellStyle name="Normal 2 4 19 4 17" xfId="6196" xr:uid="{00000000-0005-0000-0000-000023180000}"/>
    <cellStyle name="Normal 2 4 19 4 2" xfId="6197" xr:uid="{00000000-0005-0000-0000-000024180000}"/>
    <cellStyle name="Normal 2 4 19 4 2 10" xfId="6198" xr:uid="{00000000-0005-0000-0000-000025180000}"/>
    <cellStyle name="Normal 2 4 19 4 2 10 2" xfId="6199" xr:uid="{00000000-0005-0000-0000-000026180000}"/>
    <cellStyle name="Normal 2 4 19 4 2 10 3" xfId="6200" xr:uid="{00000000-0005-0000-0000-000027180000}"/>
    <cellStyle name="Normal 2 4 19 4 2 11" xfId="6201" xr:uid="{00000000-0005-0000-0000-000028180000}"/>
    <cellStyle name="Normal 2 4 19 4 2 11 2" xfId="6202" xr:uid="{00000000-0005-0000-0000-000029180000}"/>
    <cellStyle name="Normal 2 4 19 4 2 11 3" xfId="6203" xr:uid="{00000000-0005-0000-0000-00002A180000}"/>
    <cellStyle name="Normal 2 4 19 4 2 12" xfId="6204" xr:uid="{00000000-0005-0000-0000-00002B180000}"/>
    <cellStyle name="Normal 2 4 19 4 2 12 2" xfId="6205" xr:uid="{00000000-0005-0000-0000-00002C180000}"/>
    <cellStyle name="Normal 2 4 19 4 2 12 3" xfId="6206" xr:uid="{00000000-0005-0000-0000-00002D180000}"/>
    <cellStyle name="Normal 2 4 19 4 2 13" xfId="6207" xr:uid="{00000000-0005-0000-0000-00002E180000}"/>
    <cellStyle name="Normal 2 4 19 4 2 13 2" xfId="6208" xr:uid="{00000000-0005-0000-0000-00002F180000}"/>
    <cellStyle name="Normal 2 4 19 4 2 13 3" xfId="6209" xr:uid="{00000000-0005-0000-0000-000030180000}"/>
    <cellStyle name="Normal 2 4 19 4 2 14" xfId="6210" xr:uid="{00000000-0005-0000-0000-000031180000}"/>
    <cellStyle name="Normal 2 4 19 4 2 14 2" xfId="6211" xr:uid="{00000000-0005-0000-0000-000032180000}"/>
    <cellStyle name="Normal 2 4 19 4 2 14 3" xfId="6212" xr:uid="{00000000-0005-0000-0000-000033180000}"/>
    <cellStyle name="Normal 2 4 19 4 2 15" xfId="6213" xr:uid="{00000000-0005-0000-0000-000034180000}"/>
    <cellStyle name="Normal 2 4 19 4 2 16" xfId="6214" xr:uid="{00000000-0005-0000-0000-000035180000}"/>
    <cellStyle name="Normal 2 4 19 4 2 2" xfId="6215" xr:uid="{00000000-0005-0000-0000-000036180000}"/>
    <cellStyle name="Normal 2 4 19 4 2 2 2" xfId="6216" xr:uid="{00000000-0005-0000-0000-000037180000}"/>
    <cellStyle name="Normal 2 4 19 4 2 2 3" xfId="6217" xr:uid="{00000000-0005-0000-0000-000038180000}"/>
    <cellStyle name="Normal 2 4 19 4 2 3" xfId="6218" xr:uid="{00000000-0005-0000-0000-000039180000}"/>
    <cellStyle name="Normal 2 4 19 4 2 3 2" xfId="6219" xr:uid="{00000000-0005-0000-0000-00003A180000}"/>
    <cellStyle name="Normal 2 4 19 4 2 3 3" xfId="6220" xr:uid="{00000000-0005-0000-0000-00003B180000}"/>
    <cellStyle name="Normal 2 4 19 4 2 4" xfId="6221" xr:uid="{00000000-0005-0000-0000-00003C180000}"/>
    <cellStyle name="Normal 2 4 19 4 2 4 2" xfId="6222" xr:uid="{00000000-0005-0000-0000-00003D180000}"/>
    <cellStyle name="Normal 2 4 19 4 2 4 3" xfId="6223" xr:uid="{00000000-0005-0000-0000-00003E180000}"/>
    <cellStyle name="Normal 2 4 19 4 2 5" xfId="6224" xr:uid="{00000000-0005-0000-0000-00003F180000}"/>
    <cellStyle name="Normal 2 4 19 4 2 5 2" xfId="6225" xr:uid="{00000000-0005-0000-0000-000040180000}"/>
    <cellStyle name="Normal 2 4 19 4 2 5 3" xfId="6226" xr:uid="{00000000-0005-0000-0000-000041180000}"/>
    <cellStyle name="Normal 2 4 19 4 2 6" xfId="6227" xr:uid="{00000000-0005-0000-0000-000042180000}"/>
    <cellStyle name="Normal 2 4 19 4 2 6 2" xfId="6228" xr:uid="{00000000-0005-0000-0000-000043180000}"/>
    <cellStyle name="Normal 2 4 19 4 2 6 3" xfId="6229" xr:uid="{00000000-0005-0000-0000-000044180000}"/>
    <cellStyle name="Normal 2 4 19 4 2 7" xfId="6230" xr:uid="{00000000-0005-0000-0000-000045180000}"/>
    <cellStyle name="Normal 2 4 19 4 2 7 2" xfId="6231" xr:uid="{00000000-0005-0000-0000-000046180000}"/>
    <cellStyle name="Normal 2 4 19 4 2 7 3" xfId="6232" xr:uid="{00000000-0005-0000-0000-000047180000}"/>
    <cellStyle name="Normal 2 4 19 4 2 8" xfId="6233" xr:uid="{00000000-0005-0000-0000-000048180000}"/>
    <cellStyle name="Normal 2 4 19 4 2 8 2" xfId="6234" xr:uid="{00000000-0005-0000-0000-000049180000}"/>
    <cellStyle name="Normal 2 4 19 4 2 8 3" xfId="6235" xr:uid="{00000000-0005-0000-0000-00004A180000}"/>
    <cellStyle name="Normal 2 4 19 4 2 9" xfId="6236" xr:uid="{00000000-0005-0000-0000-00004B180000}"/>
    <cellStyle name="Normal 2 4 19 4 2 9 2" xfId="6237" xr:uid="{00000000-0005-0000-0000-00004C180000}"/>
    <cellStyle name="Normal 2 4 19 4 2 9 3" xfId="6238" xr:uid="{00000000-0005-0000-0000-00004D180000}"/>
    <cellStyle name="Normal 2 4 19 4 3" xfId="6239" xr:uid="{00000000-0005-0000-0000-00004E180000}"/>
    <cellStyle name="Normal 2 4 19 4 3 2" xfId="6240" xr:uid="{00000000-0005-0000-0000-00004F180000}"/>
    <cellStyle name="Normal 2 4 19 4 3 3" xfId="6241" xr:uid="{00000000-0005-0000-0000-000050180000}"/>
    <cellStyle name="Normal 2 4 19 4 4" xfId="6242" xr:uid="{00000000-0005-0000-0000-000051180000}"/>
    <cellStyle name="Normal 2 4 19 4 4 2" xfId="6243" xr:uid="{00000000-0005-0000-0000-000052180000}"/>
    <cellStyle name="Normal 2 4 19 4 4 3" xfId="6244" xr:uid="{00000000-0005-0000-0000-000053180000}"/>
    <cellStyle name="Normal 2 4 19 4 5" xfId="6245" xr:uid="{00000000-0005-0000-0000-000054180000}"/>
    <cellStyle name="Normal 2 4 19 4 5 2" xfId="6246" xr:uid="{00000000-0005-0000-0000-000055180000}"/>
    <cellStyle name="Normal 2 4 19 4 5 3" xfId="6247" xr:uid="{00000000-0005-0000-0000-000056180000}"/>
    <cellStyle name="Normal 2 4 19 4 6" xfId="6248" xr:uid="{00000000-0005-0000-0000-000057180000}"/>
    <cellStyle name="Normal 2 4 19 4 6 2" xfId="6249" xr:uid="{00000000-0005-0000-0000-000058180000}"/>
    <cellStyle name="Normal 2 4 19 4 6 3" xfId="6250" xr:uid="{00000000-0005-0000-0000-000059180000}"/>
    <cellStyle name="Normal 2 4 19 4 7" xfId="6251" xr:uid="{00000000-0005-0000-0000-00005A180000}"/>
    <cellStyle name="Normal 2 4 19 4 7 2" xfId="6252" xr:uid="{00000000-0005-0000-0000-00005B180000}"/>
    <cellStyle name="Normal 2 4 19 4 7 3" xfId="6253" xr:uid="{00000000-0005-0000-0000-00005C180000}"/>
    <cellStyle name="Normal 2 4 19 4 8" xfId="6254" xr:uid="{00000000-0005-0000-0000-00005D180000}"/>
    <cellStyle name="Normal 2 4 19 4 8 2" xfId="6255" xr:uid="{00000000-0005-0000-0000-00005E180000}"/>
    <cellStyle name="Normal 2 4 19 4 8 3" xfId="6256" xr:uid="{00000000-0005-0000-0000-00005F180000}"/>
    <cellStyle name="Normal 2 4 19 4 9" xfId="6257" xr:uid="{00000000-0005-0000-0000-000060180000}"/>
    <cellStyle name="Normal 2 4 19 4 9 2" xfId="6258" xr:uid="{00000000-0005-0000-0000-000061180000}"/>
    <cellStyle name="Normal 2 4 19 4 9 3" xfId="6259" xr:uid="{00000000-0005-0000-0000-000062180000}"/>
    <cellStyle name="Normal 2 4 19 5" xfId="6260" xr:uid="{00000000-0005-0000-0000-000063180000}"/>
    <cellStyle name="Normal 2 4 19 5 10" xfId="6261" xr:uid="{00000000-0005-0000-0000-000064180000}"/>
    <cellStyle name="Normal 2 4 19 5 10 2" xfId="6262" xr:uid="{00000000-0005-0000-0000-000065180000}"/>
    <cellStyle name="Normal 2 4 19 5 10 3" xfId="6263" xr:uid="{00000000-0005-0000-0000-000066180000}"/>
    <cellStyle name="Normal 2 4 19 5 11" xfId="6264" xr:uid="{00000000-0005-0000-0000-000067180000}"/>
    <cellStyle name="Normal 2 4 19 5 11 2" xfId="6265" xr:uid="{00000000-0005-0000-0000-000068180000}"/>
    <cellStyle name="Normal 2 4 19 5 11 3" xfId="6266" xr:uid="{00000000-0005-0000-0000-000069180000}"/>
    <cellStyle name="Normal 2 4 19 5 12" xfId="6267" xr:uid="{00000000-0005-0000-0000-00006A180000}"/>
    <cellStyle name="Normal 2 4 19 5 12 2" xfId="6268" xr:uid="{00000000-0005-0000-0000-00006B180000}"/>
    <cellStyle name="Normal 2 4 19 5 12 3" xfId="6269" xr:uid="{00000000-0005-0000-0000-00006C180000}"/>
    <cellStyle name="Normal 2 4 19 5 13" xfId="6270" xr:uid="{00000000-0005-0000-0000-00006D180000}"/>
    <cellStyle name="Normal 2 4 19 5 13 2" xfId="6271" xr:uid="{00000000-0005-0000-0000-00006E180000}"/>
    <cellStyle name="Normal 2 4 19 5 13 3" xfId="6272" xr:uid="{00000000-0005-0000-0000-00006F180000}"/>
    <cellStyle name="Normal 2 4 19 5 14" xfId="6273" xr:uid="{00000000-0005-0000-0000-000070180000}"/>
    <cellStyle name="Normal 2 4 19 5 14 2" xfId="6274" xr:uid="{00000000-0005-0000-0000-000071180000}"/>
    <cellStyle name="Normal 2 4 19 5 14 3" xfId="6275" xr:uid="{00000000-0005-0000-0000-000072180000}"/>
    <cellStyle name="Normal 2 4 19 5 15" xfId="6276" xr:uid="{00000000-0005-0000-0000-000073180000}"/>
    <cellStyle name="Normal 2 4 19 5 16" xfId="6277" xr:uid="{00000000-0005-0000-0000-000074180000}"/>
    <cellStyle name="Normal 2 4 19 5 2" xfId="6278" xr:uid="{00000000-0005-0000-0000-000075180000}"/>
    <cellStyle name="Normal 2 4 19 5 2 2" xfId="6279" xr:uid="{00000000-0005-0000-0000-000076180000}"/>
    <cellStyle name="Normal 2 4 19 5 2 3" xfId="6280" xr:uid="{00000000-0005-0000-0000-000077180000}"/>
    <cellStyle name="Normal 2 4 19 5 3" xfId="6281" xr:uid="{00000000-0005-0000-0000-000078180000}"/>
    <cellStyle name="Normal 2 4 19 5 3 2" xfId="6282" xr:uid="{00000000-0005-0000-0000-000079180000}"/>
    <cellStyle name="Normal 2 4 19 5 3 3" xfId="6283" xr:uid="{00000000-0005-0000-0000-00007A180000}"/>
    <cellStyle name="Normal 2 4 19 5 4" xfId="6284" xr:uid="{00000000-0005-0000-0000-00007B180000}"/>
    <cellStyle name="Normal 2 4 19 5 4 2" xfId="6285" xr:uid="{00000000-0005-0000-0000-00007C180000}"/>
    <cellStyle name="Normal 2 4 19 5 4 3" xfId="6286" xr:uid="{00000000-0005-0000-0000-00007D180000}"/>
    <cellStyle name="Normal 2 4 19 5 5" xfId="6287" xr:uid="{00000000-0005-0000-0000-00007E180000}"/>
    <cellStyle name="Normal 2 4 19 5 5 2" xfId="6288" xr:uid="{00000000-0005-0000-0000-00007F180000}"/>
    <cellStyle name="Normal 2 4 19 5 5 3" xfId="6289" xr:uid="{00000000-0005-0000-0000-000080180000}"/>
    <cellStyle name="Normal 2 4 19 5 6" xfId="6290" xr:uid="{00000000-0005-0000-0000-000081180000}"/>
    <cellStyle name="Normal 2 4 19 5 6 2" xfId="6291" xr:uid="{00000000-0005-0000-0000-000082180000}"/>
    <cellStyle name="Normal 2 4 19 5 6 3" xfId="6292" xr:uid="{00000000-0005-0000-0000-000083180000}"/>
    <cellStyle name="Normal 2 4 19 5 7" xfId="6293" xr:uid="{00000000-0005-0000-0000-000084180000}"/>
    <cellStyle name="Normal 2 4 19 5 7 2" xfId="6294" xr:uid="{00000000-0005-0000-0000-000085180000}"/>
    <cellStyle name="Normal 2 4 19 5 7 3" xfId="6295" xr:uid="{00000000-0005-0000-0000-000086180000}"/>
    <cellStyle name="Normal 2 4 19 5 8" xfId="6296" xr:uid="{00000000-0005-0000-0000-000087180000}"/>
    <cellStyle name="Normal 2 4 19 5 8 2" xfId="6297" xr:uid="{00000000-0005-0000-0000-000088180000}"/>
    <cellStyle name="Normal 2 4 19 5 8 3" xfId="6298" xr:uid="{00000000-0005-0000-0000-000089180000}"/>
    <cellStyle name="Normal 2 4 19 5 9" xfId="6299" xr:uid="{00000000-0005-0000-0000-00008A180000}"/>
    <cellStyle name="Normal 2 4 19 5 9 2" xfId="6300" xr:uid="{00000000-0005-0000-0000-00008B180000}"/>
    <cellStyle name="Normal 2 4 19 5 9 3" xfId="6301" xr:uid="{00000000-0005-0000-0000-00008C180000}"/>
    <cellStyle name="Normal 2 4 19 6" xfId="6302" xr:uid="{00000000-0005-0000-0000-00008D180000}"/>
    <cellStyle name="Normal 2 4 19 6 10" xfId="6303" xr:uid="{00000000-0005-0000-0000-00008E180000}"/>
    <cellStyle name="Normal 2 4 19 6 10 2" xfId="6304" xr:uid="{00000000-0005-0000-0000-00008F180000}"/>
    <cellStyle name="Normal 2 4 19 6 10 3" xfId="6305" xr:uid="{00000000-0005-0000-0000-000090180000}"/>
    <cellStyle name="Normal 2 4 19 6 11" xfId="6306" xr:uid="{00000000-0005-0000-0000-000091180000}"/>
    <cellStyle name="Normal 2 4 19 6 11 2" xfId="6307" xr:uid="{00000000-0005-0000-0000-000092180000}"/>
    <cellStyle name="Normal 2 4 19 6 11 3" xfId="6308" xr:uid="{00000000-0005-0000-0000-000093180000}"/>
    <cellStyle name="Normal 2 4 19 6 12" xfId="6309" xr:uid="{00000000-0005-0000-0000-000094180000}"/>
    <cellStyle name="Normal 2 4 19 6 12 2" xfId="6310" xr:uid="{00000000-0005-0000-0000-000095180000}"/>
    <cellStyle name="Normal 2 4 19 6 12 3" xfId="6311" xr:uid="{00000000-0005-0000-0000-000096180000}"/>
    <cellStyle name="Normal 2 4 19 6 13" xfId="6312" xr:uid="{00000000-0005-0000-0000-000097180000}"/>
    <cellStyle name="Normal 2 4 19 6 13 2" xfId="6313" xr:uid="{00000000-0005-0000-0000-000098180000}"/>
    <cellStyle name="Normal 2 4 19 6 13 3" xfId="6314" xr:uid="{00000000-0005-0000-0000-000099180000}"/>
    <cellStyle name="Normal 2 4 19 6 14" xfId="6315" xr:uid="{00000000-0005-0000-0000-00009A180000}"/>
    <cellStyle name="Normal 2 4 19 6 14 2" xfId="6316" xr:uid="{00000000-0005-0000-0000-00009B180000}"/>
    <cellStyle name="Normal 2 4 19 6 14 3" xfId="6317" xr:uid="{00000000-0005-0000-0000-00009C180000}"/>
    <cellStyle name="Normal 2 4 19 6 15" xfId="6318" xr:uid="{00000000-0005-0000-0000-00009D180000}"/>
    <cellStyle name="Normal 2 4 19 6 16" xfId="6319" xr:uid="{00000000-0005-0000-0000-00009E180000}"/>
    <cellStyle name="Normal 2 4 19 6 2" xfId="6320" xr:uid="{00000000-0005-0000-0000-00009F180000}"/>
    <cellStyle name="Normal 2 4 19 6 2 2" xfId="6321" xr:uid="{00000000-0005-0000-0000-0000A0180000}"/>
    <cellStyle name="Normal 2 4 19 6 2 3" xfId="6322" xr:uid="{00000000-0005-0000-0000-0000A1180000}"/>
    <cellStyle name="Normal 2 4 19 6 3" xfId="6323" xr:uid="{00000000-0005-0000-0000-0000A2180000}"/>
    <cellStyle name="Normal 2 4 19 6 3 2" xfId="6324" xr:uid="{00000000-0005-0000-0000-0000A3180000}"/>
    <cellStyle name="Normal 2 4 19 6 3 3" xfId="6325" xr:uid="{00000000-0005-0000-0000-0000A4180000}"/>
    <cellStyle name="Normal 2 4 19 6 4" xfId="6326" xr:uid="{00000000-0005-0000-0000-0000A5180000}"/>
    <cellStyle name="Normal 2 4 19 6 4 2" xfId="6327" xr:uid="{00000000-0005-0000-0000-0000A6180000}"/>
    <cellStyle name="Normal 2 4 19 6 4 3" xfId="6328" xr:uid="{00000000-0005-0000-0000-0000A7180000}"/>
    <cellStyle name="Normal 2 4 19 6 5" xfId="6329" xr:uid="{00000000-0005-0000-0000-0000A8180000}"/>
    <cellStyle name="Normal 2 4 19 6 5 2" xfId="6330" xr:uid="{00000000-0005-0000-0000-0000A9180000}"/>
    <cellStyle name="Normal 2 4 19 6 5 3" xfId="6331" xr:uid="{00000000-0005-0000-0000-0000AA180000}"/>
    <cellStyle name="Normal 2 4 19 6 6" xfId="6332" xr:uid="{00000000-0005-0000-0000-0000AB180000}"/>
    <cellStyle name="Normal 2 4 19 6 6 2" xfId="6333" xr:uid="{00000000-0005-0000-0000-0000AC180000}"/>
    <cellStyle name="Normal 2 4 19 6 6 3" xfId="6334" xr:uid="{00000000-0005-0000-0000-0000AD180000}"/>
    <cellStyle name="Normal 2 4 19 6 7" xfId="6335" xr:uid="{00000000-0005-0000-0000-0000AE180000}"/>
    <cellStyle name="Normal 2 4 19 6 7 2" xfId="6336" xr:uid="{00000000-0005-0000-0000-0000AF180000}"/>
    <cellStyle name="Normal 2 4 19 6 7 3" xfId="6337" xr:uid="{00000000-0005-0000-0000-0000B0180000}"/>
    <cellStyle name="Normal 2 4 19 6 8" xfId="6338" xr:uid="{00000000-0005-0000-0000-0000B1180000}"/>
    <cellStyle name="Normal 2 4 19 6 8 2" xfId="6339" xr:uid="{00000000-0005-0000-0000-0000B2180000}"/>
    <cellStyle name="Normal 2 4 19 6 8 3" xfId="6340" xr:uid="{00000000-0005-0000-0000-0000B3180000}"/>
    <cellStyle name="Normal 2 4 19 6 9" xfId="6341" xr:uid="{00000000-0005-0000-0000-0000B4180000}"/>
    <cellStyle name="Normal 2 4 19 6 9 2" xfId="6342" xr:uid="{00000000-0005-0000-0000-0000B5180000}"/>
    <cellStyle name="Normal 2 4 19 6 9 3" xfId="6343" xr:uid="{00000000-0005-0000-0000-0000B6180000}"/>
    <cellStyle name="Normal 2 4 19 7" xfId="6344" xr:uid="{00000000-0005-0000-0000-0000B7180000}"/>
    <cellStyle name="Normal 2 4 19 7 10" xfId="6345" xr:uid="{00000000-0005-0000-0000-0000B8180000}"/>
    <cellStyle name="Normal 2 4 19 7 10 2" xfId="6346" xr:uid="{00000000-0005-0000-0000-0000B9180000}"/>
    <cellStyle name="Normal 2 4 19 7 10 3" xfId="6347" xr:uid="{00000000-0005-0000-0000-0000BA180000}"/>
    <cellStyle name="Normal 2 4 19 7 11" xfId="6348" xr:uid="{00000000-0005-0000-0000-0000BB180000}"/>
    <cellStyle name="Normal 2 4 19 7 11 2" xfId="6349" xr:uid="{00000000-0005-0000-0000-0000BC180000}"/>
    <cellStyle name="Normal 2 4 19 7 11 3" xfId="6350" xr:uid="{00000000-0005-0000-0000-0000BD180000}"/>
    <cellStyle name="Normal 2 4 19 7 12" xfId="6351" xr:uid="{00000000-0005-0000-0000-0000BE180000}"/>
    <cellStyle name="Normal 2 4 19 7 12 2" xfId="6352" xr:uid="{00000000-0005-0000-0000-0000BF180000}"/>
    <cellStyle name="Normal 2 4 19 7 12 3" xfId="6353" xr:uid="{00000000-0005-0000-0000-0000C0180000}"/>
    <cellStyle name="Normal 2 4 19 7 13" xfId="6354" xr:uid="{00000000-0005-0000-0000-0000C1180000}"/>
    <cellStyle name="Normal 2 4 19 7 13 2" xfId="6355" xr:uid="{00000000-0005-0000-0000-0000C2180000}"/>
    <cellStyle name="Normal 2 4 19 7 13 3" xfId="6356" xr:uid="{00000000-0005-0000-0000-0000C3180000}"/>
    <cellStyle name="Normal 2 4 19 7 14" xfId="6357" xr:uid="{00000000-0005-0000-0000-0000C4180000}"/>
    <cellStyle name="Normal 2 4 19 7 14 2" xfId="6358" xr:uid="{00000000-0005-0000-0000-0000C5180000}"/>
    <cellStyle name="Normal 2 4 19 7 14 3" xfId="6359" xr:uid="{00000000-0005-0000-0000-0000C6180000}"/>
    <cellStyle name="Normal 2 4 19 7 15" xfId="6360" xr:uid="{00000000-0005-0000-0000-0000C7180000}"/>
    <cellStyle name="Normal 2 4 19 7 16" xfId="6361" xr:uid="{00000000-0005-0000-0000-0000C8180000}"/>
    <cellStyle name="Normal 2 4 19 7 2" xfId="6362" xr:uid="{00000000-0005-0000-0000-0000C9180000}"/>
    <cellStyle name="Normal 2 4 19 7 2 2" xfId="6363" xr:uid="{00000000-0005-0000-0000-0000CA180000}"/>
    <cellStyle name="Normal 2 4 19 7 2 3" xfId="6364" xr:uid="{00000000-0005-0000-0000-0000CB180000}"/>
    <cellStyle name="Normal 2 4 19 7 3" xfId="6365" xr:uid="{00000000-0005-0000-0000-0000CC180000}"/>
    <cellStyle name="Normal 2 4 19 7 3 2" xfId="6366" xr:uid="{00000000-0005-0000-0000-0000CD180000}"/>
    <cellStyle name="Normal 2 4 19 7 3 3" xfId="6367" xr:uid="{00000000-0005-0000-0000-0000CE180000}"/>
    <cellStyle name="Normal 2 4 19 7 4" xfId="6368" xr:uid="{00000000-0005-0000-0000-0000CF180000}"/>
    <cellStyle name="Normal 2 4 19 7 4 2" xfId="6369" xr:uid="{00000000-0005-0000-0000-0000D0180000}"/>
    <cellStyle name="Normal 2 4 19 7 4 3" xfId="6370" xr:uid="{00000000-0005-0000-0000-0000D1180000}"/>
    <cellStyle name="Normal 2 4 19 7 5" xfId="6371" xr:uid="{00000000-0005-0000-0000-0000D2180000}"/>
    <cellStyle name="Normal 2 4 19 7 5 2" xfId="6372" xr:uid="{00000000-0005-0000-0000-0000D3180000}"/>
    <cellStyle name="Normal 2 4 19 7 5 3" xfId="6373" xr:uid="{00000000-0005-0000-0000-0000D4180000}"/>
    <cellStyle name="Normal 2 4 19 7 6" xfId="6374" xr:uid="{00000000-0005-0000-0000-0000D5180000}"/>
    <cellStyle name="Normal 2 4 19 7 6 2" xfId="6375" xr:uid="{00000000-0005-0000-0000-0000D6180000}"/>
    <cellStyle name="Normal 2 4 19 7 6 3" xfId="6376" xr:uid="{00000000-0005-0000-0000-0000D7180000}"/>
    <cellStyle name="Normal 2 4 19 7 7" xfId="6377" xr:uid="{00000000-0005-0000-0000-0000D8180000}"/>
    <cellStyle name="Normal 2 4 19 7 7 2" xfId="6378" xr:uid="{00000000-0005-0000-0000-0000D9180000}"/>
    <cellStyle name="Normal 2 4 19 7 7 3" xfId="6379" xr:uid="{00000000-0005-0000-0000-0000DA180000}"/>
    <cellStyle name="Normal 2 4 19 7 8" xfId="6380" xr:uid="{00000000-0005-0000-0000-0000DB180000}"/>
    <cellStyle name="Normal 2 4 19 7 8 2" xfId="6381" xr:uid="{00000000-0005-0000-0000-0000DC180000}"/>
    <cellStyle name="Normal 2 4 19 7 8 3" xfId="6382" xr:uid="{00000000-0005-0000-0000-0000DD180000}"/>
    <cellStyle name="Normal 2 4 19 7 9" xfId="6383" xr:uid="{00000000-0005-0000-0000-0000DE180000}"/>
    <cellStyle name="Normal 2 4 19 7 9 2" xfId="6384" xr:uid="{00000000-0005-0000-0000-0000DF180000}"/>
    <cellStyle name="Normal 2 4 19 7 9 3" xfId="6385" xr:uid="{00000000-0005-0000-0000-0000E0180000}"/>
    <cellStyle name="Normal 2 4 19 8" xfId="6386" xr:uid="{00000000-0005-0000-0000-0000E1180000}"/>
    <cellStyle name="Normal 2 4 19 8 10" xfId="6387" xr:uid="{00000000-0005-0000-0000-0000E2180000}"/>
    <cellStyle name="Normal 2 4 19 8 10 2" xfId="6388" xr:uid="{00000000-0005-0000-0000-0000E3180000}"/>
    <cellStyle name="Normal 2 4 19 8 10 3" xfId="6389" xr:uid="{00000000-0005-0000-0000-0000E4180000}"/>
    <cellStyle name="Normal 2 4 19 8 11" xfId="6390" xr:uid="{00000000-0005-0000-0000-0000E5180000}"/>
    <cellStyle name="Normal 2 4 19 8 11 2" xfId="6391" xr:uid="{00000000-0005-0000-0000-0000E6180000}"/>
    <cellStyle name="Normal 2 4 19 8 11 3" xfId="6392" xr:uid="{00000000-0005-0000-0000-0000E7180000}"/>
    <cellStyle name="Normal 2 4 19 8 12" xfId="6393" xr:uid="{00000000-0005-0000-0000-0000E8180000}"/>
    <cellStyle name="Normal 2 4 19 8 12 2" xfId="6394" xr:uid="{00000000-0005-0000-0000-0000E9180000}"/>
    <cellStyle name="Normal 2 4 19 8 12 3" xfId="6395" xr:uid="{00000000-0005-0000-0000-0000EA180000}"/>
    <cellStyle name="Normal 2 4 19 8 13" xfId="6396" xr:uid="{00000000-0005-0000-0000-0000EB180000}"/>
    <cellStyle name="Normal 2 4 19 8 13 2" xfId="6397" xr:uid="{00000000-0005-0000-0000-0000EC180000}"/>
    <cellStyle name="Normal 2 4 19 8 13 3" xfId="6398" xr:uid="{00000000-0005-0000-0000-0000ED180000}"/>
    <cellStyle name="Normal 2 4 19 8 14" xfId="6399" xr:uid="{00000000-0005-0000-0000-0000EE180000}"/>
    <cellStyle name="Normal 2 4 19 8 14 2" xfId="6400" xr:uid="{00000000-0005-0000-0000-0000EF180000}"/>
    <cellStyle name="Normal 2 4 19 8 14 3" xfId="6401" xr:uid="{00000000-0005-0000-0000-0000F0180000}"/>
    <cellStyle name="Normal 2 4 19 8 15" xfId="6402" xr:uid="{00000000-0005-0000-0000-0000F1180000}"/>
    <cellStyle name="Normal 2 4 19 8 16" xfId="6403" xr:uid="{00000000-0005-0000-0000-0000F2180000}"/>
    <cellStyle name="Normal 2 4 19 8 2" xfId="6404" xr:uid="{00000000-0005-0000-0000-0000F3180000}"/>
    <cellStyle name="Normal 2 4 19 8 2 2" xfId="6405" xr:uid="{00000000-0005-0000-0000-0000F4180000}"/>
    <cellStyle name="Normal 2 4 19 8 2 3" xfId="6406" xr:uid="{00000000-0005-0000-0000-0000F5180000}"/>
    <cellStyle name="Normal 2 4 19 8 3" xfId="6407" xr:uid="{00000000-0005-0000-0000-0000F6180000}"/>
    <cellStyle name="Normal 2 4 19 8 3 2" xfId="6408" xr:uid="{00000000-0005-0000-0000-0000F7180000}"/>
    <cellStyle name="Normal 2 4 19 8 3 3" xfId="6409" xr:uid="{00000000-0005-0000-0000-0000F8180000}"/>
    <cellStyle name="Normal 2 4 19 8 4" xfId="6410" xr:uid="{00000000-0005-0000-0000-0000F9180000}"/>
    <cellStyle name="Normal 2 4 19 8 4 2" xfId="6411" xr:uid="{00000000-0005-0000-0000-0000FA180000}"/>
    <cellStyle name="Normal 2 4 19 8 4 3" xfId="6412" xr:uid="{00000000-0005-0000-0000-0000FB180000}"/>
    <cellStyle name="Normal 2 4 19 8 5" xfId="6413" xr:uid="{00000000-0005-0000-0000-0000FC180000}"/>
    <cellStyle name="Normal 2 4 19 8 5 2" xfId="6414" xr:uid="{00000000-0005-0000-0000-0000FD180000}"/>
    <cellStyle name="Normal 2 4 19 8 5 3" xfId="6415" xr:uid="{00000000-0005-0000-0000-0000FE180000}"/>
    <cellStyle name="Normal 2 4 19 8 6" xfId="6416" xr:uid="{00000000-0005-0000-0000-0000FF180000}"/>
    <cellStyle name="Normal 2 4 19 8 6 2" xfId="6417" xr:uid="{00000000-0005-0000-0000-000000190000}"/>
    <cellStyle name="Normal 2 4 19 8 6 3" xfId="6418" xr:uid="{00000000-0005-0000-0000-000001190000}"/>
    <cellStyle name="Normal 2 4 19 8 7" xfId="6419" xr:uid="{00000000-0005-0000-0000-000002190000}"/>
    <cellStyle name="Normal 2 4 19 8 7 2" xfId="6420" xr:uid="{00000000-0005-0000-0000-000003190000}"/>
    <cellStyle name="Normal 2 4 19 8 7 3" xfId="6421" xr:uid="{00000000-0005-0000-0000-000004190000}"/>
    <cellStyle name="Normal 2 4 19 8 8" xfId="6422" xr:uid="{00000000-0005-0000-0000-000005190000}"/>
    <cellStyle name="Normal 2 4 19 8 8 2" xfId="6423" xr:uid="{00000000-0005-0000-0000-000006190000}"/>
    <cellStyle name="Normal 2 4 19 8 8 3" xfId="6424" xr:uid="{00000000-0005-0000-0000-000007190000}"/>
    <cellStyle name="Normal 2 4 19 8 9" xfId="6425" xr:uid="{00000000-0005-0000-0000-000008190000}"/>
    <cellStyle name="Normal 2 4 19 8 9 2" xfId="6426" xr:uid="{00000000-0005-0000-0000-000009190000}"/>
    <cellStyle name="Normal 2 4 19 8 9 3" xfId="6427" xr:uid="{00000000-0005-0000-0000-00000A190000}"/>
    <cellStyle name="Normal 2 4 19 9" xfId="6428" xr:uid="{00000000-0005-0000-0000-00000B190000}"/>
    <cellStyle name="Normal 2 4 19 9 10" xfId="6429" xr:uid="{00000000-0005-0000-0000-00000C190000}"/>
    <cellStyle name="Normal 2 4 19 9 10 2" xfId="6430" xr:uid="{00000000-0005-0000-0000-00000D190000}"/>
    <cellStyle name="Normal 2 4 19 9 10 3" xfId="6431" xr:uid="{00000000-0005-0000-0000-00000E190000}"/>
    <cellStyle name="Normal 2 4 19 9 11" xfId="6432" xr:uid="{00000000-0005-0000-0000-00000F190000}"/>
    <cellStyle name="Normal 2 4 19 9 11 2" xfId="6433" xr:uid="{00000000-0005-0000-0000-000010190000}"/>
    <cellStyle name="Normal 2 4 19 9 11 3" xfId="6434" xr:uid="{00000000-0005-0000-0000-000011190000}"/>
    <cellStyle name="Normal 2 4 19 9 12" xfId="6435" xr:uid="{00000000-0005-0000-0000-000012190000}"/>
    <cellStyle name="Normal 2 4 19 9 12 2" xfId="6436" xr:uid="{00000000-0005-0000-0000-000013190000}"/>
    <cellStyle name="Normal 2 4 19 9 12 3" xfId="6437" xr:uid="{00000000-0005-0000-0000-000014190000}"/>
    <cellStyle name="Normal 2 4 19 9 13" xfId="6438" xr:uid="{00000000-0005-0000-0000-000015190000}"/>
    <cellStyle name="Normal 2 4 19 9 13 2" xfId="6439" xr:uid="{00000000-0005-0000-0000-000016190000}"/>
    <cellStyle name="Normal 2 4 19 9 13 3" xfId="6440" xr:uid="{00000000-0005-0000-0000-000017190000}"/>
    <cellStyle name="Normal 2 4 19 9 14" xfId="6441" xr:uid="{00000000-0005-0000-0000-000018190000}"/>
    <cellStyle name="Normal 2 4 19 9 14 2" xfId="6442" xr:uid="{00000000-0005-0000-0000-000019190000}"/>
    <cellStyle name="Normal 2 4 19 9 14 3" xfId="6443" xr:uid="{00000000-0005-0000-0000-00001A190000}"/>
    <cellStyle name="Normal 2 4 19 9 15" xfId="6444" xr:uid="{00000000-0005-0000-0000-00001B190000}"/>
    <cellStyle name="Normal 2 4 19 9 16" xfId="6445" xr:uid="{00000000-0005-0000-0000-00001C190000}"/>
    <cellStyle name="Normal 2 4 19 9 2" xfId="6446" xr:uid="{00000000-0005-0000-0000-00001D190000}"/>
    <cellStyle name="Normal 2 4 19 9 2 2" xfId="6447" xr:uid="{00000000-0005-0000-0000-00001E190000}"/>
    <cellStyle name="Normal 2 4 19 9 2 3" xfId="6448" xr:uid="{00000000-0005-0000-0000-00001F190000}"/>
    <cellStyle name="Normal 2 4 19 9 3" xfId="6449" xr:uid="{00000000-0005-0000-0000-000020190000}"/>
    <cellStyle name="Normal 2 4 19 9 3 2" xfId="6450" xr:uid="{00000000-0005-0000-0000-000021190000}"/>
    <cellStyle name="Normal 2 4 19 9 3 3" xfId="6451" xr:uid="{00000000-0005-0000-0000-000022190000}"/>
    <cellStyle name="Normal 2 4 19 9 4" xfId="6452" xr:uid="{00000000-0005-0000-0000-000023190000}"/>
    <cellStyle name="Normal 2 4 19 9 4 2" xfId="6453" xr:uid="{00000000-0005-0000-0000-000024190000}"/>
    <cellStyle name="Normal 2 4 19 9 4 3" xfId="6454" xr:uid="{00000000-0005-0000-0000-000025190000}"/>
    <cellStyle name="Normal 2 4 19 9 5" xfId="6455" xr:uid="{00000000-0005-0000-0000-000026190000}"/>
    <cellStyle name="Normal 2 4 19 9 5 2" xfId="6456" xr:uid="{00000000-0005-0000-0000-000027190000}"/>
    <cellStyle name="Normal 2 4 19 9 5 3" xfId="6457" xr:uid="{00000000-0005-0000-0000-000028190000}"/>
    <cellStyle name="Normal 2 4 19 9 6" xfId="6458" xr:uid="{00000000-0005-0000-0000-000029190000}"/>
    <cellStyle name="Normal 2 4 19 9 6 2" xfId="6459" xr:uid="{00000000-0005-0000-0000-00002A190000}"/>
    <cellStyle name="Normal 2 4 19 9 6 3" xfId="6460" xr:uid="{00000000-0005-0000-0000-00002B190000}"/>
    <cellStyle name="Normal 2 4 19 9 7" xfId="6461" xr:uid="{00000000-0005-0000-0000-00002C190000}"/>
    <cellStyle name="Normal 2 4 19 9 7 2" xfId="6462" xr:uid="{00000000-0005-0000-0000-00002D190000}"/>
    <cellStyle name="Normal 2 4 19 9 7 3" xfId="6463" xr:uid="{00000000-0005-0000-0000-00002E190000}"/>
    <cellStyle name="Normal 2 4 19 9 8" xfId="6464" xr:uid="{00000000-0005-0000-0000-00002F190000}"/>
    <cellStyle name="Normal 2 4 19 9 8 2" xfId="6465" xr:uid="{00000000-0005-0000-0000-000030190000}"/>
    <cellStyle name="Normal 2 4 19 9 8 3" xfId="6466" xr:uid="{00000000-0005-0000-0000-000031190000}"/>
    <cellStyle name="Normal 2 4 19 9 9" xfId="6467" xr:uid="{00000000-0005-0000-0000-000032190000}"/>
    <cellStyle name="Normal 2 4 19 9 9 2" xfId="6468" xr:uid="{00000000-0005-0000-0000-000033190000}"/>
    <cellStyle name="Normal 2 4 19 9 9 3" xfId="6469" xr:uid="{00000000-0005-0000-0000-000034190000}"/>
    <cellStyle name="Normal 2 4 2" xfId="6470" xr:uid="{00000000-0005-0000-0000-000035190000}"/>
    <cellStyle name="Normal 2 4 2 10" xfId="6471" xr:uid="{00000000-0005-0000-0000-000036190000}"/>
    <cellStyle name="Normal 2 4 2 11" xfId="6472" xr:uid="{00000000-0005-0000-0000-000037190000}"/>
    <cellStyle name="Normal 2 4 2 12" xfId="6473" xr:uid="{00000000-0005-0000-0000-000038190000}"/>
    <cellStyle name="Normal 2 4 2 13" xfId="6474" xr:uid="{00000000-0005-0000-0000-000039190000}"/>
    <cellStyle name="Normal 2 4 2 14" xfId="6475" xr:uid="{00000000-0005-0000-0000-00003A190000}"/>
    <cellStyle name="Normal 2 4 2 15" xfId="6476" xr:uid="{00000000-0005-0000-0000-00003B190000}"/>
    <cellStyle name="Normal 2 4 2 16" xfId="6477" xr:uid="{00000000-0005-0000-0000-00003C190000}"/>
    <cellStyle name="Normal 2 4 2 16 10" xfId="6478" xr:uid="{00000000-0005-0000-0000-00003D190000}"/>
    <cellStyle name="Normal 2 4 2 16 10 2" xfId="6479" xr:uid="{00000000-0005-0000-0000-00003E190000}"/>
    <cellStyle name="Normal 2 4 2 16 10 3" xfId="6480" xr:uid="{00000000-0005-0000-0000-00003F190000}"/>
    <cellStyle name="Normal 2 4 2 16 11" xfId="6481" xr:uid="{00000000-0005-0000-0000-000040190000}"/>
    <cellStyle name="Normal 2 4 2 16 11 2" xfId="6482" xr:uid="{00000000-0005-0000-0000-000041190000}"/>
    <cellStyle name="Normal 2 4 2 16 11 3" xfId="6483" xr:uid="{00000000-0005-0000-0000-000042190000}"/>
    <cellStyle name="Normal 2 4 2 16 12" xfId="6484" xr:uid="{00000000-0005-0000-0000-000043190000}"/>
    <cellStyle name="Normal 2 4 2 16 12 2" xfId="6485" xr:uid="{00000000-0005-0000-0000-000044190000}"/>
    <cellStyle name="Normal 2 4 2 16 12 3" xfId="6486" xr:uid="{00000000-0005-0000-0000-000045190000}"/>
    <cellStyle name="Normal 2 4 2 16 13" xfId="6487" xr:uid="{00000000-0005-0000-0000-000046190000}"/>
    <cellStyle name="Normal 2 4 2 16 13 2" xfId="6488" xr:uid="{00000000-0005-0000-0000-000047190000}"/>
    <cellStyle name="Normal 2 4 2 16 13 3" xfId="6489" xr:uid="{00000000-0005-0000-0000-000048190000}"/>
    <cellStyle name="Normal 2 4 2 16 14" xfId="6490" xr:uid="{00000000-0005-0000-0000-000049190000}"/>
    <cellStyle name="Normal 2 4 2 16 14 2" xfId="6491" xr:uid="{00000000-0005-0000-0000-00004A190000}"/>
    <cellStyle name="Normal 2 4 2 16 14 3" xfId="6492" xr:uid="{00000000-0005-0000-0000-00004B190000}"/>
    <cellStyle name="Normal 2 4 2 16 15" xfId="6493" xr:uid="{00000000-0005-0000-0000-00004C190000}"/>
    <cellStyle name="Normal 2 4 2 16 15 2" xfId="6494" xr:uid="{00000000-0005-0000-0000-00004D190000}"/>
    <cellStyle name="Normal 2 4 2 16 15 3" xfId="6495" xr:uid="{00000000-0005-0000-0000-00004E190000}"/>
    <cellStyle name="Normal 2 4 2 16 16" xfId="6496" xr:uid="{00000000-0005-0000-0000-00004F190000}"/>
    <cellStyle name="Normal 2 4 2 16 16 2" xfId="6497" xr:uid="{00000000-0005-0000-0000-000050190000}"/>
    <cellStyle name="Normal 2 4 2 16 16 3" xfId="6498" xr:uid="{00000000-0005-0000-0000-000051190000}"/>
    <cellStyle name="Normal 2 4 2 16 17" xfId="6499" xr:uid="{00000000-0005-0000-0000-000052190000}"/>
    <cellStyle name="Normal 2 4 2 16 17 2" xfId="6500" xr:uid="{00000000-0005-0000-0000-000053190000}"/>
    <cellStyle name="Normal 2 4 2 16 17 3" xfId="6501" xr:uid="{00000000-0005-0000-0000-000054190000}"/>
    <cellStyle name="Normal 2 4 2 16 18" xfId="6502" xr:uid="{00000000-0005-0000-0000-000055190000}"/>
    <cellStyle name="Normal 2 4 2 16 19" xfId="6503" xr:uid="{00000000-0005-0000-0000-000056190000}"/>
    <cellStyle name="Normal 2 4 2 16 2" xfId="6504" xr:uid="{00000000-0005-0000-0000-000057190000}"/>
    <cellStyle name="Normal 2 4 2 16 3" xfId="6505" xr:uid="{00000000-0005-0000-0000-000058190000}"/>
    <cellStyle name="Normal 2 4 2 16 4" xfId="6506" xr:uid="{00000000-0005-0000-0000-000059190000}"/>
    <cellStyle name="Normal 2 4 2 16 5" xfId="6507" xr:uid="{00000000-0005-0000-0000-00005A190000}"/>
    <cellStyle name="Normal 2 4 2 16 5 2" xfId="6508" xr:uid="{00000000-0005-0000-0000-00005B190000}"/>
    <cellStyle name="Normal 2 4 2 16 5 3" xfId="6509" xr:uid="{00000000-0005-0000-0000-00005C190000}"/>
    <cellStyle name="Normal 2 4 2 16 6" xfId="6510" xr:uid="{00000000-0005-0000-0000-00005D190000}"/>
    <cellStyle name="Normal 2 4 2 16 6 2" xfId="6511" xr:uid="{00000000-0005-0000-0000-00005E190000}"/>
    <cellStyle name="Normal 2 4 2 16 6 3" xfId="6512" xr:uid="{00000000-0005-0000-0000-00005F190000}"/>
    <cellStyle name="Normal 2 4 2 16 7" xfId="6513" xr:uid="{00000000-0005-0000-0000-000060190000}"/>
    <cellStyle name="Normal 2 4 2 16 7 2" xfId="6514" xr:uid="{00000000-0005-0000-0000-000061190000}"/>
    <cellStyle name="Normal 2 4 2 16 7 3" xfId="6515" xr:uid="{00000000-0005-0000-0000-000062190000}"/>
    <cellStyle name="Normal 2 4 2 16 8" xfId="6516" xr:uid="{00000000-0005-0000-0000-000063190000}"/>
    <cellStyle name="Normal 2 4 2 16 8 2" xfId="6517" xr:uid="{00000000-0005-0000-0000-000064190000}"/>
    <cellStyle name="Normal 2 4 2 16 8 3" xfId="6518" xr:uid="{00000000-0005-0000-0000-000065190000}"/>
    <cellStyle name="Normal 2 4 2 16 9" xfId="6519" xr:uid="{00000000-0005-0000-0000-000066190000}"/>
    <cellStyle name="Normal 2 4 2 16 9 2" xfId="6520" xr:uid="{00000000-0005-0000-0000-000067190000}"/>
    <cellStyle name="Normal 2 4 2 16 9 3" xfId="6521" xr:uid="{00000000-0005-0000-0000-000068190000}"/>
    <cellStyle name="Normal 2 4 2 17" xfId="6522" xr:uid="{00000000-0005-0000-0000-000069190000}"/>
    <cellStyle name="Normal 2 4 2 18" xfId="6523" xr:uid="{00000000-0005-0000-0000-00006A190000}"/>
    <cellStyle name="Normal 2 4 2 19" xfId="6524" xr:uid="{00000000-0005-0000-0000-00006B190000}"/>
    <cellStyle name="Normal 2 4 2 19 10" xfId="6525" xr:uid="{00000000-0005-0000-0000-00006C190000}"/>
    <cellStyle name="Normal 2 4 2 19 10 2" xfId="6526" xr:uid="{00000000-0005-0000-0000-00006D190000}"/>
    <cellStyle name="Normal 2 4 2 19 10 3" xfId="6527" xr:uid="{00000000-0005-0000-0000-00006E190000}"/>
    <cellStyle name="Normal 2 4 2 19 11" xfId="6528" xr:uid="{00000000-0005-0000-0000-00006F190000}"/>
    <cellStyle name="Normal 2 4 2 19 11 2" xfId="6529" xr:uid="{00000000-0005-0000-0000-000070190000}"/>
    <cellStyle name="Normal 2 4 2 19 11 3" xfId="6530" xr:uid="{00000000-0005-0000-0000-000071190000}"/>
    <cellStyle name="Normal 2 4 2 19 12" xfId="6531" xr:uid="{00000000-0005-0000-0000-000072190000}"/>
    <cellStyle name="Normal 2 4 2 19 12 2" xfId="6532" xr:uid="{00000000-0005-0000-0000-000073190000}"/>
    <cellStyle name="Normal 2 4 2 19 12 3" xfId="6533" xr:uid="{00000000-0005-0000-0000-000074190000}"/>
    <cellStyle name="Normal 2 4 2 19 13" xfId="6534" xr:uid="{00000000-0005-0000-0000-000075190000}"/>
    <cellStyle name="Normal 2 4 2 19 13 2" xfId="6535" xr:uid="{00000000-0005-0000-0000-000076190000}"/>
    <cellStyle name="Normal 2 4 2 19 13 3" xfId="6536" xr:uid="{00000000-0005-0000-0000-000077190000}"/>
    <cellStyle name="Normal 2 4 2 19 14" xfId="6537" xr:uid="{00000000-0005-0000-0000-000078190000}"/>
    <cellStyle name="Normal 2 4 2 19 14 2" xfId="6538" xr:uid="{00000000-0005-0000-0000-000079190000}"/>
    <cellStyle name="Normal 2 4 2 19 14 3" xfId="6539" xr:uid="{00000000-0005-0000-0000-00007A190000}"/>
    <cellStyle name="Normal 2 4 2 19 15" xfId="6540" xr:uid="{00000000-0005-0000-0000-00007B190000}"/>
    <cellStyle name="Normal 2 4 2 19 15 2" xfId="6541" xr:uid="{00000000-0005-0000-0000-00007C190000}"/>
    <cellStyle name="Normal 2 4 2 19 15 3" xfId="6542" xr:uid="{00000000-0005-0000-0000-00007D190000}"/>
    <cellStyle name="Normal 2 4 2 19 16" xfId="6543" xr:uid="{00000000-0005-0000-0000-00007E190000}"/>
    <cellStyle name="Normal 2 4 2 19 17" xfId="6544" xr:uid="{00000000-0005-0000-0000-00007F190000}"/>
    <cellStyle name="Normal 2 4 2 19 2" xfId="6545" xr:uid="{00000000-0005-0000-0000-000080190000}"/>
    <cellStyle name="Normal 2 4 2 19 2 10" xfId="6546" xr:uid="{00000000-0005-0000-0000-000081190000}"/>
    <cellStyle name="Normal 2 4 2 19 2 10 2" xfId="6547" xr:uid="{00000000-0005-0000-0000-000082190000}"/>
    <cellStyle name="Normal 2 4 2 19 2 10 3" xfId="6548" xr:uid="{00000000-0005-0000-0000-000083190000}"/>
    <cellStyle name="Normal 2 4 2 19 2 11" xfId="6549" xr:uid="{00000000-0005-0000-0000-000084190000}"/>
    <cellStyle name="Normal 2 4 2 19 2 11 2" xfId="6550" xr:uid="{00000000-0005-0000-0000-000085190000}"/>
    <cellStyle name="Normal 2 4 2 19 2 11 3" xfId="6551" xr:uid="{00000000-0005-0000-0000-000086190000}"/>
    <cellStyle name="Normal 2 4 2 19 2 12" xfId="6552" xr:uid="{00000000-0005-0000-0000-000087190000}"/>
    <cellStyle name="Normal 2 4 2 19 2 12 2" xfId="6553" xr:uid="{00000000-0005-0000-0000-000088190000}"/>
    <cellStyle name="Normal 2 4 2 19 2 12 3" xfId="6554" xr:uid="{00000000-0005-0000-0000-000089190000}"/>
    <cellStyle name="Normal 2 4 2 19 2 13" xfId="6555" xr:uid="{00000000-0005-0000-0000-00008A190000}"/>
    <cellStyle name="Normal 2 4 2 19 2 13 2" xfId="6556" xr:uid="{00000000-0005-0000-0000-00008B190000}"/>
    <cellStyle name="Normal 2 4 2 19 2 13 3" xfId="6557" xr:uid="{00000000-0005-0000-0000-00008C190000}"/>
    <cellStyle name="Normal 2 4 2 19 2 14" xfId="6558" xr:uid="{00000000-0005-0000-0000-00008D190000}"/>
    <cellStyle name="Normal 2 4 2 19 2 14 2" xfId="6559" xr:uid="{00000000-0005-0000-0000-00008E190000}"/>
    <cellStyle name="Normal 2 4 2 19 2 14 3" xfId="6560" xr:uid="{00000000-0005-0000-0000-00008F190000}"/>
    <cellStyle name="Normal 2 4 2 19 2 15" xfId="6561" xr:uid="{00000000-0005-0000-0000-000090190000}"/>
    <cellStyle name="Normal 2 4 2 19 2 16" xfId="6562" xr:uid="{00000000-0005-0000-0000-000091190000}"/>
    <cellStyle name="Normal 2 4 2 19 2 2" xfId="6563" xr:uid="{00000000-0005-0000-0000-000092190000}"/>
    <cellStyle name="Normal 2 4 2 19 2 2 2" xfId="6564" xr:uid="{00000000-0005-0000-0000-000093190000}"/>
    <cellStyle name="Normal 2 4 2 19 2 2 3" xfId="6565" xr:uid="{00000000-0005-0000-0000-000094190000}"/>
    <cellStyle name="Normal 2 4 2 19 2 3" xfId="6566" xr:uid="{00000000-0005-0000-0000-000095190000}"/>
    <cellStyle name="Normal 2 4 2 19 2 3 2" xfId="6567" xr:uid="{00000000-0005-0000-0000-000096190000}"/>
    <cellStyle name="Normal 2 4 2 19 2 3 3" xfId="6568" xr:uid="{00000000-0005-0000-0000-000097190000}"/>
    <cellStyle name="Normal 2 4 2 19 2 4" xfId="6569" xr:uid="{00000000-0005-0000-0000-000098190000}"/>
    <cellStyle name="Normal 2 4 2 19 2 4 2" xfId="6570" xr:uid="{00000000-0005-0000-0000-000099190000}"/>
    <cellStyle name="Normal 2 4 2 19 2 4 3" xfId="6571" xr:uid="{00000000-0005-0000-0000-00009A190000}"/>
    <cellStyle name="Normal 2 4 2 19 2 5" xfId="6572" xr:uid="{00000000-0005-0000-0000-00009B190000}"/>
    <cellStyle name="Normal 2 4 2 19 2 5 2" xfId="6573" xr:uid="{00000000-0005-0000-0000-00009C190000}"/>
    <cellStyle name="Normal 2 4 2 19 2 5 3" xfId="6574" xr:uid="{00000000-0005-0000-0000-00009D190000}"/>
    <cellStyle name="Normal 2 4 2 19 2 6" xfId="6575" xr:uid="{00000000-0005-0000-0000-00009E190000}"/>
    <cellStyle name="Normal 2 4 2 19 2 6 2" xfId="6576" xr:uid="{00000000-0005-0000-0000-00009F190000}"/>
    <cellStyle name="Normal 2 4 2 19 2 6 3" xfId="6577" xr:uid="{00000000-0005-0000-0000-0000A0190000}"/>
    <cellStyle name="Normal 2 4 2 19 2 7" xfId="6578" xr:uid="{00000000-0005-0000-0000-0000A1190000}"/>
    <cellStyle name="Normal 2 4 2 19 2 7 2" xfId="6579" xr:uid="{00000000-0005-0000-0000-0000A2190000}"/>
    <cellStyle name="Normal 2 4 2 19 2 7 3" xfId="6580" xr:uid="{00000000-0005-0000-0000-0000A3190000}"/>
    <cellStyle name="Normal 2 4 2 19 2 8" xfId="6581" xr:uid="{00000000-0005-0000-0000-0000A4190000}"/>
    <cellStyle name="Normal 2 4 2 19 2 8 2" xfId="6582" xr:uid="{00000000-0005-0000-0000-0000A5190000}"/>
    <cellStyle name="Normal 2 4 2 19 2 8 3" xfId="6583" xr:uid="{00000000-0005-0000-0000-0000A6190000}"/>
    <cellStyle name="Normal 2 4 2 19 2 9" xfId="6584" xr:uid="{00000000-0005-0000-0000-0000A7190000}"/>
    <cellStyle name="Normal 2 4 2 19 2 9 2" xfId="6585" xr:uid="{00000000-0005-0000-0000-0000A8190000}"/>
    <cellStyle name="Normal 2 4 2 19 2 9 3" xfId="6586" xr:uid="{00000000-0005-0000-0000-0000A9190000}"/>
    <cellStyle name="Normal 2 4 2 19 3" xfId="6587" xr:uid="{00000000-0005-0000-0000-0000AA190000}"/>
    <cellStyle name="Normal 2 4 2 19 3 2" xfId="6588" xr:uid="{00000000-0005-0000-0000-0000AB190000}"/>
    <cellStyle name="Normal 2 4 2 19 3 3" xfId="6589" xr:uid="{00000000-0005-0000-0000-0000AC190000}"/>
    <cellStyle name="Normal 2 4 2 19 4" xfId="6590" xr:uid="{00000000-0005-0000-0000-0000AD190000}"/>
    <cellStyle name="Normal 2 4 2 19 4 2" xfId="6591" xr:uid="{00000000-0005-0000-0000-0000AE190000}"/>
    <cellStyle name="Normal 2 4 2 19 4 3" xfId="6592" xr:uid="{00000000-0005-0000-0000-0000AF190000}"/>
    <cellStyle name="Normal 2 4 2 19 5" xfId="6593" xr:uid="{00000000-0005-0000-0000-0000B0190000}"/>
    <cellStyle name="Normal 2 4 2 19 5 2" xfId="6594" xr:uid="{00000000-0005-0000-0000-0000B1190000}"/>
    <cellStyle name="Normal 2 4 2 19 5 3" xfId="6595" xr:uid="{00000000-0005-0000-0000-0000B2190000}"/>
    <cellStyle name="Normal 2 4 2 19 6" xfId="6596" xr:uid="{00000000-0005-0000-0000-0000B3190000}"/>
    <cellStyle name="Normal 2 4 2 19 6 2" xfId="6597" xr:uid="{00000000-0005-0000-0000-0000B4190000}"/>
    <cellStyle name="Normal 2 4 2 19 6 3" xfId="6598" xr:uid="{00000000-0005-0000-0000-0000B5190000}"/>
    <cellStyle name="Normal 2 4 2 19 7" xfId="6599" xr:uid="{00000000-0005-0000-0000-0000B6190000}"/>
    <cellStyle name="Normal 2 4 2 19 7 2" xfId="6600" xr:uid="{00000000-0005-0000-0000-0000B7190000}"/>
    <cellStyle name="Normal 2 4 2 19 7 3" xfId="6601" xr:uid="{00000000-0005-0000-0000-0000B8190000}"/>
    <cellStyle name="Normal 2 4 2 19 8" xfId="6602" xr:uid="{00000000-0005-0000-0000-0000B9190000}"/>
    <cellStyle name="Normal 2 4 2 19 8 2" xfId="6603" xr:uid="{00000000-0005-0000-0000-0000BA190000}"/>
    <cellStyle name="Normal 2 4 2 19 8 3" xfId="6604" xr:uid="{00000000-0005-0000-0000-0000BB190000}"/>
    <cellStyle name="Normal 2 4 2 19 9" xfId="6605" xr:uid="{00000000-0005-0000-0000-0000BC190000}"/>
    <cellStyle name="Normal 2 4 2 19 9 2" xfId="6606" xr:uid="{00000000-0005-0000-0000-0000BD190000}"/>
    <cellStyle name="Normal 2 4 2 19 9 3" xfId="6607" xr:uid="{00000000-0005-0000-0000-0000BE190000}"/>
    <cellStyle name="Normal 2 4 2 2" xfId="6608" xr:uid="{00000000-0005-0000-0000-0000BF190000}"/>
    <cellStyle name="Normal 2 4 2 2 10" xfId="6609" xr:uid="{00000000-0005-0000-0000-0000C0190000}"/>
    <cellStyle name="Normal 2 4 2 2 11" xfId="6610" xr:uid="{00000000-0005-0000-0000-0000C1190000}"/>
    <cellStyle name="Normal 2 4 2 2 12" xfId="6611" xr:uid="{00000000-0005-0000-0000-0000C2190000}"/>
    <cellStyle name="Normal 2 4 2 2 13" xfId="6612" xr:uid="{00000000-0005-0000-0000-0000C3190000}"/>
    <cellStyle name="Normal 2 4 2 2 14" xfId="6613" xr:uid="{00000000-0005-0000-0000-0000C4190000}"/>
    <cellStyle name="Normal 2 4 2 2 2" xfId="6614" xr:uid="{00000000-0005-0000-0000-0000C5190000}"/>
    <cellStyle name="Normal 2 4 2 2 2 10" xfId="6615" xr:uid="{00000000-0005-0000-0000-0000C6190000}"/>
    <cellStyle name="Normal 2 4 2 2 2 11" xfId="6616" xr:uid="{00000000-0005-0000-0000-0000C7190000}"/>
    <cellStyle name="Normal 2 4 2 2 2 12" xfId="6617" xr:uid="{00000000-0005-0000-0000-0000C8190000}"/>
    <cellStyle name="Normal 2 4 2 2 2 13" xfId="6618" xr:uid="{00000000-0005-0000-0000-0000C9190000}"/>
    <cellStyle name="Normal 2 4 2 2 2 14" xfId="6619" xr:uid="{00000000-0005-0000-0000-0000CA190000}"/>
    <cellStyle name="Normal 2 4 2 2 2 15" xfId="6620" xr:uid="{00000000-0005-0000-0000-0000CB190000}"/>
    <cellStyle name="Normal 2 4 2 2 2 16" xfId="6621" xr:uid="{00000000-0005-0000-0000-0000CC190000}"/>
    <cellStyle name="Normal 2 4 2 2 2 17" xfId="6622" xr:uid="{00000000-0005-0000-0000-0000CD190000}"/>
    <cellStyle name="Normal 2 4 2 2 2 18" xfId="6623" xr:uid="{00000000-0005-0000-0000-0000CE190000}"/>
    <cellStyle name="Normal 2 4 2 2 2 19" xfId="6624" xr:uid="{00000000-0005-0000-0000-0000CF190000}"/>
    <cellStyle name="Normal 2 4 2 2 2 2" xfId="6625" xr:uid="{00000000-0005-0000-0000-0000D0190000}"/>
    <cellStyle name="Normal 2 4 2 2 2 2 2" xfId="6626" xr:uid="{00000000-0005-0000-0000-0000D1190000}"/>
    <cellStyle name="Normal 2 4 2 2 2 2 2 2" xfId="6627" xr:uid="{00000000-0005-0000-0000-0000D2190000}"/>
    <cellStyle name="Normal 2 4 2 2 2 2 2 3" xfId="6628" xr:uid="{00000000-0005-0000-0000-0000D3190000}"/>
    <cellStyle name="Normal 2 4 2 2 2 2 3" xfId="6629" xr:uid="{00000000-0005-0000-0000-0000D4190000}"/>
    <cellStyle name="Normal 2 4 2 2 2 2 4" xfId="6630" xr:uid="{00000000-0005-0000-0000-0000D5190000}"/>
    <cellStyle name="Normal 2 4 2 2 2 3" xfId="6631" xr:uid="{00000000-0005-0000-0000-0000D6190000}"/>
    <cellStyle name="Normal 2 4 2 2 2 4" xfId="6632" xr:uid="{00000000-0005-0000-0000-0000D7190000}"/>
    <cellStyle name="Normal 2 4 2 2 2 5" xfId="6633" xr:uid="{00000000-0005-0000-0000-0000D8190000}"/>
    <cellStyle name="Normal 2 4 2 2 2 6" xfId="6634" xr:uid="{00000000-0005-0000-0000-0000D9190000}"/>
    <cellStyle name="Normal 2 4 2 2 2 7" xfId="6635" xr:uid="{00000000-0005-0000-0000-0000DA190000}"/>
    <cellStyle name="Normal 2 4 2 2 2 7 2" xfId="6636" xr:uid="{00000000-0005-0000-0000-0000DB190000}"/>
    <cellStyle name="Normal 2 4 2 2 2 7 2 2" xfId="6637" xr:uid="{00000000-0005-0000-0000-0000DC190000}"/>
    <cellStyle name="Normal 2 4 2 2 2 7 2 3" xfId="6638" xr:uid="{00000000-0005-0000-0000-0000DD190000}"/>
    <cellStyle name="Normal 2 4 2 2 2 7 3" xfId="6639" xr:uid="{00000000-0005-0000-0000-0000DE190000}"/>
    <cellStyle name="Normal 2 4 2 2 2 8" xfId="6640" xr:uid="{00000000-0005-0000-0000-0000DF190000}"/>
    <cellStyle name="Normal 2 4 2 2 2 9" xfId="6641" xr:uid="{00000000-0005-0000-0000-0000E0190000}"/>
    <cellStyle name="Normal 2 4 2 2 3" xfId="6642" xr:uid="{00000000-0005-0000-0000-0000E1190000}"/>
    <cellStyle name="Normal 2 4 2 2 4" xfId="6643" xr:uid="{00000000-0005-0000-0000-0000E2190000}"/>
    <cellStyle name="Normal 2 4 2 2 5" xfId="6644" xr:uid="{00000000-0005-0000-0000-0000E3190000}"/>
    <cellStyle name="Normal 2 4 2 2 6" xfId="6645" xr:uid="{00000000-0005-0000-0000-0000E4190000}"/>
    <cellStyle name="Normal 2 4 2 2 7" xfId="6646" xr:uid="{00000000-0005-0000-0000-0000E5190000}"/>
    <cellStyle name="Normal 2 4 2 2 8" xfId="6647" xr:uid="{00000000-0005-0000-0000-0000E6190000}"/>
    <cellStyle name="Normal 2 4 2 2 9" xfId="6648" xr:uid="{00000000-0005-0000-0000-0000E7190000}"/>
    <cellStyle name="Normal 2 4 2 20" xfId="6649" xr:uid="{00000000-0005-0000-0000-0000E8190000}"/>
    <cellStyle name="Normal 2 4 2 20 10" xfId="6650" xr:uid="{00000000-0005-0000-0000-0000E9190000}"/>
    <cellStyle name="Normal 2 4 2 20 10 2" xfId="6651" xr:uid="{00000000-0005-0000-0000-0000EA190000}"/>
    <cellStyle name="Normal 2 4 2 20 10 3" xfId="6652" xr:uid="{00000000-0005-0000-0000-0000EB190000}"/>
    <cellStyle name="Normal 2 4 2 20 11" xfId="6653" xr:uid="{00000000-0005-0000-0000-0000EC190000}"/>
    <cellStyle name="Normal 2 4 2 20 11 2" xfId="6654" xr:uid="{00000000-0005-0000-0000-0000ED190000}"/>
    <cellStyle name="Normal 2 4 2 20 11 3" xfId="6655" xr:uid="{00000000-0005-0000-0000-0000EE190000}"/>
    <cellStyle name="Normal 2 4 2 20 12" xfId="6656" xr:uid="{00000000-0005-0000-0000-0000EF190000}"/>
    <cellStyle name="Normal 2 4 2 20 12 2" xfId="6657" xr:uid="{00000000-0005-0000-0000-0000F0190000}"/>
    <cellStyle name="Normal 2 4 2 20 12 3" xfId="6658" xr:uid="{00000000-0005-0000-0000-0000F1190000}"/>
    <cellStyle name="Normal 2 4 2 20 13" xfId="6659" xr:uid="{00000000-0005-0000-0000-0000F2190000}"/>
    <cellStyle name="Normal 2 4 2 20 13 2" xfId="6660" xr:uid="{00000000-0005-0000-0000-0000F3190000}"/>
    <cellStyle name="Normal 2 4 2 20 13 3" xfId="6661" xr:uid="{00000000-0005-0000-0000-0000F4190000}"/>
    <cellStyle name="Normal 2 4 2 20 14" xfId="6662" xr:uid="{00000000-0005-0000-0000-0000F5190000}"/>
    <cellStyle name="Normal 2 4 2 20 14 2" xfId="6663" xr:uid="{00000000-0005-0000-0000-0000F6190000}"/>
    <cellStyle name="Normal 2 4 2 20 14 3" xfId="6664" xr:uid="{00000000-0005-0000-0000-0000F7190000}"/>
    <cellStyle name="Normal 2 4 2 20 15" xfId="6665" xr:uid="{00000000-0005-0000-0000-0000F8190000}"/>
    <cellStyle name="Normal 2 4 2 20 15 2" xfId="6666" xr:uid="{00000000-0005-0000-0000-0000F9190000}"/>
    <cellStyle name="Normal 2 4 2 20 15 3" xfId="6667" xr:uid="{00000000-0005-0000-0000-0000FA190000}"/>
    <cellStyle name="Normal 2 4 2 20 16" xfId="6668" xr:uid="{00000000-0005-0000-0000-0000FB190000}"/>
    <cellStyle name="Normal 2 4 2 20 17" xfId="6669" xr:uid="{00000000-0005-0000-0000-0000FC190000}"/>
    <cellStyle name="Normal 2 4 2 20 2" xfId="6670" xr:uid="{00000000-0005-0000-0000-0000FD190000}"/>
    <cellStyle name="Normal 2 4 2 20 2 10" xfId="6671" xr:uid="{00000000-0005-0000-0000-0000FE190000}"/>
    <cellStyle name="Normal 2 4 2 20 2 10 2" xfId="6672" xr:uid="{00000000-0005-0000-0000-0000FF190000}"/>
    <cellStyle name="Normal 2 4 2 20 2 10 3" xfId="6673" xr:uid="{00000000-0005-0000-0000-0000001A0000}"/>
    <cellStyle name="Normal 2 4 2 20 2 11" xfId="6674" xr:uid="{00000000-0005-0000-0000-0000011A0000}"/>
    <cellStyle name="Normal 2 4 2 20 2 11 2" xfId="6675" xr:uid="{00000000-0005-0000-0000-0000021A0000}"/>
    <cellStyle name="Normal 2 4 2 20 2 11 3" xfId="6676" xr:uid="{00000000-0005-0000-0000-0000031A0000}"/>
    <cellStyle name="Normal 2 4 2 20 2 12" xfId="6677" xr:uid="{00000000-0005-0000-0000-0000041A0000}"/>
    <cellStyle name="Normal 2 4 2 20 2 12 2" xfId="6678" xr:uid="{00000000-0005-0000-0000-0000051A0000}"/>
    <cellStyle name="Normal 2 4 2 20 2 12 3" xfId="6679" xr:uid="{00000000-0005-0000-0000-0000061A0000}"/>
    <cellStyle name="Normal 2 4 2 20 2 13" xfId="6680" xr:uid="{00000000-0005-0000-0000-0000071A0000}"/>
    <cellStyle name="Normal 2 4 2 20 2 13 2" xfId="6681" xr:uid="{00000000-0005-0000-0000-0000081A0000}"/>
    <cellStyle name="Normal 2 4 2 20 2 13 3" xfId="6682" xr:uid="{00000000-0005-0000-0000-0000091A0000}"/>
    <cellStyle name="Normal 2 4 2 20 2 14" xfId="6683" xr:uid="{00000000-0005-0000-0000-00000A1A0000}"/>
    <cellStyle name="Normal 2 4 2 20 2 14 2" xfId="6684" xr:uid="{00000000-0005-0000-0000-00000B1A0000}"/>
    <cellStyle name="Normal 2 4 2 20 2 14 3" xfId="6685" xr:uid="{00000000-0005-0000-0000-00000C1A0000}"/>
    <cellStyle name="Normal 2 4 2 20 2 15" xfId="6686" xr:uid="{00000000-0005-0000-0000-00000D1A0000}"/>
    <cellStyle name="Normal 2 4 2 20 2 16" xfId="6687" xr:uid="{00000000-0005-0000-0000-00000E1A0000}"/>
    <cellStyle name="Normal 2 4 2 20 2 2" xfId="6688" xr:uid="{00000000-0005-0000-0000-00000F1A0000}"/>
    <cellStyle name="Normal 2 4 2 20 2 2 2" xfId="6689" xr:uid="{00000000-0005-0000-0000-0000101A0000}"/>
    <cellStyle name="Normal 2 4 2 20 2 2 3" xfId="6690" xr:uid="{00000000-0005-0000-0000-0000111A0000}"/>
    <cellStyle name="Normal 2 4 2 20 2 3" xfId="6691" xr:uid="{00000000-0005-0000-0000-0000121A0000}"/>
    <cellStyle name="Normal 2 4 2 20 2 3 2" xfId="6692" xr:uid="{00000000-0005-0000-0000-0000131A0000}"/>
    <cellStyle name="Normal 2 4 2 20 2 3 3" xfId="6693" xr:uid="{00000000-0005-0000-0000-0000141A0000}"/>
    <cellStyle name="Normal 2 4 2 20 2 4" xfId="6694" xr:uid="{00000000-0005-0000-0000-0000151A0000}"/>
    <cellStyle name="Normal 2 4 2 20 2 4 2" xfId="6695" xr:uid="{00000000-0005-0000-0000-0000161A0000}"/>
    <cellStyle name="Normal 2 4 2 20 2 4 3" xfId="6696" xr:uid="{00000000-0005-0000-0000-0000171A0000}"/>
    <cellStyle name="Normal 2 4 2 20 2 5" xfId="6697" xr:uid="{00000000-0005-0000-0000-0000181A0000}"/>
    <cellStyle name="Normal 2 4 2 20 2 5 2" xfId="6698" xr:uid="{00000000-0005-0000-0000-0000191A0000}"/>
    <cellStyle name="Normal 2 4 2 20 2 5 3" xfId="6699" xr:uid="{00000000-0005-0000-0000-00001A1A0000}"/>
    <cellStyle name="Normal 2 4 2 20 2 6" xfId="6700" xr:uid="{00000000-0005-0000-0000-00001B1A0000}"/>
    <cellStyle name="Normal 2 4 2 20 2 6 2" xfId="6701" xr:uid="{00000000-0005-0000-0000-00001C1A0000}"/>
    <cellStyle name="Normal 2 4 2 20 2 6 3" xfId="6702" xr:uid="{00000000-0005-0000-0000-00001D1A0000}"/>
    <cellStyle name="Normal 2 4 2 20 2 7" xfId="6703" xr:uid="{00000000-0005-0000-0000-00001E1A0000}"/>
    <cellStyle name="Normal 2 4 2 20 2 7 2" xfId="6704" xr:uid="{00000000-0005-0000-0000-00001F1A0000}"/>
    <cellStyle name="Normal 2 4 2 20 2 7 3" xfId="6705" xr:uid="{00000000-0005-0000-0000-0000201A0000}"/>
    <cellStyle name="Normal 2 4 2 20 2 8" xfId="6706" xr:uid="{00000000-0005-0000-0000-0000211A0000}"/>
    <cellStyle name="Normal 2 4 2 20 2 8 2" xfId="6707" xr:uid="{00000000-0005-0000-0000-0000221A0000}"/>
    <cellStyle name="Normal 2 4 2 20 2 8 3" xfId="6708" xr:uid="{00000000-0005-0000-0000-0000231A0000}"/>
    <cellStyle name="Normal 2 4 2 20 2 9" xfId="6709" xr:uid="{00000000-0005-0000-0000-0000241A0000}"/>
    <cellStyle name="Normal 2 4 2 20 2 9 2" xfId="6710" xr:uid="{00000000-0005-0000-0000-0000251A0000}"/>
    <cellStyle name="Normal 2 4 2 20 2 9 3" xfId="6711" xr:uid="{00000000-0005-0000-0000-0000261A0000}"/>
    <cellStyle name="Normal 2 4 2 20 3" xfId="6712" xr:uid="{00000000-0005-0000-0000-0000271A0000}"/>
    <cellStyle name="Normal 2 4 2 20 3 2" xfId="6713" xr:uid="{00000000-0005-0000-0000-0000281A0000}"/>
    <cellStyle name="Normal 2 4 2 20 3 3" xfId="6714" xr:uid="{00000000-0005-0000-0000-0000291A0000}"/>
    <cellStyle name="Normal 2 4 2 20 4" xfId="6715" xr:uid="{00000000-0005-0000-0000-00002A1A0000}"/>
    <cellStyle name="Normal 2 4 2 20 4 2" xfId="6716" xr:uid="{00000000-0005-0000-0000-00002B1A0000}"/>
    <cellStyle name="Normal 2 4 2 20 4 3" xfId="6717" xr:uid="{00000000-0005-0000-0000-00002C1A0000}"/>
    <cellStyle name="Normal 2 4 2 20 5" xfId="6718" xr:uid="{00000000-0005-0000-0000-00002D1A0000}"/>
    <cellStyle name="Normal 2 4 2 20 5 2" xfId="6719" xr:uid="{00000000-0005-0000-0000-00002E1A0000}"/>
    <cellStyle name="Normal 2 4 2 20 5 3" xfId="6720" xr:uid="{00000000-0005-0000-0000-00002F1A0000}"/>
    <cellStyle name="Normal 2 4 2 20 6" xfId="6721" xr:uid="{00000000-0005-0000-0000-0000301A0000}"/>
    <cellStyle name="Normal 2 4 2 20 6 2" xfId="6722" xr:uid="{00000000-0005-0000-0000-0000311A0000}"/>
    <cellStyle name="Normal 2 4 2 20 6 3" xfId="6723" xr:uid="{00000000-0005-0000-0000-0000321A0000}"/>
    <cellStyle name="Normal 2 4 2 20 7" xfId="6724" xr:uid="{00000000-0005-0000-0000-0000331A0000}"/>
    <cellStyle name="Normal 2 4 2 20 7 2" xfId="6725" xr:uid="{00000000-0005-0000-0000-0000341A0000}"/>
    <cellStyle name="Normal 2 4 2 20 7 3" xfId="6726" xr:uid="{00000000-0005-0000-0000-0000351A0000}"/>
    <cellStyle name="Normal 2 4 2 20 8" xfId="6727" xr:uid="{00000000-0005-0000-0000-0000361A0000}"/>
    <cellStyle name="Normal 2 4 2 20 8 2" xfId="6728" xr:uid="{00000000-0005-0000-0000-0000371A0000}"/>
    <cellStyle name="Normal 2 4 2 20 8 3" xfId="6729" xr:uid="{00000000-0005-0000-0000-0000381A0000}"/>
    <cellStyle name="Normal 2 4 2 20 9" xfId="6730" xr:uid="{00000000-0005-0000-0000-0000391A0000}"/>
    <cellStyle name="Normal 2 4 2 20 9 2" xfId="6731" xr:uid="{00000000-0005-0000-0000-00003A1A0000}"/>
    <cellStyle name="Normal 2 4 2 20 9 3" xfId="6732" xr:uid="{00000000-0005-0000-0000-00003B1A0000}"/>
    <cellStyle name="Normal 2 4 2 21" xfId="6733" xr:uid="{00000000-0005-0000-0000-00003C1A0000}"/>
    <cellStyle name="Normal 2 4 2 21 10" xfId="6734" xr:uid="{00000000-0005-0000-0000-00003D1A0000}"/>
    <cellStyle name="Normal 2 4 2 21 10 2" xfId="6735" xr:uid="{00000000-0005-0000-0000-00003E1A0000}"/>
    <cellStyle name="Normal 2 4 2 21 10 3" xfId="6736" xr:uid="{00000000-0005-0000-0000-00003F1A0000}"/>
    <cellStyle name="Normal 2 4 2 21 11" xfId="6737" xr:uid="{00000000-0005-0000-0000-0000401A0000}"/>
    <cellStyle name="Normal 2 4 2 21 11 2" xfId="6738" xr:uid="{00000000-0005-0000-0000-0000411A0000}"/>
    <cellStyle name="Normal 2 4 2 21 11 3" xfId="6739" xr:uid="{00000000-0005-0000-0000-0000421A0000}"/>
    <cellStyle name="Normal 2 4 2 21 12" xfId="6740" xr:uid="{00000000-0005-0000-0000-0000431A0000}"/>
    <cellStyle name="Normal 2 4 2 21 12 2" xfId="6741" xr:uid="{00000000-0005-0000-0000-0000441A0000}"/>
    <cellStyle name="Normal 2 4 2 21 12 3" xfId="6742" xr:uid="{00000000-0005-0000-0000-0000451A0000}"/>
    <cellStyle name="Normal 2 4 2 21 13" xfId="6743" xr:uid="{00000000-0005-0000-0000-0000461A0000}"/>
    <cellStyle name="Normal 2 4 2 21 13 2" xfId="6744" xr:uid="{00000000-0005-0000-0000-0000471A0000}"/>
    <cellStyle name="Normal 2 4 2 21 13 3" xfId="6745" xr:uid="{00000000-0005-0000-0000-0000481A0000}"/>
    <cellStyle name="Normal 2 4 2 21 14" xfId="6746" xr:uid="{00000000-0005-0000-0000-0000491A0000}"/>
    <cellStyle name="Normal 2 4 2 21 14 2" xfId="6747" xr:uid="{00000000-0005-0000-0000-00004A1A0000}"/>
    <cellStyle name="Normal 2 4 2 21 14 3" xfId="6748" xr:uid="{00000000-0005-0000-0000-00004B1A0000}"/>
    <cellStyle name="Normal 2 4 2 21 15" xfId="6749" xr:uid="{00000000-0005-0000-0000-00004C1A0000}"/>
    <cellStyle name="Normal 2 4 2 21 15 2" xfId="6750" xr:uid="{00000000-0005-0000-0000-00004D1A0000}"/>
    <cellStyle name="Normal 2 4 2 21 15 3" xfId="6751" xr:uid="{00000000-0005-0000-0000-00004E1A0000}"/>
    <cellStyle name="Normal 2 4 2 21 16" xfId="6752" xr:uid="{00000000-0005-0000-0000-00004F1A0000}"/>
    <cellStyle name="Normal 2 4 2 21 17" xfId="6753" xr:uid="{00000000-0005-0000-0000-0000501A0000}"/>
    <cellStyle name="Normal 2 4 2 21 2" xfId="6754" xr:uid="{00000000-0005-0000-0000-0000511A0000}"/>
    <cellStyle name="Normal 2 4 2 21 2 10" xfId="6755" xr:uid="{00000000-0005-0000-0000-0000521A0000}"/>
    <cellStyle name="Normal 2 4 2 21 2 10 2" xfId="6756" xr:uid="{00000000-0005-0000-0000-0000531A0000}"/>
    <cellStyle name="Normal 2 4 2 21 2 10 3" xfId="6757" xr:uid="{00000000-0005-0000-0000-0000541A0000}"/>
    <cellStyle name="Normal 2 4 2 21 2 11" xfId="6758" xr:uid="{00000000-0005-0000-0000-0000551A0000}"/>
    <cellStyle name="Normal 2 4 2 21 2 11 2" xfId="6759" xr:uid="{00000000-0005-0000-0000-0000561A0000}"/>
    <cellStyle name="Normal 2 4 2 21 2 11 3" xfId="6760" xr:uid="{00000000-0005-0000-0000-0000571A0000}"/>
    <cellStyle name="Normal 2 4 2 21 2 12" xfId="6761" xr:uid="{00000000-0005-0000-0000-0000581A0000}"/>
    <cellStyle name="Normal 2 4 2 21 2 12 2" xfId="6762" xr:uid="{00000000-0005-0000-0000-0000591A0000}"/>
    <cellStyle name="Normal 2 4 2 21 2 12 3" xfId="6763" xr:uid="{00000000-0005-0000-0000-00005A1A0000}"/>
    <cellStyle name="Normal 2 4 2 21 2 13" xfId="6764" xr:uid="{00000000-0005-0000-0000-00005B1A0000}"/>
    <cellStyle name="Normal 2 4 2 21 2 13 2" xfId="6765" xr:uid="{00000000-0005-0000-0000-00005C1A0000}"/>
    <cellStyle name="Normal 2 4 2 21 2 13 3" xfId="6766" xr:uid="{00000000-0005-0000-0000-00005D1A0000}"/>
    <cellStyle name="Normal 2 4 2 21 2 14" xfId="6767" xr:uid="{00000000-0005-0000-0000-00005E1A0000}"/>
    <cellStyle name="Normal 2 4 2 21 2 14 2" xfId="6768" xr:uid="{00000000-0005-0000-0000-00005F1A0000}"/>
    <cellStyle name="Normal 2 4 2 21 2 14 3" xfId="6769" xr:uid="{00000000-0005-0000-0000-0000601A0000}"/>
    <cellStyle name="Normal 2 4 2 21 2 15" xfId="6770" xr:uid="{00000000-0005-0000-0000-0000611A0000}"/>
    <cellStyle name="Normal 2 4 2 21 2 16" xfId="6771" xr:uid="{00000000-0005-0000-0000-0000621A0000}"/>
    <cellStyle name="Normal 2 4 2 21 2 2" xfId="6772" xr:uid="{00000000-0005-0000-0000-0000631A0000}"/>
    <cellStyle name="Normal 2 4 2 21 2 2 2" xfId="6773" xr:uid="{00000000-0005-0000-0000-0000641A0000}"/>
    <cellStyle name="Normal 2 4 2 21 2 2 3" xfId="6774" xr:uid="{00000000-0005-0000-0000-0000651A0000}"/>
    <cellStyle name="Normal 2 4 2 21 2 3" xfId="6775" xr:uid="{00000000-0005-0000-0000-0000661A0000}"/>
    <cellStyle name="Normal 2 4 2 21 2 3 2" xfId="6776" xr:uid="{00000000-0005-0000-0000-0000671A0000}"/>
    <cellStyle name="Normal 2 4 2 21 2 3 3" xfId="6777" xr:uid="{00000000-0005-0000-0000-0000681A0000}"/>
    <cellStyle name="Normal 2 4 2 21 2 4" xfId="6778" xr:uid="{00000000-0005-0000-0000-0000691A0000}"/>
    <cellStyle name="Normal 2 4 2 21 2 4 2" xfId="6779" xr:uid="{00000000-0005-0000-0000-00006A1A0000}"/>
    <cellStyle name="Normal 2 4 2 21 2 4 3" xfId="6780" xr:uid="{00000000-0005-0000-0000-00006B1A0000}"/>
    <cellStyle name="Normal 2 4 2 21 2 5" xfId="6781" xr:uid="{00000000-0005-0000-0000-00006C1A0000}"/>
    <cellStyle name="Normal 2 4 2 21 2 5 2" xfId="6782" xr:uid="{00000000-0005-0000-0000-00006D1A0000}"/>
    <cellStyle name="Normal 2 4 2 21 2 5 3" xfId="6783" xr:uid="{00000000-0005-0000-0000-00006E1A0000}"/>
    <cellStyle name="Normal 2 4 2 21 2 6" xfId="6784" xr:uid="{00000000-0005-0000-0000-00006F1A0000}"/>
    <cellStyle name="Normal 2 4 2 21 2 6 2" xfId="6785" xr:uid="{00000000-0005-0000-0000-0000701A0000}"/>
    <cellStyle name="Normal 2 4 2 21 2 6 3" xfId="6786" xr:uid="{00000000-0005-0000-0000-0000711A0000}"/>
    <cellStyle name="Normal 2 4 2 21 2 7" xfId="6787" xr:uid="{00000000-0005-0000-0000-0000721A0000}"/>
    <cellStyle name="Normal 2 4 2 21 2 7 2" xfId="6788" xr:uid="{00000000-0005-0000-0000-0000731A0000}"/>
    <cellStyle name="Normal 2 4 2 21 2 7 3" xfId="6789" xr:uid="{00000000-0005-0000-0000-0000741A0000}"/>
    <cellStyle name="Normal 2 4 2 21 2 8" xfId="6790" xr:uid="{00000000-0005-0000-0000-0000751A0000}"/>
    <cellStyle name="Normal 2 4 2 21 2 8 2" xfId="6791" xr:uid="{00000000-0005-0000-0000-0000761A0000}"/>
    <cellStyle name="Normal 2 4 2 21 2 8 3" xfId="6792" xr:uid="{00000000-0005-0000-0000-0000771A0000}"/>
    <cellStyle name="Normal 2 4 2 21 2 9" xfId="6793" xr:uid="{00000000-0005-0000-0000-0000781A0000}"/>
    <cellStyle name="Normal 2 4 2 21 2 9 2" xfId="6794" xr:uid="{00000000-0005-0000-0000-0000791A0000}"/>
    <cellStyle name="Normal 2 4 2 21 2 9 3" xfId="6795" xr:uid="{00000000-0005-0000-0000-00007A1A0000}"/>
    <cellStyle name="Normal 2 4 2 21 3" xfId="6796" xr:uid="{00000000-0005-0000-0000-00007B1A0000}"/>
    <cellStyle name="Normal 2 4 2 21 3 2" xfId="6797" xr:uid="{00000000-0005-0000-0000-00007C1A0000}"/>
    <cellStyle name="Normal 2 4 2 21 3 3" xfId="6798" xr:uid="{00000000-0005-0000-0000-00007D1A0000}"/>
    <cellStyle name="Normal 2 4 2 21 4" xfId="6799" xr:uid="{00000000-0005-0000-0000-00007E1A0000}"/>
    <cellStyle name="Normal 2 4 2 21 4 2" xfId="6800" xr:uid="{00000000-0005-0000-0000-00007F1A0000}"/>
    <cellStyle name="Normal 2 4 2 21 4 3" xfId="6801" xr:uid="{00000000-0005-0000-0000-0000801A0000}"/>
    <cellStyle name="Normal 2 4 2 21 5" xfId="6802" xr:uid="{00000000-0005-0000-0000-0000811A0000}"/>
    <cellStyle name="Normal 2 4 2 21 5 2" xfId="6803" xr:uid="{00000000-0005-0000-0000-0000821A0000}"/>
    <cellStyle name="Normal 2 4 2 21 5 3" xfId="6804" xr:uid="{00000000-0005-0000-0000-0000831A0000}"/>
    <cellStyle name="Normal 2 4 2 21 6" xfId="6805" xr:uid="{00000000-0005-0000-0000-0000841A0000}"/>
    <cellStyle name="Normal 2 4 2 21 6 2" xfId="6806" xr:uid="{00000000-0005-0000-0000-0000851A0000}"/>
    <cellStyle name="Normal 2 4 2 21 6 3" xfId="6807" xr:uid="{00000000-0005-0000-0000-0000861A0000}"/>
    <cellStyle name="Normal 2 4 2 21 7" xfId="6808" xr:uid="{00000000-0005-0000-0000-0000871A0000}"/>
    <cellStyle name="Normal 2 4 2 21 7 2" xfId="6809" xr:uid="{00000000-0005-0000-0000-0000881A0000}"/>
    <cellStyle name="Normal 2 4 2 21 7 3" xfId="6810" xr:uid="{00000000-0005-0000-0000-0000891A0000}"/>
    <cellStyle name="Normal 2 4 2 21 8" xfId="6811" xr:uid="{00000000-0005-0000-0000-00008A1A0000}"/>
    <cellStyle name="Normal 2 4 2 21 8 2" xfId="6812" xr:uid="{00000000-0005-0000-0000-00008B1A0000}"/>
    <cellStyle name="Normal 2 4 2 21 8 3" xfId="6813" xr:uid="{00000000-0005-0000-0000-00008C1A0000}"/>
    <cellStyle name="Normal 2 4 2 21 9" xfId="6814" xr:uid="{00000000-0005-0000-0000-00008D1A0000}"/>
    <cellStyle name="Normal 2 4 2 21 9 2" xfId="6815" xr:uid="{00000000-0005-0000-0000-00008E1A0000}"/>
    <cellStyle name="Normal 2 4 2 21 9 3" xfId="6816" xr:uid="{00000000-0005-0000-0000-00008F1A0000}"/>
    <cellStyle name="Normal 2 4 2 22" xfId="6817" xr:uid="{00000000-0005-0000-0000-0000901A0000}"/>
    <cellStyle name="Normal 2 4 2 22 10" xfId="6818" xr:uid="{00000000-0005-0000-0000-0000911A0000}"/>
    <cellStyle name="Normal 2 4 2 22 10 2" xfId="6819" xr:uid="{00000000-0005-0000-0000-0000921A0000}"/>
    <cellStyle name="Normal 2 4 2 22 10 3" xfId="6820" xr:uid="{00000000-0005-0000-0000-0000931A0000}"/>
    <cellStyle name="Normal 2 4 2 22 11" xfId="6821" xr:uid="{00000000-0005-0000-0000-0000941A0000}"/>
    <cellStyle name="Normal 2 4 2 22 11 2" xfId="6822" xr:uid="{00000000-0005-0000-0000-0000951A0000}"/>
    <cellStyle name="Normal 2 4 2 22 11 3" xfId="6823" xr:uid="{00000000-0005-0000-0000-0000961A0000}"/>
    <cellStyle name="Normal 2 4 2 22 12" xfId="6824" xr:uid="{00000000-0005-0000-0000-0000971A0000}"/>
    <cellStyle name="Normal 2 4 2 22 12 2" xfId="6825" xr:uid="{00000000-0005-0000-0000-0000981A0000}"/>
    <cellStyle name="Normal 2 4 2 22 12 3" xfId="6826" xr:uid="{00000000-0005-0000-0000-0000991A0000}"/>
    <cellStyle name="Normal 2 4 2 22 13" xfId="6827" xr:uid="{00000000-0005-0000-0000-00009A1A0000}"/>
    <cellStyle name="Normal 2 4 2 22 13 2" xfId="6828" xr:uid="{00000000-0005-0000-0000-00009B1A0000}"/>
    <cellStyle name="Normal 2 4 2 22 13 3" xfId="6829" xr:uid="{00000000-0005-0000-0000-00009C1A0000}"/>
    <cellStyle name="Normal 2 4 2 22 14" xfId="6830" xr:uid="{00000000-0005-0000-0000-00009D1A0000}"/>
    <cellStyle name="Normal 2 4 2 22 14 2" xfId="6831" xr:uid="{00000000-0005-0000-0000-00009E1A0000}"/>
    <cellStyle name="Normal 2 4 2 22 14 3" xfId="6832" xr:uid="{00000000-0005-0000-0000-00009F1A0000}"/>
    <cellStyle name="Normal 2 4 2 22 15" xfId="6833" xr:uid="{00000000-0005-0000-0000-0000A01A0000}"/>
    <cellStyle name="Normal 2 4 2 22 16" xfId="6834" xr:uid="{00000000-0005-0000-0000-0000A11A0000}"/>
    <cellStyle name="Normal 2 4 2 22 2" xfId="6835" xr:uid="{00000000-0005-0000-0000-0000A21A0000}"/>
    <cellStyle name="Normal 2 4 2 22 2 2" xfId="6836" xr:uid="{00000000-0005-0000-0000-0000A31A0000}"/>
    <cellStyle name="Normal 2 4 2 22 2 3" xfId="6837" xr:uid="{00000000-0005-0000-0000-0000A41A0000}"/>
    <cellStyle name="Normal 2 4 2 22 3" xfId="6838" xr:uid="{00000000-0005-0000-0000-0000A51A0000}"/>
    <cellStyle name="Normal 2 4 2 22 3 2" xfId="6839" xr:uid="{00000000-0005-0000-0000-0000A61A0000}"/>
    <cellStyle name="Normal 2 4 2 22 3 3" xfId="6840" xr:uid="{00000000-0005-0000-0000-0000A71A0000}"/>
    <cellStyle name="Normal 2 4 2 22 4" xfId="6841" xr:uid="{00000000-0005-0000-0000-0000A81A0000}"/>
    <cellStyle name="Normal 2 4 2 22 4 2" xfId="6842" xr:uid="{00000000-0005-0000-0000-0000A91A0000}"/>
    <cellStyle name="Normal 2 4 2 22 4 3" xfId="6843" xr:uid="{00000000-0005-0000-0000-0000AA1A0000}"/>
    <cellStyle name="Normal 2 4 2 22 5" xfId="6844" xr:uid="{00000000-0005-0000-0000-0000AB1A0000}"/>
    <cellStyle name="Normal 2 4 2 22 5 2" xfId="6845" xr:uid="{00000000-0005-0000-0000-0000AC1A0000}"/>
    <cellStyle name="Normal 2 4 2 22 5 3" xfId="6846" xr:uid="{00000000-0005-0000-0000-0000AD1A0000}"/>
    <cellStyle name="Normal 2 4 2 22 6" xfId="6847" xr:uid="{00000000-0005-0000-0000-0000AE1A0000}"/>
    <cellStyle name="Normal 2 4 2 22 6 2" xfId="6848" xr:uid="{00000000-0005-0000-0000-0000AF1A0000}"/>
    <cellStyle name="Normal 2 4 2 22 6 3" xfId="6849" xr:uid="{00000000-0005-0000-0000-0000B01A0000}"/>
    <cellStyle name="Normal 2 4 2 22 7" xfId="6850" xr:uid="{00000000-0005-0000-0000-0000B11A0000}"/>
    <cellStyle name="Normal 2 4 2 22 7 2" xfId="6851" xr:uid="{00000000-0005-0000-0000-0000B21A0000}"/>
    <cellStyle name="Normal 2 4 2 22 7 3" xfId="6852" xr:uid="{00000000-0005-0000-0000-0000B31A0000}"/>
    <cellStyle name="Normal 2 4 2 22 8" xfId="6853" xr:uid="{00000000-0005-0000-0000-0000B41A0000}"/>
    <cellStyle name="Normal 2 4 2 22 8 2" xfId="6854" xr:uid="{00000000-0005-0000-0000-0000B51A0000}"/>
    <cellStyle name="Normal 2 4 2 22 8 3" xfId="6855" xr:uid="{00000000-0005-0000-0000-0000B61A0000}"/>
    <cellStyle name="Normal 2 4 2 22 9" xfId="6856" xr:uid="{00000000-0005-0000-0000-0000B71A0000}"/>
    <cellStyle name="Normal 2 4 2 22 9 2" xfId="6857" xr:uid="{00000000-0005-0000-0000-0000B81A0000}"/>
    <cellStyle name="Normal 2 4 2 22 9 3" xfId="6858" xr:uid="{00000000-0005-0000-0000-0000B91A0000}"/>
    <cellStyle name="Normal 2 4 2 23" xfId="6859" xr:uid="{00000000-0005-0000-0000-0000BA1A0000}"/>
    <cellStyle name="Normal 2 4 2 23 10" xfId="6860" xr:uid="{00000000-0005-0000-0000-0000BB1A0000}"/>
    <cellStyle name="Normal 2 4 2 23 10 2" xfId="6861" xr:uid="{00000000-0005-0000-0000-0000BC1A0000}"/>
    <cellStyle name="Normal 2 4 2 23 10 3" xfId="6862" xr:uid="{00000000-0005-0000-0000-0000BD1A0000}"/>
    <cellStyle name="Normal 2 4 2 23 11" xfId="6863" xr:uid="{00000000-0005-0000-0000-0000BE1A0000}"/>
    <cellStyle name="Normal 2 4 2 23 11 2" xfId="6864" xr:uid="{00000000-0005-0000-0000-0000BF1A0000}"/>
    <cellStyle name="Normal 2 4 2 23 11 3" xfId="6865" xr:uid="{00000000-0005-0000-0000-0000C01A0000}"/>
    <cellStyle name="Normal 2 4 2 23 12" xfId="6866" xr:uid="{00000000-0005-0000-0000-0000C11A0000}"/>
    <cellStyle name="Normal 2 4 2 23 12 2" xfId="6867" xr:uid="{00000000-0005-0000-0000-0000C21A0000}"/>
    <cellStyle name="Normal 2 4 2 23 12 3" xfId="6868" xr:uid="{00000000-0005-0000-0000-0000C31A0000}"/>
    <cellStyle name="Normal 2 4 2 23 13" xfId="6869" xr:uid="{00000000-0005-0000-0000-0000C41A0000}"/>
    <cellStyle name="Normal 2 4 2 23 13 2" xfId="6870" xr:uid="{00000000-0005-0000-0000-0000C51A0000}"/>
    <cellStyle name="Normal 2 4 2 23 13 3" xfId="6871" xr:uid="{00000000-0005-0000-0000-0000C61A0000}"/>
    <cellStyle name="Normal 2 4 2 23 14" xfId="6872" xr:uid="{00000000-0005-0000-0000-0000C71A0000}"/>
    <cellStyle name="Normal 2 4 2 23 14 2" xfId="6873" xr:uid="{00000000-0005-0000-0000-0000C81A0000}"/>
    <cellStyle name="Normal 2 4 2 23 14 3" xfId="6874" xr:uid="{00000000-0005-0000-0000-0000C91A0000}"/>
    <cellStyle name="Normal 2 4 2 23 15" xfId="6875" xr:uid="{00000000-0005-0000-0000-0000CA1A0000}"/>
    <cellStyle name="Normal 2 4 2 23 16" xfId="6876" xr:uid="{00000000-0005-0000-0000-0000CB1A0000}"/>
    <cellStyle name="Normal 2 4 2 23 2" xfId="6877" xr:uid="{00000000-0005-0000-0000-0000CC1A0000}"/>
    <cellStyle name="Normal 2 4 2 23 2 2" xfId="6878" xr:uid="{00000000-0005-0000-0000-0000CD1A0000}"/>
    <cellStyle name="Normal 2 4 2 23 2 3" xfId="6879" xr:uid="{00000000-0005-0000-0000-0000CE1A0000}"/>
    <cellStyle name="Normal 2 4 2 23 3" xfId="6880" xr:uid="{00000000-0005-0000-0000-0000CF1A0000}"/>
    <cellStyle name="Normal 2 4 2 23 3 2" xfId="6881" xr:uid="{00000000-0005-0000-0000-0000D01A0000}"/>
    <cellStyle name="Normal 2 4 2 23 3 3" xfId="6882" xr:uid="{00000000-0005-0000-0000-0000D11A0000}"/>
    <cellStyle name="Normal 2 4 2 23 4" xfId="6883" xr:uid="{00000000-0005-0000-0000-0000D21A0000}"/>
    <cellStyle name="Normal 2 4 2 23 4 2" xfId="6884" xr:uid="{00000000-0005-0000-0000-0000D31A0000}"/>
    <cellStyle name="Normal 2 4 2 23 4 3" xfId="6885" xr:uid="{00000000-0005-0000-0000-0000D41A0000}"/>
    <cellStyle name="Normal 2 4 2 23 5" xfId="6886" xr:uid="{00000000-0005-0000-0000-0000D51A0000}"/>
    <cellStyle name="Normal 2 4 2 23 5 2" xfId="6887" xr:uid="{00000000-0005-0000-0000-0000D61A0000}"/>
    <cellStyle name="Normal 2 4 2 23 5 3" xfId="6888" xr:uid="{00000000-0005-0000-0000-0000D71A0000}"/>
    <cellStyle name="Normal 2 4 2 23 6" xfId="6889" xr:uid="{00000000-0005-0000-0000-0000D81A0000}"/>
    <cellStyle name="Normal 2 4 2 23 6 2" xfId="6890" xr:uid="{00000000-0005-0000-0000-0000D91A0000}"/>
    <cellStyle name="Normal 2 4 2 23 6 3" xfId="6891" xr:uid="{00000000-0005-0000-0000-0000DA1A0000}"/>
    <cellStyle name="Normal 2 4 2 23 7" xfId="6892" xr:uid="{00000000-0005-0000-0000-0000DB1A0000}"/>
    <cellStyle name="Normal 2 4 2 23 7 2" xfId="6893" xr:uid="{00000000-0005-0000-0000-0000DC1A0000}"/>
    <cellStyle name="Normal 2 4 2 23 7 3" xfId="6894" xr:uid="{00000000-0005-0000-0000-0000DD1A0000}"/>
    <cellStyle name="Normal 2 4 2 23 8" xfId="6895" xr:uid="{00000000-0005-0000-0000-0000DE1A0000}"/>
    <cellStyle name="Normal 2 4 2 23 8 2" xfId="6896" xr:uid="{00000000-0005-0000-0000-0000DF1A0000}"/>
    <cellStyle name="Normal 2 4 2 23 8 3" xfId="6897" xr:uid="{00000000-0005-0000-0000-0000E01A0000}"/>
    <cellStyle name="Normal 2 4 2 23 9" xfId="6898" xr:uid="{00000000-0005-0000-0000-0000E11A0000}"/>
    <cellStyle name="Normal 2 4 2 23 9 2" xfId="6899" xr:uid="{00000000-0005-0000-0000-0000E21A0000}"/>
    <cellStyle name="Normal 2 4 2 23 9 3" xfId="6900" xr:uid="{00000000-0005-0000-0000-0000E31A0000}"/>
    <cellStyle name="Normal 2 4 2 24" xfId="6901" xr:uid="{00000000-0005-0000-0000-0000E41A0000}"/>
    <cellStyle name="Normal 2 4 2 24 10" xfId="6902" xr:uid="{00000000-0005-0000-0000-0000E51A0000}"/>
    <cellStyle name="Normal 2 4 2 24 10 2" xfId="6903" xr:uid="{00000000-0005-0000-0000-0000E61A0000}"/>
    <cellStyle name="Normal 2 4 2 24 10 3" xfId="6904" xr:uid="{00000000-0005-0000-0000-0000E71A0000}"/>
    <cellStyle name="Normal 2 4 2 24 11" xfId="6905" xr:uid="{00000000-0005-0000-0000-0000E81A0000}"/>
    <cellStyle name="Normal 2 4 2 24 11 2" xfId="6906" xr:uid="{00000000-0005-0000-0000-0000E91A0000}"/>
    <cellStyle name="Normal 2 4 2 24 11 3" xfId="6907" xr:uid="{00000000-0005-0000-0000-0000EA1A0000}"/>
    <cellStyle name="Normal 2 4 2 24 12" xfId="6908" xr:uid="{00000000-0005-0000-0000-0000EB1A0000}"/>
    <cellStyle name="Normal 2 4 2 24 12 2" xfId="6909" xr:uid="{00000000-0005-0000-0000-0000EC1A0000}"/>
    <cellStyle name="Normal 2 4 2 24 12 3" xfId="6910" xr:uid="{00000000-0005-0000-0000-0000ED1A0000}"/>
    <cellStyle name="Normal 2 4 2 24 13" xfId="6911" xr:uid="{00000000-0005-0000-0000-0000EE1A0000}"/>
    <cellStyle name="Normal 2 4 2 24 13 2" xfId="6912" xr:uid="{00000000-0005-0000-0000-0000EF1A0000}"/>
    <cellStyle name="Normal 2 4 2 24 13 3" xfId="6913" xr:uid="{00000000-0005-0000-0000-0000F01A0000}"/>
    <cellStyle name="Normal 2 4 2 24 14" xfId="6914" xr:uid="{00000000-0005-0000-0000-0000F11A0000}"/>
    <cellStyle name="Normal 2 4 2 24 14 2" xfId="6915" xr:uid="{00000000-0005-0000-0000-0000F21A0000}"/>
    <cellStyle name="Normal 2 4 2 24 14 3" xfId="6916" xr:uid="{00000000-0005-0000-0000-0000F31A0000}"/>
    <cellStyle name="Normal 2 4 2 24 15" xfId="6917" xr:uid="{00000000-0005-0000-0000-0000F41A0000}"/>
    <cellStyle name="Normal 2 4 2 24 16" xfId="6918" xr:uid="{00000000-0005-0000-0000-0000F51A0000}"/>
    <cellStyle name="Normal 2 4 2 24 2" xfId="6919" xr:uid="{00000000-0005-0000-0000-0000F61A0000}"/>
    <cellStyle name="Normal 2 4 2 24 2 2" xfId="6920" xr:uid="{00000000-0005-0000-0000-0000F71A0000}"/>
    <cellStyle name="Normal 2 4 2 24 2 3" xfId="6921" xr:uid="{00000000-0005-0000-0000-0000F81A0000}"/>
    <cellStyle name="Normal 2 4 2 24 3" xfId="6922" xr:uid="{00000000-0005-0000-0000-0000F91A0000}"/>
    <cellStyle name="Normal 2 4 2 24 3 2" xfId="6923" xr:uid="{00000000-0005-0000-0000-0000FA1A0000}"/>
    <cellStyle name="Normal 2 4 2 24 3 3" xfId="6924" xr:uid="{00000000-0005-0000-0000-0000FB1A0000}"/>
    <cellStyle name="Normal 2 4 2 24 4" xfId="6925" xr:uid="{00000000-0005-0000-0000-0000FC1A0000}"/>
    <cellStyle name="Normal 2 4 2 24 4 2" xfId="6926" xr:uid="{00000000-0005-0000-0000-0000FD1A0000}"/>
    <cellStyle name="Normal 2 4 2 24 4 3" xfId="6927" xr:uid="{00000000-0005-0000-0000-0000FE1A0000}"/>
    <cellStyle name="Normal 2 4 2 24 5" xfId="6928" xr:uid="{00000000-0005-0000-0000-0000FF1A0000}"/>
    <cellStyle name="Normal 2 4 2 24 5 2" xfId="6929" xr:uid="{00000000-0005-0000-0000-0000001B0000}"/>
    <cellStyle name="Normal 2 4 2 24 5 3" xfId="6930" xr:uid="{00000000-0005-0000-0000-0000011B0000}"/>
    <cellStyle name="Normal 2 4 2 24 6" xfId="6931" xr:uid="{00000000-0005-0000-0000-0000021B0000}"/>
    <cellStyle name="Normal 2 4 2 24 6 2" xfId="6932" xr:uid="{00000000-0005-0000-0000-0000031B0000}"/>
    <cellStyle name="Normal 2 4 2 24 6 3" xfId="6933" xr:uid="{00000000-0005-0000-0000-0000041B0000}"/>
    <cellStyle name="Normal 2 4 2 24 7" xfId="6934" xr:uid="{00000000-0005-0000-0000-0000051B0000}"/>
    <cellStyle name="Normal 2 4 2 24 7 2" xfId="6935" xr:uid="{00000000-0005-0000-0000-0000061B0000}"/>
    <cellStyle name="Normal 2 4 2 24 7 3" xfId="6936" xr:uid="{00000000-0005-0000-0000-0000071B0000}"/>
    <cellStyle name="Normal 2 4 2 24 8" xfId="6937" xr:uid="{00000000-0005-0000-0000-0000081B0000}"/>
    <cellStyle name="Normal 2 4 2 24 8 2" xfId="6938" xr:uid="{00000000-0005-0000-0000-0000091B0000}"/>
    <cellStyle name="Normal 2 4 2 24 8 3" xfId="6939" xr:uid="{00000000-0005-0000-0000-00000A1B0000}"/>
    <cellStyle name="Normal 2 4 2 24 9" xfId="6940" xr:uid="{00000000-0005-0000-0000-00000B1B0000}"/>
    <cellStyle name="Normal 2 4 2 24 9 2" xfId="6941" xr:uid="{00000000-0005-0000-0000-00000C1B0000}"/>
    <cellStyle name="Normal 2 4 2 24 9 3" xfId="6942" xr:uid="{00000000-0005-0000-0000-00000D1B0000}"/>
    <cellStyle name="Normal 2 4 2 25" xfId="6943" xr:uid="{00000000-0005-0000-0000-00000E1B0000}"/>
    <cellStyle name="Normal 2 4 2 25 10" xfId="6944" xr:uid="{00000000-0005-0000-0000-00000F1B0000}"/>
    <cellStyle name="Normal 2 4 2 25 10 2" xfId="6945" xr:uid="{00000000-0005-0000-0000-0000101B0000}"/>
    <cellStyle name="Normal 2 4 2 25 10 3" xfId="6946" xr:uid="{00000000-0005-0000-0000-0000111B0000}"/>
    <cellStyle name="Normal 2 4 2 25 11" xfId="6947" xr:uid="{00000000-0005-0000-0000-0000121B0000}"/>
    <cellStyle name="Normal 2 4 2 25 11 2" xfId="6948" xr:uid="{00000000-0005-0000-0000-0000131B0000}"/>
    <cellStyle name="Normal 2 4 2 25 11 3" xfId="6949" xr:uid="{00000000-0005-0000-0000-0000141B0000}"/>
    <cellStyle name="Normal 2 4 2 25 12" xfId="6950" xr:uid="{00000000-0005-0000-0000-0000151B0000}"/>
    <cellStyle name="Normal 2 4 2 25 12 2" xfId="6951" xr:uid="{00000000-0005-0000-0000-0000161B0000}"/>
    <cellStyle name="Normal 2 4 2 25 12 3" xfId="6952" xr:uid="{00000000-0005-0000-0000-0000171B0000}"/>
    <cellStyle name="Normal 2 4 2 25 13" xfId="6953" xr:uid="{00000000-0005-0000-0000-0000181B0000}"/>
    <cellStyle name="Normal 2 4 2 25 13 2" xfId="6954" xr:uid="{00000000-0005-0000-0000-0000191B0000}"/>
    <cellStyle name="Normal 2 4 2 25 13 3" xfId="6955" xr:uid="{00000000-0005-0000-0000-00001A1B0000}"/>
    <cellStyle name="Normal 2 4 2 25 14" xfId="6956" xr:uid="{00000000-0005-0000-0000-00001B1B0000}"/>
    <cellStyle name="Normal 2 4 2 25 14 2" xfId="6957" xr:uid="{00000000-0005-0000-0000-00001C1B0000}"/>
    <cellStyle name="Normal 2 4 2 25 14 3" xfId="6958" xr:uid="{00000000-0005-0000-0000-00001D1B0000}"/>
    <cellStyle name="Normal 2 4 2 25 15" xfId="6959" xr:uid="{00000000-0005-0000-0000-00001E1B0000}"/>
    <cellStyle name="Normal 2 4 2 25 16" xfId="6960" xr:uid="{00000000-0005-0000-0000-00001F1B0000}"/>
    <cellStyle name="Normal 2 4 2 25 2" xfId="6961" xr:uid="{00000000-0005-0000-0000-0000201B0000}"/>
    <cellStyle name="Normal 2 4 2 25 2 2" xfId="6962" xr:uid="{00000000-0005-0000-0000-0000211B0000}"/>
    <cellStyle name="Normal 2 4 2 25 2 3" xfId="6963" xr:uid="{00000000-0005-0000-0000-0000221B0000}"/>
    <cellStyle name="Normal 2 4 2 25 3" xfId="6964" xr:uid="{00000000-0005-0000-0000-0000231B0000}"/>
    <cellStyle name="Normal 2 4 2 25 3 2" xfId="6965" xr:uid="{00000000-0005-0000-0000-0000241B0000}"/>
    <cellStyle name="Normal 2 4 2 25 3 3" xfId="6966" xr:uid="{00000000-0005-0000-0000-0000251B0000}"/>
    <cellStyle name="Normal 2 4 2 25 4" xfId="6967" xr:uid="{00000000-0005-0000-0000-0000261B0000}"/>
    <cellStyle name="Normal 2 4 2 25 4 2" xfId="6968" xr:uid="{00000000-0005-0000-0000-0000271B0000}"/>
    <cellStyle name="Normal 2 4 2 25 4 3" xfId="6969" xr:uid="{00000000-0005-0000-0000-0000281B0000}"/>
    <cellStyle name="Normal 2 4 2 25 5" xfId="6970" xr:uid="{00000000-0005-0000-0000-0000291B0000}"/>
    <cellStyle name="Normal 2 4 2 25 5 2" xfId="6971" xr:uid="{00000000-0005-0000-0000-00002A1B0000}"/>
    <cellStyle name="Normal 2 4 2 25 5 3" xfId="6972" xr:uid="{00000000-0005-0000-0000-00002B1B0000}"/>
    <cellStyle name="Normal 2 4 2 25 6" xfId="6973" xr:uid="{00000000-0005-0000-0000-00002C1B0000}"/>
    <cellStyle name="Normal 2 4 2 25 6 2" xfId="6974" xr:uid="{00000000-0005-0000-0000-00002D1B0000}"/>
    <cellStyle name="Normal 2 4 2 25 6 3" xfId="6975" xr:uid="{00000000-0005-0000-0000-00002E1B0000}"/>
    <cellStyle name="Normal 2 4 2 25 7" xfId="6976" xr:uid="{00000000-0005-0000-0000-00002F1B0000}"/>
    <cellStyle name="Normal 2 4 2 25 7 2" xfId="6977" xr:uid="{00000000-0005-0000-0000-0000301B0000}"/>
    <cellStyle name="Normal 2 4 2 25 7 3" xfId="6978" xr:uid="{00000000-0005-0000-0000-0000311B0000}"/>
    <cellStyle name="Normal 2 4 2 25 8" xfId="6979" xr:uid="{00000000-0005-0000-0000-0000321B0000}"/>
    <cellStyle name="Normal 2 4 2 25 8 2" xfId="6980" xr:uid="{00000000-0005-0000-0000-0000331B0000}"/>
    <cellStyle name="Normal 2 4 2 25 8 3" xfId="6981" xr:uid="{00000000-0005-0000-0000-0000341B0000}"/>
    <cellStyle name="Normal 2 4 2 25 9" xfId="6982" xr:uid="{00000000-0005-0000-0000-0000351B0000}"/>
    <cellStyle name="Normal 2 4 2 25 9 2" xfId="6983" xr:uid="{00000000-0005-0000-0000-0000361B0000}"/>
    <cellStyle name="Normal 2 4 2 25 9 3" xfId="6984" xr:uid="{00000000-0005-0000-0000-0000371B0000}"/>
    <cellStyle name="Normal 2 4 2 26" xfId="6985" xr:uid="{00000000-0005-0000-0000-0000381B0000}"/>
    <cellStyle name="Normal 2 4 2 26 10" xfId="6986" xr:uid="{00000000-0005-0000-0000-0000391B0000}"/>
    <cellStyle name="Normal 2 4 2 26 10 2" xfId="6987" xr:uid="{00000000-0005-0000-0000-00003A1B0000}"/>
    <cellStyle name="Normal 2 4 2 26 10 3" xfId="6988" xr:uid="{00000000-0005-0000-0000-00003B1B0000}"/>
    <cellStyle name="Normal 2 4 2 26 11" xfId="6989" xr:uid="{00000000-0005-0000-0000-00003C1B0000}"/>
    <cellStyle name="Normal 2 4 2 26 11 2" xfId="6990" xr:uid="{00000000-0005-0000-0000-00003D1B0000}"/>
    <cellStyle name="Normal 2 4 2 26 11 3" xfId="6991" xr:uid="{00000000-0005-0000-0000-00003E1B0000}"/>
    <cellStyle name="Normal 2 4 2 26 12" xfId="6992" xr:uid="{00000000-0005-0000-0000-00003F1B0000}"/>
    <cellStyle name="Normal 2 4 2 26 12 2" xfId="6993" xr:uid="{00000000-0005-0000-0000-0000401B0000}"/>
    <cellStyle name="Normal 2 4 2 26 12 3" xfId="6994" xr:uid="{00000000-0005-0000-0000-0000411B0000}"/>
    <cellStyle name="Normal 2 4 2 26 13" xfId="6995" xr:uid="{00000000-0005-0000-0000-0000421B0000}"/>
    <cellStyle name="Normal 2 4 2 26 13 2" xfId="6996" xr:uid="{00000000-0005-0000-0000-0000431B0000}"/>
    <cellStyle name="Normal 2 4 2 26 13 3" xfId="6997" xr:uid="{00000000-0005-0000-0000-0000441B0000}"/>
    <cellStyle name="Normal 2 4 2 26 14" xfId="6998" xr:uid="{00000000-0005-0000-0000-0000451B0000}"/>
    <cellStyle name="Normal 2 4 2 26 14 2" xfId="6999" xr:uid="{00000000-0005-0000-0000-0000461B0000}"/>
    <cellStyle name="Normal 2 4 2 26 14 3" xfId="7000" xr:uid="{00000000-0005-0000-0000-0000471B0000}"/>
    <cellStyle name="Normal 2 4 2 26 15" xfId="7001" xr:uid="{00000000-0005-0000-0000-0000481B0000}"/>
    <cellStyle name="Normal 2 4 2 26 16" xfId="7002" xr:uid="{00000000-0005-0000-0000-0000491B0000}"/>
    <cellStyle name="Normal 2 4 2 26 2" xfId="7003" xr:uid="{00000000-0005-0000-0000-00004A1B0000}"/>
    <cellStyle name="Normal 2 4 2 26 2 2" xfId="7004" xr:uid="{00000000-0005-0000-0000-00004B1B0000}"/>
    <cellStyle name="Normal 2 4 2 26 2 3" xfId="7005" xr:uid="{00000000-0005-0000-0000-00004C1B0000}"/>
    <cellStyle name="Normal 2 4 2 26 3" xfId="7006" xr:uid="{00000000-0005-0000-0000-00004D1B0000}"/>
    <cellStyle name="Normal 2 4 2 26 3 2" xfId="7007" xr:uid="{00000000-0005-0000-0000-00004E1B0000}"/>
    <cellStyle name="Normal 2 4 2 26 3 3" xfId="7008" xr:uid="{00000000-0005-0000-0000-00004F1B0000}"/>
    <cellStyle name="Normal 2 4 2 26 4" xfId="7009" xr:uid="{00000000-0005-0000-0000-0000501B0000}"/>
    <cellStyle name="Normal 2 4 2 26 4 2" xfId="7010" xr:uid="{00000000-0005-0000-0000-0000511B0000}"/>
    <cellStyle name="Normal 2 4 2 26 4 3" xfId="7011" xr:uid="{00000000-0005-0000-0000-0000521B0000}"/>
    <cellStyle name="Normal 2 4 2 26 5" xfId="7012" xr:uid="{00000000-0005-0000-0000-0000531B0000}"/>
    <cellStyle name="Normal 2 4 2 26 5 2" xfId="7013" xr:uid="{00000000-0005-0000-0000-0000541B0000}"/>
    <cellStyle name="Normal 2 4 2 26 5 3" xfId="7014" xr:uid="{00000000-0005-0000-0000-0000551B0000}"/>
    <cellStyle name="Normal 2 4 2 26 6" xfId="7015" xr:uid="{00000000-0005-0000-0000-0000561B0000}"/>
    <cellStyle name="Normal 2 4 2 26 6 2" xfId="7016" xr:uid="{00000000-0005-0000-0000-0000571B0000}"/>
    <cellStyle name="Normal 2 4 2 26 6 3" xfId="7017" xr:uid="{00000000-0005-0000-0000-0000581B0000}"/>
    <cellStyle name="Normal 2 4 2 26 7" xfId="7018" xr:uid="{00000000-0005-0000-0000-0000591B0000}"/>
    <cellStyle name="Normal 2 4 2 26 7 2" xfId="7019" xr:uid="{00000000-0005-0000-0000-00005A1B0000}"/>
    <cellStyle name="Normal 2 4 2 26 7 3" xfId="7020" xr:uid="{00000000-0005-0000-0000-00005B1B0000}"/>
    <cellStyle name="Normal 2 4 2 26 8" xfId="7021" xr:uid="{00000000-0005-0000-0000-00005C1B0000}"/>
    <cellStyle name="Normal 2 4 2 26 8 2" xfId="7022" xr:uid="{00000000-0005-0000-0000-00005D1B0000}"/>
    <cellStyle name="Normal 2 4 2 26 8 3" xfId="7023" xr:uid="{00000000-0005-0000-0000-00005E1B0000}"/>
    <cellStyle name="Normal 2 4 2 26 9" xfId="7024" xr:uid="{00000000-0005-0000-0000-00005F1B0000}"/>
    <cellStyle name="Normal 2 4 2 26 9 2" xfId="7025" xr:uid="{00000000-0005-0000-0000-0000601B0000}"/>
    <cellStyle name="Normal 2 4 2 26 9 3" xfId="7026" xr:uid="{00000000-0005-0000-0000-0000611B0000}"/>
    <cellStyle name="Normal 2 4 2 27" xfId="7027" xr:uid="{00000000-0005-0000-0000-0000621B0000}"/>
    <cellStyle name="Normal 2 4 2 27 10" xfId="7028" xr:uid="{00000000-0005-0000-0000-0000631B0000}"/>
    <cellStyle name="Normal 2 4 2 27 10 2" xfId="7029" xr:uid="{00000000-0005-0000-0000-0000641B0000}"/>
    <cellStyle name="Normal 2 4 2 27 10 3" xfId="7030" xr:uid="{00000000-0005-0000-0000-0000651B0000}"/>
    <cellStyle name="Normal 2 4 2 27 11" xfId="7031" xr:uid="{00000000-0005-0000-0000-0000661B0000}"/>
    <cellStyle name="Normal 2 4 2 27 11 2" xfId="7032" xr:uid="{00000000-0005-0000-0000-0000671B0000}"/>
    <cellStyle name="Normal 2 4 2 27 11 3" xfId="7033" xr:uid="{00000000-0005-0000-0000-0000681B0000}"/>
    <cellStyle name="Normal 2 4 2 27 12" xfId="7034" xr:uid="{00000000-0005-0000-0000-0000691B0000}"/>
    <cellStyle name="Normal 2 4 2 27 12 2" xfId="7035" xr:uid="{00000000-0005-0000-0000-00006A1B0000}"/>
    <cellStyle name="Normal 2 4 2 27 12 3" xfId="7036" xr:uid="{00000000-0005-0000-0000-00006B1B0000}"/>
    <cellStyle name="Normal 2 4 2 27 13" xfId="7037" xr:uid="{00000000-0005-0000-0000-00006C1B0000}"/>
    <cellStyle name="Normal 2 4 2 27 13 2" xfId="7038" xr:uid="{00000000-0005-0000-0000-00006D1B0000}"/>
    <cellStyle name="Normal 2 4 2 27 13 3" xfId="7039" xr:uid="{00000000-0005-0000-0000-00006E1B0000}"/>
    <cellStyle name="Normal 2 4 2 27 14" xfId="7040" xr:uid="{00000000-0005-0000-0000-00006F1B0000}"/>
    <cellStyle name="Normal 2 4 2 27 14 2" xfId="7041" xr:uid="{00000000-0005-0000-0000-0000701B0000}"/>
    <cellStyle name="Normal 2 4 2 27 14 3" xfId="7042" xr:uid="{00000000-0005-0000-0000-0000711B0000}"/>
    <cellStyle name="Normal 2 4 2 27 15" xfId="7043" xr:uid="{00000000-0005-0000-0000-0000721B0000}"/>
    <cellStyle name="Normal 2 4 2 27 16" xfId="7044" xr:uid="{00000000-0005-0000-0000-0000731B0000}"/>
    <cellStyle name="Normal 2 4 2 27 2" xfId="7045" xr:uid="{00000000-0005-0000-0000-0000741B0000}"/>
    <cellStyle name="Normal 2 4 2 27 2 2" xfId="7046" xr:uid="{00000000-0005-0000-0000-0000751B0000}"/>
    <cellStyle name="Normal 2 4 2 27 2 3" xfId="7047" xr:uid="{00000000-0005-0000-0000-0000761B0000}"/>
    <cellStyle name="Normal 2 4 2 27 3" xfId="7048" xr:uid="{00000000-0005-0000-0000-0000771B0000}"/>
    <cellStyle name="Normal 2 4 2 27 3 2" xfId="7049" xr:uid="{00000000-0005-0000-0000-0000781B0000}"/>
    <cellStyle name="Normal 2 4 2 27 3 3" xfId="7050" xr:uid="{00000000-0005-0000-0000-0000791B0000}"/>
    <cellStyle name="Normal 2 4 2 27 4" xfId="7051" xr:uid="{00000000-0005-0000-0000-00007A1B0000}"/>
    <cellStyle name="Normal 2 4 2 27 4 2" xfId="7052" xr:uid="{00000000-0005-0000-0000-00007B1B0000}"/>
    <cellStyle name="Normal 2 4 2 27 4 3" xfId="7053" xr:uid="{00000000-0005-0000-0000-00007C1B0000}"/>
    <cellStyle name="Normal 2 4 2 27 5" xfId="7054" xr:uid="{00000000-0005-0000-0000-00007D1B0000}"/>
    <cellStyle name="Normal 2 4 2 27 5 2" xfId="7055" xr:uid="{00000000-0005-0000-0000-00007E1B0000}"/>
    <cellStyle name="Normal 2 4 2 27 5 3" xfId="7056" xr:uid="{00000000-0005-0000-0000-00007F1B0000}"/>
    <cellStyle name="Normal 2 4 2 27 6" xfId="7057" xr:uid="{00000000-0005-0000-0000-0000801B0000}"/>
    <cellStyle name="Normal 2 4 2 27 6 2" xfId="7058" xr:uid="{00000000-0005-0000-0000-0000811B0000}"/>
    <cellStyle name="Normal 2 4 2 27 6 3" xfId="7059" xr:uid="{00000000-0005-0000-0000-0000821B0000}"/>
    <cellStyle name="Normal 2 4 2 27 7" xfId="7060" xr:uid="{00000000-0005-0000-0000-0000831B0000}"/>
    <cellStyle name="Normal 2 4 2 27 7 2" xfId="7061" xr:uid="{00000000-0005-0000-0000-0000841B0000}"/>
    <cellStyle name="Normal 2 4 2 27 7 3" xfId="7062" xr:uid="{00000000-0005-0000-0000-0000851B0000}"/>
    <cellStyle name="Normal 2 4 2 27 8" xfId="7063" xr:uid="{00000000-0005-0000-0000-0000861B0000}"/>
    <cellStyle name="Normal 2 4 2 27 8 2" xfId="7064" xr:uid="{00000000-0005-0000-0000-0000871B0000}"/>
    <cellStyle name="Normal 2 4 2 27 8 3" xfId="7065" xr:uid="{00000000-0005-0000-0000-0000881B0000}"/>
    <cellStyle name="Normal 2 4 2 27 9" xfId="7066" xr:uid="{00000000-0005-0000-0000-0000891B0000}"/>
    <cellStyle name="Normal 2 4 2 27 9 2" xfId="7067" xr:uid="{00000000-0005-0000-0000-00008A1B0000}"/>
    <cellStyle name="Normal 2 4 2 27 9 3" xfId="7068" xr:uid="{00000000-0005-0000-0000-00008B1B0000}"/>
    <cellStyle name="Normal 2 4 2 28" xfId="7069" xr:uid="{00000000-0005-0000-0000-00008C1B0000}"/>
    <cellStyle name="Normal 2 4 2 28 10" xfId="7070" xr:uid="{00000000-0005-0000-0000-00008D1B0000}"/>
    <cellStyle name="Normal 2 4 2 28 10 2" xfId="7071" xr:uid="{00000000-0005-0000-0000-00008E1B0000}"/>
    <cellStyle name="Normal 2 4 2 28 10 3" xfId="7072" xr:uid="{00000000-0005-0000-0000-00008F1B0000}"/>
    <cellStyle name="Normal 2 4 2 28 11" xfId="7073" xr:uid="{00000000-0005-0000-0000-0000901B0000}"/>
    <cellStyle name="Normal 2 4 2 28 11 2" xfId="7074" xr:uid="{00000000-0005-0000-0000-0000911B0000}"/>
    <cellStyle name="Normal 2 4 2 28 11 3" xfId="7075" xr:uid="{00000000-0005-0000-0000-0000921B0000}"/>
    <cellStyle name="Normal 2 4 2 28 12" xfId="7076" xr:uid="{00000000-0005-0000-0000-0000931B0000}"/>
    <cellStyle name="Normal 2 4 2 28 12 2" xfId="7077" xr:uid="{00000000-0005-0000-0000-0000941B0000}"/>
    <cellStyle name="Normal 2 4 2 28 12 3" xfId="7078" xr:uid="{00000000-0005-0000-0000-0000951B0000}"/>
    <cellStyle name="Normal 2 4 2 28 13" xfId="7079" xr:uid="{00000000-0005-0000-0000-0000961B0000}"/>
    <cellStyle name="Normal 2 4 2 28 13 2" xfId="7080" xr:uid="{00000000-0005-0000-0000-0000971B0000}"/>
    <cellStyle name="Normal 2 4 2 28 13 3" xfId="7081" xr:uid="{00000000-0005-0000-0000-0000981B0000}"/>
    <cellStyle name="Normal 2 4 2 28 14" xfId="7082" xr:uid="{00000000-0005-0000-0000-0000991B0000}"/>
    <cellStyle name="Normal 2 4 2 28 14 2" xfId="7083" xr:uid="{00000000-0005-0000-0000-00009A1B0000}"/>
    <cellStyle name="Normal 2 4 2 28 14 3" xfId="7084" xr:uid="{00000000-0005-0000-0000-00009B1B0000}"/>
    <cellStyle name="Normal 2 4 2 28 15" xfId="7085" xr:uid="{00000000-0005-0000-0000-00009C1B0000}"/>
    <cellStyle name="Normal 2 4 2 28 16" xfId="7086" xr:uid="{00000000-0005-0000-0000-00009D1B0000}"/>
    <cellStyle name="Normal 2 4 2 28 2" xfId="7087" xr:uid="{00000000-0005-0000-0000-00009E1B0000}"/>
    <cellStyle name="Normal 2 4 2 28 2 2" xfId="7088" xr:uid="{00000000-0005-0000-0000-00009F1B0000}"/>
    <cellStyle name="Normal 2 4 2 28 2 3" xfId="7089" xr:uid="{00000000-0005-0000-0000-0000A01B0000}"/>
    <cellStyle name="Normal 2 4 2 28 3" xfId="7090" xr:uid="{00000000-0005-0000-0000-0000A11B0000}"/>
    <cellStyle name="Normal 2 4 2 28 3 2" xfId="7091" xr:uid="{00000000-0005-0000-0000-0000A21B0000}"/>
    <cellStyle name="Normal 2 4 2 28 3 3" xfId="7092" xr:uid="{00000000-0005-0000-0000-0000A31B0000}"/>
    <cellStyle name="Normal 2 4 2 28 4" xfId="7093" xr:uid="{00000000-0005-0000-0000-0000A41B0000}"/>
    <cellStyle name="Normal 2 4 2 28 4 2" xfId="7094" xr:uid="{00000000-0005-0000-0000-0000A51B0000}"/>
    <cellStyle name="Normal 2 4 2 28 4 3" xfId="7095" xr:uid="{00000000-0005-0000-0000-0000A61B0000}"/>
    <cellStyle name="Normal 2 4 2 28 5" xfId="7096" xr:uid="{00000000-0005-0000-0000-0000A71B0000}"/>
    <cellStyle name="Normal 2 4 2 28 5 2" xfId="7097" xr:uid="{00000000-0005-0000-0000-0000A81B0000}"/>
    <cellStyle name="Normal 2 4 2 28 5 3" xfId="7098" xr:uid="{00000000-0005-0000-0000-0000A91B0000}"/>
    <cellStyle name="Normal 2 4 2 28 6" xfId="7099" xr:uid="{00000000-0005-0000-0000-0000AA1B0000}"/>
    <cellStyle name="Normal 2 4 2 28 6 2" xfId="7100" xr:uid="{00000000-0005-0000-0000-0000AB1B0000}"/>
    <cellStyle name="Normal 2 4 2 28 6 3" xfId="7101" xr:uid="{00000000-0005-0000-0000-0000AC1B0000}"/>
    <cellStyle name="Normal 2 4 2 28 7" xfId="7102" xr:uid="{00000000-0005-0000-0000-0000AD1B0000}"/>
    <cellStyle name="Normal 2 4 2 28 7 2" xfId="7103" xr:uid="{00000000-0005-0000-0000-0000AE1B0000}"/>
    <cellStyle name="Normal 2 4 2 28 7 3" xfId="7104" xr:uid="{00000000-0005-0000-0000-0000AF1B0000}"/>
    <cellStyle name="Normal 2 4 2 28 8" xfId="7105" xr:uid="{00000000-0005-0000-0000-0000B01B0000}"/>
    <cellStyle name="Normal 2 4 2 28 8 2" xfId="7106" xr:uid="{00000000-0005-0000-0000-0000B11B0000}"/>
    <cellStyle name="Normal 2 4 2 28 8 3" xfId="7107" xr:uid="{00000000-0005-0000-0000-0000B21B0000}"/>
    <cellStyle name="Normal 2 4 2 28 9" xfId="7108" xr:uid="{00000000-0005-0000-0000-0000B31B0000}"/>
    <cellStyle name="Normal 2 4 2 28 9 2" xfId="7109" xr:uid="{00000000-0005-0000-0000-0000B41B0000}"/>
    <cellStyle name="Normal 2 4 2 28 9 3" xfId="7110" xr:uid="{00000000-0005-0000-0000-0000B51B0000}"/>
    <cellStyle name="Normal 2 4 2 29" xfId="7111" xr:uid="{00000000-0005-0000-0000-0000B61B0000}"/>
    <cellStyle name="Normal 2 4 2 29 10" xfId="7112" xr:uid="{00000000-0005-0000-0000-0000B71B0000}"/>
    <cellStyle name="Normal 2 4 2 29 10 2" xfId="7113" xr:uid="{00000000-0005-0000-0000-0000B81B0000}"/>
    <cellStyle name="Normal 2 4 2 29 10 3" xfId="7114" xr:uid="{00000000-0005-0000-0000-0000B91B0000}"/>
    <cellStyle name="Normal 2 4 2 29 11" xfId="7115" xr:uid="{00000000-0005-0000-0000-0000BA1B0000}"/>
    <cellStyle name="Normal 2 4 2 29 11 2" xfId="7116" xr:uid="{00000000-0005-0000-0000-0000BB1B0000}"/>
    <cellStyle name="Normal 2 4 2 29 11 3" xfId="7117" xr:uid="{00000000-0005-0000-0000-0000BC1B0000}"/>
    <cellStyle name="Normal 2 4 2 29 12" xfId="7118" xr:uid="{00000000-0005-0000-0000-0000BD1B0000}"/>
    <cellStyle name="Normal 2 4 2 29 12 2" xfId="7119" xr:uid="{00000000-0005-0000-0000-0000BE1B0000}"/>
    <cellStyle name="Normal 2 4 2 29 12 3" xfId="7120" xr:uid="{00000000-0005-0000-0000-0000BF1B0000}"/>
    <cellStyle name="Normal 2 4 2 29 13" xfId="7121" xr:uid="{00000000-0005-0000-0000-0000C01B0000}"/>
    <cellStyle name="Normal 2 4 2 29 13 2" xfId="7122" xr:uid="{00000000-0005-0000-0000-0000C11B0000}"/>
    <cellStyle name="Normal 2 4 2 29 13 3" xfId="7123" xr:uid="{00000000-0005-0000-0000-0000C21B0000}"/>
    <cellStyle name="Normal 2 4 2 29 14" xfId="7124" xr:uid="{00000000-0005-0000-0000-0000C31B0000}"/>
    <cellStyle name="Normal 2 4 2 29 14 2" xfId="7125" xr:uid="{00000000-0005-0000-0000-0000C41B0000}"/>
    <cellStyle name="Normal 2 4 2 29 14 3" xfId="7126" xr:uid="{00000000-0005-0000-0000-0000C51B0000}"/>
    <cellStyle name="Normal 2 4 2 29 15" xfId="7127" xr:uid="{00000000-0005-0000-0000-0000C61B0000}"/>
    <cellStyle name="Normal 2 4 2 29 16" xfId="7128" xr:uid="{00000000-0005-0000-0000-0000C71B0000}"/>
    <cellStyle name="Normal 2 4 2 29 2" xfId="7129" xr:uid="{00000000-0005-0000-0000-0000C81B0000}"/>
    <cellStyle name="Normal 2 4 2 29 2 2" xfId="7130" xr:uid="{00000000-0005-0000-0000-0000C91B0000}"/>
    <cellStyle name="Normal 2 4 2 29 2 3" xfId="7131" xr:uid="{00000000-0005-0000-0000-0000CA1B0000}"/>
    <cellStyle name="Normal 2 4 2 29 3" xfId="7132" xr:uid="{00000000-0005-0000-0000-0000CB1B0000}"/>
    <cellStyle name="Normal 2 4 2 29 3 2" xfId="7133" xr:uid="{00000000-0005-0000-0000-0000CC1B0000}"/>
    <cellStyle name="Normal 2 4 2 29 3 3" xfId="7134" xr:uid="{00000000-0005-0000-0000-0000CD1B0000}"/>
    <cellStyle name="Normal 2 4 2 29 4" xfId="7135" xr:uid="{00000000-0005-0000-0000-0000CE1B0000}"/>
    <cellStyle name="Normal 2 4 2 29 4 2" xfId="7136" xr:uid="{00000000-0005-0000-0000-0000CF1B0000}"/>
    <cellStyle name="Normal 2 4 2 29 4 3" xfId="7137" xr:uid="{00000000-0005-0000-0000-0000D01B0000}"/>
    <cellStyle name="Normal 2 4 2 29 5" xfId="7138" xr:uid="{00000000-0005-0000-0000-0000D11B0000}"/>
    <cellStyle name="Normal 2 4 2 29 5 2" xfId="7139" xr:uid="{00000000-0005-0000-0000-0000D21B0000}"/>
    <cellStyle name="Normal 2 4 2 29 5 3" xfId="7140" xr:uid="{00000000-0005-0000-0000-0000D31B0000}"/>
    <cellStyle name="Normal 2 4 2 29 6" xfId="7141" xr:uid="{00000000-0005-0000-0000-0000D41B0000}"/>
    <cellStyle name="Normal 2 4 2 29 6 2" xfId="7142" xr:uid="{00000000-0005-0000-0000-0000D51B0000}"/>
    <cellStyle name="Normal 2 4 2 29 6 3" xfId="7143" xr:uid="{00000000-0005-0000-0000-0000D61B0000}"/>
    <cellStyle name="Normal 2 4 2 29 7" xfId="7144" xr:uid="{00000000-0005-0000-0000-0000D71B0000}"/>
    <cellStyle name="Normal 2 4 2 29 7 2" xfId="7145" xr:uid="{00000000-0005-0000-0000-0000D81B0000}"/>
    <cellStyle name="Normal 2 4 2 29 7 3" xfId="7146" xr:uid="{00000000-0005-0000-0000-0000D91B0000}"/>
    <cellStyle name="Normal 2 4 2 29 8" xfId="7147" xr:uid="{00000000-0005-0000-0000-0000DA1B0000}"/>
    <cellStyle name="Normal 2 4 2 29 8 2" xfId="7148" xr:uid="{00000000-0005-0000-0000-0000DB1B0000}"/>
    <cellStyle name="Normal 2 4 2 29 8 3" xfId="7149" xr:uid="{00000000-0005-0000-0000-0000DC1B0000}"/>
    <cellStyle name="Normal 2 4 2 29 9" xfId="7150" xr:uid="{00000000-0005-0000-0000-0000DD1B0000}"/>
    <cellStyle name="Normal 2 4 2 29 9 2" xfId="7151" xr:uid="{00000000-0005-0000-0000-0000DE1B0000}"/>
    <cellStyle name="Normal 2 4 2 29 9 3" xfId="7152" xr:uid="{00000000-0005-0000-0000-0000DF1B0000}"/>
    <cellStyle name="Normal 2 4 2 3" xfId="7153" xr:uid="{00000000-0005-0000-0000-0000E01B0000}"/>
    <cellStyle name="Normal 2 4 2 3 2" xfId="7154" xr:uid="{00000000-0005-0000-0000-0000E11B0000}"/>
    <cellStyle name="Normal 2 4 2 30" xfId="7155" xr:uid="{00000000-0005-0000-0000-0000E21B0000}"/>
    <cellStyle name="Normal 2 4 2 30 10" xfId="7156" xr:uid="{00000000-0005-0000-0000-0000E31B0000}"/>
    <cellStyle name="Normal 2 4 2 30 10 2" xfId="7157" xr:uid="{00000000-0005-0000-0000-0000E41B0000}"/>
    <cellStyle name="Normal 2 4 2 30 10 3" xfId="7158" xr:uid="{00000000-0005-0000-0000-0000E51B0000}"/>
    <cellStyle name="Normal 2 4 2 30 11" xfId="7159" xr:uid="{00000000-0005-0000-0000-0000E61B0000}"/>
    <cellStyle name="Normal 2 4 2 30 11 2" xfId="7160" xr:uid="{00000000-0005-0000-0000-0000E71B0000}"/>
    <cellStyle name="Normal 2 4 2 30 11 3" xfId="7161" xr:uid="{00000000-0005-0000-0000-0000E81B0000}"/>
    <cellStyle name="Normal 2 4 2 30 12" xfId="7162" xr:uid="{00000000-0005-0000-0000-0000E91B0000}"/>
    <cellStyle name="Normal 2 4 2 30 12 2" xfId="7163" xr:uid="{00000000-0005-0000-0000-0000EA1B0000}"/>
    <cellStyle name="Normal 2 4 2 30 12 3" xfId="7164" xr:uid="{00000000-0005-0000-0000-0000EB1B0000}"/>
    <cellStyle name="Normal 2 4 2 30 13" xfId="7165" xr:uid="{00000000-0005-0000-0000-0000EC1B0000}"/>
    <cellStyle name="Normal 2 4 2 30 13 2" xfId="7166" xr:uid="{00000000-0005-0000-0000-0000ED1B0000}"/>
    <cellStyle name="Normal 2 4 2 30 13 3" xfId="7167" xr:uid="{00000000-0005-0000-0000-0000EE1B0000}"/>
    <cellStyle name="Normal 2 4 2 30 14" xfId="7168" xr:uid="{00000000-0005-0000-0000-0000EF1B0000}"/>
    <cellStyle name="Normal 2 4 2 30 14 2" xfId="7169" xr:uid="{00000000-0005-0000-0000-0000F01B0000}"/>
    <cellStyle name="Normal 2 4 2 30 14 3" xfId="7170" xr:uid="{00000000-0005-0000-0000-0000F11B0000}"/>
    <cellStyle name="Normal 2 4 2 30 15" xfId="7171" xr:uid="{00000000-0005-0000-0000-0000F21B0000}"/>
    <cellStyle name="Normal 2 4 2 30 16" xfId="7172" xr:uid="{00000000-0005-0000-0000-0000F31B0000}"/>
    <cellStyle name="Normal 2 4 2 30 2" xfId="7173" xr:uid="{00000000-0005-0000-0000-0000F41B0000}"/>
    <cellStyle name="Normal 2 4 2 30 2 2" xfId="7174" xr:uid="{00000000-0005-0000-0000-0000F51B0000}"/>
    <cellStyle name="Normal 2 4 2 30 2 3" xfId="7175" xr:uid="{00000000-0005-0000-0000-0000F61B0000}"/>
    <cellStyle name="Normal 2 4 2 30 3" xfId="7176" xr:uid="{00000000-0005-0000-0000-0000F71B0000}"/>
    <cellStyle name="Normal 2 4 2 30 3 2" xfId="7177" xr:uid="{00000000-0005-0000-0000-0000F81B0000}"/>
    <cellStyle name="Normal 2 4 2 30 3 3" xfId="7178" xr:uid="{00000000-0005-0000-0000-0000F91B0000}"/>
    <cellStyle name="Normal 2 4 2 30 4" xfId="7179" xr:uid="{00000000-0005-0000-0000-0000FA1B0000}"/>
    <cellStyle name="Normal 2 4 2 30 4 2" xfId="7180" xr:uid="{00000000-0005-0000-0000-0000FB1B0000}"/>
    <cellStyle name="Normal 2 4 2 30 4 3" xfId="7181" xr:uid="{00000000-0005-0000-0000-0000FC1B0000}"/>
    <cellStyle name="Normal 2 4 2 30 5" xfId="7182" xr:uid="{00000000-0005-0000-0000-0000FD1B0000}"/>
    <cellStyle name="Normal 2 4 2 30 5 2" xfId="7183" xr:uid="{00000000-0005-0000-0000-0000FE1B0000}"/>
    <cellStyle name="Normal 2 4 2 30 5 3" xfId="7184" xr:uid="{00000000-0005-0000-0000-0000FF1B0000}"/>
    <cellStyle name="Normal 2 4 2 30 6" xfId="7185" xr:uid="{00000000-0005-0000-0000-0000001C0000}"/>
    <cellStyle name="Normal 2 4 2 30 6 2" xfId="7186" xr:uid="{00000000-0005-0000-0000-0000011C0000}"/>
    <cellStyle name="Normal 2 4 2 30 6 3" xfId="7187" xr:uid="{00000000-0005-0000-0000-0000021C0000}"/>
    <cellStyle name="Normal 2 4 2 30 7" xfId="7188" xr:uid="{00000000-0005-0000-0000-0000031C0000}"/>
    <cellStyle name="Normal 2 4 2 30 7 2" xfId="7189" xr:uid="{00000000-0005-0000-0000-0000041C0000}"/>
    <cellStyle name="Normal 2 4 2 30 7 3" xfId="7190" xr:uid="{00000000-0005-0000-0000-0000051C0000}"/>
    <cellStyle name="Normal 2 4 2 30 8" xfId="7191" xr:uid="{00000000-0005-0000-0000-0000061C0000}"/>
    <cellStyle name="Normal 2 4 2 30 8 2" xfId="7192" xr:uid="{00000000-0005-0000-0000-0000071C0000}"/>
    <cellStyle name="Normal 2 4 2 30 8 3" xfId="7193" xr:uid="{00000000-0005-0000-0000-0000081C0000}"/>
    <cellStyle name="Normal 2 4 2 30 9" xfId="7194" xr:uid="{00000000-0005-0000-0000-0000091C0000}"/>
    <cellStyle name="Normal 2 4 2 30 9 2" xfId="7195" xr:uid="{00000000-0005-0000-0000-00000A1C0000}"/>
    <cellStyle name="Normal 2 4 2 30 9 3" xfId="7196" xr:uid="{00000000-0005-0000-0000-00000B1C0000}"/>
    <cellStyle name="Normal 2 4 2 31" xfId="7197" xr:uid="{00000000-0005-0000-0000-00000C1C0000}"/>
    <cellStyle name="Normal 2 4 2 31 10" xfId="7198" xr:uid="{00000000-0005-0000-0000-00000D1C0000}"/>
    <cellStyle name="Normal 2 4 2 31 10 2" xfId="7199" xr:uid="{00000000-0005-0000-0000-00000E1C0000}"/>
    <cellStyle name="Normal 2 4 2 31 10 3" xfId="7200" xr:uid="{00000000-0005-0000-0000-00000F1C0000}"/>
    <cellStyle name="Normal 2 4 2 31 11" xfId="7201" xr:uid="{00000000-0005-0000-0000-0000101C0000}"/>
    <cellStyle name="Normal 2 4 2 31 11 2" xfId="7202" xr:uid="{00000000-0005-0000-0000-0000111C0000}"/>
    <cellStyle name="Normal 2 4 2 31 11 3" xfId="7203" xr:uid="{00000000-0005-0000-0000-0000121C0000}"/>
    <cellStyle name="Normal 2 4 2 31 12" xfId="7204" xr:uid="{00000000-0005-0000-0000-0000131C0000}"/>
    <cellStyle name="Normal 2 4 2 31 12 2" xfId="7205" xr:uid="{00000000-0005-0000-0000-0000141C0000}"/>
    <cellStyle name="Normal 2 4 2 31 12 3" xfId="7206" xr:uid="{00000000-0005-0000-0000-0000151C0000}"/>
    <cellStyle name="Normal 2 4 2 31 13" xfId="7207" xr:uid="{00000000-0005-0000-0000-0000161C0000}"/>
    <cellStyle name="Normal 2 4 2 31 13 2" xfId="7208" xr:uid="{00000000-0005-0000-0000-0000171C0000}"/>
    <cellStyle name="Normal 2 4 2 31 13 3" xfId="7209" xr:uid="{00000000-0005-0000-0000-0000181C0000}"/>
    <cellStyle name="Normal 2 4 2 31 14" xfId="7210" xr:uid="{00000000-0005-0000-0000-0000191C0000}"/>
    <cellStyle name="Normal 2 4 2 31 14 2" xfId="7211" xr:uid="{00000000-0005-0000-0000-00001A1C0000}"/>
    <cellStyle name="Normal 2 4 2 31 14 3" xfId="7212" xr:uid="{00000000-0005-0000-0000-00001B1C0000}"/>
    <cellStyle name="Normal 2 4 2 31 15" xfId="7213" xr:uid="{00000000-0005-0000-0000-00001C1C0000}"/>
    <cellStyle name="Normal 2 4 2 31 16" xfId="7214" xr:uid="{00000000-0005-0000-0000-00001D1C0000}"/>
    <cellStyle name="Normal 2 4 2 31 2" xfId="7215" xr:uid="{00000000-0005-0000-0000-00001E1C0000}"/>
    <cellStyle name="Normal 2 4 2 31 2 2" xfId="7216" xr:uid="{00000000-0005-0000-0000-00001F1C0000}"/>
    <cellStyle name="Normal 2 4 2 31 2 3" xfId="7217" xr:uid="{00000000-0005-0000-0000-0000201C0000}"/>
    <cellStyle name="Normal 2 4 2 31 3" xfId="7218" xr:uid="{00000000-0005-0000-0000-0000211C0000}"/>
    <cellStyle name="Normal 2 4 2 31 3 2" xfId="7219" xr:uid="{00000000-0005-0000-0000-0000221C0000}"/>
    <cellStyle name="Normal 2 4 2 31 3 3" xfId="7220" xr:uid="{00000000-0005-0000-0000-0000231C0000}"/>
    <cellStyle name="Normal 2 4 2 31 4" xfId="7221" xr:uid="{00000000-0005-0000-0000-0000241C0000}"/>
    <cellStyle name="Normal 2 4 2 31 4 2" xfId="7222" xr:uid="{00000000-0005-0000-0000-0000251C0000}"/>
    <cellStyle name="Normal 2 4 2 31 4 3" xfId="7223" xr:uid="{00000000-0005-0000-0000-0000261C0000}"/>
    <cellStyle name="Normal 2 4 2 31 5" xfId="7224" xr:uid="{00000000-0005-0000-0000-0000271C0000}"/>
    <cellStyle name="Normal 2 4 2 31 5 2" xfId="7225" xr:uid="{00000000-0005-0000-0000-0000281C0000}"/>
    <cellStyle name="Normal 2 4 2 31 5 3" xfId="7226" xr:uid="{00000000-0005-0000-0000-0000291C0000}"/>
    <cellStyle name="Normal 2 4 2 31 6" xfId="7227" xr:uid="{00000000-0005-0000-0000-00002A1C0000}"/>
    <cellStyle name="Normal 2 4 2 31 6 2" xfId="7228" xr:uid="{00000000-0005-0000-0000-00002B1C0000}"/>
    <cellStyle name="Normal 2 4 2 31 6 3" xfId="7229" xr:uid="{00000000-0005-0000-0000-00002C1C0000}"/>
    <cellStyle name="Normal 2 4 2 31 7" xfId="7230" xr:uid="{00000000-0005-0000-0000-00002D1C0000}"/>
    <cellStyle name="Normal 2 4 2 31 7 2" xfId="7231" xr:uid="{00000000-0005-0000-0000-00002E1C0000}"/>
    <cellStyle name="Normal 2 4 2 31 7 3" xfId="7232" xr:uid="{00000000-0005-0000-0000-00002F1C0000}"/>
    <cellStyle name="Normal 2 4 2 31 8" xfId="7233" xr:uid="{00000000-0005-0000-0000-0000301C0000}"/>
    <cellStyle name="Normal 2 4 2 31 8 2" xfId="7234" xr:uid="{00000000-0005-0000-0000-0000311C0000}"/>
    <cellStyle name="Normal 2 4 2 31 8 3" xfId="7235" xr:uid="{00000000-0005-0000-0000-0000321C0000}"/>
    <cellStyle name="Normal 2 4 2 31 9" xfId="7236" xr:uid="{00000000-0005-0000-0000-0000331C0000}"/>
    <cellStyle name="Normal 2 4 2 31 9 2" xfId="7237" xr:uid="{00000000-0005-0000-0000-0000341C0000}"/>
    <cellStyle name="Normal 2 4 2 31 9 3" xfId="7238" xr:uid="{00000000-0005-0000-0000-0000351C0000}"/>
    <cellStyle name="Normal 2 4 2 32" xfId="7239" xr:uid="{00000000-0005-0000-0000-0000361C0000}"/>
    <cellStyle name="Normal 2 4 2 33" xfId="7240" xr:uid="{00000000-0005-0000-0000-0000371C0000}"/>
    <cellStyle name="Normal 2 4 2 33 2" xfId="7241" xr:uid="{00000000-0005-0000-0000-0000381C0000}"/>
    <cellStyle name="Normal 2 4 2 33 3" xfId="7242" xr:uid="{00000000-0005-0000-0000-0000391C0000}"/>
    <cellStyle name="Normal 2 4 2 34" xfId="7243" xr:uid="{00000000-0005-0000-0000-00003A1C0000}"/>
    <cellStyle name="Normal 2 4 2 34 2" xfId="7244" xr:uid="{00000000-0005-0000-0000-00003B1C0000}"/>
    <cellStyle name="Normal 2 4 2 34 3" xfId="7245" xr:uid="{00000000-0005-0000-0000-00003C1C0000}"/>
    <cellStyle name="Normal 2 4 2 35" xfId="7246" xr:uid="{00000000-0005-0000-0000-00003D1C0000}"/>
    <cellStyle name="Normal 2 4 2 35 2" xfId="7247" xr:uid="{00000000-0005-0000-0000-00003E1C0000}"/>
    <cellStyle name="Normal 2 4 2 35 3" xfId="7248" xr:uid="{00000000-0005-0000-0000-00003F1C0000}"/>
    <cellStyle name="Normal 2 4 2 36" xfId="7249" xr:uid="{00000000-0005-0000-0000-0000401C0000}"/>
    <cellStyle name="Normal 2 4 2 36 2" xfId="7250" xr:uid="{00000000-0005-0000-0000-0000411C0000}"/>
    <cellStyle name="Normal 2 4 2 36 3" xfId="7251" xr:uid="{00000000-0005-0000-0000-0000421C0000}"/>
    <cellStyle name="Normal 2 4 2 37" xfId="7252" xr:uid="{00000000-0005-0000-0000-0000431C0000}"/>
    <cellStyle name="Normal 2 4 2 37 2" xfId="7253" xr:uid="{00000000-0005-0000-0000-0000441C0000}"/>
    <cellStyle name="Normal 2 4 2 37 3" xfId="7254" xr:uid="{00000000-0005-0000-0000-0000451C0000}"/>
    <cellStyle name="Normal 2 4 2 38" xfId="7255" xr:uid="{00000000-0005-0000-0000-0000461C0000}"/>
    <cellStyle name="Normal 2 4 2 38 2" xfId="7256" xr:uid="{00000000-0005-0000-0000-0000471C0000}"/>
    <cellStyle name="Normal 2 4 2 38 3" xfId="7257" xr:uid="{00000000-0005-0000-0000-0000481C0000}"/>
    <cellStyle name="Normal 2 4 2 39" xfId="7258" xr:uid="{00000000-0005-0000-0000-0000491C0000}"/>
    <cellStyle name="Normal 2 4 2 39 2" xfId="7259" xr:uid="{00000000-0005-0000-0000-00004A1C0000}"/>
    <cellStyle name="Normal 2 4 2 39 3" xfId="7260" xr:uid="{00000000-0005-0000-0000-00004B1C0000}"/>
    <cellStyle name="Normal 2 4 2 4" xfId="7261" xr:uid="{00000000-0005-0000-0000-00004C1C0000}"/>
    <cellStyle name="Normal 2 4 2 4 2" xfId="7262" xr:uid="{00000000-0005-0000-0000-00004D1C0000}"/>
    <cellStyle name="Normal 2 4 2 40" xfId="7263" xr:uid="{00000000-0005-0000-0000-00004E1C0000}"/>
    <cellStyle name="Normal 2 4 2 40 2" xfId="7264" xr:uid="{00000000-0005-0000-0000-00004F1C0000}"/>
    <cellStyle name="Normal 2 4 2 40 3" xfId="7265" xr:uid="{00000000-0005-0000-0000-0000501C0000}"/>
    <cellStyle name="Normal 2 4 2 41" xfId="7266" xr:uid="{00000000-0005-0000-0000-0000511C0000}"/>
    <cellStyle name="Normal 2 4 2 41 2" xfId="7267" xr:uid="{00000000-0005-0000-0000-0000521C0000}"/>
    <cellStyle name="Normal 2 4 2 41 3" xfId="7268" xr:uid="{00000000-0005-0000-0000-0000531C0000}"/>
    <cellStyle name="Normal 2 4 2 42" xfId="7269" xr:uid="{00000000-0005-0000-0000-0000541C0000}"/>
    <cellStyle name="Normal 2 4 2 42 2" xfId="7270" xr:uid="{00000000-0005-0000-0000-0000551C0000}"/>
    <cellStyle name="Normal 2 4 2 42 3" xfId="7271" xr:uid="{00000000-0005-0000-0000-0000561C0000}"/>
    <cellStyle name="Normal 2 4 2 43" xfId="7272" xr:uid="{00000000-0005-0000-0000-0000571C0000}"/>
    <cellStyle name="Normal 2 4 2 43 2" xfId="7273" xr:uid="{00000000-0005-0000-0000-0000581C0000}"/>
    <cellStyle name="Normal 2 4 2 43 3" xfId="7274" xr:uid="{00000000-0005-0000-0000-0000591C0000}"/>
    <cellStyle name="Normal 2 4 2 44" xfId="7275" xr:uid="{00000000-0005-0000-0000-00005A1C0000}"/>
    <cellStyle name="Normal 2 4 2 44 2" xfId="7276" xr:uid="{00000000-0005-0000-0000-00005B1C0000}"/>
    <cellStyle name="Normal 2 4 2 44 3" xfId="7277" xr:uid="{00000000-0005-0000-0000-00005C1C0000}"/>
    <cellStyle name="Normal 2 4 2 45" xfId="7278" xr:uid="{00000000-0005-0000-0000-00005D1C0000}"/>
    <cellStyle name="Normal 2 4 2 45 2" xfId="7279" xr:uid="{00000000-0005-0000-0000-00005E1C0000}"/>
    <cellStyle name="Normal 2 4 2 45 3" xfId="7280" xr:uid="{00000000-0005-0000-0000-00005F1C0000}"/>
    <cellStyle name="Normal 2 4 2 46" xfId="7281" xr:uid="{00000000-0005-0000-0000-0000601C0000}"/>
    <cellStyle name="Normal 2 4 2 47" xfId="7282" xr:uid="{00000000-0005-0000-0000-0000611C0000}"/>
    <cellStyle name="Normal 2 4 2 48" xfId="7283" xr:uid="{00000000-0005-0000-0000-0000621C0000}"/>
    <cellStyle name="Normal 2 4 2 49" xfId="7284" xr:uid="{00000000-0005-0000-0000-0000631C0000}"/>
    <cellStyle name="Normal 2 4 2 5" xfId="7285" xr:uid="{00000000-0005-0000-0000-0000641C0000}"/>
    <cellStyle name="Normal 2 4 2 5 2" xfId="7286" xr:uid="{00000000-0005-0000-0000-0000651C0000}"/>
    <cellStyle name="Normal 2 4 2 50" xfId="7287" xr:uid="{00000000-0005-0000-0000-0000661C0000}"/>
    <cellStyle name="Normal 2 4 2 51" xfId="7288" xr:uid="{00000000-0005-0000-0000-0000671C0000}"/>
    <cellStyle name="Normal 2 4 2 52" xfId="7289" xr:uid="{00000000-0005-0000-0000-0000681C0000}"/>
    <cellStyle name="Normal 2 4 2 53" xfId="7290" xr:uid="{00000000-0005-0000-0000-0000691C0000}"/>
    <cellStyle name="Normal 2 4 2 54" xfId="7291" xr:uid="{00000000-0005-0000-0000-00006A1C0000}"/>
    <cellStyle name="Normal 2 4 2 55" xfId="7292" xr:uid="{00000000-0005-0000-0000-00006B1C0000}"/>
    <cellStyle name="Normal 2 4 2 56" xfId="7293" xr:uid="{00000000-0005-0000-0000-00006C1C0000}"/>
    <cellStyle name="Normal 2 4 2 57" xfId="7294" xr:uid="{00000000-0005-0000-0000-00006D1C0000}"/>
    <cellStyle name="Normal 2 4 2 58" xfId="7295" xr:uid="{00000000-0005-0000-0000-00006E1C0000}"/>
    <cellStyle name="Normal 2 4 2 6" xfId="7296" xr:uid="{00000000-0005-0000-0000-00006F1C0000}"/>
    <cellStyle name="Normal 2 4 2 6 2" xfId="7297" xr:uid="{00000000-0005-0000-0000-0000701C0000}"/>
    <cellStyle name="Normal 2 4 2 7" xfId="7298" xr:uid="{00000000-0005-0000-0000-0000711C0000}"/>
    <cellStyle name="Normal 2 4 2 7 2" xfId="7299" xr:uid="{00000000-0005-0000-0000-0000721C0000}"/>
    <cellStyle name="Normal 2 4 2 8" xfId="7300" xr:uid="{00000000-0005-0000-0000-0000731C0000}"/>
    <cellStyle name="Normal 2 4 2 8 2" xfId="7301" xr:uid="{00000000-0005-0000-0000-0000741C0000}"/>
    <cellStyle name="Normal 2 4 2 8 2 2" xfId="7302" xr:uid="{00000000-0005-0000-0000-0000751C0000}"/>
    <cellStyle name="Normal 2 4 2 8 2 3" xfId="7303" xr:uid="{00000000-0005-0000-0000-0000761C0000}"/>
    <cellStyle name="Normal 2 4 2 8 3" xfId="7304" xr:uid="{00000000-0005-0000-0000-0000771C0000}"/>
    <cellStyle name="Normal 2 4 2 8 4" xfId="7305" xr:uid="{00000000-0005-0000-0000-0000781C0000}"/>
    <cellStyle name="Normal 2 4 2 9" xfId="7306" xr:uid="{00000000-0005-0000-0000-0000791C0000}"/>
    <cellStyle name="Normal 2 4 20" xfId="7307" xr:uid="{00000000-0005-0000-0000-00007A1C0000}"/>
    <cellStyle name="Normal 2 4 20 10" xfId="7308" xr:uid="{00000000-0005-0000-0000-00007B1C0000}"/>
    <cellStyle name="Normal 2 4 20 10 2" xfId="7309" xr:uid="{00000000-0005-0000-0000-00007C1C0000}"/>
    <cellStyle name="Normal 2 4 20 10 3" xfId="7310" xr:uid="{00000000-0005-0000-0000-00007D1C0000}"/>
    <cellStyle name="Normal 2 4 20 11" xfId="7311" xr:uid="{00000000-0005-0000-0000-00007E1C0000}"/>
    <cellStyle name="Normal 2 4 20 11 2" xfId="7312" xr:uid="{00000000-0005-0000-0000-00007F1C0000}"/>
    <cellStyle name="Normal 2 4 20 11 3" xfId="7313" xr:uid="{00000000-0005-0000-0000-0000801C0000}"/>
    <cellStyle name="Normal 2 4 20 12" xfId="7314" xr:uid="{00000000-0005-0000-0000-0000811C0000}"/>
    <cellStyle name="Normal 2 4 20 12 2" xfId="7315" xr:uid="{00000000-0005-0000-0000-0000821C0000}"/>
    <cellStyle name="Normal 2 4 20 12 3" xfId="7316" xr:uid="{00000000-0005-0000-0000-0000831C0000}"/>
    <cellStyle name="Normal 2 4 20 13" xfId="7317" xr:uid="{00000000-0005-0000-0000-0000841C0000}"/>
    <cellStyle name="Normal 2 4 20 13 2" xfId="7318" xr:uid="{00000000-0005-0000-0000-0000851C0000}"/>
    <cellStyle name="Normal 2 4 20 13 3" xfId="7319" xr:uid="{00000000-0005-0000-0000-0000861C0000}"/>
    <cellStyle name="Normal 2 4 20 14" xfId="7320" xr:uid="{00000000-0005-0000-0000-0000871C0000}"/>
    <cellStyle name="Normal 2 4 20 14 2" xfId="7321" xr:uid="{00000000-0005-0000-0000-0000881C0000}"/>
    <cellStyle name="Normal 2 4 20 14 3" xfId="7322" xr:uid="{00000000-0005-0000-0000-0000891C0000}"/>
    <cellStyle name="Normal 2 4 20 15" xfId="7323" xr:uid="{00000000-0005-0000-0000-00008A1C0000}"/>
    <cellStyle name="Normal 2 4 20 16" xfId="7324" xr:uid="{00000000-0005-0000-0000-00008B1C0000}"/>
    <cellStyle name="Normal 2 4 20 2" xfId="7325" xr:uid="{00000000-0005-0000-0000-00008C1C0000}"/>
    <cellStyle name="Normal 2 4 20 2 2" xfId="7326" xr:uid="{00000000-0005-0000-0000-00008D1C0000}"/>
    <cellStyle name="Normal 2 4 20 2 3" xfId="7327" xr:uid="{00000000-0005-0000-0000-00008E1C0000}"/>
    <cellStyle name="Normal 2 4 20 3" xfId="7328" xr:uid="{00000000-0005-0000-0000-00008F1C0000}"/>
    <cellStyle name="Normal 2 4 20 3 2" xfId="7329" xr:uid="{00000000-0005-0000-0000-0000901C0000}"/>
    <cellStyle name="Normal 2 4 20 3 3" xfId="7330" xr:uid="{00000000-0005-0000-0000-0000911C0000}"/>
    <cellStyle name="Normal 2 4 20 4" xfId="7331" xr:uid="{00000000-0005-0000-0000-0000921C0000}"/>
    <cellStyle name="Normal 2 4 20 4 2" xfId="7332" xr:uid="{00000000-0005-0000-0000-0000931C0000}"/>
    <cellStyle name="Normal 2 4 20 4 3" xfId="7333" xr:uid="{00000000-0005-0000-0000-0000941C0000}"/>
    <cellStyle name="Normal 2 4 20 5" xfId="7334" xr:uid="{00000000-0005-0000-0000-0000951C0000}"/>
    <cellStyle name="Normal 2 4 20 5 2" xfId="7335" xr:uid="{00000000-0005-0000-0000-0000961C0000}"/>
    <cellStyle name="Normal 2 4 20 5 3" xfId="7336" xr:uid="{00000000-0005-0000-0000-0000971C0000}"/>
    <cellStyle name="Normal 2 4 20 6" xfId="7337" xr:uid="{00000000-0005-0000-0000-0000981C0000}"/>
    <cellStyle name="Normal 2 4 20 6 2" xfId="7338" xr:uid="{00000000-0005-0000-0000-0000991C0000}"/>
    <cellStyle name="Normal 2 4 20 6 3" xfId="7339" xr:uid="{00000000-0005-0000-0000-00009A1C0000}"/>
    <cellStyle name="Normal 2 4 20 7" xfId="7340" xr:uid="{00000000-0005-0000-0000-00009B1C0000}"/>
    <cellStyle name="Normal 2 4 20 7 2" xfId="7341" xr:uid="{00000000-0005-0000-0000-00009C1C0000}"/>
    <cellStyle name="Normal 2 4 20 7 3" xfId="7342" xr:uid="{00000000-0005-0000-0000-00009D1C0000}"/>
    <cellStyle name="Normal 2 4 20 8" xfId="7343" xr:uid="{00000000-0005-0000-0000-00009E1C0000}"/>
    <cellStyle name="Normal 2 4 20 8 2" xfId="7344" xr:uid="{00000000-0005-0000-0000-00009F1C0000}"/>
    <cellStyle name="Normal 2 4 20 8 3" xfId="7345" xr:uid="{00000000-0005-0000-0000-0000A01C0000}"/>
    <cellStyle name="Normal 2 4 20 9" xfId="7346" xr:uid="{00000000-0005-0000-0000-0000A11C0000}"/>
    <cellStyle name="Normal 2 4 20 9 2" xfId="7347" xr:uid="{00000000-0005-0000-0000-0000A21C0000}"/>
    <cellStyle name="Normal 2 4 20 9 3" xfId="7348" xr:uid="{00000000-0005-0000-0000-0000A31C0000}"/>
    <cellStyle name="Normal 2 4 3" xfId="7349" xr:uid="{00000000-0005-0000-0000-0000A41C0000}"/>
    <cellStyle name="Normal 2 4 3 10" xfId="7350" xr:uid="{00000000-0005-0000-0000-0000A51C0000}"/>
    <cellStyle name="Normal 2 4 3 11" xfId="7351" xr:uid="{00000000-0005-0000-0000-0000A61C0000}"/>
    <cellStyle name="Normal 2 4 3 11 2" xfId="7352" xr:uid="{00000000-0005-0000-0000-0000A71C0000}"/>
    <cellStyle name="Normal 2 4 3 11 2 10" xfId="7353" xr:uid="{00000000-0005-0000-0000-0000A81C0000}"/>
    <cellStyle name="Normal 2 4 3 11 2 10 2" xfId="7354" xr:uid="{00000000-0005-0000-0000-0000A91C0000}"/>
    <cellStyle name="Normal 2 4 3 11 2 10 3" xfId="7355" xr:uid="{00000000-0005-0000-0000-0000AA1C0000}"/>
    <cellStyle name="Normal 2 4 3 11 2 11" xfId="7356" xr:uid="{00000000-0005-0000-0000-0000AB1C0000}"/>
    <cellStyle name="Normal 2 4 3 11 2 11 2" xfId="7357" xr:uid="{00000000-0005-0000-0000-0000AC1C0000}"/>
    <cellStyle name="Normal 2 4 3 11 2 11 3" xfId="7358" xr:uid="{00000000-0005-0000-0000-0000AD1C0000}"/>
    <cellStyle name="Normal 2 4 3 11 2 12" xfId="7359" xr:uid="{00000000-0005-0000-0000-0000AE1C0000}"/>
    <cellStyle name="Normal 2 4 3 11 2 12 2" xfId="7360" xr:uid="{00000000-0005-0000-0000-0000AF1C0000}"/>
    <cellStyle name="Normal 2 4 3 11 2 12 3" xfId="7361" xr:uid="{00000000-0005-0000-0000-0000B01C0000}"/>
    <cellStyle name="Normal 2 4 3 11 2 13" xfId="7362" xr:uid="{00000000-0005-0000-0000-0000B11C0000}"/>
    <cellStyle name="Normal 2 4 3 11 2 13 2" xfId="7363" xr:uid="{00000000-0005-0000-0000-0000B21C0000}"/>
    <cellStyle name="Normal 2 4 3 11 2 13 3" xfId="7364" xr:uid="{00000000-0005-0000-0000-0000B31C0000}"/>
    <cellStyle name="Normal 2 4 3 11 2 14" xfId="7365" xr:uid="{00000000-0005-0000-0000-0000B41C0000}"/>
    <cellStyle name="Normal 2 4 3 11 2 14 2" xfId="7366" xr:uid="{00000000-0005-0000-0000-0000B51C0000}"/>
    <cellStyle name="Normal 2 4 3 11 2 14 3" xfId="7367" xr:uid="{00000000-0005-0000-0000-0000B61C0000}"/>
    <cellStyle name="Normal 2 4 3 11 2 15" xfId="7368" xr:uid="{00000000-0005-0000-0000-0000B71C0000}"/>
    <cellStyle name="Normal 2 4 3 11 2 16" xfId="7369" xr:uid="{00000000-0005-0000-0000-0000B81C0000}"/>
    <cellStyle name="Normal 2 4 3 11 2 2" xfId="7370" xr:uid="{00000000-0005-0000-0000-0000B91C0000}"/>
    <cellStyle name="Normal 2 4 3 11 2 2 2" xfId="7371" xr:uid="{00000000-0005-0000-0000-0000BA1C0000}"/>
    <cellStyle name="Normal 2 4 3 11 2 2 3" xfId="7372" xr:uid="{00000000-0005-0000-0000-0000BB1C0000}"/>
    <cellStyle name="Normal 2 4 3 11 2 3" xfId="7373" xr:uid="{00000000-0005-0000-0000-0000BC1C0000}"/>
    <cellStyle name="Normal 2 4 3 11 2 3 2" xfId="7374" xr:uid="{00000000-0005-0000-0000-0000BD1C0000}"/>
    <cellStyle name="Normal 2 4 3 11 2 3 3" xfId="7375" xr:uid="{00000000-0005-0000-0000-0000BE1C0000}"/>
    <cellStyle name="Normal 2 4 3 11 2 4" xfId="7376" xr:uid="{00000000-0005-0000-0000-0000BF1C0000}"/>
    <cellStyle name="Normal 2 4 3 11 2 4 2" xfId="7377" xr:uid="{00000000-0005-0000-0000-0000C01C0000}"/>
    <cellStyle name="Normal 2 4 3 11 2 4 3" xfId="7378" xr:uid="{00000000-0005-0000-0000-0000C11C0000}"/>
    <cellStyle name="Normal 2 4 3 11 2 5" xfId="7379" xr:uid="{00000000-0005-0000-0000-0000C21C0000}"/>
    <cellStyle name="Normal 2 4 3 11 2 5 2" xfId="7380" xr:uid="{00000000-0005-0000-0000-0000C31C0000}"/>
    <cellStyle name="Normal 2 4 3 11 2 5 3" xfId="7381" xr:uid="{00000000-0005-0000-0000-0000C41C0000}"/>
    <cellStyle name="Normal 2 4 3 11 2 6" xfId="7382" xr:uid="{00000000-0005-0000-0000-0000C51C0000}"/>
    <cellStyle name="Normal 2 4 3 11 2 6 2" xfId="7383" xr:uid="{00000000-0005-0000-0000-0000C61C0000}"/>
    <cellStyle name="Normal 2 4 3 11 2 6 3" xfId="7384" xr:uid="{00000000-0005-0000-0000-0000C71C0000}"/>
    <cellStyle name="Normal 2 4 3 11 2 7" xfId="7385" xr:uid="{00000000-0005-0000-0000-0000C81C0000}"/>
    <cellStyle name="Normal 2 4 3 11 2 7 2" xfId="7386" xr:uid="{00000000-0005-0000-0000-0000C91C0000}"/>
    <cellStyle name="Normal 2 4 3 11 2 7 3" xfId="7387" xr:uid="{00000000-0005-0000-0000-0000CA1C0000}"/>
    <cellStyle name="Normal 2 4 3 11 2 8" xfId="7388" xr:uid="{00000000-0005-0000-0000-0000CB1C0000}"/>
    <cellStyle name="Normal 2 4 3 11 2 8 2" xfId="7389" xr:uid="{00000000-0005-0000-0000-0000CC1C0000}"/>
    <cellStyle name="Normal 2 4 3 11 2 8 3" xfId="7390" xr:uid="{00000000-0005-0000-0000-0000CD1C0000}"/>
    <cellStyle name="Normal 2 4 3 11 2 9" xfId="7391" xr:uid="{00000000-0005-0000-0000-0000CE1C0000}"/>
    <cellStyle name="Normal 2 4 3 11 2 9 2" xfId="7392" xr:uid="{00000000-0005-0000-0000-0000CF1C0000}"/>
    <cellStyle name="Normal 2 4 3 11 2 9 3" xfId="7393" xr:uid="{00000000-0005-0000-0000-0000D01C0000}"/>
    <cellStyle name="Normal 2 4 3 11 3" xfId="7394" xr:uid="{00000000-0005-0000-0000-0000D11C0000}"/>
    <cellStyle name="Normal 2 4 3 11 3 10" xfId="7395" xr:uid="{00000000-0005-0000-0000-0000D21C0000}"/>
    <cellStyle name="Normal 2 4 3 11 3 10 2" xfId="7396" xr:uid="{00000000-0005-0000-0000-0000D31C0000}"/>
    <cellStyle name="Normal 2 4 3 11 3 10 3" xfId="7397" xr:uid="{00000000-0005-0000-0000-0000D41C0000}"/>
    <cellStyle name="Normal 2 4 3 11 3 11" xfId="7398" xr:uid="{00000000-0005-0000-0000-0000D51C0000}"/>
    <cellStyle name="Normal 2 4 3 11 3 11 2" xfId="7399" xr:uid="{00000000-0005-0000-0000-0000D61C0000}"/>
    <cellStyle name="Normal 2 4 3 11 3 11 3" xfId="7400" xr:uid="{00000000-0005-0000-0000-0000D71C0000}"/>
    <cellStyle name="Normal 2 4 3 11 3 12" xfId="7401" xr:uid="{00000000-0005-0000-0000-0000D81C0000}"/>
    <cellStyle name="Normal 2 4 3 11 3 12 2" xfId="7402" xr:uid="{00000000-0005-0000-0000-0000D91C0000}"/>
    <cellStyle name="Normal 2 4 3 11 3 12 3" xfId="7403" xr:uid="{00000000-0005-0000-0000-0000DA1C0000}"/>
    <cellStyle name="Normal 2 4 3 11 3 13" xfId="7404" xr:uid="{00000000-0005-0000-0000-0000DB1C0000}"/>
    <cellStyle name="Normal 2 4 3 11 3 13 2" xfId="7405" xr:uid="{00000000-0005-0000-0000-0000DC1C0000}"/>
    <cellStyle name="Normal 2 4 3 11 3 13 3" xfId="7406" xr:uid="{00000000-0005-0000-0000-0000DD1C0000}"/>
    <cellStyle name="Normal 2 4 3 11 3 14" xfId="7407" xr:uid="{00000000-0005-0000-0000-0000DE1C0000}"/>
    <cellStyle name="Normal 2 4 3 11 3 14 2" xfId="7408" xr:uid="{00000000-0005-0000-0000-0000DF1C0000}"/>
    <cellStyle name="Normal 2 4 3 11 3 14 3" xfId="7409" xr:uid="{00000000-0005-0000-0000-0000E01C0000}"/>
    <cellStyle name="Normal 2 4 3 11 3 15" xfId="7410" xr:uid="{00000000-0005-0000-0000-0000E11C0000}"/>
    <cellStyle name="Normal 2 4 3 11 3 16" xfId="7411" xr:uid="{00000000-0005-0000-0000-0000E21C0000}"/>
    <cellStyle name="Normal 2 4 3 11 3 2" xfId="7412" xr:uid="{00000000-0005-0000-0000-0000E31C0000}"/>
    <cellStyle name="Normal 2 4 3 11 3 2 2" xfId="7413" xr:uid="{00000000-0005-0000-0000-0000E41C0000}"/>
    <cellStyle name="Normal 2 4 3 11 3 2 3" xfId="7414" xr:uid="{00000000-0005-0000-0000-0000E51C0000}"/>
    <cellStyle name="Normal 2 4 3 11 3 3" xfId="7415" xr:uid="{00000000-0005-0000-0000-0000E61C0000}"/>
    <cellStyle name="Normal 2 4 3 11 3 3 2" xfId="7416" xr:uid="{00000000-0005-0000-0000-0000E71C0000}"/>
    <cellStyle name="Normal 2 4 3 11 3 3 3" xfId="7417" xr:uid="{00000000-0005-0000-0000-0000E81C0000}"/>
    <cellStyle name="Normal 2 4 3 11 3 4" xfId="7418" xr:uid="{00000000-0005-0000-0000-0000E91C0000}"/>
    <cellStyle name="Normal 2 4 3 11 3 4 2" xfId="7419" xr:uid="{00000000-0005-0000-0000-0000EA1C0000}"/>
    <cellStyle name="Normal 2 4 3 11 3 4 3" xfId="7420" xr:uid="{00000000-0005-0000-0000-0000EB1C0000}"/>
    <cellStyle name="Normal 2 4 3 11 3 5" xfId="7421" xr:uid="{00000000-0005-0000-0000-0000EC1C0000}"/>
    <cellStyle name="Normal 2 4 3 11 3 5 2" xfId="7422" xr:uid="{00000000-0005-0000-0000-0000ED1C0000}"/>
    <cellStyle name="Normal 2 4 3 11 3 5 3" xfId="7423" xr:uid="{00000000-0005-0000-0000-0000EE1C0000}"/>
    <cellStyle name="Normal 2 4 3 11 3 6" xfId="7424" xr:uid="{00000000-0005-0000-0000-0000EF1C0000}"/>
    <cellStyle name="Normal 2 4 3 11 3 6 2" xfId="7425" xr:uid="{00000000-0005-0000-0000-0000F01C0000}"/>
    <cellStyle name="Normal 2 4 3 11 3 6 3" xfId="7426" xr:uid="{00000000-0005-0000-0000-0000F11C0000}"/>
    <cellStyle name="Normal 2 4 3 11 3 7" xfId="7427" xr:uid="{00000000-0005-0000-0000-0000F21C0000}"/>
    <cellStyle name="Normal 2 4 3 11 3 7 2" xfId="7428" xr:uid="{00000000-0005-0000-0000-0000F31C0000}"/>
    <cellStyle name="Normal 2 4 3 11 3 7 3" xfId="7429" xr:uid="{00000000-0005-0000-0000-0000F41C0000}"/>
    <cellStyle name="Normal 2 4 3 11 3 8" xfId="7430" xr:uid="{00000000-0005-0000-0000-0000F51C0000}"/>
    <cellStyle name="Normal 2 4 3 11 3 8 2" xfId="7431" xr:uid="{00000000-0005-0000-0000-0000F61C0000}"/>
    <cellStyle name="Normal 2 4 3 11 3 8 3" xfId="7432" xr:uid="{00000000-0005-0000-0000-0000F71C0000}"/>
    <cellStyle name="Normal 2 4 3 11 3 9" xfId="7433" xr:uid="{00000000-0005-0000-0000-0000F81C0000}"/>
    <cellStyle name="Normal 2 4 3 11 3 9 2" xfId="7434" xr:uid="{00000000-0005-0000-0000-0000F91C0000}"/>
    <cellStyle name="Normal 2 4 3 11 3 9 3" xfId="7435" xr:uid="{00000000-0005-0000-0000-0000FA1C0000}"/>
    <cellStyle name="Normal 2 4 3 11 4" xfId="7436" xr:uid="{00000000-0005-0000-0000-0000FB1C0000}"/>
    <cellStyle name="Normal 2 4 3 11 4 10" xfId="7437" xr:uid="{00000000-0005-0000-0000-0000FC1C0000}"/>
    <cellStyle name="Normal 2 4 3 11 4 10 2" xfId="7438" xr:uid="{00000000-0005-0000-0000-0000FD1C0000}"/>
    <cellStyle name="Normal 2 4 3 11 4 10 3" xfId="7439" xr:uid="{00000000-0005-0000-0000-0000FE1C0000}"/>
    <cellStyle name="Normal 2 4 3 11 4 11" xfId="7440" xr:uid="{00000000-0005-0000-0000-0000FF1C0000}"/>
    <cellStyle name="Normal 2 4 3 11 4 11 2" xfId="7441" xr:uid="{00000000-0005-0000-0000-0000001D0000}"/>
    <cellStyle name="Normal 2 4 3 11 4 11 3" xfId="7442" xr:uid="{00000000-0005-0000-0000-0000011D0000}"/>
    <cellStyle name="Normal 2 4 3 11 4 12" xfId="7443" xr:uid="{00000000-0005-0000-0000-0000021D0000}"/>
    <cellStyle name="Normal 2 4 3 11 4 12 2" xfId="7444" xr:uid="{00000000-0005-0000-0000-0000031D0000}"/>
    <cellStyle name="Normal 2 4 3 11 4 12 3" xfId="7445" xr:uid="{00000000-0005-0000-0000-0000041D0000}"/>
    <cellStyle name="Normal 2 4 3 11 4 13" xfId="7446" xr:uid="{00000000-0005-0000-0000-0000051D0000}"/>
    <cellStyle name="Normal 2 4 3 11 4 13 2" xfId="7447" xr:uid="{00000000-0005-0000-0000-0000061D0000}"/>
    <cellStyle name="Normal 2 4 3 11 4 13 3" xfId="7448" xr:uid="{00000000-0005-0000-0000-0000071D0000}"/>
    <cellStyle name="Normal 2 4 3 11 4 14" xfId="7449" xr:uid="{00000000-0005-0000-0000-0000081D0000}"/>
    <cellStyle name="Normal 2 4 3 11 4 14 2" xfId="7450" xr:uid="{00000000-0005-0000-0000-0000091D0000}"/>
    <cellStyle name="Normal 2 4 3 11 4 14 3" xfId="7451" xr:uid="{00000000-0005-0000-0000-00000A1D0000}"/>
    <cellStyle name="Normal 2 4 3 11 4 15" xfId="7452" xr:uid="{00000000-0005-0000-0000-00000B1D0000}"/>
    <cellStyle name="Normal 2 4 3 11 4 16" xfId="7453" xr:uid="{00000000-0005-0000-0000-00000C1D0000}"/>
    <cellStyle name="Normal 2 4 3 11 4 2" xfId="7454" xr:uid="{00000000-0005-0000-0000-00000D1D0000}"/>
    <cellStyle name="Normal 2 4 3 11 4 2 2" xfId="7455" xr:uid="{00000000-0005-0000-0000-00000E1D0000}"/>
    <cellStyle name="Normal 2 4 3 11 4 2 3" xfId="7456" xr:uid="{00000000-0005-0000-0000-00000F1D0000}"/>
    <cellStyle name="Normal 2 4 3 11 4 3" xfId="7457" xr:uid="{00000000-0005-0000-0000-0000101D0000}"/>
    <cellStyle name="Normal 2 4 3 11 4 3 2" xfId="7458" xr:uid="{00000000-0005-0000-0000-0000111D0000}"/>
    <cellStyle name="Normal 2 4 3 11 4 3 3" xfId="7459" xr:uid="{00000000-0005-0000-0000-0000121D0000}"/>
    <cellStyle name="Normal 2 4 3 11 4 4" xfId="7460" xr:uid="{00000000-0005-0000-0000-0000131D0000}"/>
    <cellStyle name="Normal 2 4 3 11 4 4 2" xfId="7461" xr:uid="{00000000-0005-0000-0000-0000141D0000}"/>
    <cellStyle name="Normal 2 4 3 11 4 4 3" xfId="7462" xr:uid="{00000000-0005-0000-0000-0000151D0000}"/>
    <cellStyle name="Normal 2 4 3 11 4 5" xfId="7463" xr:uid="{00000000-0005-0000-0000-0000161D0000}"/>
    <cellStyle name="Normal 2 4 3 11 4 5 2" xfId="7464" xr:uid="{00000000-0005-0000-0000-0000171D0000}"/>
    <cellStyle name="Normal 2 4 3 11 4 5 3" xfId="7465" xr:uid="{00000000-0005-0000-0000-0000181D0000}"/>
    <cellStyle name="Normal 2 4 3 11 4 6" xfId="7466" xr:uid="{00000000-0005-0000-0000-0000191D0000}"/>
    <cellStyle name="Normal 2 4 3 11 4 6 2" xfId="7467" xr:uid="{00000000-0005-0000-0000-00001A1D0000}"/>
    <cellStyle name="Normal 2 4 3 11 4 6 3" xfId="7468" xr:uid="{00000000-0005-0000-0000-00001B1D0000}"/>
    <cellStyle name="Normal 2 4 3 11 4 7" xfId="7469" xr:uid="{00000000-0005-0000-0000-00001C1D0000}"/>
    <cellStyle name="Normal 2 4 3 11 4 7 2" xfId="7470" xr:uid="{00000000-0005-0000-0000-00001D1D0000}"/>
    <cellStyle name="Normal 2 4 3 11 4 7 3" xfId="7471" xr:uid="{00000000-0005-0000-0000-00001E1D0000}"/>
    <cellStyle name="Normal 2 4 3 11 4 8" xfId="7472" xr:uid="{00000000-0005-0000-0000-00001F1D0000}"/>
    <cellStyle name="Normal 2 4 3 11 4 8 2" xfId="7473" xr:uid="{00000000-0005-0000-0000-0000201D0000}"/>
    <cellStyle name="Normal 2 4 3 11 4 8 3" xfId="7474" xr:uid="{00000000-0005-0000-0000-0000211D0000}"/>
    <cellStyle name="Normal 2 4 3 11 4 9" xfId="7475" xr:uid="{00000000-0005-0000-0000-0000221D0000}"/>
    <cellStyle name="Normal 2 4 3 11 4 9 2" xfId="7476" xr:uid="{00000000-0005-0000-0000-0000231D0000}"/>
    <cellStyle name="Normal 2 4 3 11 4 9 3" xfId="7477" xr:uid="{00000000-0005-0000-0000-0000241D0000}"/>
    <cellStyle name="Normal 2 4 3 12" xfId="7478" xr:uid="{00000000-0005-0000-0000-0000251D0000}"/>
    <cellStyle name="Normal 2 4 3 12 10" xfId="7479" xr:uid="{00000000-0005-0000-0000-0000261D0000}"/>
    <cellStyle name="Normal 2 4 3 12 10 2" xfId="7480" xr:uid="{00000000-0005-0000-0000-0000271D0000}"/>
    <cellStyle name="Normal 2 4 3 12 10 3" xfId="7481" xr:uid="{00000000-0005-0000-0000-0000281D0000}"/>
    <cellStyle name="Normal 2 4 3 12 11" xfId="7482" xr:uid="{00000000-0005-0000-0000-0000291D0000}"/>
    <cellStyle name="Normal 2 4 3 12 11 2" xfId="7483" xr:uid="{00000000-0005-0000-0000-00002A1D0000}"/>
    <cellStyle name="Normal 2 4 3 12 11 3" xfId="7484" xr:uid="{00000000-0005-0000-0000-00002B1D0000}"/>
    <cellStyle name="Normal 2 4 3 12 12" xfId="7485" xr:uid="{00000000-0005-0000-0000-00002C1D0000}"/>
    <cellStyle name="Normal 2 4 3 12 12 2" xfId="7486" xr:uid="{00000000-0005-0000-0000-00002D1D0000}"/>
    <cellStyle name="Normal 2 4 3 12 12 3" xfId="7487" xr:uid="{00000000-0005-0000-0000-00002E1D0000}"/>
    <cellStyle name="Normal 2 4 3 12 13" xfId="7488" xr:uid="{00000000-0005-0000-0000-00002F1D0000}"/>
    <cellStyle name="Normal 2 4 3 12 13 2" xfId="7489" xr:uid="{00000000-0005-0000-0000-0000301D0000}"/>
    <cellStyle name="Normal 2 4 3 12 13 3" xfId="7490" xr:uid="{00000000-0005-0000-0000-0000311D0000}"/>
    <cellStyle name="Normal 2 4 3 12 14" xfId="7491" xr:uid="{00000000-0005-0000-0000-0000321D0000}"/>
    <cellStyle name="Normal 2 4 3 12 14 2" xfId="7492" xr:uid="{00000000-0005-0000-0000-0000331D0000}"/>
    <cellStyle name="Normal 2 4 3 12 14 3" xfId="7493" xr:uid="{00000000-0005-0000-0000-0000341D0000}"/>
    <cellStyle name="Normal 2 4 3 12 15" xfId="7494" xr:uid="{00000000-0005-0000-0000-0000351D0000}"/>
    <cellStyle name="Normal 2 4 3 12 16" xfId="7495" xr:uid="{00000000-0005-0000-0000-0000361D0000}"/>
    <cellStyle name="Normal 2 4 3 12 2" xfId="7496" xr:uid="{00000000-0005-0000-0000-0000371D0000}"/>
    <cellStyle name="Normal 2 4 3 12 2 2" xfId="7497" xr:uid="{00000000-0005-0000-0000-0000381D0000}"/>
    <cellStyle name="Normal 2 4 3 12 2 3" xfId="7498" xr:uid="{00000000-0005-0000-0000-0000391D0000}"/>
    <cellStyle name="Normal 2 4 3 12 3" xfId="7499" xr:uid="{00000000-0005-0000-0000-00003A1D0000}"/>
    <cellStyle name="Normal 2 4 3 12 3 2" xfId="7500" xr:uid="{00000000-0005-0000-0000-00003B1D0000}"/>
    <cellStyle name="Normal 2 4 3 12 3 3" xfId="7501" xr:uid="{00000000-0005-0000-0000-00003C1D0000}"/>
    <cellStyle name="Normal 2 4 3 12 4" xfId="7502" xr:uid="{00000000-0005-0000-0000-00003D1D0000}"/>
    <cellStyle name="Normal 2 4 3 12 4 2" xfId="7503" xr:uid="{00000000-0005-0000-0000-00003E1D0000}"/>
    <cellStyle name="Normal 2 4 3 12 4 3" xfId="7504" xr:uid="{00000000-0005-0000-0000-00003F1D0000}"/>
    <cellStyle name="Normal 2 4 3 12 5" xfId="7505" xr:uid="{00000000-0005-0000-0000-0000401D0000}"/>
    <cellStyle name="Normal 2 4 3 12 5 2" xfId="7506" xr:uid="{00000000-0005-0000-0000-0000411D0000}"/>
    <cellStyle name="Normal 2 4 3 12 5 3" xfId="7507" xr:uid="{00000000-0005-0000-0000-0000421D0000}"/>
    <cellStyle name="Normal 2 4 3 12 6" xfId="7508" xr:uid="{00000000-0005-0000-0000-0000431D0000}"/>
    <cellStyle name="Normal 2 4 3 12 6 2" xfId="7509" xr:uid="{00000000-0005-0000-0000-0000441D0000}"/>
    <cellStyle name="Normal 2 4 3 12 6 3" xfId="7510" xr:uid="{00000000-0005-0000-0000-0000451D0000}"/>
    <cellStyle name="Normal 2 4 3 12 7" xfId="7511" xr:uid="{00000000-0005-0000-0000-0000461D0000}"/>
    <cellStyle name="Normal 2 4 3 12 7 2" xfId="7512" xr:uid="{00000000-0005-0000-0000-0000471D0000}"/>
    <cellStyle name="Normal 2 4 3 12 7 3" xfId="7513" xr:uid="{00000000-0005-0000-0000-0000481D0000}"/>
    <cellStyle name="Normal 2 4 3 12 8" xfId="7514" xr:uid="{00000000-0005-0000-0000-0000491D0000}"/>
    <cellStyle name="Normal 2 4 3 12 8 2" xfId="7515" xr:uid="{00000000-0005-0000-0000-00004A1D0000}"/>
    <cellStyle name="Normal 2 4 3 12 8 3" xfId="7516" xr:uid="{00000000-0005-0000-0000-00004B1D0000}"/>
    <cellStyle name="Normal 2 4 3 12 9" xfId="7517" xr:uid="{00000000-0005-0000-0000-00004C1D0000}"/>
    <cellStyle name="Normal 2 4 3 12 9 2" xfId="7518" xr:uid="{00000000-0005-0000-0000-00004D1D0000}"/>
    <cellStyle name="Normal 2 4 3 12 9 3" xfId="7519" xr:uid="{00000000-0005-0000-0000-00004E1D0000}"/>
    <cellStyle name="Normal 2 4 3 13" xfId="7520" xr:uid="{00000000-0005-0000-0000-00004F1D0000}"/>
    <cellStyle name="Normal 2 4 3 14" xfId="7521" xr:uid="{00000000-0005-0000-0000-0000501D0000}"/>
    <cellStyle name="Normal 2 4 3 15" xfId="7522" xr:uid="{00000000-0005-0000-0000-0000511D0000}"/>
    <cellStyle name="Normal 2 4 3 16" xfId="7523" xr:uid="{00000000-0005-0000-0000-0000521D0000}"/>
    <cellStyle name="Normal 2 4 3 16 2" xfId="7524" xr:uid="{00000000-0005-0000-0000-0000531D0000}"/>
    <cellStyle name="Normal 2 4 3 16 3" xfId="7525" xr:uid="{00000000-0005-0000-0000-0000541D0000}"/>
    <cellStyle name="Normal 2 4 3 17" xfId="7526" xr:uid="{00000000-0005-0000-0000-0000551D0000}"/>
    <cellStyle name="Normal 2 4 3 17 2" xfId="7527" xr:uid="{00000000-0005-0000-0000-0000561D0000}"/>
    <cellStyle name="Normal 2 4 3 17 3" xfId="7528" xr:uid="{00000000-0005-0000-0000-0000571D0000}"/>
    <cellStyle name="Normal 2 4 3 18" xfId="7529" xr:uid="{00000000-0005-0000-0000-0000581D0000}"/>
    <cellStyle name="Normal 2 4 3 18 2" xfId="7530" xr:uid="{00000000-0005-0000-0000-0000591D0000}"/>
    <cellStyle name="Normal 2 4 3 18 3" xfId="7531" xr:uid="{00000000-0005-0000-0000-00005A1D0000}"/>
    <cellStyle name="Normal 2 4 3 19" xfId="7532" xr:uid="{00000000-0005-0000-0000-00005B1D0000}"/>
    <cellStyle name="Normal 2 4 3 19 2" xfId="7533" xr:uid="{00000000-0005-0000-0000-00005C1D0000}"/>
    <cellStyle name="Normal 2 4 3 19 3" xfId="7534" xr:uid="{00000000-0005-0000-0000-00005D1D0000}"/>
    <cellStyle name="Normal 2 4 3 2" xfId="7535" xr:uid="{00000000-0005-0000-0000-00005E1D0000}"/>
    <cellStyle name="Normal 2 4 3 2 2" xfId="7536" xr:uid="{00000000-0005-0000-0000-00005F1D0000}"/>
    <cellStyle name="Normal 2 4 3 2 2 2" xfId="7537" xr:uid="{00000000-0005-0000-0000-0000601D0000}"/>
    <cellStyle name="Normal 2 4 3 2 2 2 2" xfId="7538" xr:uid="{00000000-0005-0000-0000-0000611D0000}"/>
    <cellStyle name="Normal 2 4 3 2 2 2 2 2" xfId="7539" xr:uid="{00000000-0005-0000-0000-0000621D0000}"/>
    <cellStyle name="Normal 2 4 3 2 2 2 2 2 2" xfId="7540" xr:uid="{00000000-0005-0000-0000-0000631D0000}"/>
    <cellStyle name="Normal 2 4 3 2 2 2 2 2 3" xfId="7541" xr:uid="{00000000-0005-0000-0000-0000641D0000}"/>
    <cellStyle name="Normal 2 4 3 2 2 2 2 3" xfId="7542" xr:uid="{00000000-0005-0000-0000-0000651D0000}"/>
    <cellStyle name="Normal 2 4 3 2 2 2 2 4" xfId="7543" xr:uid="{00000000-0005-0000-0000-0000661D0000}"/>
    <cellStyle name="Normal 2 4 3 2 2 2 3" xfId="7544" xr:uid="{00000000-0005-0000-0000-0000671D0000}"/>
    <cellStyle name="Normal 2 4 3 2 2 2 4" xfId="7545" xr:uid="{00000000-0005-0000-0000-0000681D0000}"/>
    <cellStyle name="Normal 2 4 3 2 2 2 5" xfId="7546" xr:uid="{00000000-0005-0000-0000-0000691D0000}"/>
    <cellStyle name="Normal 2 4 3 2 2 2 5 2" xfId="7547" xr:uid="{00000000-0005-0000-0000-00006A1D0000}"/>
    <cellStyle name="Normal 2 4 3 2 2 2 5 3" xfId="7548" xr:uid="{00000000-0005-0000-0000-00006B1D0000}"/>
    <cellStyle name="Normal 2 4 3 2 2 2 6" xfId="7549" xr:uid="{00000000-0005-0000-0000-00006C1D0000}"/>
    <cellStyle name="Normal 2 4 3 2 2 3" xfId="7550" xr:uid="{00000000-0005-0000-0000-00006D1D0000}"/>
    <cellStyle name="Normal 2 4 3 2 2 4" xfId="7551" xr:uid="{00000000-0005-0000-0000-00006E1D0000}"/>
    <cellStyle name="Normal 2 4 3 2 2 5" xfId="7552" xr:uid="{00000000-0005-0000-0000-00006F1D0000}"/>
    <cellStyle name="Normal 2 4 3 2 2 6" xfId="7553" xr:uid="{00000000-0005-0000-0000-0000701D0000}"/>
    <cellStyle name="Normal 2 4 3 2 2 6 2" xfId="7554" xr:uid="{00000000-0005-0000-0000-0000711D0000}"/>
    <cellStyle name="Normal 2 4 3 2 2 6 3" xfId="7555" xr:uid="{00000000-0005-0000-0000-0000721D0000}"/>
    <cellStyle name="Normal 2 4 3 2 2 7" xfId="7556" xr:uid="{00000000-0005-0000-0000-0000731D0000}"/>
    <cellStyle name="Normal 2 4 3 2 3" xfId="7557" xr:uid="{00000000-0005-0000-0000-0000741D0000}"/>
    <cellStyle name="Normal 2 4 3 2 3 2" xfId="7558" xr:uid="{00000000-0005-0000-0000-0000751D0000}"/>
    <cellStyle name="Normal 2 4 3 2 3 3" xfId="7559" xr:uid="{00000000-0005-0000-0000-0000761D0000}"/>
    <cellStyle name="Normal 2 4 3 2 3 4" xfId="7560" xr:uid="{00000000-0005-0000-0000-0000771D0000}"/>
    <cellStyle name="Normal 2 4 3 2 4" xfId="7561" xr:uid="{00000000-0005-0000-0000-0000781D0000}"/>
    <cellStyle name="Normal 2 4 3 2 5" xfId="7562" xr:uid="{00000000-0005-0000-0000-0000791D0000}"/>
    <cellStyle name="Normal 2 4 3 2 6" xfId="7563" xr:uid="{00000000-0005-0000-0000-00007A1D0000}"/>
    <cellStyle name="Normal 2 4 3 2 7" xfId="7564" xr:uid="{00000000-0005-0000-0000-00007B1D0000}"/>
    <cellStyle name="Normal 2 4 3 2 7 2" xfId="7565" xr:uid="{00000000-0005-0000-0000-00007C1D0000}"/>
    <cellStyle name="Normal 2 4 3 2 7 3" xfId="7566" xr:uid="{00000000-0005-0000-0000-00007D1D0000}"/>
    <cellStyle name="Normal 2 4 3 2 8" xfId="7567" xr:uid="{00000000-0005-0000-0000-00007E1D0000}"/>
    <cellStyle name="Normal 2 4 3 20" xfId="7568" xr:uid="{00000000-0005-0000-0000-00007F1D0000}"/>
    <cellStyle name="Normal 2 4 3 20 2" xfId="7569" xr:uid="{00000000-0005-0000-0000-0000801D0000}"/>
    <cellStyle name="Normal 2 4 3 20 3" xfId="7570" xr:uid="{00000000-0005-0000-0000-0000811D0000}"/>
    <cellStyle name="Normal 2 4 3 21" xfId="7571" xr:uid="{00000000-0005-0000-0000-0000821D0000}"/>
    <cellStyle name="Normal 2 4 3 21 2" xfId="7572" xr:uid="{00000000-0005-0000-0000-0000831D0000}"/>
    <cellStyle name="Normal 2 4 3 21 3" xfId="7573" xr:uid="{00000000-0005-0000-0000-0000841D0000}"/>
    <cellStyle name="Normal 2 4 3 22" xfId="7574" xr:uid="{00000000-0005-0000-0000-0000851D0000}"/>
    <cellStyle name="Normal 2 4 3 22 2" xfId="7575" xr:uid="{00000000-0005-0000-0000-0000861D0000}"/>
    <cellStyle name="Normal 2 4 3 22 3" xfId="7576" xr:uid="{00000000-0005-0000-0000-0000871D0000}"/>
    <cellStyle name="Normal 2 4 3 23" xfId="7577" xr:uid="{00000000-0005-0000-0000-0000881D0000}"/>
    <cellStyle name="Normal 2 4 3 23 2" xfId="7578" xr:uid="{00000000-0005-0000-0000-0000891D0000}"/>
    <cellStyle name="Normal 2 4 3 23 3" xfId="7579" xr:uid="{00000000-0005-0000-0000-00008A1D0000}"/>
    <cellStyle name="Normal 2 4 3 24" xfId="7580" xr:uid="{00000000-0005-0000-0000-00008B1D0000}"/>
    <cellStyle name="Normal 2 4 3 24 2" xfId="7581" xr:uid="{00000000-0005-0000-0000-00008C1D0000}"/>
    <cellStyle name="Normal 2 4 3 24 3" xfId="7582" xr:uid="{00000000-0005-0000-0000-00008D1D0000}"/>
    <cellStyle name="Normal 2 4 3 25" xfId="7583" xr:uid="{00000000-0005-0000-0000-00008E1D0000}"/>
    <cellStyle name="Normal 2 4 3 25 2" xfId="7584" xr:uid="{00000000-0005-0000-0000-00008F1D0000}"/>
    <cellStyle name="Normal 2 4 3 25 3" xfId="7585" xr:uid="{00000000-0005-0000-0000-0000901D0000}"/>
    <cellStyle name="Normal 2 4 3 26" xfId="7586" xr:uid="{00000000-0005-0000-0000-0000911D0000}"/>
    <cellStyle name="Normal 2 4 3 26 2" xfId="7587" xr:uid="{00000000-0005-0000-0000-0000921D0000}"/>
    <cellStyle name="Normal 2 4 3 26 3" xfId="7588" xr:uid="{00000000-0005-0000-0000-0000931D0000}"/>
    <cellStyle name="Normal 2 4 3 27" xfId="7589" xr:uid="{00000000-0005-0000-0000-0000941D0000}"/>
    <cellStyle name="Normal 2 4 3 27 2" xfId="7590" xr:uid="{00000000-0005-0000-0000-0000951D0000}"/>
    <cellStyle name="Normal 2 4 3 27 3" xfId="7591" xr:uid="{00000000-0005-0000-0000-0000961D0000}"/>
    <cellStyle name="Normal 2 4 3 28" xfId="7592" xr:uid="{00000000-0005-0000-0000-0000971D0000}"/>
    <cellStyle name="Normal 2 4 3 28 2" xfId="7593" xr:uid="{00000000-0005-0000-0000-0000981D0000}"/>
    <cellStyle name="Normal 2 4 3 28 3" xfId="7594" xr:uid="{00000000-0005-0000-0000-0000991D0000}"/>
    <cellStyle name="Normal 2 4 3 29" xfId="7595" xr:uid="{00000000-0005-0000-0000-00009A1D0000}"/>
    <cellStyle name="Normal 2 4 3 3" xfId="7596" xr:uid="{00000000-0005-0000-0000-00009B1D0000}"/>
    <cellStyle name="Normal 2 4 3 30" xfId="7597" xr:uid="{00000000-0005-0000-0000-00009C1D0000}"/>
    <cellStyle name="Normal 2 4 3 31" xfId="7598" xr:uid="{00000000-0005-0000-0000-00009D1D0000}"/>
    <cellStyle name="Normal 2 4 3 32" xfId="7599" xr:uid="{00000000-0005-0000-0000-00009E1D0000}"/>
    <cellStyle name="Normal 2 4 3 33" xfId="7600" xr:uid="{00000000-0005-0000-0000-00009F1D0000}"/>
    <cellStyle name="Normal 2 4 3 34" xfId="7601" xr:uid="{00000000-0005-0000-0000-0000A01D0000}"/>
    <cellStyle name="Normal 2 4 3 35" xfId="7602" xr:uid="{00000000-0005-0000-0000-0000A11D0000}"/>
    <cellStyle name="Normal 2 4 3 36" xfId="7603" xr:uid="{00000000-0005-0000-0000-0000A21D0000}"/>
    <cellStyle name="Normal 2 4 3 37" xfId="7604" xr:uid="{00000000-0005-0000-0000-0000A31D0000}"/>
    <cellStyle name="Normal 2 4 3 38" xfId="7605" xr:uid="{00000000-0005-0000-0000-0000A41D0000}"/>
    <cellStyle name="Normal 2 4 3 39" xfId="7606" xr:uid="{00000000-0005-0000-0000-0000A51D0000}"/>
    <cellStyle name="Normal 2 4 3 4" xfId="7607" xr:uid="{00000000-0005-0000-0000-0000A61D0000}"/>
    <cellStyle name="Normal 2 4 3 40" xfId="7608" xr:uid="{00000000-0005-0000-0000-0000A71D0000}"/>
    <cellStyle name="Normal 2 4 3 41" xfId="7609" xr:uid="{00000000-0005-0000-0000-0000A81D0000}"/>
    <cellStyle name="Normal 2 4 3 5" xfId="7610" xr:uid="{00000000-0005-0000-0000-0000A91D0000}"/>
    <cellStyle name="Normal 2 4 3 6" xfId="7611" xr:uid="{00000000-0005-0000-0000-0000AA1D0000}"/>
    <cellStyle name="Normal 2 4 3 7" xfId="7612" xr:uid="{00000000-0005-0000-0000-0000AB1D0000}"/>
    <cellStyle name="Normal 2 4 3 8" xfId="7613" xr:uid="{00000000-0005-0000-0000-0000AC1D0000}"/>
    <cellStyle name="Normal 2 4 3 9" xfId="7614" xr:uid="{00000000-0005-0000-0000-0000AD1D0000}"/>
    <cellStyle name="Normal 2 4 4" xfId="7615" xr:uid="{00000000-0005-0000-0000-0000AE1D0000}"/>
    <cellStyle name="Normal 2 4 4 10" xfId="7616" xr:uid="{00000000-0005-0000-0000-0000AF1D0000}"/>
    <cellStyle name="Normal 2 4 4 10 2" xfId="7617" xr:uid="{00000000-0005-0000-0000-0000B01D0000}"/>
    <cellStyle name="Normal 2 4 4 10 3" xfId="7618" xr:uid="{00000000-0005-0000-0000-0000B11D0000}"/>
    <cellStyle name="Normal 2 4 4 11" xfId="7619" xr:uid="{00000000-0005-0000-0000-0000B21D0000}"/>
    <cellStyle name="Normal 2 4 4 11 2" xfId="7620" xr:uid="{00000000-0005-0000-0000-0000B31D0000}"/>
    <cellStyle name="Normal 2 4 4 11 3" xfId="7621" xr:uid="{00000000-0005-0000-0000-0000B41D0000}"/>
    <cellStyle name="Normal 2 4 4 12" xfId="7622" xr:uid="{00000000-0005-0000-0000-0000B51D0000}"/>
    <cellStyle name="Normal 2 4 4 12 2" xfId="7623" xr:uid="{00000000-0005-0000-0000-0000B61D0000}"/>
    <cellStyle name="Normal 2 4 4 12 3" xfId="7624" xr:uid="{00000000-0005-0000-0000-0000B71D0000}"/>
    <cellStyle name="Normal 2 4 4 13" xfId="7625" xr:uid="{00000000-0005-0000-0000-0000B81D0000}"/>
    <cellStyle name="Normal 2 4 4 13 2" xfId="7626" xr:uid="{00000000-0005-0000-0000-0000B91D0000}"/>
    <cellStyle name="Normal 2 4 4 13 3" xfId="7627" xr:uid="{00000000-0005-0000-0000-0000BA1D0000}"/>
    <cellStyle name="Normal 2 4 4 14" xfId="7628" xr:uid="{00000000-0005-0000-0000-0000BB1D0000}"/>
    <cellStyle name="Normal 2 4 4 14 2" xfId="7629" xr:uid="{00000000-0005-0000-0000-0000BC1D0000}"/>
    <cellStyle name="Normal 2 4 4 14 3" xfId="7630" xr:uid="{00000000-0005-0000-0000-0000BD1D0000}"/>
    <cellStyle name="Normal 2 4 4 15" xfId="7631" xr:uid="{00000000-0005-0000-0000-0000BE1D0000}"/>
    <cellStyle name="Normal 2 4 4 15 2" xfId="7632" xr:uid="{00000000-0005-0000-0000-0000BF1D0000}"/>
    <cellStyle name="Normal 2 4 4 15 3" xfId="7633" xr:uid="{00000000-0005-0000-0000-0000C01D0000}"/>
    <cellStyle name="Normal 2 4 4 16" xfId="7634" xr:uid="{00000000-0005-0000-0000-0000C11D0000}"/>
    <cellStyle name="Normal 2 4 4 16 2" xfId="7635" xr:uid="{00000000-0005-0000-0000-0000C21D0000}"/>
    <cellStyle name="Normal 2 4 4 16 3" xfId="7636" xr:uid="{00000000-0005-0000-0000-0000C31D0000}"/>
    <cellStyle name="Normal 2 4 4 17" xfId="7637" xr:uid="{00000000-0005-0000-0000-0000C41D0000}"/>
    <cellStyle name="Normal 2 4 4 17 2" xfId="7638" xr:uid="{00000000-0005-0000-0000-0000C51D0000}"/>
    <cellStyle name="Normal 2 4 4 17 3" xfId="7639" xr:uid="{00000000-0005-0000-0000-0000C61D0000}"/>
    <cellStyle name="Normal 2 4 4 18" xfId="7640" xr:uid="{00000000-0005-0000-0000-0000C71D0000}"/>
    <cellStyle name="Normal 2 4 4 18 2" xfId="7641" xr:uid="{00000000-0005-0000-0000-0000C81D0000}"/>
    <cellStyle name="Normal 2 4 4 18 3" xfId="7642" xr:uid="{00000000-0005-0000-0000-0000C91D0000}"/>
    <cellStyle name="Normal 2 4 4 19" xfId="7643" xr:uid="{00000000-0005-0000-0000-0000CA1D0000}"/>
    <cellStyle name="Normal 2 4 4 19 2" xfId="7644" xr:uid="{00000000-0005-0000-0000-0000CB1D0000}"/>
    <cellStyle name="Normal 2 4 4 19 3" xfId="7645" xr:uid="{00000000-0005-0000-0000-0000CC1D0000}"/>
    <cellStyle name="Normal 2 4 4 2" xfId="7646" xr:uid="{00000000-0005-0000-0000-0000CD1D0000}"/>
    <cellStyle name="Normal 2 4 4 2 2" xfId="7647" xr:uid="{00000000-0005-0000-0000-0000CE1D0000}"/>
    <cellStyle name="Normal 2 4 4 2 2 10" xfId="7648" xr:uid="{00000000-0005-0000-0000-0000CF1D0000}"/>
    <cellStyle name="Normal 2 4 4 2 2 10 2" xfId="7649" xr:uid="{00000000-0005-0000-0000-0000D01D0000}"/>
    <cellStyle name="Normal 2 4 4 2 2 10 3" xfId="7650" xr:uid="{00000000-0005-0000-0000-0000D11D0000}"/>
    <cellStyle name="Normal 2 4 4 2 2 11" xfId="7651" xr:uid="{00000000-0005-0000-0000-0000D21D0000}"/>
    <cellStyle name="Normal 2 4 4 2 2 11 2" xfId="7652" xr:uid="{00000000-0005-0000-0000-0000D31D0000}"/>
    <cellStyle name="Normal 2 4 4 2 2 11 3" xfId="7653" xr:uid="{00000000-0005-0000-0000-0000D41D0000}"/>
    <cellStyle name="Normal 2 4 4 2 2 12" xfId="7654" xr:uid="{00000000-0005-0000-0000-0000D51D0000}"/>
    <cellStyle name="Normal 2 4 4 2 2 12 2" xfId="7655" xr:uid="{00000000-0005-0000-0000-0000D61D0000}"/>
    <cellStyle name="Normal 2 4 4 2 2 12 3" xfId="7656" xr:uid="{00000000-0005-0000-0000-0000D71D0000}"/>
    <cellStyle name="Normal 2 4 4 2 2 13" xfId="7657" xr:uid="{00000000-0005-0000-0000-0000D81D0000}"/>
    <cellStyle name="Normal 2 4 4 2 2 13 2" xfId="7658" xr:uid="{00000000-0005-0000-0000-0000D91D0000}"/>
    <cellStyle name="Normal 2 4 4 2 2 13 3" xfId="7659" xr:uid="{00000000-0005-0000-0000-0000DA1D0000}"/>
    <cellStyle name="Normal 2 4 4 2 2 14" xfId="7660" xr:uid="{00000000-0005-0000-0000-0000DB1D0000}"/>
    <cellStyle name="Normal 2 4 4 2 2 14 2" xfId="7661" xr:uid="{00000000-0005-0000-0000-0000DC1D0000}"/>
    <cellStyle name="Normal 2 4 4 2 2 14 3" xfId="7662" xr:uid="{00000000-0005-0000-0000-0000DD1D0000}"/>
    <cellStyle name="Normal 2 4 4 2 2 15" xfId="7663" xr:uid="{00000000-0005-0000-0000-0000DE1D0000}"/>
    <cellStyle name="Normal 2 4 4 2 2 15 2" xfId="7664" xr:uid="{00000000-0005-0000-0000-0000DF1D0000}"/>
    <cellStyle name="Normal 2 4 4 2 2 15 3" xfId="7665" xr:uid="{00000000-0005-0000-0000-0000E01D0000}"/>
    <cellStyle name="Normal 2 4 4 2 2 16" xfId="7666" xr:uid="{00000000-0005-0000-0000-0000E11D0000}"/>
    <cellStyle name="Normal 2 4 4 2 2 16 2" xfId="7667" xr:uid="{00000000-0005-0000-0000-0000E21D0000}"/>
    <cellStyle name="Normal 2 4 4 2 2 16 3" xfId="7668" xr:uid="{00000000-0005-0000-0000-0000E31D0000}"/>
    <cellStyle name="Normal 2 4 4 2 2 17" xfId="7669" xr:uid="{00000000-0005-0000-0000-0000E41D0000}"/>
    <cellStyle name="Normal 2 4 4 2 2 17 2" xfId="7670" xr:uid="{00000000-0005-0000-0000-0000E51D0000}"/>
    <cellStyle name="Normal 2 4 4 2 2 17 3" xfId="7671" xr:uid="{00000000-0005-0000-0000-0000E61D0000}"/>
    <cellStyle name="Normal 2 4 4 2 2 18" xfId="7672" xr:uid="{00000000-0005-0000-0000-0000E71D0000}"/>
    <cellStyle name="Normal 2 4 4 2 2 19" xfId="7673" xr:uid="{00000000-0005-0000-0000-0000E81D0000}"/>
    <cellStyle name="Normal 2 4 4 2 2 2" xfId="7674" xr:uid="{00000000-0005-0000-0000-0000E91D0000}"/>
    <cellStyle name="Normal 2 4 4 2 2 2 2" xfId="7675" xr:uid="{00000000-0005-0000-0000-0000EA1D0000}"/>
    <cellStyle name="Normal 2 4 4 2 2 2 2 2" xfId="7676" xr:uid="{00000000-0005-0000-0000-0000EB1D0000}"/>
    <cellStyle name="Normal 2 4 4 2 2 2 2 3" xfId="7677" xr:uid="{00000000-0005-0000-0000-0000EC1D0000}"/>
    <cellStyle name="Normal 2 4 4 2 2 2 3" xfId="7678" xr:uid="{00000000-0005-0000-0000-0000ED1D0000}"/>
    <cellStyle name="Normal 2 4 4 2 2 2 4" xfId="7679" xr:uid="{00000000-0005-0000-0000-0000EE1D0000}"/>
    <cellStyle name="Normal 2 4 4 2 2 3" xfId="7680" xr:uid="{00000000-0005-0000-0000-0000EF1D0000}"/>
    <cellStyle name="Normal 2 4 4 2 2 4" xfId="7681" xr:uid="{00000000-0005-0000-0000-0000F01D0000}"/>
    <cellStyle name="Normal 2 4 4 2 2 5" xfId="7682" xr:uid="{00000000-0005-0000-0000-0000F11D0000}"/>
    <cellStyle name="Normal 2 4 4 2 2 5 2" xfId="7683" xr:uid="{00000000-0005-0000-0000-0000F21D0000}"/>
    <cellStyle name="Normal 2 4 4 2 2 5 3" xfId="7684" xr:uid="{00000000-0005-0000-0000-0000F31D0000}"/>
    <cellStyle name="Normal 2 4 4 2 2 6" xfId="7685" xr:uid="{00000000-0005-0000-0000-0000F41D0000}"/>
    <cellStyle name="Normal 2 4 4 2 2 6 2" xfId="7686" xr:uid="{00000000-0005-0000-0000-0000F51D0000}"/>
    <cellStyle name="Normal 2 4 4 2 2 6 3" xfId="7687" xr:uid="{00000000-0005-0000-0000-0000F61D0000}"/>
    <cellStyle name="Normal 2 4 4 2 2 7" xfId="7688" xr:uid="{00000000-0005-0000-0000-0000F71D0000}"/>
    <cellStyle name="Normal 2 4 4 2 2 7 2" xfId="7689" xr:uid="{00000000-0005-0000-0000-0000F81D0000}"/>
    <cellStyle name="Normal 2 4 4 2 2 7 3" xfId="7690" xr:uid="{00000000-0005-0000-0000-0000F91D0000}"/>
    <cellStyle name="Normal 2 4 4 2 2 8" xfId="7691" xr:uid="{00000000-0005-0000-0000-0000FA1D0000}"/>
    <cellStyle name="Normal 2 4 4 2 2 8 2" xfId="7692" xr:uid="{00000000-0005-0000-0000-0000FB1D0000}"/>
    <cellStyle name="Normal 2 4 4 2 2 8 3" xfId="7693" xr:uid="{00000000-0005-0000-0000-0000FC1D0000}"/>
    <cellStyle name="Normal 2 4 4 2 2 9" xfId="7694" xr:uid="{00000000-0005-0000-0000-0000FD1D0000}"/>
    <cellStyle name="Normal 2 4 4 2 2 9 2" xfId="7695" xr:uid="{00000000-0005-0000-0000-0000FE1D0000}"/>
    <cellStyle name="Normal 2 4 4 2 2 9 3" xfId="7696" xr:uid="{00000000-0005-0000-0000-0000FF1D0000}"/>
    <cellStyle name="Normal 2 4 4 2 3" xfId="7697" xr:uid="{00000000-0005-0000-0000-0000001E0000}"/>
    <cellStyle name="Normal 2 4 4 2 4" xfId="7698" xr:uid="{00000000-0005-0000-0000-0000011E0000}"/>
    <cellStyle name="Normal 2 4 4 2 4 10" xfId="7699" xr:uid="{00000000-0005-0000-0000-0000021E0000}"/>
    <cellStyle name="Normal 2 4 4 2 4 10 2" xfId="7700" xr:uid="{00000000-0005-0000-0000-0000031E0000}"/>
    <cellStyle name="Normal 2 4 4 2 4 10 3" xfId="7701" xr:uid="{00000000-0005-0000-0000-0000041E0000}"/>
    <cellStyle name="Normal 2 4 4 2 4 11" xfId="7702" xr:uid="{00000000-0005-0000-0000-0000051E0000}"/>
    <cellStyle name="Normal 2 4 4 2 4 11 2" xfId="7703" xr:uid="{00000000-0005-0000-0000-0000061E0000}"/>
    <cellStyle name="Normal 2 4 4 2 4 11 3" xfId="7704" xr:uid="{00000000-0005-0000-0000-0000071E0000}"/>
    <cellStyle name="Normal 2 4 4 2 4 12" xfId="7705" xr:uid="{00000000-0005-0000-0000-0000081E0000}"/>
    <cellStyle name="Normal 2 4 4 2 4 12 2" xfId="7706" xr:uid="{00000000-0005-0000-0000-0000091E0000}"/>
    <cellStyle name="Normal 2 4 4 2 4 12 3" xfId="7707" xr:uid="{00000000-0005-0000-0000-00000A1E0000}"/>
    <cellStyle name="Normal 2 4 4 2 4 13" xfId="7708" xr:uid="{00000000-0005-0000-0000-00000B1E0000}"/>
    <cellStyle name="Normal 2 4 4 2 4 13 2" xfId="7709" xr:uid="{00000000-0005-0000-0000-00000C1E0000}"/>
    <cellStyle name="Normal 2 4 4 2 4 13 3" xfId="7710" xr:uid="{00000000-0005-0000-0000-00000D1E0000}"/>
    <cellStyle name="Normal 2 4 4 2 4 14" xfId="7711" xr:uid="{00000000-0005-0000-0000-00000E1E0000}"/>
    <cellStyle name="Normal 2 4 4 2 4 14 2" xfId="7712" xr:uid="{00000000-0005-0000-0000-00000F1E0000}"/>
    <cellStyle name="Normal 2 4 4 2 4 14 3" xfId="7713" xr:uid="{00000000-0005-0000-0000-0000101E0000}"/>
    <cellStyle name="Normal 2 4 4 2 4 15" xfId="7714" xr:uid="{00000000-0005-0000-0000-0000111E0000}"/>
    <cellStyle name="Normal 2 4 4 2 4 16" xfId="7715" xr:uid="{00000000-0005-0000-0000-0000121E0000}"/>
    <cellStyle name="Normal 2 4 4 2 4 2" xfId="7716" xr:uid="{00000000-0005-0000-0000-0000131E0000}"/>
    <cellStyle name="Normal 2 4 4 2 4 2 2" xfId="7717" xr:uid="{00000000-0005-0000-0000-0000141E0000}"/>
    <cellStyle name="Normal 2 4 4 2 4 2 3" xfId="7718" xr:uid="{00000000-0005-0000-0000-0000151E0000}"/>
    <cellStyle name="Normal 2 4 4 2 4 3" xfId="7719" xr:uid="{00000000-0005-0000-0000-0000161E0000}"/>
    <cellStyle name="Normal 2 4 4 2 4 3 2" xfId="7720" xr:uid="{00000000-0005-0000-0000-0000171E0000}"/>
    <cellStyle name="Normal 2 4 4 2 4 3 3" xfId="7721" xr:uid="{00000000-0005-0000-0000-0000181E0000}"/>
    <cellStyle name="Normal 2 4 4 2 4 4" xfId="7722" xr:uid="{00000000-0005-0000-0000-0000191E0000}"/>
    <cellStyle name="Normal 2 4 4 2 4 4 2" xfId="7723" xr:uid="{00000000-0005-0000-0000-00001A1E0000}"/>
    <cellStyle name="Normal 2 4 4 2 4 4 3" xfId="7724" xr:uid="{00000000-0005-0000-0000-00001B1E0000}"/>
    <cellStyle name="Normal 2 4 4 2 4 5" xfId="7725" xr:uid="{00000000-0005-0000-0000-00001C1E0000}"/>
    <cellStyle name="Normal 2 4 4 2 4 5 2" xfId="7726" xr:uid="{00000000-0005-0000-0000-00001D1E0000}"/>
    <cellStyle name="Normal 2 4 4 2 4 5 3" xfId="7727" xr:uid="{00000000-0005-0000-0000-00001E1E0000}"/>
    <cellStyle name="Normal 2 4 4 2 4 6" xfId="7728" xr:uid="{00000000-0005-0000-0000-00001F1E0000}"/>
    <cellStyle name="Normal 2 4 4 2 4 6 2" xfId="7729" xr:uid="{00000000-0005-0000-0000-0000201E0000}"/>
    <cellStyle name="Normal 2 4 4 2 4 6 3" xfId="7730" xr:uid="{00000000-0005-0000-0000-0000211E0000}"/>
    <cellStyle name="Normal 2 4 4 2 4 7" xfId="7731" xr:uid="{00000000-0005-0000-0000-0000221E0000}"/>
    <cellStyle name="Normal 2 4 4 2 4 7 2" xfId="7732" xr:uid="{00000000-0005-0000-0000-0000231E0000}"/>
    <cellStyle name="Normal 2 4 4 2 4 7 3" xfId="7733" xr:uid="{00000000-0005-0000-0000-0000241E0000}"/>
    <cellStyle name="Normal 2 4 4 2 4 8" xfId="7734" xr:uid="{00000000-0005-0000-0000-0000251E0000}"/>
    <cellStyle name="Normal 2 4 4 2 4 8 2" xfId="7735" xr:uid="{00000000-0005-0000-0000-0000261E0000}"/>
    <cellStyle name="Normal 2 4 4 2 4 8 3" xfId="7736" xr:uid="{00000000-0005-0000-0000-0000271E0000}"/>
    <cellStyle name="Normal 2 4 4 2 4 9" xfId="7737" xr:uid="{00000000-0005-0000-0000-0000281E0000}"/>
    <cellStyle name="Normal 2 4 4 2 4 9 2" xfId="7738" xr:uid="{00000000-0005-0000-0000-0000291E0000}"/>
    <cellStyle name="Normal 2 4 4 2 4 9 3" xfId="7739" xr:uid="{00000000-0005-0000-0000-00002A1E0000}"/>
    <cellStyle name="Normal 2 4 4 2 5" xfId="7740" xr:uid="{00000000-0005-0000-0000-00002B1E0000}"/>
    <cellStyle name="Normal 2 4 4 2 5 10" xfId="7741" xr:uid="{00000000-0005-0000-0000-00002C1E0000}"/>
    <cellStyle name="Normal 2 4 4 2 5 10 2" xfId="7742" xr:uid="{00000000-0005-0000-0000-00002D1E0000}"/>
    <cellStyle name="Normal 2 4 4 2 5 10 3" xfId="7743" xr:uid="{00000000-0005-0000-0000-00002E1E0000}"/>
    <cellStyle name="Normal 2 4 4 2 5 11" xfId="7744" xr:uid="{00000000-0005-0000-0000-00002F1E0000}"/>
    <cellStyle name="Normal 2 4 4 2 5 11 2" xfId="7745" xr:uid="{00000000-0005-0000-0000-0000301E0000}"/>
    <cellStyle name="Normal 2 4 4 2 5 11 3" xfId="7746" xr:uid="{00000000-0005-0000-0000-0000311E0000}"/>
    <cellStyle name="Normal 2 4 4 2 5 12" xfId="7747" xr:uid="{00000000-0005-0000-0000-0000321E0000}"/>
    <cellStyle name="Normal 2 4 4 2 5 12 2" xfId="7748" xr:uid="{00000000-0005-0000-0000-0000331E0000}"/>
    <cellStyle name="Normal 2 4 4 2 5 12 3" xfId="7749" xr:uid="{00000000-0005-0000-0000-0000341E0000}"/>
    <cellStyle name="Normal 2 4 4 2 5 13" xfId="7750" xr:uid="{00000000-0005-0000-0000-0000351E0000}"/>
    <cellStyle name="Normal 2 4 4 2 5 13 2" xfId="7751" xr:uid="{00000000-0005-0000-0000-0000361E0000}"/>
    <cellStyle name="Normal 2 4 4 2 5 13 3" xfId="7752" xr:uid="{00000000-0005-0000-0000-0000371E0000}"/>
    <cellStyle name="Normal 2 4 4 2 5 14" xfId="7753" xr:uid="{00000000-0005-0000-0000-0000381E0000}"/>
    <cellStyle name="Normal 2 4 4 2 5 14 2" xfId="7754" xr:uid="{00000000-0005-0000-0000-0000391E0000}"/>
    <cellStyle name="Normal 2 4 4 2 5 14 3" xfId="7755" xr:uid="{00000000-0005-0000-0000-00003A1E0000}"/>
    <cellStyle name="Normal 2 4 4 2 5 15" xfId="7756" xr:uid="{00000000-0005-0000-0000-00003B1E0000}"/>
    <cellStyle name="Normal 2 4 4 2 5 16" xfId="7757" xr:uid="{00000000-0005-0000-0000-00003C1E0000}"/>
    <cellStyle name="Normal 2 4 4 2 5 2" xfId="7758" xr:uid="{00000000-0005-0000-0000-00003D1E0000}"/>
    <cellStyle name="Normal 2 4 4 2 5 2 2" xfId="7759" xr:uid="{00000000-0005-0000-0000-00003E1E0000}"/>
    <cellStyle name="Normal 2 4 4 2 5 2 3" xfId="7760" xr:uid="{00000000-0005-0000-0000-00003F1E0000}"/>
    <cellStyle name="Normal 2 4 4 2 5 3" xfId="7761" xr:uid="{00000000-0005-0000-0000-0000401E0000}"/>
    <cellStyle name="Normal 2 4 4 2 5 3 2" xfId="7762" xr:uid="{00000000-0005-0000-0000-0000411E0000}"/>
    <cellStyle name="Normal 2 4 4 2 5 3 3" xfId="7763" xr:uid="{00000000-0005-0000-0000-0000421E0000}"/>
    <cellStyle name="Normal 2 4 4 2 5 4" xfId="7764" xr:uid="{00000000-0005-0000-0000-0000431E0000}"/>
    <cellStyle name="Normal 2 4 4 2 5 4 2" xfId="7765" xr:uid="{00000000-0005-0000-0000-0000441E0000}"/>
    <cellStyle name="Normal 2 4 4 2 5 4 3" xfId="7766" xr:uid="{00000000-0005-0000-0000-0000451E0000}"/>
    <cellStyle name="Normal 2 4 4 2 5 5" xfId="7767" xr:uid="{00000000-0005-0000-0000-0000461E0000}"/>
    <cellStyle name="Normal 2 4 4 2 5 5 2" xfId="7768" xr:uid="{00000000-0005-0000-0000-0000471E0000}"/>
    <cellStyle name="Normal 2 4 4 2 5 5 3" xfId="7769" xr:uid="{00000000-0005-0000-0000-0000481E0000}"/>
    <cellStyle name="Normal 2 4 4 2 5 6" xfId="7770" xr:uid="{00000000-0005-0000-0000-0000491E0000}"/>
    <cellStyle name="Normal 2 4 4 2 5 6 2" xfId="7771" xr:uid="{00000000-0005-0000-0000-00004A1E0000}"/>
    <cellStyle name="Normal 2 4 4 2 5 6 3" xfId="7772" xr:uid="{00000000-0005-0000-0000-00004B1E0000}"/>
    <cellStyle name="Normal 2 4 4 2 5 7" xfId="7773" xr:uid="{00000000-0005-0000-0000-00004C1E0000}"/>
    <cellStyle name="Normal 2 4 4 2 5 7 2" xfId="7774" xr:uid="{00000000-0005-0000-0000-00004D1E0000}"/>
    <cellStyle name="Normal 2 4 4 2 5 7 3" xfId="7775" xr:uid="{00000000-0005-0000-0000-00004E1E0000}"/>
    <cellStyle name="Normal 2 4 4 2 5 8" xfId="7776" xr:uid="{00000000-0005-0000-0000-00004F1E0000}"/>
    <cellStyle name="Normal 2 4 4 2 5 8 2" xfId="7777" xr:uid="{00000000-0005-0000-0000-0000501E0000}"/>
    <cellStyle name="Normal 2 4 4 2 5 8 3" xfId="7778" xr:uid="{00000000-0005-0000-0000-0000511E0000}"/>
    <cellStyle name="Normal 2 4 4 2 5 9" xfId="7779" xr:uid="{00000000-0005-0000-0000-0000521E0000}"/>
    <cellStyle name="Normal 2 4 4 2 5 9 2" xfId="7780" xr:uid="{00000000-0005-0000-0000-0000531E0000}"/>
    <cellStyle name="Normal 2 4 4 2 5 9 3" xfId="7781" xr:uid="{00000000-0005-0000-0000-0000541E0000}"/>
    <cellStyle name="Normal 2 4 4 2 6" xfId="7782" xr:uid="{00000000-0005-0000-0000-0000551E0000}"/>
    <cellStyle name="Normal 2 4 4 2 6 2" xfId="7783" xr:uid="{00000000-0005-0000-0000-0000561E0000}"/>
    <cellStyle name="Normal 2 4 4 2 6 3" xfId="7784" xr:uid="{00000000-0005-0000-0000-0000571E0000}"/>
    <cellStyle name="Normal 2 4 4 2 7" xfId="7785" xr:uid="{00000000-0005-0000-0000-0000581E0000}"/>
    <cellStyle name="Normal 2 4 4 20" xfId="7786" xr:uid="{00000000-0005-0000-0000-0000591E0000}"/>
    <cellStyle name="Normal 2 4 4 21" xfId="7787" xr:uid="{00000000-0005-0000-0000-00005A1E0000}"/>
    <cellStyle name="Normal 2 4 4 22" xfId="7788" xr:uid="{00000000-0005-0000-0000-00005B1E0000}"/>
    <cellStyle name="Normal 2 4 4 23" xfId="7789" xr:uid="{00000000-0005-0000-0000-00005C1E0000}"/>
    <cellStyle name="Normal 2 4 4 24" xfId="7790" xr:uid="{00000000-0005-0000-0000-00005D1E0000}"/>
    <cellStyle name="Normal 2 4 4 25" xfId="7791" xr:uid="{00000000-0005-0000-0000-00005E1E0000}"/>
    <cellStyle name="Normal 2 4 4 26" xfId="7792" xr:uid="{00000000-0005-0000-0000-00005F1E0000}"/>
    <cellStyle name="Normal 2 4 4 27" xfId="7793" xr:uid="{00000000-0005-0000-0000-0000601E0000}"/>
    <cellStyle name="Normal 2 4 4 28" xfId="7794" xr:uid="{00000000-0005-0000-0000-0000611E0000}"/>
    <cellStyle name="Normal 2 4 4 29" xfId="7795" xr:uid="{00000000-0005-0000-0000-0000621E0000}"/>
    <cellStyle name="Normal 2 4 4 3" xfId="7796" xr:uid="{00000000-0005-0000-0000-0000631E0000}"/>
    <cellStyle name="Normal 2 4 4 3 2" xfId="7797" xr:uid="{00000000-0005-0000-0000-0000641E0000}"/>
    <cellStyle name="Normal 2 4 4 3 2 10" xfId="7798" xr:uid="{00000000-0005-0000-0000-0000651E0000}"/>
    <cellStyle name="Normal 2 4 4 3 2 10 2" xfId="7799" xr:uid="{00000000-0005-0000-0000-0000661E0000}"/>
    <cellStyle name="Normal 2 4 4 3 2 10 3" xfId="7800" xr:uid="{00000000-0005-0000-0000-0000671E0000}"/>
    <cellStyle name="Normal 2 4 4 3 2 11" xfId="7801" xr:uid="{00000000-0005-0000-0000-0000681E0000}"/>
    <cellStyle name="Normal 2 4 4 3 2 11 2" xfId="7802" xr:uid="{00000000-0005-0000-0000-0000691E0000}"/>
    <cellStyle name="Normal 2 4 4 3 2 11 3" xfId="7803" xr:uid="{00000000-0005-0000-0000-00006A1E0000}"/>
    <cellStyle name="Normal 2 4 4 3 2 12" xfId="7804" xr:uid="{00000000-0005-0000-0000-00006B1E0000}"/>
    <cellStyle name="Normal 2 4 4 3 2 12 2" xfId="7805" xr:uid="{00000000-0005-0000-0000-00006C1E0000}"/>
    <cellStyle name="Normal 2 4 4 3 2 12 3" xfId="7806" xr:uid="{00000000-0005-0000-0000-00006D1E0000}"/>
    <cellStyle name="Normal 2 4 4 3 2 13" xfId="7807" xr:uid="{00000000-0005-0000-0000-00006E1E0000}"/>
    <cellStyle name="Normal 2 4 4 3 2 13 2" xfId="7808" xr:uid="{00000000-0005-0000-0000-00006F1E0000}"/>
    <cellStyle name="Normal 2 4 4 3 2 13 3" xfId="7809" xr:uid="{00000000-0005-0000-0000-0000701E0000}"/>
    <cellStyle name="Normal 2 4 4 3 2 14" xfId="7810" xr:uid="{00000000-0005-0000-0000-0000711E0000}"/>
    <cellStyle name="Normal 2 4 4 3 2 14 2" xfId="7811" xr:uid="{00000000-0005-0000-0000-0000721E0000}"/>
    <cellStyle name="Normal 2 4 4 3 2 14 3" xfId="7812" xr:uid="{00000000-0005-0000-0000-0000731E0000}"/>
    <cellStyle name="Normal 2 4 4 3 2 15" xfId="7813" xr:uid="{00000000-0005-0000-0000-0000741E0000}"/>
    <cellStyle name="Normal 2 4 4 3 2 16" xfId="7814" xr:uid="{00000000-0005-0000-0000-0000751E0000}"/>
    <cellStyle name="Normal 2 4 4 3 2 2" xfId="7815" xr:uid="{00000000-0005-0000-0000-0000761E0000}"/>
    <cellStyle name="Normal 2 4 4 3 2 2 2" xfId="7816" xr:uid="{00000000-0005-0000-0000-0000771E0000}"/>
    <cellStyle name="Normal 2 4 4 3 2 2 3" xfId="7817" xr:uid="{00000000-0005-0000-0000-0000781E0000}"/>
    <cellStyle name="Normal 2 4 4 3 2 3" xfId="7818" xr:uid="{00000000-0005-0000-0000-0000791E0000}"/>
    <cellStyle name="Normal 2 4 4 3 2 3 2" xfId="7819" xr:uid="{00000000-0005-0000-0000-00007A1E0000}"/>
    <cellStyle name="Normal 2 4 4 3 2 3 3" xfId="7820" xr:uid="{00000000-0005-0000-0000-00007B1E0000}"/>
    <cellStyle name="Normal 2 4 4 3 2 4" xfId="7821" xr:uid="{00000000-0005-0000-0000-00007C1E0000}"/>
    <cellStyle name="Normal 2 4 4 3 2 4 2" xfId="7822" xr:uid="{00000000-0005-0000-0000-00007D1E0000}"/>
    <cellStyle name="Normal 2 4 4 3 2 4 3" xfId="7823" xr:uid="{00000000-0005-0000-0000-00007E1E0000}"/>
    <cellStyle name="Normal 2 4 4 3 2 5" xfId="7824" xr:uid="{00000000-0005-0000-0000-00007F1E0000}"/>
    <cellStyle name="Normal 2 4 4 3 2 5 2" xfId="7825" xr:uid="{00000000-0005-0000-0000-0000801E0000}"/>
    <cellStyle name="Normal 2 4 4 3 2 5 3" xfId="7826" xr:uid="{00000000-0005-0000-0000-0000811E0000}"/>
    <cellStyle name="Normal 2 4 4 3 2 6" xfId="7827" xr:uid="{00000000-0005-0000-0000-0000821E0000}"/>
    <cellStyle name="Normal 2 4 4 3 2 6 2" xfId="7828" xr:uid="{00000000-0005-0000-0000-0000831E0000}"/>
    <cellStyle name="Normal 2 4 4 3 2 6 3" xfId="7829" xr:uid="{00000000-0005-0000-0000-0000841E0000}"/>
    <cellStyle name="Normal 2 4 4 3 2 7" xfId="7830" xr:uid="{00000000-0005-0000-0000-0000851E0000}"/>
    <cellStyle name="Normal 2 4 4 3 2 7 2" xfId="7831" xr:uid="{00000000-0005-0000-0000-0000861E0000}"/>
    <cellStyle name="Normal 2 4 4 3 2 7 3" xfId="7832" xr:uid="{00000000-0005-0000-0000-0000871E0000}"/>
    <cellStyle name="Normal 2 4 4 3 2 8" xfId="7833" xr:uid="{00000000-0005-0000-0000-0000881E0000}"/>
    <cellStyle name="Normal 2 4 4 3 2 8 2" xfId="7834" xr:uid="{00000000-0005-0000-0000-0000891E0000}"/>
    <cellStyle name="Normal 2 4 4 3 2 8 3" xfId="7835" xr:uid="{00000000-0005-0000-0000-00008A1E0000}"/>
    <cellStyle name="Normal 2 4 4 3 2 9" xfId="7836" xr:uid="{00000000-0005-0000-0000-00008B1E0000}"/>
    <cellStyle name="Normal 2 4 4 3 2 9 2" xfId="7837" xr:uid="{00000000-0005-0000-0000-00008C1E0000}"/>
    <cellStyle name="Normal 2 4 4 3 2 9 3" xfId="7838" xr:uid="{00000000-0005-0000-0000-00008D1E0000}"/>
    <cellStyle name="Normal 2 4 4 3 3" xfId="7839" xr:uid="{00000000-0005-0000-0000-00008E1E0000}"/>
    <cellStyle name="Normal 2 4 4 3 3 10" xfId="7840" xr:uid="{00000000-0005-0000-0000-00008F1E0000}"/>
    <cellStyle name="Normal 2 4 4 3 3 10 2" xfId="7841" xr:uid="{00000000-0005-0000-0000-0000901E0000}"/>
    <cellStyle name="Normal 2 4 4 3 3 10 3" xfId="7842" xr:uid="{00000000-0005-0000-0000-0000911E0000}"/>
    <cellStyle name="Normal 2 4 4 3 3 11" xfId="7843" xr:uid="{00000000-0005-0000-0000-0000921E0000}"/>
    <cellStyle name="Normal 2 4 4 3 3 11 2" xfId="7844" xr:uid="{00000000-0005-0000-0000-0000931E0000}"/>
    <cellStyle name="Normal 2 4 4 3 3 11 3" xfId="7845" xr:uid="{00000000-0005-0000-0000-0000941E0000}"/>
    <cellStyle name="Normal 2 4 4 3 3 12" xfId="7846" xr:uid="{00000000-0005-0000-0000-0000951E0000}"/>
    <cellStyle name="Normal 2 4 4 3 3 12 2" xfId="7847" xr:uid="{00000000-0005-0000-0000-0000961E0000}"/>
    <cellStyle name="Normal 2 4 4 3 3 12 3" xfId="7848" xr:uid="{00000000-0005-0000-0000-0000971E0000}"/>
    <cellStyle name="Normal 2 4 4 3 3 13" xfId="7849" xr:uid="{00000000-0005-0000-0000-0000981E0000}"/>
    <cellStyle name="Normal 2 4 4 3 3 13 2" xfId="7850" xr:uid="{00000000-0005-0000-0000-0000991E0000}"/>
    <cellStyle name="Normal 2 4 4 3 3 13 3" xfId="7851" xr:uid="{00000000-0005-0000-0000-00009A1E0000}"/>
    <cellStyle name="Normal 2 4 4 3 3 14" xfId="7852" xr:uid="{00000000-0005-0000-0000-00009B1E0000}"/>
    <cellStyle name="Normal 2 4 4 3 3 14 2" xfId="7853" xr:uid="{00000000-0005-0000-0000-00009C1E0000}"/>
    <cellStyle name="Normal 2 4 4 3 3 14 3" xfId="7854" xr:uid="{00000000-0005-0000-0000-00009D1E0000}"/>
    <cellStyle name="Normal 2 4 4 3 3 15" xfId="7855" xr:uid="{00000000-0005-0000-0000-00009E1E0000}"/>
    <cellStyle name="Normal 2 4 4 3 3 16" xfId="7856" xr:uid="{00000000-0005-0000-0000-00009F1E0000}"/>
    <cellStyle name="Normal 2 4 4 3 3 2" xfId="7857" xr:uid="{00000000-0005-0000-0000-0000A01E0000}"/>
    <cellStyle name="Normal 2 4 4 3 3 2 2" xfId="7858" xr:uid="{00000000-0005-0000-0000-0000A11E0000}"/>
    <cellStyle name="Normal 2 4 4 3 3 2 3" xfId="7859" xr:uid="{00000000-0005-0000-0000-0000A21E0000}"/>
    <cellStyle name="Normal 2 4 4 3 3 3" xfId="7860" xr:uid="{00000000-0005-0000-0000-0000A31E0000}"/>
    <cellStyle name="Normal 2 4 4 3 3 3 2" xfId="7861" xr:uid="{00000000-0005-0000-0000-0000A41E0000}"/>
    <cellStyle name="Normal 2 4 4 3 3 3 3" xfId="7862" xr:uid="{00000000-0005-0000-0000-0000A51E0000}"/>
    <cellStyle name="Normal 2 4 4 3 3 4" xfId="7863" xr:uid="{00000000-0005-0000-0000-0000A61E0000}"/>
    <cellStyle name="Normal 2 4 4 3 3 4 2" xfId="7864" xr:uid="{00000000-0005-0000-0000-0000A71E0000}"/>
    <cellStyle name="Normal 2 4 4 3 3 4 3" xfId="7865" xr:uid="{00000000-0005-0000-0000-0000A81E0000}"/>
    <cellStyle name="Normal 2 4 4 3 3 5" xfId="7866" xr:uid="{00000000-0005-0000-0000-0000A91E0000}"/>
    <cellStyle name="Normal 2 4 4 3 3 5 2" xfId="7867" xr:uid="{00000000-0005-0000-0000-0000AA1E0000}"/>
    <cellStyle name="Normal 2 4 4 3 3 5 3" xfId="7868" xr:uid="{00000000-0005-0000-0000-0000AB1E0000}"/>
    <cellStyle name="Normal 2 4 4 3 3 6" xfId="7869" xr:uid="{00000000-0005-0000-0000-0000AC1E0000}"/>
    <cellStyle name="Normal 2 4 4 3 3 6 2" xfId="7870" xr:uid="{00000000-0005-0000-0000-0000AD1E0000}"/>
    <cellStyle name="Normal 2 4 4 3 3 6 3" xfId="7871" xr:uid="{00000000-0005-0000-0000-0000AE1E0000}"/>
    <cellStyle name="Normal 2 4 4 3 3 7" xfId="7872" xr:uid="{00000000-0005-0000-0000-0000AF1E0000}"/>
    <cellStyle name="Normal 2 4 4 3 3 7 2" xfId="7873" xr:uid="{00000000-0005-0000-0000-0000B01E0000}"/>
    <cellStyle name="Normal 2 4 4 3 3 7 3" xfId="7874" xr:uid="{00000000-0005-0000-0000-0000B11E0000}"/>
    <cellStyle name="Normal 2 4 4 3 3 8" xfId="7875" xr:uid="{00000000-0005-0000-0000-0000B21E0000}"/>
    <cellStyle name="Normal 2 4 4 3 3 8 2" xfId="7876" xr:uid="{00000000-0005-0000-0000-0000B31E0000}"/>
    <cellStyle name="Normal 2 4 4 3 3 8 3" xfId="7877" xr:uid="{00000000-0005-0000-0000-0000B41E0000}"/>
    <cellStyle name="Normal 2 4 4 3 3 9" xfId="7878" xr:uid="{00000000-0005-0000-0000-0000B51E0000}"/>
    <cellStyle name="Normal 2 4 4 3 3 9 2" xfId="7879" xr:uid="{00000000-0005-0000-0000-0000B61E0000}"/>
    <cellStyle name="Normal 2 4 4 3 3 9 3" xfId="7880" xr:uid="{00000000-0005-0000-0000-0000B71E0000}"/>
    <cellStyle name="Normal 2 4 4 3 4" xfId="7881" xr:uid="{00000000-0005-0000-0000-0000B81E0000}"/>
    <cellStyle name="Normal 2 4 4 3 4 10" xfId="7882" xr:uid="{00000000-0005-0000-0000-0000B91E0000}"/>
    <cellStyle name="Normal 2 4 4 3 4 10 2" xfId="7883" xr:uid="{00000000-0005-0000-0000-0000BA1E0000}"/>
    <cellStyle name="Normal 2 4 4 3 4 10 3" xfId="7884" xr:uid="{00000000-0005-0000-0000-0000BB1E0000}"/>
    <cellStyle name="Normal 2 4 4 3 4 11" xfId="7885" xr:uid="{00000000-0005-0000-0000-0000BC1E0000}"/>
    <cellStyle name="Normal 2 4 4 3 4 11 2" xfId="7886" xr:uid="{00000000-0005-0000-0000-0000BD1E0000}"/>
    <cellStyle name="Normal 2 4 4 3 4 11 3" xfId="7887" xr:uid="{00000000-0005-0000-0000-0000BE1E0000}"/>
    <cellStyle name="Normal 2 4 4 3 4 12" xfId="7888" xr:uid="{00000000-0005-0000-0000-0000BF1E0000}"/>
    <cellStyle name="Normal 2 4 4 3 4 12 2" xfId="7889" xr:uid="{00000000-0005-0000-0000-0000C01E0000}"/>
    <cellStyle name="Normal 2 4 4 3 4 12 3" xfId="7890" xr:uid="{00000000-0005-0000-0000-0000C11E0000}"/>
    <cellStyle name="Normal 2 4 4 3 4 13" xfId="7891" xr:uid="{00000000-0005-0000-0000-0000C21E0000}"/>
    <cellStyle name="Normal 2 4 4 3 4 13 2" xfId="7892" xr:uid="{00000000-0005-0000-0000-0000C31E0000}"/>
    <cellStyle name="Normal 2 4 4 3 4 13 3" xfId="7893" xr:uid="{00000000-0005-0000-0000-0000C41E0000}"/>
    <cellStyle name="Normal 2 4 4 3 4 14" xfId="7894" xr:uid="{00000000-0005-0000-0000-0000C51E0000}"/>
    <cellStyle name="Normal 2 4 4 3 4 14 2" xfId="7895" xr:uid="{00000000-0005-0000-0000-0000C61E0000}"/>
    <cellStyle name="Normal 2 4 4 3 4 14 3" xfId="7896" xr:uid="{00000000-0005-0000-0000-0000C71E0000}"/>
    <cellStyle name="Normal 2 4 4 3 4 15" xfId="7897" xr:uid="{00000000-0005-0000-0000-0000C81E0000}"/>
    <cellStyle name="Normal 2 4 4 3 4 16" xfId="7898" xr:uid="{00000000-0005-0000-0000-0000C91E0000}"/>
    <cellStyle name="Normal 2 4 4 3 4 2" xfId="7899" xr:uid="{00000000-0005-0000-0000-0000CA1E0000}"/>
    <cellStyle name="Normal 2 4 4 3 4 2 2" xfId="7900" xr:uid="{00000000-0005-0000-0000-0000CB1E0000}"/>
    <cellStyle name="Normal 2 4 4 3 4 2 3" xfId="7901" xr:uid="{00000000-0005-0000-0000-0000CC1E0000}"/>
    <cellStyle name="Normal 2 4 4 3 4 3" xfId="7902" xr:uid="{00000000-0005-0000-0000-0000CD1E0000}"/>
    <cellStyle name="Normal 2 4 4 3 4 3 2" xfId="7903" xr:uid="{00000000-0005-0000-0000-0000CE1E0000}"/>
    <cellStyle name="Normal 2 4 4 3 4 3 3" xfId="7904" xr:uid="{00000000-0005-0000-0000-0000CF1E0000}"/>
    <cellStyle name="Normal 2 4 4 3 4 4" xfId="7905" xr:uid="{00000000-0005-0000-0000-0000D01E0000}"/>
    <cellStyle name="Normal 2 4 4 3 4 4 2" xfId="7906" xr:uid="{00000000-0005-0000-0000-0000D11E0000}"/>
    <cellStyle name="Normal 2 4 4 3 4 4 3" xfId="7907" xr:uid="{00000000-0005-0000-0000-0000D21E0000}"/>
    <cellStyle name="Normal 2 4 4 3 4 5" xfId="7908" xr:uid="{00000000-0005-0000-0000-0000D31E0000}"/>
    <cellStyle name="Normal 2 4 4 3 4 5 2" xfId="7909" xr:uid="{00000000-0005-0000-0000-0000D41E0000}"/>
    <cellStyle name="Normal 2 4 4 3 4 5 3" xfId="7910" xr:uid="{00000000-0005-0000-0000-0000D51E0000}"/>
    <cellStyle name="Normal 2 4 4 3 4 6" xfId="7911" xr:uid="{00000000-0005-0000-0000-0000D61E0000}"/>
    <cellStyle name="Normal 2 4 4 3 4 6 2" xfId="7912" xr:uid="{00000000-0005-0000-0000-0000D71E0000}"/>
    <cellStyle name="Normal 2 4 4 3 4 6 3" xfId="7913" xr:uid="{00000000-0005-0000-0000-0000D81E0000}"/>
    <cellStyle name="Normal 2 4 4 3 4 7" xfId="7914" xr:uid="{00000000-0005-0000-0000-0000D91E0000}"/>
    <cellStyle name="Normal 2 4 4 3 4 7 2" xfId="7915" xr:uid="{00000000-0005-0000-0000-0000DA1E0000}"/>
    <cellStyle name="Normal 2 4 4 3 4 7 3" xfId="7916" xr:uid="{00000000-0005-0000-0000-0000DB1E0000}"/>
    <cellStyle name="Normal 2 4 4 3 4 8" xfId="7917" xr:uid="{00000000-0005-0000-0000-0000DC1E0000}"/>
    <cellStyle name="Normal 2 4 4 3 4 8 2" xfId="7918" xr:uid="{00000000-0005-0000-0000-0000DD1E0000}"/>
    <cellStyle name="Normal 2 4 4 3 4 8 3" xfId="7919" xr:uid="{00000000-0005-0000-0000-0000DE1E0000}"/>
    <cellStyle name="Normal 2 4 4 3 4 9" xfId="7920" xr:uid="{00000000-0005-0000-0000-0000DF1E0000}"/>
    <cellStyle name="Normal 2 4 4 3 4 9 2" xfId="7921" xr:uid="{00000000-0005-0000-0000-0000E01E0000}"/>
    <cellStyle name="Normal 2 4 4 3 4 9 3" xfId="7922" xr:uid="{00000000-0005-0000-0000-0000E11E0000}"/>
    <cellStyle name="Normal 2 4 4 30" xfId="7923" xr:uid="{00000000-0005-0000-0000-0000E21E0000}"/>
    <cellStyle name="Normal 2 4 4 31" xfId="7924" xr:uid="{00000000-0005-0000-0000-0000E31E0000}"/>
    <cellStyle name="Normal 2 4 4 32" xfId="7925" xr:uid="{00000000-0005-0000-0000-0000E41E0000}"/>
    <cellStyle name="Normal 2 4 4 4" xfId="7926" xr:uid="{00000000-0005-0000-0000-0000E51E0000}"/>
    <cellStyle name="Normal 2 4 4 5" xfId="7927" xr:uid="{00000000-0005-0000-0000-0000E61E0000}"/>
    <cellStyle name="Normal 2 4 4 6" xfId="7928" xr:uid="{00000000-0005-0000-0000-0000E71E0000}"/>
    <cellStyle name="Normal 2 4 4 7" xfId="7929" xr:uid="{00000000-0005-0000-0000-0000E81E0000}"/>
    <cellStyle name="Normal 2 4 4 7 2" xfId="7930" xr:uid="{00000000-0005-0000-0000-0000E91E0000}"/>
    <cellStyle name="Normal 2 4 4 7 3" xfId="7931" xr:uid="{00000000-0005-0000-0000-0000EA1E0000}"/>
    <cellStyle name="Normal 2 4 4 8" xfId="7932" xr:uid="{00000000-0005-0000-0000-0000EB1E0000}"/>
    <cellStyle name="Normal 2 4 4 8 2" xfId="7933" xr:uid="{00000000-0005-0000-0000-0000EC1E0000}"/>
    <cellStyle name="Normal 2 4 4 8 3" xfId="7934" xr:uid="{00000000-0005-0000-0000-0000ED1E0000}"/>
    <cellStyle name="Normal 2 4 4 9" xfId="7935" xr:uid="{00000000-0005-0000-0000-0000EE1E0000}"/>
    <cellStyle name="Normal 2 4 4 9 2" xfId="7936" xr:uid="{00000000-0005-0000-0000-0000EF1E0000}"/>
    <cellStyle name="Normal 2 4 4 9 3" xfId="7937" xr:uid="{00000000-0005-0000-0000-0000F01E0000}"/>
    <cellStyle name="Normal 2 4 5" xfId="7938" xr:uid="{00000000-0005-0000-0000-0000F11E0000}"/>
    <cellStyle name="Normal 2 4 5 10" xfId="7939" xr:uid="{00000000-0005-0000-0000-0000F21E0000}"/>
    <cellStyle name="Normal 2 4 5 10 2" xfId="7940" xr:uid="{00000000-0005-0000-0000-0000F31E0000}"/>
    <cellStyle name="Normal 2 4 5 10 3" xfId="7941" xr:uid="{00000000-0005-0000-0000-0000F41E0000}"/>
    <cellStyle name="Normal 2 4 5 11" xfId="7942" xr:uid="{00000000-0005-0000-0000-0000F51E0000}"/>
    <cellStyle name="Normal 2 4 5 11 2" xfId="7943" xr:uid="{00000000-0005-0000-0000-0000F61E0000}"/>
    <cellStyle name="Normal 2 4 5 11 3" xfId="7944" xr:uid="{00000000-0005-0000-0000-0000F71E0000}"/>
    <cellStyle name="Normal 2 4 5 12" xfId="7945" xr:uid="{00000000-0005-0000-0000-0000F81E0000}"/>
    <cellStyle name="Normal 2 4 5 12 2" xfId="7946" xr:uid="{00000000-0005-0000-0000-0000F91E0000}"/>
    <cellStyle name="Normal 2 4 5 12 3" xfId="7947" xr:uid="{00000000-0005-0000-0000-0000FA1E0000}"/>
    <cellStyle name="Normal 2 4 5 13" xfId="7948" xr:uid="{00000000-0005-0000-0000-0000FB1E0000}"/>
    <cellStyle name="Normal 2 4 5 13 2" xfId="7949" xr:uid="{00000000-0005-0000-0000-0000FC1E0000}"/>
    <cellStyle name="Normal 2 4 5 13 3" xfId="7950" xr:uid="{00000000-0005-0000-0000-0000FD1E0000}"/>
    <cellStyle name="Normal 2 4 5 14" xfId="7951" xr:uid="{00000000-0005-0000-0000-0000FE1E0000}"/>
    <cellStyle name="Normal 2 4 5 14 2" xfId="7952" xr:uid="{00000000-0005-0000-0000-0000FF1E0000}"/>
    <cellStyle name="Normal 2 4 5 14 3" xfId="7953" xr:uid="{00000000-0005-0000-0000-0000001F0000}"/>
    <cellStyle name="Normal 2 4 5 15" xfId="7954" xr:uid="{00000000-0005-0000-0000-0000011F0000}"/>
    <cellStyle name="Normal 2 4 5 15 2" xfId="7955" xr:uid="{00000000-0005-0000-0000-0000021F0000}"/>
    <cellStyle name="Normal 2 4 5 15 3" xfId="7956" xr:uid="{00000000-0005-0000-0000-0000031F0000}"/>
    <cellStyle name="Normal 2 4 5 16" xfId="7957" xr:uid="{00000000-0005-0000-0000-0000041F0000}"/>
    <cellStyle name="Normal 2 4 5 16 2" xfId="7958" xr:uid="{00000000-0005-0000-0000-0000051F0000}"/>
    <cellStyle name="Normal 2 4 5 16 3" xfId="7959" xr:uid="{00000000-0005-0000-0000-0000061F0000}"/>
    <cellStyle name="Normal 2 4 5 17" xfId="7960" xr:uid="{00000000-0005-0000-0000-0000071F0000}"/>
    <cellStyle name="Normal 2 4 5 17 2" xfId="7961" xr:uid="{00000000-0005-0000-0000-0000081F0000}"/>
    <cellStyle name="Normal 2 4 5 17 3" xfId="7962" xr:uid="{00000000-0005-0000-0000-0000091F0000}"/>
    <cellStyle name="Normal 2 4 5 18" xfId="7963" xr:uid="{00000000-0005-0000-0000-00000A1F0000}"/>
    <cellStyle name="Normal 2 4 5 18 2" xfId="7964" xr:uid="{00000000-0005-0000-0000-00000B1F0000}"/>
    <cellStyle name="Normal 2 4 5 18 3" xfId="7965" xr:uid="{00000000-0005-0000-0000-00000C1F0000}"/>
    <cellStyle name="Normal 2 4 5 19" xfId="7966" xr:uid="{00000000-0005-0000-0000-00000D1F0000}"/>
    <cellStyle name="Normal 2 4 5 19 2" xfId="7967" xr:uid="{00000000-0005-0000-0000-00000E1F0000}"/>
    <cellStyle name="Normal 2 4 5 19 3" xfId="7968" xr:uid="{00000000-0005-0000-0000-00000F1F0000}"/>
    <cellStyle name="Normal 2 4 5 2" xfId="7969" xr:uid="{00000000-0005-0000-0000-0000101F0000}"/>
    <cellStyle name="Normal 2 4 5 2 2" xfId="7970" xr:uid="{00000000-0005-0000-0000-0000111F0000}"/>
    <cellStyle name="Normal 2 4 5 2 2 10" xfId="7971" xr:uid="{00000000-0005-0000-0000-0000121F0000}"/>
    <cellStyle name="Normal 2 4 5 2 2 10 2" xfId="7972" xr:uid="{00000000-0005-0000-0000-0000131F0000}"/>
    <cellStyle name="Normal 2 4 5 2 2 10 3" xfId="7973" xr:uid="{00000000-0005-0000-0000-0000141F0000}"/>
    <cellStyle name="Normal 2 4 5 2 2 11" xfId="7974" xr:uid="{00000000-0005-0000-0000-0000151F0000}"/>
    <cellStyle name="Normal 2 4 5 2 2 11 2" xfId="7975" xr:uid="{00000000-0005-0000-0000-0000161F0000}"/>
    <cellStyle name="Normal 2 4 5 2 2 11 3" xfId="7976" xr:uid="{00000000-0005-0000-0000-0000171F0000}"/>
    <cellStyle name="Normal 2 4 5 2 2 12" xfId="7977" xr:uid="{00000000-0005-0000-0000-0000181F0000}"/>
    <cellStyle name="Normal 2 4 5 2 2 12 2" xfId="7978" xr:uid="{00000000-0005-0000-0000-0000191F0000}"/>
    <cellStyle name="Normal 2 4 5 2 2 12 3" xfId="7979" xr:uid="{00000000-0005-0000-0000-00001A1F0000}"/>
    <cellStyle name="Normal 2 4 5 2 2 13" xfId="7980" xr:uid="{00000000-0005-0000-0000-00001B1F0000}"/>
    <cellStyle name="Normal 2 4 5 2 2 13 2" xfId="7981" xr:uid="{00000000-0005-0000-0000-00001C1F0000}"/>
    <cellStyle name="Normal 2 4 5 2 2 13 3" xfId="7982" xr:uid="{00000000-0005-0000-0000-00001D1F0000}"/>
    <cellStyle name="Normal 2 4 5 2 2 14" xfId="7983" xr:uid="{00000000-0005-0000-0000-00001E1F0000}"/>
    <cellStyle name="Normal 2 4 5 2 2 14 2" xfId="7984" xr:uid="{00000000-0005-0000-0000-00001F1F0000}"/>
    <cellStyle name="Normal 2 4 5 2 2 14 3" xfId="7985" xr:uid="{00000000-0005-0000-0000-0000201F0000}"/>
    <cellStyle name="Normal 2 4 5 2 2 15" xfId="7986" xr:uid="{00000000-0005-0000-0000-0000211F0000}"/>
    <cellStyle name="Normal 2 4 5 2 2 15 2" xfId="7987" xr:uid="{00000000-0005-0000-0000-0000221F0000}"/>
    <cellStyle name="Normal 2 4 5 2 2 15 3" xfId="7988" xr:uid="{00000000-0005-0000-0000-0000231F0000}"/>
    <cellStyle name="Normal 2 4 5 2 2 16" xfId="7989" xr:uid="{00000000-0005-0000-0000-0000241F0000}"/>
    <cellStyle name="Normal 2 4 5 2 2 16 2" xfId="7990" xr:uid="{00000000-0005-0000-0000-0000251F0000}"/>
    <cellStyle name="Normal 2 4 5 2 2 16 3" xfId="7991" xr:uid="{00000000-0005-0000-0000-0000261F0000}"/>
    <cellStyle name="Normal 2 4 5 2 2 17" xfId="7992" xr:uid="{00000000-0005-0000-0000-0000271F0000}"/>
    <cellStyle name="Normal 2 4 5 2 2 17 2" xfId="7993" xr:uid="{00000000-0005-0000-0000-0000281F0000}"/>
    <cellStyle name="Normal 2 4 5 2 2 17 3" xfId="7994" xr:uid="{00000000-0005-0000-0000-0000291F0000}"/>
    <cellStyle name="Normal 2 4 5 2 2 18" xfId="7995" xr:uid="{00000000-0005-0000-0000-00002A1F0000}"/>
    <cellStyle name="Normal 2 4 5 2 2 19" xfId="7996" xr:uid="{00000000-0005-0000-0000-00002B1F0000}"/>
    <cellStyle name="Normal 2 4 5 2 2 2" xfId="7997" xr:uid="{00000000-0005-0000-0000-00002C1F0000}"/>
    <cellStyle name="Normal 2 4 5 2 2 2 2" xfId="7998" xr:uid="{00000000-0005-0000-0000-00002D1F0000}"/>
    <cellStyle name="Normal 2 4 5 2 2 2 2 2" xfId="7999" xr:uid="{00000000-0005-0000-0000-00002E1F0000}"/>
    <cellStyle name="Normal 2 4 5 2 2 2 2 3" xfId="8000" xr:uid="{00000000-0005-0000-0000-00002F1F0000}"/>
    <cellStyle name="Normal 2 4 5 2 2 2 3" xfId="8001" xr:uid="{00000000-0005-0000-0000-0000301F0000}"/>
    <cellStyle name="Normal 2 4 5 2 2 2 4" xfId="8002" xr:uid="{00000000-0005-0000-0000-0000311F0000}"/>
    <cellStyle name="Normal 2 4 5 2 2 3" xfId="8003" xr:uid="{00000000-0005-0000-0000-0000321F0000}"/>
    <cellStyle name="Normal 2 4 5 2 2 4" xfId="8004" xr:uid="{00000000-0005-0000-0000-0000331F0000}"/>
    <cellStyle name="Normal 2 4 5 2 2 5" xfId="8005" xr:uid="{00000000-0005-0000-0000-0000341F0000}"/>
    <cellStyle name="Normal 2 4 5 2 2 5 2" xfId="8006" xr:uid="{00000000-0005-0000-0000-0000351F0000}"/>
    <cellStyle name="Normal 2 4 5 2 2 5 3" xfId="8007" xr:uid="{00000000-0005-0000-0000-0000361F0000}"/>
    <cellStyle name="Normal 2 4 5 2 2 6" xfId="8008" xr:uid="{00000000-0005-0000-0000-0000371F0000}"/>
    <cellStyle name="Normal 2 4 5 2 2 6 2" xfId="8009" xr:uid="{00000000-0005-0000-0000-0000381F0000}"/>
    <cellStyle name="Normal 2 4 5 2 2 6 3" xfId="8010" xr:uid="{00000000-0005-0000-0000-0000391F0000}"/>
    <cellStyle name="Normal 2 4 5 2 2 7" xfId="8011" xr:uid="{00000000-0005-0000-0000-00003A1F0000}"/>
    <cellStyle name="Normal 2 4 5 2 2 7 2" xfId="8012" xr:uid="{00000000-0005-0000-0000-00003B1F0000}"/>
    <cellStyle name="Normal 2 4 5 2 2 7 3" xfId="8013" xr:uid="{00000000-0005-0000-0000-00003C1F0000}"/>
    <cellStyle name="Normal 2 4 5 2 2 8" xfId="8014" xr:uid="{00000000-0005-0000-0000-00003D1F0000}"/>
    <cellStyle name="Normal 2 4 5 2 2 8 2" xfId="8015" xr:uid="{00000000-0005-0000-0000-00003E1F0000}"/>
    <cellStyle name="Normal 2 4 5 2 2 8 3" xfId="8016" xr:uid="{00000000-0005-0000-0000-00003F1F0000}"/>
    <cellStyle name="Normal 2 4 5 2 2 9" xfId="8017" xr:uid="{00000000-0005-0000-0000-0000401F0000}"/>
    <cellStyle name="Normal 2 4 5 2 2 9 2" xfId="8018" xr:uid="{00000000-0005-0000-0000-0000411F0000}"/>
    <cellStyle name="Normal 2 4 5 2 2 9 3" xfId="8019" xr:uid="{00000000-0005-0000-0000-0000421F0000}"/>
    <cellStyle name="Normal 2 4 5 2 3" xfId="8020" xr:uid="{00000000-0005-0000-0000-0000431F0000}"/>
    <cellStyle name="Normal 2 4 5 2 4" xfId="8021" xr:uid="{00000000-0005-0000-0000-0000441F0000}"/>
    <cellStyle name="Normal 2 4 5 2 4 10" xfId="8022" xr:uid="{00000000-0005-0000-0000-0000451F0000}"/>
    <cellStyle name="Normal 2 4 5 2 4 10 2" xfId="8023" xr:uid="{00000000-0005-0000-0000-0000461F0000}"/>
    <cellStyle name="Normal 2 4 5 2 4 10 3" xfId="8024" xr:uid="{00000000-0005-0000-0000-0000471F0000}"/>
    <cellStyle name="Normal 2 4 5 2 4 11" xfId="8025" xr:uid="{00000000-0005-0000-0000-0000481F0000}"/>
    <cellStyle name="Normal 2 4 5 2 4 11 2" xfId="8026" xr:uid="{00000000-0005-0000-0000-0000491F0000}"/>
    <cellStyle name="Normal 2 4 5 2 4 11 3" xfId="8027" xr:uid="{00000000-0005-0000-0000-00004A1F0000}"/>
    <cellStyle name="Normal 2 4 5 2 4 12" xfId="8028" xr:uid="{00000000-0005-0000-0000-00004B1F0000}"/>
    <cellStyle name="Normal 2 4 5 2 4 12 2" xfId="8029" xr:uid="{00000000-0005-0000-0000-00004C1F0000}"/>
    <cellStyle name="Normal 2 4 5 2 4 12 3" xfId="8030" xr:uid="{00000000-0005-0000-0000-00004D1F0000}"/>
    <cellStyle name="Normal 2 4 5 2 4 13" xfId="8031" xr:uid="{00000000-0005-0000-0000-00004E1F0000}"/>
    <cellStyle name="Normal 2 4 5 2 4 13 2" xfId="8032" xr:uid="{00000000-0005-0000-0000-00004F1F0000}"/>
    <cellStyle name="Normal 2 4 5 2 4 13 3" xfId="8033" xr:uid="{00000000-0005-0000-0000-0000501F0000}"/>
    <cellStyle name="Normal 2 4 5 2 4 14" xfId="8034" xr:uid="{00000000-0005-0000-0000-0000511F0000}"/>
    <cellStyle name="Normal 2 4 5 2 4 14 2" xfId="8035" xr:uid="{00000000-0005-0000-0000-0000521F0000}"/>
    <cellStyle name="Normal 2 4 5 2 4 14 3" xfId="8036" xr:uid="{00000000-0005-0000-0000-0000531F0000}"/>
    <cellStyle name="Normal 2 4 5 2 4 15" xfId="8037" xr:uid="{00000000-0005-0000-0000-0000541F0000}"/>
    <cellStyle name="Normal 2 4 5 2 4 16" xfId="8038" xr:uid="{00000000-0005-0000-0000-0000551F0000}"/>
    <cellStyle name="Normal 2 4 5 2 4 2" xfId="8039" xr:uid="{00000000-0005-0000-0000-0000561F0000}"/>
    <cellStyle name="Normal 2 4 5 2 4 2 2" xfId="8040" xr:uid="{00000000-0005-0000-0000-0000571F0000}"/>
    <cellStyle name="Normal 2 4 5 2 4 2 3" xfId="8041" xr:uid="{00000000-0005-0000-0000-0000581F0000}"/>
    <cellStyle name="Normal 2 4 5 2 4 3" xfId="8042" xr:uid="{00000000-0005-0000-0000-0000591F0000}"/>
    <cellStyle name="Normal 2 4 5 2 4 3 2" xfId="8043" xr:uid="{00000000-0005-0000-0000-00005A1F0000}"/>
    <cellStyle name="Normal 2 4 5 2 4 3 3" xfId="8044" xr:uid="{00000000-0005-0000-0000-00005B1F0000}"/>
    <cellStyle name="Normal 2 4 5 2 4 4" xfId="8045" xr:uid="{00000000-0005-0000-0000-00005C1F0000}"/>
    <cellStyle name="Normal 2 4 5 2 4 4 2" xfId="8046" xr:uid="{00000000-0005-0000-0000-00005D1F0000}"/>
    <cellStyle name="Normal 2 4 5 2 4 4 3" xfId="8047" xr:uid="{00000000-0005-0000-0000-00005E1F0000}"/>
    <cellStyle name="Normal 2 4 5 2 4 5" xfId="8048" xr:uid="{00000000-0005-0000-0000-00005F1F0000}"/>
    <cellStyle name="Normal 2 4 5 2 4 5 2" xfId="8049" xr:uid="{00000000-0005-0000-0000-0000601F0000}"/>
    <cellStyle name="Normal 2 4 5 2 4 5 3" xfId="8050" xr:uid="{00000000-0005-0000-0000-0000611F0000}"/>
    <cellStyle name="Normal 2 4 5 2 4 6" xfId="8051" xr:uid="{00000000-0005-0000-0000-0000621F0000}"/>
    <cellStyle name="Normal 2 4 5 2 4 6 2" xfId="8052" xr:uid="{00000000-0005-0000-0000-0000631F0000}"/>
    <cellStyle name="Normal 2 4 5 2 4 6 3" xfId="8053" xr:uid="{00000000-0005-0000-0000-0000641F0000}"/>
    <cellStyle name="Normal 2 4 5 2 4 7" xfId="8054" xr:uid="{00000000-0005-0000-0000-0000651F0000}"/>
    <cellStyle name="Normal 2 4 5 2 4 7 2" xfId="8055" xr:uid="{00000000-0005-0000-0000-0000661F0000}"/>
    <cellStyle name="Normal 2 4 5 2 4 7 3" xfId="8056" xr:uid="{00000000-0005-0000-0000-0000671F0000}"/>
    <cellStyle name="Normal 2 4 5 2 4 8" xfId="8057" xr:uid="{00000000-0005-0000-0000-0000681F0000}"/>
    <cellStyle name="Normal 2 4 5 2 4 8 2" xfId="8058" xr:uid="{00000000-0005-0000-0000-0000691F0000}"/>
    <cellStyle name="Normal 2 4 5 2 4 8 3" xfId="8059" xr:uid="{00000000-0005-0000-0000-00006A1F0000}"/>
    <cellStyle name="Normal 2 4 5 2 4 9" xfId="8060" xr:uid="{00000000-0005-0000-0000-00006B1F0000}"/>
    <cellStyle name="Normal 2 4 5 2 4 9 2" xfId="8061" xr:uid="{00000000-0005-0000-0000-00006C1F0000}"/>
    <cellStyle name="Normal 2 4 5 2 4 9 3" xfId="8062" xr:uid="{00000000-0005-0000-0000-00006D1F0000}"/>
    <cellStyle name="Normal 2 4 5 2 5" xfId="8063" xr:uid="{00000000-0005-0000-0000-00006E1F0000}"/>
    <cellStyle name="Normal 2 4 5 2 5 10" xfId="8064" xr:uid="{00000000-0005-0000-0000-00006F1F0000}"/>
    <cellStyle name="Normal 2 4 5 2 5 10 2" xfId="8065" xr:uid="{00000000-0005-0000-0000-0000701F0000}"/>
    <cellStyle name="Normal 2 4 5 2 5 10 3" xfId="8066" xr:uid="{00000000-0005-0000-0000-0000711F0000}"/>
    <cellStyle name="Normal 2 4 5 2 5 11" xfId="8067" xr:uid="{00000000-0005-0000-0000-0000721F0000}"/>
    <cellStyle name="Normal 2 4 5 2 5 11 2" xfId="8068" xr:uid="{00000000-0005-0000-0000-0000731F0000}"/>
    <cellStyle name="Normal 2 4 5 2 5 11 3" xfId="8069" xr:uid="{00000000-0005-0000-0000-0000741F0000}"/>
    <cellStyle name="Normal 2 4 5 2 5 12" xfId="8070" xr:uid="{00000000-0005-0000-0000-0000751F0000}"/>
    <cellStyle name="Normal 2 4 5 2 5 12 2" xfId="8071" xr:uid="{00000000-0005-0000-0000-0000761F0000}"/>
    <cellStyle name="Normal 2 4 5 2 5 12 3" xfId="8072" xr:uid="{00000000-0005-0000-0000-0000771F0000}"/>
    <cellStyle name="Normal 2 4 5 2 5 13" xfId="8073" xr:uid="{00000000-0005-0000-0000-0000781F0000}"/>
    <cellStyle name="Normal 2 4 5 2 5 13 2" xfId="8074" xr:uid="{00000000-0005-0000-0000-0000791F0000}"/>
    <cellStyle name="Normal 2 4 5 2 5 13 3" xfId="8075" xr:uid="{00000000-0005-0000-0000-00007A1F0000}"/>
    <cellStyle name="Normal 2 4 5 2 5 14" xfId="8076" xr:uid="{00000000-0005-0000-0000-00007B1F0000}"/>
    <cellStyle name="Normal 2 4 5 2 5 14 2" xfId="8077" xr:uid="{00000000-0005-0000-0000-00007C1F0000}"/>
    <cellStyle name="Normal 2 4 5 2 5 14 3" xfId="8078" xr:uid="{00000000-0005-0000-0000-00007D1F0000}"/>
    <cellStyle name="Normal 2 4 5 2 5 15" xfId="8079" xr:uid="{00000000-0005-0000-0000-00007E1F0000}"/>
    <cellStyle name="Normal 2 4 5 2 5 16" xfId="8080" xr:uid="{00000000-0005-0000-0000-00007F1F0000}"/>
    <cellStyle name="Normal 2 4 5 2 5 2" xfId="8081" xr:uid="{00000000-0005-0000-0000-0000801F0000}"/>
    <cellStyle name="Normal 2 4 5 2 5 2 2" xfId="8082" xr:uid="{00000000-0005-0000-0000-0000811F0000}"/>
    <cellStyle name="Normal 2 4 5 2 5 2 3" xfId="8083" xr:uid="{00000000-0005-0000-0000-0000821F0000}"/>
    <cellStyle name="Normal 2 4 5 2 5 3" xfId="8084" xr:uid="{00000000-0005-0000-0000-0000831F0000}"/>
    <cellStyle name="Normal 2 4 5 2 5 3 2" xfId="8085" xr:uid="{00000000-0005-0000-0000-0000841F0000}"/>
    <cellStyle name="Normal 2 4 5 2 5 3 3" xfId="8086" xr:uid="{00000000-0005-0000-0000-0000851F0000}"/>
    <cellStyle name="Normal 2 4 5 2 5 4" xfId="8087" xr:uid="{00000000-0005-0000-0000-0000861F0000}"/>
    <cellStyle name="Normal 2 4 5 2 5 4 2" xfId="8088" xr:uid="{00000000-0005-0000-0000-0000871F0000}"/>
    <cellStyle name="Normal 2 4 5 2 5 4 3" xfId="8089" xr:uid="{00000000-0005-0000-0000-0000881F0000}"/>
    <cellStyle name="Normal 2 4 5 2 5 5" xfId="8090" xr:uid="{00000000-0005-0000-0000-0000891F0000}"/>
    <cellStyle name="Normal 2 4 5 2 5 5 2" xfId="8091" xr:uid="{00000000-0005-0000-0000-00008A1F0000}"/>
    <cellStyle name="Normal 2 4 5 2 5 5 3" xfId="8092" xr:uid="{00000000-0005-0000-0000-00008B1F0000}"/>
    <cellStyle name="Normal 2 4 5 2 5 6" xfId="8093" xr:uid="{00000000-0005-0000-0000-00008C1F0000}"/>
    <cellStyle name="Normal 2 4 5 2 5 6 2" xfId="8094" xr:uid="{00000000-0005-0000-0000-00008D1F0000}"/>
    <cellStyle name="Normal 2 4 5 2 5 6 3" xfId="8095" xr:uid="{00000000-0005-0000-0000-00008E1F0000}"/>
    <cellStyle name="Normal 2 4 5 2 5 7" xfId="8096" xr:uid="{00000000-0005-0000-0000-00008F1F0000}"/>
    <cellStyle name="Normal 2 4 5 2 5 7 2" xfId="8097" xr:uid="{00000000-0005-0000-0000-0000901F0000}"/>
    <cellStyle name="Normal 2 4 5 2 5 7 3" xfId="8098" xr:uid="{00000000-0005-0000-0000-0000911F0000}"/>
    <cellStyle name="Normal 2 4 5 2 5 8" xfId="8099" xr:uid="{00000000-0005-0000-0000-0000921F0000}"/>
    <cellStyle name="Normal 2 4 5 2 5 8 2" xfId="8100" xr:uid="{00000000-0005-0000-0000-0000931F0000}"/>
    <cellStyle name="Normal 2 4 5 2 5 8 3" xfId="8101" xr:uid="{00000000-0005-0000-0000-0000941F0000}"/>
    <cellStyle name="Normal 2 4 5 2 5 9" xfId="8102" xr:uid="{00000000-0005-0000-0000-0000951F0000}"/>
    <cellStyle name="Normal 2 4 5 2 5 9 2" xfId="8103" xr:uid="{00000000-0005-0000-0000-0000961F0000}"/>
    <cellStyle name="Normal 2 4 5 2 5 9 3" xfId="8104" xr:uid="{00000000-0005-0000-0000-0000971F0000}"/>
    <cellStyle name="Normal 2 4 5 2 6" xfId="8105" xr:uid="{00000000-0005-0000-0000-0000981F0000}"/>
    <cellStyle name="Normal 2 4 5 2 6 2" xfId="8106" xr:uid="{00000000-0005-0000-0000-0000991F0000}"/>
    <cellStyle name="Normal 2 4 5 2 6 3" xfId="8107" xr:uid="{00000000-0005-0000-0000-00009A1F0000}"/>
    <cellStyle name="Normal 2 4 5 2 7" xfId="8108" xr:uid="{00000000-0005-0000-0000-00009B1F0000}"/>
    <cellStyle name="Normal 2 4 5 20" xfId="8109" xr:uid="{00000000-0005-0000-0000-00009C1F0000}"/>
    <cellStyle name="Normal 2 4 5 21" xfId="8110" xr:uid="{00000000-0005-0000-0000-00009D1F0000}"/>
    <cellStyle name="Normal 2 4 5 22" xfId="8111" xr:uid="{00000000-0005-0000-0000-00009E1F0000}"/>
    <cellStyle name="Normal 2 4 5 23" xfId="8112" xr:uid="{00000000-0005-0000-0000-00009F1F0000}"/>
    <cellStyle name="Normal 2 4 5 24" xfId="8113" xr:uid="{00000000-0005-0000-0000-0000A01F0000}"/>
    <cellStyle name="Normal 2 4 5 25" xfId="8114" xr:uid="{00000000-0005-0000-0000-0000A11F0000}"/>
    <cellStyle name="Normal 2 4 5 26" xfId="8115" xr:uid="{00000000-0005-0000-0000-0000A21F0000}"/>
    <cellStyle name="Normal 2 4 5 27" xfId="8116" xr:uid="{00000000-0005-0000-0000-0000A31F0000}"/>
    <cellStyle name="Normal 2 4 5 28" xfId="8117" xr:uid="{00000000-0005-0000-0000-0000A41F0000}"/>
    <cellStyle name="Normal 2 4 5 29" xfId="8118" xr:uid="{00000000-0005-0000-0000-0000A51F0000}"/>
    <cellStyle name="Normal 2 4 5 3" xfId="8119" xr:uid="{00000000-0005-0000-0000-0000A61F0000}"/>
    <cellStyle name="Normal 2 4 5 3 2" xfId="8120" xr:uid="{00000000-0005-0000-0000-0000A71F0000}"/>
    <cellStyle name="Normal 2 4 5 3 2 10" xfId="8121" xr:uid="{00000000-0005-0000-0000-0000A81F0000}"/>
    <cellStyle name="Normal 2 4 5 3 2 10 2" xfId="8122" xr:uid="{00000000-0005-0000-0000-0000A91F0000}"/>
    <cellStyle name="Normal 2 4 5 3 2 10 3" xfId="8123" xr:uid="{00000000-0005-0000-0000-0000AA1F0000}"/>
    <cellStyle name="Normal 2 4 5 3 2 11" xfId="8124" xr:uid="{00000000-0005-0000-0000-0000AB1F0000}"/>
    <cellStyle name="Normal 2 4 5 3 2 11 2" xfId="8125" xr:uid="{00000000-0005-0000-0000-0000AC1F0000}"/>
    <cellStyle name="Normal 2 4 5 3 2 11 3" xfId="8126" xr:uid="{00000000-0005-0000-0000-0000AD1F0000}"/>
    <cellStyle name="Normal 2 4 5 3 2 12" xfId="8127" xr:uid="{00000000-0005-0000-0000-0000AE1F0000}"/>
    <cellStyle name="Normal 2 4 5 3 2 12 2" xfId="8128" xr:uid="{00000000-0005-0000-0000-0000AF1F0000}"/>
    <cellStyle name="Normal 2 4 5 3 2 12 3" xfId="8129" xr:uid="{00000000-0005-0000-0000-0000B01F0000}"/>
    <cellStyle name="Normal 2 4 5 3 2 13" xfId="8130" xr:uid="{00000000-0005-0000-0000-0000B11F0000}"/>
    <cellStyle name="Normal 2 4 5 3 2 13 2" xfId="8131" xr:uid="{00000000-0005-0000-0000-0000B21F0000}"/>
    <cellStyle name="Normal 2 4 5 3 2 13 3" xfId="8132" xr:uid="{00000000-0005-0000-0000-0000B31F0000}"/>
    <cellStyle name="Normal 2 4 5 3 2 14" xfId="8133" xr:uid="{00000000-0005-0000-0000-0000B41F0000}"/>
    <cellStyle name="Normal 2 4 5 3 2 14 2" xfId="8134" xr:uid="{00000000-0005-0000-0000-0000B51F0000}"/>
    <cellStyle name="Normal 2 4 5 3 2 14 3" xfId="8135" xr:uid="{00000000-0005-0000-0000-0000B61F0000}"/>
    <cellStyle name="Normal 2 4 5 3 2 15" xfId="8136" xr:uid="{00000000-0005-0000-0000-0000B71F0000}"/>
    <cellStyle name="Normal 2 4 5 3 2 16" xfId="8137" xr:uid="{00000000-0005-0000-0000-0000B81F0000}"/>
    <cellStyle name="Normal 2 4 5 3 2 2" xfId="8138" xr:uid="{00000000-0005-0000-0000-0000B91F0000}"/>
    <cellStyle name="Normal 2 4 5 3 2 2 2" xfId="8139" xr:uid="{00000000-0005-0000-0000-0000BA1F0000}"/>
    <cellStyle name="Normal 2 4 5 3 2 2 3" xfId="8140" xr:uid="{00000000-0005-0000-0000-0000BB1F0000}"/>
    <cellStyle name="Normal 2 4 5 3 2 3" xfId="8141" xr:uid="{00000000-0005-0000-0000-0000BC1F0000}"/>
    <cellStyle name="Normal 2 4 5 3 2 3 2" xfId="8142" xr:uid="{00000000-0005-0000-0000-0000BD1F0000}"/>
    <cellStyle name="Normal 2 4 5 3 2 3 3" xfId="8143" xr:uid="{00000000-0005-0000-0000-0000BE1F0000}"/>
    <cellStyle name="Normal 2 4 5 3 2 4" xfId="8144" xr:uid="{00000000-0005-0000-0000-0000BF1F0000}"/>
    <cellStyle name="Normal 2 4 5 3 2 4 2" xfId="8145" xr:uid="{00000000-0005-0000-0000-0000C01F0000}"/>
    <cellStyle name="Normal 2 4 5 3 2 4 3" xfId="8146" xr:uid="{00000000-0005-0000-0000-0000C11F0000}"/>
    <cellStyle name="Normal 2 4 5 3 2 5" xfId="8147" xr:uid="{00000000-0005-0000-0000-0000C21F0000}"/>
    <cellStyle name="Normal 2 4 5 3 2 5 2" xfId="8148" xr:uid="{00000000-0005-0000-0000-0000C31F0000}"/>
    <cellStyle name="Normal 2 4 5 3 2 5 3" xfId="8149" xr:uid="{00000000-0005-0000-0000-0000C41F0000}"/>
    <cellStyle name="Normal 2 4 5 3 2 6" xfId="8150" xr:uid="{00000000-0005-0000-0000-0000C51F0000}"/>
    <cellStyle name="Normal 2 4 5 3 2 6 2" xfId="8151" xr:uid="{00000000-0005-0000-0000-0000C61F0000}"/>
    <cellStyle name="Normal 2 4 5 3 2 6 3" xfId="8152" xr:uid="{00000000-0005-0000-0000-0000C71F0000}"/>
    <cellStyle name="Normal 2 4 5 3 2 7" xfId="8153" xr:uid="{00000000-0005-0000-0000-0000C81F0000}"/>
    <cellStyle name="Normal 2 4 5 3 2 7 2" xfId="8154" xr:uid="{00000000-0005-0000-0000-0000C91F0000}"/>
    <cellStyle name="Normal 2 4 5 3 2 7 3" xfId="8155" xr:uid="{00000000-0005-0000-0000-0000CA1F0000}"/>
    <cellStyle name="Normal 2 4 5 3 2 8" xfId="8156" xr:uid="{00000000-0005-0000-0000-0000CB1F0000}"/>
    <cellStyle name="Normal 2 4 5 3 2 8 2" xfId="8157" xr:uid="{00000000-0005-0000-0000-0000CC1F0000}"/>
    <cellStyle name="Normal 2 4 5 3 2 8 3" xfId="8158" xr:uid="{00000000-0005-0000-0000-0000CD1F0000}"/>
    <cellStyle name="Normal 2 4 5 3 2 9" xfId="8159" xr:uid="{00000000-0005-0000-0000-0000CE1F0000}"/>
    <cellStyle name="Normal 2 4 5 3 2 9 2" xfId="8160" xr:uid="{00000000-0005-0000-0000-0000CF1F0000}"/>
    <cellStyle name="Normal 2 4 5 3 2 9 3" xfId="8161" xr:uid="{00000000-0005-0000-0000-0000D01F0000}"/>
    <cellStyle name="Normal 2 4 5 3 3" xfId="8162" xr:uid="{00000000-0005-0000-0000-0000D11F0000}"/>
    <cellStyle name="Normal 2 4 5 3 3 10" xfId="8163" xr:uid="{00000000-0005-0000-0000-0000D21F0000}"/>
    <cellStyle name="Normal 2 4 5 3 3 10 2" xfId="8164" xr:uid="{00000000-0005-0000-0000-0000D31F0000}"/>
    <cellStyle name="Normal 2 4 5 3 3 10 3" xfId="8165" xr:uid="{00000000-0005-0000-0000-0000D41F0000}"/>
    <cellStyle name="Normal 2 4 5 3 3 11" xfId="8166" xr:uid="{00000000-0005-0000-0000-0000D51F0000}"/>
    <cellStyle name="Normal 2 4 5 3 3 11 2" xfId="8167" xr:uid="{00000000-0005-0000-0000-0000D61F0000}"/>
    <cellStyle name="Normal 2 4 5 3 3 11 3" xfId="8168" xr:uid="{00000000-0005-0000-0000-0000D71F0000}"/>
    <cellStyle name="Normal 2 4 5 3 3 12" xfId="8169" xr:uid="{00000000-0005-0000-0000-0000D81F0000}"/>
    <cellStyle name="Normal 2 4 5 3 3 12 2" xfId="8170" xr:uid="{00000000-0005-0000-0000-0000D91F0000}"/>
    <cellStyle name="Normal 2 4 5 3 3 12 3" xfId="8171" xr:uid="{00000000-0005-0000-0000-0000DA1F0000}"/>
    <cellStyle name="Normal 2 4 5 3 3 13" xfId="8172" xr:uid="{00000000-0005-0000-0000-0000DB1F0000}"/>
    <cellStyle name="Normal 2 4 5 3 3 13 2" xfId="8173" xr:uid="{00000000-0005-0000-0000-0000DC1F0000}"/>
    <cellStyle name="Normal 2 4 5 3 3 13 3" xfId="8174" xr:uid="{00000000-0005-0000-0000-0000DD1F0000}"/>
    <cellStyle name="Normal 2 4 5 3 3 14" xfId="8175" xr:uid="{00000000-0005-0000-0000-0000DE1F0000}"/>
    <cellStyle name="Normal 2 4 5 3 3 14 2" xfId="8176" xr:uid="{00000000-0005-0000-0000-0000DF1F0000}"/>
    <cellStyle name="Normal 2 4 5 3 3 14 3" xfId="8177" xr:uid="{00000000-0005-0000-0000-0000E01F0000}"/>
    <cellStyle name="Normal 2 4 5 3 3 15" xfId="8178" xr:uid="{00000000-0005-0000-0000-0000E11F0000}"/>
    <cellStyle name="Normal 2 4 5 3 3 16" xfId="8179" xr:uid="{00000000-0005-0000-0000-0000E21F0000}"/>
    <cellStyle name="Normal 2 4 5 3 3 2" xfId="8180" xr:uid="{00000000-0005-0000-0000-0000E31F0000}"/>
    <cellStyle name="Normal 2 4 5 3 3 2 2" xfId="8181" xr:uid="{00000000-0005-0000-0000-0000E41F0000}"/>
    <cellStyle name="Normal 2 4 5 3 3 2 3" xfId="8182" xr:uid="{00000000-0005-0000-0000-0000E51F0000}"/>
    <cellStyle name="Normal 2 4 5 3 3 3" xfId="8183" xr:uid="{00000000-0005-0000-0000-0000E61F0000}"/>
    <cellStyle name="Normal 2 4 5 3 3 3 2" xfId="8184" xr:uid="{00000000-0005-0000-0000-0000E71F0000}"/>
    <cellStyle name="Normal 2 4 5 3 3 3 3" xfId="8185" xr:uid="{00000000-0005-0000-0000-0000E81F0000}"/>
    <cellStyle name="Normal 2 4 5 3 3 4" xfId="8186" xr:uid="{00000000-0005-0000-0000-0000E91F0000}"/>
    <cellStyle name="Normal 2 4 5 3 3 4 2" xfId="8187" xr:uid="{00000000-0005-0000-0000-0000EA1F0000}"/>
    <cellStyle name="Normal 2 4 5 3 3 4 3" xfId="8188" xr:uid="{00000000-0005-0000-0000-0000EB1F0000}"/>
    <cellStyle name="Normal 2 4 5 3 3 5" xfId="8189" xr:uid="{00000000-0005-0000-0000-0000EC1F0000}"/>
    <cellStyle name="Normal 2 4 5 3 3 5 2" xfId="8190" xr:uid="{00000000-0005-0000-0000-0000ED1F0000}"/>
    <cellStyle name="Normal 2 4 5 3 3 5 3" xfId="8191" xr:uid="{00000000-0005-0000-0000-0000EE1F0000}"/>
    <cellStyle name="Normal 2 4 5 3 3 6" xfId="8192" xr:uid="{00000000-0005-0000-0000-0000EF1F0000}"/>
    <cellStyle name="Normal 2 4 5 3 3 6 2" xfId="8193" xr:uid="{00000000-0005-0000-0000-0000F01F0000}"/>
    <cellStyle name="Normal 2 4 5 3 3 6 3" xfId="8194" xr:uid="{00000000-0005-0000-0000-0000F11F0000}"/>
    <cellStyle name="Normal 2 4 5 3 3 7" xfId="8195" xr:uid="{00000000-0005-0000-0000-0000F21F0000}"/>
    <cellStyle name="Normal 2 4 5 3 3 7 2" xfId="8196" xr:uid="{00000000-0005-0000-0000-0000F31F0000}"/>
    <cellStyle name="Normal 2 4 5 3 3 7 3" xfId="8197" xr:uid="{00000000-0005-0000-0000-0000F41F0000}"/>
    <cellStyle name="Normal 2 4 5 3 3 8" xfId="8198" xr:uid="{00000000-0005-0000-0000-0000F51F0000}"/>
    <cellStyle name="Normal 2 4 5 3 3 8 2" xfId="8199" xr:uid="{00000000-0005-0000-0000-0000F61F0000}"/>
    <cellStyle name="Normal 2 4 5 3 3 8 3" xfId="8200" xr:uid="{00000000-0005-0000-0000-0000F71F0000}"/>
    <cellStyle name="Normal 2 4 5 3 3 9" xfId="8201" xr:uid="{00000000-0005-0000-0000-0000F81F0000}"/>
    <cellStyle name="Normal 2 4 5 3 3 9 2" xfId="8202" xr:uid="{00000000-0005-0000-0000-0000F91F0000}"/>
    <cellStyle name="Normal 2 4 5 3 3 9 3" xfId="8203" xr:uid="{00000000-0005-0000-0000-0000FA1F0000}"/>
    <cellStyle name="Normal 2 4 5 3 4" xfId="8204" xr:uid="{00000000-0005-0000-0000-0000FB1F0000}"/>
    <cellStyle name="Normal 2 4 5 3 4 10" xfId="8205" xr:uid="{00000000-0005-0000-0000-0000FC1F0000}"/>
    <cellStyle name="Normal 2 4 5 3 4 10 2" xfId="8206" xr:uid="{00000000-0005-0000-0000-0000FD1F0000}"/>
    <cellStyle name="Normal 2 4 5 3 4 10 3" xfId="8207" xr:uid="{00000000-0005-0000-0000-0000FE1F0000}"/>
    <cellStyle name="Normal 2 4 5 3 4 11" xfId="8208" xr:uid="{00000000-0005-0000-0000-0000FF1F0000}"/>
    <cellStyle name="Normal 2 4 5 3 4 11 2" xfId="8209" xr:uid="{00000000-0005-0000-0000-000000200000}"/>
    <cellStyle name="Normal 2 4 5 3 4 11 3" xfId="8210" xr:uid="{00000000-0005-0000-0000-000001200000}"/>
    <cellStyle name="Normal 2 4 5 3 4 12" xfId="8211" xr:uid="{00000000-0005-0000-0000-000002200000}"/>
    <cellStyle name="Normal 2 4 5 3 4 12 2" xfId="8212" xr:uid="{00000000-0005-0000-0000-000003200000}"/>
    <cellStyle name="Normal 2 4 5 3 4 12 3" xfId="8213" xr:uid="{00000000-0005-0000-0000-000004200000}"/>
    <cellStyle name="Normal 2 4 5 3 4 13" xfId="8214" xr:uid="{00000000-0005-0000-0000-000005200000}"/>
    <cellStyle name="Normal 2 4 5 3 4 13 2" xfId="8215" xr:uid="{00000000-0005-0000-0000-000006200000}"/>
    <cellStyle name="Normal 2 4 5 3 4 13 3" xfId="8216" xr:uid="{00000000-0005-0000-0000-000007200000}"/>
    <cellStyle name="Normal 2 4 5 3 4 14" xfId="8217" xr:uid="{00000000-0005-0000-0000-000008200000}"/>
    <cellStyle name="Normal 2 4 5 3 4 14 2" xfId="8218" xr:uid="{00000000-0005-0000-0000-000009200000}"/>
    <cellStyle name="Normal 2 4 5 3 4 14 3" xfId="8219" xr:uid="{00000000-0005-0000-0000-00000A200000}"/>
    <cellStyle name="Normal 2 4 5 3 4 15" xfId="8220" xr:uid="{00000000-0005-0000-0000-00000B200000}"/>
    <cellStyle name="Normal 2 4 5 3 4 16" xfId="8221" xr:uid="{00000000-0005-0000-0000-00000C200000}"/>
    <cellStyle name="Normal 2 4 5 3 4 2" xfId="8222" xr:uid="{00000000-0005-0000-0000-00000D200000}"/>
    <cellStyle name="Normal 2 4 5 3 4 2 2" xfId="8223" xr:uid="{00000000-0005-0000-0000-00000E200000}"/>
    <cellStyle name="Normal 2 4 5 3 4 2 3" xfId="8224" xr:uid="{00000000-0005-0000-0000-00000F200000}"/>
    <cellStyle name="Normal 2 4 5 3 4 3" xfId="8225" xr:uid="{00000000-0005-0000-0000-000010200000}"/>
    <cellStyle name="Normal 2 4 5 3 4 3 2" xfId="8226" xr:uid="{00000000-0005-0000-0000-000011200000}"/>
    <cellStyle name="Normal 2 4 5 3 4 3 3" xfId="8227" xr:uid="{00000000-0005-0000-0000-000012200000}"/>
    <cellStyle name="Normal 2 4 5 3 4 4" xfId="8228" xr:uid="{00000000-0005-0000-0000-000013200000}"/>
    <cellStyle name="Normal 2 4 5 3 4 4 2" xfId="8229" xr:uid="{00000000-0005-0000-0000-000014200000}"/>
    <cellStyle name="Normal 2 4 5 3 4 4 3" xfId="8230" xr:uid="{00000000-0005-0000-0000-000015200000}"/>
    <cellStyle name="Normal 2 4 5 3 4 5" xfId="8231" xr:uid="{00000000-0005-0000-0000-000016200000}"/>
    <cellStyle name="Normal 2 4 5 3 4 5 2" xfId="8232" xr:uid="{00000000-0005-0000-0000-000017200000}"/>
    <cellStyle name="Normal 2 4 5 3 4 5 3" xfId="8233" xr:uid="{00000000-0005-0000-0000-000018200000}"/>
    <cellStyle name="Normal 2 4 5 3 4 6" xfId="8234" xr:uid="{00000000-0005-0000-0000-000019200000}"/>
    <cellStyle name="Normal 2 4 5 3 4 6 2" xfId="8235" xr:uid="{00000000-0005-0000-0000-00001A200000}"/>
    <cellStyle name="Normal 2 4 5 3 4 6 3" xfId="8236" xr:uid="{00000000-0005-0000-0000-00001B200000}"/>
    <cellStyle name="Normal 2 4 5 3 4 7" xfId="8237" xr:uid="{00000000-0005-0000-0000-00001C200000}"/>
    <cellStyle name="Normal 2 4 5 3 4 7 2" xfId="8238" xr:uid="{00000000-0005-0000-0000-00001D200000}"/>
    <cellStyle name="Normal 2 4 5 3 4 7 3" xfId="8239" xr:uid="{00000000-0005-0000-0000-00001E200000}"/>
    <cellStyle name="Normal 2 4 5 3 4 8" xfId="8240" xr:uid="{00000000-0005-0000-0000-00001F200000}"/>
    <cellStyle name="Normal 2 4 5 3 4 8 2" xfId="8241" xr:uid="{00000000-0005-0000-0000-000020200000}"/>
    <cellStyle name="Normal 2 4 5 3 4 8 3" xfId="8242" xr:uid="{00000000-0005-0000-0000-000021200000}"/>
    <cellStyle name="Normal 2 4 5 3 4 9" xfId="8243" xr:uid="{00000000-0005-0000-0000-000022200000}"/>
    <cellStyle name="Normal 2 4 5 3 4 9 2" xfId="8244" xr:uid="{00000000-0005-0000-0000-000023200000}"/>
    <cellStyle name="Normal 2 4 5 3 4 9 3" xfId="8245" xr:uid="{00000000-0005-0000-0000-000024200000}"/>
    <cellStyle name="Normal 2 4 5 30" xfId="8246" xr:uid="{00000000-0005-0000-0000-000025200000}"/>
    <cellStyle name="Normal 2 4 5 31" xfId="8247" xr:uid="{00000000-0005-0000-0000-000026200000}"/>
    <cellStyle name="Normal 2 4 5 32" xfId="8248" xr:uid="{00000000-0005-0000-0000-000027200000}"/>
    <cellStyle name="Normal 2 4 5 4" xfId="8249" xr:uid="{00000000-0005-0000-0000-000028200000}"/>
    <cellStyle name="Normal 2 4 5 5" xfId="8250" xr:uid="{00000000-0005-0000-0000-000029200000}"/>
    <cellStyle name="Normal 2 4 5 6" xfId="8251" xr:uid="{00000000-0005-0000-0000-00002A200000}"/>
    <cellStyle name="Normal 2 4 5 7" xfId="8252" xr:uid="{00000000-0005-0000-0000-00002B200000}"/>
    <cellStyle name="Normal 2 4 5 7 2" xfId="8253" xr:uid="{00000000-0005-0000-0000-00002C200000}"/>
    <cellStyle name="Normal 2 4 5 7 3" xfId="8254" xr:uid="{00000000-0005-0000-0000-00002D200000}"/>
    <cellStyle name="Normal 2 4 5 8" xfId="8255" xr:uid="{00000000-0005-0000-0000-00002E200000}"/>
    <cellStyle name="Normal 2 4 5 8 2" xfId="8256" xr:uid="{00000000-0005-0000-0000-00002F200000}"/>
    <cellStyle name="Normal 2 4 5 8 3" xfId="8257" xr:uid="{00000000-0005-0000-0000-000030200000}"/>
    <cellStyle name="Normal 2 4 5 9" xfId="8258" xr:uid="{00000000-0005-0000-0000-000031200000}"/>
    <cellStyle name="Normal 2 4 5 9 2" xfId="8259" xr:uid="{00000000-0005-0000-0000-000032200000}"/>
    <cellStyle name="Normal 2 4 5 9 3" xfId="8260" xr:uid="{00000000-0005-0000-0000-000033200000}"/>
    <cellStyle name="Normal 2 4 6" xfId="8261" xr:uid="{00000000-0005-0000-0000-000034200000}"/>
    <cellStyle name="Normal 2 4 7" xfId="8262" xr:uid="{00000000-0005-0000-0000-000035200000}"/>
    <cellStyle name="Normal 2 4 8" xfId="8263" xr:uid="{00000000-0005-0000-0000-000036200000}"/>
    <cellStyle name="Normal 2 4 9" xfId="8264" xr:uid="{00000000-0005-0000-0000-000037200000}"/>
    <cellStyle name="Normal 2 40" xfId="8265" xr:uid="{00000000-0005-0000-0000-000038200000}"/>
    <cellStyle name="Normal 2 41" xfId="8266" xr:uid="{00000000-0005-0000-0000-000039200000}"/>
    <cellStyle name="Normal 2 42" xfId="8267" xr:uid="{00000000-0005-0000-0000-00003A200000}"/>
    <cellStyle name="Normal 2 43" xfId="8268" xr:uid="{00000000-0005-0000-0000-00003B200000}"/>
    <cellStyle name="Normal 2 44" xfId="8269" xr:uid="{00000000-0005-0000-0000-00003C200000}"/>
    <cellStyle name="Normal 2 45" xfId="8270" xr:uid="{00000000-0005-0000-0000-00003D200000}"/>
    <cellStyle name="Normal 2 46" xfId="8271" xr:uid="{00000000-0005-0000-0000-00003E200000}"/>
    <cellStyle name="Normal 2 47" xfId="8272" xr:uid="{00000000-0005-0000-0000-00003F200000}"/>
    <cellStyle name="Normal 2 48" xfId="8273" xr:uid="{00000000-0005-0000-0000-000040200000}"/>
    <cellStyle name="Normal 2 49" xfId="8274" xr:uid="{00000000-0005-0000-0000-000041200000}"/>
    <cellStyle name="Normal 2 49 10" xfId="8275" xr:uid="{00000000-0005-0000-0000-000042200000}"/>
    <cellStyle name="Normal 2 49 10 10" xfId="8276" xr:uid="{00000000-0005-0000-0000-000043200000}"/>
    <cellStyle name="Normal 2 49 10 10 2" xfId="8277" xr:uid="{00000000-0005-0000-0000-000044200000}"/>
    <cellStyle name="Normal 2 49 10 10 3" xfId="8278" xr:uid="{00000000-0005-0000-0000-000045200000}"/>
    <cellStyle name="Normal 2 49 10 11" xfId="8279" xr:uid="{00000000-0005-0000-0000-000046200000}"/>
    <cellStyle name="Normal 2 49 10 11 2" xfId="8280" xr:uid="{00000000-0005-0000-0000-000047200000}"/>
    <cellStyle name="Normal 2 49 10 11 3" xfId="8281" xr:uid="{00000000-0005-0000-0000-000048200000}"/>
    <cellStyle name="Normal 2 49 10 12" xfId="8282" xr:uid="{00000000-0005-0000-0000-000049200000}"/>
    <cellStyle name="Normal 2 49 10 12 2" xfId="8283" xr:uid="{00000000-0005-0000-0000-00004A200000}"/>
    <cellStyle name="Normal 2 49 10 12 3" xfId="8284" xr:uid="{00000000-0005-0000-0000-00004B200000}"/>
    <cellStyle name="Normal 2 49 10 13" xfId="8285" xr:uid="{00000000-0005-0000-0000-00004C200000}"/>
    <cellStyle name="Normal 2 49 10 13 2" xfId="8286" xr:uid="{00000000-0005-0000-0000-00004D200000}"/>
    <cellStyle name="Normal 2 49 10 13 3" xfId="8287" xr:uid="{00000000-0005-0000-0000-00004E200000}"/>
    <cellStyle name="Normal 2 49 10 14" xfId="8288" xr:uid="{00000000-0005-0000-0000-00004F200000}"/>
    <cellStyle name="Normal 2 49 10 14 2" xfId="8289" xr:uid="{00000000-0005-0000-0000-000050200000}"/>
    <cellStyle name="Normal 2 49 10 14 3" xfId="8290" xr:uid="{00000000-0005-0000-0000-000051200000}"/>
    <cellStyle name="Normal 2 49 10 15" xfId="8291" xr:uid="{00000000-0005-0000-0000-000052200000}"/>
    <cellStyle name="Normal 2 49 10 16" xfId="8292" xr:uid="{00000000-0005-0000-0000-000053200000}"/>
    <cellStyle name="Normal 2 49 10 2" xfId="8293" xr:uid="{00000000-0005-0000-0000-000054200000}"/>
    <cellStyle name="Normal 2 49 10 2 2" xfId="8294" xr:uid="{00000000-0005-0000-0000-000055200000}"/>
    <cellStyle name="Normal 2 49 10 2 3" xfId="8295" xr:uid="{00000000-0005-0000-0000-000056200000}"/>
    <cellStyle name="Normal 2 49 10 3" xfId="8296" xr:uid="{00000000-0005-0000-0000-000057200000}"/>
    <cellStyle name="Normal 2 49 10 3 2" xfId="8297" xr:uid="{00000000-0005-0000-0000-000058200000}"/>
    <cellStyle name="Normal 2 49 10 3 3" xfId="8298" xr:uid="{00000000-0005-0000-0000-000059200000}"/>
    <cellStyle name="Normal 2 49 10 4" xfId="8299" xr:uid="{00000000-0005-0000-0000-00005A200000}"/>
    <cellStyle name="Normal 2 49 10 4 2" xfId="8300" xr:uid="{00000000-0005-0000-0000-00005B200000}"/>
    <cellStyle name="Normal 2 49 10 4 3" xfId="8301" xr:uid="{00000000-0005-0000-0000-00005C200000}"/>
    <cellStyle name="Normal 2 49 10 5" xfId="8302" xr:uid="{00000000-0005-0000-0000-00005D200000}"/>
    <cellStyle name="Normal 2 49 10 5 2" xfId="8303" xr:uid="{00000000-0005-0000-0000-00005E200000}"/>
    <cellStyle name="Normal 2 49 10 5 3" xfId="8304" xr:uid="{00000000-0005-0000-0000-00005F200000}"/>
    <cellStyle name="Normal 2 49 10 6" xfId="8305" xr:uid="{00000000-0005-0000-0000-000060200000}"/>
    <cellStyle name="Normal 2 49 10 6 2" xfId="8306" xr:uid="{00000000-0005-0000-0000-000061200000}"/>
    <cellStyle name="Normal 2 49 10 6 3" xfId="8307" xr:uid="{00000000-0005-0000-0000-000062200000}"/>
    <cellStyle name="Normal 2 49 10 7" xfId="8308" xr:uid="{00000000-0005-0000-0000-000063200000}"/>
    <cellStyle name="Normal 2 49 10 7 2" xfId="8309" xr:uid="{00000000-0005-0000-0000-000064200000}"/>
    <cellStyle name="Normal 2 49 10 7 3" xfId="8310" xr:uid="{00000000-0005-0000-0000-000065200000}"/>
    <cellStyle name="Normal 2 49 10 8" xfId="8311" xr:uid="{00000000-0005-0000-0000-000066200000}"/>
    <cellStyle name="Normal 2 49 10 8 2" xfId="8312" xr:uid="{00000000-0005-0000-0000-000067200000}"/>
    <cellStyle name="Normal 2 49 10 8 3" xfId="8313" xr:uid="{00000000-0005-0000-0000-000068200000}"/>
    <cellStyle name="Normal 2 49 10 9" xfId="8314" xr:uid="{00000000-0005-0000-0000-000069200000}"/>
    <cellStyle name="Normal 2 49 10 9 2" xfId="8315" xr:uid="{00000000-0005-0000-0000-00006A200000}"/>
    <cellStyle name="Normal 2 49 10 9 3" xfId="8316" xr:uid="{00000000-0005-0000-0000-00006B200000}"/>
    <cellStyle name="Normal 2 49 11" xfId="8317" xr:uid="{00000000-0005-0000-0000-00006C200000}"/>
    <cellStyle name="Normal 2 49 11 2" xfId="8318" xr:uid="{00000000-0005-0000-0000-00006D200000}"/>
    <cellStyle name="Normal 2 49 11 3" xfId="8319" xr:uid="{00000000-0005-0000-0000-00006E200000}"/>
    <cellStyle name="Normal 2 49 12" xfId="8320" xr:uid="{00000000-0005-0000-0000-00006F200000}"/>
    <cellStyle name="Normal 2 49 12 2" xfId="8321" xr:uid="{00000000-0005-0000-0000-000070200000}"/>
    <cellStyle name="Normal 2 49 12 3" xfId="8322" xr:uid="{00000000-0005-0000-0000-000071200000}"/>
    <cellStyle name="Normal 2 49 13" xfId="8323" xr:uid="{00000000-0005-0000-0000-000072200000}"/>
    <cellStyle name="Normal 2 49 13 2" xfId="8324" xr:uid="{00000000-0005-0000-0000-000073200000}"/>
    <cellStyle name="Normal 2 49 13 3" xfId="8325" xr:uid="{00000000-0005-0000-0000-000074200000}"/>
    <cellStyle name="Normal 2 49 14" xfId="8326" xr:uid="{00000000-0005-0000-0000-000075200000}"/>
    <cellStyle name="Normal 2 49 14 2" xfId="8327" xr:uid="{00000000-0005-0000-0000-000076200000}"/>
    <cellStyle name="Normal 2 49 14 3" xfId="8328" xr:uid="{00000000-0005-0000-0000-000077200000}"/>
    <cellStyle name="Normal 2 49 15" xfId="8329" xr:uid="{00000000-0005-0000-0000-000078200000}"/>
    <cellStyle name="Normal 2 49 15 2" xfId="8330" xr:uid="{00000000-0005-0000-0000-000079200000}"/>
    <cellStyle name="Normal 2 49 15 3" xfId="8331" xr:uid="{00000000-0005-0000-0000-00007A200000}"/>
    <cellStyle name="Normal 2 49 16" xfId="8332" xr:uid="{00000000-0005-0000-0000-00007B200000}"/>
    <cellStyle name="Normal 2 49 16 2" xfId="8333" xr:uid="{00000000-0005-0000-0000-00007C200000}"/>
    <cellStyle name="Normal 2 49 16 3" xfId="8334" xr:uid="{00000000-0005-0000-0000-00007D200000}"/>
    <cellStyle name="Normal 2 49 17" xfId="8335" xr:uid="{00000000-0005-0000-0000-00007E200000}"/>
    <cellStyle name="Normal 2 49 17 2" xfId="8336" xr:uid="{00000000-0005-0000-0000-00007F200000}"/>
    <cellStyle name="Normal 2 49 17 3" xfId="8337" xr:uid="{00000000-0005-0000-0000-000080200000}"/>
    <cellStyle name="Normal 2 49 18" xfId="8338" xr:uid="{00000000-0005-0000-0000-000081200000}"/>
    <cellStyle name="Normal 2 49 18 2" xfId="8339" xr:uid="{00000000-0005-0000-0000-000082200000}"/>
    <cellStyle name="Normal 2 49 18 3" xfId="8340" xr:uid="{00000000-0005-0000-0000-000083200000}"/>
    <cellStyle name="Normal 2 49 19" xfId="8341" xr:uid="{00000000-0005-0000-0000-000084200000}"/>
    <cellStyle name="Normal 2 49 19 2" xfId="8342" xr:uid="{00000000-0005-0000-0000-000085200000}"/>
    <cellStyle name="Normal 2 49 19 3" xfId="8343" xr:uid="{00000000-0005-0000-0000-000086200000}"/>
    <cellStyle name="Normal 2 49 2" xfId="8344" xr:uid="{00000000-0005-0000-0000-000087200000}"/>
    <cellStyle name="Normal 2 49 2 10" xfId="8345" xr:uid="{00000000-0005-0000-0000-000088200000}"/>
    <cellStyle name="Normal 2 49 2 10 2" xfId="8346" xr:uid="{00000000-0005-0000-0000-000089200000}"/>
    <cellStyle name="Normal 2 49 2 10 3" xfId="8347" xr:uid="{00000000-0005-0000-0000-00008A200000}"/>
    <cellStyle name="Normal 2 49 2 11" xfId="8348" xr:uid="{00000000-0005-0000-0000-00008B200000}"/>
    <cellStyle name="Normal 2 49 2 11 2" xfId="8349" xr:uid="{00000000-0005-0000-0000-00008C200000}"/>
    <cellStyle name="Normal 2 49 2 11 3" xfId="8350" xr:uid="{00000000-0005-0000-0000-00008D200000}"/>
    <cellStyle name="Normal 2 49 2 12" xfId="8351" xr:uid="{00000000-0005-0000-0000-00008E200000}"/>
    <cellStyle name="Normal 2 49 2 12 2" xfId="8352" xr:uid="{00000000-0005-0000-0000-00008F200000}"/>
    <cellStyle name="Normal 2 49 2 12 3" xfId="8353" xr:uid="{00000000-0005-0000-0000-000090200000}"/>
    <cellStyle name="Normal 2 49 2 13" xfId="8354" xr:uid="{00000000-0005-0000-0000-000091200000}"/>
    <cellStyle name="Normal 2 49 2 13 2" xfId="8355" xr:uid="{00000000-0005-0000-0000-000092200000}"/>
    <cellStyle name="Normal 2 49 2 13 3" xfId="8356" xr:uid="{00000000-0005-0000-0000-000093200000}"/>
    <cellStyle name="Normal 2 49 2 14" xfId="8357" xr:uid="{00000000-0005-0000-0000-000094200000}"/>
    <cellStyle name="Normal 2 49 2 14 2" xfId="8358" xr:uid="{00000000-0005-0000-0000-000095200000}"/>
    <cellStyle name="Normal 2 49 2 14 3" xfId="8359" xr:uid="{00000000-0005-0000-0000-000096200000}"/>
    <cellStyle name="Normal 2 49 2 15" xfId="8360" xr:uid="{00000000-0005-0000-0000-000097200000}"/>
    <cellStyle name="Normal 2 49 2 15 2" xfId="8361" xr:uid="{00000000-0005-0000-0000-000098200000}"/>
    <cellStyle name="Normal 2 49 2 15 3" xfId="8362" xr:uid="{00000000-0005-0000-0000-000099200000}"/>
    <cellStyle name="Normal 2 49 2 16" xfId="8363" xr:uid="{00000000-0005-0000-0000-00009A200000}"/>
    <cellStyle name="Normal 2 49 2 17" xfId="8364" xr:uid="{00000000-0005-0000-0000-00009B200000}"/>
    <cellStyle name="Normal 2 49 2 2" xfId="8365" xr:uid="{00000000-0005-0000-0000-00009C200000}"/>
    <cellStyle name="Normal 2 49 2 2 10" xfId="8366" xr:uid="{00000000-0005-0000-0000-00009D200000}"/>
    <cellStyle name="Normal 2 49 2 2 10 2" xfId="8367" xr:uid="{00000000-0005-0000-0000-00009E200000}"/>
    <cellStyle name="Normal 2 49 2 2 10 3" xfId="8368" xr:uid="{00000000-0005-0000-0000-00009F200000}"/>
    <cellStyle name="Normal 2 49 2 2 11" xfId="8369" xr:uid="{00000000-0005-0000-0000-0000A0200000}"/>
    <cellStyle name="Normal 2 49 2 2 11 2" xfId="8370" xr:uid="{00000000-0005-0000-0000-0000A1200000}"/>
    <cellStyle name="Normal 2 49 2 2 11 3" xfId="8371" xr:uid="{00000000-0005-0000-0000-0000A2200000}"/>
    <cellStyle name="Normal 2 49 2 2 12" xfId="8372" xr:uid="{00000000-0005-0000-0000-0000A3200000}"/>
    <cellStyle name="Normal 2 49 2 2 12 2" xfId="8373" xr:uid="{00000000-0005-0000-0000-0000A4200000}"/>
    <cellStyle name="Normal 2 49 2 2 12 3" xfId="8374" xr:uid="{00000000-0005-0000-0000-0000A5200000}"/>
    <cellStyle name="Normal 2 49 2 2 13" xfId="8375" xr:uid="{00000000-0005-0000-0000-0000A6200000}"/>
    <cellStyle name="Normal 2 49 2 2 13 2" xfId="8376" xr:uid="{00000000-0005-0000-0000-0000A7200000}"/>
    <cellStyle name="Normal 2 49 2 2 13 3" xfId="8377" xr:uid="{00000000-0005-0000-0000-0000A8200000}"/>
    <cellStyle name="Normal 2 49 2 2 14" xfId="8378" xr:uid="{00000000-0005-0000-0000-0000A9200000}"/>
    <cellStyle name="Normal 2 49 2 2 14 2" xfId="8379" xr:uid="{00000000-0005-0000-0000-0000AA200000}"/>
    <cellStyle name="Normal 2 49 2 2 14 3" xfId="8380" xr:uid="{00000000-0005-0000-0000-0000AB200000}"/>
    <cellStyle name="Normal 2 49 2 2 15" xfId="8381" xr:uid="{00000000-0005-0000-0000-0000AC200000}"/>
    <cellStyle name="Normal 2 49 2 2 16" xfId="8382" xr:uid="{00000000-0005-0000-0000-0000AD200000}"/>
    <cellStyle name="Normal 2 49 2 2 2" xfId="8383" xr:uid="{00000000-0005-0000-0000-0000AE200000}"/>
    <cellStyle name="Normal 2 49 2 2 2 2" xfId="8384" xr:uid="{00000000-0005-0000-0000-0000AF200000}"/>
    <cellStyle name="Normal 2 49 2 2 2 3" xfId="8385" xr:uid="{00000000-0005-0000-0000-0000B0200000}"/>
    <cellStyle name="Normal 2 49 2 2 3" xfId="8386" xr:uid="{00000000-0005-0000-0000-0000B1200000}"/>
    <cellStyle name="Normal 2 49 2 2 3 2" xfId="8387" xr:uid="{00000000-0005-0000-0000-0000B2200000}"/>
    <cellStyle name="Normal 2 49 2 2 3 3" xfId="8388" xr:uid="{00000000-0005-0000-0000-0000B3200000}"/>
    <cellStyle name="Normal 2 49 2 2 4" xfId="8389" xr:uid="{00000000-0005-0000-0000-0000B4200000}"/>
    <cellStyle name="Normal 2 49 2 2 4 2" xfId="8390" xr:uid="{00000000-0005-0000-0000-0000B5200000}"/>
    <cellStyle name="Normal 2 49 2 2 4 3" xfId="8391" xr:uid="{00000000-0005-0000-0000-0000B6200000}"/>
    <cellStyle name="Normal 2 49 2 2 5" xfId="8392" xr:uid="{00000000-0005-0000-0000-0000B7200000}"/>
    <cellStyle name="Normal 2 49 2 2 5 2" xfId="8393" xr:uid="{00000000-0005-0000-0000-0000B8200000}"/>
    <cellStyle name="Normal 2 49 2 2 5 3" xfId="8394" xr:uid="{00000000-0005-0000-0000-0000B9200000}"/>
    <cellStyle name="Normal 2 49 2 2 6" xfId="8395" xr:uid="{00000000-0005-0000-0000-0000BA200000}"/>
    <cellStyle name="Normal 2 49 2 2 6 2" xfId="8396" xr:uid="{00000000-0005-0000-0000-0000BB200000}"/>
    <cellStyle name="Normal 2 49 2 2 6 3" xfId="8397" xr:uid="{00000000-0005-0000-0000-0000BC200000}"/>
    <cellStyle name="Normal 2 49 2 2 7" xfId="8398" xr:uid="{00000000-0005-0000-0000-0000BD200000}"/>
    <cellStyle name="Normal 2 49 2 2 7 2" xfId="8399" xr:uid="{00000000-0005-0000-0000-0000BE200000}"/>
    <cellStyle name="Normal 2 49 2 2 7 3" xfId="8400" xr:uid="{00000000-0005-0000-0000-0000BF200000}"/>
    <cellStyle name="Normal 2 49 2 2 8" xfId="8401" xr:uid="{00000000-0005-0000-0000-0000C0200000}"/>
    <cellStyle name="Normal 2 49 2 2 8 2" xfId="8402" xr:uid="{00000000-0005-0000-0000-0000C1200000}"/>
    <cellStyle name="Normal 2 49 2 2 8 3" xfId="8403" xr:uid="{00000000-0005-0000-0000-0000C2200000}"/>
    <cellStyle name="Normal 2 49 2 2 9" xfId="8404" xr:uid="{00000000-0005-0000-0000-0000C3200000}"/>
    <cellStyle name="Normal 2 49 2 2 9 2" xfId="8405" xr:uid="{00000000-0005-0000-0000-0000C4200000}"/>
    <cellStyle name="Normal 2 49 2 2 9 3" xfId="8406" xr:uid="{00000000-0005-0000-0000-0000C5200000}"/>
    <cellStyle name="Normal 2 49 2 3" xfId="8407" xr:uid="{00000000-0005-0000-0000-0000C6200000}"/>
    <cellStyle name="Normal 2 49 2 3 2" xfId="8408" xr:uid="{00000000-0005-0000-0000-0000C7200000}"/>
    <cellStyle name="Normal 2 49 2 3 3" xfId="8409" xr:uid="{00000000-0005-0000-0000-0000C8200000}"/>
    <cellStyle name="Normal 2 49 2 4" xfId="8410" xr:uid="{00000000-0005-0000-0000-0000C9200000}"/>
    <cellStyle name="Normal 2 49 2 4 2" xfId="8411" xr:uid="{00000000-0005-0000-0000-0000CA200000}"/>
    <cellStyle name="Normal 2 49 2 4 3" xfId="8412" xr:uid="{00000000-0005-0000-0000-0000CB200000}"/>
    <cellStyle name="Normal 2 49 2 5" xfId="8413" xr:uid="{00000000-0005-0000-0000-0000CC200000}"/>
    <cellStyle name="Normal 2 49 2 5 2" xfId="8414" xr:uid="{00000000-0005-0000-0000-0000CD200000}"/>
    <cellStyle name="Normal 2 49 2 5 3" xfId="8415" xr:uid="{00000000-0005-0000-0000-0000CE200000}"/>
    <cellStyle name="Normal 2 49 2 6" xfId="8416" xr:uid="{00000000-0005-0000-0000-0000CF200000}"/>
    <cellStyle name="Normal 2 49 2 6 2" xfId="8417" xr:uid="{00000000-0005-0000-0000-0000D0200000}"/>
    <cellStyle name="Normal 2 49 2 6 3" xfId="8418" xr:uid="{00000000-0005-0000-0000-0000D1200000}"/>
    <cellStyle name="Normal 2 49 2 7" xfId="8419" xr:uid="{00000000-0005-0000-0000-0000D2200000}"/>
    <cellStyle name="Normal 2 49 2 7 2" xfId="8420" xr:uid="{00000000-0005-0000-0000-0000D3200000}"/>
    <cellStyle name="Normal 2 49 2 7 3" xfId="8421" xr:uid="{00000000-0005-0000-0000-0000D4200000}"/>
    <cellStyle name="Normal 2 49 2 8" xfId="8422" xr:uid="{00000000-0005-0000-0000-0000D5200000}"/>
    <cellStyle name="Normal 2 49 2 8 2" xfId="8423" xr:uid="{00000000-0005-0000-0000-0000D6200000}"/>
    <cellStyle name="Normal 2 49 2 8 3" xfId="8424" xr:uid="{00000000-0005-0000-0000-0000D7200000}"/>
    <cellStyle name="Normal 2 49 2 9" xfId="8425" xr:uid="{00000000-0005-0000-0000-0000D8200000}"/>
    <cellStyle name="Normal 2 49 2 9 2" xfId="8426" xr:uid="{00000000-0005-0000-0000-0000D9200000}"/>
    <cellStyle name="Normal 2 49 2 9 3" xfId="8427" xr:uid="{00000000-0005-0000-0000-0000DA200000}"/>
    <cellStyle name="Normal 2 49 20" xfId="8428" xr:uid="{00000000-0005-0000-0000-0000DB200000}"/>
    <cellStyle name="Normal 2 49 20 2" xfId="8429" xr:uid="{00000000-0005-0000-0000-0000DC200000}"/>
    <cellStyle name="Normal 2 49 20 3" xfId="8430" xr:uid="{00000000-0005-0000-0000-0000DD200000}"/>
    <cellStyle name="Normal 2 49 21" xfId="8431" xr:uid="{00000000-0005-0000-0000-0000DE200000}"/>
    <cellStyle name="Normal 2 49 21 2" xfId="8432" xr:uid="{00000000-0005-0000-0000-0000DF200000}"/>
    <cellStyle name="Normal 2 49 21 3" xfId="8433" xr:uid="{00000000-0005-0000-0000-0000E0200000}"/>
    <cellStyle name="Normal 2 49 22" xfId="8434" xr:uid="{00000000-0005-0000-0000-0000E1200000}"/>
    <cellStyle name="Normal 2 49 22 2" xfId="8435" xr:uid="{00000000-0005-0000-0000-0000E2200000}"/>
    <cellStyle name="Normal 2 49 22 3" xfId="8436" xr:uid="{00000000-0005-0000-0000-0000E3200000}"/>
    <cellStyle name="Normal 2 49 23" xfId="8437" xr:uid="{00000000-0005-0000-0000-0000E4200000}"/>
    <cellStyle name="Normal 2 49 23 2" xfId="8438" xr:uid="{00000000-0005-0000-0000-0000E5200000}"/>
    <cellStyle name="Normal 2 49 23 3" xfId="8439" xr:uid="{00000000-0005-0000-0000-0000E6200000}"/>
    <cellStyle name="Normal 2 49 24" xfId="8440" xr:uid="{00000000-0005-0000-0000-0000E7200000}"/>
    <cellStyle name="Normal 2 49 25" xfId="8441" xr:uid="{00000000-0005-0000-0000-0000E8200000}"/>
    <cellStyle name="Normal 2 49 3" xfId="8442" xr:uid="{00000000-0005-0000-0000-0000E9200000}"/>
    <cellStyle name="Normal 2 49 3 10" xfId="8443" xr:uid="{00000000-0005-0000-0000-0000EA200000}"/>
    <cellStyle name="Normal 2 49 3 10 2" xfId="8444" xr:uid="{00000000-0005-0000-0000-0000EB200000}"/>
    <cellStyle name="Normal 2 49 3 10 3" xfId="8445" xr:uid="{00000000-0005-0000-0000-0000EC200000}"/>
    <cellStyle name="Normal 2 49 3 11" xfId="8446" xr:uid="{00000000-0005-0000-0000-0000ED200000}"/>
    <cellStyle name="Normal 2 49 3 11 2" xfId="8447" xr:uid="{00000000-0005-0000-0000-0000EE200000}"/>
    <cellStyle name="Normal 2 49 3 11 3" xfId="8448" xr:uid="{00000000-0005-0000-0000-0000EF200000}"/>
    <cellStyle name="Normal 2 49 3 12" xfId="8449" xr:uid="{00000000-0005-0000-0000-0000F0200000}"/>
    <cellStyle name="Normal 2 49 3 12 2" xfId="8450" xr:uid="{00000000-0005-0000-0000-0000F1200000}"/>
    <cellStyle name="Normal 2 49 3 12 3" xfId="8451" xr:uid="{00000000-0005-0000-0000-0000F2200000}"/>
    <cellStyle name="Normal 2 49 3 13" xfId="8452" xr:uid="{00000000-0005-0000-0000-0000F3200000}"/>
    <cellStyle name="Normal 2 49 3 13 2" xfId="8453" xr:uid="{00000000-0005-0000-0000-0000F4200000}"/>
    <cellStyle name="Normal 2 49 3 13 3" xfId="8454" xr:uid="{00000000-0005-0000-0000-0000F5200000}"/>
    <cellStyle name="Normal 2 49 3 14" xfId="8455" xr:uid="{00000000-0005-0000-0000-0000F6200000}"/>
    <cellStyle name="Normal 2 49 3 14 2" xfId="8456" xr:uid="{00000000-0005-0000-0000-0000F7200000}"/>
    <cellStyle name="Normal 2 49 3 14 3" xfId="8457" xr:uid="{00000000-0005-0000-0000-0000F8200000}"/>
    <cellStyle name="Normal 2 49 3 15" xfId="8458" xr:uid="{00000000-0005-0000-0000-0000F9200000}"/>
    <cellStyle name="Normal 2 49 3 15 2" xfId="8459" xr:uid="{00000000-0005-0000-0000-0000FA200000}"/>
    <cellStyle name="Normal 2 49 3 15 3" xfId="8460" xr:uid="{00000000-0005-0000-0000-0000FB200000}"/>
    <cellStyle name="Normal 2 49 3 16" xfId="8461" xr:uid="{00000000-0005-0000-0000-0000FC200000}"/>
    <cellStyle name="Normal 2 49 3 17" xfId="8462" xr:uid="{00000000-0005-0000-0000-0000FD200000}"/>
    <cellStyle name="Normal 2 49 3 2" xfId="8463" xr:uid="{00000000-0005-0000-0000-0000FE200000}"/>
    <cellStyle name="Normal 2 49 3 2 10" xfId="8464" xr:uid="{00000000-0005-0000-0000-0000FF200000}"/>
    <cellStyle name="Normal 2 49 3 2 10 2" xfId="8465" xr:uid="{00000000-0005-0000-0000-000000210000}"/>
    <cellStyle name="Normal 2 49 3 2 10 3" xfId="8466" xr:uid="{00000000-0005-0000-0000-000001210000}"/>
    <cellStyle name="Normal 2 49 3 2 11" xfId="8467" xr:uid="{00000000-0005-0000-0000-000002210000}"/>
    <cellStyle name="Normal 2 49 3 2 11 2" xfId="8468" xr:uid="{00000000-0005-0000-0000-000003210000}"/>
    <cellStyle name="Normal 2 49 3 2 11 3" xfId="8469" xr:uid="{00000000-0005-0000-0000-000004210000}"/>
    <cellStyle name="Normal 2 49 3 2 12" xfId="8470" xr:uid="{00000000-0005-0000-0000-000005210000}"/>
    <cellStyle name="Normal 2 49 3 2 12 2" xfId="8471" xr:uid="{00000000-0005-0000-0000-000006210000}"/>
    <cellStyle name="Normal 2 49 3 2 12 3" xfId="8472" xr:uid="{00000000-0005-0000-0000-000007210000}"/>
    <cellStyle name="Normal 2 49 3 2 13" xfId="8473" xr:uid="{00000000-0005-0000-0000-000008210000}"/>
    <cellStyle name="Normal 2 49 3 2 13 2" xfId="8474" xr:uid="{00000000-0005-0000-0000-000009210000}"/>
    <cellStyle name="Normal 2 49 3 2 13 3" xfId="8475" xr:uid="{00000000-0005-0000-0000-00000A210000}"/>
    <cellStyle name="Normal 2 49 3 2 14" xfId="8476" xr:uid="{00000000-0005-0000-0000-00000B210000}"/>
    <cellStyle name="Normal 2 49 3 2 14 2" xfId="8477" xr:uid="{00000000-0005-0000-0000-00000C210000}"/>
    <cellStyle name="Normal 2 49 3 2 14 3" xfId="8478" xr:uid="{00000000-0005-0000-0000-00000D210000}"/>
    <cellStyle name="Normal 2 49 3 2 15" xfId="8479" xr:uid="{00000000-0005-0000-0000-00000E210000}"/>
    <cellStyle name="Normal 2 49 3 2 16" xfId="8480" xr:uid="{00000000-0005-0000-0000-00000F210000}"/>
    <cellStyle name="Normal 2 49 3 2 2" xfId="8481" xr:uid="{00000000-0005-0000-0000-000010210000}"/>
    <cellStyle name="Normal 2 49 3 2 2 2" xfId="8482" xr:uid="{00000000-0005-0000-0000-000011210000}"/>
    <cellStyle name="Normal 2 49 3 2 2 3" xfId="8483" xr:uid="{00000000-0005-0000-0000-000012210000}"/>
    <cellStyle name="Normal 2 49 3 2 3" xfId="8484" xr:uid="{00000000-0005-0000-0000-000013210000}"/>
    <cellStyle name="Normal 2 49 3 2 3 2" xfId="8485" xr:uid="{00000000-0005-0000-0000-000014210000}"/>
    <cellStyle name="Normal 2 49 3 2 3 3" xfId="8486" xr:uid="{00000000-0005-0000-0000-000015210000}"/>
    <cellStyle name="Normal 2 49 3 2 4" xfId="8487" xr:uid="{00000000-0005-0000-0000-000016210000}"/>
    <cellStyle name="Normal 2 49 3 2 4 2" xfId="8488" xr:uid="{00000000-0005-0000-0000-000017210000}"/>
    <cellStyle name="Normal 2 49 3 2 4 3" xfId="8489" xr:uid="{00000000-0005-0000-0000-000018210000}"/>
    <cellStyle name="Normal 2 49 3 2 5" xfId="8490" xr:uid="{00000000-0005-0000-0000-000019210000}"/>
    <cellStyle name="Normal 2 49 3 2 5 2" xfId="8491" xr:uid="{00000000-0005-0000-0000-00001A210000}"/>
    <cellStyle name="Normal 2 49 3 2 5 3" xfId="8492" xr:uid="{00000000-0005-0000-0000-00001B210000}"/>
    <cellStyle name="Normal 2 49 3 2 6" xfId="8493" xr:uid="{00000000-0005-0000-0000-00001C210000}"/>
    <cellStyle name="Normal 2 49 3 2 6 2" xfId="8494" xr:uid="{00000000-0005-0000-0000-00001D210000}"/>
    <cellStyle name="Normal 2 49 3 2 6 3" xfId="8495" xr:uid="{00000000-0005-0000-0000-00001E210000}"/>
    <cellStyle name="Normal 2 49 3 2 7" xfId="8496" xr:uid="{00000000-0005-0000-0000-00001F210000}"/>
    <cellStyle name="Normal 2 49 3 2 7 2" xfId="8497" xr:uid="{00000000-0005-0000-0000-000020210000}"/>
    <cellStyle name="Normal 2 49 3 2 7 3" xfId="8498" xr:uid="{00000000-0005-0000-0000-000021210000}"/>
    <cellStyle name="Normal 2 49 3 2 8" xfId="8499" xr:uid="{00000000-0005-0000-0000-000022210000}"/>
    <cellStyle name="Normal 2 49 3 2 8 2" xfId="8500" xr:uid="{00000000-0005-0000-0000-000023210000}"/>
    <cellStyle name="Normal 2 49 3 2 8 3" xfId="8501" xr:uid="{00000000-0005-0000-0000-000024210000}"/>
    <cellStyle name="Normal 2 49 3 2 9" xfId="8502" xr:uid="{00000000-0005-0000-0000-000025210000}"/>
    <cellStyle name="Normal 2 49 3 2 9 2" xfId="8503" xr:uid="{00000000-0005-0000-0000-000026210000}"/>
    <cellStyle name="Normal 2 49 3 2 9 3" xfId="8504" xr:uid="{00000000-0005-0000-0000-000027210000}"/>
    <cellStyle name="Normal 2 49 3 3" xfId="8505" xr:uid="{00000000-0005-0000-0000-000028210000}"/>
    <cellStyle name="Normal 2 49 3 3 2" xfId="8506" xr:uid="{00000000-0005-0000-0000-000029210000}"/>
    <cellStyle name="Normal 2 49 3 3 3" xfId="8507" xr:uid="{00000000-0005-0000-0000-00002A210000}"/>
    <cellStyle name="Normal 2 49 3 4" xfId="8508" xr:uid="{00000000-0005-0000-0000-00002B210000}"/>
    <cellStyle name="Normal 2 49 3 4 2" xfId="8509" xr:uid="{00000000-0005-0000-0000-00002C210000}"/>
    <cellStyle name="Normal 2 49 3 4 3" xfId="8510" xr:uid="{00000000-0005-0000-0000-00002D210000}"/>
    <cellStyle name="Normal 2 49 3 5" xfId="8511" xr:uid="{00000000-0005-0000-0000-00002E210000}"/>
    <cellStyle name="Normal 2 49 3 5 2" xfId="8512" xr:uid="{00000000-0005-0000-0000-00002F210000}"/>
    <cellStyle name="Normal 2 49 3 5 3" xfId="8513" xr:uid="{00000000-0005-0000-0000-000030210000}"/>
    <cellStyle name="Normal 2 49 3 6" xfId="8514" xr:uid="{00000000-0005-0000-0000-000031210000}"/>
    <cellStyle name="Normal 2 49 3 6 2" xfId="8515" xr:uid="{00000000-0005-0000-0000-000032210000}"/>
    <cellStyle name="Normal 2 49 3 6 3" xfId="8516" xr:uid="{00000000-0005-0000-0000-000033210000}"/>
    <cellStyle name="Normal 2 49 3 7" xfId="8517" xr:uid="{00000000-0005-0000-0000-000034210000}"/>
    <cellStyle name="Normal 2 49 3 7 2" xfId="8518" xr:uid="{00000000-0005-0000-0000-000035210000}"/>
    <cellStyle name="Normal 2 49 3 7 3" xfId="8519" xr:uid="{00000000-0005-0000-0000-000036210000}"/>
    <cellStyle name="Normal 2 49 3 8" xfId="8520" xr:uid="{00000000-0005-0000-0000-000037210000}"/>
    <cellStyle name="Normal 2 49 3 8 2" xfId="8521" xr:uid="{00000000-0005-0000-0000-000038210000}"/>
    <cellStyle name="Normal 2 49 3 8 3" xfId="8522" xr:uid="{00000000-0005-0000-0000-000039210000}"/>
    <cellStyle name="Normal 2 49 3 9" xfId="8523" xr:uid="{00000000-0005-0000-0000-00003A210000}"/>
    <cellStyle name="Normal 2 49 3 9 2" xfId="8524" xr:uid="{00000000-0005-0000-0000-00003B210000}"/>
    <cellStyle name="Normal 2 49 3 9 3" xfId="8525" xr:uid="{00000000-0005-0000-0000-00003C210000}"/>
    <cellStyle name="Normal 2 49 4" xfId="8526" xr:uid="{00000000-0005-0000-0000-00003D210000}"/>
    <cellStyle name="Normal 2 49 4 10" xfId="8527" xr:uid="{00000000-0005-0000-0000-00003E210000}"/>
    <cellStyle name="Normal 2 49 4 10 2" xfId="8528" xr:uid="{00000000-0005-0000-0000-00003F210000}"/>
    <cellStyle name="Normal 2 49 4 10 3" xfId="8529" xr:uid="{00000000-0005-0000-0000-000040210000}"/>
    <cellStyle name="Normal 2 49 4 11" xfId="8530" xr:uid="{00000000-0005-0000-0000-000041210000}"/>
    <cellStyle name="Normal 2 49 4 11 2" xfId="8531" xr:uid="{00000000-0005-0000-0000-000042210000}"/>
    <cellStyle name="Normal 2 49 4 11 3" xfId="8532" xr:uid="{00000000-0005-0000-0000-000043210000}"/>
    <cellStyle name="Normal 2 49 4 12" xfId="8533" xr:uid="{00000000-0005-0000-0000-000044210000}"/>
    <cellStyle name="Normal 2 49 4 12 2" xfId="8534" xr:uid="{00000000-0005-0000-0000-000045210000}"/>
    <cellStyle name="Normal 2 49 4 12 3" xfId="8535" xr:uid="{00000000-0005-0000-0000-000046210000}"/>
    <cellStyle name="Normal 2 49 4 13" xfId="8536" xr:uid="{00000000-0005-0000-0000-000047210000}"/>
    <cellStyle name="Normal 2 49 4 13 2" xfId="8537" xr:uid="{00000000-0005-0000-0000-000048210000}"/>
    <cellStyle name="Normal 2 49 4 13 3" xfId="8538" xr:uid="{00000000-0005-0000-0000-000049210000}"/>
    <cellStyle name="Normal 2 49 4 14" xfId="8539" xr:uid="{00000000-0005-0000-0000-00004A210000}"/>
    <cellStyle name="Normal 2 49 4 14 2" xfId="8540" xr:uid="{00000000-0005-0000-0000-00004B210000}"/>
    <cellStyle name="Normal 2 49 4 14 3" xfId="8541" xr:uid="{00000000-0005-0000-0000-00004C210000}"/>
    <cellStyle name="Normal 2 49 4 15" xfId="8542" xr:uid="{00000000-0005-0000-0000-00004D210000}"/>
    <cellStyle name="Normal 2 49 4 15 2" xfId="8543" xr:uid="{00000000-0005-0000-0000-00004E210000}"/>
    <cellStyle name="Normal 2 49 4 15 3" xfId="8544" xr:uid="{00000000-0005-0000-0000-00004F210000}"/>
    <cellStyle name="Normal 2 49 4 16" xfId="8545" xr:uid="{00000000-0005-0000-0000-000050210000}"/>
    <cellStyle name="Normal 2 49 4 17" xfId="8546" xr:uid="{00000000-0005-0000-0000-000051210000}"/>
    <cellStyle name="Normal 2 49 4 2" xfId="8547" xr:uid="{00000000-0005-0000-0000-000052210000}"/>
    <cellStyle name="Normal 2 49 4 2 10" xfId="8548" xr:uid="{00000000-0005-0000-0000-000053210000}"/>
    <cellStyle name="Normal 2 49 4 2 10 2" xfId="8549" xr:uid="{00000000-0005-0000-0000-000054210000}"/>
    <cellStyle name="Normal 2 49 4 2 10 3" xfId="8550" xr:uid="{00000000-0005-0000-0000-000055210000}"/>
    <cellStyle name="Normal 2 49 4 2 11" xfId="8551" xr:uid="{00000000-0005-0000-0000-000056210000}"/>
    <cellStyle name="Normal 2 49 4 2 11 2" xfId="8552" xr:uid="{00000000-0005-0000-0000-000057210000}"/>
    <cellStyle name="Normal 2 49 4 2 11 3" xfId="8553" xr:uid="{00000000-0005-0000-0000-000058210000}"/>
    <cellStyle name="Normal 2 49 4 2 12" xfId="8554" xr:uid="{00000000-0005-0000-0000-000059210000}"/>
    <cellStyle name="Normal 2 49 4 2 12 2" xfId="8555" xr:uid="{00000000-0005-0000-0000-00005A210000}"/>
    <cellStyle name="Normal 2 49 4 2 12 3" xfId="8556" xr:uid="{00000000-0005-0000-0000-00005B210000}"/>
    <cellStyle name="Normal 2 49 4 2 13" xfId="8557" xr:uid="{00000000-0005-0000-0000-00005C210000}"/>
    <cellStyle name="Normal 2 49 4 2 13 2" xfId="8558" xr:uid="{00000000-0005-0000-0000-00005D210000}"/>
    <cellStyle name="Normal 2 49 4 2 13 3" xfId="8559" xr:uid="{00000000-0005-0000-0000-00005E210000}"/>
    <cellStyle name="Normal 2 49 4 2 14" xfId="8560" xr:uid="{00000000-0005-0000-0000-00005F210000}"/>
    <cellStyle name="Normal 2 49 4 2 14 2" xfId="8561" xr:uid="{00000000-0005-0000-0000-000060210000}"/>
    <cellStyle name="Normal 2 49 4 2 14 3" xfId="8562" xr:uid="{00000000-0005-0000-0000-000061210000}"/>
    <cellStyle name="Normal 2 49 4 2 15" xfId="8563" xr:uid="{00000000-0005-0000-0000-000062210000}"/>
    <cellStyle name="Normal 2 49 4 2 16" xfId="8564" xr:uid="{00000000-0005-0000-0000-000063210000}"/>
    <cellStyle name="Normal 2 49 4 2 2" xfId="8565" xr:uid="{00000000-0005-0000-0000-000064210000}"/>
    <cellStyle name="Normal 2 49 4 2 2 2" xfId="8566" xr:uid="{00000000-0005-0000-0000-000065210000}"/>
    <cellStyle name="Normal 2 49 4 2 2 3" xfId="8567" xr:uid="{00000000-0005-0000-0000-000066210000}"/>
    <cellStyle name="Normal 2 49 4 2 3" xfId="8568" xr:uid="{00000000-0005-0000-0000-000067210000}"/>
    <cellStyle name="Normal 2 49 4 2 3 2" xfId="8569" xr:uid="{00000000-0005-0000-0000-000068210000}"/>
    <cellStyle name="Normal 2 49 4 2 3 3" xfId="8570" xr:uid="{00000000-0005-0000-0000-000069210000}"/>
    <cellStyle name="Normal 2 49 4 2 4" xfId="8571" xr:uid="{00000000-0005-0000-0000-00006A210000}"/>
    <cellStyle name="Normal 2 49 4 2 4 2" xfId="8572" xr:uid="{00000000-0005-0000-0000-00006B210000}"/>
    <cellStyle name="Normal 2 49 4 2 4 3" xfId="8573" xr:uid="{00000000-0005-0000-0000-00006C210000}"/>
    <cellStyle name="Normal 2 49 4 2 5" xfId="8574" xr:uid="{00000000-0005-0000-0000-00006D210000}"/>
    <cellStyle name="Normal 2 49 4 2 5 2" xfId="8575" xr:uid="{00000000-0005-0000-0000-00006E210000}"/>
    <cellStyle name="Normal 2 49 4 2 5 3" xfId="8576" xr:uid="{00000000-0005-0000-0000-00006F210000}"/>
    <cellStyle name="Normal 2 49 4 2 6" xfId="8577" xr:uid="{00000000-0005-0000-0000-000070210000}"/>
    <cellStyle name="Normal 2 49 4 2 6 2" xfId="8578" xr:uid="{00000000-0005-0000-0000-000071210000}"/>
    <cellStyle name="Normal 2 49 4 2 6 3" xfId="8579" xr:uid="{00000000-0005-0000-0000-000072210000}"/>
    <cellStyle name="Normal 2 49 4 2 7" xfId="8580" xr:uid="{00000000-0005-0000-0000-000073210000}"/>
    <cellStyle name="Normal 2 49 4 2 7 2" xfId="8581" xr:uid="{00000000-0005-0000-0000-000074210000}"/>
    <cellStyle name="Normal 2 49 4 2 7 3" xfId="8582" xr:uid="{00000000-0005-0000-0000-000075210000}"/>
    <cellStyle name="Normal 2 49 4 2 8" xfId="8583" xr:uid="{00000000-0005-0000-0000-000076210000}"/>
    <cellStyle name="Normal 2 49 4 2 8 2" xfId="8584" xr:uid="{00000000-0005-0000-0000-000077210000}"/>
    <cellStyle name="Normal 2 49 4 2 8 3" xfId="8585" xr:uid="{00000000-0005-0000-0000-000078210000}"/>
    <cellStyle name="Normal 2 49 4 2 9" xfId="8586" xr:uid="{00000000-0005-0000-0000-000079210000}"/>
    <cellStyle name="Normal 2 49 4 2 9 2" xfId="8587" xr:uid="{00000000-0005-0000-0000-00007A210000}"/>
    <cellStyle name="Normal 2 49 4 2 9 3" xfId="8588" xr:uid="{00000000-0005-0000-0000-00007B210000}"/>
    <cellStyle name="Normal 2 49 4 3" xfId="8589" xr:uid="{00000000-0005-0000-0000-00007C210000}"/>
    <cellStyle name="Normal 2 49 4 3 2" xfId="8590" xr:uid="{00000000-0005-0000-0000-00007D210000}"/>
    <cellStyle name="Normal 2 49 4 3 3" xfId="8591" xr:uid="{00000000-0005-0000-0000-00007E210000}"/>
    <cellStyle name="Normal 2 49 4 4" xfId="8592" xr:uid="{00000000-0005-0000-0000-00007F210000}"/>
    <cellStyle name="Normal 2 49 4 4 2" xfId="8593" xr:uid="{00000000-0005-0000-0000-000080210000}"/>
    <cellStyle name="Normal 2 49 4 4 3" xfId="8594" xr:uid="{00000000-0005-0000-0000-000081210000}"/>
    <cellStyle name="Normal 2 49 4 5" xfId="8595" xr:uid="{00000000-0005-0000-0000-000082210000}"/>
    <cellStyle name="Normal 2 49 4 5 2" xfId="8596" xr:uid="{00000000-0005-0000-0000-000083210000}"/>
    <cellStyle name="Normal 2 49 4 5 3" xfId="8597" xr:uid="{00000000-0005-0000-0000-000084210000}"/>
    <cellStyle name="Normal 2 49 4 6" xfId="8598" xr:uid="{00000000-0005-0000-0000-000085210000}"/>
    <cellStyle name="Normal 2 49 4 6 2" xfId="8599" xr:uid="{00000000-0005-0000-0000-000086210000}"/>
    <cellStyle name="Normal 2 49 4 6 3" xfId="8600" xr:uid="{00000000-0005-0000-0000-000087210000}"/>
    <cellStyle name="Normal 2 49 4 7" xfId="8601" xr:uid="{00000000-0005-0000-0000-000088210000}"/>
    <cellStyle name="Normal 2 49 4 7 2" xfId="8602" xr:uid="{00000000-0005-0000-0000-000089210000}"/>
    <cellStyle name="Normal 2 49 4 7 3" xfId="8603" xr:uid="{00000000-0005-0000-0000-00008A210000}"/>
    <cellStyle name="Normal 2 49 4 8" xfId="8604" xr:uid="{00000000-0005-0000-0000-00008B210000}"/>
    <cellStyle name="Normal 2 49 4 8 2" xfId="8605" xr:uid="{00000000-0005-0000-0000-00008C210000}"/>
    <cellStyle name="Normal 2 49 4 8 3" xfId="8606" xr:uid="{00000000-0005-0000-0000-00008D210000}"/>
    <cellStyle name="Normal 2 49 4 9" xfId="8607" xr:uid="{00000000-0005-0000-0000-00008E210000}"/>
    <cellStyle name="Normal 2 49 4 9 2" xfId="8608" xr:uid="{00000000-0005-0000-0000-00008F210000}"/>
    <cellStyle name="Normal 2 49 4 9 3" xfId="8609" xr:uid="{00000000-0005-0000-0000-000090210000}"/>
    <cellStyle name="Normal 2 49 5" xfId="8610" xr:uid="{00000000-0005-0000-0000-000091210000}"/>
    <cellStyle name="Normal 2 49 5 10" xfId="8611" xr:uid="{00000000-0005-0000-0000-000092210000}"/>
    <cellStyle name="Normal 2 49 5 10 2" xfId="8612" xr:uid="{00000000-0005-0000-0000-000093210000}"/>
    <cellStyle name="Normal 2 49 5 10 3" xfId="8613" xr:uid="{00000000-0005-0000-0000-000094210000}"/>
    <cellStyle name="Normal 2 49 5 11" xfId="8614" xr:uid="{00000000-0005-0000-0000-000095210000}"/>
    <cellStyle name="Normal 2 49 5 11 2" xfId="8615" xr:uid="{00000000-0005-0000-0000-000096210000}"/>
    <cellStyle name="Normal 2 49 5 11 3" xfId="8616" xr:uid="{00000000-0005-0000-0000-000097210000}"/>
    <cellStyle name="Normal 2 49 5 12" xfId="8617" xr:uid="{00000000-0005-0000-0000-000098210000}"/>
    <cellStyle name="Normal 2 49 5 12 2" xfId="8618" xr:uid="{00000000-0005-0000-0000-000099210000}"/>
    <cellStyle name="Normal 2 49 5 12 3" xfId="8619" xr:uid="{00000000-0005-0000-0000-00009A210000}"/>
    <cellStyle name="Normal 2 49 5 13" xfId="8620" xr:uid="{00000000-0005-0000-0000-00009B210000}"/>
    <cellStyle name="Normal 2 49 5 13 2" xfId="8621" xr:uid="{00000000-0005-0000-0000-00009C210000}"/>
    <cellStyle name="Normal 2 49 5 13 3" xfId="8622" xr:uid="{00000000-0005-0000-0000-00009D210000}"/>
    <cellStyle name="Normal 2 49 5 14" xfId="8623" xr:uid="{00000000-0005-0000-0000-00009E210000}"/>
    <cellStyle name="Normal 2 49 5 14 2" xfId="8624" xr:uid="{00000000-0005-0000-0000-00009F210000}"/>
    <cellStyle name="Normal 2 49 5 14 3" xfId="8625" xr:uid="{00000000-0005-0000-0000-0000A0210000}"/>
    <cellStyle name="Normal 2 49 5 15" xfId="8626" xr:uid="{00000000-0005-0000-0000-0000A1210000}"/>
    <cellStyle name="Normal 2 49 5 16" xfId="8627" xr:uid="{00000000-0005-0000-0000-0000A2210000}"/>
    <cellStyle name="Normal 2 49 5 2" xfId="8628" xr:uid="{00000000-0005-0000-0000-0000A3210000}"/>
    <cellStyle name="Normal 2 49 5 2 2" xfId="8629" xr:uid="{00000000-0005-0000-0000-0000A4210000}"/>
    <cellStyle name="Normal 2 49 5 2 3" xfId="8630" xr:uid="{00000000-0005-0000-0000-0000A5210000}"/>
    <cellStyle name="Normal 2 49 5 3" xfId="8631" xr:uid="{00000000-0005-0000-0000-0000A6210000}"/>
    <cellStyle name="Normal 2 49 5 3 2" xfId="8632" xr:uid="{00000000-0005-0000-0000-0000A7210000}"/>
    <cellStyle name="Normal 2 49 5 3 3" xfId="8633" xr:uid="{00000000-0005-0000-0000-0000A8210000}"/>
    <cellStyle name="Normal 2 49 5 4" xfId="8634" xr:uid="{00000000-0005-0000-0000-0000A9210000}"/>
    <cellStyle name="Normal 2 49 5 4 2" xfId="8635" xr:uid="{00000000-0005-0000-0000-0000AA210000}"/>
    <cellStyle name="Normal 2 49 5 4 3" xfId="8636" xr:uid="{00000000-0005-0000-0000-0000AB210000}"/>
    <cellStyle name="Normal 2 49 5 5" xfId="8637" xr:uid="{00000000-0005-0000-0000-0000AC210000}"/>
    <cellStyle name="Normal 2 49 5 5 2" xfId="8638" xr:uid="{00000000-0005-0000-0000-0000AD210000}"/>
    <cellStyle name="Normal 2 49 5 5 3" xfId="8639" xr:uid="{00000000-0005-0000-0000-0000AE210000}"/>
    <cellStyle name="Normal 2 49 5 6" xfId="8640" xr:uid="{00000000-0005-0000-0000-0000AF210000}"/>
    <cellStyle name="Normal 2 49 5 6 2" xfId="8641" xr:uid="{00000000-0005-0000-0000-0000B0210000}"/>
    <cellStyle name="Normal 2 49 5 6 3" xfId="8642" xr:uid="{00000000-0005-0000-0000-0000B1210000}"/>
    <cellStyle name="Normal 2 49 5 7" xfId="8643" xr:uid="{00000000-0005-0000-0000-0000B2210000}"/>
    <cellStyle name="Normal 2 49 5 7 2" xfId="8644" xr:uid="{00000000-0005-0000-0000-0000B3210000}"/>
    <cellStyle name="Normal 2 49 5 7 3" xfId="8645" xr:uid="{00000000-0005-0000-0000-0000B4210000}"/>
    <cellStyle name="Normal 2 49 5 8" xfId="8646" xr:uid="{00000000-0005-0000-0000-0000B5210000}"/>
    <cellStyle name="Normal 2 49 5 8 2" xfId="8647" xr:uid="{00000000-0005-0000-0000-0000B6210000}"/>
    <cellStyle name="Normal 2 49 5 8 3" xfId="8648" xr:uid="{00000000-0005-0000-0000-0000B7210000}"/>
    <cellStyle name="Normal 2 49 5 9" xfId="8649" xr:uid="{00000000-0005-0000-0000-0000B8210000}"/>
    <cellStyle name="Normal 2 49 5 9 2" xfId="8650" xr:uid="{00000000-0005-0000-0000-0000B9210000}"/>
    <cellStyle name="Normal 2 49 5 9 3" xfId="8651" xr:uid="{00000000-0005-0000-0000-0000BA210000}"/>
    <cellStyle name="Normal 2 49 6" xfId="8652" xr:uid="{00000000-0005-0000-0000-0000BB210000}"/>
    <cellStyle name="Normal 2 49 6 10" xfId="8653" xr:uid="{00000000-0005-0000-0000-0000BC210000}"/>
    <cellStyle name="Normal 2 49 6 10 2" xfId="8654" xr:uid="{00000000-0005-0000-0000-0000BD210000}"/>
    <cellStyle name="Normal 2 49 6 10 3" xfId="8655" xr:uid="{00000000-0005-0000-0000-0000BE210000}"/>
    <cellStyle name="Normal 2 49 6 11" xfId="8656" xr:uid="{00000000-0005-0000-0000-0000BF210000}"/>
    <cellStyle name="Normal 2 49 6 11 2" xfId="8657" xr:uid="{00000000-0005-0000-0000-0000C0210000}"/>
    <cellStyle name="Normal 2 49 6 11 3" xfId="8658" xr:uid="{00000000-0005-0000-0000-0000C1210000}"/>
    <cellStyle name="Normal 2 49 6 12" xfId="8659" xr:uid="{00000000-0005-0000-0000-0000C2210000}"/>
    <cellStyle name="Normal 2 49 6 12 2" xfId="8660" xr:uid="{00000000-0005-0000-0000-0000C3210000}"/>
    <cellStyle name="Normal 2 49 6 12 3" xfId="8661" xr:uid="{00000000-0005-0000-0000-0000C4210000}"/>
    <cellStyle name="Normal 2 49 6 13" xfId="8662" xr:uid="{00000000-0005-0000-0000-0000C5210000}"/>
    <cellStyle name="Normal 2 49 6 13 2" xfId="8663" xr:uid="{00000000-0005-0000-0000-0000C6210000}"/>
    <cellStyle name="Normal 2 49 6 13 3" xfId="8664" xr:uid="{00000000-0005-0000-0000-0000C7210000}"/>
    <cellStyle name="Normal 2 49 6 14" xfId="8665" xr:uid="{00000000-0005-0000-0000-0000C8210000}"/>
    <cellStyle name="Normal 2 49 6 14 2" xfId="8666" xr:uid="{00000000-0005-0000-0000-0000C9210000}"/>
    <cellStyle name="Normal 2 49 6 14 3" xfId="8667" xr:uid="{00000000-0005-0000-0000-0000CA210000}"/>
    <cellStyle name="Normal 2 49 6 15" xfId="8668" xr:uid="{00000000-0005-0000-0000-0000CB210000}"/>
    <cellStyle name="Normal 2 49 6 16" xfId="8669" xr:uid="{00000000-0005-0000-0000-0000CC210000}"/>
    <cellStyle name="Normal 2 49 6 2" xfId="8670" xr:uid="{00000000-0005-0000-0000-0000CD210000}"/>
    <cellStyle name="Normal 2 49 6 2 2" xfId="8671" xr:uid="{00000000-0005-0000-0000-0000CE210000}"/>
    <cellStyle name="Normal 2 49 6 2 3" xfId="8672" xr:uid="{00000000-0005-0000-0000-0000CF210000}"/>
    <cellStyle name="Normal 2 49 6 3" xfId="8673" xr:uid="{00000000-0005-0000-0000-0000D0210000}"/>
    <cellStyle name="Normal 2 49 6 3 2" xfId="8674" xr:uid="{00000000-0005-0000-0000-0000D1210000}"/>
    <cellStyle name="Normal 2 49 6 3 3" xfId="8675" xr:uid="{00000000-0005-0000-0000-0000D2210000}"/>
    <cellStyle name="Normal 2 49 6 4" xfId="8676" xr:uid="{00000000-0005-0000-0000-0000D3210000}"/>
    <cellStyle name="Normal 2 49 6 4 2" xfId="8677" xr:uid="{00000000-0005-0000-0000-0000D4210000}"/>
    <cellStyle name="Normal 2 49 6 4 3" xfId="8678" xr:uid="{00000000-0005-0000-0000-0000D5210000}"/>
    <cellStyle name="Normal 2 49 6 5" xfId="8679" xr:uid="{00000000-0005-0000-0000-0000D6210000}"/>
    <cellStyle name="Normal 2 49 6 5 2" xfId="8680" xr:uid="{00000000-0005-0000-0000-0000D7210000}"/>
    <cellStyle name="Normal 2 49 6 5 3" xfId="8681" xr:uid="{00000000-0005-0000-0000-0000D8210000}"/>
    <cellStyle name="Normal 2 49 6 6" xfId="8682" xr:uid="{00000000-0005-0000-0000-0000D9210000}"/>
    <cellStyle name="Normal 2 49 6 6 2" xfId="8683" xr:uid="{00000000-0005-0000-0000-0000DA210000}"/>
    <cellStyle name="Normal 2 49 6 6 3" xfId="8684" xr:uid="{00000000-0005-0000-0000-0000DB210000}"/>
    <cellStyle name="Normal 2 49 6 7" xfId="8685" xr:uid="{00000000-0005-0000-0000-0000DC210000}"/>
    <cellStyle name="Normal 2 49 6 7 2" xfId="8686" xr:uid="{00000000-0005-0000-0000-0000DD210000}"/>
    <cellStyle name="Normal 2 49 6 7 3" xfId="8687" xr:uid="{00000000-0005-0000-0000-0000DE210000}"/>
    <cellStyle name="Normal 2 49 6 8" xfId="8688" xr:uid="{00000000-0005-0000-0000-0000DF210000}"/>
    <cellStyle name="Normal 2 49 6 8 2" xfId="8689" xr:uid="{00000000-0005-0000-0000-0000E0210000}"/>
    <cellStyle name="Normal 2 49 6 8 3" xfId="8690" xr:uid="{00000000-0005-0000-0000-0000E1210000}"/>
    <cellStyle name="Normal 2 49 6 9" xfId="8691" xr:uid="{00000000-0005-0000-0000-0000E2210000}"/>
    <cellStyle name="Normal 2 49 6 9 2" xfId="8692" xr:uid="{00000000-0005-0000-0000-0000E3210000}"/>
    <cellStyle name="Normal 2 49 6 9 3" xfId="8693" xr:uid="{00000000-0005-0000-0000-0000E4210000}"/>
    <cellStyle name="Normal 2 49 7" xfId="8694" xr:uid="{00000000-0005-0000-0000-0000E5210000}"/>
    <cellStyle name="Normal 2 49 7 10" xfId="8695" xr:uid="{00000000-0005-0000-0000-0000E6210000}"/>
    <cellStyle name="Normal 2 49 7 10 2" xfId="8696" xr:uid="{00000000-0005-0000-0000-0000E7210000}"/>
    <cellStyle name="Normal 2 49 7 10 3" xfId="8697" xr:uid="{00000000-0005-0000-0000-0000E8210000}"/>
    <cellStyle name="Normal 2 49 7 11" xfId="8698" xr:uid="{00000000-0005-0000-0000-0000E9210000}"/>
    <cellStyle name="Normal 2 49 7 11 2" xfId="8699" xr:uid="{00000000-0005-0000-0000-0000EA210000}"/>
    <cellStyle name="Normal 2 49 7 11 3" xfId="8700" xr:uid="{00000000-0005-0000-0000-0000EB210000}"/>
    <cellStyle name="Normal 2 49 7 12" xfId="8701" xr:uid="{00000000-0005-0000-0000-0000EC210000}"/>
    <cellStyle name="Normal 2 49 7 12 2" xfId="8702" xr:uid="{00000000-0005-0000-0000-0000ED210000}"/>
    <cellStyle name="Normal 2 49 7 12 3" xfId="8703" xr:uid="{00000000-0005-0000-0000-0000EE210000}"/>
    <cellStyle name="Normal 2 49 7 13" xfId="8704" xr:uid="{00000000-0005-0000-0000-0000EF210000}"/>
    <cellStyle name="Normal 2 49 7 13 2" xfId="8705" xr:uid="{00000000-0005-0000-0000-0000F0210000}"/>
    <cellStyle name="Normal 2 49 7 13 3" xfId="8706" xr:uid="{00000000-0005-0000-0000-0000F1210000}"/>
    <cellStyle name="Normal 2 49 7 14" xfId="8707" xr:uid="{00000000-0005-0000-0000-0000F2210000}"/>
    <cellStyle name="Normal 2 49 7 14 2" xfId="8708" xr:uid="{00000000-0005-0000-0000-0000F3210000}"/>
    <cellStyle name="Normal 2 49 7 14 3" xfId="8709" xr:uid="{00000000-0005-0000-0000-0000F4210000}"/>
    <cellStyle name="Normal 2 49 7 15" xfId="8710" xr:uid="{00000000-0005-0000-0000-0000F5210000}"/>
    <cellStyle name="Normal 2 49 7 16" xfId="8711" xr:uid="{00000000-0005-0000-0000-0000F6210000}"/>
    <cellStyle name="Normal 2 49 7 2" xfId="8712" xr:uid="{00000000-0005-0000-0000-0000F7210000}"/>
    <cellStyle name="Normal 2 49 7 2 2" xfId="8713" xr:uid="{00000000-0005-0000-0000-0000F8210000}"/>
    <cellStyle name="Normal 2 49 7 2 3" xfId="8714" xr:uid="{00000000-0005-0000-0000-0000F9210000}"/>
    <cellStyle name="Normal 2 49 7 3" xfId="8715" xr:uid="{00000000-0005-0000-0000-0000FA210000}"/>
    <cellStyle name="Normal 2 49 7 3 2" xfId="8716" xr:uid="{00000000-0005-0000-0000-0000FB210000}"/>
    <cellStyle name="Normal 2 49 7 3 3" xfId="8717" xr:uid="{00000000-0005-0000-0000-0000FC210000}"/>
    <cellStyle name="Normal 2 49 7 4" xfId="8718" xr:uid="{00000000-0005-0000-0000-0000FD210000}"/>
    <cellStyle name="Normal 2 49 7 4 2" xfId="8719" xr:uid="{00000000-0005-0000-0000-0000FE210000}"/>
    <cellStyle name="Normal 2 49 7 4 3" xfId="8720" xr:uid="{00000000-0005-0000-0000-0000FF210000}"/>
    <cellStyle name="Normal 2 49 7 5" xfId="8721" xr:uid="{00000000-0005-0000-0000-000000220000}"/>
    <cellStyle name="Normal 2 49 7 5 2" xfId="8722" xr:uid="{00000000-0005-0000-0000-000001220000}"/>
    <cellStyle name="Normal 2 49 7 5 3" xfId="8723" xr:uid="{00000000-0005-0000-0000-000002220000}"/>
    <cellStyle name="Normal 2 49 7 6" xfId="8724" xr:uid="{00000000-0005-0000-0000-000003220000}"/>
    <cellStyle name="Normal 2 49 7 6 2" xfId="8725" xr:uid="{00000000-0005-0000-0000-000004220000}"/>
    <cellStyle name="Normal 2 49 7 6 3" xfId="8726" xr:uid="{00000000-0005-0000-0000-000005220000}"/>
    <cellStyle name="Normal 2 49 7 7" xfId="8727" xr:uid="{00000000-0005-0000-0000-000006220000}"/>
    <cellStyle name="Normal 2 49 7 7 2" xfId="8728" xr:uid="{00000000-0005-0000-0000-000007220000}"/>
    <cellStyle name="Normal 2 49 7 7 3" xfId="8729" xr:uid="{00000000-0005-0000-0000-000008220000}"/>
    <cellStyle name="Normal 2 49 7 8" xfId="8730" xr:uid="{00000000-0005-0000-0000-000009220000}"/>
    <cellStyle name="Normal 2 49 7 8 2" xfId="8731" xr:uid="{00000000-0005-0000-0000-00000A220000}"/>
    <cellStyle name="Normal 2 49 7 8 3" xfId="8732" xr:uid="{00000000-0005-0000-0000-00000B220000}"/>
    <cellStyle name="Normal 2 49 7 9" xfId="8733" xr:uid="{00000000-0005-0000-0000-00000C220000}"/>
    <cellStyle name="Normal 2 49 7 9 2" xfId="8734" xr:uid="{00000000-0005-0000-0000-00000D220000}"/>
    <cellStyle name="Normal 2 49 7 9 3" xfId="8735" xr:uid="{00000000-0005-0000-0000-00000E220000}"/>
    <cellStyle name="Normal 2 49 8" xfId="8736" xr:uid="{00000000-0005-0000-0000-00000F220000}"/>
    <cellStyle name="Normal 2 49 8 10" xfId="8737" xr:uid="{00000000-0005-0000-0000-000010220000}"/>
    <cellStyle name="Normal 2 49 8 10 2" xfId="8738" xr:uid="{00000000-0005-0000-0000-000011220000}"/>
    <cellStyle name="Normal 2 49 8 10 3" xfId="8739" xr:uid="{00000000-0005-0000-0000-000012220000}"/>
    <cellStyle name="Normal 2 49 8 11" xfId="8740" xr:uid="{00000000-0005-0000-0000-000013220000}"/>
    <cellStyle name="Normal 2 49 8 11 2" xfId="8741" xr:uid="{00000000-0005-0000-0000-000014220000}"/>
    <cellStyle name="Normal 2 49 8 11 3" xfId="8742" xr:uid="{00000000-0005-0000-0000-000015220000}"/>
    <cellStyle name="Normal 2 49 8 12" xfId="8743" xr:uid="{00000000-0005-0000-0000-000016220000}"/>
    <cellStyle name="Normal 2 49 8 12 2" xfId="8744" xr:uid="{00000000-0005-0000-0000-000017220000}"/>
    <cellStyle name="Normal 2 49 8 12 3" xfId="8745" xr:uid="{00000000-0005-0000-0000-000018220000}"/>
    <cellStyle name="Normal 2 49 8 13" xfId="8746" xr:uid="{00000000-0005-0000-0000-000019220000}"/>
    <cellStyle name="Normal 2 49 8 13 2" xfId="8747" xr:uid="{00000000-0005-0000-0000-00001A220000}"/>
    <cellStyle name="Normal 2 49 8 13 3" xfId="8748" xr:uid="{00000000-0005-0000-0000-00001B220000}"/>
    <cellStyle name="Normal 2 49 8 14" xfId="8749" xr:uid="{00000000-0005-0000-0000-00001C220000}"/>
    <cellStyle name="Normal 2 49 8 14 2" xfId="8750" xr:uid="{00000000-0005-0000-0000-00001D220000}"/>
    <cellStyle name="Normal 2 49 8 14 3" xfId="8751" xr:uid="{00000000-0005-0000-0000-00001E220000}"/>
    <cellStyle name="Normal 2 49 8 15" xfId="8752" xr:uid="{00000000-0005-0000-0000-00001F220000}"/>
    <cellStyle name="Normal 2 49 8 16" xfId="8753" xr:uid="{00000000-0005-0000-0000-000020220000}"/>
    <cellStyle name="Normal 2 49 8 2" xfId="8754" xr:uid="{00000000-0005-0000-0000-000021220000}"/>
    <cellStyle name="Normal 2 49 8 2 2" xfId="8755" xr:uid="{00000000-0005-0000-0000-000022220000}"/>
    <cellStyle name="Normal 2 49 8 2 3" xfId="8756" xr:uid="{00000000-0005-0000-0000-000023220000}"/>
    <cellStyle name="Normal 2 49 8 3" xfId="8757" xr:uid="{00000000-0005-0000-0000-000024220000}"/>
    <cellStyle name="Normal 2 49 8 3 2" xfId="8758" xr:uid="{00000000-0005-0000-0000-000025220000}"/>
    <cellStyle name="Normal 2 49 8 3 3" xfId="8759" xr:uid="{00000000-0005-0000-0000-000026220000}"/>
    <cellStyle name="Normal 2 49 8 4" xfId="8760" xr:uid="{00000000-0005-0000-0000-000027220000}"/>
    <cellStyle name="Normal 2 49 8 4 2" xfId="8761" xr:uid="{00000000-0005-0000-0000-000028220000}"/>
    <cellStyle name="Normal 2 49 8 4 3" xfId="8762" xr:uid="{00000000-0005-0000-0000-000029220000}"/>
    <cellStyle name="Normal 2 49 8 5" xfId="8763" xr:uid="{00000000-0005-0000-0000-00002A220000}"/>
    <cellStyle name="Normal 2 49 8 5 2" xfId="8764" xr:uid="{00000000-0005-0000-0000-00002B220000}"/>
    <cellStyle name="Normal 2 49 8 5 3" xfId="8765" xr:uid="{00000000-0005-0000-0000-00002C220000}"/>
    <cellStyle name="Normal 2 49 8 6" xfId="8766" xr:uid="{00000000-0005-0000-0000-00002D220000}"/>
    <cellStyle name="Normal 2 49 8 6 2" xfId="8767" xr:uid="{00000000-0005-0000-0000-00002E220000}"/>
    <cellStyle name="Normal 2 49 8 6 3" xfId="8768" xr:uid="{00000000-0005-0000-0000-00002F220000}"/>
    <cellStyle name="Normal 2 49 8 7" xfId="8769" xr:uid="{00000000-0005-0000-0000-000030220000}"/>
    <cellStyle name="Normal 2 49 8 7 2" xfId="8770" xr:uid="{00000000-0005-0000-0000-000031220000}"/>
    <cellStyle name="Normal 2 49 8 7 3" xfId="8771" xr:uid="{00000000-0005-0000-0000-000032220000}"/>
    <cellStyle name="Normal 2 49 8 8" xfId="8772" xr:uid="{00000000-0005-0000-0000-000033220000}"/>
    <cellStyle name="Normal 2 49 8 8 2" xfId="8773" xr:uid="{00000000-0005-0000-0000-000034220000}"/>
    <cellStyle name="Normal 2 49 8 8 3" xfId="8774" xr:uid="{00000000-0005-0000-0000-000035220000}"/>
    <cellStyle name="Normal 2 49 8 9" xfId="8775" xr:uid="{00000000-0005-0000-0000-000036220000}"/>
    <cellStyle name="Normal 2 49 8 9 2" xfId="8776" xr:uid="{00000000-0005-0000-0000-000037220000}"/>
    <cellStyle name="Normal 2 49 8 9 3" xfId="8777" xr:uid="{00000000-0005-0000-0000-000038220000}"/>
    <cellStyle name="Normal 2 49 9" xfId="8778" xr:uid="{00000000-0005-0000-0000-000039220000}"/>
    <cellStyle name="Normal 2 49 9 10" xfId="8779" xr:uid="{00000000-0005-0000-0000-00003A220000}"/>
    <cellStyle name="Normal 2 49 9 10 2" xfId="8780" xr:uid="{00000000-0005-0000-0000-00003B220000}"/>
    <cellStyle name="Normal 2 49 9 10 3" xfId="8781" xr:uid="{00000000-0005-0000-0000-00003C220000}"/>
    <cellStyle name="Normal 2 49 9 11" xfId="8782" xr:uid="{00000000-0005-0000-0000-00003D220000}"/>
    <cellStyle name="Normal 2 49 9 11 2" xfId="8783" xr:uid="{00000000-0005-0000-0000-00003E220000}"/>
    <cellStyle name="Normal 2 49 9 11 3" xfId="8784" xr:uid="{00000000-0005-0000-0000-00003F220000}"/>
    <cellStyle name="Normal 2 49 9 12" xfId="8785" xr:uid="{00000000-0005-0000-0000-000040220000}"/>
    <cellStyle name="Normal 2 49 9 12 2" xfId="8786" xr:uid="{00000000-0005-0000-0000-000041220000}"/>
    <cellStyle name="Normal 2 49 9 12 3" xfId="8787" xr:uid="{00000000-0005-0000-0000-000042220000}"/>
    <cellStyle name="Normal 2 49 9 13" xfId="8788" xr:uid="{00000000-0005-0000-0000-000043220000}"/>
    <cellStyle name="Normal 2 49 9 13 2" xfId="8789" xr:uid="{00000000-0005-0000-0000-000044220000}"/>
    <cellStyle name="Normal 2 49 9 13 3" xfId="8790" xr:uid="{00000000-0005-0000-0000-000045220000}"/>
    <cellStyle name="Normal 2 49 9 14" xfId="8791" xr:uid="{00000000-0005-0000-0000-000046220000}"/>
    <cellStyle name="Normal 2 49 9 14 2" xfId="8792" xr:uid="{00000000-0005-0000-0000-000047220000}"/>
    <cellStyle name="Normal 2 49 9 14 3" xfId="8793" xr:uid="{00000000-0005-0000-0000-000048220000}"/>
    <cellStyle name="Normal 2 49 9 15" xfId="8794" xr:uid="{00000000-0005-0000-0000-000049220000}"/>
    <cellStyle name="Normal 2 49 9 16" xfId="8795" xr:uid="{00000000-0005-0000-0000-00004A220000}"/>
    <cellStyle name="Normal 2 49 9 2" xfId="8796" xr:uid="{00000000-0005-0000-0000-00004B220000}"/>
    <cellStyle name="Normal 2 49 9 2 2" xfId="8797" xr:uid="{00000000-0005-0000-0000-00004C220000}"/>
    <cellStyle name="Normal 2 49 9 2 3" xfId="8798" xr:uid="{00000000-0005-0000-0000-00004D220000}"/>
    <cellStyle name="Normal 2 49 9 3" xfId="8799" xr:uid="{00000000-0005-0000-0000-00004E220000}"/>
    <cellStyle name="Normal 2 49 9 3 2" xfId="8800" xr:uid="{00000000-0005-0000-0000-00004F220000}"/>
    <cellStyle name="Normal 2 49 9 3 3" xfId="8801" xr:uid="{00000000-0005-0000-0000-000050220000}"/>
    <cellStyle name="Normal 2 49 9 4" xfId="8802" xr:uid="{00000000-0005-0000-0000-000051220000}"/>
    <cellStyle name="Normal 2 49 9 4 2" xfId="8803" xr:uid="{00000000-0005-0000-0000-000052220000}"/>
    <cellStyle name="Normal 2 49 9 4 3" xfId="8804" xr:uid="{00000000-0005-0000-0000-000053220000}"/>
    <cellStyle name="Normal 2 49 9 5" xfId="8805" xr:uid="{00000000-0005-0000-0000-000054220000}"/>
    <cellStyle name="Normal 2 49 9 5 2" xfId="8806" xr:uid="{00000000-0005-0000-0000-000055220000}"/>
    <cellStyle name="Normal 2 49 9 5 3" xfId="8807" xr:uid="{00000000-0005-0000-0000-000056220000}"/>
    <cellStyle name="Normal 2 49 9 6" xfId="8808" xr:uid="{00000000-0005-0000-0000-000057220000}"/>
    <cellStyle name="Normal 2 49 9 6 2" xfId="8809" xr:uid="{00000000-0005-0000-0000-000058220000}"/>
    <cellStyle name="Normal 2 49 9 6 3" xfId="8810" xr:uid="{00000000-0005-0000-0000-000059220000}"/>
    <cellStyle name="Normal 2 49 9 7" xfId="8811" xr:uid="{00000000-0005-0000-0000-00005A220000}"/>
    <cellStyle name="Normal 2 49 9 7 2" xfId="8812" xr:uid="{00000000-0005-0000-0000-00005B220000}"/>
    <cellStyle name="Normal 2 49 9 7 3" xfId="8813" xr:uid="{00000000-0005-0000-0000-00005C220000}"/>
    <cellStyle name="Normal 2 49 9 8" xfId="8814" xr:uid="{00000000-0005-0000-0000-00005D220000}"/>
    <cellStyle name="Normal 2 49 9 8 2" xfId="8815" xr:uid="{00000000-0005-0000-0000-00005E220000}"/>
    <cellStyle name="Normal 2 49 9 8 3" xfId="8816" xr:uid="{00000000-0005-0000-0000-00005F220000}"/>
    <cellStyle name="Normal 2 49 9 9" xfId="8817" xr:uid="{00000000-0005-0000-0000-000060220000}"/>
    <cellStyle name="Normal 2 49 9 9 2" xfId="8818" xr:uid="{00000000-0005-0000-0000-000061220000}"/>
    <cellStyle name="Normal 2 49 9 9 3" xfId="8819" xr:uid="{00000000-0005-0000-0000-000062220000}"/>
    <cellStyle name="Normal 2 5" xfId="8820" xr:uid="{00000000-0005-0000-0000-000063220000}"/>
    <cellStyle name="Normal 2 5 2" xfId="8821" xr:uid="{00000000-0005-0000-0000-000064220000}"/>
    <cellStyle name="Normal 2 5 2 2" xfId="8822" xr:uid="{00000000-0005-0000-0000-000065220000}"/>
    <cellStyle name="Normal 2 5 2 2 2" xfId="8823" xr:uid="{00000000-0005-0000-0000-000066220000}"/>
    <cellStyle name="Normal 2 5 2 3" xfId="8824" xr:uid="{00000000-0005-0000-0000-000067220000}"/>
    <cellStyle name="Normal 2 5 2 3 2" xfId="8825" xr:uid="{00000000-0005-0000-0000-000068220000}"/>
    <cellStyle name="Normal 2 5 2 4" xfId="8826" xr:uid="{00000000-0005-0000-0000-000069220000}"/>
    <cellStyle name="Normal 2 5 2 4 2" xfId="8827" xr:uid="{00000000-0005-0000-0000-00006A220000}"/>
    <cellStyle name="Normal 2 5 2 5" xfId="8828" xr:uid="{00000000-0005-0000-0000-00006B220000}"/>
    <cellStyle name="Normal 2 5 2 5 2" xfId="8829" xr:uid="{00000000-0005-0000-0000-00006C220000}"/>
    <cellStyle name="Normal 2 5 2 6" xfId="8830" xr:uid="{00000000-0005-0000-0000-00006D220000}"/>
    <cellStyle name="Normal 2 5 2 6 2" xfId="8831" xr:uid="{00000000-0005-0000-0000-00006E220000}"/>
    <cellStyle name="Normal 2 5 2 7" xfId="8832" xr:uid="{00000000-0005-0000-0000-00006F220000}"/>
    <cellStyle name="Normal 2 5 2 7 2" xfId="8833" xr:uid="{00000000-0005-0000-0000-000070220000}"/>
    <cellStyle name="Normal 2 5 3" xfId="8834" xr:uid="{00000000-0005-0000-0000-000071220000}"/>
    <cellStyle name="Normal 2 5 4" xfId="8835" xr:uid="{00000000-0005-0000-0000-000072220000}"/>
    <cellStyle name="Normal 2 5 5" xfId="8836" xr:uid="{00000000-0005-0000-0000-000073220000}"/>
    <cellStyle name="Normal 2 5 6" xfId="8837" xr:uid="{00000000-0005-0000-0000-000074220000}"/>
    <cellStyle name="Normal 2 5 7" xfId="8838" xr:uid="{00000000-0005-0000-0000-000075220000}"/>
    <cellStyle name="Normal 2 5 8" xfId="8839" xr:uid="{00000000-0005-0000-0000-000076220000}"/>
    <cellStyle name="Normal 2 50" xfId="8840" xr:uid="{00000000-0005-0000-0000-000077220000}"/>
    <cellStyle name="Normal 2 50 10" xfId="8841" xr:uid="{00000000-0005-0000-0000-000078220000}"/>
    <cellStyle name="Normal 2 50 10 10" xfId="8842" xr:uid="{00000000-0005-0000-0000-000079220000}"/>
    <cellStyle name="Normal 2 50 10 10 2" xfId="8843" xr:uid="{00000000-0005-0000-0000-00007A220000}"/>
    <cellStyle name="Normal 2 50 10 10 3" xfId="8844" xr:uid="{00000000-0005-0000-0000-00007B220000}"/>
    <cellStyle name="Normal 2 50 10 11" xfId="8845" xr:uid="{00000000-0005-0000-0000-00007C220000}"/>
    <cellStyle name="Normal 2 50 10 11 2" xfId="8846" xr:uid="{00000000-0005-0000-0000-00007D220000}"/>
    <cellStyle name="Normal 2 50 10 11 3" xfId="8847" xr:uid="{00000000-0005-0000-0000-00007E220000}"/>
    <cellStyle name="Normal 2 50 10 12" xfId="8848" xr:uid="{00000000-0005-0000-0000-00007F220000}"/>
    <cellStyle name="Normal 2 50 10 12 2" xfId="8849" xr:uid="{00000000-0005-0000-0000-000080220000}"/>
    <cellStyle name="Normal 2 50 10 12 3" xfId="8850" xr:uid="{00000000-0005-0000-0000-000081220000}"/>
    <cellStyle name="Normal 2 50 10 13" xfId="8851" xr:uid="{00000000-0005-0000-0000-000082220000}"/>
    <cellStyle name="Normal 2 50 10 13 2" xfId="8852" xr:uid="{00000000-0005-0000-0000-000083220000}"/>
    <cellStyle name="Normal 2 50 10 13 3" xfId="8853" xr:uid="{00000000-0005-0000-0000-000084220000}"/>
    <cellStyle name="Normal 2 50 10 14" xfId="8854" xr:uid="{00000000-0005-0000-0000-000085220000}"/>
    <cellStyle name="Normal 2 50 10 14 2" xfId="8855" xr:uid="{00000000-0005-0000-0000-000086220000}"/>
    <cellStyle name="Normal 2 50 10 14 3" xfId="8856" xr:uid="{00000000-0005-0000-0000-000087220000}"/>
    <cellStyle name="Normal 2 50 10 15" xfId="8857" xr:uid="{00000000-0005-0000-0000-000088220000}"/>
    <cellStyle name="Normal 2 50 10 16" xfId="8858" xr:uid="{00000000-0005-0000-0000-000089220000}"/>
    <cellStyle name="Normal 2 50 10 2" xfId="8859" xr:uid="{00000000-0005-0000-0000-00008A220000}"/>
    <cellStyle name="Normal 2 50 10 2 2" xfId="8860" xr:uid="{00000000-0005-0000-0000-00008B220000}"/>
    <cellStyle name="Normal 2 50 10 2 3" xfId="8861" xr:uid="{00000000-0005-0000-0000-00008C220000}"/>
    <cellStyle name="Normal 2 50 10 3" xfId="8862" xr:uid="{00000000-0005-0000-0000-00008D220000}"/>
    <cellStyle name="Normal 2 50 10 3 2" xfId="8863" xr:uid="{00000000-0005-0000-0000-00008E220000}"/>
    <cellStyle name="Normal 2 50 10 3 3" xfId="8864" xr:uid="{00000000-0005-0000-0000-00008F220000}"/>
    <cellStyle name="Normal 2 50 10 4" xfId="8865" xr:uid="{00000000-0005-0000-0000-000090220000}"/>
    <cellStyle name="Normal 2 50 10 4 2" xfId="8866" xr:uid="{00000000-0005-0000-0000-000091220000}"/>
    <cellStyle name="Normal 2 50 10 4 3" xfId="8867" xr:uid="{00000000-0005-0000-0000-000092220000}"/>
    <cellStyle name="Normal 2 50 10 5" xfId="8868" xr:uid="{00000000-0005-0000-0000-000093220000}"/>
    <cellStyle name="Normal 2 50 10 5 2" xfId="8869" xr:uid="{00000000-0005-0000-0000-000094220000}"/>
    <cellStyle name="Normal 2 50 10 5 3" xfId="8870" xr:uid="{00000000-0005-0000-0000-000095220000}"/>
    <cellStyle name="Normal 2 50 10 6" xfId="8871" xr:uid="{00000000-0005-0000-0000-000096220000}"/>
    <cellStyle name="Normal 2 50 10 6 2" xfId="8872" xr:uid="{00000000-0005-0000-0000-000097220000}"/>
    <cellStyle name="Normal 2 50 10 6 3" xfId="8873" xr:uid="{00000000-0005-0000-0000-000098220000}"/>
    <cellStyle name="Normal 2 50 10 7" xfId="8874" xr:uid="{00000000-0005-0000-0000-000099220000}"/>
    <cellStyle name="Normal 2 50 10 7 2" xfId="8875" xr:uid="{00000000-0005-0000-0000-00009A220000}"/>
    <cellStyle name="Normal 2 50 10 7 3" xfId="8876" xr:uid="{00000000-0005-0000-0000-00009B220000}"/>
    <cellStyle name="Normal 2 50 10 8" xfId="8877" xr:uid="{00000000-0005-0000-0000-00009C220000}"/>
    <cellStyle name="Normal 2 50 10 8 2" xfId="8878" xr:uid="{00000000-0005-0000-0000-00009D220000}"/>
    <cellStyle name="Normal 2 50 10 8 3" xfId="8879" xr:uid="{00000000-0005-0000-0000-00009E220000}"/>
    <cellStyle name="Normal 2 50 10 9" xfId="8880" xr:uid="{00000000-0005-0000-0000-00009F220000}"/>
    <cellStyle name="Normal 2 50 10 9 2" xfId="8881" xr:uid="{00000000-0005-0000-0000-0000A0220000}"/>
    <cellStyle name="Normal 2 50 10 9 3" xfId="8882" xr:uid="{00000000-0005-0000-0000-0000A1220000}"/>
    <cellStyle name="Normal 2 50 11" xfId="8883" xr:uid="{00000000-0005-0000-0000-0000A2220000}"/>
    <cellStyle name="Normal 2 50 11 2" xfId="8884" xr:uid="{00000000-0005-0000-0000-0000A3220000}"/>
    <cellStyle name="Normal 2 50 11 3" xfId="8885" xr:uid="{00000000-0005-0000-0000-0000A4220000}"/>
    <cellStyle name="Normal 2 50 12" xfId="8886" xr:uid="{00000000-0005-0000-0000-0000A5220000}"/>
    <cellStyle name="Normal 2 50 12 2" xfId="8887" xr:uid="{00000000-0005-0000-0000-0000A6220000}"/>
    <cellStyle name="Normal 2 50 12 3" xfId="8888" xr:uid="{00000000-0005-0000-0000-0000A7220000}"/>
    <cellStyle name="Normal 2 50 13" xfId="8889" xr:uid="{00000000-0005-0000-0000-0000A8220000}"/>
    <cellStyle name="Normal 2 50 13 2" xfId="8890" xr:uid="{00000000-0005-0000-0000-0000A9220000}"/>
    <cellStyle name="Normal 2 50 13 3" xfId="8891" xr:uid="{00000000-0005-0000-0000-0000AA220000}"/>
    <cellStyle name="Normal 2 50 14" xfId="8892" xr:uid="{00000000-0005-0000-0000-0000AB220000}"/>
    <cellStyle name="Normal 2 50 14 2" xfId="8893" xr:uid="{00000000-0005-0000-0000-0000AC220000}"/>
    <cellStyle name="Normal 2 50 14 3" xfId="8894" xr:uid="{00000000-0005-0000-0000-0000AD220000}"/>
    <cellStyle name="Normal 2 50 15" xfId="8895" xr:uid="{00000000-0005-0000-0000-0000AE220000}"/>
    <cellStyle name="Normal 2 50 15 2" xfId="8896" xr:uid="{00000000-0005-0000-0000-0000AF220000}"/>
    <cellStyle name="Normal 2 50 15 3" xfId="8897" xr:uid="{00000000-0005-0000-0000-0000B0220000}"/>
    <cellStyle name="Normal 2 50 16" xfId="8898" xr:uid="{00000000-0005-0000-0000-0000B1220000}"/>
    <cellStyle name="Normal 2 50 16 2" xfId="8899" xr:uid="{00000000-0005-0000-0000-0000B2220000}"/>
    <cellStyle name="Normal 2 50 16 3" xfId="8900" xr:uid="{00000000-0005-0000-0000-0000B3220000}"/>
    <cellStyle name="Normal 2 50 17" xfId="8901" xr:uid="{00000000-0005-0000-0000-0000B4220000}"/>
    <cellStyle name="Normal 2 50 17 2" xfId="8902" xr:uid="{00000000-0005-0000-0000-0000B5220000}"/>
    <cellStyle name="Normal 2 50 17 3" xfId="8903" xr:uid="{00000000-0005-0000-0000-0000B6220000}"/>
    <cellStyle name="Normal 2 50 18" xfId="8904" xr:uid="{00000000-0005-0000-0000-0000B7220000}"/>
    <cellStyle name="Normal 2 50 18 2" xfId="8905" xr:uid="{00000000-0005-0000-0000-0000B8220000}"/>
    <cellStyle name="Normal 2 50 18 3" xfId="8906" xr:uid="{00000000-0005-0000-0000-0000B9220000}"/>
    <cellStyle name="Normal 2 50 19" xfId="8907" xr:uid="{00000000-0005-0000-0000-0000BA220000}"/>
    <cellStyle name="Normal 2 50 19 2" xfId="8908" xr:uid="{00000000-0005-0000-0000-0000BB220000}"/>
    <cellStyle name="Normal 2 50 19 3" xfId="8909" xr:uid="{00000000-0005-0000-0000-0000BC220000}"/>
    <cellStyle name="Normal 2 50 2" xfId="8910" xr:uid="{00000000-0005-0000-0000-0000BD220000}"/>
    <cellStyle name="Normal 2 50 2 10" xfId="8911" xr:uid="{00000000-0005-0000-0000-0000BE220000}"/>
    <cellStyle name="Normal 2 50 2 10 2" xfId="8912" xr:uid="{00000000-0005-0000-0000-0000BF220000}"/>
    <cellStyle name="Normal 2 50 2 10 3" xfId="8913" xr:uid="{00000000-0005-0000-0000-0000C0220000}"/>
    <cellStyle name="Normal 2 50 2 11" xfId="8914" xr:uid="{00000000-0005-0000-0000-0000C1220000}"/>
    <cellStyle name="Normal 2 50 2 11 2" xfId="8915" xr:uid="{00000000-0005-0000-0000-0000C2220000}"/>
    <cellStyle name="Normal 2 50 2 11 3" xfId="8916" xr:uid="{00000000-0005-0000-0000-0000C3220000}"/>
    <cellStyle name="Normal 2 50 2 12" xfId="8917" xr:uid="{00000000-0005-0000-0000-0000C4220000}"/>
    <cellStyle name="Normal 2 50 2 12 2" xfId="8918" xr:uid="{00000000-0005-0000-0000-0000C5220000}"/>
    <cellStyle name="Normal 2 50 2 12 3" xfId="8919" xr:uid="{00000000-0005-0000-0000-0000C6220000}"/>
    <cellStyle name="Normal 2 50 2 13" xfId="8920" xr:uid="{00000000-0005-0000-0000-0000C7220000}"/>
    <cellStyle name="Normal 2 50 2 13 2" xfId="8921" xr:uid="{00000000-0005-0000-0000-0000C8220000}"/>
    <cellStyle name="Normal 2 50 2 13 3" xfId="8922" xr:uid="{00000000-0005-0000-0000-0000C9220000}"/>
    <cellStyle name="Normal 2 50 2 14" xfId="8923" xr:uid="{00000000-0005-0000-0000-0000CA220000}"/>
    <cellStyle name="Normal 2 50 2 14 2" xfId="8924" xr:uid="{00000000-0005-0000-0000-0000CB220000}"/>
    <cellStyle name="Normal 2 50 2 14 3" xfId="8925" xr:uid="{00000000-0005-0000-0000-0000CC220000}"/>
    <cellStyle name="Normal 2 50 2 15" xfId="8926" xr:uid="{00000000-0005-0000-0000-0000CD220000}"/>
    <cellStyle name="Normal 2 50 2 15 2" xfId="8927" xr:uid="{00000000-0005-0000-0000-0000CE220000}"/>
    <cellStyle name="Normal 2 50 2 15 3" xfId="8928" xr:uid="{00000000-0005-0000-0000-0000CF220000}"/>
    <cellStyle name="Normal 2 50 2 16" xfId="8929" xr:uid="{00000000-0005-0000-0000-0000D0220000}"/>
    <cellStyle name="Normal 2 50 2 17" xfId="8930" xr:uid="{00000000-0005-0000-0000-0000D1220000}"/>
    <cellStyle name="Normal 2 50 2 2" xfId="8931" xr:uid="{00000000-0005-0000-0000-0000D2220000}"/>
    <cellStyle name="Normal 2 50 2 2 10" xfId="8932" xr:uid="{00000000-0005-0000-0000-0000D3220000}"/>
    <cellStyle name="Normal 2 50 2 2 10 2" xfId="8933" xr:uid="{00000000-0005-0000-0000-0000D4220000}"/>
    <cellStyle name="Normal 2 50 2 2 10 3" xfId="8934" xr:uid="{00000000-0005-0000-0000-0000D5220000}"/>
    <cellStyle name="Normal 2 50 2 2 11" xfId="8935" xr:uid="{00000000-0005-0000-0000-0000D6220000}"/>
    <cellStyle name="Normal 2 50 2 2 11 2" xfId="8936" xr:uid="{00000000-0005-0000-0000-0000D7220000}"/>
    <cellStyle name="Normal 2 50 2 2 11 3" xfId="8937" xr:uid="{00000000-0005-0000-0000-0000D8220000}"/>
    <cellStyle name="Normal 2 50 2 2 12" xfId="8938" xr:uid="{00000000-0005-0000-0000-0000D9220000}"/>
    <cellStyle name="Normal 2 50 2 2 12 2" xfId="8939" xr:uid="{00000000-0005-0000-0000-0000DA220000}"/>
    <cellStyle name="Normal 2 50 2 2 12 3" xfId="8940" xr:uid="{00000000-0005-0000-0000-0000DB220000}"/>
    <cellStyle name="Normal 2 50 2 2 13" xfId="8941" xr:uid="{00000000-0005-0000-0000-0000DC220000}"/>
    <cellStyle name="Normal 2 50 2 2 13 2" xfId="8942" xr:uid="{00000000-0005-0000-0000-0000DD220000}"/>
    <cellStyle name="Normal 2 50 2 2 13 3" xfId="8943" xr:uid="{00000000-0005-0000-0000-0000DE220000}"/>
    <cellStyle name="Normal 2 50 2 2 14" xfId="8944" xr:uid="{00000000-0005-0000-0000-0000DF220000}"/>
    <cellStyle name="Normal 2 50 2 2 14 2" xfId="8945" xr:uid="{00000000-0005-0000-0000-0000E0220000}"/>
    <cellStyle name="Normal 2 50 2 2 14 3" xfId="8946" xr:uid="{00000000-0005-0000-0000-0000E1220000}"/>
    <cellStyle name="Normal 2 50 2 2 15" xfId="8947" xr:uid="{00000000-0005-0000-0000-0000E2220000}"/>
    <cellStyle name="Normal 2 50 2 2 16" xfId="8948" xr:uid="{00000000-0005-0000-0000-0000E3220000}"/>
    <cellStyle name="Normal 2 50 2 2 2" xfId="8949" xr:uid="{00000000-0005-0000-0000-0000E4220000}"/>
    <cellStyle name="Normal 2 50 2 2 2 2" xfId="8950" xr:uid="{00000000-0005-0000-0000-0000E5220000}"/>
    <cellStyle name="Normal 2 50 2 2 2 3" xfId="8951" xr:uid="{00000000-0005-0000-0000-0000E6220000}"/>
    <cellStyle name="Normal 2 50 2 2 3" xfId="8952" xr:uid="{00000000-0005-0000-0000-0000E7220000}"/>
    <cellStyle name="Normal 2 50 2 2 3 2" xfId="8953" xr:uid="{00000000-0005-0000-0000-0000E8220000}"/>
    <cellStyle name="Normal 2 50 2 2 3 3" xfId="8954" xr:uid="{00000000-0005-0000-0000-0000E9220000}"/>
    <cellStyle name="Normal 2 50 2 2 4" xfId="8955" xr:uid="{00000000-0005-0000-0000-0000EA220000}"/>
    <cellStyle name="Normal 2 50 2 2 4 2" xfId="8956" xr:uid="{00000000-0005-0000-0000-0000EB220000}"/>
    <cellStyle name="Normal 2 50 2 2 4 3" xfId="8957" xr:uid="{00000000-0005-0000-0000-0000EC220000}"/>
    <cellStyle name="Normal 2 50 2 2 5" xfId="8958" xr:uid="{00000000-0005-0000-0000-0000ED220000}"/>
    <cellStyle name="Normal 2 50 2 2 5 2" xfId="8959" xr:uid="{00000000-0005-0000-0000-0000EE220000}"/>
    <cellStyle name="Normal 2 50 2 2 5 3" xfId="8960" xr:uid="{00000000-0005-0000-0000-0000EF220000}"/>
    <cellStyle name="Normal 2 50 2 2 6" xfId="8961" xr:uid="{00000000-0005-0000-0000-0000F0220000}"/>
    <cellStyle name="Normal 2 50 2 2 6 2" xfId="8962" xr:uid="{00000000-0005-0000-0000-0000F1220000}"/>
    <cellStyle name="Normal 2 50 2 2 6 3" xfId="8963" xr:uid="{00000000-0005-0000-0000-0000F2220000}"/>
    <cellStyle name="Normal 2 50 2 2 7" xfId="8964" xr:uid="{00000000-0005-0000-0000-0000F3220000}"/>
    <cellStyle name="Normal 2 50 2 2 7 2" xfId="8965" xr:uid="{00000000-0005-0000-0000-0000F4220000}"/>
    <cellStyle name="Normal 2 50 2 2 7 3" xfId="8966" xr:uid="{00000000-0005-0000-0000-0000F5220000}"/>
    <cellStyle name="Normal 2 50 2 2 8" xfId="8967" xr:uid="{00000000-0005-0000-0000-0000F6220000}"/>
    <cellStyle name="Normal 2 50 2 2 8 2" xfId="8968" xr:uid="{00000000-0005-0000-0000-0000F7220000}"/>
    <cellStyle name="Normal 2 50 2 2 8 3" xfId="8969" xr:uid="{00000000-0005-0000-0000-0000F8220000}"/>
    <cellStyle name="Normal 2 50 2 2 9" xfId="8970" xr:uid="{00000000-0005-0000-0000-0000F9220000}"/>
    <cellStyle name="Normal 2 50 2 2 9 2" xfId="8971" xr:uid="{00000000-0005-0000-0000-0000FA220000}"/>
    <cellStyle name="Normal 2 50 2 2 9 3" xfId="8972" xr:uid="{00000000-0005-0000-0000-0000FB220000}"/>
    <cellStyle name="Normal 2 50 2 3" xfId="8973" xr:uid="{00000000-0005-0000-0000-0000FC220000}"/>
    <cellStyle name="Normal 2 50 2 3 2" xfId="8974" xr:uid="{00000000-0005-0000-0000-0000FD220000}"/>
    <cellStyle name="Normal 2 50 2 3 3" xfId="8975" xr:uid="{00000000-0005-0000-0000-0000FE220000}"/>
    <cellStyle name="Normal 2 50 2 4" xfId="8976" xr:uid="{00000000-0005-0000-0000-0000FF220000}"/>
    <cellStyle name="Normal 2 50 2 4 2" xfId="8977" xr:uid="{00000000-0005-0000-0000-000000230000}"/>
    <cellStyle name="Normal 2 50 2 4 3" xfId="8978" xr:uid="{00000000-0005-0000-0000-000001230000}"/>
    <cellStyle name="Normal 2 50 2 5" xfId="8979" xr:uid="{00000000-0005-0000-0000-000002230000}"/>
    <cellStyle name="Normal 2 50 2 5 2" xfId="8980" xr:uid="{00000000-0005-0000-0000-000003230000}"/>
    <cellStyle name="Normal 2 50 2 5 3" xfId="8981" xr:uid="{00000000-0005-0000-0000-000004230000}"/>
    <cellStyle name="Normal 2 50 2 6" xfId="8982" xr:uid="{00000000-0005-0000-0000-000005230000}"/>
    <cellStyle name="Normal 2 50 2 6 2" xfId="8983" xr:uid="{00000000-0005-0000-0000-000006230000}"/>
    <cellStyle name="Normal 2 50 2 6 3" xfId="8984" xr:uid="{00000000-0005-0000-0000-000007230000}"/>
    <cellStyle name="Normal 2 50 2 7" xfId="8985" xr:uid="{00000000-0005-0000-0000-000008230000}"/>
    <cellStyle name="Normal 2 50 2 7 2" xfId="8986" xr:uid="{00000000-0005-0000-0000-000009230000}"/>
    <cellStyle name="Normal 2 50 2 7 3" xfId="8987" xr:uid="{00000000-0005-0000-0000-00000A230000}"/>
    <cellStyle name="Normal 2 50 2 8" xfId="8988" xr:uid="{00000000-0005-0000-0000-00000B230000}"/>
    <cellStyle name="Normal 2 50 2 8 2" xfId="8989" xr:uid="{00000000-0005-0000-0000-00000C230000}"/>
    <cellStyle name="Normal 2 50 2 8 3" xfId="8990" xr:uid="{00000000-0005-0000-0000-00000D230000}"/>
    <cellStyle name="Normal 2 50 2 9" xfId="8991" xr:uid="{00000000-0005-0000-0000-00000E230000}"/>
    <cellStyle name="Normal 2 50 2 9 2" xfId="8992" xr:uid="{00000000-0005-0000-0000-00000F230000}"/>
    <cellStyle name="Normal 2 50 2 9 3" xfId="8993" xr:uid="{00000000-0005-0000-0000-000010230000}"/>
    <cellStyle name="Normal 2 50 20" xfId="8994" xr:uid="{00000000-0005-0000-0000-000011230000}"/>
    <cellStyle name="Normal 2 50 20 2" xfId="8995" xr:uid="{00000000-0005-0000-0000-000012230000}"/>
    <cellStyle name="Normal 2 50 20 3" xfId="8996" xr:uid="{00000000-0005-0000-0000-000013230000}"/>
    <cellStyle name="Normal 2 50 21" xfId="8997" xr:uid="{00000000-0005-0000-0000-000014230000}"/>
    <cellStyle name="Normal 2 50 21 2" xfId="8998" xr:uid="{00000000-0005-0000-0000-000015230000}"/>
    <cellStyle name="Normal 2 50 21 3" xfId="8999" xr:uid="{00000000-0005-0000-0000-000016230000}"/>
    <cellStyle name="Normal 2 50 22" xfId="9000" xr:uid="{00000000-0005-0000-0000-000017230000}"/>
    <cellStyle name="Normal 2 50 22 2" xfId="9001" xr:uid="{00000000-0005-0000-0000-000018230000}"/>
    <cellStyle name="Normal 2 50 22 3" xfId="9002" xr:uid="{00000000-0005-0000-0000-000019230000}"/>
    <cellStyle name="Normal 2 50 23" xfId="9003" xr:uid="{00000000-0005-0000-0000-00001A230000}"/>
    <cellStyle name="Normal 2 50 23 2" xfId="9004" xr:uid="{00000000-0005-0000-0000-00001B230000}"/>
    <cellStyle name="Normal 2 50 23 3" xfId="9005" xr:uid="{00000000-0005-0000-0000-00001C230000}"/>
    <cellStyle name="Normal 2 50 24" xfId="9006" xr:uid="{00000000-0005-0000-0000-00001D230000}"/>
    <cellStyle name="Normal 2 50 25" xfId="9007" xr:uid="{00000000-0005-0000-0000-00001E230000}"/>
    <cellStyle name="Normal 2 50 3" xfId="9008" xr:uid="{00000000-0005-0000-0000-00001F230000}"/>
    <cellStyle name="Normal 2 50 3 10" xfId="9009" xr:uid="{00000000-0005-0000-0000-000020230000}"/>
    <cellStyle name="Normal 2 50 3 10 2" xfId="9010" xr:uid="{00000000-0005-0000-0000-000021230000}"/>
    <cellStyle name="Normal 2 50 3 10 3" xfId="9011" xr:uid="{00000000-0005-0000-0000-000022230000}"/>
    <cellStyle name="Normal 2 50 3 11" xfId="9012" xr:uid="{00000000-0005-0000-0000-000023230000}"/>
    <cellStyle name="Normal 2 50 3 11 2" xfId="9013" xr:uid="{00000000-0005-0000-0000-000024230000}"/>
    <cellStyle name="Normal 2 50 3 11 3" xfId="9014" xr:uid="{00000000-0005-0000-0000-000025230000}"/>
    <cellStyle name="Normal 2 50 3 12" xfId="9015" xr:uid="{00000000-0005-0000-0000-000026230000}"/>
    <cellStyle name="Normal 2 50 3 12 2" xfId="9016" xr:uid="{00000000-0005-0000-0000-000027230000}"/>
    <cellStyle name="Normal 2 50 3 12 3" xfId="9017" xr:uid="{00000000-0005-0000-0000-000028230000}"/>
    <cellStyle name="Normal 2 50 3 13" xfId="9018" xr:uid="{00000000-0005-0000-0000-000029230000}"/>
    <cellStyle name="Normal 2 50 3 13 2" xfId="9019" xr:uid="{00000000-0005-0000-0000-00002A230000}"/>
    <cellStyle name="Normal 2 50 3 13 3" xfId="9020" xr:uid="{00000000-0005-0000-0000-00002B230000}"/>
    <cellStyle name="Normal 2 50 3 14" xfId="9021" xr:uid="{00000000-0005-0000-0000-00002C230000}"/>
    <cellStyle name="Normal 2 50 3 14 2" xfId="9022" xr:uid="{00000000-0005-0000-0000-00002D230000}"/>
    <cellStyle name="Normal 2 50 3 14 3" xfId="9023" xr:uid="{00000000-0005-0000-0000-00002E230000}"/>
    <cellStyle name="Normal 2 50 3 15" xfId="9024" xr:uid="{00000000-0005-0000-0000-00002F230000}"/>
    <cellStyle name="Normal 2 50 3 15 2" xfId="9025" xr:uid="{00000000-0005-0000-0000-000030230000}"/>
    <cellStyle name="Normal 2 50 3 15 3" xfId="9026" xr:uid="{00000000-0005-0000-0000-000031230000}"/>
    <cellStyle name="Normal 2 50 3 16" xfId="9027" xr:uid="{00000000-0005-0000-0000-000032230000}"/>
    <cellStyle name="Normal 2 50 3 17" xfId="9028" xr:uid="{00000000-0005-0000-0000-000033230000}"/>
    <cellStyle name="Normal 2 50 3 2" xfId="9029" xr:uid="{00000000-0005-0000-0000-000034230000}"/>
    <cellStyle name="Normal 2 50 3 2 10" xfId="9030" xr:uid="{00000000-0005-0000-0000-000035230000}"/>
    <cellStyle name="Normal 2 50 3 2 10 2" xfId="9031" xr:uid="{00000000-0005-0000-0000-000036230000}"/>
    <cellStyle name="Normal 2 50 3 2 10 3" xfId="9032" xr:uid="{00000000-0005-0000-0000-000037230000}"/>
    <cellStyle name="Normal 2 50 3 2 11" xfId="9033" xr:uid="{00000000-0005-0000-0000-000038230000}"/>
    <cellStyle name="Normal 2 50 3 2 11 2" xfId="9034" xr:uid="{00000000-0005-0000-0000-000039230000}"/>
    <cellStyle name="Normal 2 50 3 2 11 3" xfId="9035" xr:uid="{00000000-0005-0000-0000-00003A230000}"/>
    <cellStyle name="Normal 2 50 3 2 12" xfId="9036" xr:uid="{00000000-0005-0000-0000-00003B230000}"/>
    <cellStyle name="Normal 2 50 3 2 12 2" xfId="9037" xr:uid="{00000000-0005-0000-0000-00003C230000}"/>
    <cellStyle name="Normal 2 50 3 2 12 3" xfId="9038" xr:uid="{00000000-0005-0000-0000-00003D230000}"/>
    <cellStyle name="Normal 2 50 3 2 13" xfId="9039" xr:uid="{00000000-0005-0000-0000-00003E230000}"/>
    <cellStyle name="Normal 2 50 3 2 13 2" xfId="9040" xr:uid="{00000000-0005-0000-0000-00003F230000}"/>
    <cellStyle name="Normal 2 50 3 2 13 3" xfId="9041" xr:uid="{00000000-0005-0000-0000-000040230000}"/>
    <cellStyle name="Normal 2 50 3 2 14" xfId="9042" xr:uid="{00000000-0005-0000-0000-000041230000}"/>
    <cellStyle name="Normal 2 50 3 2 14 2" xfId="9043" xr:uid="{00000000-0005-0000-0000-000042230000}"/>
    <cellStyle name="Normal 2 50 3 2 14 3" xfId="9044" xr:uid="{00000000-0005-0000-0000-000043230000}"/>
    <cellStyle name="Normal 2 50 3 2 15" xfId="9045" xr:uid="{00000000-0005-0000-0000-000044230000}"/>
    <cellStyle name="Normal 2 50 3 2 16" xfId="9046" xr:uid="{00000000-0005-0000-0000-000045230000}"/>
    <cellStyle name="Normal 2 50 3 2 2" xfId="9047" xr:uid="{00000000-0005-0000-0000-000046230000}"/>
    <cellStyle name="Normal 2 50 3 2 2 2" xfId="9048" xr:uid="{00000000-0005-0000-0000-000047230000}"/>
    <cellStyle name="Normal 2 50 3 2 2 3" xfId="9049" xr:uid="{00000000-0005-0000-0000-000048230000}"/>
    <cellStyle name="Normal 2 50 3 2 3" xfId="9050" xr:uid="{00000000-0005-0000-0000-000049230000}"/>
    <cellStyle name="Normal 2 50 3 2 3 2" xfId="9051" xr:uid="{00000000-0005-0000-0000-00004A230000}"/>
    <cellStyle name="Normal 2 50 3 2 3 3" xfId="9052" xr:uid="{00000000-0005-0000-0000-00004B230000}"/>
    <cellStyle name="Normal 2 50 3 2 4" xfId="9053" xr:uid="{00000000-0005-0000-0000-00004C230000}"/>
    <cellStyle name="Normal 2 50 3 2 4 2" xfId="9054" xr:uid="{00000000-0005-0000-0000-00004D230000}"/>
    <cellStyle name="Normal 2 50 3 2 4 3" xfId="9055" xr:uid="{00000000-0005-0000-0000-00004E230000}"/>
    <cellStyle name="Normal 2 50 3 2 5" xfId="9056" xr:uid="{00000000-0005-0000-0000-00004F230000}"/>
    <cellStyle name="Normal 2 50 3 2 5 2" xfId="9057" xr:uid="{00000000-0005-0000-0000-000050230000}"/>
    <cellStyle name="Normal 2 50 3 2 5 3" xfId="9058" xr:uid="{00000000-0005-0000-0000-000051230000}"/>
    <cellStyle name="Normal 2 50 3 2 6" xfId="9059" xr:uid="{00000000-0005-0000-0000-000052230000}"/>
    <cellStyle name="Normal 2 50 3 2 6 2" xfId="9060" xr:uid="{00000000-0005-0000-0000-000053230000}"/>
    <cellStyle name="Normal 2 50 3 2 6 3" xfId="9061" xr:uid="{00000000-0005-0000-0000-000054230000}"/>
    <cellStyle name="Normal 2 50 3 2 7" xfId="9062" xr:uid="{00000000-0005-0000-0000-000055230000}"/>
    <cellStyle name="Normal 2 50 3 2 7 2" xfId="9063" xr:uid="{00000000-0005-0000-0000-000056230000}"/>
    <cellStyle name="Normal 2 50 3 2 7 3" xfId="9064" xr:uid="{00000000-0005-0000-0000-000057230000}"/>
    <cellStyle name="Normal 2 50 3 2 8" xfId="9065" xr:uid="{00000000-0005-0000-0000-000058230000}"/>
    <cellStyle name="Normal 2 50 3 2 8 2" xfId="9066" xr:uid="{00000000-0005-0000-0000-000059230000}"/>
    <cellStyle name="Normal 2 50 3 2 8 3" xfId="9067" xr:uid="{00000000-0005-0000-0000-00005A230000}"/>
    <cellStyle name="Normal 2 50 3 2 9" xfId="9068" xr:uid="{00000000-0005-0000-0000-00005B230000}"/>
    <cellStyle name="Normal 2 50 3 2 9 2" xfId="9069" xr:uid="{00000000-0005-0000-0000-00005C230000}"/>
    <cellStyle name="Normal 2 50 3 2 9 3" xfId="9070" xr:uid="{00000000-0005-0000-0000-00005D230000}"/>
    <cellStyle name="Normal 2 50 3 3" xfId="9071" xr:uid="{00000000-0005-0000-0000-00005E230000}"/>
    <cellStyle name="Normal 2 50 3 3 2" xfId="9072" xr:uid="{00000000-0005-0000-0000-00005F230000}"/>
    <cellStyle name="Normal 2 50 3 3 3" xfId="9073" xr:uid="{00000000-0005-0000-0000-000060230000}"/>
    <cellStyle name="Normal 2 50 3 4" xfId="9074" xr:uid="{00000000-0005-0000-0000-000061230000}"/>
    <cellStyle name="Normal 2 50 3 4 2" xfId="9075" xr:uid="{00000000-0005-0000-0000-000062230000}"/>
    <cellStyle name="Normal 2 50 3 4 3" xfId="9076" xr:uid="{00000000-0005-0000-0000-000063230000}"/>
    <cellStyle name="Normal 2 50 3 5" xfId="9077" xr:uid="{00000000-0005-0000-0000-000064230000}"/>
    <cellStyle name="Normal 2 50 3 5 2" xfId="9078" xr:uid="{00000000-0005-0000-0000-000065230000}"/>
    <cellStyle name="Normal 2 50 3 5 3" xfId="9079" xr:uid="{00000000-0005-0000-0000-000066230000}"/>
    <cellStyle name="Normal 2 50 3 6" xfId="9080" xr:uid="{00000000-0005-0000-0000-000067230000}"/>
    <cellStyle name="Normal 2 50 3 6 2" xfId="9081" xr:uid="{00000000-0005-0000-0000-000068230000}"/>
    <cellStyle name="Normal 2 50 3 6 3" xfId="9082" xr:uid="{00000000-0005-0000-0000-000069230000}"/>
    <cellStyle name="Normal 2 50 3 7" xfId="9083" xr:uid="{00000000-0005-0000-0000-00006A230000}"/>
    <cellStyle name="Normal 2 50 3 7 2" xfId="9084" xr:uid="{00000000-0005-0000-0000-00006B230000}"/>
    <cellStyle name="Normal 2 50 3 7 3" xfId="9085" xr:uid="{00000000-0005-0000-0000-00006C230000}"/>
    <cellStyle name="Normal 2 50 3 8" xfId="9086" xr:uid="{00000000-0005-0000-0000-00006D230000}"/>
    <cellStyle name="Normal 2 50 3 8 2" xfId="9087" xr:uid="{00000000-0005-0000-0000-00006E230000}"/>
    <cellStyle name="Normal 2 50 3 8 3" xfId="9088" xr:uid="{00000000-0005-0000-0000-00006F230000}"/>
    <cellStyle name="Normal 2 50 3 9" xfId="9089" xr:uid="{00000000-0005-0000-0000-000070230000}"/>
    <cellStyle name="Normal 2 50 3 9 2" xfId="9090" xr:uid="{00000000-0005-0000-0000-000071230000}"/>
    <cellStyle name="Normal 2 50 3 9 3" xfId="9091" xr:uid="{00000000-0005-0000-0000-000072230000}"/>
    <cellStyle name="Normal 2 50 4" xfId="9092" xr:uid="{00000000-0005-0000-0000-000073230000}"/>
    <cellStyle name="Normal 2 50 4 10" xfId="9093" xr:uid="{00000000-0005-0000-0000-000074230000}"/>
    <cellStyle name="Normal 2 50 4 10 2" xfId="9094" xr:uid="{00000000-0005-0000-0000-000075230000}"/>
    <cellStyle name="Normal 2 50 4 10 3" xfId="9095" xr:uid="{00000000-0005-0000-0000-000076230000}"/>
    <cellStyle name="Normal 2 50 4 11" xfId="9096" xr:uid="{00000000-0005-0000-0000-000077230000}"/>
    <cellStyle name="Normal 2 50 4 11 2" xfId="9097" xr:uid="{00000000-0005-0000-0000-000078230000}"/>
    <cellStyle name="Normal 2 50 4 11 3" xfId="9098" xr:uid="{00000000-0005-0000-0000-000079230000}"/>
    <cellStyle name="Normal 2 50 4 12" xfId="9099" xr:uid="{00000000-0005-0000-0000-00007A230000}"/>
    <cellStyle name="Normal 2 50 4 12 2" xfId="9100" xr:uid="{00000000-0005-0000-0000-00007B230000}"/>
    <cellStyle name="Normal 2 50 4 12 3" xfId="9101" xr:uid="{00000000-0005-0000-0000-00007C230000}"/>
    <cellStyle name="Normal 2 50 4 13" xfId="9102" xr:uid="{00000000-0005-0000-0000-00007D230000}"/>
    <cellStyle name="Normal 2 50 4 13 2" xfId="9103" xr:uid="{00000000-0005-0000-0000-00007E230000}"/>
    <cellStyle name="Normal 2 50 4 13 3" xfId="9104" xr:uid="{00000000-0005-0000-0000-00007F230000}"/>
    <cellStyle name="Normal 2 50 4 14" xfId="9105" xr:uid="{00000000-0005-0000-0000-000080230000}"/>
    <cellStyle name="Normal 2 50 4 14 2" xfId="9106" xr:uid="{00000000-0005-0000-0000-000081230000}"/>
    <cellStyle name="Normal 2 50 4 14 3" xfId="9107" xr:uid="{00000000-0005-0000-0000-000082230000}"/>
    <cellStyle name="Normal 2 50 4 15" xfId="9108" xr:uid="{00000000-0005-0000-0000-000083230000}"/>
    <cellStyle name="Normal 2 50 4 15 2" xfId="9109" xr:uid="{00000000-0005-0000-0000-000084230000}"/>
    <cellStyle name="Normal 2 50 4 15 3" xfId="9110" xr:uid="{00000000-0005-0000-0000-000085230000}"/>
    <cellStyle name="Normal 2 50 4 16" xfId="9111" xr:uid="{00000000-0005-0000-0000-000086230000}"/>
    <cellStyle name="Normal 2 50 4 17" xfId="9112" xr:uid="{00000000-0005-0000-0000-000087230000}"/>
    <cellStyle name="Normal 2 50 4 2" xfId="9113" xr:uid="{00000000-0005-0000-0000-000088230000}"/>
    <cellStyle name="Normal 2 50 4 2 10" xfId="9114" xr:uid="{00000000-0005-0000-0000-000089230000}"/>
    <cellStyle name="Normal 2 50 4 2 10 2" xfId="9115" xr:uid="{00000000-0005-0000-0000-00008A230000}"/>
    <cellStyle name="Normal 2 50 4 2 10 3" xfId="9116" xr:uid="{00000000-0005-0000-0000-00008B230000}"/>
    <cellStyle name="Normal 2 50 4 2 11" xfId="9117" xr:uid="{00000000-0005-0000-0000-00008C230000}"/>
    <cellStyle name="Normal 2 50 4 2 11 2" xfId="9118" xr:uid="{00000000-0005-0000-0000-00008D230000}"/>
    <cellStyle name="Normal 2 50 4 2 11 3" xfId="9119" xr:uid="{00000000-0005-0000-0000-00008E230000}"/>
    <cellStyle name="Normal 2 50 4 2 12" xfId="9120" xr:uid="{00000000-0005-0000-0000-00008F230000}"/>
    <cellStyle name="Normal 2 50 4 2 12 2" xfId="9121" xr:uid="{00000000-0005-0000-0000-000090230000}"/>
    <cellStyle name="Normal 2 50 4 2 12 3" xfId="9122" xr:uid="{00000000-0005-0000-0000-000091230000}"/>
    <cellStyle name="Normal 2 50 4 2 13" xfId="9123" xr:uid="{00000000-0005-0000-0000-000092230000}"/>
    <cellStyle name="Normal 2 50 4 2 13 2" xfId="9124" xr:uid="{00000000-0005-0000-0000-000093230000}"/>
    <cellStyle name="Normal 2 50 4 2 13 3" xfId="9125" xr:uid="{00000000-0005-0000-0000-000094230000}"/>
    <cellStyle name="Normal 2 50 4 2 14" xfId="9126" xr:uid="{00000000-0005-0000-0000-000095230000}"/>
    <cellStyle name="Normal 2 50 4 2 14 2" xfId="9127" xr:uid="{00000000-0005-0000-0000-000096230000}"/>
    <cellStyle name="Normal 2 50 4 2 14 3" xfId="9128" xr:uid="{00000000-0005-0000-0000-000097230000}"/>
    <cellStyle name="Normal 2 50 4 2 15" xfId="9129" xr:uid="{00000000-0005-0000-0000-000098230000}"/>
    <cellStyle name="Normal 2 50 4 2 16" xfId="9130" xr:uid="{00000000-0005-0000-0000-000099230000}"/>
    <cellStyle name="Normal 2 50 4 2 2" xfId="9131" xr:uid="{00000000-0005-0000-0000-00009A230000}"/>
    <cellStyle name="Normal 2 50 4 2 2 2" xfId="9132" xr:uid="{00000000-0005-0000-0000-00009B230000}"/>
    <cellStyle name="Normal 2 50 4 2 2 3" xfId="9133" xr:uid="{00000000-0005-0000-0000-00009C230000}"/>
    <cellStyle name="Normal 2 50 4 2 3" xfId="9134" xr:uid="{00000000-0005-0000-0000-00009D230000}"/>
    <cellStyle name="Normal 2 50 4 2 3 2" xfId="9135" xr:uid="{00000000-0005-0000-0000-00009E230000}"/>
    <cellStyle name="Normal 2 50 4 2 3 3" xfId="9136" xr:uid="{00000000-0005-0000-0000-00009F230000}"/>
    <cellStyle name="Normal 2 50 4 2 4" xfId="9137" xr:uid="{00000000-0005-0000-0000-0000A0230000}"/>
    <cellStyle name="Normal 2 50 4 2 4 2" xfId="9138" xr:uid="{00000000-0005-0000-0000-0000A1230000}"/>
    <cellStyle name="Normal 2 50 4 2 4 3" xfId="9139" xr:uid="{00000000-0005-0000-0000-0000A2230000}"/>
    <cellStyle name="Normal 2 50 4 2 5" xfId="9140" xr:uid="{00000000-0005-0000-0000-0000A3230000}"/>
    <cellStyle name="Normal 2 50 4 2 5 2" xfId="9141" xr:uid="{00000000-0005-0000-0000-0000A4230000}"/>
    <cellStyle name="Normal 2 50 4 2 5 3" xfId="9142" xr:uid="{00000000-0005-0000-0000-0000A5230000}"/>
    <cellStyle name="Normal 2 50 4 2 6" xfId="9143" xr:uid="{00000000-0005-0000-0000-0000A6230000}"/>
    <cellStyle name="Normal 2 50 4 2 6 2" xfId="9144" xr:uid="{00000000-0005-0000-0000-0000A7230000}"/>
    <cellStyle name="Normal 2 50 4 2 6 3" xfId="9145" xr:uid="{00000000-0005-0000-0000-0000A8230000}"/>
    <cellStyle name="Normal 2 50 4 2 7" xfId="9146" xr:uid="{00000000-0005-0000-0000-0000A9230000}"/>
    <cellStyle name="Normal 2 50 4 2 7 2" xfId="9147" xr:uid="{00000000-0005-0000-0000-0000AA230000}"/>
    <cellStyle name="Normal 2 50 4 2 7 3" xfId="9148" xr:uid="{00000000-0005-0000-0000-0000AB230000}"/>
    <cellStyle name="Normal 2 50 4 2 8" xfId="9149" xr:uid="{00000000-0005-0000-0000-0000AC230000}"/>
    <cellStyle name="Normal 2 50 4 2 8 2" xfId="9150" xr:uid="{00000000-0005-0000-0000-0000AD230000}"/>
    <cellStyle name="Normal 2 50 4 2 8 3" xfId="9151" xr:uid="{00000000-0005-0000-0000-0000AE230000}"/>
    <cellStyle name="Normal 2 50 4 2 9" xfId="9152" xr:uid="{00000000-0005-0000-0000-0000AF230000}"/>
    <cellStyle name="Normal 2 50 4 2 9 2" xfId="9153" xr:uid="{00000000-0005-0000-0000-0000B0230000}"/>
    <cellStyle name="Normal 2 50 4 2 9 3" xfId="9154" xr:uid="{00000000-0005-0000-0000-0000B1230000}"/>
    <cellStyle name="Normal 2 50 4 3" xfId="9155" xr:uid="{00000000-0005-0000-0000-0000B2230000}"/>
    <cellStyle name="Normal 2 50 4 3 2" xfId="9156" xr:uid="{00000000-0005-0000-0000-0000B3230000}"/>
    <cellStyle name="Normal 2 50 4 3 3" xfId="9157" xr:uid="{00000000-0005-0000-0000-0000B4230000}"/>
    <cellStyle name="Normal 2 50 4 4" xfId="9158" xr:uid="{00000000-0005-0000-0000-0000B5230000}"/>
    <cellStyle name="Normal 2 50 4 4 2" xfId="9159" xr:uid="{00000000-0005-0000-0000-0000B6230000}"/>
    <cellStyle name="Normal 2 50 4 4 3" xfId="9160" xr:uid="{00000000-0005-0000-0000-0000B7230000}"/>
    <cellStyle name="Normal 2 50 4 5" xfId="9161" xr:uid="{00000000-0005-0000-0000-0000B8230000}"/>
    <cellStyle name="Normal 2 50 4 5 2" xfId="9162" xr:uid="{00000000-0005-0000-0000-0000B9230000}"/>
    <cellStyle name="Normal 2 50 4 5 3" xfId="9163" xr:uid="{00000000-0005-0000-0000-0000BA230000}"/>
    <cellStyle name="Normal 2 50 4 6" xfId="9164" xr:uid="{00000000-0005-0000-0000-0000BB230000}"/>
    <cellStyle name="Normal 2 50 4 6 2" xfId="9165" xr:uid="{00000000-0005-0000-0000-0000BC230000}"/>
    <cellStyle name="Normal 2 50 4 6 3" xfId="9166" xr:uid="{00000000-0005-0000-0000-0000BD230000}"/>
    <cellStyle name="Normal 2 50 4 7" xfId="9167" xr:uid="{00000000-0005-0000-0000-0000BE230000}"/>
    <cellStyle name="Normal 2 50 4 7 2" xfId="9168" xr:uid="{00000000-0005-0000-0000-0000BF230000}"/>
    <cellStyle name="Normal 2 50 4 7 3" xfId="9169" xr:uid="{00000000-0005-0000-0000-0000C0230000}"/>
    <cellStyle name="Normal 2 50 4 8" xfId="9170" xr:uid="{00000000-0005-0000-0000-0000C1230000}"/>
    <cellStyle name="Normal 2 50 4 8 2" xfId="9171" xr:uid="{00000000-0005-0000-0000-0000C2230000}"/>
    <cellStyle name="Normal 2 50 4 8 3" xfId="9172" xr:uid="{00000000-0005-0000-0000-0000C3230000}"/>
    <cellStyle name="Normal 2 50 4 9" xfId="9173" xr:uid="{00000000-0005-0000-0000-0000C4230000}"/>
    <cellStyle name="Normal 2 50 4 9 2" xfId="9174" xr:uid="{00000000-0005-0000-0000-0000C5230000}"/>
    <cellStyle name="Normal 2 50 4 9 3" xfId="9175" xr:uid="{00000000-0005-0000-0000-0000C6230000}"/>
    <cellStyle name="Normal 2 50 5" xfId="9176" xr:uid="{00000000-0005-0000-0000-0000C7230000}"/>
    <cellStyle name="Normal 2 50 5 10" xfId="9177" xr:uid="{00000000-0005-0000-0000-0000C8230000}"/>
    <cellStyle name="Normal 2 50 5 10 2" xfId="9178" xr:uid="{00000000-0005-0000-0000-0000C9230000}"/>
    <cellStyle name="Normal 2 50 5 10 3" xfId="9179" xr:uid="{00000000-0005-0000-0000-0000CA230000}"/>
    <cellStyle name="Normal 2 50 5 11" xfId="9180" xr:uid="{00000000-0005-0000-0000-0000CB230000}"/>
    <cellStyle name="Normal 2 50 5 11 2" xfId="9181" xr:uid="{00000000-0005-0000-0000-0000CC230000}"/>
    <cellStyle name="Normal 2 50 5 11 3" xfId="9182" xr:uid="{00000000-0005-0000-0000-0000CD230000}"/>
    <cellStyle name="Normal 2 50 5 12" xfId="9183" xr:uid="{00000000-0005-0000-0000-0000CE230000}"/>
    <cellStyle name="Normal 2 50 5 12 2" xfId="9184" xr:uid="{00000000-0005-0000-0000-0000CF230000}"/>
    <cellStyle name="Normal 2 50 5 12 3" xfId="9185" xr:uid="{00000000-0005-0000-0000-0000D0230000}"/>
    <cellStyle name="Normal 2 50 5 13" xfId="9186" xr:uid="{00000000-0005-0000-0000-0000D1230000}"/>
    <cellStyle name="Normal 2 50 5 13 2" xfId="9187" xr:uid="{00000000-0005-0000-0000-0000D2230000}"/>
    <cellStyle name="Normal 2 50 5 13 3" xfId="9188" xr:uid="{00000000-0005-0000-0000-0000D3230000}"/>
    <cellStyle name="Normal 2 50 5 14" xfId="9189" xr:uid="{00000000-0005-0000-0000-0000D4230000}"/>
    <cellStyle name="Normal 2 50 5 14 2" xfId="9190" xr:uid="{00000000-0005-0000-0000-0000D5230000}"/>
    <cellStyle name="Normal 2 50 5 14 3" xfId="9191" xr:uid="{00000000-0005-0000-0000-0000D6230000}"/>
    <cellStyle name="Normal 2 50 5 15" xfId="9192" xr:uid="{00000000-0005-0000-0000-0000D7230000}"/>
    <cellStyle name="Normal 2 50 5 16" xfId="9193" xr:uid="{00000000-0005-0000-0000-0000D8230000}"/>
    <cellStyle name="Normal 2 50 5 2" xfId="9194" xr:uid="{00000000-0005-0000-0000-0000D9230000}"/>
    <cellStyle name="Normal 2 50 5 2 2" xfId="9195" xr:uid="{00000000-0005-0000-0000-0000DA230000}"/>
    <cellStyle name="Normal 2 50 5 2 3" xfId="9196" xr:uid="{00000000-0005-0000-0000-0000DB230000}"/>
    <cellStyle name="Normal 2 50 5 3" xfId="9197" xr:uid="{00000000-0005-0000-0000-0000DC230000}"/>
    <cellStyle name="Normal 2 50 5 3 2" xfId="9198" xr:uid="{00000000-0005-0000-0000-0000DD230000}"/>
    <cellStyle name="Normal 2 50 5 3 3" xfId="9199" xr:uid="{00000000-0005-0000-0000-0000DE230000}"/>
    <cellStyle name="Normal 2 50 5 4" xfId="9200" xr:uid="{00000000-0005-0000-0000-0000DF230000}"/>
    <cellStyle name="Normal 2 50 5 4 2" xfId="9201" xr:uid="{00000000-0005-0000-0000-0000E0230000}"/>
    <cellStyle name="Normal 2 50 5 4 3" xfId="9202" xr:uid="{00000000-0005-0000-0000-0000E1230000}"/>
    <cellStyle name="Normal 2 50 5 5" xfId="9203" xr:uid="{00000000-0005-0000-0000-0000E2230000}"/>
    <cellStyle name="Normal 2 50 5 5 2" xfId="9204" xr:uid="{00000000-0005-0000-0000-0000E3230000}"/>
    <cellStyle name="Normal 2 50 5 5 3" xfId="9205" xr:uid="{00000000-0005-0000-0000-0000E4230000}"/>
    <cellStyle name="Normal 2 50 5 6" xfId="9206" xr:uid="{00000000-0005-0000-0000-0000E5230000}"/>
    <cellStyle name="Normal 2 50 5 6 2" xfId="9207" xr:uid="{00000000-0005-0000-0000-0000E6230000}"/>
    <cellStyle name="Normal 2 50 5 6 3" xfId="9208" xr:uid="{00000000-0005-0000-0000-0000E7230000}"/>
    <cellStyle name="Normal 2 50 5 7" xfId="9209" xr:uid="{00000000-0005-0000-0000-0000E8230000}"/>
    <cellStyle name="Normal 2 50 5 7 2" xfId="9210" xr:uid="{00000000-0005-0000-0000-0000E9230000}"/>
    <cellStyle name="Normal 2 50 5 7 3" xfId="9211" xr:uid="{00000000-0005-0000-0000-0000EA230000}"/>
    <cellStyle name="Normal 2 50 5 8" xfId="9212" xr:uid="{00000000-0005-0000-0000-0000EB230000}"/>
    <cellStyle name="Normal 2 50 5 8 2" xfId="9213" xr:uid="{00000000-0005-0000-0000-0000EC230000}"/>
    <cellStyle name="Normal 2 50 5 8 3" xfId="9214" xr:uid="{00000000-0005-0000-0000-0000ED230000}"/>
    <cellStyle name="Normal 2 50 5 9" xfId="9215" xr:uid="{00000000-0005-0000-0000-0000EE230000}"/>
    <cellStyle name="Normal 2 50 5 9 2" xfId="9216" xr:uid="{00000000-0005-0000-0000-0000EF230000}"/>
    <cellStyle name="Normal 2 50 5 9 3" xfId="9217" xr:uid="{00000000-0005-0000-0000-0000F0230000}"/>
    <cellStyle name="Normal 2 50 6" xfId="9218" xr:uid="{00000000-0005-0000-0000-0000F1230000}"/>
    <cellStyle name="Normal 2 50 6 10" xfId="9219" xr:uid="{00000000-0005-0000-0000-0000F2230000}"/>
    <cellStyle name="Normal 2 50 6 10 2" xfId="9220" xr:uid="{00000000-0005-0000-0000-0000F3230000}"/>
    <cellStyle name="Normal 2 50 6 10 3" xfId="9221" xr:uid="{00000000-0005-0000-0000-0000F4230000}"/>
    <cellStyle name="Normal 2 50 6 11" xfId="9222" xr:uid="{00000000-0005-0000-0000-0000F5230000}"/>
    <cellStyle name="Normal 2 50 6 11 2" xfId="9223" xr:uid="{00000000-0005-0000-0000-0000F6230000}"/>
    <cellStyle name="Normal 2 50 6 11 3" xfId="9224" xr:uid="{00000000-0005-0000-0000-0000F7230000}"/>
    <cellStyle name="Normal 2 50 6 12" xfId="9225" xr:uid="{00000000-0005-0000-0000-0000F8230000}"/>
    <cellStyle name="Normal 2 50 6 12 2" xfId="9226" xr:uid="{00000000-0005-0000-0000-0000F9230000}"/>
    <cellStyle name="Normal 2 50 6 12 3" xfId="9227" xr:uid="{00000000-0005-0000-0000-0000FA230000}"/>
    <cellStyle name="Normal 2 50 6 13" xfId="9228" xr:uid="{00000000-0005-0000-0000-0000FB230000}"/>
    <cellStyle name="Normal 2 50 6 13 2" xfId="9229" xr:uid="{00000000-0005-0000-0000-0000FC230000}"/>
    <cellStyle name="Normal 2 50 6 13 3" xfId="9230" xr:uid="{00000000-0005-0000-0000-0000FD230000}"/>
    <cellStyle name="Normal 2 50 6 14" xfId="9231" xr:uid="{00000000-0005-0000-0000-0000FE230000}"/>
    <cellStyle name="Normal 2 50 6 14 2" xfId="9232" xr:uid="{00000000-0005-0000-0000-0000FF230000}"/>
    <cellStyle name="Normal 2 50 6 14 3" xfId="9233" xr:uid="{00000000-0005-0000-0000-000000240000}"/>
    <cellStyle name="Normal 2 50 6 15" xfId="9234" xr:uid="{00000000-0005-0000-0000-000001240000}"/>
    <cellStyle name="Normal 2 50 6 16" xfId="9235" xr:uid="{00000000-0005-0000-0000-000002240000}"/>
    <cellStyle name="Normal 2 50 6 2" xfId="9236" xr:uid="{00000000-0005-0000-0000-000003240000}"/>
    <cellStyle name="Normal 2 50 6 2 2" xfId="9237" xr:uid="{00000000-0005-0000-0000-000004240000}"/>
    <cellStyle name="Normal 2 50 6 2 3" xfId="9238" xr:uid="{00000000-0005-0000-0000-000005240000}"/>
    <cellStyle name="Normal 2 50 6 3" xfId="9239" xr:uid="{00000000-0005-0000-0000-000006240000}"/>
    <cellStyle name="Normal 2 50 6 3 2" xfId="9240" xr:uid="{00000000-0005-0000-0000-000007240000}"/>
    <cellStyle name="Normal 2 50 6 3 3" xfId="9241" xr:uid="{00000000-0005-0000-0000-000008240000}"/>
    <cellStyle name="Normal 2 50 6 4" xfId="9242" xr:uid="{00000000-0005-0000-0000-000009240000}"/>
    <cellStyle name="Normal 2 50 6 4 2" xfId="9243" xr:uid="{00000000-0005-0000-0000-00000A240000}"/>
    <cellStyle name="Normal 2 50 6 4 3" xfId="9244" xr:uid="{00000000-0005-0000-0000-00000B240000}"/>
    <cellStyle name="Normal 2 50 6 5" xfId="9245" xr:uid="{00000000-0005-0000-0000-00000C240000}"/>
    <cellStyle name="Normal 2 50 6 5 2" xfId="9246" xr:uid="{00000000-0005-0000-0000-00000D240000}"/>
    <cellStyle name="Normal 2 50 6 5 3" xfId="9247" xr:uid="{00000000-0005-0000-0000-00000E240000}"/>
    <cellStyle name="Normal 2 50 6 6" xfId="9248" xr:uid="{00000000-0005-0000-0000-00000F240000}"/>
    <cellStyle name="Normal 2 50 6 6 2" xfId="9249" xr:uid="{00000000-0005-0000-0000-000010240000}"/>
    <cellStyle name="Normal 2 50 6 6 3" xfId="9250" xr:uid="{00000000-0005-0000-0000-000011240000}"/>
    <cellStyle name="Normal 2 50 6 7" xfId="9251" xr:uid="{00000000-0005-0000-0000-000012240000}"/>
    <cellStyle name="Normal 2 50 6 7 2" xfId="9252" xr:uid="{00000000-0005-0000-0000-000013240000}"/>
    <cellStyle name="Normal 2 50 6 7 3" xfId="9253" xr:uid="{00000000-0005-0000-0000-000014240000}"/>
    <cellStyle name="Normal 2 50 6 8" xfId="9254" xr:uid="{00000000-0005-0000-0000-000015240000}"/>
    <cellStyle name="Normal 2 50 6 8 2" xfId="9255" xr:uid="{00000000-0005-0000-0000-000016240000}"/>
    <cellStyle name="Normal 2 50 6 8 3" xfId="9256" xr:uid="{00000000-0005-0000-0000-000017240000}"/>
    <cellStyle name="Normal 2 50 6 9" xfId="9257" xr:uid="{00000000-0005-0000-0000-000018240000}"/>
    <cellStyle name="Normal 2 50 6 9 2" xfId="9258" xr:uid="{00000000-0005-0000-0000-000019240000}"/>
    <cellStyle name="Normal 2 50 6 9 3" xfId="9259" xr:uid="{00000000-0005-0000-0000-00001A240000}"/>
    <cellStyle name="Normal 2 50 7" xfId="9260" xr:uid="{00000000-0005-0000-0000-00001B240000}"/>
    <cellStyle name="Normal 2 50 7 10" xfId="9261" xr:uid="{00000000-0005-0000-0000-00001C240000}"/>
    <cellStyle name="Normal 2 50 7 10 2" xfId="9262" xr:uid="{00000000-0005-0000-0000-00001D240000}"/>
    <cellStyle name="Normal 2 50 7 10 3" xfId="9263" xr:uid="{00000000-0005-0000-0000-00001E240000}"/>
    <cellStyle name="Normal 2 50 7 11" xfId="9264" xr:uid="{00000000-0005-0000-0000-00001F240000}"/>
    <cellStyle name="Normal 2 50 7 11 2" xfId="9265" xr:uid="{00000000-0005-0000-0000-000020240000}"/>
    <cellStyle name="Normal 2 50 7 11 3" xfId="9266" xr:uid="{00000000-0005-0000-0000-000021240000}"/>
    <cellStyle name="Normal 2 50 7 12" xfId="9267" xr:uid="{00000000-0005-0000-0000-000022240000}"/>
    <cellStyle name="Normal 2 50 7 12 2" xfId="9268" xr:uid="{00000000-0005-0000-0000-000023240000}"/>
    <cellStyle name="Normal 2 50 7 12 3" xfId="9269" xr:uid="{00000000-0005-0000-0000-000024240000}"/>
    <cellStyle name="Normal 2 50 7 13" xfId="9270" xr:uid="{00000000-0005-0000-0000-000025240000}"/>
    <cellStyle name="Normal 2 50 7 13 2" xfId="9271" xr:uid="{00000000-0005-0000-0000-000026240000}"/>
    <cellStyle name="Normal 2 50 7 13 3" xfId="9272" xr:uid="{00000000-0005-0000-0000-000027240000}"/>
    <cellStyle name="Normal 2 50 7 14" xfId="9273" xr:uid="{00000000-0005-0000-0000-000028240000}"/>
    <cellStyle name="Normal 2 50 7 14 2" xfId="9274" xr:uid="{00000000-0005-0000-0000-000029240000}"/>
    <cellStyle name="Normal 2 50 7 14 3" xfId="9275" xr:uid="{00000000-0005-0000-0000-00002A240000}"/>
    <cellStyle name="Normal 2 50 7 15" xfId="9276" xr:uid="{00000000-0005-0000-0000-00002B240000}"/>
    <cellStyle name="Normal 2 50 7 16" xfId="9277" xr:uid="{00000000-0005-0000-0000-00002C240000}"/>
    <cellStyle name="Normal 2 50 7 2" xfId="9278" xr:uid="{00000000-0005-0000-0000-00002D240000}"/>
    <cellStyle name="Normal 2 50 7 2 2" xfId="9279" xr:uid="{00000000-0005-0000-0000-00002E240000}"/>
    <cellStyle name="Normal 2 50 7 2 3" xfId="9280" xr:uid="{00000000-0005-0000-0000-00002F240000}"/>
    <cellStyle name="Normal 2 50 7 3" xfId="9281" xr:uid="{00000000-0005-0000-0000-000030240000}"/>
    <cellStyle name="Normal 2 50 7 3 2" xfId="9282" xr:uid="{00000000-0005-0000-0000-000031240000}"/>
    <cellStyle name="Normal 2 50 7 3 3" xfId="9283" xr:uid="{00000000-0005-0000-0000-000032240000}"/>
    <cellStyle name="Normal 2 50 7 4" xfId="9284" xr:uid="{00000000-0005-0000-0000-000033240000}"/>
    <cellStyle name="Normal 2 50 7 4 2" xfId="9285" xr:uid="{00000000-0005-0000-0000-000034240000}"/>
    <cellStyle name="Normal 2 50 7 4 3" xfId="9286" xr:uid="{00000000-0005-0000-0000-000035240000}"/>
    <cellStyle name="Normal 2 50 7 5" xfId="9287" xr:uid="{00000000-0005-0000-0000-000036240000}"/>
    <cellStyle name="Normal 2 50 7 5 2" xfId="9288" xr:uid="{00000000-0005-0000-0000-000037240000}"/>
    <cellStyle name="Normal 2 50 7 5 3" xfId="9289" xr:uid="{00000000-0005-0000-0000-000038240000}"/>
    <cellStyle name="Normal 2 50 7 6" xfId="9290" xr:uid="{00000000-0005-0000-0000-000039240000}"/>
    <cellStyle name="Normal 2 50 7 6 2" xfId="9291" xr:uid="{00000000-0005-0000-0000-00003A240000}"/>
    <cellStyle name="Normal 2 50 7 6 3" xfId="9292" xr:uid="{00000000-0005-0000-0000-00003B240000}"/>
    <cellStyle name="Normal 2 50 7 7" xfId="9293" xr:uid="{00000000-0005-0000-0000-00003C240000}"/>
    <cellStyle name="Normal 2 50 7 7 2" xfId="9294" xr:uid="{00000000-0005-0000-0000-00003D240000}"/>
    <cellStyle name="Normal 2 50 7 7 3" xfId="9295" xr:uid="{00000000-0005-0000-0000-00003E240000}"/>
    <cellStyle name="Normal 2 50 7 8" xfId="9296" xr:uid="{00000000-0005-0000-0000-00003F240000}"/>
    <cellStyle name="Normal 2 50 7 8 2" xfId="9297" xr:uid="{00000000-0005-0000-0000-000040240000}"/>
    <cellStyle name="Normal 2 50 7 8 3" xfId="9298" xr:uid="{00000000-0005-0000-0000-000041240000}"/>
    <cellStyle name="Normal 2 50 7 9" xfId="9299" xr:uid="{00000000-0005-0000-0000-000042240000}"/>
    <cellStyle name="Normal 2 50 7 9 2" xfId="9300" xr:uid="{00000000-0005-0000-0000-000043240000}"/>
    <cellStyle name="Normal 2 50 7 9 3" xfId="9301" xr:uid="{00000000-0005-0000-0000-000044240000}"/>
    <cellStyle name="Normal 2 50 8" xfId="9302" xr:uid="{00000000-0005-0000-0000-000045240000}"/>
    <cellStyle name="Normal 2 50 8 10" xfId="9303" xr:uid="{00000000-0005-0000-0000-000046240000}"/>
    <cellStyle name="Normal 2 50 8 10 2" xfId="9304" xr:uid="{00000000-0005-0000-0000-000047240000}"/>
    <cellStyle name="Normal 2 50 8 10 3" xfId="9305" xr:uid="{00000000-0005-0000-0000-000048240000}"/>
    <cellStyle name="Normal 2 50 8 11" xfId="9306" xr:uid="{00000000-0005-0000-0000-000049240000}"/>
    <cellStyle name="Normal 2 50 8 11 2" xfId="9307" xr:uid="{00000000-0005-0000-0000-00004A240000}"/>
    <cellStyle name="Normal 2 50 8 11 3" xfId="9308" xr:uid="{00000000-0005-0000-0000-00004B240000}"/>
    <cellStyle name="Normal 2 50 8 12" xfId="9309" xr:uid="{00000000-0005-0000-0000-00004C240000}"/>
    <cellStyle name="Normal 2 50 8 12 2" xfId="9310" xr:uid="{00000000-0005-0000-0000-00004D240000}"/>
    <cellStyle name="Normal 2 50 8 12 3" xfId="9311" xr:uid="{00000000-0005-0000-0000-00004E240000}"/>
    <cellStyle name="Normal 2 50 8 13" xfId="9312" xr:uid="{00000000-0005-0000-0000-00004F240000}"/>
    <cellStyle name="Normal 2 50 8 13 2" xfId="9313" xr:uid="{00000000-0005-0000-0000-000050240000}"/>
    <cellStyle name="Normal 2 50 8 13 3" xfId="9314" xr:uid="{00000000-0005-0000-0000-000051240000}"/>
    <cellStyle name="Normal 2 50 8 14" xfId="9315" xr:uid="{00000000-0005-0000-0000-000052240000}"/>
    <cellStyle name="Normal 2 50 8 14 2" xfId="9316" xr:uid="{00000000-0005-0000-0000-000053240000}"/>
    <cellStyle name="Normal 2 50 8 14 3" xfId="9317" xr:uid="{00000000-0005-0000-0000-000054240000}"/>
    <cellStyle name="Normal 2 50 8 15" xfId="9318" xr:uid="{00000000-0005-0000-0000-000055240000}"/>
    <cellStyle name="Normal 2 50 8 16" xfId="9319" xr:uid="{00000000-0005-0000-0000-000056240000}"/>
    <cellStyle name="Normal 2 50 8 2" xfId="9320" xr:uid="{00000000-0005-0000-0000-000057240000}"/>
    <cellStyle name="Normal 2 50 8 2 2" xfId="9321" xr:uid="{00000000-0005-0000-0000-000058240000}"/>
    <cellStyle name="Normal 2 50 8 2 3" xfId="9322" xr:uid="{00000000-0005-0000-0000-000059240000}"/>
    <cellStyle name="Normal 2 50 8 3" xfId="9323" xr:uid="{00000000-0005-0000-0000-00005A240000}"/>
    <cellStyle name="Normal 2 50 8 3 2" xfId="9324" xr:uid="{00000000-0005-0000-0000-00005B240000}"/>
    <cellStyle name="Normal 2 50 8 3 3" xfId="9325" xr:uid="{00000000-0005-0000-0000-00005C240000}"/>
    <cellStyle name="Normal 2 50 8 4" xfId="9326" xr:uid="{00000000-0005-0000-0000-00005D240000}"/>
    <cellStyle name="Normal 2 50 8 4 2" xfId="9327" xr:uid="{00000000-0005-0000-0000-00005E240000}"/>
    <cellStyle name="Normal 2 50 8 4 3" xfId="9328" xr:uid="{00000000-0005-0000-0000-00005F240000}"/>
    <cellStyle name="Normal 2 50 8 5" xfId="9329" xr:uid="{00000000-0005-0000-0000-000060240000}"/>
    <cellStyle name="Normal 2 50 8 5 2" xfId="9330" xr:uid="{00000000-0005-0000-0000-000061240000}"/>
    <cellStyle name="Normal 2 50 8 5 3" xfId="9331" xr:uid="{00000000-0005-0000-0000-000062240000}"/>
    <cellStyle name="Normal 2 50 8 6" xfId="9332" xr:uid="{00000000-0005-0000-0000-000063240000}"/>
    <cellStyle name="Normal 2 50 8 6 2" xfId="9333" xr:uid="{00000000-0005-0000-0000-000064240000}"/>
    <cellStyle name="Normal 2 50 8 6 3" xfId="9334" xr:uid="{00000000-0005-0000-0000-000065240000}"/>
    <cellStyle name="Normal 2 50 8 7" xfId="9335" xr:uid="{00000000-0005-0000-0000-000066240000}"/>
    <cellStyle name="Normal 2 50 8 7 2" xfId="9336" xr:uid="{00000000-0005-0000-0000-000067240000}"/>
    <cellStyle name="Normal 2 50 8 7 3" xfId="9337" xr:uid="{00000000-0005-0000-0000-000068240000}"/>
    <cellStyle name="Normal 2 50 8 8" xfId="9338" xr:uid="{00000000-0005-0000-0000-000069240000}"/>
    <cellStyle name="Normal 2 50 8 8 2" xfId="9339" xr:uid="{00000000-0005-0000-0000-00006A240000}"/>
    <cellStyle name="Normal 2 50 8 8 3" xfId="9340" xr:uid="{00000000-0005-0000-0000-00006B240000}"/>
    <cellStyle name="Normal 2 50 8 9" xfId="9341" xr:uid="{00000000-0005-0000-0000-00006C240000}"/>
    <cellStyle name="Normal 2 50 8 9 2" xfId="9342" xr:uid="{00000000-0005-0000-0000-00006D240000}"/>
    <cellStyle name="Normal 2 50 8 9 3" xfId="9343" xr:uid="{00000000-0005-0000-0000-00006E240000}"/>
    <cellStyle name="Normal 2 50 9" xfId="9344" xr:uid="{00000000-0005-0000-0000-00006F240000}"/>
    <cellStyle name="Normal 2 50 9 10" xfId="9345" xr:uid="{00000000-0005-0000-0000-000070240000}"/>
    <cellStyle name="Normal 2 50 9 10 2" xfId="9346" xr:uid="{00000000-0005-0000-0000-000071240000}"/>
    <cellStyle name="Normal 2 50 9 10 3" xfId="9347" xr:uid="{00000000-0005-0000-0000-000072240000}"/>
    <cellStyle name="Normal 2 50 9 11" xfId="9348" xr:uid="{00000000-0005-0000-0000-000073240000}"/>
    <cellStyle name="Normal 2 50 9 11 2" xfId="9349" xr:uid="{00000000-0005-0000-0000-000074240000}"/>
    <cellStyle name="Normal 2 50 9 11 3" xfId="9350" xr:uid="{00000000-0005-0000-0000-000075240000}"/>
    <cellStyle name="Normal 2 50 9 12" xfId="9351" xr:uid="{00000000-0005-0000-0000-000076240000}"/>
    <cellStyle name="Normal 2 50 9 12 2" xfId="9352" xr:uid="{00000000-0005-0000-0000-000077240000}"/>
    <cellStyle name="Normal 2 50 9 12 3" xfId="9353" xr:uid="{00000000-0005-0000-0000-000078240000}"/>
    <cellStyle name="Normal 2 50 9 13" xfId="9354" xr:uid="{00000000-0005-0000-0000-000079240000}"/>
    <cellStyle name="Normal 2 50 9 13 2" xfId="9355" xr:uid="{00000000-0005-0000-0000-00007A240000}"/>
    <cellStyle name="Normal 2 50 9 13 3" xfId="9356" xr:uid="{00000000-0005-0000-0000-00007B240000}"/>
    <cellStyle name="Normal 2 50 9 14" xfId="9357" xr:uid="{00000000-0005-0000-0000-00007C240000}"/>
    <cellStyle name="Normal 2 50 9 14 2" xfId="9358" xr:uid="{00000000-0005-0000-0000-00007D240000}"/>
    <cellStyle name="Normal 2 50 9 14 3" xfId="9359" xr:uid="{00000000-0005-0000-0000-00007E240000}"/>
    <cellStyle name="Normal 2 50 9 15" xfId="9360" xr:uid="{00000000-0005-0000-0000-00007F240000}"/>
    <cellStyle name="Normal 2 50 9 16" xfId="9361" xr:uid="{00000000-0005-0000-0000-000080240000}"/>
    <cellStyle name="Normal 2 50 9 2" xfId="9362" xr:uid="{00000000-0005-0000-0000-000081240000}"/>
    <cellStyle name="Normal 2 50 9 2 2" xfId="9363" xr:uid="{00000000-0005-0000-0000-000082240000}"/>
    <cellStyle name="Normal 2 50 9 2 3" xfId="9364" xr:uid="{00000000-0005-0000-0000-000083240000}"/>
    <cellStyle name="Normal 2 50 9 3" xfId="9365" xr:uid="{00000000-0005-0000-0000-000084240000}"/>
    <cellStyle name="Normal 2 50 9 3 2" xfId="9366" xr:uid="{00000000-0005-0000-0000-000085240000}"/>
    <cellStyle name="Normal 2 50 9 3 3" xfId="9367" xr:uid="{00000000-0005-0000-0000-000086240000}"/>
    <cellStyle name="Normal 2 50 9 4" xfId="9368" xr:uid="{00000000-0005-0000-0000-000087240000}"/>
    <cellStyle name="Normal 2 50 9 4 2" xfId="9369" xr:uid="{00000000-0005-0000-0000-000088240000}"/>
    <cellStyle name="Normal 2 50 9 4 3" xfId="9370" xr:uid="{00000000-0005-0000-0000-000089240000}"/>
    <cellStyle name="Normal 2 50 9 5" xfId="9371" xr:uid="{00000000-0005-0000-0000-00008A240000}"/>
    <cellStyle name="Normal 2 50 9 5 2" xfId="9372" xr:uid="{00000000-0005-0000-0000-00008B240000}"/>
    <cellStyle name="Normal 2 50 9 5 3" xfId="9373" xr:uid="{00000000-0005-0000-0000-00008C240000}"/>
    <cellStyle name="Normal 2 50 9 6" xfId="9374" xr:uid="{00000000-0005-0000-0000-00008D240000}"/>
    <cellStyle name="Normal 2 50 9 6 2" xfId="9375" xr:uid="{00000000-0005-0000-0000-00008E240000}"/>
    <cellStyle name="Normal 2 50 9 6 3" xfId="9376" xr:uid="{00000000-0005-0000-0000-00008F240000}"/>
    <cellStyle name="Normal 2 50 9 7" xfId="9377" xr:uid="{00000000-0005-0000-0000-000090240000}"/>
    <cellStyle name="Normal 2 50 9 7 2" xfId="9378" xr:uid="{00000000-0005-0000-0000-000091240000}"/>
    <cellStyle name="Normal 2 50 9 7 3" xfId="9379" xr:uid="{00000000-0005-0000-0000-000092240000}"/>
    <cellStyle name="Normal 2 50 9 8" xfId="9380" xr:uid="{00000000-0005-0000-0000-000093240000}"/>
    <cellStyle name="Normal 2 50 9 8 2" xfId="9381" xr:uid="{00000000-0005-0000-0000-000094240000}"/>
    <cellStyle name="Normal 2 50 9 8 3" xfId="9382" xr:uid="{00000000-0005-0000-0000-000095240000}"/>
    <cellStyle name="Normal 2 50 9 9" xfId="9383" xr:uid="{00000000-0005-0000-0000-000096240000}"/>
    <cellStyle name="Normal 2 50 9 9 2" xfId="9384" xr:uid="{00000000-0005-0000-0000-000097240000}"/>
    <cellStyle name="Normal 2 50 9 9 3" xfId="9385" xr:uid="{00000000-0005-0000-0000-000098240000}"/>
    <cellStyle name="Normal 2 51" xfId="9386" xr:uid="{00000000-0005-0000-0000-000099240000}"/>
    <cellStyle name="Normal 2 51 10" xfId="9387" xr:uid="{00000000-0005-0000-0000-00009A240000}"/>
    <cellStyle name="Normal 2 51 10 10" xfId="9388" xr:uid="{00000000-0005-0000-0000-00009B240000}"/>
    <cellStyle name="Normal 2 51 10 10 2" xfId="9389" xr:uid="{00000000-0005-0000-0000-00009C240000}"/>
    <cellStyle name="Normal 2 51 10 10 3" xfId="9390" xr:uid="{00000000-0005-0000-0000-00009D240000}"/>
    <cellStyle name="Normal 2 51 10 11" xfId="9391" xr:uid="{00000000-0005-0000-0000-00009E240000}"/>
    <cellStyle name="Normal 2 51 10 11 2" xfId="9392" xr:uid="{00000000-0005-0000-0000-00009F240000}"/>
    <cellStyle name="Normal 2 51 10 11 3" xfId="9393" xr:uid="{00000000-0005-0000-0000-0000A0240000}"/>
    <cellStyle name="Normal 2 51 10 12" xfId="9394" xr:uid="{00000000-0005-0000-0000-0000A1240000}"/>
    <cellStyle name="Normal 2 51 10 12 2" xfId="9395" xr:uid="{00000000-0005-0000-0000-0000A2240000}"/>
    <cellStyle name="Normal 2 51 10 12 3" xfId="9396" xr:uid="{00000000-0005-0000-0000-0000A3240000}"/>
    <cellStyle name="Normal 2 51 10 13" xfId="9397" xr:uid="{00000000-0005-0000-0000-0000A4240000}"/>
    <cellStyle name="Normal 2 51 10 13 2" xfId="9398" xr:uid="{00000000-0005-0000-0000-0000A5240000}"/>
    <cellStyle name="Normal 2 51 10 13 3" xfId="9399" xr:uid="{00000000-0005-0000-0000-0000A6240000}"/>
    <cellStyle name="Normal 2 51 10 14" xfId="9400" xr:uid="{00000000-0005-0000-0000-0000A7240000}"/>
    <cellStyle name="Normal 2 51 10 14 2" xfId="9401" xr:uid="{00000000-0005-0000-0000-0000A8240000}"/>
    <cellStyle name="Normal 2 51 10 14 3" xfId="9402" xr:uid="{00000000-0005-0000-0000-0000A9240000}"/>
    <cellStyle name="Normal 2 51 10 15" xfId="9403" xr:uid="{00000000-0005-0000-0000-0000AA240000}"/>
    <cellStyle name="Normal 2 51 10 16" xfId="9404" xr:uid="{00000000-0005-0000-0000-0000AB240000}"/>
    <cellStyle name="Normal 2 51 10 2" xfId="9405" xr:uid="{00000000-0005-0000-0000-0000AC240000}"/>
    <cellStyle name="Normal 2 51 10 2 2" xfId="9406" xr:uid="{00000000-0005-0000-0000-0000AD240000}"/>
    <cellStyle name="Normal 2 51 10 2 3" xfId="9407" xr:uid="{00000000-0005-0000-0000-0000AE240000}"/>
    <cellStyle name="Normal 2 51 10 3" xfId="9408" xr:uid="{00000000-0005-0000-0000-0000AF240000}"/>
    <cellStyle name="Normal 2 51 10 3 2" xfId="9409" xr:uid="{00000000-0005-0000-0000-0000B0240000}"/>
    <cellStyle name="Normal 2 51 10 3 3" xfId="9410" xr:uid="{00000000-0005-0000-0000-0000B1240000}"/>
    <cellStyle name="Normal 2 51 10 4" xfId="9411" xr:uid="{00000000-0005-0000-0000-0000B2240000}"/>
    <cellStyle name="Normal 2 51 10 4 2" xfId="9412" xr:uid="{00000000-0005-0000-0000-0000B3240000}"/>
    <cellStyle name="Normal 2 51 10 4 3" xfId="9413" xr:uid="{00000000-0005-0000-0000-0000B4240000}"/>
    <cellStyle name="Normal 2 51 10 5" xfId="9414" xr:uid="{00000000-0005-0000-0000-0000B5240000}"/>
    <cellStyle name="Normal 2 51 10 5 2" xfId="9415" xr:uid="{00000000-0005-0000-0000-0000B6240000}"/>
    <cellStyle name="Normal 2 51 10 5 3" xfId="9416" xr:uid="{00000000-0005-0000-0000-0000B7240000}"/>
    <cellStyle name="Normal 2 51 10 6" xfId="9417" xr:uid="{00000000-0005-0000-0000-0000B8240000}"/>
    <cellStyle name="Normal 2 51 10 6 2" xfId="9418" xr:uid="{00000000-0005-0000-0000-0000B9240000}"/>
    <cellStyle name="Normal 2 51 10 6 3" xfId="9419" xr:uid="{00000000-0005-0000-0000-0000BA240000}"/>
    <cellStyle name="Normal 2 51 10 7" xfId="9420" xr:uid="{00000000-0005-0000-0000-0000BB240000}"/>
    <cellStyle name="Normal 2 51 10 7 2" xfId="9421" xr:uid="{00000000-0005-0000-0000-0000BC240000}"/>
    <cellStyle name="Normal 2 51 10 7 3" xfId="9422" xr:uid="{00000000-0005-0000-0000-0000BD240000}"/>
    <cellStyle name="Normal 2 51 10 8" xfId="9423" xr:uid="{00000000-0005-0000-0000-0000BE240000}"/>
    <cellStyle name="Normal 2 51 10 8 2" xfId="9424" xr:uid="{00000000-0005-0000-0000-0000BF240000}"/>
    <cellStyle name="Normal 2 51 10 8 3" xfId="9425" xr:uid="{00000000-0005-0000-0000-0000C0240000}"/>
    <cellStyle name="Normal 2 51 10 9" xfId="9426" xr:uid="{00000000-0005-0000-0000-0000C1240000}"/>
    <cellStyle name="Normal 2 51 10 9 2" xfId="9427" xr:uid="{00000000-0005-0000-0000-0000C2240000}"/>
    <cellStyle name="Normal 2 51 10 9 3" xfId="9428" xr:uid="{00000000-0005-0000-0000-0000C3240000}"/>
    <cellStyle name="Normal 2 51 11" xfId="9429" xr:uid="{00000000-0005-0000-0000-0000C4240000}"/>
    <cellStyle name="Normal 2 51 11 2" xfId="9430" xr:uid="{00000000-0005-0000-0000-0000C5240000}"/>
    <cellStyle name="Normal 2 51 11 3" xfId="9431" xr:uid="{00000000-0005-0000-0000-0000C6240000}"/>
    <cellStyle name="Normal 2 51 12" xfId="9432" xr:uid="{00000000-0005-0000-0000-0000C7240000}"/>
    <cellStyle name="Normal 2 51 12 2" xfId="9433" xr:uid="{00000000-0005-0000-0000-0000C8240000}"/>
    <cellStyle name="Normal 2 51 12 3" xfId="9434" xr:uid="{00000000-0005-0000-0000-0000C9240000}"/>
    <cellStyle name="Normal 2 51 13" xfId="9435" xr:uid="{00000000-0005-0000-0000-0000CA240000}"/>
    <cellStyle name="Normal 2 51 13 2" xfId="9436" xr:uid="{00000000-0005-0000-0000-0000CB240000}"/>
    <cellStyle name="Normal 2 51 13 3" xfId="9437" xr:uid="{00000000-0005-0000-0000-0000CC240000}"/>
    <cellStyle name="Normal 2 51 14" xfId="9438" xr:uid="{00000000-0005-0000-0000-0000CD240000}"/>
    <cellStyle name="Normal 2 51 14 2" xfId="9439" xr:uid="{00000000-0005-0000-0000-0000CE240000}"/>
    <cellStyle name="Normal 2 51 14 3" xfId="9440" xr:uid="{00000000-0005-0000-0000-0000CF240000}"/>
    <cellStyle name="Normal 2 51 15" xfId="9441" xr:uid="{00000000-0005-0000-0000-0000D0240000}"/>
    <cellStyle name="Normal 2 51 15 2" xfId="9442" xr:uid="{00000000-0005-0000-0000-0000D1240000}"/>
    <cellStyle name="Normal 2 51 15 3" xfId="9443" xr:uid="{00000000-0005-0000-0000-0000D2240000}"/>
    <cellStyle name="Normal 2 51 16" xfId="9444" xr:uid="{00000000-0005-0000-0000-0000D3240000}"/>
    <cellStyle name="Normal 2 51 16 2" xfId="9445" xr:uid="{00000000-0005-0000-0000-0000D4240000}"/>
    <cellStyle name="Normal 2 51 16 3" xfId="9446" xr:uid="{00000000-0005-0000-0000-0000D5240000}"/>
    <cellStyle name="Normal 2 51 17" xfId="9447" xr:uid="{00000000-0005-0000-0000-0000D6240000}"/>
    <cellStyle name="Normal 2 51 17 2" xfId="9448" xr:uid="{00000000-0005-0000-0000-0000D7240000}"/>
    <cellStyle name="Normal 2 51 17 3" xfId="9449" xr:uid="{00000000-0005-0000-0000-0000D8240000}"/>
    <cellStyle name="Normal 2 51 18" xfId="9450" xr:uid="{00000000-0005-0000-0000-0000D9240000}"/>
    <cellStyle name="Normal 2 51 18 2" xfId="9451" xr:uid="{00000000-0005-0000-0000-0000DA240000}"/>
    <cellStyle name="Normal 2 51 18 3" xfId="9452" xr:uid="{00000000-0005-0000-0000-0000DB240000}"/>
    <cellStyle name="Normal 2 51 19" xfId="9453" xr:uid="{00000000-0005-0000-0000-0000DC240000}"/>
    <cellStyle name="Normal 2 51 19 2" xfId="9454" xr:uid="{00000000-0005-0000-0000-0000DD240000}"/>
    <cellStyle name="Normal 2 51 19 3" xfId="9455" xr:uid="{00000000-0005-0000-0000-0000DE240000}"/>
    <cellStyle name="Normal 2 51 2" xfId="9456" xr:uid="{00000000-0005-0000-0000-0000DF240000}"/>
    <cellStyle name="Normal 2 51 2 10" xfId="9457" xr:uid="{00000000-0005-0000-0000-0000E0240000}"/>
    <cellStyle name="Normal 2 51 2 10 2" xfId="9458" xr:uid="{00000000-0005-0000-0000-0000E1240000}"/>
    <cellStyle name="Normal 2 51 2 10 3" xfId="9459" xr:uid="{00000000-0005-0000-0000-0000E2240000}"/>
    <cellStyle name="Normal 2 51 2 11" xfId="9460" xr:uid="{00000000-0005-0000-0000-0000E3240000}"/>
    <cellStyle name="Normal 2 51 2 11 2" xfId="9461" xr:uid="{00000000-0005-0000-0000-0000E4240000}"/>
    <cellStyle name="Normal 2 51 2 11 3" xfId="9462" xr:uid="{00000000-0005-0000-0000-0000E5240000}"/>
    <cellStyle name="Normal 2 51 2 12" xfId="9463" xr:uid="{00000000-0005-0000-0000-0000E6240000}"/>
    <cellStyle name="Normal 2 51 2 12 2" xfId="9464" xr:uid="{00000000-0005-0000-0000-0000E7240000}"/>
    <cellStyle name="Normal 2 51 2 12 3" xfId="9465" xr:uid="{00000000-0005-0000-0000-0000E8240000}"/>
    <cellStyle name="Normal 2 51 2 13" xfId="9466" xr:uid="{00000000-0005-0000-0000-0000E9240000}"/>
    <cellStyle name="Normal 2 51 2 13 2" xfId="9467" xr:uid="{00000000-0005-0000-0000-0000EA240000}"/>
    <cellStyle name="Normal 2 51 2 13 3" xfId="9468" xr:uid="{00000000-0005-0000-0000-0000EB240000}"/>
    <cellStyle name="Normal 2 51 2 14" xfId="9469" xr:uid="{00000000-0005-0000-0000-0000EC240000}"/>
    <cellStyle name="Normal 2 51 2 14 2" xfId="9470" xr:uid="{00000000-0005-0000-0000-0000ED240000}"/>
    <cellStyle name="Normal 2 51 2 14 3" xfId="9471" xr:uid="{00000000-0005-0000-0000-0000EE240000}"/>
    <cellStyle name="Normal 2 51 2 15" xfId="9472" xr:uid="{00000000-0005-0000-0000-0000EF240000}"/>
    <cellStyle name="Normal 2 51 2 15 2" xfId="9473" xr:uid="{00000000-0005-0000-0000-0000F0240000}"/>
    <cellStyle name="Normal 2 51 2 15 3" xfId="9474" xr:uid="{00000000-0005-0000-0000-0000F1240000}"/>
    <cellStyle name="Normal 2 51 2 16" xfId="9475" xr:uid="{00000000-0005-0000-0000-0000F2240000}"/>
    <cellStyle name="Normal 2 51 2 17" xfId="9476" xr:uid="{00000000-0005-0000-0000-0000F3240000}"/>
    <cellStyle name="Normal 2 51 2 2" xfId="9477" xr:uid="{00000000-0005-0000-0000-0000F4240000}"/>
    <cellStyle name="Normal 2 51 2 2 10" xfId="9478" xr:uid="{00000000-0005-0000-0000-0000F5240000}"/>
    <cellStyle name="Normal 2 51 2 2 10 2" xfId="9479" xr:uid="{00000000-0005-0000-0000-0000F6240000}"/>
    <cellStyle name="Normal 2 51 2 2 10 3" xfId="9480" xr:uid="{00000000-0005-0000-0000-0000F7240000}"/>
    <cellStyle name="Normal 2 51 2 2 11" xfId="9481" xr:uid="{00000000-0005-0000-0000-0000F8240000}"/>
    <cellStyle name="Normal 2 51 2 2 11 2" xfId="9482" xr:uid="{00000000-0005-0000-0000-0000F9240000}"/>
    <cellStyle name="Normal 2 51 2 2 11 3" xfId="9483" xr:uid="{00000000-0005-0000-0000-0000FA240000}"/>
    <cellStyle name="Normal 2 51 2 2 12" xfId="9484" xr:uid="{00000000-0005-0000-0000-0000FB240000}"/>
    <cellStyle name="Normal 2 51 2 2 12 2" xfId="9485" xr:uid="{00000000-0005-0000-0000-0000FC240000}"/>
    <cellStyle name="Normal 2 51 2 2 12 3" xfId="9486" xr:uid="{00000000-0005-0000-0000-0000FD240000}"/>
    <cellStyle name="Normal 2 51 2 2 13" xfId="9487" xr:uid="{00000000-0005-0000-0000-0000FE240000}"/>
    <cellStyle name="Normal 2 51 2 2 13 2" xfId="9488" xr:uid="{00000000-0005-0000-0000-0000FF240000}"/>
    <cellStyle name="Normal 2 51 2 2 13 3" xfId="9489" xr:uid="{00000000-0005-0000-0000-000000250000}"/>
    <cellStyle name="Normal 2 51 2 2 14" xfId="9490" xr:uid="{00000000-0005-0000-0000-000001250000}"/>
    <cellStyle name="Normal 2 51 2 2 14 2" xfId="9491" xr:uid="{00000000-0005-0000-0000-000002250000}"/>
    <cellStyle name="Normal 2 51 2 2 14 3" xfId="9492" xr:uid="{00000000-0005-0000-0000-000003250000}"/>
    <cellStyle name="Normal 2 51 2 2 15" xfId="9493" xr:uid="{00000000-0005-0000-0000-000004250000}"/>
    <cellStyle name="Normal 2 51 2 2 16" xfId="9494" xr:uid="{00000000-0005-0000-0000-000005250000}"/>
    <cellStyle name="Normal 2 51 2 2 2" xfId="9495" xr:uid="{00000000-0005-0000-0000-000006250000}"/>
    <cellStyle name="Normal 2 51 2 2 2 2" xfId="9496" xr:uid="{00000000-0005-0000-0000-000007250000}"/>
    <cellStyle name="Normal 2 51 2 2 2 3" xfId="9497" xr:uid="{00000000-0005-0000-0000-000008250000}"/>
    <cellStyle name="Normal 2 51 2 2 3" xfId="9498" xr:uid="{00000000-0005-0000-0000-000009250000}"/>
    <cellStyle name="Normal 2 51 2 2 3 2" xfId="9499" xr:uid="{00000000-0005-0000-0000-00000A250000}"/>
    <cellStyle name="Normal 2 51 2 2 3 3" xfId="9500" xr:uid="{00000000-0005-0000-0000-00000B250000}"/>
    <cellStyle name="Normal 2 51 2 2 4" xfId="9501" xr:uid="{00000000-0005-0000-0000-00000C250000}"/>
    <cellStyle name="Normal 2 51 2 2 4 2" xfId="9502" xr:uid="{00000000-0005-0000-0000-00000D250000}"/>
    <cellStyle name="Normal 2 51 2 2 4 3" xfId="9503" xr:uid="{00000000-0005-0000-0000-00000E250000}"/>
    <cellStyle name="Normal 2 51 2 2 5" xfId="9504" xr:uid="{00000000-0005-0000-0000-00000F250000}"/>
    <cellStyle name="Normal 2 51 2 2 5 2" xfId="9505" xr:uid="{00000000-0005-0000-0000-000010250000}"/>
    <cellStyle name="Normal 2 51 2 2 5 3" xfId="9506" xr:uid="{00000000-0005-0000-0000-000011250000}"/>
    <cellStyle name="Normal 2 51 2 2 6" xfId="9507" xr:uid="{00000000-0005-0000-0000-000012250000}"/>
    <cellStyle name="Normal 2 51 2 2 6 2" xfId="9508" xr:uid="{00000000-0005-0000-0000-000013250000}"/>
    <cellStyle name="Normal 2 51 2 2 6 3" xfId="9509" xr:uid="{00000000-0005-0000-0000-000014250000}"/>
    <cellStyle name="Normal 2 51 2 2 7" xfId="9510" xr:uid="{00000000-0005-0000-0000-000015250000}"/>
    <cellStyle name="Normal 2 51 2 2 7 2" xfId="9511" xr:uid="{00000000-0005-0000-0000-000016250000}"/>
    <cellStyle name="Normal 2 51 2 2 7 3" xfId="9512" xr:uid="{00000000-0005-0000-0000-000017250000}"/>
    <cellStyle name="Normal 2 51 2 2 8" xfId="9513" xr:uid="{00000000-0005-0000-0000-000018250000}"/>
    <cellStyle name="Normal 2 51 2 2 8 2" xfId="9514" xr:uid="{00000000-0005-0000-0000-000019250000}"/>
    <cellStyle name="Normal 2 51 2 2 8 3" xfId="9515" xr:uid="{00000000-0005-0000-0000-00001A250000}"/>
    <cellStyle name="Normal 2 51 2 2 9" xfId="9516" xr:uid="{00000000-0005-0000-0000-00001B250000}"/>
    <cellStyle name="Normal 2 51 2 2 9 2" xfId="9517" xr:uid="{00000000-0005-0000-0000-00001C250000}"/>
    <cellStyle name="Normal 2 51 2 2 9 3" xfId="9518" xr:uid="{00000000-0005-0000-0000-00001D250000}"/>
    <cellStyle name="Normal 2 51 2 3" xfId="9519" xr:uid="{00000000-0005-0000-0000-00001E250000}"/>
    <cellStyle name="Normal 2 51 2 3 2" xfId="9520" xr:uid="{00000000-0005-0000-0000-00001F250000}"/>
    <cellStyle name="Normal 2 51 2 3 3" xfId="9521" xr:uid="{00000000-0005-0000-0000-000020250000}"/>
    <cellStyle name="Normal 2 51 2 4" xfId="9522" xr:uid="{00000000-0005-0000-0000-000021250000}"/>
    <cellStyle name="Normal 2 51 2 4 2" xfId="9523" xr:uid="{00000000-0005-0000-0000-000022250000}"/>
    <cellStyle name="Normal 2 51 2 4 3" xfId="9524" xr:uid="{00000000-0005-0000-0000-000023250000}"/>
    <cellStyle name="Normal 2 51 2 5" xfId="9525" xr:uid="{00000000-0005-0000-0000-000024250000}"/>
    <cellStyle name="Normal 2 51 2 5 2" xfId="9526" xr:uid="{00000000-0005-0000-0000-000025250000}"/>
    <cellStyle name="Normal 2 51 2 5 3" xfId="9527" xr:uid="{00000000-0005-0000-0000-000026250000}"/>
    <cellStyle name="Normal 2 51 2 6" xfId="9528" xr:uid="{00000000-0005-0000-0000-000027250000}"/>
    <cellStyle name="Normal 2 51 2 6 2" xfId="9529" xr:uid="{00000000-0005-0000-0000-000028250000}"/>
    <cellStyle name="Normal 2 51 2 6 3" xfId="9530" xr:uid="{00000000-0005-0000-0000-000029250000}"/>
    <cellStyle name="Normal 2 51 2 7" xfId="9531" xr:uid="{00000000-0005-0000-0000-00002A250000}"/>
    <cellStyle name="Normal 2 51 2 7 2" xfId="9532" xr:uid="{00000000-0005-0000-0000-00002B250000}"/>
    <cellStyle name="Normal 2 51 2 7 3" xfId="9533" xr:uid="{00000000-0005-0000-0000-00002C250000}"/>
    <cellStyle name="Normal 2 51 2 8" xfId="9534" xr:uid="{00000000-0005-0000-0000-00002D250000}"/>
    <cellStyle name="Normal 2 51 2 8 2" xfId="9535" xr:uid="{00000000-0005-0000-0000-00002E250000}"/>
    <cellStyle name="Normal 2 51 2 8 3" xfId="9536" xr:uid="{00000000-0005-0000-0000-00002F250000}"/>
    <cellStyle name="Normal 2 51 2 9" xfId="9537" xr:uid="{00000000-0005-0000-0000-000030250000}"/>
    <cellStyle name="Normal 2 51 2 9 2" xfId="9538" xr:uid="{00000000-0005-0000-0000-000031250000}"/>
    <cellStyle name="Normal 2 51 2 9 3" xfId="9539" xr:uid="{00000000-0005-0000-0000-000032250000}"/>
    <cellStyle name="Normal 2 51 20" xfId="9540" xr:uid="{00000000-0005-0000-0000-000033250000}"/>
    <cellStyle name="Normal 2 51 20 2" xfId="9541" xr:uid="{00000000-0005-0000-0000-000034250000}"/>
    <cellStyle name="Normal 2 51 20 3" xfId="9542" xr:uid="{00000000-0005-0000-0000-000035250000}"/>
    <cellStyle name="Normal 2 51 21" xfId="9543" xr:uid="{00000000-0005-0000-0000-000036250000}"/>
    <cellStyle name="Normal 2 51 21 2" xfId="9544" xr:uid="{00000000-0005-0000-0000-000037250000}"/>
    <cellStyle name="Normal 2 51 21 3" xfId="9545" xr:uid="{00000000-0005-0000-0000-000038250000}"/>
    <cellStyle name="Normal 2 51 22" xfId="9546" xr:uid="{00000000-0005-0000-0000-000039250000}"/>
    <cellStyle name="Normal 2 51 22 2" xfId="9547" xr:uid="{00000000-0005-0000-0000-00003A250000}"/>
    <cellStyle name="Normal 2 51 22 3" xfId="9548" xr:uid="{00000000-0005-0000-0000-00003B250000}"/>
    <cellStyle name="Normal 2 51 23" xfId="9549" xr:uid="{00000000-0005-0000-0000-00003C250000}"/>
    <cellStyle name="Normal 2 51 23 2" xfId="9550" xr:uid="{00000000-0005-0000-0000-00003D250000}"/>
    <cellStyle name="Normal 2 51 23 3" xfId="9551" xr:uid="{00000000-0005-0000-0000-00003E250000}"/>
    <cellStyle name="Normal 2 51 24" xfId="9552" xr:uid="{00000000-0005-0000-0000-00003F250000}"/>
    <cellStyle name="Normal 2 51 25" xfId="9553" xr:uid="{00000000-0005-0000-0000-000040250000}"/>
    <cellStyle name="Normal 2 51 3" xfId="9554" xr:uid="{00000000-0005-0000-0000-000041250000}"/>
    <cellStyle name="Normal 2 51 3 10" xfId="9555" xr:uid="{00000000-0005-0000-0000-000042250000}"/>
    <cellStyle name="Normal 2 51 3 10 2" xfId="9556" xr:uid="{00000000-0005-0000-0000-000043250000}"/>
    <cellStyle name="Normal 2 51 3 10 3" xfId="9557" xr:uid="{00000000-0005-0000-0000-000044250000}"/>
    <cellStyle name="Normal 2 51 3 11" xfId="9558" xr:uid="{00000000-0005-0000-0000-000045250000}"/>
    <cellStyle name="Normal 2 51 3 11 2" xfId="9559" xr:uid="{00000000-0005-0000-0000-000046250000}"/>
    <cellStyle name="Normal 2 51 3 11 3" xfId="9560" xr:uid="{00000000-0005-0000-0000-000047250000}"/>
    <cellStyle name="Normal 2 51 3 12" xfId="9561" xr:uid="{00000000-0005-0000-0000-000048250000}"/>
    <cellStyle name="Normal 2 51 3 12 2" xfId="9562" xr:uid="{00000000-0005-0000-0000-000049250000}"/>
    <cellStyle name="Normal 2 51 3 12 3" xfId="9563" xr:uid="{00000000-0005-0000-0000-00004A250000}"/>
    <cellStyle name="Normal 2 51 3 13" xfId="9564" xr:uid="{00000000-0005-0000-0000-00004B250000}"/>
    <cellStyle name="Normal 2 51 3 13 2" xfId="9565" xr:uid="{00000000-0005-0000-0000-00004C250000}"/>
    <cellStyle name="Normal 2 51 3 13 3" xfId="9566" xr:uid="{00000000-0005-0000-0000-00004D250000}"/>
    <cellStyle name="Normal 2 51 3 14" xfId="9567" xr:uid="{00000000-0005-0000-0000-00004E250000}"/>
    <cellStyle name="Normal 2 51 3 14 2" xfId="9568" xr:uid="{00000000-0005-0000-0000-00004F250000}"/>
    <cellStyle name="Normal 2 51 3 14 3" xfId="9569" xr:uid="{00000000-0005-0000-0000-000050250000}"/>
    <cellStyle name="Normal 2 51 3 15" xfId="9570" xr:uid="{00000000-0005-0000-0000-000051250000}"/>
    <cellStyle name="Normal 2 51 3 15 2" xfId="9571" xr:uid="{00000000-0005-0000-0000-000052250000}"/>
    <cellStyle name="Normal 2 51 3 15 3" xfId="9572" xr:uid="{00000000-0005-0000-0000-000053250000}"/>
    <cellStyle name="Normal 2 51 3 16" xfId="9573" xr:uid="{00000000-0005-0000-0000-000054250000}"/>
    <cellStyle name="Normal 2 51 3 17" xfId="9574" xr:uid="{00000000-0005-0000-0000-000055250000}"/>
    <cellStyle name="Normal 2 51 3 2" xfId="9575" xr:uid="{00000000-0005-0000-0000-000056250000}"/>
    <cellStyle name="Normal 2 51 3 2 10" xfId="9576" xr:uid="{00000000-0005-0000-0000-000057250000}"/>
    <cellStyle name="Normal 2 51 3 2 10 2" xfId="9577" xr:uid="{00000000-0005-0000-0000-000058250000}"/>
    <cellStyle name="Normal 2 51 3 2 10 3" xfId="9578" xr:uid="{00000000-0005-0000-0000-000059250000}"/>
    <cellStyle name="Normal 2 51 3 2 11" xfId="9579" xr:uid="{00000000-0005-0000-0000-00005A250000}"/>
    <cellStyle name="Normal 2 51 3 2 11 2" xfId="9580" xr:uid="{00000000-0005-0000-0000-00005B250000}"/>
    <cellStyle name="Normal 2 51 3 2 11 3" xfId="9581" xr:uid="{00000000-0005-0000-0000-00005C250000}"/>
    <cellStyle name="Normal 2 51 3 2 12" xfId="9582" xr:uid="{00000000-0005-0000-0000-00005D250000}"/>
    <cellStyle name="Normal 2 51 3 2 12 2" xfId="9583" xr:uid="{00000000-0005-0000-0000-00005E250000}"/>
    <cellStyle name="Normal 2 51 3 2 12 3" xfId="9584" xr:uid="{00000000-0005-0000-0000-00005F250000}"/>
    <cellStyle name="Normal 2 51 3 2 13" xfId="9585" xr:uid="{00000000-0005-0000-0000-000060250000}"/>
    <cellStyle name="Normal 2 51 3 2 13 2" xfId="9586" xr:uid="{00000000-0005-0000-0000-000061250000}"/>
    <cellStyle name="Normal 2 51 3 2 13 3" xfId="9587" xr:uid="{00000000-0005-0000-0000-000062250000}"/>
    <cellStyle name="Normal 2 51 3 2 14" xfId="9588" xr:uid="{00000000-0005-0000-0000-000063250000}"/>
    <cellStyle name="Normal 2 51 3 2 14 2" xfId="9589" xr:uid="{00000000-0005-0000-0000-000064250000}"/>
    <cellStyle name="Normal 2 51 3 2 14 3" xfId="9590" xr:uid="{00000000-0005-0000-0000-000065250000}"/>
    <cellStyle name="Normal 2 51 3 2 15" xfId="9591" xr:uid="{00000000-0005-0000-0000-000066250000}"/>
    <cellStyle name="Normal 2 51 3 2 16" xfId="9592" xr:uid="{00000000-0005-0000-0000-000067250000}"/>
    <cellStyle name="Normal 2 51 3 2 2" xfId="9593" xr:uid="{00000000-0005-0000-0000-000068250000}"/>
    <cellStyle name="Normal 2 51 3 2 2 2" xfId="9594" xr:uid="{00000000-0005-0000-0000-000069250000}"/>
    <cellStyle name="Normal 2 51 3 2 2 3" xfId="9595" xr:uid="{00000000-0005-0000-0000-00006A250000}"/>
    <cellStyle name="Normal 2 51 3 2 3" xfId="9596" xr:uid="{00000000-0005-0000-0000-00006B250000}"/>
    <cellStyle name="Normal 2 51 3 2 3 2" xfId="9597" xr:uid="{00000000-0005-0000-0000-00006C250000}"/>
    <cellStyle name="Normal 2 51 3 2 3 3" xfId="9598" xr:uid="{00000000-0005-0000-0000-00006D250000}"/>
    <cellStyle name="Normal 2 51 3 2 4" xfId="9599" xr:uid="{00000000-0005-0000-0000-00006E250000}"/>
    <cellStyle name="Normal 2 51 3 2 4 2" xfId="9600" xr:uid="{00000000-0005-0000-0000-00006F250000}"/>
    <cellStyle name="Normal 2 51 3 2 4 3" xfId="9601" xr:uid="{00000000-0005-0000-0000-000070250000}"/>
    <cellStyle name="Normal 2 51 3 2 5" xfId="9602" xr:uid="{00000000-0005-0000-0000-000071250000}"/>
    <cellStyle name="Normal 2 51 3 2 5 2" xfId="9603" xr:uid="{00000000-0005-0000-0000-000072250000}"/>
    <cellStyle name="Normal 2 51 3 2 5 3" xfId="9604" xr:uid="{00000000-0005-0000-0000-000073250000}"/>
    <cellStyle name="Normal 2 51 3 2 6" xfId="9605" xr:uid="{00000000-0005-0000-0000-000074250000}"/>
    <cellStyle name="Normal 2 51 3 2 6 2" xfId="9606" xr:uid="{00000000-0005-0000-0000-000075250000}"/>
    <cellStyle name="Normal 2 51 3 2 6 3" xfId="9607" xr:uid="{00000000-0005-0000-0000-000076250000}"/>
    <cellStyle name="Normal 2 51 3 2 7" xfId="9608" xr:uid="{00000000-0005-0000-0000-000077250000}"/>
    <cellStyle name="Normal 2 51 3 2 7 2" xfId="9609" xr:uid="{00000000-0005-0000-0000-000078250000}"/>
    <cellStyle name="Normal 2 51 3 2 7 3" xfId="9610" xr:uid="{00000000-0005-0000-0000-000079250000}"/>
    <cellStyle name="Normal 2 51 3 2 8" xfId="9611" xr:uid="{00000000-0005-0000-0000-00007A250000}"/>
    <cellStyle name="Normal 2 51 3 2 8 2" xfId="9612" xr:uid="{00000000-0005-0000-0000-00007B250000}"/>
    <cellStyle name="Normal 2 51 3 2 8 3" xfId="9613" xr:uid="{00000000-0005-0000-0000-00007C250000}"/>
    <cellStyle name="Normal 2 51 3 2 9" xfId="9614" xr:uid="{00000000-0005-0000-0000-00007D250000}"/>
    <cellStyle name="Normal 2 51 3 2 9 2" xfId="9615" xr:uid="{00000000-0005-0000-0000-00007E250000}"/>
    <cellStyle name="Normal 2 51 3 2 9 3" xfId="9616" xr:uid="{00000000-0005-0000-0000-00007F250000}"/>
    <cellStyle name="Normal 2 51 3 3" xfId="9617" xr:uid="{00000000-0005-0000-0000-000080250000}"/>
    <cellStyle name="Normal 2 51 3 3 2" xfId="9618" xr:uid="{00000000-0005-0000-0000-000081250000}"/>
    <cellStyle name="Normal 2 51 3 3 3" xfId="9619" xr:uid="{00000000-0005-0000-0000-000082250000}"/>
    <cellStyle name="Normal 2 51 3 4" xfId="9620" xr:uid="{00000000-0005-0000-0000-000083250000}"/>
    <cellStyle name="Normal 2 51 3 4 2" xfId="9621" xr:uid="{00000000-0005-0000-0000-000084250000}"/>
    <cellStyle name="Normal 2 51 3 4 3" xfId="9622" xr:uid="{00000000-0005-0000-0000-000085250000}"/>
    <cellStyle name="Normal 2 51 3 5" xfId="9623" xr:uid="{00000000-0005-0000-0000-000086250000}"/>
    <cellStyle name="Normal 2 51 3 5 2" xfId="9624" xr:uid="{00000000-0005-0000-0000-000087250000}"/>
    <cellStyle name="Normal 2 51 3 5 3" xfId="9625" xr:uid="{00000000-0005-0000-0000-000088250000}"/>
    <cellStyle name="Normal 2 51 3 6" xfId="9626" xr:uid="{00000000-0005-0000-0000-000089250000}"/>
    <cellStyle name="Normal 2 51 3 6 2" xfId="9627" xr:uid="{00000000-0005-0000-0000-00008A250000}"/>
    <cellStyle name="Normal 2 51 3 6 3" xfId="9628" xr:uid="{00000000-0005-0000-0000-00008B250000}"/>
    <cellStyle name="Normal 2 51 3 7" xfId="9629" xr:uid="{00000000-0005-0000-0000-00008C250000}"/>
    <cellStyle name="Normal 2 51 3 7 2" xfId="9630" xr:uid="{00000000-0005-0000-0000-00008D250000}"/>
    <cellStyle name="Normal 2 51 3 7 3" xfId="9631" xr:uid="{00000000-0005-0000-0000-00008E250000}"/>
    <cellStyle name="Normal 2 51 3 8" xfId="9632" xr:uid="{00000000-0005-0000-0000-00008F250000}"/>
    <cellStyle name="Normal 2 51 3 8 2" xfId="9633" xr:uid="{00000000-0005-0000-0000-000090250000}"/>
    <cellStyle name="Normal 2 51 3 8 3" xfId="9634" xr:uid="{00000000-0005-0000-0000-000091250000}"/>
    <cellStyle name="Normal 2 51 3 9" xfId="9635" xr:uid="{00000000-0005-0000-0000-000092250000}"/>
    <cellStyle name="Normal 2 51 3 9 2" xfId="9636" xr:uid="{00000000-0005-0000-0000-000093250000}"/>
    <cellStyle name="Normal 2 51 3 9 3" xfId="9637" xr:uid="{00000000-0005-0000-0000-000094250000}"/>
    <cellStyle name="Normal 2 51 4" xfId="9638" xr:uid="{00000000-0005-0000-0000-000095250000}"/>
    <cellStyle name="Normal 2 51 4 10" xfId="9639" xr:uid="{00000000-0005-0000-0000-000096250000}"/>
    <cellStyle name="Normal 2 51 4 10 2" xfId="9640" xr:uid="{00000000-0005-0000-0000-000097250000}"/>
    <cellStyle name="Normal 2 51 4 10 3" xfId="9641" xr:uid="{00000000-0005-0000-0000-000098250000}"/>
    <cellStyle name="Normal 2 51 4 11" xfId="9642" xr:uid="{00000000-0005-0000-0000-000099250000}"/>
    <cellStyle name="Normal 2 51 4 11 2" xfId="9643" xr:uid="{00000000-0005-0000-0000-00009A250000}"/>
    <cellStyle name="Normal 2 51 4 11 3" xfId="9644" xr:uid="{00000000-0005-0000-0000-00009B250000}"/>
    <cellStyle name="Normal 2 51 4 12" xfId="9645" xr:uid="{00000000-0005-0000-0000-00009C250000}"/>
    <cellStyle name="Normal 2 51 4 12 2" xfId="9646" xr:uid="{00000000-0005-0000-0000-00009D250000}"/>
    <cellStyle name="Normal 2 51 4 12 3" xfId="9647" xr:uid="{00000000-0005-0000-0000-00009E250000}"/>
    <cellStyle name="Normal 2 51 4 13" xfId="9648" xr:uid="{00000000-0005-0000-0000-00009F250000}"/>
    <cellStyle name="Normal 2 51 4 13 2" xfId="9649" xr:uid="{00000000-0005-0000-0000-0000A0250000}"/>
    <cellStyle name="Normal 2 51 4 13 3" xfId="9650" xr:uid="{00000000-0005-0000-0000-0000A1250000}"/>
    <cellStyle name="Normal 2 51 4 14" xfId="9651" xr:uid="{00000000-0005-0000-0000-0000A2250000}"/>
    <cellStyle name="Normal 2 51 4 14 2" xfId="9652" xr:uid="{00000000-0005-0000-0000-0000A3250000}"/>
    <cellStyle name="Normal 2 51 4 14 3" xfId="9653" xr:uid="{00000000-0005-0000-0000-0000A4250000}"/>
    <cellStyle name="Normal 2 51 4 15" xfId="9654" xr:uid="{00000000-0005-0000-0000-0000A5250000}"/>
    <cellStyle name="Normal 2 51 4 15 2" xfId="9655" xr:uid="{00000000-0005-0000-0000-0000A6250000}"/>
    <cellStyle name="Normal 2 51 4 15 3" xfId="9656" xr:uid="{00000000-0005-0000-0000-0000A7250000}"/>
    <cellStyle name="Normal 2 51 4 16" xfId="9657" xr:uid="{00000000-0005-0000-0000-0000A8250000}"/>
    <cellStyle name="Normal 2 51 4 17" xfId="9658" xr:uid="{00000000-0005-0000-0000-0000A9250000}"/>
    <cellStyle name="Normal 2 51 4 2" xfId="9659" xr:uid="{00000000-0005-0000-0000-0000AA250000}"/>
    <cellStyle name="Normal 2 51 4 2 10" xfId="9660" xr:uid="{00000000-0005-0000-0000-0000AB250000}"/>
    <cellStyle name="Normal 2 51 4 2 10 2" xfId="9661" xr:uid="{00000000-0005-0000-0000-0000AC250000}"/>
    <cellStyle name="Normal 2 51 4 2 10 3" xfId="9662" xr:uid="{00000000-0005-0000-0000-0000AD250000}"/>
    <cellStyle name="Normal 2 51 4 2 11" xfId="9663" xr:uid="{00000000-0005-0000-0000-0000AE250000}"/>
    <cellStyle name="Normal 2 51 4 2 11 2" xfId="9664" xr:uid="{00000000-0005-0000-0000-0000AF250000}"/>
    <cellStyle name="Normal 2 51 4 2 11 3" xfId="9665" xr:uid="{00000000-0005-0000-0000-0000B0250000}"/>
    <cellStyle name="Normal 2 51 4 2 12" xfId="9666" xr:uid="{00000000-0005-0000-0000-0000B1250000}"/>
    <cellStyle name="Normal 2 51 4 2 12 2" xfId="9667" xr:uid="{00000000-0005-0000-0000-0000B2250000}"/>
    <cellStyle name="Normal 2 51 4 2 12 3" xfId="9668" xr:uid="{00000000-0005-0000-0000-0000B3250000}"/>
    <cellStyle name="Normal 2 51 4 2 13" xfId="9669" xr:uid="{00000000-0005-0000-0000-0000B4250000}"/>
    <cellStyle name="Normal 2 51 4 2 13 2" xfId="9670" xr:uid="{00000000-0005-0000-0000-0000B5250000}"/>
    <cellStyle name="Normal 2 51 4 2 13 3" xfId="9671" xr:uid="{00000000-0005-0000-0000-0000B6250000}"/>
    <cellStyle name="Normal 2 51 4 2 14" xfId="9672" xr:uid="{00000000-0005-0000-0000-0000B7250000}"/>
    <cellStyle name="Normal 2 51 4 2 14 2" xfId="9673" xr:uid="{00000000-0005-0000-0000-0000B8250000}"/>
    <cellStyle name="Normal 2 51 4 2 14 3" xfId="9674" xr:uid="{00000000-0005-0000-0000-0000B9250000}"/>
    <cellStyle name="Normal 2 51 4 2 15" xfId="9675" xr:uid="{00000000-0005-0000-0000-0000BA250000}"/>
    <cellStyle name="Normal 2 51 4 2 16" xfId="9676" xr:uid="{00000000-0005-0000-0000-0000BB250000}"/>
    <cellStyle name="Normal 2 51 4 2 2" xfId="9677" xr:uid="{00000000-0005-0000-0000-0000BC250000}"/>
    <cellStyle name="Normal 2 51 4 2 2 2" xfId="9678" xr:uid="{00000000-0005-0000-0000-0000BD250000}"/>
    <cellStyle name="Normal 2 51 4 2 2 3" xfId="9679" xr:uid="{00000000-0005-0000-0000-0000BE250000}"/>
    <cellStyle name="Normal 2 51 4 2 3" xfId="9680" xr:uid="{00000000-0005-0000-0000-0000BF250000}"/>
    <cellStyle name="Normal 2 51 4 2 3 2" xfId="9681" xr:uid="{00000000-0005-0000-0000-0000C0250000}"/>
    <cellStyle name="Normal 2 51 4 2 3 3" xfId="9682" xr:uid="{00000000-0005-0000-0000-0000C1250000}"/>
    <cellStyle name="Normal 2 51 4 2 4" xfId="9683" xr:uid="{00000000-0005-0000-0000-0000C2250000}"/>
    <cellStyle name="Normal 2 51 4 2 4 2" xfId="9684" xr:uid="{00000000-0005-0000-0000-0000C3250000}"/>
    <cellStyle name="Normal 2 51 4 2 4 3" xfId="9685" xr:uid="{00000000-0005-0000-0000-0000C4250000}"/>
    <cellStyle name="Normal 2 51 4 2 5" xfId="9686" xr:uid="{00000000-0005-0000-0000-0000C5250000}"/>
    <cellStyle name="Normal 2 51 4 2 5 2" xfId="9687" xr:uid="{00000000-0005-0000-0000-0000C6250000}"/>
    <cellStyle name="Normal 2 51 4 2 5 3" xfId="9688" xr:uid="{00000000-0005-0000-0000-0000C7250000}"/>
    <cellStyle name="Normal 2 51 4 2 6" xfId="9689" xr:uid="{00000000-0005-0000-0000-0000C8250000}"/>
    <cellStyle name="Normal 2 51 4 2 6 2" xfId="9690" xr:uid="{00000000-0005-0000-0000-0000C9250000}"/>
    <cellStyle name="Normal 2 51 4 2 6 3" xfId="9691" xr:uid="{00000000-0005-0000-0000-0000CA250000}"/>
    <cellStyle name="Normal 2 51 4 2 7" xfId="9692" xr:uid="{00000000-0005-0000-0000-0000CB250000}"/>
    <cellStyle name="Normal 2 51 4 2 7 2" xfId="9693" xr:uid="{00000000-0005-0000-0000-0000CC250000}"/>
    <cellStyle name="Normal 2 51 4 2 7 3" xfId="9694" xr:uid="{00000000-0005-0000-0000-0000CD250000}"/>
    <cellStyle name="Normal 2 51 4 2 8" xfId="9695" xr:uid="{00000000-0005-0000-0000-0000CE250000}"/>
    <cellStyle name="Normal 2 51 4 2 8 2" xfId="9696" xr:uid="{00000000-0005-0000-0000-0000CF250000}"/>
    <cellStyle name="Normal 2 51 4 2 8 3" xfId="9697" xr:uid="{00000000-0005-0000-0000-0000D0250000}"/>
    <cellStyle name="Normal 2 51 4 2 9" xfId="9698" xr:uid="{00000000-0005-0000-0000-0000D1250000}"/>
    <cellStyle name="Normal 2 51 4 2 9 2" xfId="9699" xr:uid="{00000000-0005-0000-0000-0000D2250000}"/>
    <cellStyle name="Normal 2 51 4 2 9 3" xfId="9700" xr:uid="{00000000-0005-0000-0000-0000D3250000}"/>
    <cellStyle name="Normal 2 51 4 3" xfId="9701" xr:uid="{00000000-0005-0000-0000-0000D4250000}"/>
    <cellStyle name="Normal 2 51 4 3 2" xfId="9702" xr:uid="{00000000-0005-0000-0000-0000D5250000}"/>
    <cellStyle name="Normal 2 51 4 3 3" xfId="9703" xr:uid="{00000000-0005-0000-0000-0000D6250000}"/>
    <cellStyle name="Normal 2 51 4 4" xfId="9704" xr:uid="{00000000-0005-0000-0000-0000D7250000}"/>
    <cellStyle name="Normal 2 51 4 4 2" xfId="9705" xr:uid="{00000000-0005-0000-0000-0000D8250000}"/>
    <cellStyle name="Normal 2 51 4 4 3" xfId="9706" xr:uid="{00000000-0005-0000-0000-0000D9250000}"/>
    <cellStyle name="Normal 2 51 4 5" xfId="9707" xr:uid="{00000000-0005-0000-0000-0000DA250000}"/>
    <cellStyle name="Normal 2 51 4 5 2" xfId="9708" xr:uid="{00000000-0005-0000-0000-0000DB250000}"/>
    <cellStyle name="Normal 2 51 4 5 3" xfId="9709" xr:uid="{00000000-0005-0000-0000-0000DC250000}"/>
    <cellStyle name="Normal 2 51 4 6" xfId="9710" xr:uid="{00000000-0005-0000-0000-0000DD250000}"/>
    <cellStyle name="Normal 2 51 4 6 2" xfId="9711" xr:uid="{00000000-0005-0000-0000-0000DE250000}"/>
    <cellStyle name="Normal 2 51 4 6 3" xfId="9712" xr:uid="{00000000-0005-0000-0000-0000DF250000}"/>
    <cellStyle name="Normal 2 51 4 7" xfId="9713" xr:uid="{00000000-0005-0000-0000-0000E0250000}"/>
    <cellStyle name="Normal 2 51 4 7 2" xfId="9714" xr:uid="{00000000-0005-0000-0000-0000E1250000}"/>
    <cellStyle name="Normal 2 51 4 7 3" xfId="9715" xr:uid="{00000000-0005-0000-0000-0000E2250000}"/>
    <cellStyle name="Normal 2 51 4 8" xfId="9716" xr:uid="{00000000-0005-0000-0000-0000E3250000}"/>
    <cellStyle name="Normal 2 51 4 8 2" xfId="9717" xr:uid="{00000000-0005-0000-0000-0000E4250000}"/>
    <cellStyle name="Normal 2 51 4 8 3" xfId="9718" xr:uid="{00000000-0005-0000-0000-0000E5250000}"/>
    <cellStyle name="Normal 2 51 4 9" xfId="9719" xr:uid="{00000000-0005-0000-0000-0000E6250000}"/>
    <cellStyle name="Normal 2 51 4 9 2" xfId="9720" xr:uid="{00000000-0005-0000-0000-0000E7250000}"/>
    <cellStyle name="Normal 2 51 4 9 3" xfId="9721" xr:uid="{00000000-0005-0000-0000-0000E8250000}"/>
    <cellStyle name="Normal 2 51 5" xfId="9722" xr:uid="{00000000-0005-0000-0000-0000E9250000}"/>
    <cellStyle name="Normal 2 51 5 10" xfId="9723" xr:uid="{00000000-0005-0000-0000-0000EA250000}"/>
    <cellStyle name="Normal 2 51 5 10 2" xfId="9724" xr:uid="{00000000-0005-0000-0000-0000EB250000}"/>
    <cellStyle name="Normal 2 51 5 10 3" xfId="9725" xr:uid="{00000000-0005-0000-0000-0000EC250000}"/>
    <cellStyle name="Normal 2 51 5 11" xfId="9726" xr:uid="{00000000-0005-0000-0000-0000ED250000}"/>
    <cellStyle name="Normal 2 51 5 11 2" xfId="9727" xr:uid="{00000000-0005-0000-0000-0000EE250000}"/>
    <cellStyle name="Normal 2 51 5 11 3" xfId="9728" xr:uid="{00000000-0005-0000-0000-0000EF250000}"/>
    <cellStyle name="Normal 2 51 5 12" xfId="9729" xr:uid="{00000000-0005-0000-0000-0000F0250000}"/>
    <cellStyle name="Normal 2 51 5 12 2" xfId="9730" xr:uid="{00000000-0005-0000-0000-0000F1250000}"/>
    <cellStyle name="Normal 2 51 5 12 3" xfId="9731" xr:uid="{00000000-0005-0000-0000-0000F2250000}"/>
    <cellStyle name="Normal 2 51 5 13" xfId="9732" xr:uid="{00000000-0005-0000-0000-0000F3250000}"/>
    <cellStyle name="Normal 2 51 5 13 2" xfId="9733" xr:uid="{00000000-0005-0000-0000-0000F4250000}"/>
    <cellStyle name="Normal 2 51 5 13 3" xfId="9734" xr:uid="{00000000-0005-0000-0000-0000F5250000}"/>
    <cellStyle name="Normal 2 51 5 14" xfId="9735" xr:uid="{00000000-0005-0000-0000-0000F6250000}"/>
    <cellStyle name="Normal 2 51 5 14 2" xfId="9736" xr:uid="{00000000-0005-0000-0000-0000F7250000}"/>
    <cellStyle name="Normal 2 51 5 14 3" xfId="9737" xr:uid="{00000000-0005-0000-0000-0000F8250000}"/>
    <cellStyle name="Normal 2 51 5 15" xfId="9738" xr:uid="{00000000-0005-0000-0000-0000F9250000}"/>
    <cellStyle name="Normal 2 51 5 16" xfId="9739" xr:uid="{00000000-0005-0000-0000-0000FA250000}"/>
    <cellStyle name="Normal 2 51 5 2" xfId="9740" xr:uid="{00000000-0005-0000-0000-0000FB250000}"/>
    <cellStyle name="Normal 2 51 5 2 2" xfId="9741" xr:uid="{00000000-0005-0000-0000-0000FC250000}"/>
    <cellStyle name="Normal 2 51 5 2 3" xfId="9742" xr:uid="{00000000-0005-0000-0000-0000FD250000}"/>
    <cellStyle name="Normal 2 51 5 3" xfId="9743" xr:uid="{00000000-0005-0000-0000-0000FE250000}"/>
    <cellStyle name="Normal 2 51 5 3 2" xfId="9744" xr:uid="{00000000-0005-0000-0000-0000FF250000}"/>
    <cellStyle name="Normal 2 51 5 3 3" xfId="9745" xr:uid="{00000000-0005-0000-0000-000000260000}"/>
    <cellStyle name="Normal 2 51 5 4" xfId="9746" xr:uid="{00000000-0005-0000-0000-000001260000}"/>
    <cellStyle name="Normal 2 51 5 4 2" xfId="9747" xr:uid="{00000000-0005-0000-0000-000002260000}"/>
    <cellStyle name="Normal 2 51 5 4 3" xfId="9748" xr:uid="{00000000-0005-0000-0000-000003260000}"/>
    <cellStyle name="Normal 2 51 5 5" xfId="9749" xr:uid="{00000000-0005-0000-0000-000004260000}"/>
    <cellStyle name="Normal 2 51 5 5 2" xfId="9750" xr:uid="{00000000-0005-0000-0000-000005260000}"/>
    <cellStyle name="Normal 2 51 5 5 3" xfId="9751" xr:uid="{00000000-0005-0000-0000-000006260000}"/>
    <cellStyle name="Normal 2 51 5 6" xfId="9752" xr:uid="{00000000-0005-0000-0000-000007260000}"/>
    <cellStyle name="Normal 2 51 5 6 2" xfId="9753" xr:uid="{00000000-0005-0000-0000-000008260000}"/>
    <cellStyle name="Normal 2 51 5 6 3" xfId="9754" xr:uid="{00000000-0005-0000-0000-000009260000}"/>
    <cellStyle name="Normal 2 51 5 7" xfId="9755" xr:uid="{00000000-0005-0000-0000-00000A260000}"/>
    <cellStyle name="Normal 2 51 5 7 2" xfId="9756" xr:uid="{00000000-0005-0000-0000-00000B260000}"/>
    <cellStyle name="Normal 2 51 5 7 3" xfId="9757" xr:uid="{00000000-0005-0000-0000-00000C260000}"/>
    <cellStyle name="Normal 2 51 5 8" xfId="9758" xr:uid="{00000000-0005-0000-0000-00000D260000}"/>
    <cellStyle name="Normal 2 51 5 8 2" xfId="9759" xr:uid="{00000000-0005-0000-0000-00000E260000}"/>
    <cellStyle name="Normal 2 51 5 8 3" xfId="9760" xr:uid="{00000000-0005-0000-0000-00000F260000}"/>
    <cellStyle name="Normal 2 51 5 9" xfId="9761" xr:uid="{00000000-0005-0000-0000-000010260000}"/>
    <cellStyle name="Normal 2 51 5 9 2" xfId="9762" xr:uid="{00000000-0005-0000-0000-000011260000}"/>
    <cellStyle name="Normal 2 51 5 9 3" xfId="9763" xr:uid="{00000000-0005-0000-0000-000012260000}"/>
    <cellStyle name="Normal 2 51 6" xfId="9764" xr:uid="{00000000-0005-0000-0000-000013260000}"/>
    <cellStyle name="Normal 2 51 6 10" xfId="9765" xr:uid="{00000000-0005-0000-0000-000014260000}"/>
    <cellStyle name="Normal 2 51 6 10 2" xfId="9766" xr:uid="{00000000-0005-0000-0000-000015260000}"/>
    <cellStyle name="Normal 2 51 6 10 3" xfId="9767" xr:uid="{00000000-0005-0000-0000-000016260000}"/>
    <cellStyle name="Normal 2 51 6 11" xfId="9768" xr:uid="{00000000-0005-0000-0000-000017260000}"/>
    <cellStyle name="Normal 2 51 6 11 2" xfId="9769" xr:uid="{00000000-0005-0000-0000-000018260000}"/>
    <cellStyle name="Normal 2 51 6 11 3" xfId="9770" xr:uid="{00000000-0005-0000-0000-000019260000}"/>
    <cellStyle name="Normal 2 51 6 12" xfId="9771" xr:uid="{00000000-0005-0000-0000-00001A260000}"/>
    <cellStyle name="Normal 2 51 6 12 2" xfId="9772" xr:uid="{00000000-0005-0000-0000-00001B260000}"/>
    <cellStyle name="Normal 2 51 6 12 3" xfId="9773" xr:uid="{00000000-0005-0000-0000-00001C260000}"/>
    <cellStyle name="Normal 2 51 6 13" xfId="9774" xr:uid="{00000000-0005-0000-0000-00001D260000}"/>
    <cellStyle name="Normal 2 51 6 13 2" xfId="9775" xr:uid="{00000000-0005-0000-0000-00001E260000}"/>
    <cellStyle name="Normal 2 51 6 13 3" xfId="9776" xr:uid="{00000000-0005-0000-0000-00001F260000}"/>
    <cellStyle name="Normal 2 51 6 14" xfId="9777" xr:uid="{00000000-0005-0000-0000-000020260000}"/>
    <cellStyle name="Normal 2 51 6 14 2" xfId="9778" xr:uid="{00000000-0005-0000-0000-000021260000}"/>
    <cellStyle name="Normal 2 51 6 14 3" xfId="9779" xr:uid="{00000000-0005-0000-0000-000022260000}"/>
    <cellStyle name="Normal 2 51 6 15" xfId="9780" xr:uid="{00000000-0005-0000-0000-000023260000}"/>
    <cellStyle name="Normal 2 51 6 16" xfId="9781" xr:uid="{00000000-0005-0000-0000-000024260000}"/>
    <cellStyle name="Normal 2 51 6 2" xfId="9782" xr:uid="{00000000-0005-0000-0000-000025260000}"/>
    <cellStyle name="Normal 2 51 6 2 2" xfId="9783" xr:uid="{00000000-0005-0000-0000-000026260000}"/>
    <cellStyle name="Normal 2 51 6 2 3" xfId="9784" xr:uid="{00000000-0005-0000-0000-000027260000}"/>
    <cellStyle name="Normal 2 51 6 3" xfId="9785" xr:uid="{00000000-0005-0000-0000-000028260000}"/>
    <cellStyle name="Normal 2 51 6 3 2" xfId="9786" xr:uid="{00000000-0005-0000-0000-000029260000}"/>
    <cellStyle name="Normal 2 51 6 3 3" xfId="9787" xr:uid="{00000000-0005-0000-0000-00002A260000}"/>
    <cellStyle name="Normal 2 51 6 4" xfId="9788" xr:uid="{00000000-0005-0000-0000-00002B260000}"/>
    <cellStyle name="Normal 2 51 6 4 2" xfId="9789" xr:uid="{00000000-0005-0000-0000-00002C260000}"/>
    <cellStyle name="Normal 2 51 6 4 3" xfId="9790" xr:uid="{00000000-0005-0000-0000-00002D260000}"/>
    <cellStyle name="Normal 2 51 6 5" xfId="9791" xr:uid="{00000000-0005-0000-0000-00002E260000}"/>
    <cellStyle name="Normal 2 51 6 5 2" xfId="9792" xr:uid="{00000000-0005-0000-0000-00002F260000}"/>
    <cellStyle name="Normal 2 51 6 5 3" xfId="9793" xr:uid="{00000000-0005-0000-0000-000030260000}"/>
    <cellStyle name="Normal 2 51 6 6" xfId="9794" xr:uid="{00000000-0005-0000-0000-000031260000}"/>
    <cellStyle name="Normal 2 51 6 6 2" xfId="9795" xr:uid="{00000000-0005-0000-0000-000032260000}"/>
    <cellStyle name="Normal 2 51 6 6 3" xfId="9796" xr:uid="{00000000-0005-0000-0000-000033260000}"/>
    <cellStyle name="Normal 2 51 6 7" xfId="9797" xr:uid="{00000000-0005-0000-0000-000034260000}"/>
    <cellStyle name="Normal 2 51 6 7 2" xfId="9798" xr:uid="{00000000-0005-0000-0000-000035260000}"/>
    <cellStyle name="Normal 2 51 6 7 3" xfId="9799" xr:uid="{00000000-0005-0000-0000-000036260000}"/>
    <cellStyle name="Normal 2 51 6 8" xfId="9800" xr:uid="{00000000-0005-0000-0000-000037260000}"/>
    <cellStyle name="Normal 2 51 6 8 2" xfId="9801" xr:uid="{00000000-0005-0000-0000-000038260000}"/>
    <cellStyle name="Normal 2 51 6 8 3" xfId="9802" xr:uid="{00000000-0005-0000-0000-000039260000}"/>
    <cellStyle name="Normal 2 51 6 9" xfId="9803" xr:uid="{00000000-0005-0000-0000-00003A260000}"/>
    <cellStyle name="Normal 2 51 6 9 2" xfId="9804" xr:uid="{00000000-0005-0000-0000-00003B260000}"/>
    <cellStyle name="Normal 2 51 6 9 3" xfId="9805" xr:uid="{00000000-0005-0000-0000-00003C260000}"/>
    <cellStyle name="Normal 2 51 7" xfId="9806" xr:uid="{00000000-0005-0000-0000-00003D260000}"/>
    <cellStyle name="Normal 2 51 7 10" xfId="9807" xr:uid="{00000000-0005-0000-0000-00003E260000}"/>
    <cellStyle name="Normal 2 51 7 10 2" xfId="9808" xr:uid="{00000000-0005-0000-0000-00003F260000}"/>
    <cellStyle name="Normal 2 51 7 10 3" xfId="9809" xr:uid="{00000000-0005-0000-0000-000040260000}"/>
    <cellStyle name="Normal 2 51 7 11" xfId="9810" xr:uid="{00000000-0005-0000-0000-000041260000}"/>
    <cellStyle name="Normal 2 51 7 11 2" xfId="9811" xr:uid="{00000000-0005-0000-0000-000042260000}"/>
    <cellStyle name="Normal 2 51 7 11 3" xfId="9812" xr:uid="{00000000-0005-0000-0000-000043260000}"/>
    <cellStyle name="Normal 2 51 7 12" xfId="9813" xr:uid="{00000000-0005-0000-0000-000044260000}"/>
    <cellStyle name="Normal 2 51 7 12 2" xfId="9814" xr:uid="{00000000-0005-0000-0000-000045260000}"/>
    <cellStyle name="Normal 2 51 7 12 3" xfId="9815" xr:uid="{00000000-0005-0000-0000-000046260000}"/>
    <cellStyle name="Normal 2 51 7 13" xfId="9816" xr:uid="{00000000-0005-0000-0000-000047260000}"/>
    <cellStyle name="Normal 2 51 7 13 2" xfId="9817" xr:uid="{00000000-0005-0000-0000-000048260000}"/>
    <cellStyle name="Normal 2 51 7 13 3" xfId="9818" xr:uid="{00000000-0005-0000-0000-000049260000}"/>
    <cellStyle name="Normal 2 51 7 14" xfId="9819" xr:uid="{00000000-0005-0000-0000-00004A260000}"/>
    <cellStyle name="Normal 2 51 7 14 2" xfId="9820" xr:uid="{00000000-0005-0000-0000-00004B260000}"/>
    <cellStyle name="Normal 2 51 7 14 3" xfId="9821" xr:uid="{00000000-0005-0000-0000-00004C260000}"/>
    <cellStyle name="Normal 2 51 7 15" xfId="9822" xr:uid="{00000000-0005-0000-0000-00004D260000}"/>
    <cellStyle name="Normal 2 51 7 16" xfId="9823" xr:uid="{00000000-0005-0000-0000-00004E260000}"/>
    <cellStyle name="Normal 2 51 7 2" xfId="9824" xr:uid="{00000000-0005-0000-0000-00004F260000}"/>
    <cellStyle name="Normal 2 51 7 2 2" xfId="9825" xr:uid="{00000000-0005-0000-0000-000050260000}"/>
    <cellStyle name="Normal 2 51 7 2 3" xfId="9826" xr:uid="{00000000-0005-0000-0000-000051260000}"/>
    <cellStyle name="Normal 2 51 7 3" xfId="9827" xr:uid="{00000000-0005-0000-0000-000052260000}"/>
    <cellStyle name="Normal 2 51 7 3 2" xfId="9828" xr:uid="{00000000-0005-0000-0000-000053260000}"/>
    <cellStyle name="Normal 2 51 7 3 3" xfId="9829" xr:uid="{00000000-0005-0000-0000-000054260000}"/>
    <cellStyle name="Normal 2 51 7 4" xfId="9830" xr:uid="{00000000-0005-0000-0000-000055260000}"/>
    <cellStyle name="Normal 2 51 7 4 2" xfId="9831" xr:uid="{00000000-0005-0000-0000-000056260000}"/>
    <cellStyle name="Normal 2 51 7 4 3" xfId="9832" xr:uid="{00000000-0005-0000-0000-000057260000}"/>
    <cellStyle name="Normal 2 51 7 5" xfId="9833" xr:uid="{00000000-0005-0000-0000-000058260000}"/>
    <cellStyle name="Normal 2 51 7 5 2" xfId="9834" xr:uid="{00000000-0005-0000-0000-000059260000}"/>
    <cellStyle name="Normal 2 51 7 5 3" xfId="9835" xr:uid="{00000000-0005-0000-0000-00005A260000}"/>
    <cellStyle name="Normal 2 51 7 6" xfId="9836" xr:uid="{00000000-0005-0000-0000-00005B260000}"/>
    <cellStyle name="Normal 2 51 7 6 2" xfId="9837" xr:uid="{00000000-0005-0000-0000-00005C260000}"/>
    <cellStyle name="Normal 2 51 7 6 3" xfId="9838" xr:uid="{00000000-0005-0000-0000-00005D260000}"/>
    <cellStyle name="Normal 2 51 7 7" xfId="9839" xr:uid="{00000000-0005-0000-0000-00005E260000}"/>
    <cellStyle name="Normal 2 51 7 7 2" xfId="9840" xr:uid="{00000000-0005-0000-0000-00005F260000}"/>
    <cellStyle name="Normal 2 51 7 7 3" xfId="9841" xr:uid="{00000000-0005-0000-0000-000060260000}"/>
    <cellStyle name="Normal 2 51 7 8" xfId="9842" xr:uid="{00000000-0005-0000-0000-000061260000}"/>
    <cellStyle name="Normal 2 51 7 8 2" xfId="9843" xr:uid="{00000000-0005-0000-0000-000062260000}"/>
    <cellStyle name="Normal 2 51 7 8 3" xfId="9844" xr:uid="{00000000-0005-0000-0000-000063260000}"/>
    <cellStyle name="Normal 2 51 7 9" xfId="9845" xr:uid="{00000000-0005-0000-0000-000064260000}"/>
    <cellStyle name="Normal 2 51 7 9 2" xfId="9846" xr:uid="{00000000-0005-0000-0000-000065260000}"/>
    <cellStyle name="Normal 2 51 7 9 3" xfId="9847" xr:uid="{00000000-0005-0000-0000-000066260000}"/>
    <cellStyle name="Normal 2 51 8" xfId="9848" xr:uid="{00000000-0005-0000-0000-000067260000}"/>
    <cellStyle name="Normal 2 51 8 10" xfId="9849" xr:uid="{00000000-0005-0000-0000-000068260000}"/>
    <cellStyle name="Normal 2 51 8 10 2" xfId="9850" xr:uid="{00000000-0005-0000-0000-000069260000}"/>
    <cellStyle name="Normal 2 51 8 10 3" xfId="9851" xr:uid="{00000000-0005-0000-0000-00006A260000}"/>
    <cellStyle name="Normal 2 51 8 11" xfId="9852" xr:uid="{00000000-0005-0000-0000-00006B260000}"/>
    <cellStyle name="Normal 2 51 8 11 2" xfId="9853" xr:uid="{00000000-0005-0000-0000-00006C260000}"/>
    <cellStyle name="Normal 2 51 8 11 3" xfId="9854" xr:uid="{00000000-0005-0000-0000-00006D260000}"/>
    <cellStyle name="Normal 2 51 8 12" xfId="9855" xr:uid="{00000000-0005-0000-0000-00006E260000}"/>
    <cellStyle name="Normal 2 51 8 12 2" xfId="9856" xr:uid="{00000000-0005-0000-0000-00006F260000}"/>
    <cellStyle name="Normal 2 51 8 12 3" xfId="9857" xr:uid="{00000000-0005-0000-0000-000070260000}"/>
    <cellStyle name="Normal 2 51 8 13" xfId="9858" xr:uid="{00000000-0005-0000-0000-000071260000}"/>
    <cellStyle name="Normal 2 51 8 13 2" xfId="9859" xr:uid="{00000000-0005-0000-0000-000072260000}"/>
    <cellStyle name="Normal 2 51 8 13 3" xfId="9860" xr:uid="{00000000-0005-0000-0000-000073260000}"/>
    <cellStyle name="Normal 2 51 8 14" xfId="9861" xr:uid="{00000000-0005-0000-0000-000074260000}"/>
    <cellStyle name="Normal 2 51 8 14 2" xfId="9862" xr:uid="{00000000-0005-0000-0000-000075260000}"/>
    <cellStyle name="Normal 2 51 8 14 3" xfId="9863" xr:uid="{00000000-0005-0000-0000-000076260000}"/>
    <cellStyle name="Normal 2 51 8 15" xfId="9864" xr:uid="{00000000-0005-0000-0000-000077260000}"/>
    <cellStyle name="Normal 2 51 8 16" xfId="9865" xr:uid="{00000000-0005-0000-0000-000078260000}"/>
    <cellStyle name="Normal 2 51 8 2" xfId="9866" xr:uid="{00000000-0005-0000-0000-000079260000}"/>
    <cellStyle name="Normal 2 51 8 2 2" xfId="9867" xr:uid="{00000000-0005-0000-0000-00007A260000}"/>
    <cellStyle name="Normal 2 51 8 2 3" xfId="9868" xr:uid="{00000000-0005-0000-0000-00007B260000}"/>
    <cellStyle name="Normal 2 51 8 3" xfId="9869" xr:uid="{00000000-0005-0000-0000-00007C260000}"/>
    <cellStyle name="Normal 2 51 8 3 2" xfId="9870" xr:uid="{00000000-0005-0000-0000-00007D260000}"/>
    <cellStyle name="Normal 2 51 8 3 3" xfId="9871" xr:uid="{00000000-0005-0000-0000-00007E260000}"/>
    <cellStyle name="Normal 2 51 8 4" xfId="9872" xr:uid="{00000000-0005-0000-0000-00007F260000}"/>
    <cellStyle name="Normal 2 51 8 4 2" xfId="9873" xr:uid="{00000000-0005-0000-0000-000080260000}"/>
    <cellStyle name="Normal 2 51 8 4 3" xfId="9874" xr:uid="{00000000-0005-0000-0000-000081260000}"/>
    <cellStyle name="Normal 2 51 8 5" xfId="9875" xr:uid="{00000000-0005-0000-0000-000082260000}"/>
    <cellStyle name="Normal 2 51 8 5 2" xfId="9876" xr:uid="{00000000-0005-0000-0000-000083260000}"/>
    <cellStyle name="Normal 2 51 8 5 3" xfId="9877" xr:uid="{00000000-0005-0000-0000-000084260000}"/>
    <cellStyle name="Normal 2 51 8 6" xfId="9878" xr:uid="{00000000-0005-0000-0000-000085260000}"/>
    <cellStyle name="Normal 2 51 8 6 2" xfId="9879" xr:uid="{00000000-0005-0000-0000-000086260000}"/>
    <cellStyle name="Normal 2 51 8 6 3" xfId="9880" xr:uid="{00000000-0005-0000-0000-000087260000}"/>
    <cellStyle name="Normal 2 51 8 7" xfId="9881" xr:uid="{00000000-0005-0000-0000-000088260000}"/>
    <cellStyle name="Normal 2 51 8 7 2" xfId="9882" xr:uid="{00000000-0005-0000-0000-000089260000}"/>
    <cellStyle name="Normal 2 51 8 7 3" xfId="9883" xr:uid="{00000000-0005-0000-0000-00008A260000}"/>
    <cellStyle name="Normal 2 51 8 8" xfId="9884" xr:uid="{00000000-0005-0000-0000-00008B260000}"/>
    <cellStyle name="Normal 2 51 8 8 2" xfId="9885" xr:uid="{00000000-0005-0000-0000-00008C260000}"/>
    <cellStyle name="Normal 2 51 8 8 3" xfId="9886" xr:uid="{00000000-0005-0000-0000-00008D260000}"/>
    <cellStyle name="Normal 2 51 8 9" xfId="9887" xr:uid="{00000000-0005-0000-0000-00008E260000}"/>
    <cellStyle name="Normal 2 51 8 9 2" xfId="9888" xr:uid="{00000000-0005-0000-0000-00008F260000}"/>
    <cellStyle name="Normal 2 51 8 9 3" xfId="9889" xr:uid="{00000000-0005-0000-0000-000090260000}"/>
    <cellStyle name="Normal 2 51 9" xfId="9890" xr:uid="{00000000-0005-0000-0000-000091260000}"/>
    <cellStyle name="Normal 2 51 9 10" xfId="9891" xr:uid="{00000000-0005-0000-0000-000092260000}"/>
    <cellStyle name="Normal 2 51 9 10 2" xfId="9892" xr:uid="{00000000-0005-0000-0000-000093260000}"/>
    <cellStyle name="Normal 2 51 9 10 3" xfId="9893" xr:uid="{00000000-0005-0000-0000-000094260000}"/>
    <cellStyle name="Normal 2 51 9 11" xfId="9894" xr:uid="{00000000-0005-0000-0000-000095260000}"/>
    <cellStyle name="Normal 2 51 9 11 2" xfId="9895" xr:uid="{00000000-0005-0000-0000-000096260000}"/>
    <cellStyle name="Normal 2 51 9 11 3" xfId="9896" xr:uid="{00000000-0005-0000-0000-000097260000}"/>
    <cellStyle name="Normal 2 51 9 12" xfId="9897" xr:uid="{00000000-0005-0000-0000-000098260000}"/>
    <cellStyle name="Normal 2 51 9 12 2" xfId="9898" xr:uid="{00000000-0005-0000-0000-000099260000}"/>
    <cellStyle name="Normal 2 51 9 12 3" xfId="9899" xr:uid="{00000000-0005-0000-0000-00009A260000}"/>
    <cellStyle name="Normal 2 51 9 13" xfId="9900" xr:uid="{00000000-0005-0000-0000-00009B260000}"/>
    <cellStyle name="Normal 2 51 9 13 2" xfId="9901" xr:uid="{00000000-0005-0000-0000-00009C260000}"/>
    <cellStyle name="Normal 2 51 9 13 3" xfId="9902" xr:uid="{00000000-0005-0000-0000-00009D260000}"/>
    <cellStyle name="Normal 2 51 9 14" xfId="9903" xr:uid="{00000000-0005-0000-0000-00009E260000}"/>
    <cellStyle name="Normal 2 51 9 14 2" xfId="9904" xr:uid="{00000000-0005-0000-0000-00009F260000}"/>
    <cellStyle name="Normal 2 51 9 14 3" xfId="9905" xr:uid="{00000000-0005-0000-0000-0000A0260000}"/>
    <cellStyle name="Normal 2 51 9 15" xfId="9906" xr:uid="{00000000-0005-0000-0000-0000A1260000}"/>
    <cellStyle name="Normal 2 51 9 16" xfId="9907" xr:uid="{00000000-0005-0000-0000-0000A2260000}"/>
    <cellStyle name="Normal 2 51 9 2" xfId="9908" xr:uid="{00000000-0005-0000-0000-0000A3260000}"/>
    <cellStyle name="Normal 2 51 9 2 2" xfId="9909" xr:uid="{00000000-0005-0000-0000-0000A4260000}"/>
    <cellStyle name="Normal 2 51 9 2 3" xfId="9910" xr:uid="{00000000-0005-0000-0000-0000A5260000}"/>
    <cellStyle name="Normal 2 51 9 3" xfId="9911" xr:uid="{00000000-0005-0000-0000-0000A6260000}"/>
    <cellStyle name="Normal 2 51 9 3 2" xfId="9912" xr:uid="{00000000-0005-0000-0000-0000A7260000}"/>
    <cellStyle name="Normal 2 51 9 3 3" xfId="9913" xr:uid="{00000000-0005-0000-0000-0000A8260000}"/>
    <cellStyle name="Normal 2 51 9 4" xfId="9914" xr:uid="{00000000-0005-0000-0000-0000A9260000}"/>
    <cellStyle name="Normal 2 51 9 4 2" xfId="9915" xr:uid="{00000000-0005-0000-0000-0000AA260000}"/>
    <cellStyle name="Normal 2 51 9 4 3" xfId="9916" xr:uid="{00000000-0005-0000-0000-0000AB260000}"/>
    <cellStyle name="Normal 2 51 9 5" xfId="9917" xr:uid="{00000000-0005-0000-0000-0000AC260000}"/>
    <cellStyle name="Normal 2 51 9 5 2" xfId="9918" xr:uid="{00000000-0005-0000-0000-0000AD260000}"/>
    <cellStyle name="Normal 2 51 9 5 3" xfId="9919" xr:uid="{00000000-0005-0000-0000-0000AE260000}"/>
    <cellStyle name="Normal 2 51 9 6" xfId="9920" xr:uid="{00000000-0005-0000-0000-0000AF260000}"/>
    <cellStyle name="Normal 2 51 9 6 2" xfId="9921" xr:uid="{00000000-0005-0000-0000-0000B0260000}"/>
    <cellStyle name="Normal 2 51 9 6 3" xfId="9922" xr:uid="{00000000-0005-0000-0000-0000B1260000}"/>
    <cellStyle name="Normal 2 51 9 7" xfId="9923" xr:uid="{00000000-0005-0000-0000-0000B2260000}"/>
    <cellStyle name="Normal 2 51 9 7 2" xfId="9924" xr:uid="{00000000-0005-0000-0000-0000B3260000}"/>
    <cellStyle name="Normal 2 51 9 7 3" xfId="9925" xr:uid="{00000000-0005-0000-0000-0000B4260000}"/>
    <cellStyle name="Normal 2 51 9 8" xfId="9926" xr:uid="{00000000-0005-0000-0000-0000B5260000}"/>
    <cellStyle name="Normal 2 51 9 8 2" xfId="9927" xr:uid="{00000000-0005-0000-0000-0000B6260000}"/>
    <cellStyle name="Normal 2 51 9 8 3" xfId="9928" xr:uid="{00000000-0005-0000-0000-0000B7260000}"/>
    <cellStyle name="Normal 2 51 9 9" xfId="9929" xr:uid="{00000000-0005-0000-0000-0000B8260000}"/>
    <cellStyle name="Normal 2 51 9 9 2" xfId="9930" xr:uid="{00000000-0005-0000-0000-0000B9260000}"/>
    <cellStyle name="Normal 2 51 9 9 3" xfId="9931" xr:uid="{00000000-0005-0000-0000-0000BA260000}"/>
    <cellStyle name="Normal 2 52" xfId="9932" xr:uid="{00000000-0005-0000-0000-0000BB260000}"/>
    <cellStyle name="Normal 2 52 10" xfId="9933" xr:uid="{00000000-0005-0000-0000-0000BC260000}"/>
    <cellStyle name="Normal 2 52 10 10" xfId="9934" xr:uid="{00000000-0005-0000-0000-0000BD260000}"/>
    <cellStyle name="Normal 2 52 10 10 2" xfId="9935" xr:uid="{00000000-0005-0000-0000-0000BE260000}"/>
    <cellStyle name="Normal 2 52 10 10 3" xfId="9936" xr:uid="{00000000-0005-0000-0000-0000BF260000}"/>
    <cellStyle name="Normal 2 52 10 11" xfId="9937" xr:uid="{00000000-0005-0000-0000-0000C0260000}"/>
    <cellStyle name="Normal 2 52 10 11 2" xfId="9938" xr:uid="{00000000-0005-0000-0000-0000C1260000}"/>
    <cellStyle name="Normal 2 52 10 11 3" xfId="9939" xr:uid="{00000000-0005-0000-0000-0000C2260000}"/>
    <cellStyle name="Normal 2 52 10 12" xfId="9940" xr:uid="{00000000-0005-0000-0000-0000C3260000}"/>
    <cellStyle name="Normal 2 52 10 12 2" xfId="9941" xr:uid="{00000000-0005-0000-0000-0000C4260000}"/>
    <cellStyle name="Normal 2 52 10 12 3" xfId="9942" xr:uid="{00000000-0005-0000-0000-0000C5260000}"/>
    <cellStyle name="Normal 2 52 10 13" xfId="9943" xr:uid="{00000000-0005-0000-0000-0000C6260000}"/>
    <cellStyle name="Normal 2 52 10 13 2" xfId="9944" xr:uid="{00000000-0005-0000-0000-0000C7260000}"/>
    <cellStyle name="Normal 2 52 10 13 3" xfId="9945" xr:uid="{00000000-0005-0000-0000-0000C8260000}"/>
    <cellStyle name="Normal 2 52 10 14" xfId="9946" xr:uid="{00000000-0005-0000-0000-0000C9260000}"/>
    <cellStyle name="Normal 2 52 10 14 2" xfId="9947" xr:uid="{00000000-0005-0000-0000-0000CA260000}"/>
    <cellStyle name="Normal 2 52 10 14 3" xfId="9948" xr:uid="{00000000-0005-0000-0000-0000CB260000}"/>
    <cellStyle name="Normal 2 52 10 15" xfId="9949" xr:uid="{00000000-0005-0000-0000-0000CC260000}"/>
    <cellStyle name="Normal 2 52 10 16" xfId="9950" xr:uid="{00000000-0005-0000-0000-0000CD260000}"/>
    <cellStyle name="Normal 2 52 10 2" xfId="9951" xr:uid="{00000000-0005-0000-0000-0000CE260000}"/>
    <cellStyle name="Normal 2 52 10 2 2" xfId="9952" xr:uid="{00000000-0005-0000-0000-0000CF260000}"/>
    <cellStyle name="Normal 2 52 10 2 3" xfId="9953" xr:uid="{00000000-0005-0000-0000-0000D0260000}"/>
    <cellStyle name="Normal 2 52 10 3" xfId="9954" xr:uid="{00000000-0005-0000-0000-0000D1260000}"/>
    <cellStyle name="Normal 2 52 10 3 2" xfId="9955" xr:uid="{00000000-0005-0000-0000-0000D2260000}"/>
    <cellStyle name="Normal 2 52 10 3 3" xfId="9956" xr:uid="{00000000-0005-0000-0000-0000D3260000}"/>
    <cellStyle name="Normal 2 52 10 4" xfId="9957" xr:uid="{00000000-0005-0000-0000-0000D4260000}"/>
    <cellStyle name="Normal 2 52 10 4 2" xfId="9958" xr:uid="{00000000-0005-0000-0000-0000D5260000}"/>
    <cellStyle name="Normal 2 52 10 4 3" xfId="9959" xr:uid="{00000000-0005-0000-0000-0000D6260000}"/>
    <cellStyle name="Normal 2 52 10 5" xfId="9960" xr:uid="{00000000-0005-0000-0000-0000D7260000}"/>
    <cellStyle name="Normal 2 52 10 5 2" xfId="9961" xr:uid="{00000000-0005-0000-0000-0000D8260000}"/>
    <cellStyle name="Normal 2 52 10 5 3" xfId="9962" xr:uid="{00000000-0005-0000-0000-0000D9260000}"/>
    <cellStyle name="Normal 2 52 10 6" xfId="9963" xr:uid="{00000000-0005-0000-0000-0000DA260000}"/>
    <cellStyle name="Normal 2 52 10 6 2" xfId="9964" xr:uid="{00000000-0005-0000-0000-0000DB260000}"/>
    <cellStyle name="Normal 2 52 10 6 3" xfId="9965" xr:uid="{00000000-0005-0000-0000-0000DC260000}"/>
    <cellStyle name="Normal 2 52 10 7" xfId="9966" xr:uid="{00000000-0005-0000-0000-0000DD260000}"/>
    <cellStyle name="Normal 2 52 10 7 2" xfId="9967" xr:uid="{00000000-0005-0000-0000-0000DE260000}"/>
    <cellStyle name="Normal 2 52 10 7 3" xfId="9968" xr:uid="{00000000-0005-0000-0000-0000DF260000}"/>
    <cellStyle name="Normal 2 52 10 8" xfId="9969" xr:uid="{00000000-0005-0000-0000-0000E0260000}"/>
    <cellStyle name="Normal 2 52 10 8 2" xfId="9970" xr:uid="{00000000-0005-0000-0000-0000E1260000}"/>
    <cellStyle name="Normal 2 52 10 8 3" xfId="9971" xr:uid="{00000000-0005-0000-0000-0000E2260000}"/>
    <cellStyle name="Normal 2 52 10 9" xfId="9972" xr:uid="{00000000-0005-0000-0000-0000E3260000}"/>
    <cellStyle name="Normal 2 52 10 9 2" xfId="9973" xr:uid="{00000000-0005-0000-0000-0000E4260000}"/>
    <cellStyle name="Normal 2 52 10 9 3" xfId="9974" xr:uid="{00000000-0005-0000-0000-0000E5260000}"/>
    <cellStyle name="Normal 2 52 11" xfId="9975" xr:uid="{00000000-0005-0000-0000-0000E6260000}"/>
    <cellStyle name="Normal 2 52 11 2" xfId="9976" xr:uid="{00000000-0005-0000-0000-0000E7260000}"/>
    <cellStyle name="Normal 2 52 11 3" xfId="9977" xr:uid="{00000000-0005-0000-0000-0000E8260000}"/>
    <cellStyle name="Normal 2 52 12" xfId="9978" xr:uid="{00000000-0005-0000-0000-0000E9260000}"/>
    <cellStyle name="Normal 2 52 12 2" xfId="9979" xr:uid="{00000000-0005-0000-0000-0000EA260000}"/>
    <cellStyle name="Normal 2 52 12 3" xfId="9980" xr:uid="{00000000-0005-0000-0000-0000EB260000}"/>
    <cellStyle name="Normal 2 52 13" xfId="9981" xr:uid="{00000000-0005-0000-0000-0000EC260000}"/>
    <cellStyle name="Normal 2 52 13 2" xfId="9982" xr:uid="{00000000-0005-0000-0000-0000ED260000}"/>
    <cellStyle name="Normal 2 52 13 3" xfId="9983" xr:uid="{00000000-0005-0000-0000-0000EE260000}"/>
    <cellStyle name="Normal 2 52 14" xfId="9984" xr:uid="{00000000-0005-0000-0000-0000EF260000}"/>
    <cellStyle name="Normal 2 52 14 2" xfId="9985" xr:uid="{00000000-0005-0000-0000-0000F0260000}"/>
    <cellStyle name="Normal 2 52 14 3" xfId="9986" xr:uid="{00000000-0005-0000-0000-0000F1260000}"/>
    <cellStyle name="Normal 2 52 15" xfId="9987" xr:uid="{00000000-0005-0000-0000-0000F2260000}"/>
    <cellStyle name="Normal 2 52 15 2" xfId="9988" xr:uid="{00000000-0005-0000-0000-0000F3260000}"/>
    <cellStyle name="Normal 2 52 15 3" xfId="9989" xr:uid="{00000000-0005-0000-0000-0000F4260000}"/>
    <cellStyle name="Normal 2 52 16" xfId="9990" xr:uid="{00000000-0005-0000-0000-0000F5260000}"/>
    <cellStyle name="Normal 2 52 16 2" xfId="9991" xr:uid="{00000000-0005-0000-0000-0000F6260000}"/>
    <cellStyle name="Normal 2 52 16 3" xfId="9992" xr:uid="{00000000-0005-0000-0000-0000F7260000}"/>
    <cellStyle name="Normal 2 52 17" xfId="9993" xr:uid="{00000000-0005-0000-0000-0000F8260000}"/>
    <cellStyle name="Normal 2 52 17 2" xfId="9994" xr:uid="{00000000-0005-0000-0000-0000F9260000}"/>
    <cellStyle name="Normal 2 52 17 3" xfId="9995" xr:uid="{00000000-0005-0000-0000-0000FA260000}"/>
    <cellStyle name="Normal 2 52 18" xfId="9996" xr:uid="{00000000-0005-0000-0000-0000FB260000}"/>
    <cellStyle name="Normal 2 52 18 2" xfId="9997" xr:uid="{00000000-0005-0000-0000-0000FC260000}"/>
    <cellStyle name="Normal 2 52 18 3" xfId="9998" xr:uid="{00000000-0005-0000-0000-0000FD260000}"/>
    <cellStyle name="Normal 2 52 19" xfId="9999" xr:uid="{00000000-0005-0000-0000-0000FE260000}"/>
    <cellStyle name="Normal 2 52 19 2" xfId="10000" xr:uid="{00000000-0005-0000-0000-0000FF260000}"/>
    <cellStyle name="Normal 2 52 19 3" xfId="10001" xr:uid="{00000000-0005-0000-0000-000000270000}"/>
    <cellStyle name="Normal 2 52 2" xfId="10002" xr:uid="{00000000-0005-0000-0000-000001270000}"/>
    <cellStyle name="Normal 2 52 2 10" xfId="10003" xr:uid="{00000000-0005-0000-0000-000002270000}"/>
    <cellStyle name="Normal 2 52 2 10 2" xfId="10004" xr:uid="{00000000-0005-0000-0000-000003270000}"/>
    <cellStyle name="Normal 2 52 2 10 3" xfId="10005" xr:uid="{00000000-0005-0000-0000-000004270000}"/>
    <cellStyle name="Normal 2 52 2 11" xfId="10006" xr:uid="{00000000-0005-0000-0000-000005270000}"/>
    <cellStyle name="Normal 2 52 2 11 2" xfId="10007" xr:uid="{00000000-0005-0000-0000-000006270000}"/>
    <cellStyle name="Normal 2 52 2 11 3" xfId="10008" xr:uid="{00000000-0005-0000-0000-000007270000}"/>
    <cellStyle name="Normal 2 52 2 12" xfId="10009" xr:uid="{00000000-0005-0000-0000-000008270000}"/>
    <cellStyle name="Normal 2 52 2 12 2" xfId="10010" xr:uid="{00000000-0005-0000-0000-000009270000}"/>
    <cellStyle name="Normal 2 52 2 12 3" xfId="10011" xr:uid="{00000000-0005-0000-0000-00000A270000}"/>
    <cellStyle name="Normal 2 52 2 13" xfId="10012" xr:uid="{00000000-0005-0000-0000-00000B270000}"/>
    <cellStyle name="Normal 2 52 2 13 2" xfId="10013" xr:uid="{00000000-0005-0000-0000-00000C270000}"/>
    <cellStyle name="Normal 2 52 2 13 3" xfId="10014" xr:uid="{00000000-0005-0000-0000-00000D270000}"/>
    <cellStyle name="Normal 2 52 2 14" xfId="10015" xr:uid="{00000000-0005-0000-0000-00000E270000}"/>
    <cellStyle name="Normal 2 52 2 14 2" xfId="10016" xr:uid="{00000000-0005-0000-0000-00000F270000}"/>
    <cellStyle name="Normal 2 52 2 14 3" xfId="10017" xr:uid="{00000000-0005-0000-0000-000010270000}"/>
    <cellStyle name="Normal 2 52 2 15" xfId="10018" xr:uid="{00000000-0005-0000-0000-000011270000}"/>
    <cellStyle name="Normal 2 52 2 15 2" xfId="10019" xr:uid="{00000000-0005-0000-0000-000012270000}"/>
    <cellStyle name="Normal 2 52 2 15 3" xfId="10020" xr:uid="{00000000-0005-0000-0000-000013270000}"/>
    <cellStyle name="Normal 2 52 2 16" xfId="10021" xr:uid="{00000000-0005-0000-0000-000014270000}"/>
    <cellStyle name="Normal 2 52 2 17" xfId="10022" xr:uid="{00000000-0005-0000-0000-000015270000}"/>
    <cellStyle name="Normal 2 52 2 2" xfId="10023" xr:uid="{00000000-0005-0000-0000-000016270000}"/>
    <cellStyle name="Normal 2 52 2 2 10" xfId="10024" xr:uid="{00000000-0005-0000-0000-000017270000}"/>
    <cellStyle name="Normal 2 52 2 2 10 2" xfId="10025" xr:uid="{00000000-0005-0000-0000-000018270000}"/>
    <cellStyle name="Normal 2 52 2 2 10 3" xfId="10026" xr:uid="{00000000-0005-0000-0000-000019270000}"/>
    <cellStyle name="Normal 2 52 2 2 11" xfId="10027" xr:uid="{00000000-0005-0000-0000-00001A270000}"/>
    <cellStyle name="Normal 2 52 2 2 11 2" xfId="10028" xr:uid="{00000000-0005-0000-0000-00001B270000}"/>
    <cellStyle name="Normal 2 52 2 2 11 3" xfId="10029" xr:uid="{00000000-0005-0000-0000-00001C270000}"/>
    <cellStyle name="Normal 2 52 2 2 12" xfId="10030" xr:uid="{00000000-0005-0000-0000-00001D270000}"/>
    <cellStyle name="Normal 2 52 2 2 12 2" xfId="10031" xr:uid="{00000000-0005-0000-0000-00001E270000}"/>
    <cellStyle name="Normal 2 52 2 2 12 3" xfId="10032" xr:uid="{00000000-0005-0000-0000-00001F270000}"/>
    <cellStyle name="Normal 2 52 2 2 13" xfId="10033" xr:uid="{00000000-0005-0000-0000-000020270000}"/>
    <cellStyle name="Normal 2 52 2 2 13 2" xfId="10034" xr:uid="{00000000-0005-0000-0000-000021270000}"/>
    <cellStyle name="Normal 2 52 2 2 13 3" xfId="10035" xr:uid="{00000000-0005-0000-0000-000022270000}"/>
    <cellStyle name="Normal 2 52 2 2 14" xfId="10036" xr:uid="{00000000-0005-0000-0000-000023270000}"/>
    <cellStyle name="Normal 2 52 2 2 14 2" xfId="10037" xr:uid="{00000000-0005-0000-0000-000024270000}"/>
    <cellStyle name="Normal 2 52 2 2 14 3" xfId="10038" xr:uid="{00000000-0005-0000-0000-000025270000}"/>
    <cellStyle name="Normal 2 52 2 2 15" xfId="10039" xr:uid="{00000000-0005-0000-0000-000026270000}"/>
    <cellStyle name="Normal 2 52 2 2 16" xfId="10040" xr:uid="{00000000-0005-0000-0000-000027270000}"/>
    <cellStyle name="Normal 2 52 2 2 2" xfId="10041" xr:uid="{00000000-0005-0000-0000-000028270000}"/>
    <cellStyle name="Normal 2 52 2 2 2 2" xfId="10042" xr:uid="{00000000-0005-0000-0000-000029270000}"/>
    <cellStyle name="Normal 2 52 2 2 2 3" xfId="10043" xr:uid="{00000000-0005-0000-0000-00002A270000}"/>
    <cellStyle name="Normal 2 52 2 2 3" xfId="10044" xr:uid="{00000000-0005-0000-0000-00002B270000}"/>
    <cellStyle name="Normal 2 52 2 2 3 2" xfId="10045" xr:uid="{00000000-0005-0000-0000-00002C270000}"/>
    <cellStyle name="Normal 2 52 2 2 3 3" xfId="10046" xr:uid="{00000000-0005-0000-0000-00002D270000}"/>
    <cellStyle name="Normal 2 52 2 2 4" xfId="10047" xr:uid="{00000000-0005-0000-0000-00002E270000}"/>
    <cellStyle name="Normal 2 52 2 2 4 2" xfId="10048" xr:uid="{00000000-0005-0000-0000-00002F270000}"/>
    <cellStyle name="Normal 2 52 2 2 4 3" xfId="10049" xr:uid="{00000000-0005-0000-0000-000030270000}"/>
    <cellStyle name="Normal 2 52 2 2 5" xfId="10050" xr:uid="{00000000-0005-0000-0000-000031270000}"/>
    <cellStyle name="Normal 2 52 2 2 5 2" xfId="10051" xr:uid="{00000000-0005-0000-0000-000032270000}"/>
    <cellStyle name="Normal 2 52 2 2 5 3" xfId="10052" xr:uid="{00000000-0005-0000-0000-000033270000}"/>
    <cellStyle name="Normal 2 52 2 2 6" xfId="10053" xr:uid="{00000000-0005-0000-0000-000034270000}"/>
    <cellStyle name="Normal 2 52 2 2 6 2" xfId="10054" xr:uid="{00000000-0005-0000-0000-000035270000}"/>
    <cellStyle name="Normal 2 52 2 2 6 3" xfId="10055" xr:uid="{00000000-0005-0000-0000-000036270000}"/>
    <cellStyle name="Normal 2 52 2 2 7" xfId="10056" xr:uid="{00000000-0005-0000-0000-000037270000}"/>
    <cellStyle name="Normal 2 52 2 2 7 2" xfId="10057" xr:uid="{00000000-0005-0000-0000-000038270000}"/>
    <cellStyle name="Normal 2 52 2 2 7 3" xfId="10058" xr:uid="{00000000-0005-0000-0000-000039270000}"/>
    <cellStyle name="Normal 2 52 2 2 8" xfId="10059" xr:uid="{00000000-0005-0000-0000-00003A270000}"/>
    <cellStyle name="Normal 2 52 2 2 8 2" xfId="10060" xr:uid="{00000000-0005-0000-0000-00003B270000}"/>
    <cellStyle name="Normal 2 52 2 2 8 3" xfId="10061" xr:uid="{00000000-0005-0000-0000-00003C270000}"/>
    <cellStyle name="Normal 2 52 2 2 9" xfId="10062" xr:uid="{00000000-0005-0000-0000-00003D270000}"/>
    <cellStyle name="Normal 2 52 2 2 9 2" xfId="10063" xr:uid="{00000000-0005-0000-0000-00003E270000}"/>
    <cellStyle name="Normal 2 52 2 2 9 3" xfId="10064" xr:uid="{00000000-0005-0000-0000-00003F270000}"/>
    <cellStyle name="Normal 2 52 2 3" xfId="10065" xr:uid="{00000000-0005-0000-0000-000040270000}"/>
    <cellStyle name="Normal 2 52 2 3 2" xfId="10066" xr:uid="{00000000-0005-0000-0000-000041270000}"/>
    <cellStyle name="Normal 2 52 2 3 3" xfId="10067" xr:uid="{00000000-0005-0000-0000-000042270000}"/>
    <cellStyle name="Normal 2 52 2 4" xfId="10068" xr:uid="{00000000-0005-0000-0000-000043270000}"/>
    <cellStyle name="Normal 2 52 2 4 2" xfId="10069" xr:uid="{00000000-0005-0000-0000-000044270000}"/>
    <cellStyle name="Normal 2 52 2 4 3" xfId="10070" xr:uid="{00000000-0005-0000-0000-000045270000}"/>
    <cellStyle name="Normal 2 52 2 5" xfId="10071" xr:uid="{00000000-0005-0000-0000-000046270000}"/>
    <cellStyle name="Normal 2 52 2 5 2" xfId="10072" xr:uid="{00000000-0005-0000-0000-000047270000}"/>
    <cellStyle name="Normal 2 52 2 5 3" xfId="10073" xr:uid="{00000000-0005-0000-0000-000048270000}"/>
    <cellStyle name="Normal 2 52 2 6" xfId="10074" xr:uid="{00000000-0005-0000-0000-000049270000}"/>
    <cellStyle name="Normal 2 52 2 6 2" xfId="10075" xr:uid="{00000000-0005-0000-0000-00004A270000}"/>
    <cellStyle name="Normal 2 52 2 6 3" xfId="10076" xr:uid="{00000000-0005-0000-0000-00004B270000}"/>
    <cellStyle name="Normal 2 52 2 7" xfId="10077" xr:uid="{00000000-0005-0000-0000-00004C270000}"/>
    <cellStyle name="Normal 2 52 2 7 2" xfId="10078" xr:uid="{00000000-0005-0000-0000-00004D270000}"/>
    <cellStyle name="Normal 2 52 2 7 3" xfId="10079" xr:uid="{00000000-0005-0000-0000-00004E270000}"/>
    <cellStyle name="Normal 2 52 2 8" xfId="10080" xr:uid="{00000000-0005-0000-0000-00004F270000}"/>
    <cellStyle name="Normal 2 52 2 8 2" xfId="10081" xr:uid="{00000000-0005-0000-0000-000050270000}"/>
    <cellStyle name="Normal 2 52 2 8 3" xfId="10082" xr:uid="{00000000-0005-0000-0000-000051270000}"/>
    <cellStyle name="Normal 2 52 2 9" xfId="10083" xr:uid="{00000000-0005-0000-0000-000052270000}"/>
    <cellStyle name="Normal 2 52 2 9 2" xfId="10084" xr:uid="{00000000-0005-0000-0000-000053270000}"/>
    <cellStyle name="Normal 2 52 2 9 3" xfId="10085" xr:uid="{00000000-0005-0000-0000-000054270000}"/>
    <cellStyle name="Normal 2 52 20" xfId="10086" xr:uid="{00000000-0005-0000-0000-000055270000}"/>
    <cellStyle name="Normal 2 52 20 2" xfId="10087" xr:uid="{00000000-0005-0000-0000-000056270000}"/>
    <cellStyle name="Normal 2 52 20 3" xfId="10088" xr:uid="{00000000-0005-0000-0000-000057270000}"/>
    <cellStyle name="Normal 2 52 21" xfId="10089" xr:uid="{00000000-0005-0000-0000-000058270000}"/>
    <cellStyle name="Normal 2 52 21 2" xfId="10090" xr:uid="{00000000-0005-0000-0000-000059270000}"/>
    <cellStyle name="Normal 2 52 21 3" xfId="10091" xr:uid="{00000000-0005-0000-0000-00005A270000}"/>
    <cellStyle name="Normal 2 52 22" xfId="10092" xr:uid="{00000000-0005-0000-0000-00005B270000}"/>
    <cellStyle name="Normal 2 52 22 2" xfId="10093" xr:uid="{00000000-0005-0000-0000-00005C270000}"/>
    <cellStyle name="Normal 2 52 22 3" xfId="10094" xr:uid="{00000000-0005-0000-0000-00005D270000}"/>
    <cellStyle name="Normal 2 52 23" xfId="10095" xr:uid="{00000000-0005-0000-0000-00005E270000}"/>
    <cellStyle name="Normal 2 52 23 2" xfId="10096" xr:uid="{00000000-0005-0000-0000-00005F270000}"/>
    <cellStyle name="Normal 2 52 23 3" xfId="10097" xr:uid="{00000000-0005-0000-0000-000060270000}"/>
    <cellStyle name="Normal 2 52 24" xfId="10098" xr:uid="{00000000-0005-0000-0000-000061270000}"/>
    <cellStyle name="Normal 2 52 25" xfId="10099" xr:uid="{00000000-0005-0000-0000-000062270000}"/>
    <cellStyle name="Normal 2 52 3" xfId="10100" xr:uid="{00000000-0005-0000-0000-000063270000}"/>
    <cellStyle name="Normal 2 52 3 10" xfId="10101" xr:uid="{00000000-0005-0000-0000-000064270000}"/>
    <cellStyle name="Normal 2 52 3 10 2" xfId="10102" xr:uid="{00000000-0005-0000-0000-000065270000}"/>
    <cellStyle name="Normal 2 52 3 10 3" xfId="10103" xr:uid="{00000000-0005-0000-0000-000066270000}"/>
    <cellStyle name="Normal 2 52 3 11" xfId="10104" xr:uid="{00000000-0005-0000-0000-000067270000}"/>
    <cellStyle name="Normal 2 52 3 11 2" xfId="10105" xr:uid="{00000000-0005-0000-0000-000068270000}"/>
    <cellStyle name="Normal 2 52 3 11 3" xfId="10106" xr:uid="{00000000-0005-0000-0000-000069270000}"/>
    <cellStyle name="Normal 2 52 3 12" xfId="10107" xr:uid="{00000000-0005-0000-0000-00006A270000}"/>
    <cellStyle name="Normal 2 52 3 12 2" xfId="10108" xr:uid="{00000000-0005-0000-0000-00006B270000}"/>
    <cellStyle name="Normal 2 52 3 12 3" xfId="10109" xr:uid="{00000000-0005-0000-0000-00006C270000}"/>
    <cellStyle name="Normal 2 52 3 13" xfId="10110" xr:uid="{00000000-0005-0000-0000-00006D270000}"/>
    <cellStyle name="Normal 2 52 3 13 2" xfId="10111" xr:uid="{00000000-0005-0000-0000-00006E270000}"/>
    <cellStyle name="Normal 2 52 3 13 3" xfId="10112" xr:uid="{00000000-0005-0000-0000-00006F270000}"/>
    <cellStyle name="Normal 2 52 3 14" xfId="10113" xr:uid="{00000000-0005-0000-0000-000070270000}"/>
    <cellStyle name="Normal 2 52 3 14 2" xfId="10114" xr:uid="{00000000-0005-0000-0000-000071270000}"/>
    <cellStyle name="Normal 2 52 3 14 3" xfId="10115" xr:uid="{00000000-0005-0000-0000-000072270000}"/>
    <cellStyle name="Normal 2 52 3 15" xfId="10116" xr:uid="{00000000-0005-0000-0000-000073270000}"/>
    <cellStyle name="Normal 2 52 3 15 2" xfId="10117" xr:uid="{00000000-0005-0000-0000-000074270000}"/>
    <cellStyle name="Normal 2 52 3 15 3" xfId="10118" xr:uid="{00000000-0005-0000-0000-000075270000}"/>
    <cellStyle name="Normal 2 52 3 16" xfId="10119" xr:uid="{00000000-0005-0000-0000-000076270000}"/>
    <cellStyle name="Normal 2 52 3 17" xfId="10120" xr:uid="{00000000-0005-0000-0000-000077270000}"/>
    <cellStyle name="Normal 2 52 3 2" xfId="10121" xr:uid="{00000000-0005-0000-0000-000078270000}"/>
    <cellStyle name="Normal 2 52 3 2 10" xfId="10122" xr:uid="{00000000-0005-0000-0000-000079270000}"/>
    <cellStyle name="Normal 2 52 3 2 10 2" xfId="10123" xr:uid="{00000000-0005-0000-0000-00007A270000}"/>
    <cellStyle name="Normal 2 52 3 2 10 3" xfId="10124" xr:uid="{00000000-0005-0000-0000-00007B270000}"/>
    <cellStyle name="Normal 2 52 3 2 11" xfId="10125" xr:uid="{00000000-0005-0000-0000-00007C270000}"/>
    <cellStyle name="Normal 2 52 3 2 11 2" xfId="10126" xr:uid="{00000000-0005-0000-0000-00007D270000}"/>
    <cellStyle name="Normal 2 52 3 2 11 3" xfId="10127" xr:uid="{00000000-0005-0000-0000-00007E270000}"/>
    <cellStyle name="Normal 2 52 3 2 12" xfId="10128" xr:uid="{00000000-0005-0000-0000-00007F270000}"/>
    <cellStyle name="Normal 2 52 3 2 12 2" xfId="10129" xr:uid="{00000000-0005-0000-0000-000080270000}"/>
    <cellStyle name="Normal 2 52 3 2 12 3" xfId="10130" xr:uid="{00000000-0005-0000-0000-000081270000}"/>
    <cellStyle name="Normal 2 52 3 2 13" xfId="10131" xr:uid="{00000000-0005-0000-0000-000082270000}"/>
    <cellStyle name="Normal 2 52 3 2 13 2" xfId="10132" xr:uid="{00000000-0005-0000-0000-000083270000}"/>
    <cellStyle name="Normal 2 52 3 2 13 3" xfId="10133" xr:uid="{00000000-0005-0000-0000-000084270000}"/>
    <cellStyle name="Normal 2 52 3 2 14" xfId="10134" xr:uid="{00000000-0005-0000-0000-000085270000}"/>
    <cellStyle name="Normal 2 52 3 2 14 2" xfId="10135" xr:uid="{00000000-0005-0000-0000-000086270000}"/>
    <cellStyle name="Normal 2 52 3 2 14 3" xfId="10136" xr:uid="{00000000-0005-0000-0000-000087270000}"/>
    <cellStyle name="Normal 2 52 3 2 15" xfId="10137" xr:uid="{00000000-0005-0000-0000-000088270000}"/>
    <cellStyle name="Normal 2 52 3 2 16" xfId="10138" xr:uid="{00000000-0005-0000-0000-000089270000}"/>
    <cellStyle name="Normal 2 52 3 2 2" xfId="10139" xr:uid="{00000000-0005-0000-0000-00008A270000}"/>
    <cellStyle name="Normal 2 52 3 2 2 2" xfId="10140" xr:uid="{00000000-0005-0000-0000-00008B270000}"/>
    <cellStyle name="Normal 2 52 3 2 2 3" xfId="10141" xr:uid="{00000000-0005-0000-0000-00008C270000}"/>
    <cellStyle name="Normal 2 52 3 2 3" xfId="10142" xr:uid="{00000000-0005-0000-0000-00008D270000}"/>
    <cellStyle name="Normal 2 52 3 2 3 2" xfId="10143" xr:uid="{00000000-0005-0000-0000-00008E270000}"/>
    <cellStyle name="Normal 2 52 3 2 3 3" xfId="10144" xr:uid="{00000000-0005-0000-0000-00008F270000}"/>
    <cellStyle name="Normal 2 52 3 2 4" xfId="10145" xr:uid="{00000000-0005-0000-0000-000090270000}"/>
    <cellStyle name="Normal 2 52 3 2 4 2" xfId="10146" xr:uid="{00000000-0005-0000-0000-000091270000}"/>
    <cellStyle name="Normal 2 52 3 2 4 3" xfId="10147" xr:uid="{00000000-0005-0000-0000-000092270000}"/>
    <cellStyle name="Normal 2 52 3 2 5" xfId="10148" xr:uid="{00000000-0005-0000-0000-000093270000}"/>
    <cellStyle name="Normal 2 52 3 2 5 2" xfId="10149" xr:uid="{00000000-0005-0000-0000-000094270000}"/>
    <cellStyle name="Normal 2 52 3 2 5 3" xfId="10150" xr:uid="{00000000-0005-0000-0000-000095270000}"/>
    <cellStyle name="Normal 2 52 3 2 6" xfId="10151" xr:uid="{00000000-0005-0000-0000-000096270000}"/>
    <cellStyle name="Normal 2 52 3 2 6 2" xfId="10152" xr:uid="{00000000-0005-0000-0000-000097270000}"/>
    <cellStyle name="Normal 2 52 3 2 6 3" xfId="10153" xr:uid="{00000000-0005-0000-0000-000098270000}"/>
    <cellStyle name="Normal 2 52 3 2 7" xfId="10154" xr:uid="{00000000-0005-0000-0000-000099270000}"/>
    <cellStyle name="Normal 2 52 3 2 7 2" xfId="10155" xr:uid="{00000000-0005-0000-0000-00009A270000}"/>
    <cellStyle name="Normal 2 52 3 2 7 3" xfId="10156" xr:uid="{00000000-0005-0000-0000-00009B270000}"/>
    <cellStyle name="Normal 2 52 3 2 8" xfId="10157" xr:uid="{00000000-0005-0000-0000-00009C270000}"/>
    <cellStyle name="Normal 2 52 3 2 8 2" xfId="10158" xr:uid="{00000000-0005-0000-0000-00009D270000}"/>
    <cellStyle name="Normal 2 52 3 2 8 3" xfId="10159" xr:uid="{00000000-0005-0000-0000-00009E270000}"/>
    <cellStyle name="Normal 2 52 3 2 9" xfId="10160" xr:uid="{00000000-0005-0000-0000-00009F270000}"/>
    <cellStyle name="Normal 2 52 3 2 9 2" xfId="10161" xr:uid="{00000000-0005-0000-0000-0000A0270000}"/>
    <cellStyle name="Normal 2 52 3 2 9 3" xfId="10162" xr:uid="{00000000-0005-0000-0000-0000A1270000}"/>
    <cellStyle name="Normal 2 52 3 3" xfId="10163" xr:uid="{00000000-0005-0000-0000-0000A2270000}"/>
    <cellStyle name="Normal 2 52 3 3 2" xfId="10164" xr:uid="{00000000-0005-0000-0000-0000A3270000}"/>
    <cellStyle name="Normal 2 52 3 3 3" xfId="10165" xr:uid="{00000000-0005-0000-0000-0000A4270000}"/>
    <cellStyle name="Normal 2 52 3 4" xfId="10166" xr:uid="{00000000-0005-0000-0000-0000A5270000}"/>
    <cellStyle name="Normal 2 52 3 4 2" xfId="10167" xr:uid="{00000000-0005-0000-0000-0000A6270000}"/>
    <cellStyle name="Normal 2 52 3 4 3" xfId="10168" xr:uid="{00000000-0005-0000-0000-0000A7270000}"/>
    <cellStyle name="Normal 2 52 3 5" xfId="10169" xr:uid="{00000000-0005-0000-0000-0000A8270000}"/>
    <cellStyle name="Normal 2 52 3 5 2" xfId="10170" xr:uid="{00000000-0005-0000-0000-0000A9270000}"/>
    <cellStyle name="Normal 2 52 3 5 3" xfId="10171" xr:uid="{00000000-0005-0000-0000-0000AA270000}"/>
    <cellStyle name="Normal 2 52 3 6" xfId="10172" xr:uid="{00000000-0005-0000-0000-0000AB270000}"/>
    <cellStyle name="Normal 2 52 3 6 2" xfId="10173" xr:uid="{00000000-0005-0000-0000-0000AC270000}"/>
    <cellStyle name="Normal 2 52 3 6 3" xfId="10174" xr:uid="{00000000-0005-0000-0000-0000AD270000}"/>
    <cellStyle name="Normal 2 52 3 7" xfId="10175" xr:uid="{00000000-0005-0000-0000-0000AE270000}"/>
    <cellStyle name="Normal 2 52 3 7 2" xfId="10176" xr:uid="{00000000-0005-0000-0000-0000AF270000}"/>
    <cellStyle name="Normal 2 52 3 7 3" xfId="10177" xr:uid="{00000000-0005-0000-0000-0000B0270000}"/>
    <cellStyle name="Normal 2 52 3 8" xfId="10178" xr:uid="{00000000-0005-0000-0000-0000B1270000}"/>
    <cellStyle name="Normal 2 52 3 8 2" xfId="10179" xr:uid="{00000000-0005-0000-0000-0000B2270000}"/>
    <cellStyle name="Normal 2 52 3 8 3" xfId="10180" xr:uid="{00000000-0005-0000-0000-0000B3270000}"/>
    <cellStyle name="Normal 2 52 3 9" xfId="10181" xr:uid="{00000000-0005-0000-0000-0000B4270000}"/>
    <cellStyle name="Normal 2 52 3 9 2" xfId="10182" xr:uid="{00000000-0005-0000-0000-0000B5270000}"/>
    <cellStyle name="Normal 2 52 3 9 3" xfId="10183" xr:uid="{00000000-0005-0000-0000-0000B6270000}"/>
    <cellStyle name="Normal 2 52 4" xfId="10184" xr:uid="{00000000-0005-0000-0000-0000B7270000}"/>
    <cellStyle name="Normal 2 52 4 10" xfId="10185" xr:uid="{00000000-0005-0000-0000-0000B8270000}"/>
    <cellStyle name="Normal 2 52 4 10 2" xfId="10186" xr:uid="{00000000-0005-0000-0000-0000B9270000}"/>
    <cellStyle name="Normal 2 52 4 10 3" xfId="10187" xr:uid="{00000000-0005-0000-0000-0000BA270000}"/>
    <cellStyle name="Normal 2 52 4 11" xfId="10188" xr:uid="{00000000-0005-0000-0000-0000BB270000}"/>
    <cellStyle name="Normal 2 52 4 11 2" xfId="10189" xr:uid="{00000000-0005-0000-0000-0000BC270000}"/>
    <cellStyle name="Normal 2 52 4 11 3" xfId="10190" xr:uid="{00000000-0005-0000-0000-0000BD270000}"/>
    <cellStyle name="Normal 2 52 4 12" xfId="10191" xr:uid="{00000000-0005-0000-0000-0000BE270000}"/>
    <cellStyle name="Normal 2 52 4 12 2" xfId="10192" xr:uid="{00000000-0005-0000-0000-0000BF270000}"/>
    <cellStyle name="Normal 2 52 4 12 3" xfId="10193" xr:uid="{00000000-0005-0000-0000-0000C0270000}"/>
    <cellStyle name="Normal 2 52 4 13" xfId="10194" xr:uid="{00000000-0005-0000-0000-0000C1270000}"/>
    <cellStyle name="Normal 2 52 4 13 2" xfId="10195" xr:uid="{00000000-0005-0000-0000-0000C2270000}"/>
    <cellStyle name="Normal 2 52 4 13 3" xfId="10196" xr:uid="{00000000-0005-0000-0000-0000C3270000}"/>
    <cellStyle name="Normal 2 52 4 14" xfId="10197" xr:uid="{00000000-0005-0000-0000-0000C4270000}"/>
    <cellStyle name="Normal 2 52 4 14 2" xfId="10198" xr:uid="{00000000-0005-0000-0000-0000C5270000}"/>
    <cellStyle name="Normal 2 52 4 14 3" xfId="10199" xr:uid="{00000000-0005-0000-0000-0000C6270000}"/>
    <cellStyle name="Normal 2 52 4 15" xfId="10200" xr:uid="{00000000-0005-0000-0000-0000C7270000}"/>
    <cellStyle name="Normal 2 52 4 15 2" xfId="10201" xr:uid="{00000000-0005-0000-0000-0000C8270000}"/>
    <cellStyle name="Normal 2 52 4 15 3" xfId="10202" xr:uid="{00000000-0005-0000-0000-0000C9270000}"/>
    <cellStyle name="Normal 2 52 4 16" xfId="10203" xr:uid="{00000000-0005-0000-0000-0000CA270000}"/>
    <cellStyle name="Normal 2 52 4 17" xfId="10204" xr:uid="{00000000-0005-0000-0000-0000CB270000}"/>
    <cellStyle name="Normal 2 52 4 2" xfId="10205" xr:uid="{00000000-0005-0000-0000-0000CC270000}"/>
    <cellStyle name="Normal 2 52 4 2 10" xfId="10206" xr:uid="{00000000-0005-0000-0000-0000CD270000}"/>
    <cellStyle name="Normal 2 52 4 2 10 2" xfId="10207" xr:uid="{00000000-0005-0000-0000-0000CE270000}"/>
    <cellStyle name="Normal 2 52 4 2 10 3" xfId="10208" xr:uid="{00000000-0005-0000-0000-0000CF270000}"/>
    <cellStyle name="Normal 2 52 4 2 11" xfId="10209" xr:uid="{00000000-0005-0000-0000-0000D0270000}"/>
    <cellStyle name="Normal 2 52 4 2 11 2" xfId="10210" xr:uid="{00000000-0005-0000-0000-0000D1270000}"/>
    <cellStyle name="Normal 2 52 4 2 11 3" xfId="10211" xr:uid="{00000000-0005-0000-0000-0000D2270000}"/>
    <cellStyle name="Normal 2 52 4 2 12" xfId="10212" xr:uid="{00000000-0005-0000-0000-0000D3270000}"/>
    <cellStyle name="Normal 2 52 4 2 12 2" xfId="10213" xr:uid="{00000000-0005-0000-0000-0000D4270000}"/>
    <cellStyle name="Normal 2 52 4 2 12 3" xfId="10214" xr:uid="{00000000-0005-0000-0000-0000D5270000}"/>
    <cellStyle name="Normal 2 52 4 2 13" xfId="10215" xr:uid="{00000000-0005-0000-0000-0000D6270000}"/>
    <cellStyle name="Normal 2 52 4 2 13 2" xfId="10216" xr:uid="{00000000-0005-0000-0000-0000D7270000}"/>
    <cellStyle name="Normal 2 52 4 2 13 3" xfId="10217" xr:uid="{00000000-0005-0000-0000-0000D8270000}"/>
    <cellStyle name="Normal 2 52 4 2 14" xfId="10218" xr:uid="{00000000-0005-0000-0000-0000D9270000}"/>
    <cellStyle name="Normal 2 52 4 2 14 2" xfId="10219" xr:uid="{00000000-0005-0000-0000-0000DA270000}"/>
    <cellStyle name="Normal 2 52 4 2 14 3" xfId="10220" xr:uid="{00000000-0005-0000-0000-0000DB270000}"/>
    <cellStyle name="Normal 2 52 4 2 15" xfId="10221" xr:uid="{00000000-0005-0000-0000-0000DC270000}"/>
    <cellStyle name="Normal 2 52 4 2 16" xfId="10222" xr:uid="{00000000-0005-0000-0000-0000DD270000}"/>
    <cellStyle name="Normal 2 52 4 2 2" xfId="10223" xr:uid="{00000000-0005-0000-0000-0000DE270000}"/>
    <cellStyle name="Normal 2 52 4 2 2 2" xfId="10224" xr:uid="{00000000-0005-0000-0000-0000DF270000}"/>
    <cellStyle name="Normal 2 52 4 2 2 3" xfId="10225" xr:uid="{00000000-0005-0000-0000-0000E0270000}"/>
    <cellStyle name="Normal 2 52 4 2 3" xfId="10226" xr:uid="{00000000-0005-0000-0000-0000E1270000}"/>
    <cellStyle name="Normal 2 52 4 2 3 2" xfId="10227" xr:uid="{00000000-0005-0000-0000-0000E2270000}"/>
    <cellStyle name="Normal 2 52 4 2 3 3" xfId="10228" xr:uid="{00000000-0005-0000-0000-0000E3270000}"/>
    <cellStyle name="Normal 2 52 4 2 4" xfId="10229" xr:uid="{00000000-0005-0000-0000-0000E4270000}"/>
    <cellStyle name="Normal 2 52 4 2 4 2" xfId="10230" xr:uid="{00000000-0005-0000-0000-0000E5270000}"/>
    <cellStyle name="Normal 2 52 4 2 4 3" xfId="10231" xr:uid="{00000000-0005-0000-0000-0000E6270000}"/>
    <cellStyle name="Normal 2 52 4 2 5" xfId="10232" xr:uid="{00000000-0005-0000-0000-0000E7270000}"/>
    <cellStyle name="Normal 2 52 4 2 5 2" xfId="10233" xr:uid="{00000000-0005-0000-0000-0000E8270000}"/>
    <cellStyle name="Normal 2 52 4 2 5 3" xfId="10234" xr:uid="{00000000-0005-0000-0000-0000E9270000}"/>
    <cellStyle name="Normal 2 52 4 2 6" xfId="10235" xr:uid="{00000000-0005-0000-0000-0000EA270000}"/>
    <cellStyle name="Normal 2 52 4 2 6 2" xfId="10236" xr:uid="{00000000-0005-0000-0000-0000EB270000}"/>
    <cellStyle name="Normal 2 52 4 2 6 3" xfId="10237" xr:uid="{00000000-0005-0000-0000-0000EC270000}"/>
    <cellStyle name="Normal 2 52 4 2 7" xfId="10238" xr:uid="{00000000-0005-0000-0000-0000ED270000}"/>
    <cellStyle name="Normal 2 52 4 2 7 2" xfId="10239" xr:uid="{00000000-0005-0000-0000-0000EE270000}"/>
    <cellStyle name="Normal 2 52 4 2 7 3" xfId="10240" xr:uid="{00000000-0005-0000-0000-0000EF270000}"/>
    <cellStyle name="Normal 2 52 4 2 8" xfId="10241" xr:uid="{00000000-0005-0000-0000-0000F0270000}"/>
    <cellStyle name="Normal 2 52 4 2 8 2" xfId="10242" xr:uid="{00000000-0005-0000-0000-0000F1270000}"/>
    <cellStyle name="Normal 2 52 4 2 8 3" xfId="10243" xr:uid="{00000000-0005-0000-0000-0000F2270000}"/>
    <cellStyle name="Normal 2 52 4 2 9" xfId="10244" xr:uid="{00000000-0005-0000-0000-0000F3270000}"/>
    <cellStyle name="Normal 2 52 4 2 9 2" xfId="10245" xr:uid="{00000000-0005-0000-0000-0000F4270000}"/>
    <cellStyle name="Normal 2 52 4 2 9 3" xfId="10246" xr:uid="{00000000-0005-0000-0000-0000F5270000}"/>
    <cellStyle name="Normal 2 52 4 3" xfId="10247" xr:uid="{00000000-0005-0000-0000-0000F6270000}"/>
    <cellStyle name="Normal 2 52 4 3 2" xfId="10248" xr:uid="{00000000-0005-0000-0000-0000F7270000}"/>
    <cellStyle name="Normal 2 52 4 3 3" xfId="10249" xr:uid="{00000000-0005-0000-0000-0000F8270000}"/>
    <cellStyle name="Normal 2 52 4 4" xfId="10250" xr:uid="{00000000-0005-0000-0000-0000F9270000}"/>
    <cellStyle name="Normal 2 52 4 4 2" xfId="10251" xr:uid="{00000000-0005-0000-0000-0000FA270000}"/>
    <cellStyle name="Normal 2 52 4 4 3" xfId="10252" xr:uid="{00000000-0005-0000-0000-0000FB270000}"/>
    <cellStyle name="Normal 2 52 4 5" xfId="10253" xr:uid="{00000000-0005-0000-0000-0000FC270000}"/>
    <cellStyle name="Normal 2 52 4 5 2" xfId="10254" xr:uid="{00000000-0005-0000-0000-0000FD270000}"/>
    <cellStyle name="Normal 2 52 4 5 3" xfId="10255" xr:uid="{00000000-0005-0000-0000-0000FE270000}"/>
    <cellStyle name="Normal 2 52 4 6" xfId="10256" xr:uid="{00000000-0005-0000-0000-0000FF270000}"/>
    <cellStyle name="Normal 2 52 4 6 2" xfId="10257" xr:uid="{00000000-0005-0000-0000-000000280000}"/>
    <cellStyle name="Normal 2 52 4 6 3" xfId="10258" xr:uid="{00000000-0005-0000-0000-000001280000}"/>
    <cellStyle name="Normal 2 52 4 7" xfId="10259" xr:uid="{00000000-0005-0000-0000-000002280000}"/>
    <cellStyle name="Normal 2 52 4 7 2" xfId="10260" xr:uid="{00000000-0005-0000-0000-000003280000}"/>
    <cellStyle name="Normal 2 52 4 7 3" xfId="10261" xr:uid="{00000000-0005-0000-0000-000004280000}"/>
    <cellStyle name="Normal 2 52 4 8" xfId="10262" xr:uid="{00000000-0005-0000-0000-000005280000}"/>
    <cellStyle name="Normal 2 52 4 8 2" xfId="10263" xr:uid="{00000000-0005-0000-0000-000006280000}"/>
    <cellStyle name="Normal 2 52 4 8 3" xfId="10264" xr:uid="{00000000-0005-0000-0000-000007280000}"/>
    <cellStyle name="Normal 2 52 4 9" xfId="10265" xr:uid="{00000000-0005-0000-0000-000008280000}"/>
    <cellStyle name="Normal 2 52 4 9 2" xfId="10266" xr:uid="{00000000-0005-0000-0000-000009280000}"/>
    <cellStyle name="Normal 2 52 4 9 3" xfId="10267" xr:uid="{00000000-0005-0000-0000-00000A280000}"/>
    <cellStyle name="Normal 2 52 5" xfId="10268" xr:uid="{00000000-0005-0000-0000-00000B280000}"/>
    <cellStyle name="Normal 2 52 5 10" xfId="10269" xr:uid="{00000000-0005-0000-0000-00000C280000}"/>
    <cellStyle name="Normal 2 52 5 10 2" xfId="10270" xr:uid="{00000000-0005-0000-0000-00000D280000}"/>
    <cellStyle name="Normal 2 52 5 10 3" xfId="10271" xr:uid="{00000000-0005-0000-0000-00000E280000}"/>
    <cellStyle name="Normal 2 52 5 11" xfId="10272" xr:uid="{00000000-0005-0000-0000-00000F280000}"/>
    <cellStyle name="Normal 2 52 5 11 2" xfId="10273" xr:uid="{00000000-0005-0000-0000-000010280000}"/>
    <cellStyle name="Normal 2 52 5 11 3" xfId="10274" xr:uid="{00000000-0005-0000-0000-000011280000}"/>
    <cellStyle name="Normal 2 52 5 12" xfId="10275" xr:uid="{00000000-0005-0000-0000-000012280000}"/>
    <cellStyle name="Normal 2 52 5 12 2" xfId="10276" xr:uid="{00000000-0005-0000-0000-000013280000}"/>
    <cellStyle name="Normal 2 52 5 12 3" xfId="10277" xr:uid="{00000000-0005-0000-0000-000014280000}"/>
    <cellStyle name="Normal 2 52 5 13" xfId="10278" xr:uid="{00000000-0005-0000-0000-000015280000}"/>
    <cellStyle name="Normal 2 52 5 13 2" xfId="10279" xr:uid="{00000000-0005-0000-0000-000016280000}"/>
    <cellStyle name="Normal 2 52 5 13 3" xfId="10280" xr:uid="{00000000-0005-0000-0000-000017280000}"/>
    <cellStyle name="Normal 2 52 5 14" xfId="10281" xr:uid="{00000000-0005-0000-0000-000018280000}"/>
    <cellStyle name="Normal 2 52 5 14 2" xfId="10282" xr:uid="{00000000-0005-0000-0000-000019280000}"/>
    <cellStyle name="Normal 2 52 5 14 3" xfId="10283" xr:uid="{00000000-0005-0000-0000-00001A280000}"/>
    <cellStyle name="Normal 2 52 5 15" xfId="10284" xr:uid="{00000000-0005-0000-0000-00001B280000}"/>
    <cellStyle name="Normal 2 52 5 16" xfId="10285" xr:uid="{00000000-0005-0000-0000-00001C280000}"/>
    <cellStyle name="Normal 2 52 5 2" xfId="10286" xr:uid="{00000000-0005-0000-0000-00001D280000}"/>
    <cellStyle name="Normal 2 52 5 2 2" xfId="10287" xr:uid="{00000000-0005-0000-0000-00001E280000}"/>
    <cellStyle name="Normal 2 52 5 2 3" xfId="10288" xr:uid="{00000000-0005-0000-0000-00001F280000}"/>
    <cellStyle name="Normal 2 52 5 3" xfId="10289" xr:uid="{00000000-0005-0000-0000-000020280000}"/>
    <cellStyle name="Normal 2 52 5 3 2" xfId="10290" xr:uid="{00000000-0005-0000-0000-000021280000}"/>
    <cellStyle name="Normal 2 52 5 3 3" xfId="10291" xr:uid="{00000000-0005-0000-0000-000022280000}"/>
    <cellStyle name="Normal 2 52 5 4" xfId="10292" xr:uid="{00000000-0005-0000-0000-000023280000}"/>
    <cellStyle name="Normal 2 52 5 4 2" xfId="10293" xr:uid="{00000000-0005-0000-0000-000024280000}"/>
    <cellStyle name="Normal 2 52 5 4 3" xfId="10294" xr:uid="{00000000-0005-0000-0000-000025280000}"/>
    <cellStyle name="Normal 2 52 5 5" xfId="10295" xr:uid="{00000000-0005-0000-0000-000026280000}"/>
    <cellStyle name="Normal 2 52 5 5 2" xfId="10296" xr:uid="{00000000-0005-0000-0000-000027280000}"/>
    <cellStyle name="Normal 2 52 5 5 3" xfId="10297" xr:uid="{00000000-0005-0000-0000-000028280000}"/>
    <cellStyle name="Normal 2 52 5 6" xfId="10298" xr:uid="{00000000-0005-0000-0000-000029280000}"/>
    <cellStyle name="Normal 2 52 5 6 2" xfId="10299" xr:uid="{00000000-0005-0000-0000-00002A280000}"/>
    <cellStyle name="Normal 2 52 5 6 3" xfId="10300" xr:uid="{00000000-0005-0000-0000-00002B280000}"/>
    <cellStyle name="Normal 2 52 5 7" xfId="10301" xr:uid="{00000000-0005-0000-0000-00002C280000}"/>
    <cellStyle name="Normal 2 52 5 7 2" xfId="10302" xr:uid="{00000000-0005-0000-0000-00002D280000}"/>
    <cellStyle name="Normal 2 52 5 7 3" xfId="10303" xr:uid="{00000000-0005-0000-0000-00002E280000}"/>
    <cellStyle name="Normal 2 52 5 8" xfId="10304" xr:uid="{00000000-0005-0000-0000-00002F280000}"/>
    <cellStyle name="Normal 2 52 5 8 2" xfId="10305" xr:uid="{00000000-0005-0000-0000-000030280000}"/>
    <cellStyle name="Normal 2 52 5 8 3" xfId="10306" xr:uid="{00000000-0005-0000-0000-000031280000}"/>
    <cellStyle name="Normal 2 52 5 9" xfId="10307" xr:uid="{00000000-0005-0000-0000-000032280000}"/>
    <cellStyle name="Normal 2 52 5 9 2" xfId="10308" xr:uid="{00000000-0005-0000-0000-000033280000}"/>
    <cellStyle name="Normal 2 52 5 9 3" xfId="10309" xr:uid="{00000000-0005-0000-0000-000034280000}"/>
    <cellStyle name="Normal 2 52 6" xfId="10310" xr:uid="{00000000-0005-0000-0000-000035280000}"/>
    <cellStyle name="Normal 2 52 6 10" xfId="10311" xr:uid="{00000000-0005-0000-0000-000036280000}"/>
    <cellStyle name="Normal 2 52 6 10 2" xfId="10312" xr:uid="{00000000-0005-0000-0000-000037280000}"/>
    <cellStyle name="Normal 2 52 6 10 3" xfId="10313" xr:uid="{00000000-0005-0000-0000-000038280000}"/>
    <cellStyle name="Normal 2 52 6 11" xfId="10314" xr:uid="{00000000-0005-0000-0000-000039280000}"/>
    <cellStyle name="Normal 2 52 6 11 2" xfId="10315" xr:uid="{00000000-0005-0000-0000-00003A280000}"/>
    <cellStyle name="Normal 2 52 6 11 3" xfId="10316" xr:uid="{00000000-0005-0000-0000-00003B280000}"/>
    <cellStyle name="Normal 2 52 6 12" xfId="10317" xr:uid="{00000000-0005-0000-0000-00003C280000}"/>
    <cellStyle name="Normal 2 52 6 12 2" xfId="10318" xr:uid="{00000000-0005-0000-0000-00003D280000}"/>
    <cellStyle name="Normal 2 52 6 12 3" xfId="10319" xr:uid="{00000000-0005-0000-0000-00003E280000}"/>
    <cellStyle name="Normal 2 52 6 13" xfId="10320" xr:uid="{00000000-0005-0000-0000-00003F280000}"/>
    <cellStyle name="Normal 2 52 6 13 2" xfId="10321" xr:uid="{00000000-0005-0000-0000-000040280000}"/>
    <cellStyle name="Normal 2 52 6 13 3" xfId="10322" xr:uid="{00000000-0005-0000-0000-000041280000}"/>
    <cellStyle name="Normal 2 52 6 14" xfId="10323" xr:uid="{00000000-0005-0000-0000-000042280000}"/>
    <cellStyle name="Normal 2 52 6 14 2" xfId="10324" xr:uid="{00000000-0005-0000-0000-000043280000}"/>
    <cellStyle name="Normal 2 52 6 14 3" xfId="10325" xr:uid="{00000000-0005-0000-0000-000044280000}"/>
    <cellStyle name="Normal 2 52 6 15" xfId="10326" xr:uid="{00000000-0005-0000-0000-000045280000}"/>
    <cellStyle name="Normal 2 52 6 16" xfId="10327" xr:uid="{00000000-0005-0000-0000-000046280000}"/>
    <cellStyle name="Normal 2 52 6 2" xfId="10328" xr:uid="{00000000-0005-0000-0000-000047280000}"/>
    <cellStyle name="Normal 2 52 6 2 2" xfId="10329" xr:uid="{00000000-0005-0000-0000-000048280000}"/>
    <cellStyle name="Normal 2 52 6 2 3" xfId="10330" xr:uid="{00000000-0005-0000-0000-000049280000}"/>
    <cellStyle name="Normal 2 52 6 3" xfId="10331" xr:uid="{00000000-0005-0000-0000-00004A280000}"/>
    <cellStyle name="Normal 2 52 6 3 2" xfId="10332" xr:uid="{00000000-0005-0000-0000-00004B280000}"/>
    <cellStyle name="Normal 2 52 6 3 3" xfId="10333" xr:uid="{00000000-0005-0000-0000-00004C280000}"/>
    <cellStyle name="Normal 2 52 6 4" xfId="10334" xr:uid="{00000000-0005-0000-0000-00004D280000}"/>
    <cellStyle name="Normal 2 52 6 4 2" xfId="10335" xr:uid="{00000000-0005-0000-0000-00004E280000}"/>
    <cellStyle name="Normal 2 52 6 4 3" xfId="10336" xr:uid="{00000000-0005-0000-0000-00004F280000}"/>
    <cellStyle name="Normal 2 52 6 5" xfId="10337" xr:uid="{00000000-0005-0000-0000-000050280000}"/>
    <cellStyle name="Normal 2 52 6 5 2" xfId="10338" xr:uid="{00000000-0005-0000-0000-000051280000}"/>
    <cellStyle name="Normal 2 52 6 5 3" xfId="10339" xr:uid="{00000000-0005-0000-0000-000052280000}"/>
    <cellStyle name="Normal 2 52 6 6" xfId="10340" xr:uid="{00000000-0005-0000-0000-000053280000}"/>
    <cellStyle name="Normal 2 52 6 6 2" xfId="10341" xr:uid="{00000000-0005-0000-0000-000054280000}"/>
    <cellStyle name="Normal 2 52 6 6 3" xfId="10342" xr:uid="{00000000-0005-0000-0000-000055280000}"/>
    <cellStyle name="Normal 2 52 6 7" xfId="10343" xr:uid="{00000000-0005-0000-0000-000056280000}"/>
    <cellStyle name="Normal 2 52 6 7 2" xfId="10344" xr:uid="{00000000-0005-0000-0000-000057280000}"/>
    <cellStyle name="Normal 2 52 6 7 3" xfId="10345" xr:uid="{00000000-0005-0000-0000-000058280000}"/>
    <cellStyle name="Normal 2 52 6 8" xfId="10346" xr:uid="{00000000-0005-0000-0000-000059280000}"/>
    <cellStyle name="Normal 2 52 6 8 2" xfId="10347" xr:uid="{00000000-0005-0000-0000-00005A280000}"/>
    <cellStyle name="Normal 2 52 6 8 3" xfId="10348" xr:uid="{00000000-0005-0000-0000-00005B280000}"/>
    <cellStyle name="Normal 2 52 6 9" xfId="10349" xr:uid="{00000000-0005-0000-0000-00005C280000}"/>
    <cellStyle name="Normal 2 52 6 9 2" xfId="10350" xr:uid="{00000000-0005-0000-0000-00005D280000}"/>
    <cellStyle name="Normal 2 52 6 9 3" xfId="10351" xr:uid="{00000000-0005-0000-0000-00005E280000}"/>
    <cellStyle name="Normal 2 52 7" xfId="10352" xr:uid="{00000000-0005-0000-0000-00005F280000}"/>
    <cellStyle name="Normal 2 52 7 10" xfId="10353" xr:uid="{00000000-0005-0000-0000-000060280000}"/>
    <cellStyle name="Normal 2 52 7 10 2" xfId="10354" xr:uid="{00000000-0005-0000-0000-000061280000}"/>
    <cellStyle name="Normal 2 52 7 10 3" xfId="10355" xr:uid="{00000000-0005-0000-0000-000062280000}"/>
    <cellStyle name="Normal 2 52 7 11" xfId="10356" xr:uid="{00000000-0005-0000-0000-000063280000}"/>
    <cellStyle name="Normal 2 52 7 11 2" xfId="10357" xr:uid="{00000000-0005-0000-0000-000064280000}"/>
    <cellStyle name="Normal 2 52 7 11 3" xfId="10358" xr:uid="{00000000-0005-0000-0000-000065280000}"/>
    <cellStyle name="Normal 2 52 7 12" xfId="10359" xr:uid="{00000000-0005-0000-0000-000066280000}"/>
    <cellStyle name="Normal 2 52 7 12 2" xfId="10360" xr:uid="{00000000-0005-0000-0000-000067280000}"/>
    <cellStyle name="Normal 2 52 7 12 3" xfId="10361" xr:uid="{00000000-0005-0000-0000-000068280000}"/>
    <cellStyle name="Normal 2 52 7 13" xfId="10362" xr:uid="{00000000-0005-0000-0000-000069280000}"/>
    <cellStyle name="Normal 2 52 7 13 2" xfId="10363" xr:uid="{00000000-0005-0000-0000-00006A280000}"/>
    <cellStyle name="Normal 2 52 7 13 3" xfId="10364" xr:uid="{00000000-0005-0000-0000-00006B280000}"/>
    <cellStyle name="Normal 2 52 7 14" xfId="10365" xr:uid="{00000000-0005-0000-0000-00006C280000}"/>
    <cellStyle name="Normal 2 52 7 14 2" xfId="10366" xr:uid="{00000000-0005-0000-0000-00006D280000}"/>
    <cellStyle name="Normal 2 52 7 14 3" xfId="10367" xr:uid="{00000000-0005-0000-0000-00006E280000}"/>
    <cellStyle name="Normal 2 52 7 15" xfId="10368" xr:uid="{00000000-0005-0000-0000-00006F280000}"/>
    <cellStyle name="Normal 2 52 7 16" xfId="10369" xr:uid="{00000000-0005-0000-0000-000070280000}"/>
    <cellStyle name="Normal 2 52 7 2" xfId="10370" xr:uid="{00000000-0005-0000-0000-000071280000}"/>
    <cellStyle name="Normal 2 52 7 2 2" xfId="10371" xr:uid="{00000000-0005-0000-0000-000072280000}"/>
    <cellStyle name="Normal 2 52 7 2 3" xfId="10372" xr:uid="{00000000-0005-0000-0000-000073280000}"/>
    <cellStyle name="Normal 2 52 7 3" xfId="10373" xr:uid="{00000000-0005-0000-0000-000074280000}"/>
    <cellStyle name="Normal 2 52 7 3 2" xfId="10374" xr:uid="{00000000-0005-0000-0000-000075280000}"/>
    <cellStyle name="Normal 2 52 7 3 3" xfId="10375" xr:uid="{00000000-0005-0000-0000-000076280000}"/>
    <cellStyle name="Normal 2 52 7 4" xfId="10376" xr:uid="{00000000-0005-0000-0000-000077280000}"/>
    <cellStyle name="Normal 2 52 7 4 2" xfId="10377" xr:uid="{00000000-0005-0000-0000-000078280000}"/>
    <cellStyle name="Normal 2 52 7 4 3" xfId="10378" xr:uid="{00000000-0005-0000-0000-000079280000}"/>
    <cellStyle name="Normal 2 52 7 5" xfId="10379" xr:uid="{00000000-0005-0000-0000-00007A280000}"/>
    <cellStyle name="Normal 2 52 7 5 2" xfId="10380" xr:uid="{00000000-0005-0000-0000-00007B280000}"/>
    <cellStyle name="Normal 2 52 7 5 3" xfId="10381" xr:uid="{00000000-0005-0000-0000-00007C280000}"/>
    <cellStyle name="Normal 2 52 7 6" xfId="10382" xr:uid="{00000000-0005-0000-0000-00007D280000}"/>
    <cellStyle name="Normal 2 52 7 6 2" xfId="10383" xr:uid="{00000000-0005-0000-0000-00007E280000}"/>
    <cellStyle name="Normal 2 52 7 6 3" xfId="10384" xr:uid="{00000000-0005-0000-0000-00007F280000}"/>
    <cellStyle name="Normal 2 52 7 7" xfId="10385" xr:uid="{00000000-0005-0000-0000-000080280000}"/>
    <cellStyle name="Normal 2 52 7 7 2" xfId="10386" xr:uid="{00000000-0005-0000-0000-000081280000}"/>
    <cellStyle name="Normal 2 52 7 7 3" xfId="10387" xr:uid="{00000000-0005-0000-0000-000082280000}"/>
    <cellStyle name="Normal 2 52 7 8" xfId="10388" xr:uid="{00000000-0005-0000-0000-000083280000}"/>
    <cellStyle name="Normal 2 52 7 8 2" xfId="10389" xr:uid="{00000000-0005-0000-0000-000084280000}"/>
    <cellStyle name="Normal 2 52 7 8 3" xfId="10390" xr:uid="{00000000-0005-0000-0000-000085280000}"/>
    <cellStyle name="Normal 2 52 7 9" xfId="10391" xr:uid="{00000000-0005-0000-0000-000086280000}"/>
    <cellStyle name="Normal 2 52 7 9 2" xfId="10392" xr:uid="{00000000-0005-0000-0000-000087280000}"/>
    <cellStyle name="Normal 2 52 7 9 3" xfId="10393" xr:uid="{00000000-0005-0000-0000-000088280000}"/>
    <cellStyle name="Normal 2 52 8" xfId="10394" xr:uid="{00000000-0005-0000-0000-000089280000}"/>
    <cellStyle name="Normal 2 52 8 10" xfId="10395" xr:uid="{00000000-0005-0000-0000-00008A280000}"/>
    <cellStyle name="Normal 2 52 8 10 2" xfId="10396" xr:uid="{00000000-0005-0000-0000-00008B280000}"/>
    <cellStyle name="Normal 2 52 8 10 3" xfId="10397" xr:uid="{00000000-0005-0000-0000-00008C280000}"/>
    <cellStyle name="Normal 2 52 8 11" xfId="10398" xr:uid="{00000000-0005-0000-0000-00008D280000}"/>
    <cellStyle name="Normal 2 52 8 11 2" xfId="10399" xr:uid="{00000000-0005-0000-0000-00008E280000}"/>
    <cellStyle name="Normal 2 52 8 11 3" xfId="10400" xr:uid="{00000000-0005-0000-0000-00008F280000}"/>
    <cellStyle name="Normal 2 52 8 12" xfId="10401" xr:uid="{00000000-0005-0000-0000-000090280000}"/>
    <cellStyle name="Normal 2 52 8 12 2" xfId="10402" xr:uid="{00000000-0005-0000-0000-000091280000}"/>
    <cellStyle name="Normal 2 52 8 12 3" xfId="10403" xr:uid="{00000000-0005-0000-0000-000092280000}"/>
    <cellStyle name="Normal 2 52 8 13" xfId="10404" xr:uid="{00000000-0005-0000-0000-000093280000}"/>
    <cellStyle name="Normal 2 52 8 13 2" xfId="10405" xr:uid="{00000000-0005-0000-0000-000094280000}"/>
    <cellStyle name="Normal 2 52 8 13 3" xfId="10406" xr:uid="{00000000-0005-0000-0000-000095280000}"/>
    <cellStyle name="Normal 2 52 8 14" xfId="10407" xr:uid="{00000000-0005-0000-0000-000096280000}"/>
    <cellStyle name="Normal 2 52 8 14 2" xfId="10408" xr:uid="{00000000-0005-0000-0000-000097280000}"/>
    <cellStyle name="Normal 2 52 8 14 3" xfId="10409" xr:uid="{00000000-0005-0000-0000-000098280000}"/>
    <cellStyle name="Normal 2 52 8 15" xfId="10410" xr:uid="{00000000-0005-0000-0000-000099280000}"/>
    <cellStyle name="Normal 2 52 8 16" xfId="10411" xr:uid="{00000000-0005-0000-0000-00009A280000}"/>
    <cellStyle name="Normal 2 52 8 2" xfId="10412" xr:uid="{00000000-0005-0000-0000-00009B280000}"/>
    <cellStyle name="Normal 2 52 8 2 2" xfId="10413" xr:uid="{00000000-0005-0000-0000-00009C280000}"/>
    <cellStyle name="Normal 2 52 8 2 3" xfId="10414" xr:uid="{00000000-0005-0000-0000-00009D280000}"/>
    <cellStyle name="Normal 2 52 8 3" xfId="10415" xr:uid="{00000000-0005-0000-0000-00009E280000}"/>
    <cellStyle name="Normal 2 52 8 3 2" xfId="10416" xr:uid="{00000000-0005-0000-0000-00009F280000}"/>
    <cellStyle name="Normal 2 52 8 3 3" xfId="10417" xr:uid="{00000000-0005-0000-0000-0000A0280000}"/>
    <cellStyle name="Normal 2 52 8 4" xfId="10418" xr:uid="{00000000-0005-0000-0000-0000A1280000}"/>
    <cellStyle name="Normal 2 52 8 4 2" xfId="10419" xr:uid="{00000000-0005-0000-0000-0000A2280000}"/>
    <cellStyle name="Normal 2 52 8 4 3" xfId="10420" xr:uid="{00000000-0005-0000-0000-0000A3280000}"/>
    <cellStyle name="Normal 2 52 8 5" xfId="10421" xr:uid="{00000000-0005-0000-0000-0000A4280000}"/>
    <cellStyle name="Normal 2 52 8 5 2" xfId="10422" xr:uid="{00000000-0005-0000-0000-0000A5280000}"/>
    <cellStyle name="Normal 2 52 8 5 3" xfId="10423" xr:uid="{00000000-0005-0000-0000-0000A6280000}"/>
    <cellStyle name="Normal 2 52 8 6" xfId="10424" xr:uid="{00000000-0005-0000-0000-0000A7280000}"/>
    <cellStyle name="Normal 2 52 8 6 2" xfId="10425" xr:uid="{00000000-0005-0000-0000-0000A8280000}"/>
    <cellStyle name="Normal 2 52 8 6 3" xfId="10426" xr:uid="{00000000-0005-0000-0000-0000A9280000}"/>
    <cellStyle name="Normal 2 52 8 7" xfId="10427" xr:uid="{00000000-0005-0000-0000-0000AA280000}"/>
    <cellStyle name="Normal 2 52 8 7 2" xfId="10428" xr:uid="{00000000-0005-0000-0000-0000AB280000}"/>
    <cellStyle name="Normal 2 52 8 7 3" xfId="10429" xr:uid="{00000000-0005-0000-0000-0000AC280000}"/>
    <cellStyle name="Normal 2 52 8 8" xfId="10430" xr:uid="{00000000-0005-0000-0000-0000AD280000}"/>
    <cellStyle name="Normal 2 52 8 8 2" xfId="10431" xr:uid="{00000000-0005-0000-0000-0000AE280000}"/>
    <cellStyle name="Normal 2 52 8 8 3" xfId="10432" xr:uid="{00000000-0005-0000-0000-0000AF280000}"/>
    <cellStyle name="Normal 2 52 8 9" xfId="10433" xr:uid="{00000000-0005-0000-0000-0000B0280000}"/>
    <cellStyle name="Normal 2 52 8 9 2" xfId="10434" xr:uid="{00000000-0005-0000-0000-0000B1280000}"/>
    <cellStyle name="Normal 2 52 8 9 3" xfId="10435" xr:uid="{00000000-0005-0000-0000-0000B2280000}"/>
    <cellStyle name="Normal 2 52 9" xfId="10436" xr:uid="{00000000-0005-0000-0000-0000B3280000}"/>
    <cellStyle name="Normal 2 52 9 10" xfId="10437" xr:uid="{00000000-0005-0000-0000-0000B4280000}"/>
    <cellStyle name="Normal 2 52 9 10 2" xfId="10438" xr:uid="{00000000-0005-0000-0000-0000B5280000}"/>
    <cellStyle name="Normal 2 52 9 10 3" xfId="10439" xr:uid="{00000000-0005-0000-0000-0000B6280000}"/>
    <cellStyle name="Normal 2 52 9 11" xfId="10440" xr:uid="{00000000-0005-0000-0000-0000B7280000}"/>
    <cellStyle name="Normal 2 52 9 11 2" xfId="10441" xr:uid="{00000000-0005-0000-0000-0000B8280000}"/>
    <cellStyle name="Normal 2 52 9 11 3" xfId="10442" xr:uid="{00000000-0005-0000-0000-0000B9280000}"/>
    <cellStyle name="Normal 2 52 9 12" xfId="10443" xr:uid="{00000000-0005-0000-0000-0000BA280000}"/>
    <cellStyle name="Normal 2 52 9 12 2" xfId="10444" xr:uid="{00000000-0005-0000-0000-0000BB280000}"/>
    <cellStyle name="Normal 2 52 9 12 3" xfId="10445" xr:uid="{00000000-0005-0000-0000-0000BC280000}"/>
    <cellStyle name="Normal 2 52 9 13" xfId="10446" xr:uid="{00000000-0005-0000-0000-0000BD280000}"/>
    <cellStyle name="Normal 2 52 9 13 2" xfId="10447" xr:uid="{00000000-0005-0000-0000-0000BE280000}"/>
    <cellStyle name="Normal 2 52 9 13 3" xfId="10448" xr:uid="{00000000-0005-0000-0000-0000BF280000}"/>
    <cellStyle name="Normal 2 52 9 14" xfId="10449" xr:uid="{00000000-0005-0000-0000-0000C0280000}"/>
    <cellStyle name="Normal 2 52 9 14 2" xfId="10450" xr:uid="{00000000-0005-0000-0000-0000C1280000}"/>
    <cellStyle name="Normal 2 52 9 14 3" xfId="10451" xr:uid="{00000000-0005-0000-0000-0000C2280000}"/>
    <cellStyle name="Normal 2 52 9 15" xfId="10452" xr:uid="{00000000-0005-0000-0000-0000C3280000}"/>
    <cellStyle name="Normal 2 52 9 16" xfId="10453" xr:uid="{00000000-0005-0000-0000-0000C4280000}"/>
    <cellStyle name="Normal 2 52 9 2" xfId="10454" xr:uid="{00000000-0005-0000-0000-0000C5280000}"/>
    <cellStyle name="Normal 2 52 9 2 2" xfId="10455" xr:uid="{00000000-0005-0000-0000-0000C6280000}"/>
    <cellStyle name="Normal 2 52 9 2 3" xfId="10456" xr:uid="{00000000-0005-0000-0000-0000C7280000}"/>
    <cellStyle name="Normal 2 52 9 3" xfId="10457" xr:uid="{00000000-0005-0000-0000-0000C8280000}"/>
    <cellStyle name="Normal 2 52 9 3 2" xfId="10458" xr:uid="{00000000-0005-0000-0000-0000C9280000}"/>
    <cellStyle name="Normal 2 52 9 3 3" xfId="10459" xr:uid="{00000000-0005-0000-0000-0000CA280000}"/>
    <cellStyle name="Normal 2 52 9 4" xfId="10460" xr:uid="{00000000-0005-0000-0000-0000CB280000}"/>
    <cellStyle name="Normal 2 52 9 4 2" xfId="10461" xr:uid="{00000000-0005-0000-0000-0000CC280000}"/>
    <cellStyle name="Normal 2 52 9 4 3" xfId="10462" xr:uid="{00000000-0005-0000-0000-0000CD280000}"/>
    <cellStyle name="Normal 2 52 9 5" xfId="10463" xr:uid="{00000000-0005-0000-0000-0000CE280000}"/>
    <cellStyle name="Normal 2 52 9 5 2" xfId="10464" xr:uid="{00000000-0005-0000-0000-0000CF280000}"/>
    <cellStyle name="Normal 2 52 9 5 3" xfId="10465" xr:uid="{00000000-0005-0000-0000-0000D0280000}"/>
    <cellStyle name="Normal 2 52 9 6" xfId="10466" xr:uid="{00000000-0005-0000-0000-0000D1280000}"/>
    <cellStyle name="Normal 2 52 9 6 2" xfId="10467" xr:uid="{00000000-0005-0000-0000-0000D2280000}"/>
    <cellStyle name="Normal 2 52 9 6 3" xfId="10468" xr:uid="{00000000-0005-0000-0000-0000D3280000}"/>
    <cellStyle name="Normal 2 52 9 7" xfId="10469" xr:uid="{00000000-0005-0000-0000-0000D4280000}"/>
    <cellStyle name="Normal 2 52 9 7 2" xfId="10470" xr:uid="{00000000-0005-0000-0000-0000D5280000}"/>
    <cellStyle name="Normal 2 52 9 7 3" xfId="10471" xr:uid="{00000000-0005-0000-0000-0000D6280000}"/>
    <cellStyle name="Normal 2 52 9 8" xfId="10472" xr:uid="{00000000-0005-0000-0000-0000D7280000}"/>
    <cellStyle name="Normal 2 52 9 8 2" xfId="10473" xr:uid="{00000000-0005-0000-0000-0000D8280000}"/>
    <cellStyle name="Normal 2 52 9 8 3" xfId="10474" xr:uid="{00000000-0005-0000-0000-0000D9280000}"/>
    <cellStyle name="Normal 2 52 9 9" xfId="10475" xr:uid="{00000000-0005-0000-0000-0000DA280000}"/>
    <cellStyle name="Normal 2 52 9 9 2" xfId="10476" xr:uid="{00000000-0005-0000-0000-0000DB280000}"/>
    <cellStyle name="Normal 2 52 9 9 3" xfId="10477" xr:uid="{00000000-0005-0000-0000-0000DC280000}"/>
    <cellStyle name="Normal 2 53" xfId="10478" xr:uid="{00000000-0005-0000-0000-0000DD280000}"/>
    <cellStyle name="Normal 2 53 10" xfId="10479" xr:uid="{00000000-0005-0000-0000-0000DE280000}"/>
    <cellStyle name="Normal 2 53 10 10" xfId="10480" xr:uid="{00000000-0005-0000-0000-0000DF280000}"/>
    <cellStyle name="Normal 2 53 10 10 2" xfId="10481" xr:uid="{00000000-0005-0000-0000-0000E0280000}"/>
    <cellStyle name="Normal 2 53 10 10 3" xfId="10482" xr:uid="{00000000-0005-0000-0000-0000E1280000}"/>
    <cellStyle name="Normal 2 53 10 11" xfId="10483" xr:uid="{00000000-0005-0000-0000-0000E2280000}"/>
    <cellStyle name="Normal 2 53 10 11 2" xfId="10484" xr:uid="{00000000-0005-0000-0000-0000E3280000}"/>
    <cellStyle name="Normal 2 53 10 11 3" xfId="10485" xr:uid="{00000000-0005-0000-0000-0000E4280000}"/>
    <cellStyle name="Normal 2 53 10 12" xfId="10486" xr:uid="{00000000-0005-0000-0000-0000E5280000}"/>
    <cellStyle name="Normal 2 53 10 12 2" xfId="10487" xr:uid="{00000000-0005-0000-0000-0000E6280000}"/>
    <cellStyle name="Normal 2 53 10 12 3" xfId="10488" xr:uid="{00000000-0005-0000-0000-0000E7280000}"/>
    <cellStyle name="Normal 2 53 10 13" xfId="10489" xr:uid="{00000000-0005-0000-0000-0000E8280000}"/>
    <cellStyle name="Normal 2 53 10 13 2" xfId="10490" xr:uid="{00000000-0005-0000-0000-0000E9280000}"/>
    <cellStyle name="Normal 2 53 10 13 3" xfId="10491" xr:uid="{00000000-0005-0000-0000-0000EA280000}"/>
    <cellStyle name="Normal 2 53 10 14" xfId="10492" xr:uid="{00000000-0005-0000-0000-0000EB280000}"/>
    <cellStyle name="Normal 2 53 10 14 2" xfId="10493" xr:uid="{00000000-0005-0000-0000-0000EC280000}"/>
    <cellStyle name="Normal 2 53 10 14 3" xfId="10494" xr:uid="{00000000-0005-0000-0000-0000ED280000}"/>
    <cellStyle name="Normal 2 53 10 15" xfId="10495" xr:uid="{00000000-0005-0000-0000-0000EE280000}"/>
    <cellStyle name="Normal 2 53 10 16" xfId="10496" xr:uid="{00000000-0005-0000-0000-0000EF280000}"/>
    <cellStyle name="Normal 2 53 10 2" xfId="10497" xr:uid="{00000000-0005-0000-0000-0000F0280000}"/>
    <cellStyle name="Normal 2 53 10 2 2" xfId="10498" xr:uid="{00000000-0005-0000-0000-0000F1280000}"/>
    <cellStyle name="Normal 2 53 10 2 3" xfId="10499" xr:uid="{00000000-0005-0000-0000-0000F2280000}"/>
    <cellStyle name="Normal 2 53 10 3" xfId="10500" xr:uid="{00000000-0005-0000-0000-0000F3280000}"/>
    <cellStyle name="Normal 2 53 10 3 2" xfId="10501" xr:uid="{00000000-0005-0000-0000-0000F4280000}"/>
    <cellStyle name="Normal 2 53 10 3 3" xfId="10502" xr:uid="{00000000-0005-0000-0000-0000F5280000}"/>
    <cellStyle name="Normal 2 53 10 4" xfId="10503" xr:uid="{00000000-0005-0000-0000-0000F6280000}"/>
    <cellStyle name="Normal 2 53 10 4 2" xfId="10504" xr:uid="{00000000-0005-0000-0000-0000F7280000}"/>
    <cellStyle name="Normal 2 53 10 4 3" xfId="10505" xr:uid="{00000000-0005-0000-0000-0000F8280000}"/>
    <cellStyle name="Normal 2 53 10 5" xfId="10506" xr:uid="{00000000-0005-0000-0000-0000F9280000}"/>
    <cellStyle name="Normal 2 53 10 5 2" xfId="10507" xr:uid="{00000000-0005-0000-0000-0000FA280000}"/>
    <cellStyle name="Normal 2 53 10 5 3" xfId="10508" xr:uid="{00000000-0005-0000-0000-0000FB280000}"/>
    <cellStyle name="Normal 2 53 10 6" xfId="10509" xr:uid="{00000000-0005-0000-0000-0000FC280000}"/>
    <cellStyle name="Normal 2 53 10 6 2" xfId="10510" xr:uid="{00000000-0005-0000-0000-0000FD280000}"/>
    <cellStyle name="Normal 2 53 10 6 3" xfId="10511" xr:uid="{00000000-0005-0000-0000-0000FE280000}"/>
    <cellStyle name="Normal 2 53 10 7" xfId="10512" xr:uid="{00000000-0005-0000-0000-0000FF280000}"/>
    <cellStyle name="Normal 2 53 10 7 2" xfId="10513" xr:uid="{00000000-0005-0000-0000-000000290000}"/>
    <cellStyle name="Normal 2 53 10 7 3" xfId="10514" xr:uid="{00000000-0005-0000-0000-000001290000}"/>
    <cellStyle name="Normal 2 53 10 8" xfId="10515" xr:uid="{00000000-0005-0000-0000-000002290000}"/>
    <cellStyle name="Normal 2 53 10 8 2" xfId="10516" xr:uid="{00000000-0005-0000-0000-000003290000}"/>
    <cellStyle name="Normal 2 53 10 8 3" xfId="10517" xr:uid="{00000000-0005-0000-0000-000004290000}"/>
    <cellStyle name="Normal 2 53 10 9" xfId="10518" xr:uid="{00000000-0005-0000-0000-000005290000}"/>
    <cellStyle name="Normal 2 53 10 9 2" xfId="10519" xr:uid="{00000000-0005-0000-0000-000006290000}"/>
    <cellStyle name="Normal 2 53 10 9 3" xfId="10520" xr:uid="{00000000-0005-0000-0000-000007290000}"/>
    <cellStyle name="Normal 2 53 11" xfId="10521" xr:uid="{00000000-0005-0000-0000-000008290000}"/>
    <cellStyle name="Normal 2 53 11 2" xfId="10522" xr:uid="{00000000-0005-0000-0000-000009290000}"/>
    <cellStyle name="Normal 2 53 11 3" xfId="10523" xr:uid="{00000000-0005-0000-0000-00000A290000}"/>
    <cellStyle name="Normal 2 53 12" xfId="10524" xr:uid="{00000000-0005-0000-0000-00000B290000}"/>
    <cellStyle name="Normal 2 53 12 2" xfId="10525" xr:uid="{00000000-0005-0000-0000-00000C290000}"/>
    <cellStyle name="Normal 2 53 12 3" xfId="10526" xr:uid="{00000000-0005-0000-0000-00000D290000}"/>
    <cellStyle name="Normal 2 53 13" xfId="10527" xr:uid="{00000000-0005-0000-0000-00000E290000}"/>
    <cellStyle name="Normal 2 53 13 2" xfId="10528" xr:uid="{00000000-0005-0000-0000-00000F290000}"/>
    <cellStyle name="Normal 2 53 13 3" xfId="10529" xr:uid="{00000000-0005-0000-0000-000010290000}"/>
    <cellStyle name="Normal 2 53 14" xfId="10530" xr:uid="{00000000-0005-0000-0000-000011290000}"/>
    <cellStyle name="Normal 2 53 14 2" xfId="10531" xr:uid="{00000000-0005-0000-0000-000012290000}"/>
    <cellStyle name="Normal 2 53 14 3" xfId="10532" xr:uid="{00000000-0005-0000-0000-000013290000}"/>
    <cellStyle name="Normal 2 53 15" xfId="10533" xr:uid="{00000000-0005-0000-0000-000014290000}"/>
    <cellStyle name="Normal 2 53 15 2" xfId="10534" xr:uid="{00000000-0005-0000-0000-000015290000}"/>
    <cellStyle name="Normal 2 53 15 3" xfId="10535" xr:uid="{00000000-0005-0000-0000-000016290000}"/>
    <cellStyle name="Normal 2 53 16" xfId="10536" xr:uid="{00000000-0005-0000-0000-000017290000}"/>
    <cellStyle name="Normal 2 53 16 2" xfId="10537" xr:uid="{00000000-0005-0000-0000-000018290000}"/>
    <cellStyle name="Normal 2 53 16 3" xfId="10538" xr:uid="{00000000-0005-0000-0000-000019290000}"/>
    <cellStyle name="Normal 2 53 17" xfId="10539" xr:uid="{00000000-0005-0000-0000-00001A290000}"/>
    <cellStyle name="Normal 2 53 17 2" xfId="10540" xr:uid="{00000000-0005-0000-0000-00001B290000}"/>
    <cellStyle name="Normal 2 53 17 3" xfId="10541" xr:uid="{00000000-0005-0000-0000-00001C290000}"/>
    <cellStyle name="Normal 2 53 18" xfId="10542" xr:uid="{00000000-0005-0000-0000-00001D290000}"/>
    <cellStyle name="Normal 2 53 18 2" xfId="10543" xr:uid="{00000000-0005-0000-0000-00001E290000}"/>
    <cellStyle name="Normal 2 53 18 3" xfId="10544" xr:uid="{00000000-0005-0000-0000-00001F290000}"/>
    <cellStyle name="Normal 2 53 19" xfId="10545" xr:uid="{00000000-0005-0000-0000-000020290000}"/>
    <cellStyle name="Normal 2 53 19 2" xfId="10546" xr:uid="{00000000-0005-0000-0000-000021290000}"/>
    <cellStyle name="Normal 2 53 19 3" xfId="10547" xr:uid="{00000000-0005-0000-0000-000022290000}"/>
    <cellStyle name="Normal 2 53 2" xfId="10548" xr:uid="{00000000-0005-0000-0000-000023290000}"/>
    <cellStyle name="Normal 2 53 2 10" xfId="10549" xr:uid="{00000000-0005-0000-0000-000024290000}"/>
    <cellStyle name="Normal 2 53 2 10 2" xfId="10550" xr:uid="{00000000-0005-0000-0000-000025290000}"/>
    <cellStyle name="Normal 2 53 2 10 3" xfId="10551" xr:uid="{00000000-0005-0000-0000-000026290000}"/>
    <cellStyle name="Normal 2 53 2 11" xfId="10552" xr:uid="{00000000-0005-0000-0000-000027290000}"/>
    <cellStyle name="Normal 2 53 2 11 2" xfId="10553" xr:uid="{00000000-0005-0000-0000-000028290000}"/>
    <cellStyle name="Normal 2 53 2 11 3" xfId="10554" xr:uid="{00000000-0005-0000-0000-000029290000}"/>
    <cellStyle name="Normal 2 53 2 12" xfId="10555" xr:uid="{00000000-0005-0000-0000-00002A290000}"/>
    <cellStyle name="Normal 2 53 2 12 2" xfId="10556" xr:uid="{00000000-0005-0000-0000-00002B290000}"/>
    <cellStyle name="Normal 2 53 2 12 3" xfId="10557" xr:uid="{00000000-0005-0000-0000-00002C290000}"/>
    <cellStyle name="Normal 2 53 2 13" xfId="10558" xr:uid="{00000000-0005-0000-0000-00002D290000}"/>
    <cellStyle name="Normal 2 53 2 13 2" xfId="10559" xr:uid="{00000000-0005-0000-0000-00002E290000}"/>
    <cellStyle name="Normal 2 53 2 13 3" xfId="10560" xr:uid="{00000000-0005-0000-0000-00002F290000}"/>
    <cellStyle name="Normal 2 53 2 14" xfId="10561" xr:uid="{00000000-0005-0000-0000-000030290000}"/>
    <cellStyle name="Normal 2 53 2 14 2" xfId="10562" xr:uid="{00000000-0005-0000-0000-000031290000}"/>
    <cellStyle name="Normal 2 53 2 14 3" xfId="10563" xr:uid="{00000000-0005-0000-0000-000032290000}"/>
    <cellStyle name="Normal 2 53 2 15" xfId="10564" xr:uid="{00000000-0005-0000-0000-000033290000}"/>
    <cellStyle name="Normal 2 53 2 15 2" xfId="10565" xr:uid="{00000000-0005-0000-0000-000034290000}"/>
    <cellStyle name="Normal 2 53 2 15 3" xfId="10566" xr:uid="{00000000-0005-0000-0000-000035290000}"/>
    <cellStyle name="Normal 2 53 2 16" xfId="10567" xr:uid="{00000000-0005-0000-0000-000036290000}"/>
    <cellStyle name="Normal 2 53 2 17" xfId="10568" xr:uid="{00000000-0005-0000-0000-000037290000}"/>
    <cellStyle name="Normal 2 53 2 2" xfId="10569" xr:uid="{00000000-0005-0000-0000-000038290000}"/>
    <cellStyle name="Normal 2 53 2 2 10" xfId="10570" xr:uid="{00000000-0005-0000-0000-000039290000}"/>
    <cellStyle name="Normal 2 53 2 2 10 2" xfId="10571" xr:uid="{00000000-0005-0000-0000-00003A290000}"/>
    <cellStyle name="Normal 2 53 2 2 10 3" xfId="10572" xr:uid="{00000000-0005-0000-0000-00003B290000}"/>
    <cellStyle name="Normal 2 53 2 2 11" xfId="10573" xr:uid="{00000000-0005-0000-0000-00003C290000}"/>
    <cellStyle name="Normal 2 53 2 2 11 2" xfId="10574" xr:uid="{00000000-0005-0000-0000-00003D290000}"/>
    <cellStyle name="Normal 2 53 2 2 11 3" xfId="10575" xr:uid="{00000000-0005-0000-0000-00003E290000}"/>
    <cellStyle name="Normal 2 53 2 2 12" xfId="10576" xr:uid="{00000000-0005-0000-0000-00003F290000}"/>
    <cellStyle name="Normal 2 53 2 2 12 2" xfId="10577" xr:uid="{00000000-0005-0000-0000-000040290000}"/>
    <cellStyle name="Normal 2 53 2 2 12 3" xfId="10578" xr:uid="{00000000-0005-0000-0000-000041290000}"/>
    <cellStyle name="Normal 2 53 2 2 13" xfId="10579" xr:uid="{00000000-0005-0000-0000-000042290000}"/>
    <cellStyle name="Normal 2 53 2 2 13 2" xfId="10580" xr:uid="{00000000-0005-0000-0000-000043290000}"/>
    <cellStyle name="Normal 2 53 2 2 13 3" xfId="10581" xr:uid="{00000000-0005-0000-0000-000044290000}"/>
    <cellStyle name="Normal 2 53 2 2 14" xfId="10582" xr:uid="{00000000-0005-0000-0000-000045290000}"/>
    <cellStyle name="Normal 2 53 2 2 14 2" xfId="10583" xr:uid="{00000000-0005-0000-0000-000046290000}"/>
    <cellStyle name="Normal 2 53 2 2 14 3" xfId="10584" xr:uid="{00000000-0005-0000-0000-000047290000}"/>
    <cellStyle name="Normal 2 53 2 2 15" xfId="10585" xr:uid="{00000000-0005-0000-0000-000048290000}"/>
    <cellStyle name="Normal 2 53 2 2 16" xfId="10586" xr:uid="{00000000-0005-0000-0000-000049290000}"/>
    <cellStyle name="Normal 2 53 2 2 2" xfId="10587" xr:uid="{00000000-0005-0000-0000-00004A290000}"/>
    <cellStyle name="Normal 2 53 2 2 2 2" xfId="10588" xr:uid="{00000000-0005-0000-0000-00004B290000}"/>
    <cellStyle name="Normal 2 53 2 2 2 3" xfId="10589" xr:uid="{00000000-0005-0000-0000-00004C290000}"/>
    <cellStyle name="Normal 2 53 2 2 3" xfId="10590" xr:uid="{00000000-0005-0000-0000-00004D290000}"/>
    <cellStyle name="Normal 2 53 2 2 3 2" xfId="10591" xr:uid="{00000000-0005-0000-0000-00004E290000}"/>
    <cellStyle name="Normal 2 53 2 2 3 3" xfId="10592" xr:uid="{00000000-0005-0000-0000-00004F290000}"/>
    <cellStyle name="Normal 2 53 2 2 4" xfId="10593" xr:uid="{00000000-0005-0000-0000-000050290000}"/>
    <cellStyle name="Normal 2 53 2 2 4 2" xfId="10594" xr:uid="{00000000-0005-0000-0000-000051290000}"/>
    <cellStyle name="Normal 2 53 2 2 4 3" xfId="10595" xr:uid="{00000000-0005-0000-0000-000052290000}"/>
    <cellStyle name="Normal 2 53 2 2 5" xfId="10596" xr:uid="{00000000-0005-0000-0000-000053290000}"/>
    <cellStyle name="Normal 2 53 2 2 5 2" xfId="10597" xr:uid="{00000000-0005-0000-0000-000054290000}"/>
    <cellStyle name="Normal 2 53 2 2 5 3" xfId="10598" xr:uid="{00000000-0005-0000-0000-000055290000}"/>
    <cellStyle name="Normal 2 53 2 2 6" xfId="10599" xr:uid="{00000000-0005-0000-0000-000056290000}"/>
    <cellStyle name="Normal 2 53 2 2 6 2" xfId="10600" xr:uid="{00000000-0005-0000-0000-000057290000}"/>
    <cellStyle name="Normal 2 53 2 2 6 3" xfId="10601" xr:uid="{00000000-0005-0000-0000-000058290000}"/>
    <cellStyle name="Normal 2 53 2 2 7" xfId="10602" xr:uid="{00000000-0005-0000-0000-000059290000}"/>
    <cellStyle name="Normal 2 53 2 2 7 2" xfId="10603" xr:uid="{00000000-0005-0000-0000-00005A290000}"/>
    <cellStyle name="Normal 2 53 2 2 7 3" xfId="10604" xr:uid="{00000000-0005-0000-0000-00005B290000}"/>
    <cellStyle name="Normal 2 53 2 2 8" xfId="10605" xr:uid="{00000000-0005-0000-0000-00005C290000}"/>
    <cellStyle name="Normal 2 53 2 2 8 2" xfId="10606" xr:uid="{00000000-0005-0000-0000-00005D290000}"/>
    <cellStyle name="Normal 2 53 2 2 8 3" xfId="10607" xr:uid="{00000000-0005-0000-0000-00005E290000}"/>
    <cellStyle name="Normal 2 53 2 2 9" xfId="10608" xr:uid="{00000000-0005-0000-0000-00005F290000}"/>
    <cellStyle name="Normal 2 53 2 2 9 2" xfId="10609" xr:uid="{00000000-0005-0000-0000-000060290000}"/>
    <cellStyle name="Normal 2 53 2 2 9 3" xfId="10610" xr:uid="{00000000-0005-0000-0000-000061290000}"/>
    <cellStyle name="Normal 2 53 2 3" xfId="10611" xr:uid="{00000000-0005-0000-0000-000062290000}"/>
    <cellStyle name="Normal 2 53 2 3 2" xfId="10612" xr:uid="{00000000-0005-0000-0000-000063290000}"/>
    <cellStyle name="Normal 2 53 2 3 3" xfId="10613" xr:uid="{00000000-0005-0000-0000-000064290000}"/>
    <cellStyle name="Normal 2 53 2 4" xfId="10614" xr:uid="{00000000-0005-0000-0000-000065290000}"/>
    <cellStyle name="Normal 2 53 2 4 2" xfId="10615" xr:uid="{00000000-0005-0000-0000-000066290000}"/>
    <cellStyle name="Normal 2 53 2 4 3" xfId="10616" xr:uid="{00000000-0005-0000-0000-000067290000}"/>
    <cellStyle name="Normal 2 53 2 5" xfId="10617" xr:uid="{00000000-0005-0000-0000-000068290000}"/>
    <cellStyle name="Normal 2 53 2 5 2" xfId="10618" xr:uid="{00000000-0005-0000-0000-000069290000}"/>
    <cellStyle name="Normal 2 53 2 5 3" xfId="10619" xr:uid="{00000000-0005-0000-0000-00006A290000}"/>
    <cellStyle name="Normal 2 53 2 6" xfId="10620" xr:uid="{00000000-0005-0000-0000-00006B290000}"/>
    <cellStyle name="Normal 2 53 2 6 2" xfId="10621" xr:uid="{00000000-0005-0000-0000-00006C290000}"/>
    <cellStyle name="Normal 2 53 2 6 3" xfId="10622" xr:uid="{00000000-0005-0000-0000-00006D290000}"/>
    <cellStyle name="Normal 2 53 2 7" xfId="10623" xr:uid="{00000000-0005-0000-0000-00006E290000}"/>
    <cellStyle name="Normal 2 53 2 7 2" xfId="10624" xr:uid="{00000000-0005-0000-0000-00006F290000}"/>
    <cellStyle name="Normal 2 53 2 7 3" xfId="10625" xr:uid="{00000000-0005-0000-0000-000070290000}"/>
    <cellStyle name="Normal 2 53 2 8" xfId="10626" xr:uid="{00000000-0005-0000-0000-000071290000}"/>
    <cellStyle name="Normal 2 53 2 8 2" xfId="10627" xr:uid="{00000000-0005-0000-0000-000072290000}"/>
    <cellStyle name="Normal 2 53 2 8 3" xfId="10628" xr:uid="{00000000-0005-0000-0000-000073290000}"/>
    <cellStyle name="Normal 2 53 2 9" xfId="10629" xr:uid="{00000000-0005-0000-0000-000074290000}"/>
    <cellStyle name="Normal 2 53 2 9 2" xfId="10630" xr:uid="{00000000-0005-0000-0000-000075290000}"/>
    <cellStyle name="Normal 2 53 2 9 3" xfId="10631" xr:uid="{00000000-0005-0000-0000-000076290000}"/>
    <cellStyle name="Normal 2 53 20" xfId="10632" xr:uid="{00000000-0005-0000-0000-000077290000}"/>
    <cellStyle name="Normal 2 53 20 2" xfId="10633" xr:uid="{00000000-0005-0000-0000-000078290000}"/>
    <cellStyle name="Normal 2 53 20 3" xfId="10634" xr:uid="{00000000-0005-0000-0000-000079290000}"/>
    <cellStyle name="Normal 2 53 21" xfId="10635" xr:uid="{00000000-0005-0000-0000-00007A290000}"/>
    <cellStyle name="Normal 2 53 21 2" xfId="10636" xr:uid="{00000000-0005-0000-0000-00007B290000}"/>
    <cellStyle name="Normal 2 53 21 3" xfId="10637" xr:uid="{00000000-0005-0000-0000-00007C290000}"/>
    <cellStyle name="Normal 2 53 22" xfId="10638" xr:uid="{00000000-0005-0000-0000-00007D290000}"/>
    <cellStyle name="Normal 2 53 22 2" xfId="10639" xr:uid="{00000000-0005-0000-0000-00007E290000}"/>
    <cellStyle name="Normal 2 53 22 3" xfId="10640" xr:uid="{00000000-0005-0000-0000-00007F290000}"/>
    <cellStyle name="Normal 2 53 23" xfId="10641" xr:uid="{00000000-0005-0000-0000-000080290000}"/>
    <cellStyle name="Normal 2 53 23 2" xfId="10642" xr:uid="{00000000-0005-0000-0000-000081290000}"/>
    <cellStyle name="Normal 2 53 23 3" xfId="10643" xr:uid="{00000000-0005-0000-0000-000082290000}"/>
    <cellStyle name="Normal 2 53 24" xfId="10644" xr:uid="{00000000-0005-0000-0000-000083290000}"/>
    <cellStyle name="Normal 2 53 25" xfId="10645" xr:uid="{00000000-0005-0000-0000-000084290000}"/>
    <cellStyle name="Normal 2 53 3" xfId="10646" xr:uid="{00000000-0005-0000-0000-000085290000}"/>
    <cellStyle name="Normal 2 53 3 10" xfId="10647" xr:uid="{00000000-0005-0000-0000-000086290000}"/>
    <cellStyle name="Normal 2 53 3 10 2" xfId="10648" xr:uid="{00000000-0005-0000-0000-000087290000}"/>
    <cellStyle name="Normal 2 53 3 10 3" xfId="10649" xr:uid="{00000000-0005-0000-0000-000088290000}"/>
    <cellStyle name="Normal 2 53 3 11" xfId="10650" xr:uid="{00000000-0005-0000-0000-000089290000}"/>
    <cellStyle name="Normal 2 53 3 11 2" xfId="10651" xr:uid="{00000000-0005-0000-0000-00008A290000}"/>
    <cellStyle name="Normal 2 53 3 11 3" xfId="10652" xr:uid="{00000000-0005-0000-0000-00008B290000}"/>
    <cellStyle name="Normal 2 53 3 12" xfId="10653" xr:uid="{00000000-0005-0000-0000-00008C290000}"/>
    <cellStyle name="Normal 2 53 3 12 2" xfId="10654" xr:uid="{00000000-0005-0000-0000-00008D290000}"/>
    <cellStyle name="Normal 2 53 3 12 3" xfId="10655" xr:uid="{00000000-0005-0000-0000-00008E290000}"/>
    <cellStyle name="Normal 2 53 3 13" xfId="10656" xr:uid="{00000000-0005-0000-0000-00008F290000}"/>
    <cellStyle name="Normal 2 53 3 13 2" xfId="10657" xr:uid="{00000000-0005-0000-0000-000090290000}"/>
    <cellStyle name="Normal 2 53 3 13 3" xfId="10658" xr:uid="{00000000-0005-0000-0000-000091290000}"/>
    <cellStyle name="Normal 2 53 3 14" xfId="10659" xr:uid="{00000000-0005-0000-0000-000092290000}"/>
    <cellStyle name="Normal 2 53 3 14 2" xfId="10660" xr:uid="{00000000-0005-0000-0000-000093290000}"/>
    <cellStyle name="Normal 2 53 3 14 3" xfId="10661" xr:uid="{00000000-0005-0000-0000-000094290000}"/>
    <cellStyle name="Normal 2 53 3 15" xfId="10662" xr:uid="{00000000-0005-0000-0000-000095290000}"/>
    <cellStyle name="Normal 2 53 3 15 2" xfId="10663" xr:uid="{00000000-0005-0000-0000-000096290000}"/>
    <cellStyle name="Normal 2 53 3 15 3" xfId="10664" xr:uid="{00000000-0005-0000-0000-000097290000}"/>
    <cellStyle name="Normal 2 53 3 16" xfId="10665" xr:uid="{00000000-0005-0000-0000-000098290000}"/>
    <cellStyle name="Normal 2 53 3 17" xfId="10666" xr:uid="{00000000-0005-0000-0000-000099290000}"/>
    <cellStyle name="Normal 2 53 3 2" xfId="10667" xr:uid="{00000000-0005-0000-0000-00009A290000}"/>
    <cellStyle name="Normal 2 53 3 2 10" xfId="10668" xr:uid="{00000000-0005-0000-0000-00009B290000}"/>
    <cellStyle name="Normal 2 53 3 2 10 2" xfId="10669" xr:uid="{00000000-0005-0000-0000-00009C290000}"/>
    <cellStyle name="Normal 2 53 3 2 10 3" xfId="10670" xr:uid="{00000000-0005-0000-0000-00009D290000}"/>
    <cellStyle name="Normal 2 53 3 2 11" xfId="10671" xr:uid="{00000000-0005-0000-0000-00009E290000}"/>
    <cellStyle name="Normal 2 53 3 2 11 2" xfId="10672" xr:uid="{00000000-0005-0000-0000-00009F290000}"/>
    <cellStyle name="Normal 2 53 3 2 11 3" xfId="10673" xr:uid="{00000000-0005-0000-0000-0000A0290000}"/>
    <cellStyle name="Normal 2 53 3 2 12" xfId="10674" xr:uid="{00000000-0005-0000-0000-0000A1290000}"/>
    <cellStyle name="Normal 2 53 3 2 12 2" xfId="10675" xr:uid="{00000000-0005-0000-0000-0000A2290000}"/>
    <cellStyle name="Normal 2 53 3 2 12 3" xfId="10676" xr:uid="{00000000-0005-0000-0000-0000A3290000}"/>
    <cellStyle name="Normal 2 53 3 2 13" xfId="10677" xr:uid="{00000000-0005-0000-0000-0000A4290000}"/>
    <cellStyle name="Normal 2 53 3 2 13 2" xfId="10678" xr:uid="{00000000-0005-0000-0000-0000A5290000}"/>
    <cellStyle name="Normal 2 53 3 2 13 3" xfId="10679" xr:uid="{00000000-0005-0000-0000-0000A6290000}"/>
    <cellStyle name="Normal 2 53 3 2 14" xfId="10680" xr:uid="{00000000-0005-0000-0000-0000A7290000}"/>
    <cellStyle name="Normal 2 53 3 2 14 2" xfId="10681" xr:uid="{00000000-0005-0000-0000-0000A8290000}"/>
    <cellStyle name="Normal 2 53 3 2 14 3" xfId="10682" xr:uid="{00000000-0005-0000-0000-0000A9290000}"/>
    <cellStyle name="Normal 2 53 3 2 15" xfId="10683" xr:uid="{00000000-0005-0000-0000-0000AA290000}"/>
    <cellStyle name="Normal 2 53 3 2 16" xfId="10684" xr:uid="{00000000-0005-0000-0000-0000AB290000}"/>
    <cellStyle name="Normal 2 53 3 2 2" xfId="10685" xr:uid="{00000000-0005-0000-0000-0000AC290000}"/>
    <cellStyle name="Normal 2 53 3 2 2 2" xfId="10686" xr:uid="{00000000-0005-0000-0000-0000AD290000}"/>
    <cellStyle name="Normal 2 53 3 2 2 3" xfId="10687" xr:uid="{00000000-0005-0000-0000-0000AE290000}"/>
    <cellStyle name="Normal 2 53 3 2 3" xfId="10688" xr:uid="{00000000-0005-0000-0000-0000AF290000}"/>
    <cellStyle name="Normal 2 53 3 2 3 2" xfId="10689" xr:uid="{00000000-0005-0000-0000-0000B0290000}"/>
    <cellStyle name="Normal 2 53 3 2 3 3" xfId="10690" xr:uid="{00000000-0005-0000-0000-0000B1290000}"/>
    <cellStyle name="Normal 2 53 3 2 4" xfId="10691" xr:uid="{00000000-0005-0000-0000-0000B2290000}"/>
    <cellStyle name="Normal 2 53 3 2 4 2" xfId="10692" xr:uid="{00000000-0005-0000-0000-0000B3290000}"/>
    <cellStyle name="Normal 2 53 3 2 4 3" xfId="10693" xr:uid="{00000000-0005-0000-0000-0000B4290000}"/>
    <cellStyle name="Normal 2 53 3 2 5" xfId="10694" xr:uid="{00000000-0005-0000-0000-0000B5290000}"/>
    <cellStyle name="Normal 2 53 3 2 5 2" xfId="10695" xr:uid="{00000000-0005-0000-0000-0000B6290000}"/>
    <cellStyle name="Normal 2 53 3 2 5 3" xfId="10696" xr:uid="{00000000-0005-0000-0000-0000B7290000}"/>
    <cellStyle name="Normal 2 53 3 2 6" xfId="10697" xr:uid="{00000000-0005-0000-0000-0000B8290000}"/>
    <cellStyle name="Normal 2 53 3 2 6 2" xfId="10698" xr:uid="{00000000-0005-0000-0000-0000B9290000}"/>
    <cellStyle name="Normal 2 53 3 2 6 3" xfId="10699" xr:uid="{00000000-0005-0000-0000-0000BA290000}"/>
    <cellStyle name="Normal 2 53 3 2 7" xfId="10700" xr:uid="{00000000-0005-0000-0000-0000BB290000}"/>
    <cellStyle name="Normal 2 53 3 2 7 2" xfId="10701" xr:uid="{00000000-0005-0000-0000-0000BC290000}"/>
    <cellStyle name="Normal 2 53 3 2 7 3" xfId="10702" xr:uid="{00000000-0005-0000-0000-0000BD290000}"/>
    <cellStyle name="Normal 2 53 3 2 8" xfId="10703" xr:uid="{00000000-0005-0000-0000-0000BE290000}"/>
    <cellStyle name="Normal 2 53 3 2 8 2" xfId="10704" xr:uid="{00000000-0005-0000-0000-0000BF290000}"/>
    <cellStyle name="Normal 2 53 3 2 8 3" xfId="10705" xr:uid="{00000000-0005-0000-0000-0000C0290000}"/>
    <cellStyle name="Normal 2 53 3 2 9" xfId="10706" xr:uid="{00000000-0005-0000-0000-0000C1290000}"/>
    <cellStyle name="Normal 2 53 3 2 9 2" xfId="10707" xr:uid="{00000000-0005-0000-0000-0000C2290000}"/>
    <cellStyle name="Normal 2 53 3 2 9 3" xfId="10708" xr:uid="{00000000-0005-0000-0000-0000C3290000}"/>
    <cellStyle name="Normal 2 53 3 3" xfId="10709" xr:uid="{00000000-0005-0000-0000-0000C4290000}"/>
    <cellStyle name="Normal 2 53 3 3 2" xfId="10710" xr:uid="{00000000-0005-0000-0000-0000C5290000}"/>
    <cellStyle name="Normal 2 53 3 3 3" xfId="10711" xr:uid="{00000000-0005-0000-0000-0000C6290000}"/>
    <cellStyle name="Normal 2 53 3 4" xfId="10712" xr:uid="{00000000-0005-0000-0000-0000C7290000}"/>
    <cellStyle name="Normal 2 53 3 4 2" xfId="10713" xr:uid="{00000000-0005-0000-0000-0000C8290000}"/>
    <cellStyle name="Normal 2 53 3 4 3" xfId="10714" xr:uid="{00000000-0005-0000-0000-0000C9290000}"/>
    <cellStyle name="Normal 2 53 3 5" xfId="10715" xr:uid="{00000000-0005-0000-0000-0000CA290000}"/>
    <cellStyle name="Normal 2 53 3 5 2" xfId="10716" xr:uid="{00000000-0005-0000-0000-0000CB290000}"/>
    <cellStyle name="Normal 2 53 3 5 3" xfId="10717" xr:uid="{00000000-0005-0000-0000-0000CC290000}"/>
    <cellStyle name="Normal 2 53 3 6" xfId="10718" xr:uid="{00000000-0005-0000-0000-0000CD290000}"/>
    <cellStyle name="Normal 2 53 3 6 2" xfId="10719" xr:uid="{00000000-0005-0000-0000-0000CE290000}"/>
    <cellStyle name="Normal 2 53 3 6 3" xfId="10720" xr:uid="{00000000-0005-0000-0000-0000CF290000}"/>
    <cellStyle name="Normal 2 53 3 7" xfId="10721" xr:uid="{00000000-0005-0000-0000-0000D0290000}"/>
    <cellStyle name="Normal 2 53 3 7 2" xfId="10722" xr:uid="{00000000-0005-0000-0000-0000D1290000}"/>
    <cellStyle name="Normal 2 53 3 7 3" xfId="10723" xr:uid="{00000000-0005-0000-0000-0000D2290000}"/>
    <cellStyle name="Normal 2 53 3 8" xfId="10724" xr:uid="{00000000-0005-0000-0000-0000D3290000}"/>
    <cellStyle name="Normal 2 53 3 8 2" xfId="10725" xr:uid="{00000000-0005-0000-0000-0000D4290000}"/>
    <cellStyle name="Normal 2 53 3 8 3" xfId="10726" xr:uid="{00000000-0005-0000-0000-0000D5290000}"/>
    <cellStyle name="Normal 2 53 3 9" xfId="10727" xr:uid="{00000000-0005-0000-0000-0000D6290000}"/>
    <cellStyle name="Normal 2 53 3 9 2" xfId="10728" xr:uid="{00000000-0005-0000-0000-0000D7290000}"/>
    <cellStyle name="Normal 2 53 3 9 3" xfId="10729" xr:uid="{00000000-0005-0000-0000-0000D8290000}"/>
    <cellStyle name="Normal 2 53 4" xfId="10730" xr:uid="{00000000-0005-0000-0000-0000D9290000}"/>
    <cellStyle name="Normal 2 53 4 10" xfId="10731" xr:uid="{00000000-0005-0000-0000-0000DA290000}"/>
    <cellStyle name="Normal 2 53 4 10 2" xfId="10732" xr:uid="{00000000-0005-0000-0000-0000DB290000}"/>
    <cellStyle name="Normal 2 53 4 10 3" xfId="10733" xr:uid="{00000000-0005-0000-0000-0000DC290000}"/>
    <cellStyle name="Normal 2 53 4 11" xfId="10734" xr:uid="{00000000-0005-0000-0000-0000DD290000}"/>
    <cellStyle name="Normal 2 53 4 11 2" xfId="10735" xr:uid="{00000000-0005-0000-0000-0000DE290000}"/>
    <cellStyle name="Normal 2 53 4 11 3" xfId="10736" xr:uid="{00000000-0005-0000-0000-0000DF290000}"/>
    <cellStyle name="Normal 2 53 4 12" xfId="10737" xr:uid="{00000000-0005-0000-0000-0000E0290000}"/>
    <cellStyle name="Normal 2 53 4 12 2" xfId="10738" xr:uid="{00000000-0005-0000-0000-0000E1290000}"/>
    <cellStyle name="Normal 2 53 4 12 3" xfId="10739" xr:uid="{00000000-0005-0000-0000-0000E2290000}"/>
    <cellStyle name="Normal 2 53 4 13" xfId="10740" xr:uid="{00000000-0005-0000-0000-0000E3290000}"/>
    <cellStyle name="Normal 2 53 4 13 2" xfId="10741" xr:uid="{00000000-0005-0000-0000-0000E4290000}"/>
    <cellStyle name="Normal 2 53 4 13 3" xfId="10742" xr:uid="{00000000-0005-0000-0000-0000E5290000}"/>
    <cellStyle name="Normal 2 53 4 14" xfId="10743" xr:uid="{00000000-0005-0000-0000-0000E6290000}"/>
    <cellStyle name="Normal 2 53 4 14 2" xfId="10744" xr:uid="{00000000-0005-0000-0000-0000E7290000}"/>
    <cellStyle name="Normal 2 53 4 14 3" xfId="10745" xr:uid="{00000000-0005-0000-0000-0000E8290000}"/>
    <cellStyle name="Normal 2 53 4 15" xfId="10746" xr:uid="{00000000-0005-0000-0000-0000E9290000}"/>
    <cellStyle name="Normal 2 53 4 15 2" xfId="10747" xr:uid="{00000000-0005-0000-0000-0000EA290000}"/>
    <cellStyle name="Normal 2 53 4 15 3" xfId="10748" xr:uid="{00000000-0005-0000-0000-0000EB290000}"/>
    <cellStyle name="Normal 2 53 4 16" xfId="10749" xr:uid="{00000000-0005-0000-0000-0000EC290000}"/>
    <cellStyle name="Normal 2 53 4 17" xfId="10750" xr:uid="{00000000-0005-0000-0000-0000ED290000}"/>
    <cellStyle name="Normal 2 53 4 2" xfId="10751" xr:uid="{00000000-0005-0000-0000-0000EE290000}"/>
    <cellStyle name="Normal 2 53 4 2 10" xfId="10752" xr:uid="{00000000-0005-0000-0000-0000EF290000}"/>
    <cellStyle name="Normal 2 53 4 2 10 2" xfId="10753" xr:uid="{00000000-0005-0000-0000-0000F0290000}"/>
    <cellStyle name="Normal 2 53 4 2 10 3" xfId="10754" xr:uid="{00000000-0005-0000-0000-0000F1290000}"/>
    <cellStyle name="Normal 2 53 4 2 11" xfId="10755" xr:uid="{00000000-0005-0000-0000-0000F2290000}"/>
    <cellStyle name="Normal 2 53 4 2 11 2" xfId="10756" xr:uid="{00000000-0005-0000-0000-0000F3290000}"/>
    <cellStyle name="Normal 2 53 4 2 11 3" xfId="10757" xr:uid="{00000000-0005-0000-0000-0000F4290000}"/>
    <cellStyle name="Normal 2 53 4 2 12" xfId="10758" xr:uid="{00000000-0005-0000-0000-0000F5290000}"/>
    <cellStyle name="Normal 2 53 4 2 12 2" xfId="10759" xr:uid="{00000000-0005-0000-0000-0000F6290000}"/>
    <cellStyle name="Normal 2 53 4 2 12 3" xfId="10760" xr:uid="{00000000-0005-0000-0000-0000F7290000}"/>
    <cellStyle name="Normal 2 53 4 2 13" xfId="10761" xr:uid="{00000000-0005-0000-0000-0000F8290000}"/>
    <cellStyle name="Normal 2 53 4 2 13 2" xfId="10762" xr:uid="{00000000-0005-0000-0000-0000F9290000}"/>
    <cellStyle name="Normal 2 53 4 2 13 3" xfId="10763" xr:uid="{00000000-0005-0000-0000-0000FA290000}"/>
    <cellStyle name="Normal 2 53 4 2 14" xfId="10764" xr:uid="{00000000-0005-0000-0000-0000FB290000}"/>
    <cellStyle name="Normal 2 53 4 2 14 2" xfId="10765" xr:uid="{00000000-0005-0000-0000-0000FC290000}"/>
    <cellStyle name="Normal 2 53 4 2 14 3" xfId="10766" xr:uid="{00000000-0005-0000-0000-0000FD290000}"/>
    <cellStyle name="Normal 2 53 4 2 15" xfId="10767" xr:uid="{00000000-0005-0000-0000-0000FE290000}"/>
    <cellStyle name="Normal 2 53 4 2 16" xfId="10768" xr:uid="{00000000-0005-0000-0000-0000FF290000}"/>
    <cellStyle name="Normal 2 53 4 2 2" xfId="10769" xr:uid="{00000000-0005-0000-0000-0000002A0000}"/>
    <cellStyle name="Normal 2 53 4 2 2 2" xfId="10770" xr:uid="{00000000-0005-0000-0000-0000012A0000}"/>
    <cellStyle name="Normal 2 53 4 2 2 3" xfId="10771" xr:uid="{00000000-0005-0000-0000-0000022A0000}"/>
    <cellStyle name="Normal 2 53 4 2 3" xfId="10772" xr:uid="{00000000-0005-0000-0000-0000032A0000}"/>
    <cellStyle name="Normal 2 53 4 2 3 2" xfId="10773" xr:uid="{00000000-0005-0000-0000-0000042A0000}"/>
    <cellStyle name="Normal 2 53 4 2 3 3" xfId="10774" xr:uid="{00000000-0005-0000-0000-0000052A0000}"/>
    <cellStyle name="Normal 2 53 4 2 4" xfId="10775" xr:uid="{00000000-0005-0000-0000-0000062A0000}"/>
    <cellStyle name="Normal 2 53 4 2 4 2" xfId="10776" xr:uid="{00000000-0005-0000-0000-0000072A0000}"/>
    <cellStyle name="Normal 2 53 4 2 4 3" xfId="10777" xr:uid="{00000000-0005-0000-0000-0000082A0000}"/>
    <cellStyle name="Normal 2 53 4 2 5" xfId="10778" xr:uid="{00000000-0005-0000-0000-0000092A0000}"/>
    <cellStyle name="Normal 2 53 4 2 5 2" xfId="10779" xr:uid="{00000000-0005-0000-0000-00000A2A0000}"/>
    <cellStyle name="Normal 2 53 4 2 5 3" xfId="10780" xr:uid="{00000000-0005-0000-0000-00000B2A0000}"/>
    <cellStyle name="Normal 2 53 4 2 6" xfId="10781" xr:uid="{00000000-0005-0000-0000-00000C2A0000}"/>
    <cellStyle name="Normal 2 53 4 2 6 2" xfId="10782" xr:uid="{00000000-0005-0000-0000-00000D2A0000}"/>
    <cellStyle name="Normal 2 53 4 2 6 3" xfId="10783" xr:uid="{00000000-0005-0000-0000-00000E2A0000}"/>
    <cellStyle name="Normal 2 53 4 2 7" xfId="10784" xr:uid="{00000000-0005-0000-0000-00000F2A0000}"/>
    <cellStyle name="Normal 2 53 4 2 7 2" xfId="10785" xr:uid="{00000000-0005-0000-0000-0000102A0000}"/>
    <cellStyle name="Normal 2 53 4 2 7 3" xfId="10786" xr:uid="{00000000-0005-0000-0000-0000112A0000}"/>
    <cellStyle name="Normal 2 53 4 2 8" xfId="10787" xr:uid="{00000000-0005-0000-0000-0000122A0000}"/>
    <cellStyle name="Normal 2 53 4 2 8 2" xfId="10788" xr:uid="{00000000-0005-0000-0000-0000132A0000}"/>
    <cellStyle name="Normal 2 53 4 2 8 3" xfId="10789" xr:uid="{00000000-0005-0000-0000-0000142A0000}"/>
    <cellStyle name="Normal 2 53 4 2 9" xfId="10790" xr:uid="{00000000-0005-0000-0000-0000152A0000}"/>
    <cellStyle name="Normal 2 53 4 2 9 2" xfId="10791" xr:uid="{00000000-0005-0000-0000-0000162A0000}"/>
    <cellStyle name="Normal 2 53 4 2 9 3" xfId="10792" xr:uid="{00000000-0005-0000-0000-0000172A0000}"/>
    <cellStyle name="Normal 2 53 4 3" xfId="10793" xr:uid="{00000000-0005-0000-0000-0000182A0000}"/>
    <cellStyle name="Normal 2 53 4 3 2" xfId="10794" xr:uid="{00000000-0005-0000-0000-0000192A0000}"/>
    <cellStyle name="Normal 2 53 4 3 3" xfId="10795" xr:uid="{00000000-0005-0000-0000-00001A2A0000}"/>
    <cellStyle name="Normal 2 53 4 4" xfId="10796" xr:uid="{00000000-0005-0000-0000-00001B2A0000}"/>
    <cellStyle name="Normal 2 53 4 4 2" xfId="10797" xr:uid="{00000000-0005-0000-0000-00001C2A0000}"/>
    <cellStyle name="Normal 2 53 4 4 3" xfId="10798" xr:uid="{00000000-0005-0000-0000-00001D2A0000}"/>
    <cellStyle name="Normal 2 53 4 5" xfId="10799" xr:uid="{00000000-0005-0000-0000-00001E2A0000}"/>
    <cellStyle name="Normal 2 53 4 5 2" xfId="10800" xr:uid="{00000000-0005-0000-0000-00001F2A0000}"/>
    <cellStyle name="Normal 2 53 4 5 3" xfId="10801" xr:uid="{00000000-0005-0000-0000-0000202A0000}"/>
    <cellStyle name="Normal 2 53 4 6" xfId="10802" xr:uid="{00000000-0005-0000-0000-0000212A0000}"/>
    <cellStyle name="Normal 2 53 4 6 2" xfId="10803" xr:uid="{00000000-0005-0000-0000-0000222A0000}"/>
    <cellStyle name="Normal 2 53 4 6 3" xfId="10804" xr:uid="{00000000-0005-0000-0000-0000232A0000}"/>
    <cellStyle name="Normal 2 53 4 7" xfId="10805" xr:uid="{00000000-0005-0000-0000-0000242A0000}"/>
    <cellStyle name="Normal 2 53 4 7 2" xfId="10806" xr:uid="{00000000-0005-0000-0000-0000252A0000}"/>
    <cellStyle name="Normal 2 53 4 7 3" xfId="10807" xr:uid="{00000000-0005-0000-0000-0000262A0000}"/>
    <cellStyle name="Normal 2 53 4 8" xfId="10808" xr:uid="{00000000-0005-0000-0000-0000272A0000}"/>
    <cellStyle name="Normal 2 53 4 8 2" xfId="10809" xr:uid="{00000000-0005-0000-0000-0000282A0000}"/>
    <cellStyle name="Normal 2 53 4 8 3" xfId="10810" xr:uid="{00000000-0005-0000-0000-0000292A0000}"/>
    <cellStyle name="Normal 2 53 4 9" xfId="10811" xr:uid="{00000000-0005-0000-0000-00002A2A0000}"/>
    <cellStyle name="Normal 2 53 4 9 2" xfId="10812" xr:uid="{00000000-0005-0000-0000-00002B2A0000}"/>
    <cellStyle name="Normal 2 53 4 9 3" xfId="10813" xr:uid="{00000000-0005-0000-0000-00002C2A0000}"/>
    <cellStyle name="Normal 2 53 5" xfId="10814" xr:uid="{00000000-0005-0000-0000-00002D2A0000}"/>
    <cellStyle name="Normal 2 53 5 10" xfId="10815" xr:uid="{00000000-0005-0000-0000-00002E2A0000}"/>
    <cellStyle name="Normal 2 53 5 10 2" xfId="10816" xr:uid="{00000000-0005-0000-0000-00002F2A0000}"/>
    <cellStyle name="Normal 2 53 5 10 3" xfId="10817" xr:uid="{00000000-0005-0000-0000-0000302A0000}"/>
    <cellStyle name="Normal 2 53 5 11" xfId="10818" xr:uid="{00000000-0005-0000-0000-0000312A0000}"/>
    <cellStyle name="Normal 2 53 5 11 2" xfId="10819" xr:uid="{00000000-0005-0000-0000-0000322A0000}"/>
    <cellStyle name="Normal 2 53 5 11 3" xfId="10820" xr:uid="{00000000-0005-0000-0000-0000332A0000}"/>
    <cellStyle name="Normal 2 53 5 12" xfId="10821" xr:uid="{00000000-0005-0000-0000-0000342A0000}"/>
    <cellStyle name="Normal 2 53 5 12 2" xfId="10822" xr:uid="{00000000-0005-0000-0000-0000352A0000}"/>
    <cellStyle name="Normal 2 53 5 12 3" xfId="10823" xr:uid="{00000000-0005-0000-0000-0000362A0000}"/>
    <cellStyle name="Normal 2 53 5 13" xfId="10824" xr:uid="{00000000-0005-0000-0000-0000372A0000}"/>
    <cellStyle name="Normal 2 53 5 13 2" xfId="10825" xr:uid="{00000000-0005-0000-0000-0000382A0000}"/>
    <cellStyle name="Normal 2 53 5 13 3" xfId="10826" xr:uid="{00000000-0005-0000-0000-0000392A0000}"/>
    <cellStyle name="Normal 2 53 5 14" xfId="10827" xr:uid="{00000000-0005-0000-0000-00003A2A0000}"/>
    <cellStyle name="Normal 2 53 5 14 2" xfId="10828" xr:uid="{00000000-0005-0000-0000-00003B2A0000}"/>
    <cellStyle name="Normal 2 53 5 14 3" xfId="10829" xr:uid="{00000000-0005-0000-0000-00003C2A0000}"/>
    <cellStyle name="Normal 2 53 5 15" xfId="10830" xr:uid="{00000000-0005-0000-0000-00003D2A0000}"/>
    <cellStyle name="Normal 2 53 5 16" xfId="10831" xr:uid="{00000000-0005-0000-0000-00003E2A0000}"/>
    <cellStyle name="Normal 2 53 5 2" xfId="10832" xr:uid="{00000000-0005-0000-0000-00003F2A0000}"/>
    <cellStyle name="Normal 2 53 5 2 2" xfId="10833" xr:uid="{00000000-0005-0000-0000-0000402A0000}"/>
    <cellStyle name="Normal 2 53 5 2 3" xfId="10834" xr:uid="{00000000-0005-0000-0000-0000412A0000}"/>
    <cellStyle name="Normal 2 53 5 3" xfId="10835" xr:uid="{00000000-0005-0000-0000-0000422A0000}"/>
    <cellStyle name="Normal 2 53 5 3 2" xfId="10836" xr:uid="{00000000-0005-0000-0000-0000432A0000}"/>
    <cellStyle name="Normal 2 53 5 3 3" xfId="10837" xr:uid="{00000000-0005-0000-0000-0000442A0000}"/>
    <cellStyle name="Normal 2 53 5 4" xfId="10838" xr:uid="{00000000-0005-0000-0000-0000452A0000}"/>
    <cellStyle name="Normal 2 53 5 4 2" xfId="10839" xr:uid="{00000000-0005-0000-0000-0000462A0000}"/>
    <cellStyle name="Normal 2 53 5 4 3" xfId="10840" xr:uid="{00000000-0005-0000-0000-0000472A0000}"/>
    <cellStyle name="Normal 2 53 5 5" xfId="10841" xr:uid="{00000000-0005-0000-0000-0000482A0000}"/>
    <cellStyle name="Normal 2 53 5 5 2" xfId="10842" xr:uid="{00000000-0005-0000-0000-0000492A0000}"/>
    <cellStyle name="Normal 2 53 5 5 3" xfId="10843" xr:uid="{00000000-0005-0000-0000-00004A2A0000}"/>
    <cellStyle name="Normal 2 53 5 6" xfId="10844" xr:uid="{00000000-0005-0000-0000-00004B2A0000}"/>
    <cellStyle name="Normal 2 53 5 6 2" xfId="10845" xr:uid="{00000000-0005-0000-0000-00004C2A0000}"/>
    <cellStyle name="Normal 2 53 5 6 3" xfId="10846" xr:uid="{00000000-0005-0000-0000-00004D2A0000}"/>
    <cellStyle name="Normal 2 53 5 7" xfId="10847" xr:uid="{00000000-0005-0000-0000-00004E2A0000}"/>
    <cellStyle name="Normal 2 53 5 7 2" xfId="10848" xr:uid="{00000000-0005-0000-0000-00004F2A0000}"/>
    <cellStyle name="Normal 2 53 5 7 3" xfId="10849" xr:uid="{00000000-0005-0000-0000-0000502A0000}"/>
    <cellStyle name="Normal 2 53 5 8" xfId="10850" xr:uid="{00000000-0005-0000-0000-0000512A0000}"/>
    <cellStyle name="Normal 2 53 5 8 2" xfId="10851" xr:uid="{00000000-0005-0000-0000-0000522A0000}"/>
    <cellStyle name="Normal 2 53 5 8 3" xfId="10852" xr:uid="{00000000-0005-0000-0000-0000532A0000}"/>
    <cellStyle name="Normal 2 53 5 9" xfId="10853" xr:uid="{00000000-0005-0000-0000-0000542A0000}"/>
    <cellStyle name="Normal 2 53 5 9 2" xfId="10854" xr:uid="{00000000-0005-0000-0000-0000552A0000}"/>
    <cellStyle name="Normal 2 53 5 9 3" xfId="10855" xr:uid="{00000000-0005-0000-0000-0000562A0000}"/>
    <cellStyle name="Normal 2 53 6" xfId="10856" xr:uid="{00000000-0005-0000-0000-0000572A0000}"/>
    <cellStyle name="Normal 2 53 6 10" xfId="10857" xr:uid="{00000000-0005-0000-0000-0000582A0000}"/>
    <cellStyle name="Normal 2 53 6 10 2" xfId="10858" xr:uid="{00000000-0005-0000-0000-0000592A0000}"/>
    <cellStyle name="Normal 2 53 6 10 3" xfId="10859" xr:uid="{00000000-0005-0000-0000-00005A2A0000}"/>
    <cellStyle name="Normal 2 53 6 11" xfId="10860" xr:uid="{00000000-0005-0000-0000-00005B2A0000}"/>
    <cellStyle name="Normal 2 53 6 11 2" xfId="10861" xr:uid="{00000000-0005-0000-0000-00005C2A0000}"/>
    <cellStyle name="Normal 2 53 6 11 3" xfId="10862" xr:uid="{00000000-0005-0000-0000-00005D2A0000}"/>
    <cellStyle name="Normal 2 53 6 12" xfId="10863" xr:uid="{00000000-0005-0000-0000-00005E2A0000}"/>
    <cellStyle name="Normal 2 53 6 12 2" xfId="10864" xr:uid="{00000000-0005-0000-0000-00005F2A0000}"/>
    <cellStyle name="Normal 2 53 6 12 3" xfId="10865" xr:uid="{00000000-0005-0000-0000-0000602A0000}"/>
    <cellStyle name="Normal 2 53 6 13" xfId="10866" xr:uid="{00000000-0005-0000-0000-0000612A0000}"/>
    <cellStyle name="Normal 2 53 6 13 2" xfId="10867" xr:uid="{00000000-0005-0000-0000-0000622A0000}"/>
    <cellStyle name="Normal 2 53 6 13 3" xfId="10868" xr:uid="{00000000-0005-0000-0000-0000632A0000}"/>
    <cellStyle name="Normal 2 53 6 14" xfId="10869" xr:uid="{00000000-0005-0000-0000-0000642A0000}"/>
    <cellStyle name="Normal 2 53 6 14 2" xfId="10870" xr:uid="{00000000-0005-0000-0000-0000652A0000}"/>
    <cellStyle name="Normal 2 53 6 14 3" xfId="10871" xr:uid="{00000000-0005-0000-0000-0000662A0000}"/>
    <cellStyle name="Normal 2 53 6 15" xfId="10872" xr:uid="{00000000-0005-0000-0000-0000672A0000}"/>
    <cellStyle name="Normal 2 53 6 16" xfId="10873" xr:uid="{00000000-0005-0000-0000-0000682A0000}"/>
    <cellStyle name="Normal 2 53 6 2" xfId="10874" xr:uid="{00000000-0005-0000-0000-0000692A0000}"/>
    <cellStyle name="Normal 2 53 6 2 2" xfId="10875" xr:uid="{00000000-0005-0000-0000-00006A2A0000}"/>
    <cellStyle name="Normal 2 53 6 2 3" xfId="10876" xr:uid="{00000000-0005-0000-0000-00006B2A0000}"/>
    <cellStyle name="Normal 2 53 6 3" xfId="10877" xr:uid="{00000000-0005-0000-0000-00006C2A0000}"/>
    <cellStyle name="Normal 2 53 6 3 2" xfId="10878" xr:uid="{00000000-0005-0000-0000-00006D2A0000}"/>
    <cellStyle name="Normal 2 53 6 3 3" xfId="10879" xr:uid="{00000000-0005-0000-0000-00006E2A0000}"/>
    <cellStyle name="Normal 2 53 6 4" xfId="10880" xr:uid="{00000000-0005-0000-0000-00006F2A0000}"/>
    <cellStyle name="Normal 2 53 6 4 2" xfId="10881" xr:uid="{00000000-0005-0000-0000-0000702A0000}"/>
    <cellStyle name="Normal 2 53 6 4 3" xfId="10882" xr:uid="{00000000-0005-0000-0000-0000712A0000}"/>
    <cellStyle name="Normal 2 53 6 5" xfId="10883" xr:uid="{00000000-0005-0000-0000-0000722A0000}"/>
    <cellStyle name="Normal 2 53 6 5 2" xfId="10884" xr:uid="{00000000-0005-0000-0000-0000732A0000}"/>
    <cellStyle name="Normal 2 53 6 5 3" xfId="10885" xr:uid="{00000000-0005-0000-0000-0000742A0000}"/>
    <cellStyle name="Normal 2 53 6 6" xfId="10886" xr:uid="{00000000-0005-0000-0000-0000752A0000}"/>
    <cellStyle name="Normal 2 53 6 6 2" xfId="10887" xr:uid="{00000000-0005-0000-0000-0000762A0000}"/>
    <cellStyle name="Normal 2 53 6 6 3" xfId="10888" xr:uid="{00000000-0005-0000-0000-0000772A0000}"/>
    <cellStyle name="Normal 2 53 6 7" xfId="10889" xr:uid="{00000000-0005-0000-0000-0000782A0000}"/>
    <cellStyle name="Normal 2 53 6 7 2" xfId="10890" xr:uid="{00000000-0005-0000-0000-0000792A0000}"/>
    <cellStyle name="Normal 2 53 6 7 3" xfId="10891" xr:uid="{00000000-0005-0000-0000-00007A2A0000}"/>
    <cellStyle name="Normal 2 53 6 8" xfId="10892" xr:uid="{00000000-0005-0000-0000-00007B2A0000}"/>
    <cellStyle name="Normal 2 53 6 8 2" xfId="10893" xr:uid="{00000000-0005-0000-0000-00007C2A0000}"/>
    <cellStyle name="Normal 2 53 6 8 3" xfId="10894" xr:uid="{00000000-0005-0000-0000-00007D2A0000}"/>
    <cellStyle name="Normal 2 53 6 9" xfId="10895" xr:uid="{00000000-0005-0000-0000-00007E2A0000}"/>
    <cellStyle name="Normal 2 53 6 9 2" xfId="10896" xr:uid="{00000000-0005-0000-0000-00007F2A0000}"/>
    <cellStyle name="Normal 2 53 6 9 3" xfId="10897" xr:uid="{00000000-0005-0000-0000-0000802A0000}"/>
    <cellStyle name="Normal 2 53 7" xfId="10898" xr:uid="{00000000-0005-0000-0000-0000812A0000}"/>
    <cellStyle name="Normal 2 53 7 10" xfId="10899" xr:uid="{00000000-0005-0000-0000-0000822A0000}"/>
    <cellStyle name="Normal 2 53 7 10 2" xfId="10900" xr:uid="{00000000-0005-0000-0000-0000832A0000}"/>
    <cellStyle name="Normal 2 53 7 10 3" xfId="10901" xr:uid="{00000000-0005-0000-0000-0000842A0000}"/>
    <cellStyle name="Normal 2 53 7 11" xfId="10902" xr:uid="{00000000-0005-0000-0000-0000852A0000}"/>
    <cellStyle name="Normal 2 53 7 11 2" xfId="10903" xr:uid="{00000000-0005-0000-0000-0000862A0000}"/>
    <cellStyle name="Normal 2 53 7 11 3" xfId="10904" xr:uid="{00000000-0005-0000-0000-0000872A0000}"/>
    <cellStyle name="Normal 2 53 7 12" xfId="10905" xr:uid="{00000000-0005-0000-0000-0000882A0000}"/>
    <cellStyle name="Normal 2 53 7 12 2" xfId="10906" xr:uid="{00000000-0005-0000-0000-0000892A0000}"/>
    <cellStyle name="Normal 2 53 7 12 3" xfId="10907" xr:uid="{00000000-0005-0000-0000-00008A2A0000}"/>
    <cellStyle name="Normal 2 53 7 13" xfId="10908" xr:uid="{00000000-0005-0000-0000-00008B2A0000}"/>
    <cellStyle name="Normal 2 53 7 13 2" xfId="10909" xr:uid="{00000000-0005-0000-0000-00008C2A0000}"/>
    <cellStyle name="Normal 2 53 7 13 3" xfId="10910" xr:uid="{00000000-0005-0000-0000-00008D2A0000}"/>
    <cellStyle name="Normal 2 53 7 14" xfId="10911" xr:uid="{00000000-0005-0000-0000-00008E2A0000}"/>
    <cellStyle name="Normal 2 53 7 14 2" xfId="10912" xr:uid="{00000000-0005-0000-0000-00008F2A0000}"/>
    <cellStyle name="Normal 2 53 7 14 3" xfId="10913" xr:uid="{00000000-0005-0000-0000-0000902A0000}"/>
    <cellStyle name="Normal 2 53 7 15" xfId="10914" xr:uid="{00000000-0005-0000-0000-0000912A0000}"/>
    <cellStyle name="Normal 2 53 7 16" xfId="10915" xr:uid="{00000000-0005-0000-0000-0000922A0000}"/>
    <cellStyle name="Normal 2 53 7 2" xfId="10916" xr:uid="{00000000-0005-0000-0000-0000932A0000}"/>
    <cellStyle name="Normal 2 53 7 2 2" xfId="10917" xr:uid="{00000000-0005-0000-0000-0000942A0000}"/>
    <cellStyle name="Normal 2 53 7 2 3" xfId="10918" xr:uid="{00000000-0005-0000-0000-0000952A0000}"/>
    <cellStyle name="Normal 2 53 7 3" xfId="10919" xr:uid="{00000000-0005-0000-0000-0000962A0000}"/>
    <cellStyle name="Normal 2 53 7 3 2" xfId="10920" xr:uid="{00000000-0005-0000-0000-0000972A0000}"/>
    <cellStyle name="Normal 2 53 7 3 3" xfId="10921" xr:uid="{00000000-0005-0000-0000-0000982A0000}"/>
    <cellStyle name="Normal 2 53 7 4" xfId="10922" xr:uid="{00000000-0005-0000-0000-0000992A0000}"/>
    <cellStyle name="Normal 2 53 7 4 2" xfId="10923" xr:uid="{00000000-0005-0000-0000-00009A2A0000}"/>
    <cellStyle name="Normal 2 53 7 4 3" xfId="10924" xr:uid="{00000000-0005-0000-0000-00009B2A0000}"/>
    <cellStyle name="Normal 2 53 7 5" xfId="10925" xr:uid="{00000000-0005-0000-0000-00009C2A0000}"/>
    <cellStyle name="Normal 2 53 7 5 2" xfId="10926" xr:uid="{00000000-0005-0000-0000-00009D2A0000}"/>
    <cellStyle name="Normal 2 53 7 5 3" xfId="10927" xr:uid="{00000000-0005-0000-0000-00009E2A0000}"/>
    <cellStyle name="Normal 2 53 7 6" xfId="10928" xr:uid="{00000000-0005-0000-0000-00009F2A0000}"/>
    <cellStyle name="Normal 2 53 7 6 2" xfId="10929" xr:uid="{00000000-0005-0000-0000-0000A02A0000}"/>
    <cellStyle name="Normal 2 53 7 6 3" xfId="10930" xr:uid="{00000000-0005-0000-0000-0000A12A0000}"/>
    <cellStyle name="Normal 2 53 7 7" xfId="10931" xr:uid="{00000000-0005-0000-0000-0000A22A0000}"/>
    <cellStyle name="Normal 2 53 7 7 2" xfId="10932" xr:uid="{00000000-0005-0000-0000-0000A32A0000}"/>
    <cellStyle name="Normal 2 53 7 7 3" xfId="10933" xr:uid="{00000000-0005-0000-0000-0000A42A0000}"/>
    <cellStyle name="Normal 2 53 7 8" xfId="10934" xr:uid="{00000000-0005-0000-0000-0000A52A0000}"/>
    <cellStyle name="Normal 2 53 7 8 2" xfId="10935" xr:uid="{00000000-0005-0000-0000-0000A62A0000}"/>
    <cellStyle name="Normal 2 53 7 8 3" xfId="10936" xr:uid="{00000000-0005-0000-0000-0000A72A0000}"/>
    <cellStyle name="Normal 2 53 7 9" xfId="10937" xr:uid="{00000000-0005-0000-0000-0000A82A0000}"/>
    <cellStyle name="Normal 2 53 7 9 2" xfId="10938" xr:uid="{00000000-0005-0000-0000-0000A92A0000}"/>
    <cellStyle name="Normal 2 53 7 9 3" xfId="10939" xr:uid="{00000000-0005-0000-0000-0000AA2A0000}"/>
    <cellStyle name="Normal 2 53 8" xfId="10940" xr:uid="{00000000-0005-0000-0000-0000AB2A0000}"/>
    <cellStyle name="Normal 2 53 8 10" xfId="10941" xr:uid="{00000000-0005-0000-0000-0000AC2A0000}"/>
    <cellStyle name="Normal 2 53 8 10 2" xfId="10942" xr:uid="{00000000-0005-0000-0000-0000AD2A0000}"/>
    <cellStyle name="Normal 2 53 8 10 3" xfId="10943" xr:uid="{00000000-0005-0000-0000-0000AE2A0000}"/>
    <cellStyle name="Normal 2 53 8 11" xfId="10944" xr:uid="{00000000-0005-0000-0000-0000AF2A0000}"/>
    <cellStyle name="Normal 2 53 8 11 2" xfId="10945" xr:uid="{00000000-0005-0000-0000-0000B02A0000}"/>
    <cellStyle name="Normal 2 53 8 11 3" xfId="10946" xr:uid="{00000000-0005-0000-0000-0000B12A0000}"/>
    <cellStyle name="Normal 2 53 8 12" xfId="10947" xr:uid="{00000000-0005-0000-0000-0000B22A0000}"/>
    <cellStyle name="Normal 2 53 8 12 2" xfId="10948" xr:uid="{00000000-0005-0000-0000-0000B32A0000}"/>
    <cellStyle name="Normal 2 53 8 12 3" xfId="10949" xr:uid="{00000000-0005-0000-0000-0000B42A0000}"/>
    <cellStyle name="Normal 2 53 8 13" xfId="10950" xr:uid="{00000000-0005-0000-0000-0000B52A0000}"/>
    <cellStyle name="Normal 2 53 8 13 2" xfId="10951" xr:uid="{00000000-0005-0000-0000-0000B62A0000}"/>
    <cellStyle name="Normal 2 53 8 13 3" xfId="10952" xr:uid="{00000000-0005-0000-0000-0000B72A0000}"/>
    <cellStyle name="Normal 2 53 8 14" xfId="10953" xr:uid="{00000000-0005-0000-0000-0000B82A0000}"/>
    <cellStyle name="Normal 2 53 8 14 2" xfId="10954" xr:uid="{00000000-0005-0000-0000-0000B92A0000}"/>
    <cellStyle name="Normal 2 53 8 14 3" xfId="10955" xr:uid="{00000000-0005-0000-0000-0000BA2A0000}"/>
    <cellStyle name="Normal 2 53 8 15" xfId="10956" xr:uid="{00000000-0005-0000-0000-0000BB2A0000}"/>
    <cellStyle name="Normal 2 53 8 16" xfId="10957" xr:uid="{00000000-0005-0000-0000-0000BC2A0000}"/>
    <cellStyle name="Normal 2 53 8 2" xfId="10958" xr:uid="{00000000-0005-0000-0000-0000BD2A0000}"/>
    <cellStyle name="Normal 2 53 8 2 2" xfId="10959" xr:uid="{00000000-0005-0000-0000-0000BE2A0000}"/>
    <cellStyle name="Normal 2 53 8 2 3" xfId="10960" xr:uid="{00000000-0005-0000-0000-0000BF2A0000}"/>
    <cellStyle name="Normal 2 53 8 3" xfId="10961" xr:uid="{00000000-0005-0000-0000-0000C02A0000}"/>
    <cellStyle name="Normal 2 53 8 3 2" xfId="10962" xr:uid="{00000000-0005-0000-0000-0000C12A0000}"/>
    <cellStyle name="Normal 2 53 8 3 3" xfId="10963" xr:uid="{00000000-0005-0000-0000-0000C22A0000}"/>
    <cellStyle name="Normal 2 53 8 4" xfId="10964" xr:uid="{00000000-0005-0000-0000-0000C32A0000}"/>
    <cellStyle name="Normal 2 53 8 4 2" xfId="10965" xr:uid="{00000000-0005-0000-0000-0000C42A0000}"/>
    <cellStyle name="Normal 2 53 8 4 3" xfId="10966" xr:uid="{00000000-0005-0000-0000-0000C52A0000}"/>
    <cellStyle name="Normal 2 53 8 5" xfId="10967" xr:uid="{00000000-0005-0000-0000-0000C62A0000}"/>
    <cellStyle name="Normal 2 53 8 5 2" xfId="10968" xr:uid="{00000000-0005-0000-0000-0000C72A0000}"/>
    <cellStyle name="Normal 2 53 8 5 3" xfId="10969" xr:uid="{00000000-0005-0000-0000-0000C82A0000}"/>
    <cellStyle name="Normal 2 53 8 6" xfId="10970" xr:uid="{00000000-0005-0000-0000-0000C92A0000}"/>
    <cellStyle name="Normal 2 53 8 6 2" xfId="10971" xr:uid="{00000000-0005-0000-0000-0000CA2A0000}"/>
    <cellStyle name="Normal 2 53 8 6 3" xfId="10972" xr:uid="{00000000-0005-0000-0000-0000CB2A0000}"/>
    <cellStyle name="Normal 2 53 8 7" xfId="10973" xr:uid="{00000000-0005-0000-0000-0000CC2A0000}"/>
    <cellStyle name="Normal 2 53 8 7 2" xfId="10974" xr:uid="{00000000-0005-0000-0000-0000CD2A0000}"/>
    <cellStyle name="Normal 2 53 8 7 3" xfId="10975" xr:uid="{00000000-0005-0000-0000-0000CE2A0000}"/>
    <cellStyle name="Normal 2 53 8 8" xfId="10976" xr:uid="{00000000-0005-0000-0000-0000CF2A0000}"/>
    <cellStyle name="Normal 2 53 8 8 2" xfId="10977" xr:uid="{00000000-0005-0000-0000-0000D02A0000}"/>
    <cellStyle name="Normal 2 53 8 8 3" xfId="10978" xr:uid="{00000000-0005-0000-0000-0000D12A0000}"/>
    <cellStyle name="Normal 2 53 8 9" xfId="10979" xr:uid="{00000000-0005-0000-0000-0000D22A0000}"/>
    <cellStyle name="Normal 2 53 8 9 2" xfId="10980" xr:uid="{00000000-0005-0000-0000-0000D32A0000}"/>
    <cellStyle name="Normal 2 53 8 9 3" xfId="10981" xr:uid="{00000000-0005-0000-0000-0000D42A0000}"/>
    <cellStyle name="Normal 2 53 9" xfId="10982" xr:uid="{00000000-0005-0000-0000-0000D52A0000}"/>
    <cellStyle name="Normal 2 53 9 10" xfId="10983" xr:uid="{00000000-0005-0000-0000-0000D62A0000}"/>
    <cellStyle name="Normal 2 53 9 10 2" xfId="10984" xr:uid="{00000000-0005-0000-0000-0000D72A0000}"/>
    <cellStyle name="Normal 2 53 9 10 3" xfId="10985" xr:uid="{00000000-0005-0000-0000-0000D82A0000}"/>
    <cellStyle name="Normal 2 53 9 11" xfId="10986" xr:uid="{00000000-0005-0000-0000-0000D92A0000}"/>
    <cellStyle name="Normal 2 53 9 11 2" xfId="10987" xr:uid="{00000000-0005-0000-0000-0000DA2A0000}"/>
    <cellStyle name="Normal 2 53 9 11 3" xfId="10988" xr:uid="{00000000-0005-0000-0000-0000DB2A0000}"/>
    <cellStyle name="Normal 2 53 9 12" xfId="10989" xr:uid="{00000000-0005-0000-0000-0000DC2A0000}"/>
    <cellStyle name="Normal 2 53 9 12 2" xfId="10990" xr:uid="{00000000-0005-0000-0000-0000DD2A0000}"/>
    <cellStyle name="Normal 2 53 9 12 3" xfId="10991" xr:uid="{00000000-0005-0000-0000-0000DE2A0000}"/>
    <cellStyle name="Normal 2 53 9 13" xfId="10992" xr:uid="{00000000-0005-0000-0000-0000DF2A0000}"/>
    <cellStyle name="Normal 2 53 9 13 2" xfId="10993" xr:uid="{00000000-0005-0000-0000-0000E02A0000}"/>
    <cellStyle name="Normal 2 53 9 13 3" xfId="10994" xr:uid="{00000000-0005-0000-0000-0000E12A0000}"/>
    <cellStyle name="Normal 2 53 9 14" xfId="10995" xr:uid="{00000000-0005-0000-0000-0000E22A0000}"/>
    <cellStyle name="Normal 2 53 9 14 2" xfId="10996" xr:uid="{00000000-0005-0000-0000-0000E32A0000}"/>
    <cellStyle name="Normal 2 53 9 14 3" xfId="10997" xr:uid="{00000000-0005-0000-0000-0000E42A0000}"/>
    <cellStyle name="Normal 2 53 9 15" xfId="10998" xr:uid="{00000000-0005-0000-0000-0000E52A0000}"/>
    <cellStyle name="Normal 2 53 9 16" xfId="10999" xr:uid="{00000000-0005-0000-0000-0000E62A0000}"/>
    <cellStyle name="Normal 2 53 9 2" xfId="11000" xr:uid="{00000000-0005-0000-0000-0000E72A0000}"/>
    <cellStyle name="Normal 2 53 9 2 2" xfId="11001" xr:uid="{00000000-0005-0000-0000-0000E82A0000}"/>
    <cellStyle name="Normal 2 53 9 2 3" xfId="11002" xr:uid="{00000000-0005-0000-0000-0000E92A0000}"/>
    <cellStyle name="Normal 2 53 9 3" xfId="11003" xr:uid="{00000000-0005-0000-0000-0000EA2A0000}"/>
    <cellStyle name="Normal 2 53 9 3 2" xfId="11004" xr:uid="{00000000-0005-0000-0000-0000EB2A0000}"/>
    <cellStyle name="Normal 2 53 9 3 3" xfId="11005" xr:uid="{00000000-0005-0000-0000-0000EC2A0000}"/>
    <cellStyle name="Normal 2 53 9 4" xfId="11006" xr:uid="{00000000-0005-0000-0000-0000ED2A0000}"/>
    <cellStyle name="Normal 2 53 9 4 2" xfId="11007" xr:uid="{00000000-0005-0000-0000-0000EE2A0000}"/>
    <cellStyle name="Normal 2 53 9 4 3" xfId="11008" xr:uid="{00000000-0005-0000-0000-0000EF2A0000}"/>
    <cellStyle name="Normal 2 53 9 5" xfId="11009" xr:uid="{00000000-0005-0000-0000-0000F02A0000}"/>
    <cellStyle name="Normal 2 53 9 5 2" xfId="11010" xr:uid="{00000000-0005-0000-0000-0000F12A0000}"/>
    <cellStyle name="Normal 2 53 9 5 3" xfId="11011" xr:uid="{00000000-0005-0000-0000-0000F22A0000}"/>
    <cellStyle name="Normal 2 53 9 6" xfId="11012" xr:uid="{00000000-0005-0000-0000-0000F32A0000}"/>
    <cellStyle name="Normal 2 53 9 6 2" xfId="11013" xr:uid="{00000000-0005-0000-0000-0000F42A0000}"/>
    <cellStyle name="Normal 2 53 9 6 3" xfId="11014" xr:uid="{00000000-0005-0000-0000-0000F52A0000}"/>
    <cellStyle name="Normal 2 53 9 7" xfId="11015" xr:uid="{00000000-0005-0000-0000-0000F62A0000}"/>
    <cellStyle name="Normal 2 53 9 7 2" xfId="11016" xr:uid="{00000000-0005-0000-0000-0000F72A0000}"/>
    <cellStyle name="Normal 2 53 9 7 3" xfId="11017" xr:uid="{00000000-0005-0000-0000-0000F82A0000}"/>
    <cellStyle name="Normal 2 53 9 8" xfId="11018" xr:uid="{00000000-0005-0000-0000-0000F92A0000}"/>
    <cellStyle name="Normal 2 53 9 8 2" xfId="11019" xr:uid="{00000000-0005-0000-0000-0000FA2A0000}"/>
    <cellStyle name="Normal 2 53 9 8 3" xfId="11020" xr:uid="{00000000-0005-0000-0000-0000FB2A0000}"/>
    <cellStyle name="Normal 2 53 9 9" xfId="11021" xr:uid="{00000000-0005-0000-0000-0000FC2A0000}"/>
    <cellStyle name="Normal 2 53 9 9 2" xfId="11022" xr:uid="{00000000-0005-0000-0000-0000FD2A0000}"/>
    <cellStyle name="Normal 2 53 9 9 3" xfId="11023" xr:uid="{00000000-0005-0000-0000-0000FE2A0000}"/>
    <cellStyle name="Normal 2 54" xfId="11024" xr:uid="{00000000-0005-0000-0000-0000FF2A0000}"/>
    <cellStyle name="Normal 2 54 10" xfId="11025" xr:uid="{00000000-0005-0000-0000-0000002B0000}"/>
    <cellStyle name="Normal 2 54 10 10" xfId="11026" xr:uid="{00000000-0005-0000-0000-0000012B0000}"/>
    <cellStyle name="Normal 2 54 10 10 2" xfId="11027" xr:uid="{00000000-0005-0000-0000-0000022B0000}"/>
    <cellStyle name="Normal 2 54 10 10 3" xfId="11028" xr:uid="{00000000-0005-0000-0000-0000032B0000}"/>
    <cellStyle name="Normal 2 54 10 11" xfId="11029" xr:uid="{00000000-0005-0000-0000-0000042B0000}"/>
    <cellStyle name="Normal 2 54 10 11 2" xfId="11030" xr:uid="{00000000-0005-0000-0000-0000052B0000}"/>
    <cellStyle name="Normal 2 54 10 11 3" xfId="11031" xr:uid="{00000000-0005-0000-0000-0000062B0000}"/>
    <cellStyle name="Normal 2 54 10 12" xfId="11032" xr:uid="{00000000-0005-0000-0000-0000072B0000}"/>
    <cellStyle name="Normal 2 54 10 12 2" xfId="11033" xr:uid="{00000000-0005-0000-0000-0000082B0000}"/>
    <cellStyle name="Normal 2 54 10 12 3" xfId="11034" xr:uid="{00000000-0005-0000-0000-0000092B0000}"/>
    <cellStyle name="Normal 2 54 10 13" xfId="11035" xr:uid="{00000000-0005-0000-0000-00000A2B0000}"/>
    <cellStyle name="Normal 2 54 10 13 2" xfId="11036" xr:uid="{00000000-0005-0000-0000-00000B2B0000}"/>
    <cellStyle name="Normal 2 54 10 13 3" xfId="11037" xr:uid="{00000000-0005-0000-0000-00000C2B0000}"/>
    <cellStyle name="Normal 2 54 10 14" xfId="11038" xr:uid="{00000000-0005-0000-0000-00000D2B0000}"/>
    <cellStyle name="Normal 2 54 10 14 2" xfId="11039" xr:uid="{00000000-0005-0000-0000-00000E2B0000}"/>
    <cellStyle name="Normal 2 54 10 14 3" xfId="11040" xr:uid="{00000000-0005-0000-0000-00000F2B0000}"/>
    <cellStyle name="Normal 2 54 10 15" xfId="11041" xr:uid="{00000000-0005-0000-0000-0000102B0000}"/>
    <cellStyle name="Normal 2 54 10 16" xfId="11042" xr:uid="{00000000-0005-0000-0000-0000112B0000}"/>
    <cellStyle name="Normal 2 54 10 2" xfId="11043" xr:uid="{00000000-0005-0000-0000-0000122B0000}"/>
    <cellStyle name="Normal 2 54 10 2 2" xfId="11044" xr:uid="{00000000-0005-0000-0000-0000132B0000}"/>
    <cellStyle name="Normal 2 54 10 2 3" xfId="11045" xr:uid="{00000000-0005-0000-0000-0000142B0000}"/>
    <cellStyle name="Normal 2 54 10 3" xfId="11046" xr:uid="{00000000-0005-0000-0000-0000152B0000}"/>
    <cellStyle name="Normal 2 54 10 3 2" xfId="11047" xr:uid="{00000000-0005-0000-0000-0000162B0000}"/>
    <cellStyle name="Normal 2 54 10 3 3" xfId="11048" xr:uid="{00000000-0005-0000-0000-0000172B0000}"/>
    <cellStyle name="Normal 2 54 10 4" xfId="11049" xr:uid="{00000000-0005-0000-0000-0000182B0000}"/>
    <cellStyle name="Normal 2 54 10 4 2" xfId="11050" xr:uid="{00000000-0005-0000-0000-0000192B0000}"/>
    <cellStyle name="Normal 2 54 10 4 3" xfId="11051" xr:uid="{00000000-0005-0000-0000-00001A2B0000}"/>
    <cellStyle name="Normal 2 54 10 5" xfId="11052" xr:uid="{00000000-0005-0000-0000-00001B2B0000}"/>
    <cellStyle name="Normal 2 54 10 5 2" xfId="11053" xr:uid="{00000000-0005-0000-0000-00001C2B0000}"/>
    <cellStyle name="Normal 2 54 10 5 3" xfId="11054" xr:uid="{00000000-0005-0000-0000-00001D2B0000}"/>
    <cellStyle name="Normal 2 54 10 6" xfId="11055" xr:uid="{00000000-0005-0000-0000-00001E2B0000}"/>
    <cellStyle name="Normal 2 54 10 6 2" xfId="11056" xr:uid="{00000000-0005-0000-0000-00001F2B0000}"/>
    <cellStyle name="Normal 2 54 10 6 3" xfId="11057" xr:uid="{00000000-0005-0000-0000-0000202B0000}"/>
    <cellStyle name="Normal 2 54 10 7" xfId="11058" xr:uid="{00000000-0005-0000-0000-0000212B0000}"/>
    <cellStyle name="Normal 2 54 10 7 2" xfId="11059" xr:uid="{00000000-0005-0000-0000-0000222B0000}"/>
    <cellStyle name="Normal 2 54 10 7 3" xfId="11060" xr:uid="{00000000-0005-0000-0000-0000232B0000}"/>
    <cellStyle name="Normal 2 54 10 8" xfId="11061" xr:uid="{00000000-0005-0000-0000-0000242B0000}"/>
    <cellStyle name="Normal 2 54 10 8 2" xfId="11062" xr:uid="{00000000-0005-0000-0000-0000252B0000}"/>
    <cellStyle name="Normal 2 54 10 8 3" xfId="11063" xr:uid="{00000000-0005-0000-0000-0000262B0000}"/>
    <cellStyle name="Normal 2 54 10 9" xfId="11064" xr:uid="{00000000-0005-0000-0000-0000272B0000}"/>
    <cellStyle name="Normal 2 54 10 9 2" xfId="11065" xr:uid="{00000000-0005-0000-0000-0000282B0000}"/>
    <cellStyle name="Normal 2 54 10 9 3" xfId="11066" xr:uid="{00000000-0005-0000-0000-0000292B0000}"/>
    <cellStyle name="Normal 2 54 11" xfId="11067" xr:uid="{00000000-0005-0000-0000-00002A2B0000}"/>
    <cellStyle name="Normal 2 54 11 2" xfId="11068" xr:uid="{00000000-0005-0000-0000-00002B2B0000}"/>
    <cellStyle name="Normal 2 54 11 3" xfId="11069" xr:uid="{00000000-0005-0000-0000-00002C2B0000}"/>
    <cellStyle name="Normal 2 54 12" xfId="11070" xr:uid="{00000000-0005-0000-0000-00002D2B0000}"/>
    <cellStyle name="Normal 2 54 12 2" xfId="11071" xr:uid="{00000000-0005-0000-0000-00002E2B0000}"/>
    <cellStyle name="Normal 2 54 12 3" xfId="11072" xr:uid="{00000000-0005-0000-0000-00002F2B0000}"/>
    <cellStyle name="Normal 2 54 13" xfId="11073" xr:uid="{00000000-0005-0000-0000-0000302B0000}"/>
    <cellStyle name="Normal 2 54 13 2" xfId="11074" xr:uid="{00000000-0005-0000-0000-0000312B0000}"/>
    <cellStyle name="Normal 2 54 13 3" xfId="11075" xr:uid="{00000000-0005-0000-0000-0000322B0000}"/>
    <cellStyle name="Normal 2 54 14" xfId="11076" xr:uid="{00000000-0005-0000-0000-0000332B0000}"/>
    <cellStyle name="Normal 2 54 14 2" xfId="11077" xr:uid="{00000000-0005-0000-0000-0000342B0000}"/>
    <cellStyle name="Normal 2 54 14 3" xfId="11078" xr:uid="{00000000-0005-0000-0000-0000352B0000}"/>
    <cellStyle name="Normal 2 54 15" xfId="11079" xr:uid="{00000000-0005-0000-0000-0000362B0000}"/>
    <cellStyle name="Normal 2 54 15 2" xfId="11080" xr:uid="{00000000-0005-0000-0000-0000372B0000}"/>
    <cellStyle name="Normal 2 54 15 3" xfId="11081" xr:uid="{00000000-0005-0000-0000-0000382B0000}"/>
    <cellStyle name="Normal 2 54 16" xfId="11082" xr:uid="{00000000-0005-0000-0000-0000392B0000}"/>
    <cellStyle name="Normal 2 54 16 2" xfId="11083" xr:uid="{00000000-0005-0000-0000-00003A2B0000}"/>
    <cellStyle name="Normal 2 54 16 3" xfId="11084" xr:uid="{00000000-0005-0000-0000-00003B2B0000}"/>
    <cellStyle name="Normal 2 54 17" xfId="11085" xr:uid="{00000000-0005-0000-0000-00003C2B0000}"/>
    <cellStyle name="Normal 2 54 17 2" xfId="11086" xr:uid="{00000000-0005-0000-0000-00003D2B0000}"/>
    <cellStyle name="Normal 2 54 17 3" xfId="11087" xr:uid="{00000000-0005-0000-0000-00003E2B0000}"/>
    <cellStyle name="Normal 2 54 18" xfId="11088" xr:uid="{00000000-0005-0000-0000-00003F2B0000}"/>
    <cellStyle name="Normal 2 54 18 2" xfId="11089" xr:uid="{00000000-0005-0000-0000-0000402B0000}"/>
    <cellStyle name="Normal 2 54 18 3" xfId="11090" xr:uid="{00000000-0005-0000-0000-0000412B0000}"/>
    <cellStyle name="Normal 2 54 19" xfId="11091" xr:uid="{00000000-0005-0000-0000-0000422B0000}"/>
    <cellStyle name="Normal 2 54 19 2" xfId="11092" xr:uid="{00000000-0005-0000-0000-0000432B0000}"/>
    <cellStyle name="Normal 2 54 19 3" xfId="11093" xr:uid="{00000000-0005-0000-0000-0000442B0000}"/>
    <cellStyle name="Normal 2 54 2" xfId="11094" xr:uid="{00000000-0005-0000-0000-0000452B0000}"/>
    <cellStyle name="Normal 2 54 2 10" xfId="11095" xr:uid="{00000000-0005-0000-0000-0000462B0000}"/>
    <cellStyle name="Normal 2 54 2 10 2" xfId="11096" xr:uid="{00000000-0005-0000-0000-0000472B0000}"/>
    <cellStyle name="Normal 2 54 2 10 3" xfId="11097" xr:uid="{00000000-0005-0000-0000-0000482B0000}"/>
    <cellStyle name="Normal 2 54 2 11" xfId="11098" xr:uid="{00000000-0005-0000-0000-0000492B0000}"/>
    <cellStyle name="Normal 2 54 2 11 2" xfId="11099" xr:uid="{00000000-0005-0000-0000-00004A2B0000}"/>
    <cellStyle name="Normal 2 54 2 11 3" xfId="11100" xr:uid="{00000000-0005-0000-0000-00004B2B0000}"/>
    <cellStyle name="Normal 2 54 2 12" xfId="11101" xr:uid="{00000000-0005-0000-0000-00004C2B0000}"/>
    <cellStyle name="Normal 2 54 2 12 2" xfId="11102" xr:uid="{00000000-0005-0000-0000-00004D2B0000}"/>
    <cellStyle name="Normal 2 54 2 12 3" xfId="11103" xr:uid="{00000000-0005-0000-0000-00004E2B0000}"/>
    <cellStyle name="Normal 2 54 2 13" xfId="11104" xr:uid="{00000000-0005-0000-0000-00004F2B0000}"/>
    <cellStyle name="Normal 2 54 2 13 2" xfId="11105" xr:uid="{00000000-0005-0000-0000-0000502B0000}"/>
    <cellStyle name="Normal 2 54 2 13 3" xfId="11106" xr:uid="{00000000-0005-0000-0000-0000512B0000}"/>
    <cellStyle name="Normal 2 54 2 14" xfId="11107" xr:uid="{00000000-0005-0000-0000-0000522B0000}"/>
    <cellStyle name="Normal 2 54 2 14 2" xfId="11108" xr:uid="{00000000-0005-0000-0000-0000532B0000}"/>
    <cellStyle name="Normal 2 54 2 14 3" xfId="11109" xr:uid="{00000000-0005-0000-0000-0000542B0000}"/>
    <cellStyle name="Normal 2 54 2 15" xfId="11110" xr:uid="{00000000-0005-0000-0000-0000552B0000}"/>
    <cellStyle name="Normal 2 54 2 15 2" xfId="11111" xr:uid="{00000000-0005-0000-0000-0000562B0000}"/>
    <cellStyle name="Normal 2 54 2 15 3" xfId="11112" xr:uid="{00000000-0005-0000-0000-0000572B0000}"/>
    <cellStyle name="Normal 2 54 2 16" xfId="11113" xr:uid="{00000000-0005-0000-0000-0000582B0000}"/>
    <cellStyle name="Normal 2 54 2 17" xfId="11114" xr:uid="{00000000-0005-0000-0000-0000592B0000}"/>
    <cellStyle name="Normal 2 54 2 2" xfId="11115" xr:uid="{00000000-0005-0000-0000-00005A2B0000}"/>
    <cellStyle name="Normal 2 54 2 2 10" xfId="11116" xr:uid="{00000000-0005-0000-0000-00005B2B0000}"/>
    <cellStyle name="Normal 2 54 2 2 10 2" xfId="11117" xr:uid="{00000000-0005-0000-0000-00005C2B0000}"/>
    <cellStyle name="Normal 2 54 2 2 10 3" xfId="11118" xr:uid="{00000000-0005-0000-0000-00005D2B0000}"/>
    <cellStyle name="Normal 2 54 2 2 11" xfId="11119" xr:uid="{00000000-0005-0000-0000-00005E2B0000}"/>
    <cellStyle name="Normal 2 54 2 2 11 2" xfId="11120" xr:uid="{00000000-0005-0000-0000-00005F2B0000}"/>
    <cellStyle name="Normal 2 54 2 2 11 3" xfId="11121" xr:uid="{00000000-0005-0000-0000-0000602B0000}"/>
    <cellStyle name="Normal 2 54 2 2 12" xfId="11122" xr:uid="{00000000-0005-0000-0000-0000612B0000}"/>
    <cellStyle name="Normal 2 54 2 2 12 2" xfId="11123" xr:uid="{00000000-0005-0000-0000-0000622B0000}"/>
    <cellStyle name="Normal 2 54 2 2 12 3" xfId="11124" xr:uid="{00000000-0005-0000-0000-0000632B0000}"/>
    <cellStyle name="Normal 2 54 2 2 13" xfId="11125" xr:uid="{00000000-0005-0000-0000-0000642B0000}"/>
    <cellStyle name="Normal 2 54 2 2 13 2" xfId="11126" xr:uid="{00000000-0005-0000-0000-0000652B0000}"/>
    <cellStyle name="Normal 2 54 2 2 13 3" xfId="11127" xr:uid="{00000000-0005-0000-0000-0000662B0000}"/>
    <cellStyle name="Normal 2 54 2 2 14" xfId="11128" xr:uid="{00000000-0005-0000-0000-0000672B0000}"/>
    <cellStyle name="Normal 2 54 2 2 14 2" xfId="11129" xr:uid="{00000000-0005-0000-0000-0000682B0000}"/>
    <cellStyle name="Normal 2 54 2 2 14 3" xfId="11130" xr:uid="{00000000-0005-0000-0000-0000692B0000}"/>
    <cellStyle name="Normal 2 54 2 2 15" xfId="11131" xr:uid="{00000000-0005-0000-0000-00006A2B0000}"/>
    <cellStyle name="Normal 2 54 2 2 16" xfId="11132" xr:uid="{00000000-0005-0000-0000-00006B2B0000}"/>
    <cellStyle name="Normal 2 54 2 2 2" xfId="11133" xr:uid="{00000000-0005-0000-0000-00006C2B0000}"/>
    <cellStyle name="Normal 2 54 2 2 2 2" xfId="11134" xr:uid="{00000000-0005-0000-0000-00006D2B0000}"/>
    <cellStyle name="Normal 2 54 2 2 2 3" xfId="11135" xr:uid="{00000000-0005-0000-0000-00006E2B0000}"/>
    <cellStyle name="Normal 2 54 2 2 3" xfId="11136" xr:uid="{00000000-0005-0000-0000-00006F2B0000}"/>
    <cellStyle name="Normal 2 54 2 2 3 2" xfId="11137" xr:uid="{00000000-0005-0000-0000-0000702B0000}"/>
    <cellStyle name="Normal 2 54 2 2 3 3" xfId="11138" xr:uid="{00000000-0005-0000-0000-0000712B0000}"/>
    <cellStyle name="Normal 2 54 2 2 4" xfId="11139" xr:uid="{00000000-0005-0000-0000-0000722B0000}"/>
    <cellStyle name="Normal 2 54 2 2 4 2" xfId="11140" xr:uid="{00000000-0005-0000-0000-0000732B0000}"/>
    <cellStyle name="Normal 2 54 2 2 4 3" xfId="11141" xr:uid="{00000000-0005-0000-0000-0000742B0000}"/>
    <cellStyle name="Normal 2 54 2 2 5" xfId="11142" xr:uid="{00000000-0005-0000-0000-0000752B0000}"/>
    <cellStyle name="Normal 2 54 2 2 5 2" xfId="11143" xr:uid="{00000000-0005-0000-0000-0000762B0000}"/>
    <cellStyle name="Normal 2 54 2 2 5 3" xfId="11144" xr:uid="{00000000-0005-0000-0000-0000772B0000}"/>
    <cellStyle name="Normal 2 54 2 2 6" xfId="11145" xr:uid="{00000000-0005-0000-0000-0000782B0000}"/>
    <cellStyle name="Normal 2 54 2 2 6 2" xfId="11146" xr:uid="{00000000-0005-0000-0000-0000792B0000}"/>
    <cellStyle name="Normal 2 54 2 2 6 3" xfId="11147" xr:uid="{00000000-0005-0000-0000-00007A2B0000}"/>
    <cellStyle name="Normal 2 54 2 2 7" xfId="11148" xr:uid="{00000000-0005-0000-0000-00007B2B0000}"/>
    <cellStyle name="Normal 2 54 2 2 7 2" xfId="11149" xr:uid="{00000000-0005-0000-0000-00007C2B0000}"/>
    <cellStyle name="Normal 2 54 2 2 7 3" xfId="11150" xr:uid="{00000000-0005-0000-0000-00007D2B0000}"/>
    <cellStyle name="Normal 2 54 2 2 8" xfId="11151" xr:uid="{00000000-0005-0000-0000-00007E2B0000}"/>
    <cellStyle name="Normal 2 54 2 2 8 2" xfId="11152" xr:uid="{00000000-0005-0000-0000-00007F2B0000}"/>
    <cellStyle name="Normal 2 54 2 2 8 3" xfId="11153" xr:uid="{00000000-0005-0000-0000-0000802B0000}"/>
    <cellStyle name="Normal 2 54 2 2 9" xfId="11154" xr:uid="{00000000-0005-0000-0000-0000812B0000}"/>
    <cellStyle name="Normal 2 54 2 2 9 2" xfId="11155" xr:uid="{00000000-0005-0000-0000-0000822B0000}"/>
    <cellStyle name="Normal 2 54 2 2 9 3" xfId="11156" xr:uid="{00000000-0005-0000-0000-0000832B0000}"/>
    <cellStyle name="Normal 2 54 2 3" xfId="11157" xr:uid="{00000000-0005-0000-0000-0000842B0000}"/>
    <cellStyle name="Normal 2 54 2 3 2" xfId="11158" xr:uid="{00000000-0005-0000-0000-0000852B0000}"/>
    <cellStyle name="Normal 2 54 2 3 3" xfId="11159" xr:uid="{00000000-0005-0000-0000-0000862B0000}"/>
    <cellStyle name="Normal 2 54 2 4" xfId="11160" xr:uid="{00000000-0005-0000-0000-0000872B0000}"/>
    <cellStyle name="Normal 2 54 2 4 2" xfId="11161" xr:uid="{00000000-0005-0000-0000-0000882B0000}"/>
    <cellStyle name="Normal 2 54 2 4 3" xfId="11162" xr:uid="{00000000-0005-0000-0000-0000892B0000}"/>
    <cellStyle name="Normal 2 54 2 5" xfId="11163" xr:uid="{00000000-0005-0000-0000-00008A2B0000}"/>
    <cellStyle name="Normal 2 54 2 5 2" xfId="11164" xr:uid="{00000000-0005-0000-0000-00008B2B0000}"/>
    <cellStyle name="Normal 2 54 2 5 3" xfId="11165" xr:uid="{00000000-0005-0000-0000-00008C2B0000}"/>
    <cellStyle name="Normal 2 54 2 6" xfId="11166" xr:uid="{00000000-0005-0000-0000-00008D2B0000}"/>
    <cellStyle name="Normal 2 54 2 6 2" xfId="11167" xr:uid="{00000000-0005-0000-0000-00008E2B0000}"/>
    <cellStyle name="Normal 2 54 2 6 3" xfId="11168" xr:uid="{00000000-0005-0000-0000-00008F2B0000}"/>
    <cellStyle name="Normal 2 54 2 7" xfId="11169" xr:uid="{00000000-0005-0000-0000-0000902B0000}"/>
    <cellStyle name="Normal 2 54 2 7 2" xfId="11170" xr:uid="{00000000-0005-0000-0000-0000912B0000}"/>
    <cellStyle name="Normal 2 54 2 7 3" xfId="11171" xr:uid="{00000000-0005-0000-0000-0000922B0000}"/>
    <cellStyle name="Normal 2 54 2 8" xfId="11172" xr:uid="{00000000-0005-0000-0000-0000932B0000}"/>
    <cellStyle name="Normal 2 54 2 8 2" xfId="11173" xr:uid="{00000000-0005-0000-0000-0000942B0000}"/>
    <cellStyle name="Normal 2 54 2 8 3" xfId="11174" xr:uid="{00000000-0005-0000-0000-0000952B0000}"/>
    <cellStyle name="Normal 2 54 2 9" xfId="11175" xr:uid="{00000000-0005-0000-0000-0000962B0000}"/>
    <cellStyle name="Normal 2 54 2 9 2" xfId="11176" xr:uid="{00000000-0005-0000-0000-0000972B0000}"/>
    <cellStyle name="Normal 2 54 2 9 3" xfId="11177" xr:uid="{00000000-0005-0000-0000-0000982B0000}"/>
    <cellStyle name="Normal 2 54 20" xfId="11178" xr:uid="{00000000-0005-0000-0000-0000992B0000}"/>
    <cellStyle name="Normal 2 54 20 2" xfId="11179" xr:uid="{00000000-0005-0000-0000-00009A2B0000}"/>
    <cellStyle name="Normal 2 54 20 3" xfId="11180" xr:uid="{00000000-0005-0000-0000-00009B2B0000}"/>
    <cellStyle name="Normal 2 54 21" xfId="11181" xr:uid="{00000000-0005-0000-0000-00009C2B0000}"/>
    <cellStyle name="Normal 2 54 21 2" xfId="11182" xr:uid="{00000000-0005-0000-0000-00009D2B0000}"/>
    <cellStyle name="Normal 2 54 21 3" xfId="11183" xr:uid="{00000000-0005-0000-0000-00009E2B0000}"/>
    <cellStyle name="Normal 2 54 22" xfId="11184" xr:uid="{00000000-0005-0000-0000-00009F2B0000}"/>
    <cellStyle name="Normal 2 54 22 2" xfId="11185" xr:uid="{00000000-0005-0000-0000-0000A02B0000}"/>
    <cellStyle name="Normal 2 54 22 3" xfId="11186" xr:uid="{00000000-0005-0000-0000-0000A12B0000}"/>
    <cellStyle name="Normal 2 54 23" xfId="11187" xr:uid="{00000000-0005-0000-0000-0000A22B0000}"/>
    <cellStyle name="Normal 2 54 23 2" xfId="11188" xr:uid="{00000000-0005-0000-0000-0000A32B0000}"/>
    <cellStyle name="Normal 2 54 23 3" xfId="11189" xr:uid="{00000000-0005-0000-0000-0000A42B0000}"/>
    <cellStyle name="Normal 2 54 24" xfId="11190" xr:uid="{00000000-0005-0000-0000-0000A52B0000}"/>
    <cellStyle name="Normal 2 54 25" xfId="11191" xr:uid="{00000000-0005-0000-0000-0000A62B0000}"/>
    <cellStyle name="Normal 2 54 3" xfId="11192" xr:uid="{00000000-0005-0000-0000-0000A72B0000}"/>
    <cellStyle name="Normal 2 54 3 10" xfId="11193" xr:uid="{00000000-0005-0000-0000-0000A82B0000}"/>
    <cellStyle name="Normal 2 54 3 10 2" xfId="11194" xr:uid="{00000000-0005-0000-0000-0000A92B0000}"/>
    <cellStyle name="Normal 2 54 3 10 3" xfId="11195" xr:uid="{00000000-0005-0000-0000-0000AA2B0000}"/>
    <cellStyle name="Normal 2 54 3 11" xfId="11196" xr:uid="{00000000-0005-0000-0000-0000AB2B0000}"/>
    <cellStyle name="Normal 2 54 3 11 2" xfId="11197" xr:uid="{00000000-0005-0000-0000-0000AC2B0000}"/>
    <cellStyle name="Normal 2 54 3 11 3" xfId="11198" xr:uid="{00000000-0005-0000-0000-0000AD2B0000}"/>
    <cellStyle name="Normal 2 54 3 12" xfId="11199" xr:uid="{00000000-0005-0000-0000-0000AE2B0000}"/>
    <cellStyle name="Normal 2 54 3 12 2" xfId="11200" xr:uid="{00000000-0005-0000-0000-0000AF2B0000}"/>
    <cellStyle name="Normal 2 54 3 12 3" xfId="11201" xr:uid="{00000000-0005-0000-0000-0000B02B0000}"/>
    <cellStyle name="Normal 2 54 3 13" xfId="11202" xr:uid="{00000000-0005-0000-0000-0000B12B0000}"/>
    <cellStyle name="Normal 2 54 3 13 2" xfId="11203" xr:uid="{00000000-0005-0000-0000-0000B22B0000}"/>
    <cellStyle name="Normal 2 54 3 13 3" xfId="11204" xr:uid="{00000000-0005-0000-0000-0000B32B0000}"/>
    <cellStyle name="Normal 2 54 3 14" xfId="11205" xr:uid="{00000000-0005-0000-0000-0000B42B0000}"/>
    <cellStyle name="Normal 2 54 3 14 2" xfId="11206" xr:uid="{00000000-0005-0000-0000-0000B52B0000}"/>
    <cellStyle name="Normal 2 54 3 14 3" xfId="11207" xr:uid="{00000000-0005-0000-0000-0000B62B0000}"/>
    <cellStyle name="Normal 2 54 3 15" xfId="11208" xr:uid="{00000000-0005-0000-0000-0000B72B0000}"/>
    <cellStyle name="Normal 2 54 3 15 2" xfId="11209" xr:uid="{00000000-0005-0000-0000-0000B82B0000}"/>
    <cellStyle name="Normal 2 54 3 15 3" xfId="11210" xr:uid="{00000000-0005-0000-0000-0000B92B0000}"/>
    <cellStyle name="Normal 2 54 3 16" xfId="11211" xr:uid="{00000000-0005-0000-0000-0000BA2B0000}"/>
    <cellStyle name="Normal 2 54 3 17" xfId="11212" xr:uid="{00000000-0005-0000-0000-0000BB2B0000}"/>
    <cellStyle name="Normal 2 54 3 2" xfId="11213" xr:uid="{00000000-0005-0000-0000-0000BC2B0000}"/>
    <cellStyle name="Normal 2 54 3 2 10" xfId="11214" xr:uid="{00000000-0005-0000-0000-0000BD2B0000}"/>
    <cellStyle name="Normal 2 54 3 2 10 2" xfId="11215" xr:uid="{00000000-0005-0000-0000-0000BE2B0000}"/>
    <cellStyle name="Normal 2 54 3 2 10 3" xfId="11216" xr:uid="{00000000-0005-0000-0000-0000BF2B0000}"/>
    <cellStyle name="Normal 2 54 3 2 11" xfId="11217" xr:uid="{00000000-0005-0000-0000-0000C02B0000}"/>
    <cellStyle name="Normal 2 54 3 2 11 2" xfId="11218" xr:uid="{00000000-0005-0000-0000-0000C12B0000}"/>
    <cellStyle name="Normal 2 54 3 2 11 3" xfId="11219" xr:uid="{00000000-0005-0000-0000-0000C22B0000}"/>
    <cellStyle name="Normal 2 54 3 2 12" xfId="11220" xr:uid="{00000000-0005-0000-0000-0000C32B0000}"/>
    <cellStyle name="Normal 2 54 3 2 12 2" xfId="11221" xr:uid="{00000000-0005-0000-0000-0000C42B0000}"/>
    <cellStyle name="Normal 2 54 3 2 12 3" xfId="11222" xr:uid="{00000000-0005-0000-0000-0000C52B0000}"/>
    <cellStyle name="Normal 2 54 3 2 13" xfId="11223" xr:uid="{00000000-0005-0000-0000-0000C62B0000}"/>
    <cellStyle name="Normal 2 54 3 2 13 2" xfId="11224" xr:uid="{00000000-0005-0000-0000-0000C72B0000}"/>
    <cellStyle name="Normal 2 54 3 2 13 3" xfId="11225" xr:uid="{00000000-0005-0000-0000-0000C82B0000}"/>
    <cellStyle name="Normal 2 54 3 2 14" xfId="11226" xr:uid="{00000000-0005-0000-0000-0000C92B0000}"/>
    <cellStyle name="Normal 2 54 3 2 14 2" xfId="11227" xr:uid="{00000000-0005-0000-0000-0000CA2B0000}"/>
    <cellStyle name="Normal 2 54 3 2 14 3" xfId="11228" xr:uid="{00000000-0005-0000-0000-0000CB2B0000}"/>
    <cellStyle name="Normal 2 54 3 2 15" xfId="11229" xr:uid="{00000000-0005-0000-0000-0000CC2B0000}"/>
    <cellStyle name="Normal 2 54 3 2 16" xfId="11230" xr:uid="{00000000-0005-0000-0000-0000CD2B0000}"/>
    <cellStyle name="Normal 2 54 3 2 2" xfId="11231" xr:uid="{00000000-0005-0000-0000-0000CE2B0000}"/>
    <cellStyle name="Normal 2 54 3 2 2 2" xfId="11232" xr:uid="{00000000-0005-0000-0000-0000CF2B0000}"/>
    <cellStyle name="Normal 2 54 3 2 2 3" xfId="11233" xr:uid="{00000000-0005-0000-0000-0000D02B0000}"/>
    <cellStyle name="Normal 2 54 3 2 3" xfId="11234" xr:uid="{00000000-0005-0000-0000-0000D12B0000}"/>
    <cellStyle name="Normal 2 54 3 2 3 2" xfId="11235" xr:uid="{00000000-0005-0000-0000-0000D22B0000}"/>
    <cellStyle name="Normal 2 54 3 2 3 3" xfId="11236" xr:uid="{00000000-0005-0000-0000-0000D32B0000}"/>
    <cellStyle name="Normal 2 54 3 2 4" xfId="11237" xr:uid="{00000000-0005-0000-0000-0000D42B0000}"/>
    <cellStyle name="Normal 2 54 3 2 4 2" xfId="11238" xr:uid="{00000000-0005-0000-0000-0000D52B0000}"/>
    <cellStyle name="Normal 2 54 3 2 4 3" xfId="11239" xr:uid="{00000000-0005-0000-0000-0000D62B0000}"/>
    <cellStyle name="Normal 2 54 3 2 5" xfId="11240" xr:uid="{00000000-0005-0000-0000-0000D72B0000}"/>
    <cellStyle name="Normal 2 54 3 2 5 2" xfId="11241" xr:uid="{00000000-0005-0000-0000-0000D82B0000}"/>
    <cellStyle name="Normal 2 54 3 2 5 3" xfId="11242" xr:uid="{00000000-0005-0000-0000-0000D92B0000}"/>
    <cellStyle name="Normal 2 54 3 2 6" xfId="11243" xr:uid="{00000000-0005-0000-0000-0000DA2B0000}"/>
    <cellStyle name="Normal 2 54 3 2 6 2" xfId="11244" xr:uid="{00000000-0005-0000-0000-0000DB2B0000}"/>
    <cellStyle name="Normal 2 54 3 2 6 3" xfId="11245" xr:uid="{00000000-0005-0000-0000-0000DC2B0000}"/>
    <cellStyle name="Normal 2 54 3 2 7" xfId="11246" xr:uid="{00000000-0005-0000-0000-0000DD2B0000}"/>
    <cellStyle name="Normal 2 54 3 2 7 2" xfId="11247" xr:uid="{00000000-0005-0000-0000-0000DE2B0000}"/>
    <cellStyle name="Normal 2 54 3 2 7 3" xfId="11248" xr:uid="{00000000-0005-0000-0000-0000DF2B0000}"/>
    <cellStyle name="Normal 2 54 3 2 8" xfId="11249" xr:uid="{00000000-0005-0000-0000-0000E02B0000}"/>
    <cellStyle name="Normal 2 54 3 2 8 2" xfId="11250" xr:uid="{00000000-0005-0000-0000-0000E12B0000}"/>
    <cellStyle name="Normal 2 54 3 2 8 3" xfId="11251" xr:uid="{00000000-0005-0000-0000-0000E22B0000}"/>
    <cellStyle name="Normal 2 54 3 2 9" xfId="11252" xr:uid="{00000000-0005-0000-0000-0000E32B0000}"/>
    <cellStyle name="Normal 2 54 3 2 9 2" xfId="11253" xr:uid="{00000000-0005-0000-0000-0000E42B0000}"/>
    <cellStyle name="Normal 2 54 3 2 9 3" xfId="11254" xr:uid="{00000000-0005-0000-0000-0000E52B0000}"/>
    <cellStyle name="Normal 2 54 3 3" xfId="11255" xr:uid="{00000000-0005-0000-0000-0000E62B0000}"/>
    <cellStyle name="Normal 2 54 3 3 2" xfId="11256" xr:uid="{00000000-0005-0000-0000-0000E72B0000}"/>
    <cellStyle name="Normal 2 54 3 3 3" xfId="11257" xr:uid="{00000000-0005-0000-0000-0000E82B0000}"/>
    <cellStyle name="Normal 2 54 3 4" xfId="11258" xr:uid="{00000000-0005-0000-0000-0000E92B0000}"/>
    <cellStyle name="Normal 2 54 3 4 2" xfId="11259" xr:uid="{00000000-0005-0000-0000-0000EA2B0000}"/>
    <cellStyle name="Normal 2 54 3 4 3" xfId="11260" xr:uid="{00000000-0005-0000-0000-0000EB2B0000}"/>
    <cellStyle name="Normal 2 54 3 5" xfId="11261" xr:uid="{00000000-0005-0000-0000-0000EC2B0000}"/>
    <cellStyle name="Normal 2 54 3 5 2" xfId="11262" xr:uid="{00000000-0005-0000-0000-0000ED2B0000}"/>
    <cellStyle name="Normal 2 54 3 5 3" xfId="11263" xr:uid="{00000000-0005-0000-0000-0000EE2B0000}"/>
    <cellStyle name="Normal 2 54 3 6" xfId="11264" xr:uid="{00000000-0005-0000-0000-0000EF2B0000}"/>
    <cellStyle name="Normal 2 54 3 6 2" xfId="11265" xr:uid="{00000000-0005-0000-0000-0000F02B0000}"/>
    <cellStyle name="Normal 2 54 3 6 3" xfId="11266" xr:uid="{00000000-0005-0000-0000-0000F12B0000}"/>
    <cellStyle name="Normal 2 54 3 7" xfId="11267" xr:uid="{00000000-0005-0000-0000-0000F22B0000}"/>
    <cellStyle name="Normal 2 54 3 7 2" xfId="11268" xr:uid="{00000000-0005-0000-0000-0000F32B0000}"/>
    <cellStyle name="Normal 2 54 3 7 3" xfId="11269" xr:uid="{00000000-0005-0000-0000-0000F42B0000}"/>
    <cellStyle name="Normal 2 54 3 8" xfId="11270" xr:uid="{00000000-0005-0000-0000-0000F52B0000}"/>
    <cellStyle name="Normal 2 54 3 8 2" xfId="11271" xr:uid="{00000000-0005-0000-0000-0000F62B0000}"/>
    <cellStyle name="Normal 2 54 3 8 3" xfId="11272" xr:uid="{00000000-0005-0000-0000-0000F72B0000}"/>
    <cellStyle name="Normal 2 54 3 9" xfId="11273" xr:uid="{00000000-0005-0000-0000-0000F82B0000}"/>
    <cellStyle name="Normal 2 54 3 9 2" xfId="11274" xr:uid="{00000000-0005-0000-0000-0000F92B0000}"/>
    <cellStyle name="Normal 2 54 3 9 3" xfId="11275" xr:uid="{00000000-0005-0000-0000-0000FA2B0000}"/>
    <cellStyle name="Normal 2 54 4" xfId="11276" xr:uid="{00000000-0005-0000-0000-0000FB2B0000}"/>
    <cellStyle name="Normal 2 54 4 10" xfId="11277" xr:uid="{00000000-0005-0000-0000-0000FC2B0000}"/>
    <cellStyle name="Normal 2 54 4 10 2" xfId="11278" xr:uid="{00000000-0005-0000-0000-0000FD2B0000}"/>
    <cellStyle name="Normal 2 54 4 10 3" xfId="11279" xr:uid="{00000000-0005-0000-0000-0000FE2B0000}"/>
    <cellStyle name="Normal 2 54 4 11" xfId="11280" xr:uid="{00000000-0005-0000-0000-0000FF2B0000}"/>
    <cellStyle name="Normal 2 54 4 11 2" xfId="11281" xr:uid="{00000000-0005-0000-0000-0000002C0000}"/>
    <cellStyle name="Normal 2 54 4 11 3" xfId="11282" xr:uid="{00000000-0005-0000-0000-0000012C0000}"/>
    <cellStyle name="Normal 2 54 4 12" xfId="11283" xr:uid="{00000000-0005-0000-0000-0000022C0000}"/>
    <cellStyle name="Normal 2 54 4 12 2" xfId="11284" xr:uid="{00000000-0005-0000-0000-0000032C0000}"/>
    <cellStyle name="Normal 2 54 4 12 3" xfId="11285" xr:uid="{00000000-0005-0000-0000-0000042C0000}"/>
    <cellStyle name="Normal 2 54 4 13" xfId="11286" xr:uid="{00000000-0005-0000-0000-0000052C0000}"/>
    <cellStyle name="Normal 2 54 4 13 2" xfId="11287" xr:uid="{00000000-0005-0000-0000-0000062C0000}"/>
    <cellStyle name="Normal 2 54 4 13 3" xfId="11288" xr:uid="{00000000-0005-0000-0000-0000072C0000}"/>
    <cellStyle name="Normal 2 54 4 14" xfId="11289" xr:uid="{00000000-0005-0000-0000-0000082C0000}"/>
    <cellStyle name="Normal 2 54 4 14 2" xfId="11290" xr:uid="{00000000-0005-0000-0000-0000092C0000}"/>
    <cellStyle name="Normal 2 54 4 14 3" xfId="11291" xr:uid="{00000000-0005-0000-0000-00000A2C0000}"/>
    <cellStyle name="Normal 2 54 4 15" xfId="11292" xr:uid="{00000000-0005-0000-0000-00000B2C0000}"/>
    <cellStyle name="Normal 2 54 4 15 2" xfId="11293" xr:uid="{00000000-0005-0000-0000-00000C2C0000}"/>
    <cellStyle name="Normal 2 54 4 15 3" xfId="11294" xr:uid="{00000000-0005-0000-0000-00000D2C0000}"/>
    <cellStyle name="Normal 2 54 4 16" xfId="11295" xr:uid="{00000000-0005-0000-0000-00000E2C0000}"/>
    <cellStyle name="Normal 2 54 4 17" xfId="11296" xr:uid="{00000000-0005-0000-0000-00000F2C0000}"/>
    <cellStyle name="Normal 2 54 4 2" xfId="11297" xr:uid="{00000000-0005-0000-0000-0000102C0000}"/>
    <cellStyle name="Normal 2 54 4 2 10" xfId="11298" xr:uid="{00000000-0005-0000-0000-0000112C0000}"/>
    <cellStyle name="Normal 2 54 4 2 10 2" xfId="11299" xr:uid="{00000000-0005-0000-0000-0000122C0000}"/>
    <cellStyle name="Normal 2 54 4 2 10 3" xfId="11300" xr:uid="{00000000-0005-0000-0000-0000132C0000}"/>
    <cellStyle name="Normal 2 54 4 2 11" xfId="11301" xr:uid="{00000000-0005-0000-0000-0000142C0000}"/>
    <cellStyle name="Normal 2 54 4 2 11 2" xfId="11302" xr:uid="{00000000-0005-0000-0000-0000152C0000}"/>
    <cellStyle name="Normal 2 54 4 2 11 3" xfId="11303" xr:uid="{00000000-0005-0000-0000-0000162C0000}"/>
    <cellStyle name="Normal 2 54 4 2 12" xfId="11304" xr:uid="{00000000-0005-0000-0000-0000172C0000}"/>
    <cellStyle name="Normal 2 54 4 2 12 2" xfId="11305" xr:uid="{00000000-0005-0000-0000-0000182C0000}"/>
    <cellStyle name="Normal 2 54 4 2 12 3" xfId="11306" xr:uid="{00000000-0005-0000-0000-0000192C0000}"/>
    <cellStyle name="Normal 2 54 4 2 13" xfId="11307" xr:uid="{00000000-0005-0000-0000-00001A2C0000}"/>
    <cellStyle name="Normal 2 54 4 2 13 2" xfId="11308" xr:uid="{00000000-0005-0000-0000-00001B2C0000}"/>
    <cellStyle name="Normal 2 54 4 2 13 3" xfId="11309" xr:uid="{00000000-0005-0000-0000-00001C2C0000}"/>
    <cellStyle name="Normal 2 54 4 2 14" xfId="11310" xr:uid="{00000000-0005-0000-0000-00001D2C0000}"/>
    <cellStyle name="Normal 2 54 4 2 14 2" xfId="11311" xr:uid="{00000000-0005-0000-0000-00001E2C0000}"/>
    <cellStyle name="Normal 2 54 4 2 14 3" xfId="11312" xr:uid="{00000000-0005-0000-0000-00001F2C0000}"/>
    <cellStyle name="Normal 2 54 4 2 15" xfId="11313" xr:uid="{00000000-0005-0000-0000-0000202C0000}"/>
    <cellStyle name="Normal 2 54 4 2 16" xfId="11314" xr:uid="{00000000-0005-0000-0000-0000212C0000}"/>
    <cellStyle name="Normal 2 54 4 2 2" xfId="11315" xr:uid="{00000000-0005-0000-0000-0000222C0000}"/>
    <cellStyle name="Normal 2 54 4 2 2 2" xfId="11316" xr:uid="{00000000-0005-0000-0000-0000232C0000}"/>
    <cellStyle name="Normal 2 54 4 2 2 3" xfId="11317" xr:uid="{00000000-0005-0000-0000-0000242C0000}"/>
    <cellStyle name="Normal 2 54 4 2 3" xfId="11318" xr:uid="{00000000-0005-0000-0000-0000252C0000}"/>
    <cellStyle name="Normal 2 54 4 2 3 2" xfId="11319" xr:uid="{00000000-0005-0000-0000-0000262C0000}"/>
    <cellStyle name="Normal 2 54 4 2 3 3" xfId="11320" xr:uid="{00000000-0005-0000-0000-0000272C0000}"/>
    <cellStyle name="Normal 2 54 4 2 4" xfId="11321" xr:uid="{00000000-0005-0000-0000-0000282C0000}"/>
    <cellStyle name="Normal 2 54 4 2 4 2" xfId="11322" xr:uid="{00000000-0005-0000-0000-0000292C0000}"/>
    <cellStyle name="Normal 2 54 4 2 4 3" xfId="11323" xr:uid="{00000000-0005-0000-0000-00002A2C0000}"/>
    <cellStyle name="Normal 2 54 4 2 5" xfId="11324" xr:uid="{00000000-0005-0000-0000-00002B2C0000}"/>
    <cellStyle name="Normal 2 54 4 2 5 2" xfId="11325" xr:uid="{00000000-0005-0000-0000-00002C2C0000}"/>
    <cellStyle name="Normal 2 54 4 2 5 3" xfId="11326" xr:uid="{00000000-0005-0000-0000-00002D2C0000}"/>
    <cellStyle name="Normal 2 54 4 2 6" xfId="11327" xr:uid="{00000000-0005-0000-0000-00002E2C0000}"/>
    <cellStyle name="Normal 2 54 4 2 6 2" xfId="11328" xr:uid="{00000000-0005-0000-0000-00002F2C0000}"/>
    <cellStyle name="Normal 2 54 4 2 6 3" xfId="11329" xr:uid="{00000000-0005-0000-0000-0000302C0000}"/>
    <cellStyle name="Normal 2 54 4 2 7" xfId="11330" xr:uid="{00000000-0005-0000-0000-0000312C0000}"/>
    <cellStyle name="Normal 2 54 4 2 7 2" xfId="11331" xr:uid="{00000000-0005-0000-0000-0000322C0000}"/>
    <cellStyle name="Normal 2 54 4 2 7 3" xfId="11332" xr:uid="{00000000-0005-0000-0000-0000332C0000}"/>
    <cellStyle name="Normal 2 54 4 2 8" xfId="11333" xr:uid="{00000000-0005-0000-0000-0000342C0000}"/>
    <cellStyle name="Normal 2 54 4 2 8 2" xfId="11334" xr:uid="{00000000-0005-0000-0000-0000352C0000}"/>
    <cellStyle name="Normal 2 54 4 2 8 3" xfId="11335" xr:uid="{00000000-0005-0000-0000-0000362C0000}"/>
    <cellStyle name="Normal 2 54 4 2 9" xfId="11336" xr:uid="{00000000-0005-0000-0000-0000372C0000}"/>
    <cellStyle name="Normal 2 54 4 2 9 2" xfId="11337" xr:uid="{00000000-0005-0000-0000-0000382C0000}"/>
    <cellStyle name="Normal 2 54 4 2 9 3" xfId="11338" xr:uid="{00000000-0005-0000-0000-0000392C0000}"/>
    <cellStyle name="Normal 2 54 4 3" xfId="11339" xr:uid="{00000000-0005-0000-0000-00003A2C0000}"/>
    <cellStyle name="Normal 2 54 4 3 2" xfId="11340" xr:uid="{00000000-0005-0000-0000-00003B2C0000}"/>
    <cellStyle name="Normal 2 54 4 3 3" xfId="11341" xr:uid="{00000000-0005-0000-0000-00003C2C0000}"/>
    <cellStyle name="Normal 2 54 4 4" xfId="11342" xr:uid="{00000000-0005-0000-0000-00003D2C0000}"/>
    <cellStyle name="Normal 2 54 4 4 2" xfId="11343" xr:uid="{00000000-0005-0000-0000-00003E2C0000}"/>
    <cellStyle name="Normal 2 54 4 4 3" xfId="11344" xr:uid="{00000000-0005-0000-0000-00003F2C0000}"/>
    <cellStyle name="Normal 2 54 4 5" xfId="11345" xr:uid="{00000000-0005-0000-0000-0000402C0000}"/>
    <cellStyle name="Normal 2 54 4 5 2" xfId="11346" xr:uid="{00000000-0005-0000-0000-0000412C0000}"/>
    <cellStyle name="Normal 2 54 4 5 3" xfId="11347" xr:uid="{00000000-0005-0000-0000-0000422C0000}"/>
    <cellStyle name="Normal 2 54 4 6" xfId="11348" xr:uid="{00000000-0005-0000-0000-0000432C0000}"/>
    <cellStyle name="Normal 2 54 4 6 2" xfId="11349" xr:uid="{00000000-0005-0000-0000-0000442C0000}"/>
    <cellStyle name="Normal 2 54 4 6 3" xfId="11350" xr:uid="{00000000-0005-0000-0000-0000452C0000}"/>
    <cellStyle name="Normal 2 54 4 7" xfId="11351" xr:uid="{00000000-0005-0000-0000-0000462C0000}"/>
    <cellStyle name="Normal 2 54 4 7 2" xfId="11352" xr:uid="{00000000-0005-0000-0000-0000472C0000}"/>
    <cellStyle name="Normal 2 54 4 7 3" xfId="11353" xr:uid="{00000000-0005-0000-0000-0000482C0000}"/>
    <cellStyle name="Normal 2 54 4 8" xfId="11354" xr:uid="{00000000-0005-0000-0000-0000492C0000}"/>
    <cellStyle name="Normal 2 54 4 8 2" xfId="11355" xr:uid="{00000000-0005-0000-0000-00004A2C0000}"/>
    <cellStyle name="Normal 2 54 4 8 3" xfId="11356" xr:uid="{00000000-0005-0000-0000-00004B2C0000}"/>
    <cellStyle name="Normal 2 54 4 9" xfId="11357" xr:uid="{00000000-0005-0000-0000-00004C2C0000}"/>
    <cellStyle name="Normal 2 54 4 9 2" xfId="11358" xr:uid="{00000000-0005-0000-0000-00004D2C0000}"/>
    <cellStyle name="Normal 2 54 4 9 3" xfId="11359" xr:uid="{00000000-0005-0000-0000-00004E2C0000}"/>
    <cellStyle name="Normal 2 54 5" xfId="11360" xr:uid="{00000000-0005-0000-0000-00004F2C0000}"/>
    <cellStyle name="Normal 2 54 5 10" xfId="11361" xr:uid="{00000000-0005-0000-0000-0000502C0000}"/>
    <cellStyle name="Normal 2 54 5 10 2" xfId="11362" xr:uid="{00000000-0005-0000-0000-0000512C0000}"/>
    <cellStyle name="Normal 2 54 5 10 3" xfId="11363" xr:uid="{00000000-0005-0000-0000-0000522C0000}"/>
    <cellStyle name="Normal 2 54 5 11" xfId="11364" xr:uid="{00000000-0005-0000-0000-0000532C0000}"/>
    <cellStyle name="Normal 2 54 5 11 2" xfId="11365" xr:uid="{00000000-0005-0000-0000-0000542C0000}"/>
    <cellStyle name="Normal 2 54 5 11 3" xfId="11366" xr:uid="{00000000-0005-0000-0000-0000552C0000}"/>
    <cellStyle name="Normal 2 54 5 12" xfId="11367" xr:uid="{00000000-0005-0000-0000-0000562C0000}"/>
    <cellStyle name="Normal 2 54 5 12 2" xfId="11368" xr:uid="{00000000-0005-0000-0000-0000572C0000}"/>
    <cellStyle name="Normal 2 54 5 12 3" xfId="11369" xr:uid="{00000000-0005-0000-0000-0000582C0000}"/>
    <cellStyle name="Normal 2 54 5 13" xfId="11370" xr:uid="{00000000-0005-0000-0000-0000592C0000}"/>
    <cellStyle name="Normal 2 54 5 13 2" xfId="11371" xr:uid="{00000000-0005-0000-0000-00005A2C0000}"/>
    <cellStyle name="Normal 2 54 5 13 3" xfId="11372" xr:uid="{00000000-0005-0000-0000-00005B2C0000}"/>
    <cellStyle name="Normal 2 54 5 14" xfId="11373" xr:uid="{00000000-0005-0000-0000-00005C2C0000}"/>
    <cellStyle name="Normal 2 54 5 14 2" xfId="11374" xr:uid="{00000000-0005-0000-0000-00005D2C0000}"/>
    <cellStyle name="Normal 2 54 5 14 3" xfId="11375" xr:uid="{00000000-0005-0000-0000-00005E2C0000}"/>
    <cellStyle name="Normal 2 54 5 15" xfId="11376" xr:uid="{00000000-0005-0000-0000-00005F2C0000}"/>
    <cellStyle name="Normal 2 54 5 16" xfId="11377" xr:uid="{00000000-0005-0000-0000-0000602C0000}"/>
    <cellStyle name="Normal 2 54 5 2" xfId="11378" xr:uid="{00000000-0005-0000-0000-0000612C0000}"/>
    <cellStyle name="Normal 2 54 5 2 2" xfId="11379" xr:uid="{00000000-0005-0000-0000-0000622C0000}"/>
    <cellStyle name="Normal 2 54 5 2 3" xfId="11380" xr:uid="{00000000-0005-0000-0000-0000632C0000}"/>
    <cellStyle name="Normal 2 54 5 3" xfId="11381" xr:uid="{00000000-0005-0000-0000-0000642C0000}"/>
    <cellStyle name="Normal 2 54 5 3 2" xfId="11382" xr:uid="{00000000-0005-0000-0000-0000652C0000}"/>
    <cellStyle name="Normal 2 54 5 3 3" xfId="11383" xr:uid="{00000000-0005-0000-0000-0000662C0000}"/>
    <cellStyle name="Normal 2 54 5 4" xfId="11384" xr:uid="{00000000-0005-0000-0000-0000672C0000}"/>
    <cellStyle name="Normal 2 54 5 4 2" xfId="11385" xr:uid="{00000000-0005-0000-0000-0000682C0000}"/>
    <cellStyle name="Normal 2 54 5 4 3" xfId="11386" xr:uid="{00000000-0005-0000-0000-0000692C0000}"/>
    <cellStyle name="Normal 2 54 5 5" xfId="11387" xr:uid="{00000000-0005-0000-0000-00006A2C0000}"/>
    <cellStyle name="Normal 2 54 5 5 2" xfId="11388" xr:uid="{00000000-0005-0000-0000-00006B2C0000}"/>
    <cellStyle name="Normal 2 54 5 5 3" xfId="11389" xr:uid="{00000000-0005-0000-0000-00006C2C0000}"/>
    <cellStyle name="Normal 2 54 5 6" xfId="11390" xr:uid="{00000000-0005-0000-0000-00006D2C0000}"/>
    <cellStyle name="Normal 2 54 5 6 2" xfId="11391" xr:uid="{00000000-0005-0000-0000-00006E2C0000}"/>
    <cellStyle name="Normal 2 54 5 6 3" xfId="11392" xr:uid="{00000000-0005-0000-0000-00006F2C0000}"/>
    <cellStyle name="Normal 2 54 5 7" xfId="11393" xr:uid="{00000000-0005-0000-0000-0000702C0000}"/>
    <cellStyle name="Normal 2 54 5 7 2" xfId="11394" xr:uid="{00000000-0005-0000-0000-0000712C0000}"/>
    <cellStyle name="Normal 2 54 5 7 3" xfId="11395" xr:uid="{00000000-0005-0000-0000-0000722C0000}"/>
    <cellStyle name="Normal 2 54 5 8" xfId="11396" xr:uid="{00000000-0005-0000-0000-0000732C0000}"/>
    <cellStyle name="Normal 2 54 5 8 2" xfId="11397" xr:uid="{00000000-0005-0000-0000-0000742C0000}"/>
    <cellStyle name="Normal 2 54 5 8 3" xfId="11398" xr:uid="{00000000-0005-0000-0000-0000752C0000}"/>
    <cellStyle name="Normal 2 54 5 9" xfId="11399" xr:uid="{00000000-0005-0000-0000-0000762C0000}"/>
    <cellStyle name="Normal 2 54 5 9 2" xfId="11400" xr:uid="{00000000-0005-0000-0000-0000772C0000}"/>
    <cellStyle name="Normal 2 54 5 9 3" xfId="11401" xr:uid="{00000000-0005-0000-0000-0000782C0000}"/>
    <cellStyle name="Normal 2 54 6" xfId="11402" xr:uid="{00000000-0005-0000-0000-0000792C0000}"/>
    <cellStyle name="Normal 2 54 6 10" xfId="11403" xr:uid="{00000000-0005-0000-0000-00007A2C0000}"/>
    <cellStyle name="Normal 2 54 6 10 2" xfId="11404" xr:uid="{00000000-0005-0000-0000-00007B2C0000}"/>
    <cellStyle name="Normal 2 54 6 10 3" xfId="11405" xr:uid="{00000000-0005-0000-0000-00007C2C0000}"/>
    <cellStyle name="Normal 2 54 6 11" xfId="11406" xr:uid="{00000000-0005-0000-0000-00007D2C0000}"/>
    <cellStyle name="Normal 2 54 6 11 2" xfId="11407" xr:uid="{00000000-0005-0000-0000-00007E2C0000}"/>
    <cellStyle name="Normal 2 54 6 11 3" xfId="11408" xr:uid="{00000000-0005-0000-0000-00007F2C0000}"/>
    <cellStyle name="Normal 2 54 6 12" xfId="11409" xr:uid="{00000000-0005-0000-0000-0000802C0000}"/>
    <cellStyle name="Normal 2 54 6 12 2" xfId="11410" xr:uid="{00000000-0005-0000-0000-0000812C0000}"/>
    <cellStyle name="Normal 2 54 6 12 3" xfId="11411" xr:uid="{00000000-0005-0000-0000-0000822C0000}"/>
    <cellStyle name="Normal 2 54 6 13" xfId="11412" xr:uid="{00000000-0005-0000-0000-0000832C0000}"/>
    <cellStyle name="Normal 2 54 6 13 2" xfId="11413" xr:uid="{00000000-0005-0000-0000-0000842C0000}"/>
    <cellStyle name="Normal 2 54 6 13 3" xfId="11414" xr:uid="{00000000-0005-0000-0000-0000852C0000}"/>
    <cellStyle name="Normal 2 54 6 14" xfId="11415" xr:uid="{00000000-0005-0000-0000-0000862C0000}"/>
    <cellStyle name="Normal 2 54 6 14 2" xfId="11416" xr:uid="{00000000-0005-0000-0000-0000872C0000}"/>
    <cellStyle name="Normal 2 54 6 14 3" xfId="11417" xr:uid="{00000000-0005-0000-0000-0000882C0000}"/>
    <cellStyle name="Normal 2 54 6 15" xfId="11418" xr:uid="{00000000-0005-0000-0000-0000892C0000}"/>
    <cellStyle name="Normal 2 54 6 16" xfId="11419" xr:uid="{00000000-0005-0000-0000-00008A2C0000}"/>
    <cellStyle name="Normal 2 54 6 2" xfId="11420" xr:uid="{00000000-0005-0000-0000-00008B2C0000}"/>
    <cellStyle name="Normal 2 54 6 2 2" xfId="11421" xr:uid="{00000000-0005-0000-0000-00008C2C0000}"/>
    <cellStyle name="Normal 2 54 6 2 3" xfId="11422" xr:uid="{00000000-0005-0000-0000-00008D2C0000}"/>
    <cellStyle name="Normal 2 54 6 3" xfId="11423" xr:uid="{00000000-0005-0000-0000-00008E2C0000}"/>
    <cellStyle name="Normal 2 54 6 3 2" xfId="11424" xr:uid="{00000000-0005-0000-0000-00008F2C0000}"/>
    <cellStyle name="Normal 2 54 6 3 3" xfId="11425" xr:uid="{00000000-0005-0000-0000-0000902C0000}"/>
    <cellStyle name="Normal 2 54 6 4" xfId="11426" xr:uid="{00000000-0005-0000-0000-0000912C0000}"/>
    <cellStyle name="Normal 2 54 6 4 2" xfId="11427" xr:uid="{00000000-0005-0000-0000-0000922C0000}"/>
    <cellStyle name="Normal 2 54 6 4 3" xfId="11428" xr:uid="{00000000-0005-0000-0000-0000932C0000}"/>
    <cellStyle name="Normal 2 54 6 5" xfId="11429" xr:uid="{00000000-0005-0000-0000-0000942C0000}"/>
    <cellStyle name="Normal 2 54 6 5 2" xfId="11430" xr:uid="{00000000-0005-0000-0000-0000952C0000}"/>
    <cellStyle name="Normal 2 54 6 5 3" xfId="11431" xr:uid="{00000000-0005-0000-0000-0000962C0000}"/>
    <cellStyle name="Normal 2 54 6 6" xfId="11432" xr:uid="{00000000-0005-0000-0000-0000972C0000}"/>
    <cellStyle name="Normal 2 54 6 6 2" xfId="11433" xr:uid="{00000000-0005-0000-0000-0000982C0000}"/>
    <cellStyle name="Normal 2 54 6 6 3" xfId="11434" xr:uid="{00000000-0005-0000-0000-0000992C0000}"/>
    <cellStyle name="Normal 2 54 6 7" xfId="11435" xr:uid="{00000000-0005-0000-0000-00009A2C0000}"/>
    <cellStyle name="Normal 2 54 6 7 2" xfId="11436" xr:uid="{00000000-0005-0000-0000-00009B2C0000}"/>
    <cellStyle name="Normal 2 54 6 7 3" xfId="11437" xr:uid="{00000000-0005-0000-0000-00009C2C0000}"/>
    <cellStyle name="Normal 2 54 6 8" xfId="11438" xr:uid="{00000000-0005-0000-0000-00009D2C0000}"/>
    <cellStyle name="Normal 2 54 6 8 2" xfId="11439" xr:uid="{00000000-0005-0000-0000-00009E2C0000}"/>
    <cellStyle name="Normal 2 54 6 8 3" xfId="11440" xr:uid="{00000000-0005-0000-0000-00009F2C0000}"/>
    <cellStyle name="Normal 2 54 6 9" xfId="11441" xr:uid="{00000000-0005-0000-0000-0000A02C0000}"/>
    <cellStyle name="Normal 2 54 6 9 2" xfId="11442" xr:uid="{00000000-0005-0000-0000-0000A12C0000}"/>
    <cellStyle name="Normal 2 54 6 9 3" xfId="11443" xr:uid="{00000000-0005-0000-0000-0000A22C0000}"/>
    <cellStyle name="Normal 2 54 7" xfId="11444" xr:uid="{00000000-0005-0000-0000-0000A32C0000}"/>
    <cellStyle name="Normal 2 54 7 10" xfId="11445" xr:uid="{00000000-0005-0000-0000-0000A42C0000}"/>
    <cellStyle name="Normal 2 54 7 10 2" xfId="11446" xr:uid="{00000000-0005-0000-0000-0000A52C0000}"/>
    <cellStyle name="Normal 2 54 7 10 3" xfId="11447" xr:uid="{00000000-0005-0000-0000-0000A62C0000}"/>
    <cellStyle name="Normal 2 54 7 11" xfId="11448" xr:uid="{00000000-0005-0000-0000-0000A72C0000}"/>
    <cellStyle name="Normal 2 54 7 11 2" xfId="11449" xr:uid="{00000000-0005-0000-0000-0000A82C0000}"/>
    <cellStyle name="Normal 2 54 7 11 3" xfId="11450" xr:uid="{00000000-0005-0000-0000-0000A92C0000}"/>
    <cellStyle name="Normal 2 54 7 12" xfId="11451" xr:uid="{00000000-0005-0000-0000-0000AA2C0000}"/>
    <cellStyle name="Normal 2 54 7 12 2" xfId="11452" xr:uid="{00000000-0005-0000-0000-0000AB2C0000}"/>
    <cellStyle name="Normal 2 54 7 12 3" xfId="11453" xr:uid="{00000000-0005-0000-0000-0000AC2C0000}"/>
    <cellStyle name="Normal 2 54 7 13" xfId="11454" xr:uid="{00000000-0005-0000-0000-0000AD2C0000}"/>
    <cellStyle name="Normal 2 54 7 13 2" xfId="11455" xr:uid="{00000000-0005-0000-0000-0000AE2C0000}"/>
    <cellStyle name="Normal 2 54 7 13 3" xfId="11456" xr:uid="{00000000-0005-0000-0000-0000AF2C0000}"/>
    <cellStyle name="Normal 2 54 7 14" xfId="11457" xr:uid="{00000000-0005-0000-0000-0000B02C0000}"/>
    <cellStyle name="Normal 2 54 7 14 2" xfId="11458" xr:uid="{00000000-0005-0000-0000-0000B12C0000}"/>
    <cellStyle name="Normal 2 54 7 14 3" xfId="11459" xr:uid="{00000000-0005-0000-0000-0000B22C0000}"/>
    <cellStyle name="Normal 2 54 7 15" xfId="11460" xr:uid="{00000000-0005-0000-0000-0000B32C0000}"/>
    <cellStyle name="Normal 2 54 7 16" xfId="11461" xr:uid="{00000000-0005-0000-0000-0000B42C0000}"/>
    <cellStyle name="Normal 2 54 7 2" xfId="11462" xr:uid="{00000000-0005-0000-0000-0000B52C0000}"/>
    <cellStyle name="Normal 2 54 7 2 2" xfId="11463" xr:uid="{00000000-0005-0000-0000-0000B62C0000}"/>
    <cellStyle name="Normal 2 54 7 2 3" xfId="11464" xr:uid="{00000000-0005-0000-0000-0000B72C0000}"/>
    <cellStyle name="Normal 2 54 7 3" xfId="11465" xr:uid="{00000000-0005-0000-0000-0000B82C0000}"/>
    <cellStyle name="Normal 2 54 7 3 2" xfId="11466" xr:uid="{00000000-0005-0000-0000-0000B92C0000}"/>
    <cellStyle name="Normal 2 54 7 3 3" xfId="11467" xr:uid="{00000000-0005-0000-0000-0000BA2C0000}"/>
    <cellStyle name="Normal 2 54 7 4" xfId="11468" xr:uid="{00000000-0005-0000-0000-0000BB2C0000}"/>
    <cellStyle name="Normal 2 54 7 4 2" xfId="11469" xr:uid="{00000000-0005-0000-0000-0000BC2C0000}"/>
    <cellStyle name="Normal 2 54 7 4 3" xfId="11470" xr:uid="{00000000-0005-0000-0000-0000BD2C0000}"/>
    <cellStyle name="Normal 2 54 7 5" xfId="11471" xr:uid="{00000000-0005-0000-0000-0000BE2C0000}"/>
    <cellStyle name="Normal 2 54 7 5 2" xfId="11472" xr:uid="{00000000-0005-0000-0000-0000BF2C0000}"/>
    <cellStyle name="Normal 2 54 7 5 3" xfId="11473" xr:uid="{00000000-0005-0000-0000-0000C02C0000}"/>
    <cellStyle name="Normal 2 54 7 6" xfId="11474" xr:uid="{00000000-0005-0000-0000-0000C12C0000}"/>
    <cellStyle name="Normal 2 54 7 6 2" xfId="11475" xr:uid="{00000000-0005-0000-0000-0000C22C0000}"/>
    <cellStyle name="Normal 2 54 7 6 3" xfId="11476" xr:uid="{00000000-0005-0000-0000-0000C32C0000}"/>
    <cellStyle name="Normal 2 54 7 7" xfId="11477" xr:uid="{00000000-0005-0000-0000-0000C42C0000}"/>
    <cellStyle name="Normal 2 54 7 7 2" xfId="11478" xr:uid="{00000000-0005-0000-0000-0000C52C0000}"/>
    <cellStyle name="Normal 2 54 7 7 3" xfId="11479" xr:uid="{00000000-0005-0000-0000-0000C62C0000}"/>
    <cellStyle name="Normal 2 54 7 8" xfId="11480" xr:uid="{00000000-0005-0000-0000-0000C72C0000}"/>
    <cellStyle name="Normal 2 54 7 8 2" xfId="11481" xr:uid="{00000000-0005-0000-0000-0000C82C0000}"/>
    <cellStyle name="Normal 2 54 7 8 3" xfId="11482" xr:uid="{00000000-0005-0000-0000-0000C92C0000}"/>
    <cellStyle name="Normal 2 54 7 9" xfId="11483" xr:uid="{00000000-0005-0000-0000-0000CA2C0000}"/>
    <cellStyle name="Normal 2 54 7 9 2" xfId="11484" xr:uid="{00000000-0005-0000-0000-0000CB2C0000}"/>
    <cellStyle name="Normal 2 54 7 9 3" xfId="11485" xr:uid="{00000000-0005-0000-0000-0000CC2C0000}"/>
    <cellStyle name="Normal 2 54 8" xfId="11486" xr:uid="{00000000-0005-0000-0000-0000CD2C0000}"/>
    <cellStyle name="Normal 2 54 8 10" xfId="11487" xr:uid="{00000000-0005-0000-0000-0000CE2C0000}"/>
    <cellStyle name="Normal 2 54 8 10 2" xfId="11488" xr:uid="{00000000-0005-0000-0000-0000CF2C0000}"/>
    <cellStyle name="Normal 2 54 8 10 3" xfId="11489" xr:uid="{00000000-0005-0000-0000-0000D02C0000}"/>
    <cellStyle name="Normal 2 54 8 11" xfId="11490" xr:uid="{00000000-0005-0000-0000-0000D12C0000}"/>
    <cellStyle name="Normal 2 54 8 11 2" xfId="11491" xr:uid="{00000000-0005-0000-0000-0000D22C0000}"/>
    <cellStyle name="Normal 2 54 8 11 3" xfId="11492" xr:uid="{00000000-0005-0000-0000-0000D32C0000}"/>
    <cellStyle name="Normal 2 54 8 12" xfId="11493" xr:uid="{00000000-0005-0000-0000-0000D42C0000}"/>
    <cellStyle name="Normal 2 54 8 12 2" xfId="11494" xr:uid="{00000000-0005-0000-0000-0000D52C0000}"/>
    <cellStyle name="Normal 2 54 8 12 3" xfId="11495" xr:uid="{00000000-0005-0000-0000-0000D62C0000}"/>
    <cellStyle name="Normal 2 54 8 13" xfId="11496" xr:uid="{00000000-0005-0000-0000-0000D72C0000}"/>
    <cellStyle name="Normal 2 54 8 13 2" xfId="11497" xr:uid="{00000000-0005-0000-0000-0000D82C0000}"/>
    <cellStyle name="Normal 2 54 8 13 3" xfId="11498" xr:uid="{00000000-0005-0000-0000-0000D92C0000}"/>
    <cellStyle name="Normal 2 54 8 14" xfId="11499" xr:uid="{00000000-0005-0000-0000-0000DA2C0000}"/>
    <cellStyle name="Normal 2 54 8 14 2" xfId="11500" xr:uid="{00000000-0005-0000-0000-0000DB2C0000}"/>
    <cellStyle name="Normal 2 54 8 14 3" xfId="11501" xr:uid="{00000000-0005-0000-0000-0000DC2C0000}"/>
    <cellStyle name="Normal 2 54 8 15" xfId="11502" xr:uid="{00000000-0005-0000-0000-0000DD2C0000}"/>
    <cellStyle name="Normal 2 54 8 16" xfId="11503" xr:uid="{00000000-0005-0000-0000-0000DE2C0000}"/>
    <cellStyle name="Normal 2 54 8 2" xfId="11504" xr:uid="{00000000-0005-0000-0000-0000DF2C0000}"/>
    <cellStyle name="Normal 2 54 8 2 2" xfId="11505" xr:uid="{00000000-0005-0000-0000-0000E02C0000}"/>
    <cellStyle name="Normal 2 54 8 2 3" xfId="11506" xr:uid="{00000000-0005-0000-0000-0000E12C0000}"/>
    <cellStyle name="Normal 2 54 8 3" xfId="11507" xr:uid="{00000000-0005-0000-0000-0000E22C0000}"/>
    <cellStyle name="Normal 2 54 8 3 2" xfId="11508" xr:uid="{00000000-0005-0000-0000-0000E32C0000}"/>
    <cellStyle name="Normal 2 54 8 3 3" xfId="11509" xr:uid="{00000000-0005-0000-0000-0000E42C0000}"/>
    <cellStyle name="Normal 2 54 8 4" xfId="11510" xr:uid="{00000000-0005-0000-0000-0000E52C0000}"/>
    <cellStyle name="Normal 2 54 8 4 2" xfId="11511" xr:uid="{00000000-0005-0000-0000-0000E62C0000}"/>
    <cellStyle name="Normal 2 54 8 4 3" xfId="11512" xr:uid="{00000000-0005-0000-0000-0000E72C0000}"/>
    <cellStyle name="Normal 2 54 8 5" xfId="11513" xr:uid="{00000000-0005-0000-0000-0000E82C0000}"/>
    <cellStyle name="Normal 2 54 8 5 2" xfId="11514" xr:uid="{00000000-0005-0000-0000-0000E92C0000}"/>
    <cellStyle name="Normal 2 54 8 5 3" xfId="11515" xr:uid="{00000000-0005-0000-0000-0000EA2C0000}"/>
    <cellStyle name="Normal 2 54 8 6" xfId="11516" xr:uid="{00000000-0005-0000-0000-0000EB2C0000}"/>
    <cellStyle name="Normal 2 54 8 6 2" xfId="11517" xr:uid="{00000000-0005-0000-0000-0000EC2C0000}"/>
    <cellStyle name="Normal 2 54 8 6 3" xfId="11518" xr:uid="{00000000-0005-0000-0000-0000ED2C0000}"/>
    <cellStyle name="Normal 2 54 8 7" xfId="11519" xr:uid="{00000000-0005-0000-0000-0000EE2C0000}"/>
    <cellStyle name="Normal 2 54 8 7 2" xfId="11520" xr:uid="{00000000-0005-0000-0000-0000EF2C0000}"/>
    <cellStyle name="Normal 2 54 8 7 3" xfId="11521" xr:uid="{00000000-0005-0000-0000-0000F02C0000}"/>
    <cellStyle name="Normal 2 54 8 8" xfId="11522" xr:uid="{00000000-0005-0000-0000-0000F12C0000}"/>
    <cellStyle name="Normal 2 54 8 8 2" xfId="11523" xr:uid="{00000000-0005-0000-0000-0000F22C0000}"/>
    <cellStyle name="Normal 2 54 8 8 3" xfId="11524" xr:uid="{00000000-0005-0000-0000-0000F32C0000}"/>
    <cellStyle name="Normal 2 54 8 9" xfId="11525" xr:uid="{00000000-0005-0000-0000-0000F42C0000}"/>
    <cellStyle name="Normal 2 54 8 9 2" xfId="11526" xr:uid="{00000000-0005-0000-0000-0000F52C0000}"/>
    <cellStyle name="Normal 2 54 8 9 3" xfId="11527" xr:uid="{00000000-0005-0000-0000-0000F62C0000}"/>
    <cellStyle name="Normal 2 54 9" xfId="11528" xr:uid="{00000000-0005-0000-0000-0000F72C0000}"/>
    <cellStyle name="Normal 2 54 9 10" xfId="11529" xr:uid="{00000000-0005-0000-0000-0000F82C0000}"/>
    <cellStyle name="Normal 2 54 9 10 2" xfId="11530" xr:uid="{00000000-0005-0000-0000-0000F92C0000}"/>
    <cellStyle name="Normal 2 54 9 10 3" xfId="11531" xr:uid="{00000000-0005-0000-0000-0000FA2C0000}"/>
    <cellStyle name="Normal 2 54 9 11" xfId="11532" xr:uid="{00000000-0005-0000-0000-0000FB2C0000}"/>
    <cellStyle name="Normal 2 54 9 11 2" xfId="11533" xr:uid="{00000000-0005-0000-0000-0000FC2C0000}"/>
    <cellStyle name="Normal 2 54 9 11 3" xfId="11534" xr:uid="{00000000-0005-0000-0000-0000FD2C0000}"/>
    <cellStyle name="Normal 2 54 9 12" xfId="11535" xr:uid="{00000000-0005-0000-0000-0000FE2C0000}"/>
    <cellStyle name="Normal 2 54 9 12 2" xfId="11536" xr:uid="{00000000-0005-0000-0000-0000FF2C0000}"/>
    <cellStyle name="Normal 2 54 9 12 3" xfId="11537" xr:uid="{00000000-0005-0000-0000-0000002D0000}"/>
    <cellStyle name="Normal 2 54 9 13" xfId="11538" xr:uid="{00000000-0005-0000-0000-0000012D0000}"/>
    <cellStyle name="Normal 2 54 9 13 2" xfId="11539" xr:uid="{00000000-0005-0000-0000-0000022D0000}"/>
    <cellStyle name="Normal 2 54 9 13 3" xfId="11540" xr:uid="{00000000-0005-0000-0000-0000032D0000}"/>
    <cellStyle name="Normal 2 54 9 14" xfId="11541" xr:uid="{00000000-0005-0000-0000-0000042D0000}"/>
    <cellStyle name="Normal 2 54 9 14 2" xfId="11542" xr:uid="{00000000-0005-0000-0000-0000052D0000}"/>
    <cellStyle name="Normal 2 54 9 14 3" xfId="11543" xr:uid="{00000000-0005-0000-0000-0000062D0000}"/>
    <cellStyle name="Normal 2 54 9 15" xfId="11544" xr:uid="{00000000-0005-0000-0000-0000072D0000}"/>
    <cellStyle name="Normal 2 54 9 16" xfId="11545" xr:uid="{00000000-0005-0000-0000-0000082D0000}"/>
    <cellStyle name="Normal 2 54 9 2" xfId="11546" xr:uid="{00000000-0005-0000-0000-0000092D0000}"/>
    <cellStyle name="Normal 2 54 9 2 2" xfId="11547" xr:uid="{00000000-0005-0000-0000-00000A2D0000}"/>
    <cellStyle name="Normal 2 54 9 2 3" xfId="11548" xr:uid="{00000000-0005-0000-0000-00000B2D0000}"/>
    <cellStyle name="Normal 2 54 9 3" xfId="11549" xr:uid="{00000000-0005-0000-0000-00000C2D0000}"/>
    <cellStyle name="Normal 2 54 9 3 2" xfId="11550" xr:uid="{00000000-0005-0000-0000-00000D2D0000}"/>
    <cellStyle name="Normal 2 54 9 3 3" xfId="11551" xr:uid="{00000000-0005-0000-0000-00000E2D0000}"/>
    <cellStyle name="Normal 2 54 9 4" xfId="11552" xr:uid="{00000000-0005-0000-0000-00000F2D0000}"/>
    <cellStyle name="Normal 2 54 9 4 2" xfId="11553" xr:uid="{00000000-0005-0000-0000-0000102D0000}"/>
    <cellStyle name="Normal 2 54 9 4 3" xfId="11554" xr:uid="{00000000-0005-0000-0000-0000112D0000}"/>
    <cellStyle name="Normal 2 54 9 5" xfId="11555" xr:uid="{00000000-0005-0000-0000-0000122D0000}"/>
    <cellStyle name="Normal 2 54 9 5 2" xfId="11556" xr:uid="{00000000-0005-0000-0000-0000132D0000}"/>
    <cellStyle name="Normal 2 54 9 5 3" xfId="11557" xr:uid="{00000000-0005-0000-0000-0000142D0000}"/>
    <cellStyle name="Normal 2 54 9 6" xfId="11558" xr:uid="{00000000-0005-0000-0000-0000152D0000}"/>
    <cellStyle name="Normal 2 54 9 6 2" xfId="11559" xr:uid="{00000000-0005-0000-0000-0000162D0000}"/>
    <cellStyle name="Normal 2 54 9 6 3" xfId="11560" xr:uid="{00000000-0005-0000-0000-0000172D0000}"/>
    <cellStyle name="Normal 2 54 9 7" xfId="11561" xr:uid="{00000000-0005-0000-0000-0000182D0000}"/>
    <cellStyle name="Normal 2 54 9 7 2" xfId="11562" xr:uid="{00000000-0005-0000-0000-0000192D0000}"/>
    <cellStyle name="Normal 2 54 9 7 3" xfId="11563" xr:uid="{00000000-0005-0000-0000-00001A2D0000}"/>
    <cellStyle name="Normal 2 54 9 8" xfId="11564" xr:uid="{00000000-0005-0000-0000-00001B2D0000}"/>
    <cellStyle name="Normal 2 54 9 8 2" xfId="11565" xr:uid="{00000000-0005-0000-0000-00001C2D0000}"/>
    <cellStyle name="Normal 2 54 9 8 3" xfId="11566" xr:uid="{00000000-0005-0000-0000-00001D2D0000}"/>
    <cellStyle name="Normal 2 54 9 9" xfId="11567" xr:uid="{00000000-0005-0000-0000-00001E2D0000}"/>
    <cellStyle name="Normal 2 54 9 9 2" xfId="11568" xr:uid="{00000000-0005-0000-0000-00001F2D0000}"/>
    <cellStyle name="Normal 2 54 9 9 3" xfId="11569" xr:uid="{00000000-0005-0000-0000-0000202D0000}"/>
    <cellStyle name="Normal 2 55" xfId="11570" xr:uid="{00000000-0005-0000-0000-0000212D0000}"/>
    <cellStyle name="Normal 2 55 10" xfId="11571" xr:uid="{00000000-0005-0000-0000-0000222D0000}"/>
    <cellStyle name="Normal 2 55 10 10" xfId="11572" xr:uid="{00000000-0005-0000-0000-0000232D0000}"/>
    <cellStyle name="Normal 2 55 10 10 2" xfId="11573" xr:uid="{00000000-0005-0000-0000-0000242D0000}"/>
    <cellStyle name="Normal 2 55 10 10 3" xfId="11574" xr:uid="{00000000-0005-0000-0000-0000252D0000}"/>
    <cellStyle name="Normal 2 55 10 11" xfId="11575" xr:uid="{00000000-0005-0000-0000-0000262D0000}"/>
    <cellStyle name="Normal 2 55 10 11 2" xfId="11576" xr:uid="{00000000-0005-0000-0000-0000272D0000}"/>
    <cellStyle name="Normal 2 55 10 11 3" xfId="11577" xr:uid="{00000000-0005-0000-0000-0000282D0000}"/>
    <cellStyle name="Normal 2 55 10 12" xfId="11578" xr:uid="{00000000-0005-0000-0000-0000292D0000}"/>
    <cellStyle name="Normal 2 55 10 12 2" xfId="11579" xr:uid="{00000000-0005-0000-0000-00002A2D0000}"/>
    <cellStyle name="Normal 2 55 10 12 3" xfId="11580" xr:uid="{00000000-0005-0000-0000-00002B2D0000}"/>
    <cellStyle name="Normal 2 55 10 13" xfId="11581" xr:uid="{00000000-0005-0000-0000-00002C2D0000}"/>
    <cellStyle name="Normal 2 55 10 13 2" xfId="11582" xr:uid="{00000000-0005-0000-0000-00002D2D0000}"/>
    <cellStyle name="Normal 2 55 10 13 3" xfId="11583" xr:uid="{00000000-0005-0000-0000-00002E2D0000}"/>
    <cellStyle name="Normal 2 55 10 14" xfId="11584" xr:uid="{00000000-0005-0000-0000-00002F2D0000}"/>
    <cellStyle name="Normal 2 55 10 14 2" xfId="11585" xr:uid="{00000000-0005-0000-0000-0000302D0000}"/>
    <cellStyle name="Normal 2 55 10 14 3" xfId="11586" xr:uid="{00000000-0005-0000-0000-0000312D0000}"/>
    <cellStyle name="Normal 2 55 10 15" xfId="11587" xr:uid="{00000000-0005-0000-0000-0000322D0000}"/>
    <cellStyle name="Normal 2 55 10 16" xfId="11588" xr:uid="{00000000-0005-0000-0000-0000332D0000}"/>
    <cellStyle name="Normal 2 55 10 2" xfId="11589" xr:uid="{00000000-0005-0000-0000-0000342D0000}"/>
    <cellStyle name="Normal 2 55 10 2 2" xfId="11590" xr:uid="{00000000-0005-0000-0000-0000352D0000}"/>
    <cellStyle name="Normal 2 55 10 2 3" xfId="11591" xr:uid="{00000000-0005-0000-0000-0000362D0000}"/>
    <cellStyle name="Normal 2 55 10 3" xfId="11592" xr:uid="{00000000-0005-0000-0000-0000372D0000}"/>
    <cellStyle name="Normal 2 55 10 3 2" xfId="11593" xr:uid="{00000000-0005-0000-0000-0000382D0000}"/>
    <cellStyle name="Normal 2 55 10 3 3" xfId="11594" xr:uid="{00000000-0005-0000-0000-0000392D0000}"/>
    <cellStyle name="Normal 2 55 10 4" xfId="11595" xr:uid="{00000000-0005-0000-0000-00003A2D0000}"/>
    <cellStyle name="Normal 2 55 10 4 2" xfId="11596" xr:uid="{00000000-0005-0000-0000-00003B2D0000}"/>
    <cellStyle name="Normal 2 55 10 4 3" xfId="11597" xr:uid="{00000000-0005-0000-0000-00003C2D0000}"/>
    <cellStyle name="Normal 2 55 10 5" xfId="11598" xr:uid="{00000000-0005-0000-0000-00003D2D0000}"/>
    <cellStyle name="Normal 2 55 10 5 2" xfId="11599" xr:uid="{00000000-0005-0000-0000-00003E2D0000}"/>
    <cellStyle name="Normal 2 55 10 5 3" xfId="11600" xr:uid="{00000000-0005-0000-0000-00003F2D0000}"/>
    <cellStyle name="Normal 2 55 10 6" xfId="11601" xr:uid="{00000000-0005-0000-0000-0000402D0000}"/>
    <cellStyle name="Normal 2 55 10 6 2" xfId="11602" xr:uid="{00000000-0005-0000-0000-0000412D0000}"/>
    <cellStyle name="Normal 2 55 10 6 3" xfId="11603" xr:uid="{00000000-0005-0000-0000-0000422D0000}"/>
    <cellStyle name="Normal 2 55 10 7" xfId="11604" xr:uid="{00000000-0005-0000-0000-0000432D0000}"/>
    <cellStyle name="Normal 2 55 10 7 2" xfId="11605" xr:uid="{00000000-0005-0000-0000-0000442D0000}"/>
    <cellStyle name="Normal 2 55 10 7 3" xfId="11606" xr:uid="{00000000-0005-0000-0000-0000452D0000}"/>
    <cellStyle name="Normal 2 55 10 8" xfId="11607" xr:uid="{00000000-0005-0000-0000-0000462D0000}"/>
    <cellStyle name="Normal 2 55 10 8 2" xfId="11608" xr:uid="{00000000-0005-0000-0000-0000472D0000}"/>
    <cellStyle name="Normal 2 55 10 8 3" xfId="11609" xr:uid="{00000000-0005-0000-0000-0000482D0000}"/>
    <cellStyle name="Normal 2 55 10 9" xfId="11610" xr:uid="{00000000-0005-0000-0000-0000492D0000}"/>
    <cellStyle name="Normal 2 55 10 9 2" xfId="11611" xr:uid="{00000000-0005-0000-0000-00004A2D0000}"/>
    <cellStyle name="Normal 2 55 10 9 3" xfId="11612" xr:uid="{00000000-0005-0000-0000-00004B2D0000}"/>
    <cellStyle name="Normal 2 55 11" xfId="11613" xr:uid="{00000000-0005-0000-0000-00004C2D0000}"/>
    <cellStyle name="Normal 2 55 11 2" xfId="11614" xr:uid="{00000000-0005-0000-0000-00004D2D0000}"/>
    <cellStyle name="Normal 2 55 11 3" xfId="11615" xr:uid="{00000000-0005-0000-0000-00004E2D0000}"/>
    <cellStyle name="Normal 2 55 12" xfId="11616" xr:uid="{00000000-0005-0000-0000-00004F2D0000}"/>
    <cellStyle name="Normal 2 55 12 2" xfId="11617" xr:uid="{00000000-0005-0000-0000-0000502D0000}"/>
    <cellStyle name="Normal 2 55 12 3" xfId="11618" xr:uid="{00000000-0005-0000-0000-0000512D0000}"/>
    <cellStyle name="Normal 2 55 13" xfId="11619" xr:uid="{00000000-0005-0000-0000-0000522D0000}"/>
    <cellStyle name="Normal 2 55 13 2" xfId="11620" xr:uid="{00000000-0005-0000-0000-0000532D0000}"/>
    <cellStyle name="Normal 2 55 13 3" xfId="11621" xr:uid="{00000000-0005-0000-0000-0000542D0000}"/>
    <cellStyle name="Normal 2 55 14" xfId="11622" xr:uid="{00000000-0005-0000-0000-0000552D0000}"/>
    <cellStyle name="Normal 2 55 14 2" xfId="11623" xr:uid="{00000000-0005-0000-0000-0000562D0000}"/>
    <cellStyle name="Normal 2 55 14 3" xfId="11624" xr:uid="{00000000-0005-0000-0000-0000572D0000}"/>
    <cellStyle name="Normal 2 55 15" xfId="11625" xr:uid="{00000000-0005-0000-0000-0000582D0000}"/>
    <cellStyle name="Normal 2 55 15 2" xfId="11626" xr:uid="{00000000-0005-0000-0000-0000592D0000}"/>
    <cellStyle name="Normal 2 55 15 3" xfId="11627" xr:uid="{00000000-0005-0000-0000-00005A2D0000}"/>
    <cellStyle name="Normal 2 55 16" xfId="11628" xr:uid="{00000000-0005-0000-0000-00005B2D0000}"/>
    <cellStyle name="Normal 2 55 16 2" xfId="11629" xr:uid="{00000000-0005-0000-0000-00005C2D0000}"/>
    <cellStyle name="Normal 2 55 16 3" xfId="11630" xr:uid="{00000000-0005-0000-0000-00005D2D0000}"/>
    <cellStyle name="Normal 2 55 17" xfId="11631" xr:uid="{00000000-0005-0000-0000-00005E2D0000}"/>
    <cellStyle name="Normal 2 55 17 2" xfId="11632" xr:uid="{00000000-0005-0000-0000-00005F2D0000}"/>
    <cellStyle name="Normal 2 55 17 3" xfId="11633" xr:uid="{00000000-0005-0000-0000-0000602D0000}"/>
    <cellStyle name="Normal 2 55 18" xfId="11634" xr:uid="{00000000-0005-0000-0000-0000612D0000}"/>
    <cellStyle name="Normal 2 55 18 2" xfId="11635" xr:uid="{00000000-0005-0000-0000-0000622D0000}"/>
    <cellStyle name="Normal 2 55 18 3" xfId="11636" xr:uid="{00000000-0005-0000-0000-0000632D0000}"/>
    <cellStyle name="Normal 2 55 19" xfId="11637" xr:uid="{00000000-0005-0000-0000-0000642D0000}"/>
    <cellStyle name="Normal 2 55 19 2" xfId="11638" xr:uid="{00000000-0005-0000-0000-0000652D0000}"/>
    <cellStyle name="Normal 2 55 19 3" xfId="11639" xr:uid="{00000000-0005-0000-0000-0000662D0000}"/>
    <cellStyle name="Normal 2 55 2" xfId="11640" xr:uid="{00000000-0005-0000-0000-0000672D0000}"/>
    <cellStyle name="Normal 2 55 2 10" xfId="11641" xr:uid="{00000000-0005-0000-0000-0000682D0000}"/>
    <cellStyle name="Normal 2 55 2 10 2" xfId="11642" xr:uid="{00000000-0005-0000-0000-0000692D0000}"/>
    <cellStyle name="Normal 2 55 2 10 3" xfId="11643" xr:uid="{00000000-0005-0000-0000-00006A2D0000}"/>
    <cellStyle name="Normal 2 55 2 11" xfId="11644" xr:uid="{00000000-0005-0000-0000-00006B2D0000}"/>
    <cellStyle name="Normal 2 55 2 11 2" xfId="11645" xr:uid="{00000000-0005-0000-0000-00006C2D0000}"/>
    <cellStyle name="Normal 2 55 2 11 3" xfId="11646" xr:uid="{00000000-0005-0000-0000-00006D2D0000}"/>
    <cellStyle name="Normal 2 55 2 12" xfId="11647" xr:uid="{00000000-0005-0000-0000-00006E2D0000}"/>
    <cellStyle name="Normal 2 55 2 12 2" xfId="11648" xr:uid="{00000000-0005-0000-0000-00006F2D0000}"/>
    <cellStyle name="Normal 2 55 2 12 3" xfId="11649" xr:uid="{00000000-0005-0000-0000-0000702D0000}"/>
    <cellStyle name="Normal 2 55 2 13" xfId="11650" xr:uid="{00000000-0005-0000-0000-0000712D0000}"/>
    <cellStyle name="Normal 2 55 2 13 2" xfId="11651" xr:uid="{00000000-0005-0000-0000-0000722D0000}"/>
    <cellStyle name="Normal 2 55 2 13 3" xfId="11652" xr:uid="{00000000-0005-0000-0000-0000732D0000}"/>
    <cellStyle name="Normal 2 55 2 14" xfId="11653" xr:uid="{00000000-0005-0000-0000-0000742D0000}"/>
    <cellStyle name="Normal 2 55 2 14 2" xfId="11654" xr:uid="{00000000-0005-0000-0000-0000752D0000}"/>
    <cellStyle name="Normal 2 55 2 14 3" xfId="11655" xr:uid="{00000000-0005-0000-0000-0000762D0000}"/>
    <cellStyle name="Normal 2 55 2 15" xfId="11656" xr:uid="{00000000-0005-0000-0000-0000772D0000}"/>
    <cellStyle name="Normal 2 55 2 15 2" xfId="11657" xr:uid="{00000000-0005-0000-0000-0000782D0000}"/>
    <cellStyle name="Normal 2 55 2 15 3" xfId="11658" xr:uid="{00000000-0005-0000-0000-0000792D0000}"/>
    <cellStyle name="Normal 2 55 2 16" xfId="11659" xr:uid="{00000000-0005-0000-0000-00007A2D0000}"/>
    <cellStyle name="Normal 2 55 2 17" xfId="11660" xr:uid="{00000000-0005-0000-0000-00007B2D0000}"/>
    <cellStyle name="Normal 2 55 2 2" xfId="11661" xr:uid="{00000000-0005-0000-0000-00007C2D0000}"/>
    <cellStyle name="Normal 2 55 2 2 10" xfId="11662" xr:uid="{00000000-0005-0000-0000-00007D2D0000}"/>
    <cellStyle name="Normal 2 55 2 2 10 2" xfId="11663" xr:uid="{00000000-0005-0000-0000-00007E2D0000}"/>
    <cellStyle name="Normal 2 55 2 2 10 3" xfId="11664" xr:uid="{00000000-0005-0000-0000-00007F2D0000}"/>
    <cellStyle name="Normal 2 55 2 2 11" xfId="11665" xr:uid="{00000000-0005-0000-0000-0000802D0000}"/>
    <cellStyle name="Normal 2 55 2 2 11 2" xfId="11666" xr:uid="{00000000-0005-0000-0000-0000812D0000}"/>
    <cellStyle name="Normal 2 55 2 2 11 3" xfId="11667" xr:uid="{00000000-0005-0000-0000-0000822D0000}"/>
    <cellStyle name="Normal 2 55 2 2 12" xfId="11668" xr:uid="{00000000-0005-0000-0000-0000832D0000}"/>
    <cellStyle name="Normal 2 55 2 2 12 2" xfId="11669" xr:uid="{00000000-0005-0000-0000-0000842D0000}"/>
    <cellStyle name="Normal 2 55 2 2 12 3" xfId="11670" xr:uid="{00000000-0005-0000-0000-0000852D0000}"/>
    <cellStyle name="Normal 2 55 2 2 13" xfId="11671" xr:uid="{00000000-0005-0000-0000-0000862D0000}"/>
    <cellStyle name="Normal 2 55 2 2 13 2" xfId="11672" xr:uid="{00000000-0005-0000-0000-0000872D0000}"/>
    <cellStyle name="Normal 2 55 2 2 13 3" xfId="11673" xr:uid="{00000000-0005-0000-0000-0000882D0000}"/>
    <cellStyle name="Normal 2 55 2 2 14" xfId="11674" xr:uid="{00000000-0005-0000-0000-0000892D0000}"/>
    <cellStyle name="Normal 2 55 2 2 14 2" xfId="11675" xr:uid="{00000000-0005-0000-0000-00008A2D0000}"/>
    <cellStyle name="Normal 2 55 2 2 14 3" xfId="11676" xr:uid="{00000000-0005-0000-0000-00008B2D0000}"/>
    <cellStyle name="Normal 2 55 2 2 15" xfId="11677" xr:uid="{00000000-0005-0000-0000-00008C2D0000}"/>
    <cellStyle name="Normal 2 55 2 2 16" xfId="11678" xr:uid="{00000000-0005-0000-0000-00008D2D0000}"/>
    <cellStyle name="Normal 2 55 2 2 2" xfId="11679" xr:uid="{00000000-0005-0000-0000-00008E2D0000}"/>
    <cellStyle name="Normal 2 55 2 2 2 2" xfId="11680" xr:uid="{00000000-0005-0000-0000-00008F2D0000}"/>
    <cellStyle name="Normal 2 55 2 2 2 3" xfId="11681" xr:uid="{00000000-0005-0000-0000-0000902D0000}"/>
    <cellStyle name="Normal 2 55 2 2 3" xfId="11682" xr:uid="{00000000-0005-0000-0000-0000912D0000}"/>
    <cellStyle name="Normal 2 55 2 2 3 2" xfId="11683" xr:uid="{00000000-0005-0000-0000-0000922D0000}"/>
    <cellStyle name="Normal 2 55 2 2 3 3" xfId="11684" xr:uid="{00000000-0005-0000-0000-0000932D0000}"/>
    <cellStyle name="Normal 2 55 2 2 4" xfId="11685" xr:uid="{00000000-0005-0000-0000-0000942D0000}"/>
    <cellStyle name="Normal 2 55 2 2 4 2" xfId="11686" xr:uid="{00000000-0005-0000-0000-0000952D0000}"/>
    <cellStyle name="Normal 2 55 2 2 4 3" xfId="11687" xr:uid="{00000000-0005-0000-0000-0000962D0000}"/>
    <cellStyle name="Normal 2 55 2 2 5" xfId="11688" xr:uid="{00000000-0005-0000-0000-0000972D0000}"/>
    <cellStyle name="Normal 2 55 2 2 5 2" xfId="11689" xr:uid="{00000000-0005-0000-0000-0000982D0000}"/>
    <cellStyle name="Normal 2 55 2 2 5 3" xfId="11690" xr:uid="{00000000-0005-0000-0000-0000992D0000}"/>
    <cellStyle name="Normal 2 55 2 2 6" xfId="11691" xr:uid="{00000000-0005-0000-0000-00009A2D0000}"/>
    <cellStyle name="Normal 2 55 2 2 6 2" xfId="11692" xr:uid="{00000000-0005-0000-0000-00009B2D0000}"/>
    <cellStyle name="Normal 2 55 2 2 6 3" xfId="11693" xr:uid="{00000000-0005-0000-0000-00009C2D0000}"/>
    <cellStyle name="Normal 2 55 2 2 7" xfId="11694" xr:uid="{00000000-0005-0000-0000-00009D2D0000}"/>
    <cellStyle name="Normal 2 55 2 2 7 2" xfId="11695" xr:uid="{00000000-0005-0000-0000-00009E2D0000}"/>
    <cellStyle name="Normal 2 55 2 2 7 3" xfId="11696" xr:uid="{00000000-0005-0000-0000-00009F2D0000}"/>
    <cellStyle name="Normal 2 55 2 2 8" xfId="11697" xr:uid="{00000000-0005-0000-0000-0000A02D0000}"/>
    <cellStyle name="Normal 2 55 2 2 8 2" xfId="11698" xr:uid="{00000000-0005-0000-0000-0000A12D0000}"/>
    <cellStyle name="Normal 2 55 2 2 8 3" xfId="11699" xr:uid="{00000000-0005-0000-0000-0000A22D0000}"/>
    <cellStyle name="Normal 2 55 2 2 9" xfId="11700" xr:uid="{00000000-0005-0000-0000-0000A32D0000}"/>
    <cellStyle name="Normal 2 55 2 2 9 2" xfId="11701" xr:uid="{00000000-0005-0000-0000-0000A42D0000}"/>
    <cellStyle name="Normal 2 55 2 2 9 3" xfId="11702" xr:uid="{00000000-0005-0000-0000-0000A52D0000}"/>
    <cellStyle name="Normal 2 55 2 3" xfId="11703" xr:uid="{00000000-0005-0000-0000-0000A62D0000}"/>
    <cellStyle name="Normal 2 55 2 3 2" xfId="11704" xr:uid="{00000000-0005-0000-0000-0000A72D0000}"/>
    <cellStyle name="Normal 2 55 2 3 3" xfId="11705" xr:uid="{00000000-0005-0000-0000-0000A82D0000}"/>
    <cellStyle name="Normal 2 55 2 4" xfId="11706" xr:uid="{00000000-0005-0000-0000-0000A92D0000}"/>
    <cellStyle name="Normal 2 55 2 4 2" xfId="11707" xr:uid="{00000000-0005-0000-0000-0000AA2D0000}"/>
    <cellStyle name="Normal 2 55 2 4 3" xfId="11708" xr:uid="{00000000-0005-0000-0000-0000AB2D0000}"/>
    <cellStyle name="Normal 2 55 2 5" xfId="11709" xr:uid="{00000000-0005-0000-0000-0000AC2D0000}"/>
    <cellStyle name="Normal 2 55 2 5 2" xfId="11710" xr:uid="{00000000-0005-0000-0000-0000AD2D0000}"/>
    <cellStyle name="Normal 2 55 2 5 3" xfId="11711" xr:uid="{00000000-0005-0000-0000-0000AE2D0000}"/>
    <cellStyle name="Normal 2 55 2 6" xfId="11712" xr:uid="{00000000-0005-0000-0000-0000AF2D0000}"/>
    <cellStyle name="Normal 2 55 2 6 2" xfId="11713" xr:uid="{00000000-0005-0000-0000-0000B02D0000}"/>
    <cellStyle name="Normal 2 55 2 6 3" xfId="11714" xr:uid="{00000000-0005-0000-0000-0000B12D0000}"/>
    <cellStyle name="Normal 2 55 2 7" xfId="11715" xr:uid="{00000000-0005-0000-0000-0000B22D0000}"/>
    <cellStyle name="Normal 2 55 2 7 2" xfId="11716" xr:uid="{00000000-0005-0000-0000-0000B32D0000}"/>
    <cellStyle name="Normal 2 55 2 7 3" xfId="11717" xr:uid="{00000000-0005-0000-0000-0000B42D0000}"/>
    <cellStyle name="Normal 2 55 2 8" xfId="11718" xr:uid="{00000000-0005-0000-0000-0000B52D0000}"/>
    <cellStyle name="Normal 2 55 2 8 2" xfId="11719" xr:uid="{00000000-0005-0000-0000-0000B62D0000}"/>
    <cellStyle name="Normal 2 55 2 8 3" xfId="11720" xr:uid="{00000000-0005-0000-0000-0000B72D0000}"/>
    <cellStyle name="Normal 2 55 2 9" xfId="11721" xr:uid="{00000000-0005-0000-0000-0000B82D0000}"/>
    <cellStyle name="Normal 2 55 2 9 2" xfId="11722" xr:uid="{00000000-0005-0000-0000-0000B92D0000}"/>
    <cellStyle name="Normal 2 55 2 9 3" xfId="11723" xr:uid="{00000000-0005-0000-0000-0000BA2D0000}"/>
    <cellStyle name="Normal 2 55 20" xfId="11724" xr:uid="{00000000-0005-0000-0000-0000BB2D0000}"/>
    <cellStyle name="Normal 2 55 20 2" xfId="11725" xr:uid="{00000000-0005-0000-0000-0000BC2D0000}"/>
    <cellStyle name="Normal 2 55 20 3" xfId="11726" xr:uid="{00000000-0005-0000-0000-0000BD2D0000}"/>
    <cellStyle name="Normal 2 55 21" xfId="11727" xr:uid="{00000000-0005-0000-0000-0000BE2D0000}"/>
    <cellStyle name="Normal 2 55 21 2" xfId="11728" xr:uid="{00000000-0005-0000-0000-0000BF2D0000}"/>
    <cellStyle name="Normal 2 55 21 3" xfId="11729" xr:uid="{00000000-0005-0000-0000-0000C02D0000}"/>
    <cellStyle name="Normal 2 55 22" xfId="11730" xr:uid="{00000000-0005-0000-0000-0000C12D0000}"/>
    <cellStyle name="Normal 2 55 22 2" xfId="11731" xr:uid="{00000000-0005-0000-0000-0000C22D0000}"/>
    <cellStyle name="Normal 2 55 22 3" xfId="11732" xr:uid="{00000000-0005-0000-0000-0000C32D0000}"/>
    <cellStyle name="Normal 2 55 23" xfId="11733" xr:uid="{00000000-0005-0000-0000-0000C42D0000}"/>
    <cellStyle name="Normal 2 55 23 2" xfId="11734" xr:uid="{00000000-0005-0000-0000-0000C52D0000}"/>
    <cellStyle name="Normal 2 55 23 3" xfId="11735" xr:uid="{00000000-0005-0000-0000-0000C62D0000}"/>
    <cellStyle name="Normal 2 55 24" xfId="11736" xr:uid="{00000000-0005-0000-0000-0000C72D0000}"/>
    <cellStyle name="Normal 2 55 25" xfId="11737" xr:uid="{00000000-0005-0000-0000-0000C82D0000}"/>
    <cellStyle name="Normal 2 55 3" xfId="11738" xr:uid="{00000000-0005-0000-0000-0000C92D0000}"/>
    <cellStyle name="Normal 2 55 3 10" xfId="11739" xr:uid="{00000000-0005-0000-0000-0000CA2D0000}"/>
    <cellStyle name="Normal 2 55 3 10 2" xfId="11740" xr:uid="{00000000-0005-0000-0000-0000CB2D0000}"/>
    <cellStyle name="Normal 2 55 3 10 3" xfId="11741" xr:uid="{00000000-0005-0000-0000-0000CC2D0000}"/>
    <cellStyle name="Normal 2 55 3 11" xfId="11742" xr:uid="{00000000-0005-0000-0000-0000CD2D0000}"/>
    <cellStyle name="Normal 2 55 3 11 2" xfId="11743" xr:uid="{00000000-0005-0000-0000-0000CE2D0000}"/>
    <cellStyle name="Normal 2 55 3 11 3" xfId="11744" xr:uid="{00000000-0005-0000-0000-0000CF2D0000}"/>
    <cellStyle name="Normal 2 55 3 12" xfId="11745" xr:uid="{00000000-0005-0000-0000-0000D02D0000}"/>
    <cellStyle name="Normal 2 55 3 12 2" xfId="11746" xr:uid="{00000000-0005-0000-0000-0000D12D0000}"/>
    <cellStyle name="Normal 2 55 3 12 3" xfId="11747" xr:uid="{00000000-0005-0000-0000-0000D22D0000}"/>
    <cellStyle name="Normal 2 55 3 13" xfId="11748" xr:uid="{00000000-0005-0000-0000-0000D32D0000}"/>
    <cellStyle name="Normal 2 55 3 13 2" xfId="11749" xr:uid="{00000000-0005-0000-0000-0000D42D0000}"/>
    <cellStyle name="Normal 2 55 3 13 3" xfId="11750" xr:uid="{00000000-0005-0000-0000-0000D52D0000}"/>
    <cellStyle name="Normal 2 55 3 14" xfId="11751" xr:uid="{00000000-0005-0000-0000-0000D62D0000}"/>
    <cellStyle name="Normal 2 55 3 14 2" xfId="11752" xr:uid="{00000000-0005-0000-0000-0000D72D0000}"/>
    <cellStyle name="Normal 2 55 3 14 3" xfId="11753" xr:uid="{00000000-0005-0000-0000-0000D82D0000}"/>
    <cellStyle name="Normal 2 55 3 15" xfId="11754" xr:uid="{00000000-0005-0000-0000-0000D92D0000}"/>
    <cellStyle name="Normal 2 55 3 15 2" xfId="11755" xr:uid="{00000000-0005-0000-0000-0000DA2D0000}"/>
    <cellStyle name="Normal 2 55 3 15 3" xfId="11756" xr:uid="{00000000-0005-0000-0000-0000DB2D0000}"/>
    <cellStyle name="Normal 2 55 3 16" xfId="11757" xr:uid="{00000000-0005-0000-0000-0000DC2D0000}"/>
    <cellStyle name="Normal 2 55 3 17" xfId="11758" xr:uid="{00000000-0005-0000-0000-0000DD2D0000}"/>
    <cellStyle name="Normal 2 55 3 2" xfId="11759" xr:uid="{00000000-0005-0000-0000-0000DE2D0000}"/>
    <cellStyle name="Normal 2 55 3 2 10" xfId="11760" xr:uid="{00000000-0005-0000-0000-0000DF2D0000}"/>
    <cellStyle name="Normal 2 55 3 2 10 2" xfId="11761" xr:uid="{00000000-0005-0000-0000-0000E02D0000}"/>
    <cellStyle name="Normal 2 55 3 2 10 3" xfId="11762" xr:uid="{00000000-0005-0000-0000-0000E12D0000}"/>
    <cellStyle name="Normal 2 55 3 2 11" xfId="11763" xr:uid="{00000000-0005-0000-0000-0000E22D0000}"/>
    <cellStyle name="Normal 2 55 3 2 11 2" xfId="11764" xr:uid="{00000000-0005-0000-0000-0000E32D0000}"/>
    <cellStyle name="Normal 2 55 3 2 11 3" xfId="11765" xr:uid="{00000000-0005-0000-0000-0000E42D0000}"/>
    <cellStyle name="Normal 2 55 3 2 12" xfId="11766" xr:uid="{00000000-0005-0000-0000-0000E52D0000}"/>
    <cellStyle name="Normal 2 55 3 2 12 2" xfId="11767" xr:uid="{00000000-0005-0000-0000-0000E62D0000}"/>
    <cellStyle name="Normal 2 55 3 2 12 3" xfId="11768" xr:uid="{00000000-0005-0000-0000-0000E72D0000}"/>
    <cellStyle name="Normal 2 55 3 2 13" xfId="11769" xr:uid="{00000000-0005-0000-0000-0000E82D0000}"/>
    <cellStyle name="Normal 2 55 3 2 13 2" xfId="11770" xr:uid="{00000000-0005-0000-0000-0000E92D0000}"/>
    <cellStyle name="Normal 2 55 3 2 13 3" xfId="11771" xr:uid="{00000000-0005-0000-0000-0000EA2D0000}"/>
    <cellStyle name="Normal 2 55 3 2 14" xfId="11772" xr:uid="{00000000-0005-0000-0000-0000EB2D0000}"/>
    <cellStyle name="Normal 2 55 3 2 14 2" xfId="11773" xr:uid="{00000000-0005-0000-0000-0000EC2D0000}"/>
    <cellStyle name="Normal 2 55 3 2 14 3" xfId="11774" xr:uid="{00000000-0005-0000-0000-0000ED2D0000}"/>
    <cellStyle name="Normal 2 55 3 2 15" xfId="11775" xr:uid="{00000000-0005-0000-0000-0000EE2D0000}"/>
    <cellStyle name="Normal 2 55 3 2 16" xfId="11776" xr:uid="{00000000-0005-0000-0000-0000EF2D0000}"/>
    <cellStyle name="Normal 2 55 3 2 2" xfId="11777" xr:uid="{00000000-0005-0000-0000-0000F02D0000}"/>
    <cellStyle name="Normal 2 55 3 2 2 2" xfId="11778" xr:uid="{00000000-0005-0000-0000-0000F12D0000}"/>
    <cellStyle name="Normal 2 55 3 2 2 3" xfId="11779" xr:uid="{00000000-0005-0000-0000-0000F22D0000}"/>
    <cellStyle name="Normal 2 55 3 2 3" xfId="11780" xr:uid="{00000000-0005-0000-0000-0000F32D0000}"/>
    <cellStyle name="Normal 2 55 3 2 3 2" xfId="11781" xr:uid="{00000000-0005-0000-0000-0000F42D0000}"/>
    <cellStyle name="Normal 2 55 3 2 3 3" xfId="11782" xr:uid="{00000000-0005-0000-0000-0000F52D0000}"/>
    <cellStyle name="Normal 2 55 3 2 4" xfId="11783" xr:uid="{00000000-0005-0000-0000-0000F62D0000}"/>
    <cellStyle name="Normal 2 55 3 2 4 2" xfId="11784" xr:uid="{00000000-0005-0000-0000-0000F72D0000}"/>
    <cellStyle name="Normal 2 55 3 2 4 3" xfId="11785" xr:uid="{00000000-0005-0000-0000-0000F82D0000}"/>
    <cellStyle name="Normal 2 55 3 2 5" xfId="11786" xr:uid="{00000000-0005-0000-0000-0000F92D0000}"/>
    <cellStyle name="Normal 2 55 3 2 5 2" xfId="11787" xr:uid="{00000000-0005-0000-0000-0000FA2D0000}"/>
    <cellStyle name="Normal 2 55 3 2 5 3" xfId="11788" xr:uid="{00000000-0005-0000-0000-0000FB2D0000}"/>
    <cellStyle name="Normal 2 55 3 2 6" xfId="11789" xr:uid="{00000000-0005-0000-0000-0000FC2D0000}"/>
    <cellStyle name="Normal 2 55 3 2 6 2" xfId="11790" xr:uid="{00000000-0005-0000-0000-0000FD2D0000}"/>
    <cellStyle name="Normal 2 55 3 2 6 3" xfId="11791" xr:uid="{00000000-0005-0000-0000-0000FE2D0000}"/>
    <cellStyle name="Normal 2 55 3 2 7" xfId="11792" xr:uid="{00000000-0005-0000-0000-0000FF2D0000}"/>
    <cellStyle name="Normal 2 55 3 2 7 2" xfId="11793" xr:uid="{00000000-0005-0000-0000-0000002E0000}"/>
    <cellStyle name="Normal 2 55 3 2 7 3" xfId="11794" xr:uid="{00000000-0005-0000-0000-0000012E0000}"/>
    <cellStyle name="Normal 2 55 3 2 8" xfId="11795" xr:uid="{00000000-0005-0000-0000-0000022E0000}"/>
    <cellStyle name="Normal 2 55 3 2 8 2" xfId="11796" xr:uid="{00000000-0005-0000-0000-0000032E0000}"/>
    <cellStyle name="Normal 2 55 3 2 8 3" xfId="11797" xr:uid="{00000000-0005-0000-0000-0000042E0000}"/>
    <cellStyle name="Normal 2 55 3 2 9" xfId="11798" xr:uid="{00000000-0005-0000-0000-0000052E0000}"/>
    <cellStyle name="Normal 2 55 3 2 9 2" xfId="11799" xr:uid="{00000000-0005-0000-0000-0000062E0000}"/>
    <cellStyle name="Normal 2 55 3 2 9 3" xfId="11800" xr:uid="{00000000-0005-0000-0000-0000072E0000}"/>
    <cellStyle name="Normal 2 55 3 3" xfId="11801" xr:uid="{00000000-0005-0000-0000-0000082E0000}"/>
    <cellStyle name="Normal 2 55 3 3 2" xfId="11802" xr:uid="{00000000-0005-0000-0000-0000092E0000}"/>
    <cellStyle name="Normal 2 55 3 3 3" xfId="11803" xr:uid="{00000000-0005-0000-0000-00000A2E0000}"/>
    <cellStyle name="Normal 2 55 3 4" xfId="11804" xr:uid="{00000000-0005-0000-0000-00000B2E0000}"/>
    <cellStyle name="Normal 2 55 3 4 2" xfId="11805" xr:uid="{00000000-0005-0000-0000-00000C2E0000}"/>
    <cellStyle name="Normal 2 55 3 4 3" xfId="11806" xr:uid="{00000000-0005-0000-0000-00000D2E0000}"/>
    <cellStyle name="Normal 2 55 3 5" xfId="11807" xr:uid="{00000000-0005-0000-0000-00000E2E0000}"/>
    <cellStyle name="Normal 2 55 3 5 2" xfId="11808" xr:uid="{00000000-0005-0000-0000-00000F2E0000}"/>
    <cellStyle name="Normal 2 55 3 5 3" xfId="11809" xr:uid="{00000000-0005-0000-0000-0000102E0000}"/>
    <cellStyle name="Normal 2 55 3 6" xfId="11810" xr:uid="{00000000-0005-0000-0000-0000112E0000}"/>
    <cellStyle name="Normal 2 55 3 6 2" xfId="11811" xr:uid="{00000000-0005-0000-0000-0000122E0000}"/>
    <cellStyle name="Normal 2 55 3 6 3" xfId="11812" xr:uid="{00000000-0005-0000-0000-0000132E0000}"/>
    <cellStyle name="Normal 2 55 3 7" xfId="11813" xr:uid="{00000000-0005-0000-0000-0000142E0000}"/>
    <cellStyle name="Normal 2 55 3 7 2" xfId="11814" xr:uid="{00000000-0005-0000-0000-0000152E0000}"/>
    <cellStyle name="Normal 2 55 3 7 3" xfId="11815" xr:uid="{00000000-0005-0000-0000-0000162E0000}"/>
    <cellStyle name="Normal 2 55 3 8" xfId="11816" xr:uid="{00000000-0005-0000-0000-0000172E0000}"/>
    <cellStyle name="Normal 2 55 3 8 2" xfId="11817" xr:uid="{00000000-0005-0000-0000-0000182E0000}"/>
    <cellStyle name="Normal 2 55 3 8 3" xfId="11818" xr:uid="{00000000-0005-0000-0000-0000192E0000}"/>
    <cellStyle name="Normal 2 55 3 9" xfId="11819" xr:uid="{00000000-0005-0000-0000-00001A2E0000}"/>
    <cellStyle name="Normal 2 55 3 9 2" xfId="11820" xr:uid="{00000000-0005-0000-0000-00001B2E0000}"/>
    <cellStyle name="Normal 2 55 3 9 3" xfId="11821" xr:uid="{00000000-0005-0000-0000-00001C2E0000}"/>
    <cellStyle name="Normal 2 55 4" xfId="11822" xr:uid="{00000000-0005-0000-0000-00001D2E0000}"/>
    <cellStyle name="Normal 2 55 4 10" xfId="11823" xr:uid="{00000000-0005-0000-0000-00001E2E0000}"/>
    <cellStyle name="Normal 2 55 4 10 2" xfId="11824" xr:uid="{00000000-0005-0000-0000-00001F2E0000}"/>
    <cellStyle name="Normal 2 55 4 10 3" xfId="11825" xr:uid="{00000000-0005-0000-0000-0000202E0000}"/>
    <cellStyle name="Normal 2 55 4 11" xfId="11826" xr:uid="{00000000-0005-0000-0000-0000212E0000}"/>
    <cellStyle name="Normal 2 55 4 11 2" xfId="11827" xr:uid="{00000000-0005-0000-0000-0000222E0000}"/>
    <cellStyle name="Normal 2 55 4 11 3" xfId="11828" xr:uid="{00000000-0005-0000-0000-0000232E0000}"/>
    <cellStyle name="Normal 2 55 4 12" xfId="11829" xr:uid="{00000000-0005-0000-0000-0000242E0000}"/>
    <cellStyle name="Normal 2 55 4 12 2" xfId="11830" xr:uid="{00000000-0005-0000-0000-0000252E0000}"/>
    <cellStyle name="Normal 2 55 4 12 3" xfId="11831" xr:uid="{00000000-0005-0000-0000-0000262E0000}"/>
    <cellStyle name="Normal 2 55 4 13" xfId="11832" xr:uid="{00000000-0005-0000-0000-0000272E0000}"/>
    <cellStyle name="Normal 2 55 4 13 2" xfId="11833" xr:uid="{00000000-0005-0000-0000-0000282E0000}"/>
    <cellStyle name="Normal 2 55 4 13 3" xfId="11834" xr:uid="{00000000-0005-0000-0000-0000292E0000}"/>
    <cellStyle name="Normal 2 55 4 14" xfId="11835" xr:uid="{00000000-0005-0000-0000-00002A2E0000}"/>
    <cellStyle name="Normal 2 55 4 14 2" xfId="11836" xr:uid="{00000000-0005-0000-0000-00002B2E0000}"/>
    <cellStyle name="Normal 2 55 4 14 3" xfId="11837" xr:uid="{00000000-0005-0000-0000-00002C2E0000}"/>
    <cellStyle name="Normal 2 55 4 15" xfId="11838" xr:uid="{00000000-0005-0000-0000-00002D2E0000}"/>
    <cellStyle name="Normal 2 55 4 15 2" xfId="11839" xr:uid="{00000000-0005-0000-0000-00002E2E0000}"/>
    <cellStyle name="Normal 2 55 4 15 3" xfId="11840" xr:uid="{00000000-0005-0000-0000-00002F2E0000}"/>
    <cellStyle name="Normal 2 55 4 16" xfId="11841" xr:uid="{00000000-0005-0000-0000-0000302E0000}"/>
    <cellStyle name="Normal 2 55 4 17" xfId="11842" xr:uid="{00000000-0005-0000-0000-0000312E0000}"/>
    <cellStyle name="Normal 2 55 4 2" xfId="11843" xr:uid="{00000000-0005-0000-0000-0000322E0000}"/>
    <cellStyle name="Normal 2 55 4 2 10" xfId="11844" xr:uid="{00000000-0005-0000-0000-0000332E0000}"/>
    <cellStyle name="Normal 2 55 4 2 10 2" xfId="11845" xr:uid="{00000000-0005-0000-0000-0000342E0000}"/>
    <cellStyle name="Normal 2 55 4 2 10 3" xfId="11846" xr:uid="{00000000-0005-0000-0000-0000352E0000}"/>
    <cellStyle name="Normal 2 55 4 2 11" xfId="11847" xr:uid="{00000000-0005-0000-0000-0000362E0000}"/>
    <cellStyle name="Normal 2 55 4 2 11 2" xfId="11848" xr:uid="{00000000-0005-0000-0000-0000372E0000}"/>
    <cellStyle name="Normal 2 55 4 2 11 3" xfId="11849" xr:uid="{00000000-0005-0000-0000-0000382E0000}"/>
    <cellStyle name="Normal 2 55 4 2 12" xfId="11850" xr:uid="{00000000-0005-0000-0000-0000392E0000}"/>
    <cellStyle name="Normal 2 55 4 2 12 2" xfId="11851" xr:uid="{00000000-0005-0000-0000-00003A2E0000}"/>
    <cellStyle name="Normal 2 55 4 2 12 3" xfId="11852" xr:uid="{00000000-0005-0000-0000-00003B2E0000}"/>
    <cellStyle name="Normal 2 55 4 2 13" xfId="11853" xr:uid="{00000000-0005-0000-0000-00003C2E0000}"/>
    <cellStyle name="Normal 2 55 4 2 13 2" xfId="11854" xr:uid="{00000000-0005-0000-0000-00003D2E0000}"/>
    <cellStyle name="Normal 2 55 4 2 13 3" xfId="11855" xr:uid="{00000000-0005-0000-0000-00003E2E0000}"/>
    <cellStyle name="Normal 2 55 4 2 14" xfId="11856" xr:uid="{00000000-0005-0000-0000-00003F2E0000}"/>
    <cellStyle name="Normal 2 55 4 2 14 2" xfId="11857" xr:uid="{00000000-0005-0000-0000-0000402E0000}"/>
    <cellStyle name="Normal 2 55 4 2 14 3" xfId="11858" xr:uid="{00000000-0005-0000-0000-0000412E0000}"/>
    <cellStyle name="Normal 2 55 4 2 15" xfId="11859" xr:uid="{00000000-0005-0000-0000-0000422E0000}"/>
    <cellStyle name="Normal 2 55 4 2 16" xfId="11860" xr:uid="{00000000-0005-0000-0000-0000432E0000}"/>
    <cellStyle name="Normal 2 55 4 2 2" xfId="11861" xr:uid="{00000000-0005-0000-0000-0000442E0000}"/>
    <cellStyle name="Normal 2 55 4 2 2 2" xfId="11862" xr:uid="{00000000-0005-0000-0000-0000452E0000}"/>
    <cellStyle name="Normal 2 55 4 2 2 3" xfId="11863" xr:uid="{00000000-0005-0000-0000-0000462E0000}"/>
    <cellStyle name="Normal 2 55 4 2 3" xfId="11864" xr:uid="{00000000-0005-0000-0000-0000472E0000}"/>
    <cellStyle name="Normal 2 55 4 2 3 2" xfId="11865" xr:uid="{00000000-0005-0000-0000-0000482E0000}"/>
    <cellStyle name="Normal 2 55 4 2 3 3" xfId="11866" xr:uid="{00000000-0005-0000-0000-0000492E0000}"/>
    <cellStyle name="Normal 2 55 4 2 4" xfId="11867" xr:uid="{00000000-0005-0000-0000-00004A2E0000}"/>
    <cellStyle name="Normal 2 55 4 2 4 2" xfId="11868" xr:uid="{00000000-0005-0000-0000-00004B2E0000}"/>
    <cellStyle name="Normal 2 55 4 2 4 3" xfId="11869" xr:uid="{00000000-0005-0000-0000-00004C2E0000}"/>
    <cellStyle name="Normal 2 55 4 2 5" xfId="11870" xr:uid="{00000000-0005-0000-0000-00004D2E0000}"/>
    <cellStyle name="Normal 2 55 4 2 5 2" xfId="11871" xr:uid="{00000000-0005-0000-0000-00004E2E0000}"/>
    <cellStyle name="Normal 2 55 4 2 5 3" xfId="11872" xr:uid="{00000000-0005-0000-0000-00004F2E0000}"/>
    <cellStyle name="Normal 2 55 4 2 6" xfId="11873" xr:uid="{00000000-0005-0000-0000-0000502E0000}"/>
    <cellStyle name="Normal 2 55 4 2 6 2" xfId="11874" xr:uid="{00000000-0005-0000-0000-0000512E0000}"/>
    <cellStyle name="Normal 2 55 4 2 6 3" xfId="11875" xr:uid="{00000000-0005-0000-0000-0000522E0000}"/>
    <cellStyle name="Normal 2 55 4 2 7" xfId="11876" xr:uid="{00000000-0005-0000-0000-0000532E0000}"/>
    <cellStyle name="Normal 2 55 4 2 7 2" xfId="11877" xr:uid="{00000000-0005-0000-0000-0000542E0000}"/>
    <cellStyle name="Normal 2 55 4 2 7 3" xfId="11878" xr:uid="{00000000-0005-0000-0000-0000552E0000}"/>
    <cellStyle name="Normal 2 55 4 2 8" xfId="11879" xr:uid="{00000000-0005-0000-0000-0000562E0000}"/>
    <cellStyle name="Normal 2 55 4 2 8 2" xfId="11880" xr:uid="{00000000-0005-0000-0000-0000572E0000}"/>
    <cellStyle name="Normal 2 55 4 2 8 3" xfId="11881" xr:uid="{00000000-0005-0000-0000-0000582E0000}"/>
    <cellStyle name="Normal 2 55 4 2 9" xfId="11882" xr:uid="{00000000-0005-0000-0000-0000592E0000}"/>
    <cellStyle name="Normal 2 55 4 2 9 2" xfId="11883" xr:uid="{00000000-0005-0000-0000-00005A2E0000}"/>
    <cellStyle name="Normal 2 55 4 2 9 3" xfId="11884" xr:uid="{00000000-0005-0000-0000-00005B2E0000}"/>
    <cellStyle name="Normal 2 55 4 3" xfId="11885" xr:uid="{00000000-0005-0000-0000-00005C2E0000}"/>
    <cellStyle name="Normal 2 55 4 3 2" xfId="11886" xr:uid="{00000000-0005-0000-0000-00005D2E0000}"/>
    <cellStyle name="Normal 2 55 4 3 3" xfId="11887" xr:uid="{00000000-0005-0000-0000-00005E2E0000}"/>
    <cellStyle name="Normal 2 55 4 4" xfId="11888" xr:uid="{00000000-0005-0000-0000-00005F2E0000}"/>
    <cellStyle name="Normal 2 55 4 4 2" xfId="11889" xr:uid="{00000000-0005-0000-0000-0000602E0000}"/>
    <cellStyle name="Normal 2 55 4 4 3" xfId="11890" xr:uid="{00000000-0005-0000-0000-0000612E0000}"/>
    <cellStyle name="Normal 2 55 4 5" xfId="11891" xr:uid="{00000000-0005-0000-0000-0000622E0000}"/>
    <cellStyle name="Normal 2 55 4 5 2" xfId="11892" xr:uid="{00000000-0005-0000-0000-0000632E0000}"/>
    <cellStyle name="Normal 2 55 4 5 3" xfId="11893" xr:uid="{00000000-0005-0000-0000-0000642E0000}"/>
    <cellStyle name="Normal 2 55 4 6" xfId="11894" xr:uid="{00000000-0005-0000-0000-0000652E0000}"/>
    <cellStyle name="Normal 2 55 4 6 2" xfId="11895" xr:uid="{00000000-0005-0000-0000-0000662E0000}"/>
    <cellStyle name="Normal 2 55 4 6 3" xfId="11896" xr:uid="{00000000-0005-0000-0000-0000672E0000}"/>
    <cellStyle name="Normal 2 55 4 7" xfId="11897" xr:uid="{00000000-0005-0000-0000-0000682E0000}"/>
    <cellStyle name="Normal 2 55 4 7 2" xfId="11898" xr:uid="{00000000-0005-0000-0000-0000692E0000}"/>
    <cellStyle name="Normal 2 55 4 7 3" xfId="11899" xr:uid="{00000000-0005-0000-0000-00006A2E0000}"/>
    <cellStyle name="Normal 2 55 4 8" xfId="11900" xr:uid="{00000000-0005-0000-0000-00006B2E0000}"/>
    <cellStyle name="Normal 2 55 4 8 2" xfId="11901" xr:uid="{00000000-0005-0000-0000-00006C2E0000}"/>
    <cellStyle name="Normal 2 55 4 8 3" xfId="11902" xr:uid="{00000000-0005-0000-0000-00006D2E0000}"/>
    <cellStyle name="Normal 2 55 4 9" xfId="11903" xr:uid="{00000000-0005-0000-0000-00006E2E0000}"/>
    <cellStyle name="Normal 2 55 4 9 2" xfId="11904" xr:uid="{00000000-0005-0000-0000-00006F2E0000}"/>
    <cellStyle name="Normal 2 55 4 9 3" xfId="11905" xr:uid="{00000000-0005-0000-0000-0000702E0000}"/>
    <cellStyle name="Normal 2 55 5" xfId="11906" xr:uid="{00000000-0005-0000-0000-0000712E0000}"/>
    <cellStyle name="Normal 2 55 5 10" xfId="11907" xr:uid="{00000000-0005-0000-0000-0000722E0000}"/>
    <cellStyle name="Normal 2 55 5 10 2" xfId="11908" xr:uid="{00000000-0005-0000-0000-0000732E0000}"/>
    <cellStyle name="Normal 2 55 5 10 3" xfId="11909" xr:uid="{00000000-0005-0000-0000-0000742E0000}"/>
    <cellStyle name="Normal 2 55 5 11" xfId="11910" xr:uid="{00000000-0005-0000-0000-0000752E0000}"/>
    <cellStyle name="Normal 2 55 5 11 2" xfId="11911" xr:uid="{00000000-0005-0000-0000-0000762E0000}"/>
    <cellStyle name="Normal 2 55 5 11 3" xfId="11912" xr:uid="{00000000-0005-0000-0000-0000772E0000}"/>
    <cellStyle name="Normal 2 55 5 12" xfId="11913" xr:uid="{00000000-0005-0000-0000-0000782E0000}"/>
    <cellStyle name="Normal 2 55 5 12 2" xfId="11914" xr:uid="{00000000-0005-0000-0000-0000792E0000}"/>
    <cellStyle name="Normal 2 55 5 12 3" xfId="11915" xr:uid="{00000000-0005-0000-0000-00007A2E0000}"/>
    <cellStyle name="Normal 2 55 5 13" xfId="11916" xr:uid="{00000000-0005-0000-0000-00007B2E0000}"/>
    <cellStyle name="Normal 2 55 5 13 2" xfId="11917" xr:uid="{00000000-0005-0000-0000-00007C2E0000}"/>
    <cellStyle name="Normal 2 55 5 13 3" xfId="11918" xr:uid="{00000000-0005-0000-0000-00007D2E0000}"/>
    <cellStyle name="Normal 2 55 5 14" xfId="11919" xr:uid="{00000000-0005-0000-0000-00007E2E0000}"/>
    <cellStyle name="Normal 2 55 5 14 2" xfId="11920" xr:uid="{00000000-0005-0000-0000-00007F2E0000}"/>
    <cellStyle name="Normal 2 55 5 14 3" xfId="11921" xr:uid="{00000000-0005-0000-0000-0000802E0000}"/>
    <cellStyle name="Normal 2 55 5 15" xfId="11922" xr:uid="{00000000-0005-0000-0000-0000812E0000}"/>
    <cellStyle name="Normal 2 55 5 16" xfId="11923" xr:uid="{00000000-0005-0000-0000-0000822E0000}"/>
    <cellStyle name="Normal 2 55 5 2" xfId="11924" xr:uid="{00000000-0005-0000-0000-0000832E0000}"/>
    <cellStyle name="Normal 2 55 5 2 2" xfId="11925" xr:uid="{00000000-0005-0000-0000-0000842E0000}"/>
    <cellStyle name="Normal 2 55 5 2 3" xfId="11926" xr:uid="{00000000-0005-0000-0000-0000852E0000}"/>
    <cellStyle name="Normal 2 55 5 3" xfId="11927" xr:uid="{00000000-0005-0000-0000-0000862E0000}"/>
    <cellStyle name="Normal 2 55 5 3 2" xfId="11928" xr:uid="{00000000-0005-0000-0000-0000872E0000}"/>
    <cellStyle name="Normal 2 55 5 3 3" xfId="11929" xr:uid="{00000000-0005-0000-0000-0000882E0000}"/>
    <cellStyle name="Normal 2 55 5 4" xfId="11930" xr:uid="{00000000-0005-0000-0000-0000892E0000}"/>
    <cellStyle name="Normal 2 55 5 4 2" xfId="11931" xr:uid="{00000000-0005-0000-0000-00008A2E0000}"/>
    <cellStyle name="Normal 2 55 5 4 3" xfId="11932" xr:uid="{00000000-0005-0000-0000-00008B2E0000}"/>
    <cellStyle name="Normal 2 55 5 5" xfId="11933" xr:uid="{00000000-0005-0000-0000-00008C2E0000}"/>
    <cellStyle name="Normal 2 55 5 5 2" xfId="11934" xr:uid="{00000000-0005-0000-0000-00008D2E0000}"/>
    <cellStyle name="Normal 2 55 5 5 3" xfId="11935" xr:uid="{00000000-0005-0000-0000-00008E2E0000}"/>
    <cellStyle name="Normal 2 55 5 6" xfId="11936" xr:uid="{00000000-0005-0000-0000-00008F2E0000}"/>
    <cellStyle name="Normal 2 55 5 6 2" xfId="11937" xr:uid="{00000000-0005-0000-0000-0000902E0000}"/>
    <cellStyle name="Normal 2 55 5 6 3" xfId="11938" xr:uid="{00000000-0005-0000-0000-0000912E0000}"/>
    <cellStyle name="Normal 2 55 5 7" xfId="11939" xr:uid="{00000000-0005-0000-0000-0000922E0000}"/>
    <cellStyle name="Normal 2 55 5 7 2" xfId="11940" xr:uid="{00000000-0005-0000-0000-0000932E0000}"/>
    <cellStyle name="Normal 2 55 5 7 3" xfId="11941" xr:uid="{00000000-0005-0000-0000-0000942E0000}"/>
    <cellStyle name="Normal 2 55 5 8" xfId="11942" xr:uid="{00000000-0005-0000-0000-0000952E0000}"/>
    <cellStyle name="Normal 2 55 5 8 2" xfId="11943" xr:uid="{00000000-0005-0000-0000-0000962E0000}"/>
    <cellStyle name="Normal 2 55 5 8 3" xfId="11944" xr:uid="{00000000-0005-0000-0000-0000972E0000}"/>
    <cellStyle name="Normal 2 55 5 9" xfId="11945" xr:uid="{00000000-0005-0000-0000-0000982E0000}"/>
    <cellStyle name="Normal 2 55 5 9 2" xfId="11946" xr:uid="{00000000-0005-0000-0000-0000992E0000}"/>
    <cellStyle name="Normal 2 55 5 9 3" xfId="11947" xr:uid="{00000000-0005-0000-0000-00009A2E0000}"/>
    <cellStyle name="Normal 2 55 6" xfId="11948" xr:uid="{00000000-0005-0000-0000-00009B2E0000}"/>
    <cellStyle name="Normal 2 55 6 10" xfId="11949" xr:uid="{00000000-0005-0000-0000-00009C2E0000}"/>
    <cellStyle name="Normal 2 55 6 10 2" xfId="11950" xr:uid="{00000000-0005-0000-0000-00009D2E0000}"/>
    <cellStyle name="Normal 2 55 6 10 3" xfId="11951" xr:uid="{00000000-0005-0000-0000-00009E2E0000}"/>
    <cellStyle name="Normal 2 55 6 11" xfId="11952" xr:uid="{00000000-0005-0000-0000-00009F2E0000}"/>
    <cellStyle name="Normal 2 55 6 11 2" xfId="11953" xr:uid="{00000000-0005-0000-0000-0000A02E0000}"/>
    <cellStyle name="Normal 2 55 6 11 3" xfId="11954" xr:uid="{00000000-0005-0000-0000-0000A12E0000}"/>
    <cellStyle name="Normal 2 55 6 12" xfId="11955" xr:uid="{00000000-0005-0000-0000-0000A22E0000}"/>
    <cellStyle name="Normal 2 55 6 12 2" xfId="11956" xr:uid="{00000000-0005-0000-0000-0000A32E0000}"/>
    <cellStyle name="Normal 2 55 6 12 3" xfId="11957" xr:uid="{00000000-0005-0000-0000-0000A42E0000}"/>
    <cellStyle name="Normal 2 55 6 13" xfId="11958" xr:uid="{00000000-0005-0000-0000-0000A52E0000}"/>
    <cellStyle name="Normal 2 55 6 13 2" xfId="11959" xr:uid="{00000000-0005-0000-0000-0000A62E0000}"/>
    <cellStyle name="Normal 2 55 6 13 3" xfId="11960" xr:uid="{00000000-0005-0000-0000-0000A72E0000}"/>
    <cellStyle name="Normal 2 55 6 14" xfId="11961" xr:uid="{00000000-0005-0000-0000-0000A82E0000}"/>
    <cellStyle name="Normal 2 55 6 14 2" xfId="11962" xr:uid="{00000000-0005-0000-0000-0000A92E0000}"/>
    <cellStyle name="Normal 2 55 6 14 3" xfId="11963" xr:uid="{00000000-0005-0000-0000-0000AA2E0000}"/>
    <cellStyle name="Normal 2 55 6 15" xfId="11964" xr:uid="{00000000-0005-0000-0000-0000AB2E0000}"/>
    <cellStyle name="Normal 2 55 6 16" xfId="11965" xr:uid="{00000000-0005-0000-0000-0000AC2E0000}"/>
    <cellStyle name="Normal 2 55 6 2" xfId="11966" xr:uid="{00000000-0005-0000-0000-0000AD2E0000}"/>
    <cellStyle name="Normal 2 55 6 2 2" xfId="11967" xr:uid="{00000000-0005-0000-0000-0000AE2E0000}"/>
    <cellStyle name="Normal 2 55 6 2 3" xfId="11968" xr:uid="{00000000-0005-0000-0000-0000AF2E0000}"/>
    <cellStyle name="Normal 2 55 6 3" xfId="11969" xr:uid="{00000000-0005-0000-0000-0000B02E0000}"/>
    <cellStyle name="Normal 2 55 6 3 2" xfId="11970" xr:uid="{00000000-0005-0000-0000-0000B12E0000}"/>
    <cellStyle name="Normal 2 55 6 3 3" xfId="11971" xr:uid="{00000000-0005-0000-0000-0000B22E0000}"/>
    <cellStyle name="Normal 2 55 6 4" xfId="11972" xr:uid="{00000000-0005-0000-0000-0000B32E0000}"/>
    <cellStyle name="Normal 2 55 6 4 2" xfId="11973" xr:uid="{00000000-0005-0000-0000-0000B42E0000}"/>
    <cellStyle name="Normal 2 55 6 4 3" xfId="11974" xr:uid="{00000000-0005-0000-0000-0000B52E0000}"/>
    <cellStyle name="Normal 2 55 6 5" xfId="11975" xr:uid="{00000000-0005-0000-0000-0000B62E0000}"/>
    <cellStyle name="Normal 2 55 6 5 2" xfId="11976" xr:uid="{00000000-0005-0000-0000-0000B72E0000}"/>
    <cellStyle name="Normal 2 55 6 5 3" xfId="11977" xr:uid="{00000000-0005-0000-0000-0000B82E0000}"/>
    <cellStyle name="Normal 2 55 6 6" xfId="11978" xr:uid="{00000000-0005-0000-0000-0000B92E0000}"/>
    <cellStyle name="Normal 2 55 6 6 2" xfId="11979" xr:uid="{00000000-0005-0000-0000-0000BA2E0000}"/>
    <cellStyle name="Normal 2 55 6 6 3" xfId="11980" xr:uid="{00000000-0005-0000-0000-0000BB2E0000}"/>
    <cellStyle name="Normal 2 55 6 7" xfId="11981" xr:uid="{00000000-0005-0000-0000-0000BC2E0000}"/>
    <cellStyle name="Normal 2 55 6 7 2" xfId="11982" xr:uid="{00000000-0005-0000-0000-0000BD2E0000}"/>
    <cellStyle name="Normal 2 55 6 7 3" xfId="11983" xr:uid="{00000000-0005-0000-0000-0000BE2E0000}"/>
    <cellStyle name="Normal 2 55 6 8" xfId="11984" xr:uid="{00000000-0005-0000-0000-0000BF2E0000}"/>
    <cellStyle name="Normal 2 55 6 8 2" xfId="11985" xr:uid="{00000000-0005-0000-0000-0000C02E0000}"/>
    <cellStyle name="Normal 2 55 6 8 3" xfId="11986" xr:uid="{00000000-0005-0000-0000-0000C12E0000}"/>
    <cellStyle name="Normal 2 55 6 9" xfId="11987" xr:uid="{00000000-0005-0000-0000-0000C22E0000}"/>
    <cellStyle name="Normal 2 55 6 9 2" xfId="11988" xr:uid="{00000000-0005-0000-0000-0000C32E0000}"/>
    <cellStyle name="Normal 2 55 6 9 3" xfId="11989" xr:uid="{00000000-0005-0000-0000-0000C42E0000}"/>
    <cellStyle name="Normal 2 55 7" xfId="11990" xr:uid="{00000000-0005-0000-0000-0000C52E0000}"/>
    <cellStyle name="Normal 2 55 7 10" xfId="11991" xr:uid="{00000000-0005-0000-0000-0000C62E0000}"/>
    <cellStyle name="Normal 2 55 7 10 2" xfId="11992" xr:uid="{00000000-0005-0000-0000-0000C72E0000}"/>
    <cellStyle name="Normal 2 55 7 10 3" xfId="11993" xr:uid="{00000000-0005-0000-0000-0000C82E0000}"/>
    <cellStyle name="Normal 2 55 7 11" xfId="11994" xr:uid="{00000000-0005-0000-0000-0000C92E0000}"/>
    <cellStyle name="Normal 2 55 7 11 2" xfId="11995" xr:uid="{00000000-0005-0000-0000-0000CA2E0000}"/>
    <cellStyle name="Normal 2 55 7 11 3" xfId="11996" xr:uid="{00000000-0005-0000-0000-0000CB2E0000}"/>
    <cellStyle name="Normal 2 55 7 12" xfId="11997" xr:uid="{00000000-0005-0000-0000-0000CC2E0000}"/>
    <cellStyle name="Normal 2 55 7 12 2" xfId="11998" xr:uid="{00000000-0005-0000-0000-0000CD2E0000}"/>
    <cellStyle name="Normal 2 55 7 12 3" xfId="11999" xr:uid="{00000000-0005-0000-0000-0000CE2E0000}"/>
    <cellStyle name="Normal 2 55 7 13" xfId="12000" xr:uid="{00000000-0005-0000-0000-0000CF2E0000}"/>
    <cellStyle name="Normal 2 55 7 13 2" xfId="12001" xr:uid="{00000000-0005-0000-0000-0000D02E0000}"/>
    <cellStyle name="Normal 2 55 7 13 3" xfId="12002" xr:uid="{00000000-0005-0000-0000-0000D12E0000}"/>
    <cellStyle name="Normal 2 55 7 14" xfId="12003" xr:uid="{00000000-0005-0000-0000-0000D22E0000}"/>
    <cellStyle name="Normal 2 55 7 14 2" xfId="12004" xr:uid="{00000000-0005-0000-0000-0000D32E0000}"/>
    <cellStyle name="Normal 2 55 7 14 3" xfId="12005" xr:uid="{00000000-0005-0000-0000-0000D42E0000}"/>
    <cellStyle name="Normal 2 55 7 15" xfId="12006" xr:uid="{00000000-0005-0000-0000-0000D52E0000}"/>
    <cellStyle name="Normal 2 55 7 16" xfId="12007" xr:uid="{00000000-0005-0000-0000-0000D62E0000}"/>
    <cellStyle name="Normal 2 55 7 2" xfId="12008" xr:uid="{00000000-0005-0000-0000-0000D72E0000}"/>
    <cellStyle name="Normal 2 55 7 2 2" xfId="12009" xr:uid="{00000000-0005-0000-0000-0000D82E0000}"/>
    <cellStyle name="Normal 2 55 7 2 3" xfId="12010" xr:uid="{00000000-0005-0000-0000-0000D92E0000}"/>
    <cellStyle name="Normal 2 55 7 3" xfId="12011" xr:uid="{00000000-0005-0000-0000-0000DA2E0000}"/>
    <cellStyle name="Normal 2 55 7 3 2" xfId="12012" xr:uid="{00000000-0005-0000-0000-0000DB2E0000}"/>
    <cellStyle name="Normal 2 55 7 3 3" xfId="12013" xr:uid="{00000000-0005-0000-0000-0000DC2E0000}"/>
    <cellStyle name="Normal 2 55 7 4" xfId="12014" xr:uid="{00000000-0005-0000-0000-0000DD2E0000}"/>
    <cellStyle name="Normal 2 55 7 4 2" xfId="12015" xr:uid="{00000000-0005-0000-0000-0000DE2E0000}"/>
    <cellStyle name="Normal 2 55 7 4 3" xfId="12016" xr:uid="{00000000-0005-0000-0000-0000DF2E0000}"/>
    <cellStyle name="Normal 2 55 7 5" xfId="12017" xr:uid="{00000000-0005-0000-0000-0000E02E0000}"/>
    <cellStyle name="Normal 2 55 7 5 2" xfId="12018" xr:uid="{00000000-0005-0000-0000-0000E12E0000}"/>
    <cellStyle name="Normal 2 55 7 5 3" xfId="12019" xr:uid="{00000000-0005-0000-0000-0000E22E0000}"/>
    <cellStyle name="Normal 2 55 7 6" xfId="12020" xr:uid="{00000000-0005-0000-0000-0000E32E0000}"/>
    <cellStyle name="Normal 2 55 7 6 2" xfId="12021" xr:uid="{00000000-0005-0000-0000-0000E42E0000}"/>
    <cellStyle name="Normal 2 55 7 6 3" xfId="12022" xr:uid="{00000000-0005-0000-0000-0000E52E0000}"/>
    <cellStyle name="Normal 2 55 7 7" xfId="12023" xr:uid="{00000000-0005-0000-0000-0000E62E0000}"/>
    <cellStyle name="Normal 2 55 7 7 2" xfId="12024" xr:uid="{00000000-0005-0000-0000-0000E72E0000}"/>
    <cellStyle name="Normal 2 55 7 7 3" xfId="12025" xr:uid="{00000000-0005-0000-0000-0000E82E0000}"/>
    <cellStyle name="Normal 2 55 7 8" xfId="12026" xr:uid="{00000000-0005-0000-0000-0000E92E0000}"/>
    <cellStyle name="Normal 2 55 7 8 2" xfId="12027" xr:uid="{00000000-0005-0000-0000-0000EA2E0000}"/>
    <cellStyle name="Normal 2 55 7 8 3" xfId="12028" xr:uid="{00000000-0005-0000-0000-0000EB2E0000}"/>
    <cellStyle name="Normal 2 55 7 9" xfId="12029" xr:uid="{00000000-0005-0000-0000-0000EC2E0000}"/>
    <cellStyle name="Normal 2 55 7 9 2" xfId="12030" xr:uid="{00000000-0005-0000-0000-0000ED2E0000}"/>
    <cellStyle name="Normal 2 55 7 9 3" xfId="12031" xr:uid="{00000000-0005-0000-0000-0000EE2E0000}"/>
    <cellStyle name="Normal 2 55 8" xfId="12032" xr:uid="{00000000-0005-0000-0000-0000EF2E0000}"/>
    <cellStyle name="Normal 2 55 8 10" xfId="12033" xr:uid="{00000000-0005-0000-0000-0000F02E0000}"/>
    <cellStyle name="Normal 2 55 8 10 2" xfId="12034" xr:uid="{00000000-0005-0000-0000-0000F12E0000}"/>
    <cellStyle name="Normal 2 55 8 10 3" xfId="12035" xr:uid="{00000000-0005-0000-0000-0000F22E0000}"/>
    <cellStyle name="Normal 2 55 8 11" xfId="12036" xr:uid="{00000000-0005-0000-0000-0000F32E0000}"/>
    <cellStyle name="Normal 2 55 8 11 2" xfId="12037" xr:uid="{00000000-0005-0000-0000-0000F42E0000}"/>
    <cellStyle name="Normal 2 55 8 11 3" xfId="12038" xr:uid="{00000000-0005-0000-0000-0000F52E0000}"/>
    <cellStyle name="Normal 2 55 8 12" xfId="12039" xr:uid="{00000000-0005-0000-0000-0000F62E0000}"/>
    <cellStyle name="Normal 2 55 8 12 2" xfId="12040" xr:uid="{00000000-0005-0000-0000-0000F72E0000}"/>
    <cellStyle name="Normal 2 55 8 12 3" xfId="12041" xr:uid="{00000000-0005-0000-0000-0000F82E0000}"/>
    <cellStyle name="Normal 2 55 8 13" xfId="12042" xr:uid="{00000000-0005-0000-0000-0000F92E0000}"/>
    <cellStyle name="Normal 2 55 8 13 2" xfId="12043" xr:uid="{00000000-0005-0000-0000-0000FA2E0000}"/>
    <cellStyle name="Normal 2 55 8 13 3" xfId="12044" xr:uid="{00000000-0005-0000-0000-0000FB2E0000}"/>
    <cellStyle name="Normal 2 55 8 14" xfId="12045" xr:uid="{00000000-0005-0000-0000-0000FC2E0000}"/>
    <cellStyle name="Normal 2 55 8 14 2" xfId="12046" xr:uid="{00000000-0005-0000-0000-0000FD2E0000}"/>
    <cellStyle name="Normal 2 55 8 14 3" xfId="12047" xr:uid="{00000000-0005-0000-0000-0000FE2E0000}"/>
    <cellStyle name="Normal 2 55 8 15" xfId="12048" xr:uid="{00000000-0005-0000-0000-0000FF2E0000}"/>
    <cellStyle name="Normal 2 55 8 16" xfId="12049" xr:uid="{00000000-0005-0000-0000-0000002F0000}"/>
    <cellStyle name="Normal 2 55 8 2" xfId="12050" xr:uid="{00000000-0005-0000-0000-0000012F0000}"/>
    <cellStyle name="Normal 2 55 8 2 2" xfId="12051" xr:uid="{00000000-0005-0000-0000-0000022F0000}"/>
    <cellStyle name="Normal 2 55 8 2 3" xfId="12052" xr:uid="{00000000-0005-0000-0000-0000032F0000}"/>
    <cellStyle name="Normal 2 55 8 3" xfId="12053" xr:uid="{00000000-0005-0000-0000-0000042F0000}"/>
    <cellStyle name="Normal 2 55 8 3 2" xfId="12054" xr:uid="{00000000-0005-0000-0000-0000052F0000}"/>
    <cellStyle name="Normal 2 55 8 3 3" xfId="12055" xr:uid="{00000000-0005-0000-0000-0000062F0000}"/>
    <cellStyle name="Normal 2 55 8 4" xfId="12056" xr:uid="{00000000-0005-0000-0000-0000072F0000}"/>
    <cellStyle name="Normal 2 55 8 4 2" xfId="12057" xr:uid="{00000000-0005-0000-0000-0000082F0000}"/>
    <cellStyle name="Normal 2 55 8 4 3" xfId="12058" xr:uid="{00000000-0005-0000-0000-0000092F0000}"/>
    <cellStyle name="Normal 2 55 8 5" xfId="12059" xr:uid="{00000000-0005-0000-0000-00000A2F0000}"/>
    <cellStyle name="Normal 2 55 8 5 2" xfId="12060" xr:uid="{00000000-0005-0000-0000-00000B2F0000}"/>
    <cellStyle name="Normal 2 55 8 5 3" xfId="12061" xr:uid="{00000000-0005-0000-0000-00000C2F0000}"/>
    <cellStyle name="Normal 2 55 8 6" xfId="12062" xr:uid="{00000000-0005-0000-0000-00000D2F0000}"/>
    <cellStyle name="Normal 2 55 8 6 2" xfId="12063" xr:uid="{00000000-0005-0000-0000-00000E2F0000}"/>
    <cellStyle name="Normal 2 55 8 6 3" xfId="12064" xr:uid="{00000000-0005-0000-0000-00000F2F0000}"/>
    <cellStyle name="Normal 2 55 8 7" xfId="12065" xr:uid="{00000000-0005-0000-0000-0000102F0000}"/>
    <cellStyle name="Normal 2 55 8 7 2" xfId="12066" xr:uid="{00000000-0005-0000-0000-0000112F0000}"/>
    <cellStyle name="Normal 2 55 8 7 3" xfId="12067" xr:uid="{00000000-0005-0000-0000-0000122F0000}"/>
    <cellStyle name="Normal 2 55 8 8" xfId="12068" xr:uid="{00000000-0005-0000-0000-0000132F0000}"/>
    <cellStyle name="Normal 2 55 8 8 2" xfId="12069" xr:uid="{00000000-0005-0000-0000-0000142F0000}"/>
    <cellStyle name="Normal 2 55 8 8 3" xfId="12070" xr:uid="{00000000-0005-0000-0000-0000152F0000}"/>
    <cellStyle name="Normal 2 55 8 9" xfId="12071" xr:uid="{00000000-0005-0000-0000-0000162F0000}"/>
    <cellStyle name="Normal 2 55 8 9 2" xfId="12072" xr:uid="{00000000-0005-0000-0000-0000172F0000}"/>
    <cellStyle name="Normal 2 55 8 9 3" xfId="12073" xr:uid="{00000000-0005-0000-0000-0000182F0000}"/>
    <cellStyle name="Normal 2 55 9" xfId="12074" xr:uid="{00000000-0005-0000-0000-0000192F0000}"/>
    <cellStyle name="Normal 2 55 9 10" xfId="12075" xr:uid="{00000000-0005-0000-0000-00001A2F0000}"/>
    <cellStyle name="Normal 2 55 9 10 2" xfId="12076" xr:uid="{00000000-0005-0000-0000-00001B2F0000}"/>
    <cellStyle name="Normal 2 55 9 10 3" xfId="12077" xr:uid="{00000000-0005-0000-0000-00001C2F0000}"/>
    <cellStyle name="Normal 2 55 9 11" xfId="12078" xr:uid="{00000000-0005-0000-0000-00001D2F0000}"/>
    <cellStyle name="Normal 2 55 9 11 2" xfId="12079" xr:uid="{00000000-0005-0000-0000-00001E2F0000}"/>
    <cellStyle name="Normal 2 55 9 11 3" xfId="12080" xr:uid="{00000000-0005-0000-0000-00001F2F0000}"/>
    <cellStyle name="Normal 2 55 9 12" xfId="12081" xr:uid="{00000000-0005-0000-0000-0000202F0000}"/>
    <cellStyle name="Normal 2 55 9 12 2" xfId="12082" xr:uid="{00000000-0005-0000-0000-0000212F0000}"/>
    <cellStyle name="Normal 2 55 9 12 3" xfId="12083" xr:uid="{00000000-0005-0000-0000-0000222F0000}"/>
    <cellStyle name="Normal 2 55 9 13" xfId="12084" xr:uid="{00000000-0005-0000-0000-0000232F0000}"/>
    <cellStyle name="Normal 2 55 9 13 2" xfId="12085" xr:uid="{00000000-0005-0000-0000-0000242F0000}"/>
    <cellStyle name="Normal 2 55 9 13 3" xfId="12086" xr:uid="{00000000-0005-0000-0000-0000252F0000}"/>
    <cellStyle name="Normal 2 55 9 14" xfId="12087" xr:uid="{00000000-0005-0000-0000-0000262F0000}"/>
    <cellStyle name="Normal 2 55 9 14 2" xfId="12088" xr:uid="{00000000-0005-0000-0000-0000272F0000}"/>
    <cellStyle name="Normal 2 55 9 14 3" xfId="12089" xr:uid="{00000000-0005-0000-0000-0000282F0000}"/>
    <cellStyle name="Normal 2 55 9 15" xfId="12090" xr:uid="{00000000-0005-0000-0000-0000292F0000}"/>
    <cellStyle name="Normal 2 55 9 16" xfId="12091" xr:uid="{00000000-0005-0000-0000-00002A2F0000}"/>
    <cellStyle name="Normal 2 55 9 2" xfId="12092" xr:uid="{00000000-0005-0000-0000-00002B2F0000}"/>
    <cellStyle name="Normal 2 55 9 2 2" xfId="12093" xr:uid="{00000000-0005-0000-0000-00002C2F0000}"/>
    <cellStyle name="Normal 2 55 9 2 3" xfId="12094" xr:uid="{00000000-0005-0000-0000-00002D2F0000}"/>
    <cellStyle name="Normal 2 55 9 3" xfId="12095" xr:uid="{00000000-0005-0000-0000-00002E2F0000}"/>
    <cellStyle name="Normal 2 55 9 3 2" xfId="12096" xr:uid="{00000000-0005-0000-0000-00002F2F0000}"/>
    <cellStyle name="Normal 2 55 9 3 3" xfId="12097" xr:uid="{00000000-0005-0000-0000-0000302F0000}"/>
    <cellStyle name="Normal 2 55 9 4" xfId="12098" xr:uid="{00000000-0005-0000-0000-0000312F0000}"/>
    <cellStyle name="Normal 2 55 9 4 2" xfId="12099" xr:uid="{00000000-0005-0000-0000-0000322F0000}"/>
    <cellStyle name="Normal 2 55 9 4 3" xfId="12100" xr:uid="{00000000-0005-0000-0000-0000332F0000}"/>
    <cellStyle name="Normal 2 55 9 5" xfId="12101" xr:uid="{00000000-0005-0000-0000-0000342F0000}"/>
    <cellStyle name="Normal 2 55 9 5 2" xfId="12102" xr:uid="{00000000-0005-0000-0000-0000352F0000}"/>
    <cellStyle name="Normal 2 55 9 5 3" xfId="12103" xr:uid="{00000000-0005-0000-0000-0000362F0000}"/>
    <cellStyle name="Normal 2 55 9 6" xfId="12104" xr:uid="{00000000-0005-0000-0000-0000372F0000}"/>
    <cellStyle name="Normal 2 55 9 6 2" xfId="12105" xr:uid="{00000000-0005-0000-0000-0000382F0000}"/>
    <cellStyle name="Normal 2 55 9 6 3" xfId="12106" xr:uid="{00000000-0005-0000-0000-0000392F0000}"/>
    <cellStyle name="Normal 2 55 9 7" xfId="12107" xr:uid="{00000000-0005-0000-0000-00003A2F0000}"/>
    <cellStyle name="Normal 2 55 9 7 2" xfId="12108" xr:uid="{00000000-0005-0000-0000-00003B2F0000}"/>
    <cellStyle name="Normal 2 55 9 7 3" xfId="12109" xr:uid="{00000000-0005-0000-0000-00003C2F0000}"/>
    <cellStyle name="Normal 2 55 9 8" xfId="12110" xr:uid="{00000000-0005-0000-0000-00003D2F0000}"/>
    <cellStyle name="Normal 2 55 9 8 2" xfId="12111" xr:uid="{00000000-0005-0000-0000-00003E2F0000}"/>
    <cellStyle name="Normal 2 55 9 8 3" xfId="12112" xr:uid="{00000000-0005-0000-0000-00003F2F0000}"/>
    <cellStyle name="Normal 2 55 9 9" xfId="12113" xr:uid="{00000000-0005-0000-0000-0000402F0000}"/>
    <cellStyle name="Normal 2 55 9 9 2" xfId="12114" xr:uid="{00000000-0005-0000-0000-0000412F0000}"/>
    <cellStyle name="Normal 2 55 9 9 3" xfId="12115" xr:uid="{00000000-0005-0000-0000-0000422F0000}"/>
    <cellStyle name="Normal 2 56" xfId="12116" xr:uid="{00000000-0005-0000-0000-0000432F0000}"/>
    <cellStyle name="Normal 2 56 10" xfId="12117" xr:uid="{00000000-0005-0000-0000-0000442F0000}"/>
    <cellStyle name="Normal 2 56 10 10" xfId="12118" xr:uid="{00000000-0005-0000-0000-0000452F0000}"/>
    <cellStyle name="Normal 2 56 10 10 2" xfId="12119" xr:uid="{00000000-0005-0000-0000-0000462F0000}"/>
    <cellStyle name="Normal 2 56 10 10 3" xfId="12120" xr:uid="{00000000-0005-0000-0000-0000472F0000}"/>
    <cellStyle name="Normal 2 56 10 11" xfId="12121" xr:uid="{00000000-0005-0000-0000-0000482F0000}"/>
    <cellStyle name="Normal 2 56 10 11 2" xfId="12122" xr:uid="{00000000-0005-0000-0000-0000492F0000}"/>
    <cellStyle name="Normal 2 56 10 11 3" xfId="12123" xr:uid="{00000000-0005-0000-0000-00004A2F0000}"/>
    <cellStyle name="Normal 2 56 10 12" xfId="12124" xr:uid="{00000000-0005-0000-0000-00004B2F0000}"/>
    <cellStyle name="Normal 2 56 10 12 2" xfId="12125" xr:uid="{00000000-0005-0000-0000-00004C2F0000}"/>
    <cellStyle name="Normal 2 56 10 12 3" xfId="12126" xr:uid="{00000000-0005-0000-0000-00004D2F0000}"/>
    <cellStyle name="Normal 2 56 10 13" xfId="12127" xr:uid="{00000000-0005-0000-0000-00004E2F0000}"/>
    <cellStyle name="Normal 2 56 10 13 2" xfId="12128" xr:uid="{00000000-0005-0000-0000-00004F2F0000}"/>
    <cellStyle name="Normal 2 56 10 13 3" xfId="12129" xr:uid="{00000000-0005-0000-0000-0000502F0000}"/>
    <cellStyle name="Normal 2 56 10 14" xfId="12130" xr:uid="{00000000-0005-0000-0000-0000512F0000}"/>
    <cellStyle name="Normal 2 56 10 14 2" xfId="12131" xr:uid="{00000000-0005-0000-0000-0000522F0000}"/>
    <cellStyle name="Normal 2 56 10 14 3" xfId="12132" xr:uid="{00000000-0005-0000-0000-0000532F0000}"/>
    <cellStyle name="Normal 2 56 10 15" xfId="12133" xr:uid="{00000000-0005-0000-0000-0000542F0000}"/>
    <cellStyle name="Normal 2 56 10 16" xfId="12134" xr:uid="{00000000-0005-0000-0000-0000552F0000}"/>
    <cellStyle name="Normal 2 56 10 2" xfId="12135" xr:uid="{00000000-0005-0000-0000-0000562F0000}"/>
    <cellStyle name="Normal 2 56 10 2 2" xfId="12136" xr:uid="{00000000-0005-0000-0000-0000572F0000}"/>
    <cellStyle name="Normal 2 56 10 2 3" xfId="12137" xr:uid="{00000000-0005-0000-0000-0000582F0000}"/>
    <cellStyle name="Normal 2 56 10 3" xfId="12138" xr:uid="{00000000-0005-0000-0000-0000592F0000}"/>
    <cellStyle name="Normal 2 56 10 3 2" xfId="12139" xr:uid="{00000000-0005-0000-0000-00005A2F0000}"/>
    <cellStyle name="Normal 2 56 10 3 3" xfId="12140" xr:uid="{00000000-0005-0000-0000-00005B2F0000}"/>
    <cellStyle name="Normal 2 56 10 4" xfId="12141" xr:uid="{00000000-0005-0000-0000-00005C2F0000}"/>
    <cellStyle name="Normal 2 56 10 4 2" xfId="12142" xr:uid="{00000000-0005-0000-0000-00005D2F0000}"/>
    <cellStyle name="Normal 2 56 10 4 3" xfId="12143" xr:uid="{00000000-0005-0000-0000-00005E2F0000}"/>
    <cellStyle name="Normal 2 56 10 5" xfId="12144" xr:uid="{00000000-0005-0000-0000-00005F2F0000}"/>
    <cellStyle name="Normal 2 56 10 5 2" xfId="12145" xr:uid="{00000000-0005-0000-0000-0000602F0000}"/>
    <cellStyle name="Normal 2 56 10 5 3" xfId="12146" xr:uid="{00000000-0005-0000-0000-0000612F0000}"/>
    <cellStyle name="Normal 2 56 10 6" xfId="12147" xr:uid="{00000000-0005-0000-0000-0000622F0000}"/>
    <cellStyle name="Normal 2 56 10 6 2" xfId="12148" xr:uid="{00000000-0005-0000-0000-0000632F0000}"/>
    <cellStyle name="Normal 2 56 10 6 3" xfId="12149" xr:uid="{00000000-0005-0000-0000-0000642F0000}"/>
    <cellStyle name="Normal 2 56 10 7" xfId="12150" xr:uid="{00000000-0005-0000-0000-0000652F0000}"/>
    <cellStyle name="Normal 2 56 10 7 2" xfId="12151" xr:uid="{00000000-0005-0000-0000-0000662F0000}"/>
    <cellStyle name="Normal 2 56 10 7 3" xfId="12152" xr:uid="{00000000-0005-0000-0000-0000672F0000}"/>
    <cellStyle name="Normal 2 56 10 8" xfId="12153" xr:uid="{00000000-0005-0000-0000-0000682F0000}"/>
    <cellStyle name="Normal 2 56 10 8 2" xfId="12154" xr:uid="{00000000-0005-0000-0000-0000692F0000}"/>
    <cellStyle name="Normal 2 56 10 8 3" xfId="12155" xr:uid="{00000000-0005-0000-0000-00006A2F0000}"/>
    <cellStyle name="Normal 2 56 10 9" xfId="12156" xr:uid="{00000000-0005-0000-0000-00006B2F0000}"/>
    <cellStyle name="Normal 2 56 10 9 2" xfId="12157" xr:uid="{00000000-0005-0000-0000-00006C2F0000}"/>
    <cellStyle name="Normal 2 56 10 9 3" xfId="12158" xr:uid="{00000000-0005-0000-0000-00006D2F0000}"/>
    <cellStyle name="Normal 2 56 11" xfId="12159" xr:uid="{00000000-0005-0000-0000-00006E2F0000}"/>
    <cellStyle name="Normal 2 56 11 2" xfId="12160" xr:uid="{00000000-0005-0000-0000-00006F2F0000}"/>
    <cellStyle name="Normal 2 56 11 3" xfId="12161" xr:uid="{00000000-0005-0000-0000-0000702F0000}"/>
    <cellStyle name="Normal 2 56 12" xfId="12162" xr:uid="{00000000-0005-0000-0000-0000712F0000}"/>
    <cellStyle name="Normal 2 56 12 2" xfId="12163" xr:uid="{00000000-0005-0000-0000-0000722F0000}"/>
    <cellStyle name="Normal 2 56 12 3" xfId="12164" xr:uid="{00000000-0005-0000-0000-0000732F0000}"/>
    <cellStyle name="Normal 2 56 13" xfId="12165" xr:uid="{00000000-0005-0000-0000-0000742F0000}"/>
    <cellStyle name="Normal 2 56 13 2" xfId="12166" xr:uid="{00000000-0005-0000-0000-0000752F0000}"/>
    <cellStyle name="Normal 2 56 13 3" xfId="12167" xr:uid="{00000000-0005-0000-0000-0000762F0000}"/>
    <cellStyle name="Normal 2 56 14" xfId="12168" xr:uid="{00000000-0005-0000-0000-0000772F0000}"/>
    <cellStyle name="Normal 2 56 14 2" xfId="12169" xr:uid="{00000000-0005-0000-0000-0000782F0000}"/>
    <cellStyle name="Normal 2 56 14 3" xfId="12170" xr:uid="{00000000-0005-0000-0000-0000792F0000}"/>
    <cellStyle name="Normal 2 56 15" xfId="12171" xr:uid="{00000000-0005-0000-0000-00007A2F0000}"/>
    <cellStyle name="Normal 2 56 15 2" xfId="12172" xr:uid="{00000000-0005-0000-0000-00007B2F0000}"/>
    <cellStyle name="Normal 2 56 15 3" xfId="12173" xr:uid="{00000000-0005-0000-0000-00007C2F0000}"/>
    <cellStyle name="Normal 2 56 16" xfId="12174" xr:uid="{00000000-0005-0000-0000-00007D2F0000}"/>
    <cellStyle name="Normal 2 56 16 2" xfId="12175" xr:uid="{00000000-0005-0000-0000-00007E2F0000}"/>
    <cellStyle name="Normal 2 56 16 3" xfId="12176" xr:uid="{00000000-0005-0000-0000-00007F2F0000}"/>
    <cellStyle name="Normal 2 56 17" xfId="12177" xr:uid="{00000000-0005-0000-0000-0000802F0000}"/>
    <cellStyle name="Normal 2 56 17 2" xfId="12178" xr:uid="{00000000-0005-0000-0000-0000812F0000}"/>
    <cellStyle name="Normal 2 56 17 3" xfId="12179" xr:uid="{00000000-0005-0000-0000-0000822F0000}"/>
    <cellStyle name="Normal 2 56 18" xfId="12180" xr:uid="{00000000-0005-0000-0000-0000832F0000}"/>
    <cellStyle name="Normal 2 56 18 2" xfId="12181" xr:uid="{00000000-0005-0000-0000-0000842F0000}"/>
    <cellStyle name="Normal 2 56 18 3" xfId="12182" xr:uid="{00000000-0005-0000-0000-0000852F0000}"/>
    <cellStyle name="Normal 2 56 19" xfId="12183" xr:uid="{00000000-0005-0000-0000-0000862F0000}"/>
    <cellStyle name="Normal 2 56 19 2" xfId="12184" xr:uid="{00000000-0005-0000-0000-0000872F0000}"/>
    <cellStyle name="Normal 2 56 19 3" xfId="12185" xr:uid="{00000000-0005-0000-0000-0000882F0000}"/>
    <cellStyle name="Normal 2 56 2" xfId="12186" xr:uid="{00000000-0005-0000-0000-0000892F0000}"/>
    <cellStyle name="Normal 2 56 2 10" xfId="12187" xr:uid="{00000000-0005-0000-0000-00008A2F0000}"/>
    <cellStyle name="Normal 2 56 2 10 2" xfId="12188" xr:uid="{00000000-0005-0000-0000-00008B2F0000}"/>
    <cellStyle name="Normal 2 56 2 10 3" xfId="12189" xr:uid="{00000000-0005-0000-0000-00008C2F0000}"/>
    <cellStyle name="Normal 2 56 2 11" xfId="12190" xr:uid="{00000000-0005-0000-0000-00008D2F0000}"/>
    <cellStyle name="Normal 2 56 2 11 2" xfId="12191" xr:uid="{00000000-0005-0000-0000-00008E2F0000}"/>
    <cellStyle name="Normal 2 56 2 11 3" xfId="12192" xr:uid="{00000000-0005-0000-0000-00008F2F0000}"/>
    <cellStyle name="Normal 2 56 2 12" xfId="12193" xr:uid="{00000000-0005-0000-0000-0000902F0000}"/>
    <cellStyle name="Normal 2 56 2 12 2" xfId="12194" xr:uid="{00000000-0005-0000-0000-0000912F0000}"/>
    <cellStyle name="Normal 2 56 2 12 3" xfId="12195" xr:uid="{00000000-0005-0000-0000-0000922F0000}"/>
    <cellStyle name="Normal 2 56 2 13" xfId="12196" xr:uid="{00000000-0005-0000-0000-0000932F0000}"/>
    <cellStyle name="Normal 2 56 2 13 2" xfId="12197" xr:uid="{00000000-0005-0000-0000-0000942F0000}"/>
    <cellStyle name="Normal 2 56 2 13 3" xfId="12198" xr:uid="{00000000-0005-0000-0000-0000952F0000}"/>
    <cellStyle name="Normal 2 56 2 14" xfId="12199" xr:uid="{00000000-0005-0000-0000-0000962F0000}"/>
    <cellStyle name="Normal 2 56 2 14 2" xfId="12200" xr:uid="{00000000-0005-0000-0000-0000972F0000}"/>
    <cellStyle name="Normal 2 56 2 14 3" xfId="12201" xr:uid="{00000000-0005-0000-0000-0000982F0000}"/>
    <cellStyle name="Normal 2 56 2 15" xfId="12202" xr:uid="{00000000-0005-0000-0000-0000992F0000}"/>
    <cellStyle name="Normal 2 56 2 15 2" xfId="12203" xr:uid="{00000000-0005-0000-0000-00009A2F0000}"/>
    <cellStyle name="Normal 2 56 2 15 3" xfId="12204" xr:uid="{00000000-0005-0000-0000-00009B2F0000}"/>
    <cellStyle name="Normal 2 56 2 16" xfId="12205" xr:uid="{00000000-0005-0000-0000-00009C2F0000}"/>
    <cellStyle name="Normal 2 56 2 17" xfId="12206" xr:uid="{00000000-0005-0000-0000-00009D2F0000}"/>
    <cellStyle name="Normal 2 56 2 2" xfId="12207" xr:uid="{00000000-0005-0000-0000-00009E2F0000}"/>
    <cellStyle name="Normal 2 56 2 2 10" xfId="12208" xr:uid="{00000000-0005-0000-0000-00009F2F0000}"/>
    <cellStyle name="Normal 2 56 2 2 10 2" xfId="12209" xr:uid="{00000000-0005-0000-0000-0000A02F0000}"/>
    <cellStyle name="Normal 2 56 2 2 10 3" xfId="12210" xr:uid="{00000000-0005-0000-0000-0000A12F0000}"/>
    <cellStyle name="Normal 2 56 2 2 11" xfId="12211" xr:uid="{00000000-0005-0000-0000-0000A22F0000}"/>
    <cellStyle name="Normal 2 56 2 2 11 2" xfId="12212" xr:uid="{00000000-0005-0000-0000-0000A32F0000}"/>
    <cellStyle name="Normal 2 56 2 2 11 3" xfId="12213" xr:uid="{00000000-0005-0000-0000-0000A42F0000}"/>
    <cellStyle name="Normal 2 56 2 2 12" xfId="12214" xr:uid="{00000000-0005-0000-0000-0000A52F0000}"/>
    <cellStyle name="Normal 2 56 2 2 12 2" xfId="12215" xr:uid="{00000000-0005-0000-0000-0000A62F0000}"/>
    <cellStyle name="Normal 2 56 2 2 12 3" xfId="12216" xr:uid="{00000000-0005-0000-0000-0000A72F0000}"/>
    <cellStyle name="Normal 2 56 2 2 13" xfId="12217" xr:uid="{00000000-0005-0000-0000-0000A82F0000}"/>
    <cellStyle name="Normal 2 56 2 2 13 2" xfId="12218" xr:uid="{00000000-0005-0000-0000-0000A92F0000}"/>
    <cellStyle name="Normal 2 56 2 2 13 3" xfId="12219" xr:uid="{00000000-0005-0000-0000-0000AA2F0000}"/>
    <cellStyle name="Normal 2 56 2 2 14" xfId="12220" xr:uid="{00000000-0005-0000-0000-0000AB2F0000}"/>
    <cellStyle name="Normal 2 56 2 2 14 2" xfId="12221" xr:uid="{00000000-0005-0000-0000-0000AC2F0000}"/>
    <cellStyle name="Normal 2 56 2 2 14 3" xfId="12222" xr:uid="{00000000-0005-0000-0000-0000AD2F0000}"/>
    <cellStyle name="Normal 2 56 2 2 15" xfId="12223" xr:uid="{00000000-0005-0000-0000-0000AE2F0000}"/>
    <cellStyle name="Normal 2 56 2 2 16" xfId="12224" xr:uid="{00000000-0005-0000-0000-0000AF2F0000}"/>
    <cellStyle name="Normal 2 56 2 2 2" xfId="12225" xr:uid="{00000000-0005-0000-0000-0000B02F0000}"/>
    <cellStyle name="Normal 2 56 2 2 2 2" xfId="12226" xr:uid="{00000000-0005-0000-0000-0000B12F0000}"/>
    <cellStyle name="Normal 2 56 2 2 2 3" xfId="12227" xr:uid="{00000000-0005-0000-0000-0000B22F0000}"/>
    <cellStyle name="Normal 2 56 2 2 3" xfId="12228" xr:uid="{00000000-0005-0000-0000-0000B32F0000}"/>
    <cellStyle name="Normal 2 56 2 2 3 2" xfId="12229" xr:uid="{00000000-0005-0000-0000-0000B42F0000}"/>
    <cellStyle name="Normal 2 56 2 2 3 3" xfId="12230" xr:uid="{00000000-0005-0000-0000-0000B52F0000}"/>
    <cellStyle name="Normal 2 56 2 2 4" xfId="12231" xr:uid="{00000000-0005-0000-0000-0000B62F0000}"/>
    <cellStyle name="Normal 2 56 2 2 4 2" xfId="12232" xr:uid="{00000000-0005-0000-0000-0000B72F0000}"/>
    <cellStyle name="Normal 2 56 2 2 4 3" xfId="12233" xr:uid="{00000000-0005-0000-0000-0000B82F0000}"/>
    <cellStyle name="Normal 2 56 2 2 5" xfId="12234" xr:uid="{00000000-0005-0000-0000-0000B92F0000}"/>
    <cellStyle name="Normal 2 56 2 2 5 2" xfId="12235" xr:uid="{00000000-0005-0000-0000-0000BA2F0000}"/>
    <cellStyle name="Normal 2 56 2 2 5 3" xfId="12236" xr:uid="{00000000-0005-0000-0000-0000BB2F0000}"/>
    <cellStyle name="Normal 2 56 2 2 6" xfId="12237" xr:uid="{00000000-0005-0000-0000-0000BC2F0000}"/>
    <cellStyle name="Normal 2 56 2 2 6 2" xfId="12238" xr:uid="{00000000-0005-0000-0000-0000BD2F0000}"/>
    <cellStyle name="Normal 2 56 2 2 6 3" xfId="12239" xr:uid="{00000000-0005-0000-0000-0000BE2F0000}"/>
    <cellStyle name="Normal 2 56 2 2 7" xfId="12240" xr:uid="{00000000-0005-0000-0000-0000BF2F0000}"/>
    <cellStyle name="Normal 2 56 2 2 7 2" xfId="12241" xr:uid="{00000000-0005-0000-0000-0000C02F0000}"/>
    <cellStyle name="Normal 2 56 2 2 7 3" xfId="12242" xr:uid="{00000000-0005-0000-0000-0000C12F0000}"/>
    <cellStyle name="Normal 2 56 2 2 8" xfId="12243" xr:uid="{00000000-0005-0000-0000-0000C22F0000}"/>
    <cellStyle name="Normal 2 56 2 2 8 2" xfId="12244" xr:uid="{00000000-0005-0000-0000-0000C32F0000}"/>
    <cellStyle name="Normal 2 56 2 2 8 3" xfId="12245" xr:uid="{00000000-0005-0000-0000-0000C42F0000}"/>
    <cellStyle name="Normal 2 56 2 2 9" xfId="12246" xr:uid="{00000000-0005-0000-0000-0000C52F0000}"/>
    <cellStyle name="Normal 2 56 2 2 9 2" xfId="12247" xr:uid="{00000000-0005-0000-0000-0000C62F0000}"/>
    <cellStyle name="Normal 2 56 2 2 9 3" xfId="12248" xr:uid="{00000000-0005-0000-0000-0000C72F0000}"/>
    <cellStyle name="Normal 2 56 2 3" xfId="12249" xr:uid="{00000000-0005-0000-0000-0000C82F0000}"/>
    <cellStyle name="Normal 2 56 2 3 2" xfId="12250" xr:uid="{00000000-0005-0000-0000-0000C92F0000}"/>
    <cellStyle name="Normal 2 56 2 3 3" xfId="12251" xr:uid="{00000000-0005-0000-0000-0000CA2F0000}"/>
    <cellStyle name="Normal 2 56 2 4" xfId="12252" xr:uid="{00000000-0005-0000-0000-0000CB2F0000}"/>
    <cellStyle name="Normal 2 56 2 4 2" xfId="12253" xr:uid="{00000000-0005-0000-0000-0000CC2F0000}"/>
    <cellStyle name="Normal 2 56 2 4 3" xfId="12254" xr:uid="{00000000-0005-0000-0000-0000CD2F0000}"/>
    <cellStyle name="Normal 2 56 2 5" xfId="12255" xr:uid="{00000000-0005-0000-0000-0000CE2F0000}"/>
    <cellStyle name="Normal 2 56 2 5 2" xfId="12256" xr:uid="{00000000-0005-0000-0000-0000CF2F0000}"/>
    <cellStyle name="Normal 2 56 2 5 3" xfId="12257" xr:uid="{00000000-0005-0000-0000-0000D02F0000}"/>
    <cellStyle name="Normal 2 56 2 6" xfId="12258" xr:uid="{00000000-0005-0000-0000-0000D12F0000}"/>
    <cellStyle name="Normal 2 56 2 6 2" xfId="12259" xr:uid="{00000000-0005-0000-0000-0000D22F0000}"/>
    <cellStyle name="Normal 2 56 2 6 3" xfId="12260" xr:uid="{00000000-0005-0000-0000-0000D32F0000}"/>
    <cellStyle name="Normal 2 56 2 7" xfId="12261" xr:uid="{00000000-0005-0000-0000-0000D42F0000}"/>
    <cellStyle name="Normal 2 56 2 7 2" xfId="12262" xr:uid="{00000000-0005-0000-0000-0000D52F0000}"/>
    <cellStyle name="Normal 2 56 2 7 3" xfId="12263" xr:uid="{00000000-0005-0000-0000-0000D62F0000}"/>
    <cellStyle name="Normal 2 56 2 8" xfId="12264" xr:uid="{00000000-0005-0000-0000-0000D72F0000}"/>
    <cellStyle name="Normal 2 56 2 8 2" xfId="12265" xr:uid="{00000000-0005-0000-0000-0000D82F0000}"/>
    <cellStyle name="Normal 2 56 2 8 3" xfId="12266" xr:uid="{00000000-0005-0000-0000-0000D92F0000}"/>
    <cellStyle name="Normal 2 56 2 9" xfId="12267" xr:uid="{00000000-0005-0000-0000-0000DA2F0000}"/>
    <cellStyle name="Normal 2 56 2 9 2" xfId="12268" xr:uid="{00000000-0005-0000-0000-0000DB2F0000}"/>
    <cellStyle name="Normal 2 56 2 9 3" xfId="12269" xr:uid="{00000000-0005-0000-0000-0000DC2F0000}"/>
    <cellStyle name="Normal 2 56 20" xfId="12270" xr:uid="{00000000-0005-0000-0000-0000DD2F0000}"/>
    <cellStyle name="Normal 2 56 20 2" xfId="12271" xr:uid="{00000000-0005-0000-0000-0000DE2F0000}"/>
    <cellStyle name="Normal 2 56 20 3" xfId="12272" xr:uid="{00000000-0005-0000-0000-0000DF2F0000}"/>
    <cellStyle name="Normal 2 56 21" xfId="12273" xr:uid="{00000000-0005-0000-0000-0000E02F0000}"/>
    <cellStyle name="Normal 2 56 21 2" xfId="12274" xr:uid="{00000000-0005-0000-0000-0000E12F0000}"/>
    <cellStyle name="Normal 2 56 21 3" xfId="12275" xr:uid="{00000000-0005-0000-0000-0000E22F0000}"/>
    <cellStyle name="Normal 2 56 22" xfId="12276" xr:uid="{00000000-0005-0000-0000-0000E32F0000}"/>
    <cellStyle name="Normal 2 56 22 2" xfId="12277" xr:uid="{00000000-0005-0000-0000-0000E42F0000}"/>
    <cellStyle name="Normal 2 56 22 3" xfId="12278" xr:uid="{00000000-0005-0000-0000-0000E52F0000}"/>
    <cellStyle name="Normal 2 56 23" xfId="12279" xr:uid="{00000000-0005-0000-0000-0000E62F0000}"/>
    <cellStyle name="Normal 2 56 23 2" xfId="12280" xr:uid="{00000000-0005-0000-0000-0000E72F0000}"/>
    <cellStyle name="Normal 2 56 23 3" xfId="12281" xr:uid="{00000000-0005-0000-0000-0000E82F0000}"/>
    <cellStyle name="Normal 2 56 24" xfId="12282" xr:uid="{00000000-0005-0000-0000-0000E92F0000}"/>
    <cellStyle name="Normal 2 56 25" xfId="12283" xr:uid="{00000000-0005-0000-0000-0000EA2F0000}"/>
    <cellStyle name="Normal 2 56 3" xfId="12284" xr:uid="{00000000-0005-0000-0000-0000EB2F0000}"/>
    <cellStyle name="Normal 2 56 3 10" xfId="12285" xr:uid="{00000000-0005-0000-0000-0000EC2F0000}"/>
    <cellStyle name="Normal 2 56 3 10 2" xfId="12286" xr:uid="{00000000-0005-0000-0000-0000ED2F0000}"/>
    <cellStyle name="Normal 2 56 3 10 3" xfId="12287" xr:uid="{00000000-0005-0000-0000-0000EE2F0000}"/>
    <cellStyle name="Normal 2 56 3 11" xfId="12288" xr:uid="{00000000-0005-0000-0000-0000EF2F0000}"/>
    <cellStyle name="Normal 2 56 3 11 2" xfId="12289" xr:uid="{00000000-0005-0000-0000-0000F02F0000}"/>
    <cellStyle name="Normal 2 56 3 11 3" xfId="12290" xr:uid="{00000000-0005-0000-0000-0000F12F0000}"/>
    <cellStyle name="Normal 2 56 3 12" xfId="12291" xr:uid="{00000000-0005-0000-0000-0000F22F0000}"/>
    <cellStyle name="Normal 2 56 3 12 2" xfId="12292" xr:uid="{00000000-0005-0000-0000-0000F32F0000}"/>
    <cellStyle name="Normal 2 56 3 12 3" xfId="12293" xr:uid="{00000000-0005-0000-0000-0000F42F0000}"/>
    <cellStyle name="Normal 2 56 3 13" xfId="12294" xr:uid="{00000000-0005-0000-0000-0000F52F0000}"/>
    <cellStyle name="Normal 2 56 3 13 2" xfId="12295" xr:uid="{00000000-0005-0000-0000-0000F62F0000}"/>
    <cellStyle name="Normal 2 56 3 13 3" xfId="12296" xr:uid="{00000000-0005-0000-0000-0000F72F0000}"/>
    <cellStyle name="Normal 2 56 3 14" xfId="12297" xr:uid="{00000000-0005-0000-0000-0000F82F0000}"/>
    <cellStyle name="Normal 2 56 3 14 2" xfId="12298" xr:uid="{00000000-0005-0000-0000-0000F92F0000}"/>
    <cellStyle name="Normal 2 56 3 14 3" xfId="12299" xr:uid="{00000000-0005-0000-0000-0000FA2F0000}"/>
    <cellStyle name="Normal 2 56 3 15" xfId="12300" xr:uid="{00000000-0005-0000-0000-0000FB2F0000}"/>
    <cellStyle name="Normal 2 56 3 15 2" xfId="12301" xr:uid="{00000000-0005-0000-0000-0000FC2F0000}"/>
    <cellStyle name="Normal 2 56 3 15 3" xfId="12302" xr:uid="{00000000-0005-0000-0000-0000FD2F0000}"/>
    <cellStyle name="Normal 2 56 3 16" xfId="12303" xr:uid="{00000000-0005-0000-0000-0000FE2F0000}"/>
    <cellStyle name="Normal 2 56 3 17" xfId="12304" xr:uid="{00000000-0005-0000-0000-0000FF2F0000}"/>
    <cellStyle name="Normal 2 56 3 2" xfId="12305" xr:uid="{00000000-0005-0000-0000-000000300000}"/>
    <cellStyle name="Normal 2 56 3 2 10" xfId="12306" xr:uid="{00000000-0005-0000-0000-000001300000}"/>
    <cellStyle name="Normal 2 56 3 2 10 2" xfId="12307" xr:uid="{00000000-0005-0000-0000-000002300000}"/>
    <cellStyle name="Normal 2 56 3 2 10 3" xfId="12308" xr:uid="{00000000-0005-0000-0000-000003300000}"/>
    <cellStyle name="Normal 2 56 3 2 11" xfId="12309" xr:uid="{00000000-0005-0000-0000-000004300000}"/>
    <cellStyle name="Normal 2 56 3 2 11 2" xfId="12310" xr:uid="{00000000-0005-0000-0000-000005300000}"/>
    <cellStyle name="Normal 2 56 3 2 11 3" xfId="12311" xr:uid="{00000000-0005-0000-0000-000006300000}"/>
    <cellStyle name="Normal 2 56 3 2 12" xfId="12312" xr:uid="{00000000-0005-0000-0000-000007300000}"/>
    <cellStyle name="Normal 2 56 3 2 12 2" xfId="12313" xr:uid="{00000000-0005-0000-0000-000008300000}"/>
    <cellStyle name="Normal 2 56 3 2 12 3" xfId="12314" xr:uid="{00000000-0005-0000-0000-000009300000}"/>
    <cellStyle name="Normal 2 56 3 2 13" xfId="12315" xr:uid="{00000000-0005-0000-0000-00000A300000}"/>
    <cellStyle name="Normal 2 56 3 2 13 2" xfId="12316" xr:uid="{00000000-0005-0000-0000-00000B300000}"/>
    <cellStyle name="Normal 2 56 3 2 13 3" xfId="12317" xr:uid="{00000000-0005-0000-0000-00000C300000}"/>
    <cellStyle name="Normal 2 56 3 2 14" xfId="12318" xr:uid="{00000000-0005-0000-0000-00000D300000}"/>
    <cellStyle name="Normal 2 56 3 2 14 2" xfId="12319" xr:uid="{00000000-0005-0000-0000-00000E300000}"/>
    <cellStyle name="Normal 2 56 3 2 14 3" xfId="12320" xr:uid="{00000000-0005-0000-0000-00000F300000}"/>
    <cellStyle name="Normal 2 56 3 2 15" xfId="12321" xr:uid="{00000000-0005-0000-0000-000010300000}"/>
    <cellStyle name="Normal 2 56 3 2 16" xfId="12322" xr:uid="{00000000-0005-0000-0000-000011300000}"/>
    <cellStyle name="Normal 2 56 3 2 2" xfId="12323" xr:uid="{00000000-0005-0000-0000-000012300000}"/>
    <cellStyle name="Normal 2 56 3 2 2 2" xfId="12324" xr:uid="{00000000-0005-0000-0000-000013300000}"/>
    <cellStyle name="Normal 2 56 3 2 2 3" xfId="12325" xr:uid="{00000000-0005-0000-0000-000014300000}"/>
    <cellStyle name="Normal 2 56 3 2 3" xfId="12326" xr:uid="{00000000-0005-0000-0000-000015300000}"/>
    <cellStyle name="Normal 2 56 3 2 3 2" xfId="12327" xr:uid="{00000000-0005-0000-0000-000016300000}"/>
    <cellStyle name="Normal 2 56 3 2 3 3" xfId="12328" xr:uid="{00000000-0005-0000-0000-000017300000}"/>
    <cellStyle name="Normal 2 56 3 2 4" xfId="12329" xr:uid="{00000000-0005-0000-0000-000018300000}"/>
    <cellStyle name="Normal 2 56 3 2 4 2" xfId="12330" xr:uid="{00000000-0005-0000-0000-000019300000}"/>
    <cellStyle name="Normal 2 56 3 2 4 3" xfId="12331" xr:uid="{00000000-0005-0000-0000-00001A300000}"/>
    <cellStyle name="Normal 2 56 3 2 5" xfId="12332" xr:uid="{00000000-0005-0000-0000-00001B300000}"/>
    <cellStyle name="Normal 2 56 3 2 5 2" xfId="12333" xr:uid="{00000000-0005-0000-0000-00001C300000}"/>
    <cellStyle name="Normal 2 56 3 2 5 3" xfId="12334" xr:uid="{00000000-0005-0000-0000-00001D300000}"/>
    <cellStyle name="Normal 2 56 3 2 6" xfId="12335" xr:uid="{00000000-0005-0000-0000-00001E300000}"/>
    <cellStyle name="Normal 2 56 3 2 6 2" xfId="12336" xr:uid="{00000000-0005-0000-0000-00001F300000}"/>
    <cellStyle name="Normal 2 56 3 2 6 3" xfId="12337" xr:uid="{00000000-0005-0000-0000-000020300000}"/>
    <cellStyle name="Normal 2 56 3 2 7" xfId="12338" xr:uid="{00000000-0005-0000-0000-000021300000}"/>
    <cellStyle name="Normal 2 56 3 2 7 2" xfId="12339" xr:uid="{00000000-0005-0000-0000-000022300000}"/>
    <cellStyle name="Normal 2 56 3 2 7 3" xfId="12340" xr:uid="{00000000-0005-0000-0000-000023300000}"/>
    <cellStyle name="Normal 2 56 3 2 8" xfId="12341" xr:uid="{00000000-0005-0000-0000-000024300000}"/>
    <cellStyle name="Normal 2 56 3 2 8 2" xfId="12342" xr:uid="{00000000-0005-0000-0000-000025300000}"/>
    <cellStyle name="Normal 2 56 3 2 8 3" xfId="12343" xr:uid="{00000000-0005-0000-0000-000026300000}"/>
    <cellStyle name="Normal 2 56 3 2 9" xfId="12344" xr:uid="{00000000-0005-0000-0000-000027300000}"/>
    <cellStyle name="Normal 2 56 3 2 9 2" xfId="12345" xr:uid="{00000000-0005-0000-0000-000028300000}"/>
    <cellStyle name="Normal 2 56 3 2 9 3" xfId="12346" xr:uid="{00000000-0005-0000-0000-000029300000}"/>
    <cellStyle name="Normal 2 56 3 3" xfId="12347" xr:uid="{00000000-0005-0000-0000-00002A300000}"/>
    <cellStyle name="Normal 2 56 3 3 2" xfId="12348" xr:uid="{00000000-0005-0000-0000-00002B300000}"/>
    <cellStyle name="Normal 2 56 3 3 3" xfId="12349" xr:uid="{00000000-0005-0000-0000-00002C300000}"/>
    <cellStyle name="Normal 2 56 3 4" xfId="12350" xr:uid="{00000000-0005-0000-0000-00002D300000}"/>
    <cellStyle name="Normal 2 56 3 4 2" xfId="12351" xr:uid="{00000000-0005-0000-0000-00002E300000}"/>
    <cellStyle name="Normal 2 56 3 4 3" xfId="12352" xr:uid="{00000000-0005-0000-0000-00002F300000}"/>
    <cellStyle name="Normal 2 56 3 5" xfId="12353" xr:uid="{00000000-0005-0000-0000-000030300000}"/>
    <cellStyle name="Normal 2 56 3 5 2" xfId="12354" xr:uid="{00000000-0005-0000-0000-000031300000}"/>
    <cellStyle name="Normal 2 56 3 5 3" xfId="12355" xr:uid="{00000000-0005-0000-0000-000032300000}"/>
    <cellStyle name="Normal 2 56 3 6" xfId="12356" xr:uid="{00000000-0005-0000-0000-000033300000}"/>
    <cellStyle name="Normal 2 56 3 6 2" xfId="12357" xr:uid="{00000000-0005-0000-0000-000034300000}"/>
    <cellStyle name="Normal 2 56 3 6 3" xfId="12358" xr:uid="{00000000-0005-0000-0000-000035300000}"/>
    <cellStyle name="Normal 2 56 3 7" xfId="12359" xr:uid="{00000000-0005-0000-0000-000036300000}"/>
    <cellStyle name="Normal 2 56 3 7 2" xfId="12360" xr:uid="{00000000-0005-0000-0000-000037300000}"/>
    <cellStyle name="Normal 2 56 3 7 3" xfId="12361" xr:uid="{00000000-0005-0000-0000-000038300000}"/>
    <cellStyle name="Normal 2 56 3 8" xfId="12362" xr:uid="{00000000-0005-0000-0000-000039300000}"/>
    <cellStyle name="Normal 2 56 3 8 2" xfId="12363" xr:uid="{00000000-0005-0000-0000-00003A300000}"/>
    <cellStyle name="Normal 2 56 3 8 3" xfId="12364" xr:uid="{00000000-0005-0000-0000-00003B300000}"/>
    <cellStyle name="Normal 2 56 3 9" xfId="12365" xr:uid="{00000000-0005-0000-0000-00003C300000}"/>
    <cellStyle name="Normal 2 56 3 9 2" xfId="12366" xr:uid="{00000000-0005-0000-0000-00003D300000}"/>
    <cellStyle name="Normal 2 56 3 9 3" xfId="12367" xr:uid="{00000000-0005-0000-0000-00003E300000}"/>
    <cellStyle name="Normal 2 56 4" xfId="12368" xr:uid="{00000000-0005-0000-0000-00003F300000}"/>
    <cellStyle name="Normal 2 56 4 10" xfId="12369" xr:uid="{00000000-0005-0000-0000-000040300000}"/>
    <cellStyle name="Normal 2 56 4 10 2" xfId="12370" xr:uid="{00000000-0005-0000-0000-000041300000}"/>
    <cellStyle name="Normal 2 56 4 10 3" xfId="12371" xr:uid="{00000000-0005-0000-0000-000042300000}"/>
    <cellStyle name="Normal 2 56 4 11" xfId="12372" xr:uid="{00000000-0005-0000-0000-000043300000}"/>
    <cellStyle name="Normal 2 56 4 11 2" xfId="12373" xr:uid="{00000000-0005-0000-0000-000044300000}"/>
    <cellStyle name="Normal 2 56 4 11 3" xfId="12374" xr:uid="{00000000-0005-0000-0000-000045300000}"/>
    <cellStyle name="Normal 2 56 4 12" xfId="12375" xr:uid="{00000000-0005-0000-0000-000046300000}"/>
    <cellStyle name="Normal 2 56 4 12 2" xfId="12376" xr:uid="{00000000-0005-0000-0000-000047300000}"/>
    <cellStyle name="Normal 2 56 4 12 3" xfId="12377" xr:uid="{00000000-0005-0000-0000-000048300000}"/>
    <cellStyle name="Normal 2 56 4 13" xfId="12378" xr:uid="{00000000-0005-0000-0000-000049300000}"/>
    <cellStyle name="Normal 2 56 4 13 2" xfId="12379" xr:uid="{00000000-0005-0000-0000-00004A300000}"/>
    <cellStyle name="Normal 2 56 4 13 3" xfId="12380" xr:uid="{00000000-0005-0000-0000-00004B300000}"/>
    <cellStyle name="Normal 2 56 4 14" xfId="12381" xr:uid="{00000000-0005-0000-0000-00004C300000}"/>
    <cellStyle name="Normal 2 56 4 14 2" xfId="12382" xr:uid="{00000000-0005-0000-0000-00004D300000}"/>
    <cellStyle name="Normal 2 56 4 14 3" xfId="12383" xr:uid="{00000000-0005-0000-0000-00004E300000}"/>
    <cellStyle name="Normal 2 56 4 15" xfId="12384" xr:uid="{00000000-0005-0000-0000-00004F300000}"/>
    <cellStyle name="Normal 2 56 4 15 2" xfId="12385" xr:uid="{00000000-0005-0000-0000-000050300000}"/>
    <cellStyle name="Normal 2 56 4 15 3" xfId="12386" xr:uid="{00000000-0005-0000-0000-000051300000}"/>
    <cellStyle name="Normal 2 56 4 16" xfId="12387" xr:uid="{00000000-0005-0000-0000-000052300000}"/>
    <cellStyle name="Normal 2 56 4 17" xfId="12388" xr:uid="{00000000-0005-0000-0000-000053300000}"/>
    <cellStyle name="Normal 2 56 4 2" xfId="12389" xr:uid="{00000000-0005-0000-0000-000054300000}"/>
    <cellStyle name="Normal 2 56 4 2 10" xfId="12390" xr:uid="{00000000-0005-0000-0000-000055300000}"/>
    <cellStyle name="Normal 2 56 4 2 10 2" xfId="12391" xr:uid="{00000000-0005-0000-0000-000056300000}"/>
    <cellStyle name="Normal 2 56 4 2 10 3" xfId="12392" xr:uid="{00000000-0005-0000-0000-000057300000}"/>
    <cellStyle name="Normal 2 56 4 2 11" xfId="12393" xr:uid="{00000000-0005-0000-0000-000058300000}"/>
    <cellStyle name="Normal 2 56 4 2 11 2" xfId="12394" xr:uid="{00000000-0005-0000-0000-000059300000}"/>
    <cellStyle name="Normal 2 56 4 2 11 3" xfId="12395" xr:uid="{00000000-0005-0000-0000-00005A300000}"/>
    <cellStyle name="Normal 2 56 4 2 12" xfId="12396" xr:uid="{00000000-0005-0000-0000-00005B300000}"/>
    <cellStyle name="Normal 2 56 4 2 12 2" xfId="12397" xr:uid="{00000000-0005-0000-0000-00005C300000}"/>
    <cellStyle name="Normal 2 56 4 2 12 3" xfId="12398" xr:uid="{00000000-0005-0000-0000-00005D300000}"/>
    <cellStyle name="Normal 2 56 4 2 13" xfId="12399" xr:uid="{00000000-0005-0000-0000-00005E300000}"/>
    <cellStyle name="Normal 2 56 4 2 13 2" xfId="12400" xr:uid="{00000000-0005-0000-0000-00005F300000}"/>
    <cellStyle name="Normal 2 56 4 2 13 3" xfId="12401" xr:uid="{00000000-0005-0000-0000-000060300000}"/>
    <cellStyle name="Normal 2 56 4 2 14" xfId="12402" xr:uid="{00000000-0005-0000-0000-000061300000}"/>
    <cellStyle name="Normal 2 56 4 2 14 2" xfId="12403" xr:uid="{00000000-0005-0000-0000-000062300000}"/>
    <cellStyle name="Normal 2 56 4 2 14 3" xfId="12404" xr:uid="{00000000-0005-0000-0000-000063300000}"/>
    <cellStyle name="Normal 2 56 4 2 15" xfId="12405" xr:uid="{00000000-0005-0000-0000-000064300000}"/>
    <cellStyle name="Normal 2 56 4 2 16" xfId="12406" xr:uid="{00000000-0005-0000-0000-000065300000}"/>
    <cellStyle name="Normal 2 56 4 2 2" xfId="12407" xr:uid="{00000000-0005-0000-0000-000066300000}"/>
    <cellStyle name="Normal 2 56 4 2 2 2" xfId="12408" xr:uid="{00000000-0005-0000-0000-000067300000}"/>
    <cellStyle name="Normal 2 56 4 2 2 3" xfId="12409" xr:uid="{00000000-0005-0000-0000-000068300000}"/>
    <cellStyle name="Normal 2 56 4 2 3" xfId="12410" xr:uid="{00000000-0005-0000-0000-000069300000}"/>
    <cellStyle name="Normal 2 56 4 2 3 2" xfId="12411" xr:uid="{00000000-0005-0000-0000-00006A300000}"/>
    <cellStyle name="Normal 2 56 4 2 3 3" xfId="12412" xr:uid="{00000000-0005-0000-0000-00006B300000}"/>
    <cellStyle name="Normal 2 56 4 2 4" xfId="12413" xr:uid="{00000000-0005-0000-0000-00006C300000}"/>
    <cellStyle name="Normal 2 56 4 2 4 2" xfId="12414" xr:uid="{00000000-0005-0000-0000-00006D300000}"/>
    <cellStyle name="Normal 2 56 4 2 4 3" xfId="12415" xr:uid="{00000000-0005-0000-0000-00006E300000}"/>
    <cellStyle name="Normal 2 56 4 2 5" xfId="12416" xr:uid="{00000000-0005-0000-0000-00006F300000}"/>
    <cellStyle name="Normal 2 56 4 2 5 2" xfId="12417" xr:uid="{00000000-0005-0000-0000-000070300000}"/>
    <cellStyle name="Normal 2 56 4 2 5 3" xfId="12418" xr:uid="{00000000-0005-0000-0000-000071300000}"/>
    <cellStyle name="Normal 2 56 4 2 6" xfId="12419" xr:uid="{00000000-0005-0000-0000-000072300000}"/>
    <cellStyle name="Normal 2 56 4 2 6 2" xfId="12420" xr:uid="{00000000-0005-0000-0000-000073300000}"/>
    <cellStyle name="Normal 2 56 4 2 6 3" xfId="12421" xr:uid="{00000000-0005-0000-0000-000074300000}"/>
    <cellStyle name="Normal 2 56 4 2 7" xfId="12422" xr:uid="{00000000-0005-0000-0000-000075300000}"/>
    <cellStyle name="Normal 2 56 4 2 7 2" xfId="12423" xr:uid="{00000000-0005-0000-0000-000076300000}"/>
    <cellStyle name="Normal 2 56 4 2 7 3" xfId="12424" xr:uid="{00000000-0005-0000-0000-000077300000}"/>
    <cellStyle name="Normal 2 56 4 2 8" xfId="12425" xr:uid="{00000000-0005-0000-0000-000078300000}"/>
    <cellStyle name="Normal 2 56 4 2 8 2" xfId="12426" xr:uid="{00000000-0005-0000-0000-000079300000}"/>
    <cellStyle name="Normal 2 56 4 2 8 3" xfId="12427" xr:uid="{00000000-0005-0000-0000-00007A300000}"/>
    <cellStyle name="Normal 2 56 4 2 9" xfId="12428" xr:uid="{00000000-0005-0000-0000-00007B300000}"/>
    <cellStyle name="Normal 2 56 4 2 9 2" xfId="12429" xr:uid="{00000000-0005-0000-0000-00007C300000}"/>
    <cellStyle name="Normal 2 56 4 2 9 3" xfId="12430" xr:uid="{00000000-0005-0000-0000-00007D300000}"/>
    <cellStyle name="Normal 2 56 4 3" xfId="12431" xr:uid="{00000000-0005-0000-0000-00007E300000}"/>
    <cellStyle name="Normal 2 56 4 3 2" xfId="12432" xr:uid="{00000000-0005-0000-0000-00007F300000}"/>
    <cellStyle name="Normal 2 56 4 3 3" xfId="12433" xr:uid="{00000000-0005-0000-0000-000080300000}"/>
    <cellStyle name="Normal 2 56 4 4" xfId="12434" xr:uid="{00000000-0005-0000-0000-000081300000}"/>
    <cellStyle name="Normal 2 56 4 4 2" xfId="12435" xr:uid="{00000000-0005-0000-0000-000082300000}"/>
    <cellStyle name="Normal 2 56 4 4 3" xfId="12436" xr:uid="{00000000-0005-0000-0000-000083300000}"/>
    <cellStyle name="Normal 2 56 4 5" xfId="12437" xr:uid="{00000000-0005-0000-0000-000084300000}"/>
    <cellStyle name="Normal 2 56 4 5 2" xfId="12438" xr:uid="{00000000-0005-0000-0000-000085300000}"/>
    <cellStyle name="Normal 2 56 4 5 3" xfId="12439" xr:uid="{00000000-0005-0000-0000-000086300000}"/>
    <cellStyle name="Normal 2 56 4 6" xfId="12440" xr:uid="{00000000-0005-0000-0000-000087300000}"/>
    <cellStyle name="Normal 2 56 4 6 2" xfId="12441" xr:uid="{00000000-0005-0000-0000-000088300000}"/>
    <cellStyle name="Normal 2 56 4 6 3" xfId="12442" xr:uid="{00000000-0005-0000-0000-000089300000}"/>
    <cellStyle name="Normal 2 56 4 7" xfId="12443" xr:uid="{00000000-0005-0000-0000-00008A300000}"/>
    <cellStyle name="Normal 2 56 4 7 2" xfId="12444" xr:uid="{00000000-0005-0000-0000-00008B300000}"/>
    <cellStyle name="Normal 2 56 4 7 3" xfId="12445" xr:uid="{00000000-0005-0000-0000-00008C300000}"/>
    <cellStyle name="Normal 2 56 4 8" xfId="12446" xr:uid="{00000000-0005-0000-0000-00008D300000}"/>
    <cellStyle name="Normal 2 56 4 8 2" xfId="12447" xr:uid="{00000000-0005-0000-0000-00008E300000}"/>
    <cellStyle name="Normal 2 56 4 8 3" xfId="12448" xr:uid="{00000000-0005-0000-0000-00008F300000}"/>
    <cellStyle name="Normal 2 56 4 9" xfId="12449" xr:uid="{00000000-0005-0000-0000-000090300000}"/>
    <cellStyle name="Normal 2 56 4 9 2" xfId="12450" xr:uid="{00000000-0005-0000-0000-000091300000}"/>
    <cellStyle name="Normal 2 56 4 9 3" xfId="12451" xr:uid="{00000000-0005-0000-0000-000092300000}"/>
    <cellStyle name="Normal 2 56 5" xfId="12452" xr:uid="{00000000-0005-0000-0000-000093300000}"/>
    <cellStyle name="Normal 2 56 5 10" xfId="12453" xr:uid="{00000000-0005-0000-0000-000094300000}"/>
    <cellStyle name="Normal 2 56 5 10 2" xfId="12454" xr:uid="{00000000-0005-0000-0000-000095300000}"/>
    <cellStyle name="Normal 2 56 5 10 3" xfId="12455" xr:uid="{00000000-0005-0000-0000-000096300000}"/>
    <cellStyle name="Normal 2 56 5 11" xfId="12456" xr:uid="{00000000-0005-0000-0000-000097300000}"/>
    <cellStyle name="Normal 2 56 5 11 2" xfId="12457" xr:uid="{00000000-0005-0000-0000-000098300000}"/>
    <cellStyle name="Normal 2 56 5 11 3" xfId="12458" xr:uid="{00000000-0005-0000-0000-000099300000}"/>
    <cellStyle name="Normal 2 56 5 12" xfId="12459" xr:uid="{00000000-0005-0000-0000-00009A300000}"/>
    <cellStyle name="Normal 2 56 5 12 2" xfId="12460" xr:uid="{00000000-0005-0000-0000-00009B300000}"/>
    <cellStyle name="Normal 2 56 5 12 3" xfId="12461" xr:uid="{00000000-0005-0000-0000-00009C300000}"/>
    <cellStyle name="Normal 2 56 5 13" xfId="12462" xr:uid="{00000000-0005-0000-0000-00009D300000}"/>
    <cellStyle name="Normal 2 56 5 13 2" xfId="12463" xr:uid="{00000000-0005-0000-0000-00009E300000}"/>
    <cellStyle name="Normal 2 56 5 13 3" xfId="12464" xr:uid="{00000000-0005-0000-0000-00009F300000}"/>
    <cellStyle name="Normal 2 56 5 14" xfId="12465" xr:uid="{00000000-0005-0000-0000-0000A0300000}"/>
    <cellStyle name="Normal 2 56 5 14 2" xfId="12466" xr:uid="{00000000-0005-0000-0000-0000A1300000}"/>
    <cellStyle name="Normal 2 56 5 14 3" xfId="12467" xr:uid="{00000000-0005-0000-0000-0000A2300000}"/>
    <cellStyle name="Normal 2 56 5 15" xfId="12468" xr:uid="{00000000-0005-0000-0000-0000A3300000}"/>
    <cellStyle name="Normal 2 56 5 16" xfId="12469" xr:uid="{00000000-0005-0000-0000-0000A4300000}"/>
    <cellStyle name="Normal 2 56 5 2" xfId="12470" xr:uid="{00000000-0005-0000-0000-0000A5300000}"/>
    <cellStyle name="Normal 2 56 5 2 2" xfId="12471" xr:uid="{00000000-0005-0000-0000-0000A6300000}"/>
    <cellStyle name="Normal 2 56 5 2 3" xfId="12472" xr:uid="{00000000-0005-0000-0000-0000A7300000}"/>
    <cellStyle name="Normal 2 56 5 3" xfId="12473" xr:uid="{00000000-0005-0000-0000-0000A8300000}"/>
    <cellStyle name="Normal 2 56 5 3 2" xfId="12474" xr:uid="{00000000-0005-0000-0000-0000A9300000}"/>
    <cellStyle name="Normal 2 56 5 3 3" xfId="12475" xr:uid="{00000000-0005-0000-0000-0000AA300000}"/>
    <cellStyle name="Normal 2 56 5 4" xfId="12476" xr:uid="{00000000-0005-0000-0000-0000AB300000}"/>
    <cellStyle name="Normal 2 56 5 4 2" xfId="12477" xr:uid="{00000000-0005-0000-0000-0000AC300000}"/>
    <cellStyle name="Normal 2 56 5 4 3" xfId="12478" xr:uid="{00000000-0005-0000-0000-0000AD300000}"/>
    <cellStyle name="Normal 2 56 5 5" xfId="12479" xr:uid="{00000000-0005-0000-0000-0000AE300000}"/>
    <cellStyle name="Normal 2 56 5 5 2" xfId="12480" xr:uid="{00000000-0005-0000-0000-0000AF300000}"/>
    <cellStyle name="Normal 2 56 5 5 3" xfId="12481" xr:uid="{00000000-0005-0000-0000-0000B0300000}"/>
    <cellStyle name="Normal 2 56 5 6" xfId="12482" xr:uid="{00000000-0005-0000-0000-0000B1300000}"/>
    <cellStyle name="Normal 2 56 5 6 2" xfId="12483" xr:uid="{00000000-0005-0000-0000-0000B2300000}"/>
    <cellStyle name="Normal 2 56 5 6 3" xfId="12484" xr:uid="{00000000-0005-0000-0000-0000B3300000}"/>
    <cellStyle name="Normal 2 56 5 7" xfId="12485" xr:uid="{00000000-0005-0000-0000-0000B4300000}"/>
    <cellStyle name="Normal 2 56 5 7 2" xfId="12486" xr:uid="{00000000-0005-0000-0000-0000B5300000}"/>
    <cellStyle name="Normal 2 56 5 7 3" xfId="12487" xr:uid="{00000000-0005-0000-0000-0000B6300000}"/>
    <cellStyle name="Normal 2 56 5 8" xfId="12488" xr:uid="{00000000-0005-0000-0000-0000B7300000}"/>
    <cellStyle name="Normal 2 56 5 8 2" xfId="12489" xr:uid="{00000000-0005-0000-0000-0000B8300000}"/>
    <cellStyle name="Normal 2 56 5 8 3" xfId="12490" xr:uid="{00000000-0005-0000-0000-0000B9300000}"/>
    <cellStyle name="Normal 2 56 5 9" xfId="12491" xr:uid="{00000000-0005-0000-0000-0000BA300000}"/>
    <cellStyle name="Normal 2 56 5 9 2" xfId="12492" xr:uid="{00000000-0005-0000-0000-0000BB300000}"/>
    <cellStyle name="Normal 2 56 5 9 3" xfId="12493" xr:uid="{00000000-0005-0000-0000-0000BC300000}"/>
    <cellStyle name="Normal 2 56 6" xfId="12494" xr:uid="{00000000-0005-0000-0000-0000BD300000}"/>
    <cellStyle name="Normal 2 56 6 10" xfId="12495" xr:uid="{00000000-0005-0000-0000-0000BE300000}"/>
    <cellStyle name="Normal 2 56 6 10 2" xfId="12496" xr:uid="{00000000-0005-0000-0000-0000BF300000}"/>
    <cellStyle name="Normal 2 56 6 10 3" xfId="12497" xr:uid="{00000000-0005-0000-0000-0000C0300000}"/>
    <cellStyle name="Normal 2 56 6 11" xfId="12498" xr:uid="{00000000-0005-0000-0000-0000C1300000}"/>
    <cellStyle name="Normal 2 56 6 11 2" xfId="12499" xr:uid="{00000000-0005-0000-0000-0000C2300000}"/>
    <cellStyle name="Normal 2 56 6 11 3" xfId="12500" xr:uid="{00000000-0005-0000-0000-0000C3300000}"/>
    <cellStyle name="Normal 2 56 6 12" xfId="12501" xr:uid="{00000000-0005-0000-0000-0000C4300000}"/>
    <cellStyle name="Normal 2 56 6 12 2" xfId="12502" xr:uid="{00000000-0005-0000-0000-0000C5300000}"/>
    <cellStyle name="Normal 2 56 6 12 3" xfId="12503" xr:uid="{00000000-0005-0000-0000-0000C6300000}"/>
    <cellStyle name="Normal 2 56 6 13" xfId="12504" xr:uid="{00000000-0005-0000-0000-0000C7300000}"/>
    <cellStyle name="Normal 2 56 6 13 2" xfId="12505" xr:uid="{00000000-0005-0000-0000-0000C8300000}"/>
    <cellStyle name="Normal 2 56 6 13 3" xfId="12506" xr:uid="{00000000-0005-0000-0000-0000C9300000}"/>
    <cellStyle name="Normal 2 56 6 14" xfId="12507" xr:uid="{00000000-0005-0000-0000-0000CA300000}"/>
    <cellStyle name="Normal 2 56 6 14 2" xfId="12508" xr:uid="{00000000-0005-0000-0000-0000CB300000}"/>
    <cellStyle name="Normal 2 56 6 14 3" xfId="12509" xr:uid="{00000000-0005-0000-0000-0000CC300000}"/>
    <cellStyle name="Normal 2 56 6 15" xfId="12510" xr:uid="{00000000-0005-0000-0000-0000CD300000}"/>
    <cellStyle name="Normal 2 56 6 16" xfId="12511" xr:uid="{00000000-0005-0000-0000-0000CE300000}"/>
    <cellStyle name="Normal 2 56 6 2" xfId="12512" xr:uid="{00000000-0005-0000-0000-0000CF300000}"/>
    <cellStyle name="Normal 2 56 6 2 2" xfId="12513" xr:uid="{00000000-0005-0000-0000-0000D0300000}"/>
    <cellStyle name="Normal 2 56 6 2 3" xfId="12514" xr:uid="{00000000-0005-0000-0000-0000D1300000}"/>
    <cellStyle name="Normal 2 56 6 3" xfId="12515" xr:uid="{00000000-0005-0000-0000-0000D2300000}"/>
    <cellStyle name="Normal 2 56 6 3 2" xfId="12516" xr:uid="{00000000-0005-0000-0000-0000D3300000}"/>
    <cellStyle name="Normal 2 56 6 3 3" xfId="12517" xr:uid="{00000000-0005-0000-0000-0000D4300000}"/>
    <cellStyle name="Normal 2 56 6 4" xfId="12518" xr:uid="{00000000-0005-0000-0000-0000D5300000}"/>
    <cellStyle name="Normal 2 56 6 4 2" xfId="12519" xr:uid="{00000000-0005-0000-0000-0000D6300000}"/>
    <cellStyle name="Normal 2 56 6 4 3" xfId="12520" xr:uid="{00000000-0005-0000-0000-0000D7300000}"/>
    <cellStyle name="Normal 2 56 6 5" xfId="12521" xr:uid="{00000000-0005-0000-0000-0000D8300000}"/>
    <cellStyle name="Normal 2 56 6 5 2" xfId="12522" xr:uid="{00000000-0005-0000-0000-0000D9300000}"/>
    <cellStyle name="Normal 2 56 6 5 3" xfId="12523" xr:uid="{00000000-0005-0000-0000-0000DA300000}"/>
    <cellStyle name="Normal 2 56 6 6" xfId="12524" xr:uid="{00000000-0005-0000-0000-0000DB300000}"/>
    <cellStyle name="Normal 2 56 6 6 2" xfId="12525" xr:uid="{00000000-0005-0000-0000-0000DC300000}"/>
    <cellStyle name="Normal 2 56 6 6 3" xfId="12526" xr:uid="{00000000-0005-0000-0000-0000DD300000}"/>
    <cellStyle name="Normal 2 56 6 7" xfId="12527" xr:uid="{00000000-0005-0000-0000-0000DE300000}"/>
    <cellStyle name="Normal 2 56 6 7 2" xfId="12528" xr:uid="{00000000-0005-0000-0000-0000DF300000}"/>
    <cellStyle name="Normal 2 56 6 7 3" xfId="12529" xr:uid="{00000000-0005-0000-0000-0000E0300000}"/>
    <cellStyle name="Normal 2 56 6 8" xfId="12530" xr:uid="{00000000-0005-0000-0000-0000E1300000}"/>
    <cellStyle name="Normal 2 56 6 8 2" xfId="12531" xr:uid="{00000000-0005-0000-0000-0000E2300000}"/>
    <cellStyle name="Normal 2 56 6 8 3" xfId="12532" xr:uid="{00000000-0005-0000-0000-0000E3300000}"/>
    <cellStyle name="Normal 2 56 6 9" xfId="12533" xr:uid="{00000000-0005-0000-0000-0000E4300000}"/>
    <cellStyle name="Normal 2 56 6 9 2" xfId="12534" xr:uid="{00000000-0005-0000-0000-0000E5300000}"/>
    <cellStyle name="Normal 2 56 6 9 3" xfId="12535" xr:uid="{00000000-0005-0000-0000-0000E6300000}"/>
    <cellStyle name="Normal 2 56 7" xfId="12536" xr:uid="{00000000-0005-0000-0000-0000E7300000}"/>
    <cellStyle name="Normal 2 56 7 10" xfId="12537" xr:uid="{00000000-0005-0000-0000-0000E8300000}"/>
    <cellStyle name="Normal 2 56 7 10 2" xfId="12538" xr:uid="{00000000-0005-0000-0000-0000E9300000}"/>
    <cellStyle name="Normal 2 56 7 10 3" xfId="12539" xr:uid="{00000000-0005-0000-0000-0000EA300000}"/>
    <cellStyle name="Normal 2 56 7 11" xfId="12540" xr:uid="{00000000-0005-0000-0000-0000EB300000}"/>
    <cellStyle name="Normal 2 56 7 11 2" xfId="12541" xr:uid="{00000000-0005-0000-0000-0000EC300000}"/>
    <cellStyle name="Normal 2 56 7 11 3" xfId="12542" xr:uid="{00000000-0005-0000-0000-0000ED300000}"/>
    <cellStyle name="Normal 2 56 7 12" xfId="12543" xr:uid="{00000000-0005-0000-0000-0000EE300000}"/>
    <cellStyle name="Normal 2 56 7 12 2" xfId="12544" xr:uid="{00000000-0005-0000-0000-0000EF300000}"/>
    <cellStyle name="Normal 2 56 7 12 3" xfId="12545" xr:uid="{00000000-0005-0000-0000-0000F0300000}"/>
    <cellStyle name="Normal 2 56 7 13" xfId="12546" xr:uid="{00000000-0005-0000-0000-0000F1300000}"/>
    <cellStyle name="Normal 2 56 7 13 2" xfId="12547" xr:uid="{00000000-0005-0000-0000-0000F2300000}"/>
    <cellStyle name="Normal 2 56 7 13 3" xfId="12548" xr:uid="{00000000-0005-0000-0000-0000F3300000}"/>
    <cellStyle name="Normal 2 56 7 14" xfId="12549" xr:uid="{00000000-0005-0000-0000-0000F4300000}"/>
    <cellStyle name="Normal 2 56 7 14 2" xfId="12550" xr:uid="{00000000-0005-0000-0000-0000F5300000}"/>
    <cellStyle name="Normal 2 56 7 14 3" xfId="12551" xr:uid="{00000000-0005-0000-0000-0000F6300000}"/>
    <cellStyle name="Normal 2 56 7 15" xfId="12552" xr:uid="{00000000-0005-0000-0000-0000F7300000}"/>
    <cellStyle name="Normal 2 56 7 16" xfId="12553" xr:uid="{00000000-0005-0000-0000-0000F8300000}"/>
    <cellStyle name="Normal 2 56 7 2" xfId="12554" xr:uid="{00000000-0005-0000-0000-0000F9300000}"/>
    <cellStyle name="Normal 2 56 7 2 2" xfId="12555" xr:uid="{00000000-0005-0000-0000-0000FA300000}"/>
    <cellStyle name="Normal 2 56 7 2 3" xfId="12556" xr:uid="{00000000-0005-0000-0000-0000FB300000}"/>
    <cellStyle name="Normal 2 56 7 3" xfId="12557" xr:uid="{00000000-0005-0000-0000-0000FC300000}"/>
    <cellStyle name="Normal 2 56 7 3 2" xfId="12558" xr:uid="{00000000-0005-0000-0000-0000FD300000}"/>
    <cellStyle name="Normal 2 56 7 3 3" xfId="12559" xr:uid="{00000000-0005-0000-0000-0000FE300000}"/>
    <cellStyle name="Normal 2 56 7 4" xfId="12560" xr:uid="{00000000-0005-0000-0000-0000FF300000}"/>
    <cellStyle name="Normal 2 56 7 4 2" xfId="12561" xr:uid="{00000000-0005-0000-0000-000000310000}"/>
    <cellStyle name="Normal 2 56 7 4 3" xfId="12562" xr:uid="{00000000-0005-0000-0000-000001310000}"/>
    <cellStyle name="Normal 2 56 7 5" xfId="12563" xr:uid="{00000000-0005-0000-0000-000002310000}"/>
    <cellStyle name="Normal 2 56 7 5 2" xfId="12564" xr:uid="{00000000-0005-0000-0000-000003310000}"/>
    <cellStyle name="Normal 2 56 7 5 3" xfId="12565" xr:uid="{00000000-0005-0000-0000-000004310000}"/>
    <cellStyle name="Normal 2 56 7 6" xfId="12566" xr:uid="{00000000-0005-0000-0000-000005310000}"/>
    <cellStyle name="Normal 2 56 7 6 2" xfId="12567" xr:uid="{00000000-0005-0000-0000-000006310000}"/>
    <cellStyle name="Normal 2 56 7 6 3" xfId="12568" xr:uid="{00000000-0005-0000-0000-000007310000}"/>
    <cellStyle name="Normal 2 56 7 7" xfId="12569" xr:uid="{00000000-0005-0000-0000-000008310000}"/>
    <cellStyle name="Normal 2 56 7 7 2" xfId="12570" xr:uid="{00000000-0005-0000-0000-000009310000}"/>
    <cellStyle name="Normal 2 56 7 7 3" xfId="12571" xr:uid="{00000000-0005-0000-0000-00000A310000}"/>
    <cellStyle name="Normal 2 56 7 8" xfId="12572" xr:uid="{00000000-0005-0000-0000-00000B310000}"/>
    <cellStyle name="Normal 2 56 7 8 2" xfId="12573" xr:uid="{00000000-0005-0000-0000-00000C310000}"/>
    <cellStyle name="Normal 2 56 7 8 3" xfId="12574" xr:uid="{00000000-0005-0000-0000-00000D310000}"/>
    <cellStyle name="Normal 2 56 7 9" xfId="12575" xr:uid="{00000000-0005-0000-0000-00000E310000}"/>
    <cellStyle name="Normal 2 56 7 9 2" xfId="12576" xr:uid="{00000000-0005-0000-0000-00000F310000}"/>
    <cellStyle name="Normal 2 56 7 9 3" xfId="12577" xr:uid="{00000000-0005-0000-0000-000010310000}"/>
    <cellStyle name="Normal 2 56 8" xfId="12578" xr:uid="{00000000-0005-0000-0000-000011310000}"/>
    <cellStyle name="Normal 2 56 8 10" xfId="12579" xr:uid="{00000000-0005-0000-0000-000012310000}"/>
    <cellStyle name="Normal 2 56 8 10 2" xfId="12580" xr:uid="{00000000-0005-0000-0000-000013310000}"/>
    <cellStyle name="Normal 2 56 8 10 3" xfId="12581" xr:uid="{00000000-0005-0000-0000-000014310000}"/>
    <cellStyle name="Normal 2 56 8 11" xfId="12582" xr:uid="{00000000-0005-0000-0000-000015310000}"/>
    <cellStyle name="Normal 2 56 8 11 2" xfId="12583" xr:uid="{00000000-0005-0000-0000-000016310000}"/>
    <cellStyle name="Normal 2 56 8 11 3" xfId="12584" xr:uid="{00000000-0005-0000-0000-000017310000}"/>
    <cellStyle name="Normal 2 56 8 12" xfId="12585" xr:uid="{00000000-0005-0000-0000-000018310000}"/>
    <cellStyle name="Normal 2 56 8 12 2" xfId="12586" xr:uid="{00000000-0005-0000-0000-000019310000}"/>
    <cellStyle name="Normal 2 56 8 12 3" xfId="12587" xr:uid="{00000000-0005-0000-0000-00001A310000}"/>
    <cellStyle name="Normal 2 56 8 13" xfId="12588" xr:uid="{00000000-0005-0000-0000-00001B310000}"/>
    <cellStyle name="Normal 2 56 8 13 2" xfId="12589" xr:uid="{00000000-0005-0000-0000-00001C310000}"/>
    <cellStyle name="Normal 2 56 8 13 3" xfId="12590" xr:uid="{00000000-0005-0000-0000-00001D310000}"/>
    <cellStyle name="Normal 2 56 8 14" xfId="12591" xr:uid="{00000000-0005-0000-0000-00001E310000}"/>
    <cellStyle name="Normal 2 56 8 14 2" xfId="12592" xr:uid="{00000000-0005-0000-0000-00001F310000}"/>
    <cellStyle name="Normal 2 56 8 14 3" xfId="12593" xr:uid="{00000000-0005-0000-0000-000020310000}"/>
    <cellStyle name="Normal 2 56 8 15" xfId="12594" xr:uid="{00000000-0005-0000-0000-000021310000}"/>
    <cellStyle name="Normal 2 56 8 16" xfId="12595" xr:uid="{00000000-0005-0000-0000-000022310000}"/>
    <cellStyle name="Normal 2 56 8 2" xfId="12596" xr:uid="{00000000-0005-0000-0000-000023310000}"/>
    <cellStyle name="Normal 2 56 8 2 2" xfId="12597" xr:uid="{00000000-0005-0000-0000-000024310000}"/>
    <cellStyle name="Normal 2 56 8 2 3" xfId="12598" xr:uid="{00000000-0005-0000-0000-000025310000}"/>
    <cellStyle name="Normal 2 56 8 3" xfId="12599" xr:uid="{00000000-0005-0000-0000-000026310000}"/>
    <cellStyle name="Normal 2 56 8 3 2" xfId="12600" xr:uid="{00000000-0005-0000-0000-000027310000}"/>
    <cellStyle name="Normal 2 56 8 3 3" xfId="12601" xr:uid="{00000000-0005-0000-0000-000028310000}"/>
    <cellStyle name="Normal 2 56 8 4" xfId="12602" xr:uid="{00000000-0005-0000-0000-000029310000}"/>
    <cellStyle name="Normal 2 56 8 4 2" xfId="12603" xr:uid="{00000000-0005-0000-0000-00002A310000}"/>
    <cellStyle name="Normal 2 56 8 4 3" xfId="12604" xr:uid="{00000000-0005-0000-0000-00002B310000}"/>
    <cellStyle name="Normal 2 56 8 5" xfId="12605" xr:uid="{00000000-0005-0000-0000-00002C310000}"/>
    <cellStyle name="Normal 2 56 8 5 2" xfId="12606" xr:uid="{00000000-0005-0000-0000-00002D310000}"/>
    <cellStyle name="Normal 2 56 8 5 3" xfId="12607" xr:uid="{00000000-0005-0000-0000-00002E310000}"/>
    <cellStyle name="Normal 2 56 8 6" xfId="12608" xr:uid="{00000000-0005-0000-0000-00002F310000}"/>
    <cellStyle name="Normal 2 56 8 6 2" xfId="12609" xr:uid="{00000000-0005-0000-0000-000030310000}"/>
    <cellStyle name="Normal 2 56 8 6 3" xfId="12610" xr:uid="{00000000-0005-0000-0000-000031310000}"/>
    <cellStyle name="Normal 2 56 8 7" xfId="12611" xr:uid="{00000000-0005-0000-0000-000032310000}"/>
    <cellStyle name="Normal 2 56 8 7 2" xfId="12612" xr:uid="{00000000-0005-0000-0000-000033310000}"/>
    <cellStyle name="Normal 2 56 8 7 3" xfId="12613" xr:uid="{00000000-0005-0000-0000-000034310000}"/>
    <cellStyle name="Normal 2 56 8 8" xfId="12614" xr:uid="{00000000-0005-0000-0000-000035310000}"/>
    <cellStyle name="Normal 2 56 8 8 2" xfId="12615" xr:uid="{00000000-0005-0000-0000-000036310000}"/>
    <cellStyle name="Normal 2 56 8 8 3" xfId="12616" xr:uid="{00000000-0005-0000-0000-000037310000}"/>
    <cellStyle name="Normal 2 56 8 9" xfId="12617" xr:uid="{00000000-0005-0000-0000-000038310000}"/>
    <cellStyle name="Normal 2 56 8 9 2" xfId="12618" xr:uid="{00000000-0005-0000-0000-000039310000}"/>
    <cellStyle name="Normal 2 56 8 9 3" xfId="12619" xr:uid="{00000000-0005-0000-0000-00003A310000}"/>
    <cellStyle name="Normal 2 56 9" xfId="12620" xr:uid="{00000000-0005-0000-0000-00003B310000}"/>
    <cellStyle name="Normal 2 56 9 10" xfId="12621" xr:uid="{00000000-0005-0000-0000-00003C310000}"/>
    <cellStyle name="Normal 2 56 9 10 2" xfId="12622" xr:uid="{00000000-0005-0000-0000-00003D310000}"/>
    <cellStyle name="Normal 2 56 9 10 3" xfId="12623" xr:uid="{00000000-0005-0000-0000-00003E310000}"/>
    <cellStyle name="Normal 2 56 9 11" xfId="12624" xr:uid="{00000000-0005-0000-0000-00003F310000}"/>
    <cellStyle name="Normal 2 56 9 11 2" xfId="12625" xr:uid="{00000000-0005-0000-0000-000040310000}"/>
    <cellStyle name="Normal 2 56 9 11 3" xfId="12626" xr:uid="{00000000-0005-0000-0000-000041310000}"/>
    <cellStyle name="Normal 2 56 9 12" xfId="12627" xr:uid="{00000000-0005-0000-0000-000042310000}"/>
    <cellStyle name="Normal 2 56 9 12 2" xfId="12628" xr:uid="{00000000-0005-0000-0000-000043310000}"/>
    <cellStyle name="Normal 2 56 9 12 3" xfId="12629" xr:uid="{00000000-0005-0000-0000-000044310000}"/>
    <cellStyle name="Normal 2 56 9 13" xfId="12630" xr:uid="{00000000-0005-0000-0000-000045310000}"/>
    <cellStyle name="Normal 2 56 9 13 2" xfId="12631" xr:uid="{00000000-0005-0000-0000-000046310000}"/>
    <cellStyle name="Normal 2 56 9 13 3" xfId="12632" xr:uid="{00000000-0005-0000-0000-000047310000}"/>
    <cellStyle name="Normal 2 56 9 14" xfId="12633" xr:uid="{00000000-0005-0000-0000-000048310000}"/>
    <cellStyle name="Normal 2 56 9 14 2" xfId="12634" xr:uid="{00000000-0005-0000-0000-000049310000}"/>
    <cellStyle name="Normal 2 56 9 14 3" xfId="12635" xr:uid="{00000000-0005-0000-0000-00004A310000}"/>
    <cellStyle name="Normal 2 56 9 15" xfId="12636" xr:uid="{00000000-0005-0000-0000-00004B310000}"/>
    <cellStyle name="Normal 2 56 9 16" xfId="12637" xr:uid="{00000000-0005-0000-0000-00004C310000}"/>
    <cellStyle name="Normal 2 56 9 2" xfId="12638" xr:uid="{00000000-0005-0000-0000-00004D310000}"/>
    <cellStyle name="Normal 2 56 9 2 2" xfId="12639" xr:uid="{00000000-0005-0000-0000-00004E310000}"/>
    <cellStyle name="Normal 2 56 9 2 3" xfId="12640" xr:uid="{00000000-0005-0000-0000-00004F310000}"/>
    <cellStyle name="Normal 2 56 9 3" xfId="12641" xr:uid="{00000000-0005-0000-0000-000050310000}"/>
    <cellStyle name="Normal 2 56 9 3 2" xfId="12642" xr:uid="{00000000-0005-0000-0000-000051310000}"/>
    <cellStyle name="Normal 2 56 9 3 3" xfId="12643" xr:uid="{00000000-0005-0000-0000-000052310000}"/>
    <cellStyle name="Normal 2 56 9 4" xfId="12644" xr:uid="{00000000-0005-0000-0000-000053310000}"/>
    <cellStyle name="Normal 2 56 9 4 2" xfId="12645" xr:uid="{00000000-0005-0000-0000-000054310000}"/>
    <cellStyle name="Normal 2 56 9 4 3" xfId="12646" xr:uid="{00000000-0005-0000-0000-000055310000}"/>
    <cellStyle name="Normal 2 56 9 5" xfId="12647" xr:uid="{00000000-0005-0000-0000-000056310000}"/>
    <cellStyle name="Normal 2 56 9 5 2" xfId="12648" xr:uid="{00000000-0005-0000-0000-000057310000}"/>
    <cellStyle name="Normal 2 56 9 5 3" xfId="12649" xr:uid="{00000000-0005-0000-0000-000058310000}"/>
    <cellStyle name="Normal 2 56 9 6" xfId="12650" xr:uid="{00000000-0005-0000-0000-000059310000}"/>
    <cellStyle name="Normal 2 56 9 6 2" xfId="12651" xr:uid="{00000000-0005-0000-0000-00005A310000}"/>
    <cellStyle name="Normal 2 56 9 6 3" xfId="12652" xr:uid="{00000000-0005-0000-0000-00005B310000}"/>
    <cellStyle name="Normal 2 56 9 7" xfId="12653" xr:uid="{00000000-0005-0000-0000-00005C310000}"/>
    <cellStyle name="Normal 2 56 9 7 2" xfId="12654" xr:uid="{00000000-0005-0000-0000-00005D310000}"/>
    <cellStyle name="Normal 2 56 9 7 3" xfId="12655" xr:uid="{00000000-0005-0000-0000-00005E310000}"/>
    <cellStyle name="Normal 2 56 9 8" xfId="12656" xr:uid="{00000000-0005-0000-0000-00005F310000}"/>
    <cellStyle name="Normal 2 56 9 8 2" xfId="12657" xr:uid="{00000000-0005-0000-0000-000060310000}"/>
    <cellStyle name="Normal 2 56 9 8 3" xfId="12658" xr:uid="{00000000-0005-0000-0000-000061310000}"/>
    <cellStyle name="Normal 2 56 9 9" xfId="12659" xr:uid="{00000000-0005-0000-0000-000062310000}"/>
    <cellStyle name="Normal 2 56 9 9 2" xfId="12660" xr:uid="{00000000-0005-0000-0000-000063310000}"/>
    <cellStyle name="Normal 2 56 9 9 3" xfId="12661" xr:uid="{00000000-0005-0000-0000-000064310000}"/>
    <cellStyle name="Normal 2 57" xfId="12662" xr:uid="{00000000-0005-0000-0000-000065310000}"/>
    <cellStyle name="Normal 2 57 10" xfId="12663" xr:uid="{00000000-0005-0000-0000-000066310000}"/>
    <cellStyle name="Normal 2 57 10 10" xfId="12664" xr:uid="{00000000-0005-0000-0000-000067310000}"/>
    <cellStyle name="Normal 2 57 10 10 2" xfId="12665" xr:uid="{00000000-0005-0000-0000-000068310000}"/>
    <cellStyle name="Normal 2 57 10 10 3" xfId="12666" xr:uid="{00000000-0005-0000-0000-000069310000}"/>
    <cellStyle name="Normal 2 57 10 11" xfId="12667" xr:uid="{00000000-0005-0000-0000-00006A310000}"/>
    <cellStyle name="Normal 2 57 10 11 2" xfId="12668" xr:uid="{00000000-0005-0000-0000-00006B310000}"/>
    <cellStyle name="Normal 2 57 10 11 3" xfId="12669" xr:uid="{00000000-0005-0000-0000-00006C310000}"/>
    <cellStyle name="Normal 2 57 10 12" xfId="12670" xr:uid="{00000000-0005-0000-0000-00006D310000}"/>
    <cellStyle name="Normal 2 57 10 12 2" xfId="12671" xr:uid="{00000000-0005-0000-0000-00006E310000}"/>
    <cellStyle name="Normal 2 57 10 12 3" xfId="12672" xr:uid="{00000000-0005-0000-0000-00006F310000}"/>
    <cellStyle name="Normal 2 57 10 13" xfId="12673" xr:uid="{00000000-0005-0000-0000-000070310000}"/>
    <cellStyle name="Normal 2 57 10 13 2" xfId="12674" xr:uid="{00000000-0005-0000-0000-000071310000}"/>
    <cellStyle name="Normal 2 57 10 13 3" xfId="12675" xr:uid="{00000000-0005-0000-0000-000072310000}"/>
    <cellStyle name="Normal 2 57 10 14" xfId="12676" xr:uid="{00000000-0005-0000-0000-000073310000}"/>
    <cellStyle name="Normal 2 57 10 14 2" xfId="12677" xr:uid="{00000000-0005-0000-0000-000074310000}"/>
    <cellStyle name="Normal 2 57 10 14 3" xfId="12678" xr:uid="{00000000-0005-0000-0000-000075310000}"/>
    <cellStyle name="Normal 2 57 10 15" xfId="12679" xr:uid="{00000000-0005-0000-0000-000076310000}"/>
    <cellStyle name="Normal 2 57 10 16" xfId="12680" xr:uid="{00000000-0005-0000-0000-000077310000}"/>
    <cellStyle name="Normal 2 57 10 2" xfId="12681" xr:uid="{00000000-0005-0000-0000-000078310000}"/>
    <cellStyle name="Normal 2 57 10 2 2" xfId="12682" xr:uid="{00000000-0005-0000-0000-000079310000}"/>
    <cellStyle name="Normal 2 57 10 2 3" xfId="12683" xr:uid="{00000000-0005-0000-0000-00007A310000}"/>
    <cellStyle name="Normal 2 57 10 3" xfId="12684" xr:uid="{00000000-0005-0000-0000-00007B310000}"/>
    <cellStyle name="Normal 2 57 10 3 2" xfId="12685" xr:uid="{00000000-0005-0000-0000-00007C310000}"/>
    <cellStyle name="Normal 2 57 10 3 3" xfId="12686" xr:uid="{00000000-0005-0000-0000-00007D310000}"/>
    <cellStyle name="Normal 2 57 10 4" xfId="12687" xr:uid="{00000000-0005-0000-0000-00007E310000}"/>
    <cellStyle name="Normal 2 57 10 4 2" xfId="12688" xr:uid="{00000000-0005-0000-0000-00007F310000}"/>
    <cellStyle name="Normal 2 57 10 4 3" xfId="12689" xr:uid="{00000000-0005-0000-0000-000080310000}"/>
    <cellStyle name="Normal 2 57 10 5" xfId="12690" xr:uid="{00000000-0005-0000-0000-000081310000}"/>
    <cellStyle name="Normal 2 57 10 5 2" xfId="12691" xr:uid="{00000000-0005-0000-0000-000082310000}"/>
    <cellStyle name="Normal 2 57 10 5 3" xfId="12692" xr:uid="{00000000-0005-0000-0000-000083310000}"/>
    <cellStyle name="Normal 2 57 10 6" xfId="12693" xr:uid="{00000000-0005-0000-0000-000084310000}"/>
    <cellStyle name="Normal 2 57 10 6 2" xfId="12694" xr:uid="{00000000-0005-0000-0000-000085310000}"/>
    <cellStyle name="Normal 2 57 10 6 3" xfId="12695" xr:uid="{00000000-0005-0000-0000-000086310000}"/>
    <cellStyle name="Normal 2 57 10 7" xfId="12696" xr:uid="{00000000-0005-0000-0000-000087310000}"/>
    <cellStyle name="Normal 2 57 10 7 2" xfId="12697" xr:uid="{00000000-0005-0000-0000-000088310000}"/>
    <cellStyle name="Normal 2 57 10 7 3" xfId="12698" xr:uid="{00000000-0005-0000-0000-000089310000}"/>
    <cellStyle name="Normal 2 57 10 8" xfId="12699" xr:uid="{00000000-0005-0000-0000-00008A310000}"/>
    <cellStyle name="Normal 2 57 10 8 2" xfId="12700" xr:uid="{00000000-0005-0000-0000-00008B310000}"/>
    <cellStyle name="Normal 2 57 10 8 3" xfId="12701" xr:uid="{00000000-0005-0000-0000-00008C310000}"/>
    <cellStyle name="Normal 2 57 10 9" xfId="12702" xr:uid="{00000000-0005-0000-0000-00008D310000}"/>
    <cellStyle name="Normal 2 57 10 9 2" xfId="12703" xr:uid="{00000000-0005-0000-0000-00008E310000}"/>
    <cellStyle name="Normal 2 57 10 9 3" xfId="12704" xr:uid="{00000000-0005-0000-0000-00008F310000}"/>
    <cellStyle name="Normal 2 57 11" xfId="12705" xr:uid="{00000000-0005-0000-0000-000090310000}"/>
    <cellStyle name="Normal 2 57 11 2" xfId="12706" xr:uid="{00000000-0005-0000-0000-000091310000}"/>
    <cellStyle name="Normal 2 57 11 3" xfId="12707" xr:uid="{00000000-0005-0000-0000-000092310000}"/>
    <cellStyle name="Normal 2 57 12" xfId="12708" xr:uid="{00000000-0005-0000-0000-000093310000}"/>
    <cellStyle name="Normal 2 57 12 2" xfId="12709" xr:uid="{00000000-0005-0000-0000-000094310000}"/>
    <cellStyle name="Normal 2 57 12 3" xfId="12710" xr:uid="{00000000-0005-0000-0000-000095310000}"/>
    <cellStyle name="Normal 2 57 13" xfId="12711" xr:uid="{00000000-0005-0000-0000-000096310000}"/>
    <cellStyle name="Normal 2 57 13 2" xfId="12712" xr:uid="{00000000-0005-0000-0000-000097310000}"/>
    <cellStyle name="Normal 2 57 13 3" xfId="12713" xr:uid="{00000000-0005-0000-0000-000098310000}"/>
    <cellStyle name="Normal 2 57 14" xfId="12714" xr:uid="{00000000-0005-0000-0000-000099310000}"/>
    <cellStyle name="Normal 2 57 14 2" xfId="12715" xr:uid="{00000000-0005-0000-0000-00009A310000}"/>
    <cellStyle name="Normal 2 57 14 3" xfId="12716" xr:uid="{00000000-0005-0000-0000-00009B310000}"/>
    <cellStyle name="Normal 2 57 15" xfId="12717" xr:uid="{00000000-0005-0000-0000-00009C310000}"/>
    <cellStyle name="Normal 2 57 15 2" xfId="12718" xr:uid="{00000000-0005-0000-0000-00009D310000}"/>
    <cellStyle name="Normal 2 57 15 3" xfId="12719" xr:uid="{00000000-0005-0000-0000-00009E310000}"/>
    <cellStyle name="Normal 2 57 16" xfId="12720" xr:uid="{00000000-0005-0000-0000-00009F310000}"/>
    <cellStyle name="Normal 2 57 16 2" xfId="12721" xr:uid="{00000000-0005-0000-0000-0000A0310000}"/>
    <cellStyle name="Normal 2 57 16 3" xfId="12722" xr:uid="{00000000-0005-0000-0000-0000A1310000}"/>
    <cellStyle name="Normal 2 57 17" xfId="12723" xr:uid="{00000000-0005-0000-0000-0000A2310000}"/>
    <cellStyle name="Normal 2 57 17 2" xfId="12724" xr:uid="{00000000-0005-0000-0000-0000A3310000}"/>
    <cellStyle name="Normal 2 57 17 3" xfId="12725" xr:uid="{00000000-0005-0000-0000-0000A4310000}"/>
    <cellStyle name="Normal 2 57 18" xfId="12726" xr:uid="{00000000-0005-0000-0000-0000A5310000}"/>
    <cellStyle name="Normal 2 57 18 2" xfId="12727" xr:uid="{00000000-0005-0000-0000-0000A6310000}"/>
    <cellStyle name="Normal 2 57 18 3" xfId="12728" xr:uid="{00000000-0005-0000-0000-0000A7310000}"/>
    <cellStyle name="Normal 2 57 19" xfId="12729" xr:uid="{00000000-0005-0000-0000-0000A8310000}"/>
    <cellStyle name="Normal 2 57 19 2" xfId="12730" xr:uid="{00000000-0005-0000-0000-0000A9310000}"/>
    <cellStyle name="Normal 2 57 19 3" xfId="12731" xr:uid="{00000000-0005-0000-0000-0000AA310000}"/>
    <cellStyle name="Normal 2 57 2" xfId="12732" xr:uid="{00000000-0005-0000-0000-0000AB310000}"/>
    <cellStyle name="Normal 2 57 2 10" xfId="12733" xr:uid="{00000000-0005-0000-0000-0000AC310000}"/>
    <cellStyle name="Normal 2 57 2 10 2" xfId="12734" xr:uid="{00000000-0005-0000-0000-0000AD310000}"/>
    <cellStyle name="Normal 2 57 2 10 3" xfId="12735" xr:uid="{00000000-0005-0000-0000-0000AE310000}"/>
    <cellStyle name="Normal 2 57 2 11" xfId="12736" xr:uid="{00000000-0005-0000-0000-0000AF310000}"/>
    <cellStyle name="Normal 2 57 2 11 2" xfId="12737" xr:uid="{00000000-0005-0000-0000-0000B0310000}"/>
    <cellStyle name="Normal 2 57 2 11 3" xfId="12738" xr:uid="{00000000-0005-0000-0000-0000B1310000}"/>
    <cellStyle name="Normal 2 57 2 12" xfId="12739" xr:uid="{00000000-0005-0000-0000-0000B2310000}"/>
    <cellStyle name="Normal 2 57 2 12 2" xfId="12740" xr:uid="{00000000-0005-0000-0000-0000B3310000}"/>
    <cellStyle name="Normal 2 57 2 12 3" xfId="12741" xr:uid="{00000000-0005-0000-0000-0000B4310000}"/>
    <cellStyle name="Normal 2 57 2 13" xfId="12742" xr:uid="{00000000-0005-0000-0000-0000B5310000}"/>
    <cellStyle name="Normal 2 57 2 13 2" xfId="12743" xr:uid="{00000000-0005-0000-0000-0000B6310000}"/>
    <cellStyle name="Normal 2 57 2 13 3" xfId="12744" xr:uid="{00000000-0005-0000-0000-0000B7310000}"/>
    <cellStyle name="Normal 2 57 2 14" xfId="12745" xr:uid="{00000000-0005-0000-0000-0000B8310000}"/>
    <cellStyle name="Normal 2 57 2 14 2" xfId="12746" xr:uid="{00000000-0005-0000-0000-0000B9310000}"/>
    <cellStyle name="Normal 2 57 2 14 3" xfId="12747" xr:uid="{00000000-0005-0000-0000-0000BA310000}"/>
    <cellStyle name="Normal 2 57 2 15" xfId="12748" xr:uid="{00000000-0005-0000-0000-0000BB310000}"/>
    <cellStyle name="Normal 2 57 2 15 2" xfId="12749" xr:uid="{00000000-0005-0000-0000-0000BC310000}"/>
    <cellStyle name="Normal 2 57 2 15 3" xfId="12750" xr:uid="{00000000-0005-0000-0000-0000BD310000}"/>
    <cellStyle name="Normal 2 57 2 16" xfId="12751" xr:uid="{00000000-0005-0000-0000-0000BE310000}"/>
    <cellStyle name="Normal 2 57 2 17" xfId="12752" xr:uid="{00000000-0005-0000-0000-0000BF310000}"/>
    <cellStyle name="Normal 2 57 2 2" xfId="12753" xr:uid="{00000000-0005-0000-0000-0000C0310000}"/>
    <cellStyle name="Normal 2 57 2 2 10" xfId="12754" xr:uid="{00000000-0005-0000-0000-0000C1310000}"/>
    <cellStyle name="Normal 2 57 2 2 10 2" xfId="12755" xr:uid="{00000000-0005-0000-0000-0000C2310000}"/>
    <cellStyle name="Normal 2 57 2 2 10 3" xfId="12756" xr:uid="{00000000-0005-0000-0000-0000C3310000}"/>
    <cellStyle name="Normal 2 57 2 2 11" xfId="12757" xr:uid="{00000000-0005-0000-0000-0000C4310000}"/>
    <cellStyle name="Normal 2 57 2 2 11 2" xfId="12758" xr:uid="{00000000-0005-0000-0000-0000C5310000}"/>
    <cellStyle name="Normal 2 57 2 2 11 3" xfId="12759" xr:uid="{00000000-0005-0000-0000-0000C6310000}"/>
    <cellStyle name="Normal 2 57 2 2 12" xfId="12760" xr:uid="{00000000-0005-0000-0000-0000C7310000}"/>
    <cellStyle name="Normal 2 57 2 2 12 2" xfId="12761" xr:uid="{00000000-0005-0000-0000-0000C8310000}"/>
    <cellStyle name="Normal 2 57 2 2 12 3" xfId="12762" xr:uid="{00000000-0005-0000-0000-0000C9310000}"/>
    <cellStyle name="Normal 2 57 2 2 13" xfId="12763" xr:uid="{00000000-0005-0000-0000-0000CA310000}"/>
    <cellStyle name="Normal 2 57 2 2 13 2" xfId="12764" xr:uid="{00000000-0005-0000-0000-0000CB310000}"/>
    <cellStyle name="Normal 2 57 2 2 13 3" xfId="12765" xr:uid="{00000000-0005-0000-0000-0000CC310000}"/>
    <cellStyle name="Normal 2 57 2 2 14" xfId="12766" xr:uid="{00000000-0005-0000-0000-0000CD310000}"/>
    <cellStyle name="Normal 2 57 2 2 14 2" xfId="12767" xr:uid="{00000000-0005-0000-0000-0000CE310000}"/>
    <cellStyle name="Normal 2 57 2 2 14 3" xfId="12768" xr:uid="{00000000-0005-0000-0000-0000CF310000}"/>
    <cellStyle name="Normal 2 57 2 2 15" xfId="12769" xr:uid="{00000000-0005-0000-0000-0000D0310000}"/>
    <cellStyle name="Normal 2 57 2 2 16" xfId="12770" xr:uid="{00000000-0005-0000-0000-0000D1310000}"/>
    <cellStyle name="Normal 2 57 2 2 2" xfId="12771" xr:uid="{00000000-0005-0000-0000-0000D2310000}"/>
    <cellStyle name="Normal 2 57 2 2 2 2" xfId="12772" xr:uid="{00000000-0005-0000-0000-0000D3310000}"/>
    <cellStyle name="Normal 2 57 2 2 2 3" xfId="12773" xr:uid="{00000000-0005-0000-0000-0000D4310000}"/>
    <cellStyle name="Normal 2 57 2 2 3" xfId="12774" xr:uid="{00000000-0005-0000-0000-0000D5310000}"/>
    <cellStyle name="Normal 2 57 2 2 3 2" xfId="12775" xr:uid="{00000000-0005-0000-0000-0000D6310000}"/>
    <cellStyle name="Normal 2 57 2 2 3 3" xfId="12776" xr:uid="{00000000-0005-0000-0000-0000D7310000}"/>
    <cellStyle name="Normal 2 57 2 2 4" xfId="12777" xr:uid="{00000000-0005-0000-0000-0000D8310000}"/>
    <cellStyle name="Normal 2 57 2 2 4 2" xfId="12778" xr:uid="{00000000-0005-0000-0000-0000D9310000}"/>
    <cellStyle name="Normal 2 57 2 2 4 3" xfId="12779" xr:uid="{00000000-0005-0000-0000-0000DA310000}"/>
    <cellStyle name="Normal 2 57 2 2 5" xfId="12780" xr:uid="{00000000-0005-0000-0000-0000DB310000}"/>
    <cellStyle name="Normal 2 57 2 2 5 2" xfId="12781" xr:uid="{00000000-0005-0000-0000-0000DC310000}"/>
    <cellStyle name="Normal 2 57 2 2 5 3" xfId="12782" xr:uid="{00000000-0005-0000-0000-0000DD310000}"/>
    <cellStyle name="Normal 2 57 2 2 6" xfId="12783" xr:uid="{00000000-0005-0000-0000-0000DE310000}"/>
    <cellStyle name="Normal 2 57 2 2 6 2" xfId="12784" xr:uid="{00000000-0005-0000-0000-0000DF310000}"/>
    <cellStyle name="Normal 2 57 2 2 6 3" xfId="12785" xr:uid="{00000000-0005-0000-0000-0000E0310000}"/>
    <cellStyle name="Normal 2 57 2 2 7" xfId="12786" xr:uid="{00000000-0005-0000-0000-0000E1310000}"/>
    <cellStyle name="Normal 2 57 2 2 7 2" xfId="12787" xr:uid="{00000000-0005-0000-0000-0000E2310000}"/>
    <cellStyle name="Normal 2 57 2 2 7 3" xfId="12788" xr:uid="{00000000-0005-0000-0000-0000E3310000}"/>
    <cellStyle name="Normal 2 57 2 2 8" xfId="12789" xr:uid="{00000000-0005-0000-0000-0000E4310000}"/>
    <cellStyle name="Normal 2 57 2 2 8 2" xfId="12790" xr:uid="{00000000-0005-0000-0000-0000E5310000}"/>
    <cellStyle name="Normal 2 57 2 2 8 3" xfId="12791" xr:uid="{00000000-0005-0000-0000-0000E6310000}"/>
    <cellStyle name="Normal 2 57 2 2 9" xfId="12792" xr:uid="{00000000-0005-0000-0000-0000E7310000}"/>
    <cellStyle name="Normal 2 57 2 2 9 2" xfId="12793" xr:uid="{00000000-0005-0000-0000-0000E8310000}"/>
    <cellStyle name="Normal 2 57 2 2 9 3" xfId="12794" xr:uid="{00000000-0005-0000-0000-0000E9310000}"/>
    <cellStyle name="Normal 2 57 2 3" xfId="12795" xr:uid="{00000000-0005-0000-0000-0000EA310000}"/>
    <cellStyle name="Normal 2 57 2 3 2" xfId="12796" xr:uid="{00000000-0005-0000-0000-0000EB310000}"/>
    <cellStyle name="Normal 2 57 2 3 3" xfId="12797" xr:uid="{00000000-0005-0000-0000-0000EC310000}"/>
    <cellStyle name="Normal 2 57 2 4" xfId="12798" xr:uid="{00000000-0005-0000-0000-0000ED310000}"/>
    <cellStyle name="Normal 2 57 2 4 2" xfId="12799" xr:uid="{00000000-0005-0000-0000-0000EE310000}"/>
    <cellStyle name="Normal 2 57 2 4 3" xfId="12800" xr:uid="{00000000-0005-0000-0000-0000EF310000}"/>
    <cellStyle name="Normal 2 57 2 5" xfId="12801" xr:uid="{00000000-0005-0000-0000-0000F0310000}"/>
    <cellStyle name="Normal 2 57 2 5 2" xfId="12802" xr:uid="{00000000-0005-0000-0000-0000F1310000}"/>
    <cellStyle name="Normal 2 57 2 5 3" xfId="12803" xr:uid="{00000000-0005-0000-0000-0000F2310000}"/>
    <cellStyle name="Normal 2 57 2 6" xfId="12804" xr:uid="{00000000-0005-0000-0000-0000F3310000}"/>
    <cellStyle name="Normal 2 57 2 6 2" xfId="12805" xr:uid="{00000000-0005-0000-0000-0000F4310000}"/>
    <cellStyle name="Normal 2 57 2 6 3" xfId="12806" xr:uid="{00000000-0005-0000-0000-0000F5310000}"/>
    <cellStyle name="Normal 2 57 2 7" xfId="12807" xr:uid="{00000000-0005-0000-0000-0000F6310000}"/>
    <cellStyle name="Normal 2 57 2 7 2" xfId="12808" xr:uid="{00000000-0005-0000-0000-0000F7310000}"/>
    <cellStyle name="Normal 2 57 2 7 3" xfId="12809" xr:uid="{00000000-0005-0000-0000-0000F8310000}"/>
    <cellStyle name="Normal 2 57 2 8" xfId="12810" xr:uid="{00000000-0005-0000-0000-0000F9310000}"/>
    <cellStyle name="Normal 2 57 2 8 2" xfId="12811" xr:uid="{00000000-0005-0000-0000-0000FA310000}"/>
    <cellStyle name="Normal 2 57 2 8 3" xfId="12812" xr:uid="{00000000-0005-0000-0000-0000FB310000}"/>
    <cellStyle name="Normal 2 57 2 9" xfId="12813" xr:uid="{00000000-0005-0000-0000-0000FC310000}"/>
    <cellStyle name="Normal 2 57 2 9 2" xfId="12814" xr:uid="{00000000-0005-0000-0000-0000FD310000}"/>
    <cellStyle name="Normal 2 57 2 9 3" xfId="12815" xr:uid="{00000000-0005-0000-0000-0000FE310000}"/>
    <cellStyle name="Normal 2 57 20" xfId="12816" xr:uid="{00000000-0005-0000-0000-0000FF310000}"/>
    <cellStyle name="Normal 2 57 20 2" xfId="12817" xr:uid="{00000000-0005-0000-0000-000000320000}"/>
    <cellStyle name="Normal 2 57 20 3" xfId="12818" xr:uid="{00000000-0005-0000-0000-000001320000}"/>
    <cellStyle name="Normal 2 57 21" xfId="12819" xr:uid="{00000000-0005-0000-0000-000002320000}"/>
    <cellStyle name="Normal 2 57 21 2" xfId="12820" xr:uid="{00000000-0005-0000-0000-000003320000}"/>
    <cellStyle name="Normal 2 57 21 3" xfId="12821" xr:uid="{00000000-0005-0000-0000-000004320000}"/>
    <cellStyle name="Normal 2 57 22" xfId="12822" xr:uid="{00000000-0005-0000-0000-000005320000}"/>
    <cellStyle name="Normal 2 57 22 2" xfId="12823" xr:uid="{00000000-0005-0000-0000-000006320000}"/>
    <cellStyle name="Normal 2 57 22 3" xfId="12824" xr:uid="{00000000-0005-0000-0000-000007320000}"/>
    <cellStyle name="Normal 2 57 23" xfId="12825" xr:uid="{00000000-0005-0000-0000-000008320000}"/>
    <cellStyle name="Normal 2 57 23 2" xfId="12826" xr:uid="{00000000-0005-0000-0000-000009320000}"/>
    <cellStyle name="Normal 2 57 23 3" xfId="12827" xr:uid="{00000000-0005-0000-0000-00000A320000}"/>
    <cellStyle name="Normal 2 57 24" xfId="12828" xr:uid="{00000000-0005-0000-0000-00000B320000}"/>
    <cellStyle name="Normal 2 57 25" xfId="12829" xr:uid="{00000000-0005-0000-0000-00000C320000}"/>
    <cellStyle name="Normal 2 57 3" xfId="12830" xr:uid="{00000000-0005-0000-0000-00000D320000}"/>
    <cellStyle name="Normal 2 57 3 10" xfId="12831" xr:uid="{00000000-0005-0000-0000-00000E320000}"/>
    <cellStyle name="Normal 2 57 3 10 2" xfId="12832" xr:uid="{00000000-0005-0000-0000-00000F320000}"/>
    <cellStyle name="Normal 2 57 3 10 3" xfId="12833" xr:uid="{00000000-0005-0000-0000-000010320000}"/>
    <cellStyle name="Normal 2 57 3 11" xfId="12834" xr:uid="{00000000-0005-0000-0000-000011320000}"/>
    <cellStyle name="Normal 2 57 3 11 2" xfId="12835" xr:uid="{00000000-0005-0000-0000-000012320000}"/>
    <cellStyle name="Normal 2 57 3 11 3" xfId="12836" xr:uid="{00000000-0005-0000-0000-000013320000}"/>
    <cellStyle name="Normal 2 57 3 12" xfId="12837" xr:uid="{00000000-0005-0000-0000-000014320000}"/>
    <cellStyle name="Normal 2 57 3 12 2" xfId="12838" xr:uid="{00000000-0005-0000-0000-000015320000}"/>
    <cellStyle name="Normal 2 57 3 12 3" xfId="12839" xr:uid="{00000000-0005-0000-0000-000016320000}"/>
    <cellStyle name="Normal 2 57 3 13" xfId="12840" xr:uid="{00000000-0005-0000-0000-000017320000}"/>
    <cellStyle name="Normal 2 57 3 13 2" xfId="12841" xr:uid="{00000000-0005-0000-0000-000018320000}"/>
    <cellStyle name="Normal 2 57 3 13 3" xfId="12842" xr:uid="{00000000-0005-0000-0000-000019320000}"/>
    <cellStyle name="Normal 2 57 3 14" xfId="12843" xr:uid="{00000000-0005-0000-0000-00001A320000}"/>
    <cellStyle name="Normal 2 57 3 14 2" xfId="12844" xr:uid="{00000000-0005-0000-0000-00001B320000}"/>
    <cellStyle name="Normal 2 57 3 14 3" xfId="12845" xr:uid="{00000000-0005-0000-0000-00001C320000}"/>
    <cellStyle name="Normal 2 57 3 15" xfId="12846" xr:uid="{00000000-0005-0000-0000-00001D320000}"/>
    <cellStyle name="Normal 2 57 3 15 2" xfId="12847" xr:uid="{00000000-0005-0000-0000-00001E320000}"/>
    <cellStyle name="Normal 2 57 3 15 3" xfId="12848" xr:uid="{00000000-0005-0000-0000-00001F320000}"/>
    <cellStyle name="Normal 2 57 3 16" xfId="12849" xr:uid="{00000000-0005-0000-0000-000020320000}"/>
    <cellStyle name="Normal 2 57 3 17" xfId="12850" xr:uid="{00000000-0005-0000-0000-000021320000}"/>
    <cellStyle name="Normal 2 57 3 2" xfId="12851" xr:uid="{00000000-0005-0000-0000-000022320000}"/>
    <cellStyle name="Normal 2 57 3 2 10" xfId="12852" xr:uid="{00000000-0005-0000-0000-000023320000}"/>
    <cellStyle name="Normal 2 57 3 2 10 2" xfId="12853" xr:uid="{00000000-0005-0000-0000-000024320000}"/>
    <cellStyle name="Normal 2 57 3 2 10 3" xfId="12854" xr:uid="{00000000-0005-0000-0000-000025320000}"/>
    <cellStyle name="Normal 2 57 3 2 11" xfId="12855" xr:uid="{00000000-0005-0000-0000-000026320000}"/>
    <cellStyle name="Normal 2 57 3 2 11 2" xfId="12856" xr:uid="{00000000-0005-0000-0000-000027320000}"/>
    <cellStyle name="Normal 2 57 3 2 11 3" xfId="12857" xr:uid="{00000000-0005-0000-0000-000028320000}"/>
    <cellStyle name="Normal 2 57 3 2 12" xfId="12858" xr:uid="{00000000-0005-0000-0000-000029320000}"/>
    <cellStyle name="Normal 2 57 3 2 12 2" xfId="12859" xr:uid="{00000000-0005-0000-0000-00002A320000}"/>
    <cellStyle name="Normal 2 57 3 2 12 3" xfId="12860" xr:uid="{00000000-0005-0000-0000-00002B320000}"/>
    <cellStyle name="Normal 2 57 3 2 13" xfId="12861" xr:uid="{00000000-0005-0000-0000-00002C320000}"/>
    <cellStyle name="Normal 2 57 3 2 13 2" xfId="12862" xr:uid="{00000000-0005-0000-0000-00002D320000}"/>
    <cellStyle name="Normal 2 57 3 2 13 3" xfId="12863" xr:uid="{00000000-0005-0000-0000-00002E320000}"/>
    <cellStyle name="Normal 2 57 3 2 14" xfId="12864" xr:uid="{00000000-0005-0000-0000-00002F320000}"/>
    <cellStyle name="Normal 2 57 3 2 14 2" xfId="12865" xr:uid="{00000000-0005-0000-0000-000030320000}"/>
    <cellStyle name="Normal 2 57 3 2 14 3" xfId="12866" xr:uid="{00000000-0005-0000-0000-000031320000}"/>
    <cellStyle name="Normal 2 57 3 2 15" xfId="12867" xr:uid="{00000000-0005-0000-0000-000032320000}"/>
    <cellStyle name="Normal 2 57 3 2 16" xfId="12868" xr:uid="{00000000-0005-0000-0000-000033320000}"/>
    <cellStyle name="Normal 2 57 3 2 2" xfId="12869" xr:uid="{00000000-0005-0000-0000-000034320000}"/>
    <cellStyle name="Normal 2 57 3 2 2 2" xfId="12870" xr:uid="{00000000-0005-0000-0000-000035320000}"/>
    <cellStyle name="Normal 2 57 3 2 2 3" xfId="12871" xr:uid="{00000000-0005-0000-0000-000036320000}"/>
    <cellStyle name="Normal 2 57 3 2 3" xfId="12872" xr:uid="{00000000-0005-0000-0000-000037320000}"/>
    <cellStyle name="Normal 2 57 3 2 3 2" xfId="12873" xr:uid="{00000000-0005-0000-0000-000038320000}"/>
    <cellStyle name="Normal 2 57 3 2 3 3" xfId="12874" xr:uid="{00000000-0005-0000-0000-000039320000}"/>
    <cellStyle name="Normal 2 57 3 2 4" xfId="12875" xr:uid="{00000000-0005-0000-0000-00003A320000}"/>
    <cellStyle name="Normal 2 57 3 2 4 2" xfId="12876" xr:uid="{00000000-0005-0000-0000-00003B320000}"/>
    <cellStyle name="Normal 2 57 3 2 4 3" xfId="12877" xr:uid="{00000000-0005-0000-0000-00003C320000}"/>
    <cellStyle name="Normal 2 57 3 2 5" xfId="12878" xr:uid="{00000000-0005-0000-0000-00003D320000}"/>
    <cellStyle name="Normal 2 57 3 2 5 2" xfId="12879" xr:uid="{00000000-0005-0000-0000-00003E320000}"/>
    <cellStyle name="Normal 2 57 3 2 5 3" xfId="12880" xr:uid="{00000000-0005-0000-0000-00003F320000}"/>
    <cellStyle name="Normal 2 57 3 2 6" xfId="12881" xr:uid="{00000000-0005-0000-0000-000040320000}"/>
    <cellStyle name="Normal 2 57 3 2 6 2" xfId="12882" xr:uid="{00000000-0005-0000-0000-000041320000}"/>
    <cellStyle name="Normal 2 57 3 2 6 3" xfId="12883" xr:uid="{00000000-0005-0000-0000-000042320000}"/>
    <cellStyle name="Normal 2 57 3 2 7" xfId="12884" xr:uid="{00000000-0005-0000-0000-000043320000}"/>
    <cellStyle name="Normal 2 57 3 2 7 2" xfId="12885" xr:uid="{00000000-0005-0000-0000-000044320000}"/>
    <cellStyle name="Normal 2 57 3 2 7 3" xfId="12886" xr:uid="{00000000-0005-0000-0000-000045320000}"/>
    <cellStyle name="Normal 2 57 3 2 8" xfId="12887" xr:uid="{00000000-0005-0000-0000-000046320000}"/>
    <cellStyle name="Normal 2 57 3 2 8 2" xfId="12888" xr:uid="{00000000-0005-0000-0000-000047320000}"/>
    <cellStyle name="Normal 2 57 3 2 8 3" xfId="12889" xr:uid="{00000000-0005-0000-0000-000048320000}"/>
    <cellStyle name="Normal 2 57 3 2 9" xfId="12890" xr:uid="{00000000-0005-0000-0000-000049320000}"/>
    <cellStyle name="Normal 2 57 3 2 9 2" xfId="12891" xr:uid="{00000000-0005-0000-0000-00004A320000}"/>
    <cellStyle name="Normal 2 57 3 2 9 3" xfId="12892" xr:uid="{00000000-0005-0000-0000-00004B320000}"/>
    <cellStyle name="Normal 2 57 3 3" xfId="12893" xr:uid="{00000000-0005-0000-0000-00004C320000}"/>
    <cellStyle name="Normal 2 57 3 3 2" xfId="12894" xr:uid="{00000000-0005-0000-0000-00004D320000}"/>
    <cellStyle name="Normal 2 57 3 3 3" xfId="12895" xr:uid="{00000000-0005-0000-0000-00004E320000}"/>
    <cellStyle name="Normal 2 57 3 4" xfId="12896" xr:uid="{00000000-0005-0000-0000-00004F320000}"/>
    <cellStyle name="Normal 2 57 3 4 2" xfId="12897" xr:uid="{00000000-0005-0000-0000-000050320000}"/>
    <cellStyle name="Normal 2 57 3 4 3" xfId="12898" xr:uid="{00000000-0005-0000-0000-000051320000}"/>
    <cellStyle name="Normal 2 57 3 5" xfId="12899" xr:uid="{00000000-0005-0000-0000-000052320000}"/>
    <cellStyle name="Normal 2 57 3 5 2" xfId="12900" xr:uid="{00000000-0005-0000-0000-000053320000}"/>
    <cellStyle name="Normal 2 57 3 5 3" xfId="12901" xr:uid="{00000000-0005-0000-0000-000054320000}"/>
    <cellStyle name="Normal 2 57 3 6" xfId="12902" xr:uid="{00000000-0005-0000-0000-000055320000}"/>
    <cellStyle name="Normal 2 57 3 6 2" xfId="12903" xr:uid="{00000000-0005-0000-0000-000056320000}"/>
    <cellStyle name="Normal 2 57 3 6 3" xfId="12904" xr:uid="{00000000-0005-0000-0000-000057320000}"/>
    <cellStyle name="Normal 2 57 3 7" xfId="12905" xr:uid="{00000000-0005-0000-0000-000058320000}"/>
    <cellStyle name="Normal 2 57 3 7 2" xfId="12906" xr:uid="{00000000-0005-0000-0000-000059320000}"/>
    <cellStyle name="Normal 2 57 3 7 3" xfId="12907" xr:uid="{00000000-0005-0000-0000-00005A320000}"/>
    <cellStyle name="Normal 2 57 3 8" xfId="12908" xr:uid="{00000000-0005-0000-0000-00005B320000}"/>
    <cellStyle name="Normal 2 57 3 8 2" xfId="12909" xr:uid="{00000000-0005-0000-0000-00005C320000}"/>
    <cellStyle name="Normal 2 57 3 8 3" xfId="12910" xr:uid="{00000000-0005-0000-0000-00005D320000}"/>
    <cellStyle name="Normal 2 57 3 9" xfId="12911" xr:uid="{00000000-0005-0000-0000-00005E320000}"/>
    <cellStyle name="Normal 2 57 3 9 2" xfId="12912" xr:uid="{00000000-0005-0000-0000-00005F320000}"/>
    <cellStyle name="Normal 2 57 3 9 3" xfId="12913" xr:uid="{00000000-0005-0000-0000-000060320000}"/>
    <cellStyle name="Normal 2 57 4" xfId="12914" xr:uid="{00000000-0005-0000-0000-000061320000}"/>
    <cellStyle name="Normal 2 57 4 10" xfId="12915" xr:uid="{00000000-0005-0000-0000-000062320000}"/>
    <cellStyle name="Normal 2 57 4 10 2" xfId="12916" xr:uid="{00000000-0005-0000-0000-000063320000}"/>
    <cellStyle name="Normal 2 57 4 10 3" xfId="12917" xr:uid="{00000000-0005-0000-0000-000064320000}"/>
    <cellStyle name="Normal 2 57 4 11" xfId="12918" xr:uid="{00000000-0005-0000-0000-000065320000}"/>
    <cellStyle name="Normal 2 57 4 11 2" xfId="12919" xr:uid="{00000000-0005-0000-0000-000066320000}"/>
    <cellStyle name="Normal 2 57 4 11 3" xfId="12920" xr:uid="{00000000-0005-0000-0000-000067320000}"/>
    <cellStyle name="Normal 2 57 4 12" xfId="12921" xr:uid="{00000000-0005-0000-0000-000068320000}"/>
    <cellStyle name="Normal 2 57 4 12 2" xfId="12922" xr:uid="{00000000-0005-0000-0000-000069320000}"/>
    <cellStyle name="Normal 2 57 4 12 3" xfId="12923" xr:uid="{00000000-0005-0000-0000-00006A320000}"/>
    <cellStyle name="Normal 2 57 4 13" xfId="12924" xr:uid="{00000000-0005-0000-0000-00006B320000}"/>
    <cellStyle name="Normal 2 57 4 13 2" xfId="12925" xr:uid="{00000000-0005-0000-0000-00006C320000}"/>
    <cellStyle name="Normal 2 57 4 13 3" xfId="12926" xr:uid="{00000000-0005-0000-0000-00006D320000}"/>
    <cellStyle name="Normal 2 57 4 14" xfId="12927" xr:uid="{00000000-0005-0000-0000-00006E320000}"/>
    <cellStyle name="Normal 2 57 4 14 2" xfId="12928" xr:uid="{00000000-0005-0000-0000-00006F320000}"/>
    <cellStyle name="Normal 2 57 4 14 3" xfId="12929" xr:uid="{00000000-0005-0000-0000-000070320000}"/>
    <cellStyle name="Normal 2 57 4 15" xfId="12930" xr:uid="{00000000-0005-0000-0000-000071320000}"/>
    <cellStyle name="Normal 2 57 4 15 2" xfId="12931" xr:uid="{00000000-0005-0000-0000-000072320000}"/>
    <cellStyle name="Normal 2 57 4 15 3" xfId="12932" xr:uid="{00000000-0005-0000-0000-000073320000}"/>
    <cellStyle name="Normal 2 57 4 16" xfId="12933" xr:uid="{00000000-0005-0000-0000-000074320000}"/>
    <cellStyle name="Normal 2 57 4 17" xfId="12934" xr:uid="{00000000-0005-0000-0000-000075320000}"/>
    <cellStyle name="Normal 2 57 4 2" xfId="12935" xr:uid="{00000000-0005-0000-0000-000076320000}"/>
    <cellStyle name="Normal 2 57 4 2 10" xfId="12936" xr:uid="{00000000-0005-0000-0000-000077320000}"/>
    <cellStyle name="Normal 2 57 4 2 10 2" xfId="12937" xr:uid="{00000000-0005-0000-0000-000078320000}"/>
    <cellStyle name="Normal 2 57 4 2 10 3" xfId="12938" xr:uid="{00000000-0005-0000-0000-000079320000}"/>
    <cellStyle name="Normal 2 57 4 2 11" xfId="12939" xr:uid="{00000000-0005-0000-0000-00007A320000}"/>
    <cellStyle name="Normal 2 57 4 2 11 2" xfId="12940" xr:uid="{00000000-0005-0000-0000-00007B320000}"/>
    <cellStyle name="Normal 2 57 4 2 11 3" xfId="12941" xr:uid="{00000000-0005-0000-0000-00007C320000}"/>
    <cellStyle name="Normal 2 57 4 2 12" xfId="12942" xr:uid="{00000000-0005-0000-0000-00007D320000}"/>
    <cellStyle name="Normal 2 57 4 2 12 2" xfId="12943" xr:uid="{00000000-0005-0000-0000-00007E320000}"/>
    <cellStyle name="Normal 2 57 4 2 12 3" xfId="12944" xr:uid="{00000000-0005-0000-0000-00007F320000}"/>
    <cellStyle name="Normal 2 57 4 2 13" xfId="12945" xr:uid="{00000000-0005-0000-0000-000080320000}"/>
    <cellStyle name="Normal 2 57 4 2 13 2" xfId="12946" xr:uid="{00000000-0005-0000-0000-000081320000}"/>
    <cellStyle name="Normal 2 57 4 2 13 3" xfId="12947" xr:uid="{00000000-0005-0000-0000-000082320000}"/>
    <cellStyle name="Normal 2 57 4 2 14" xfId="12948" xr:uid="{00000000-0005-0000-0000-000083320000}"/>
    <cellStyle name="Normal 2 57 4 2 14 2" xfId="12949" xr:uid="{00000000-0005-0000-0000-000084320000}"/>
    <cellStyle name="Normal 2 57 4 2 14 3" xfId="12950" xr:uid="{00000000-0005-0000-0000-000085320000}"/>
    <cellStyle name="Normal 2 57 4 2 15" xfId="12951" xr:uid="{00000000-0005-0000-0000-000086320000}"/>
    <cellStyle name="Normal 2 57 4 2 16" xfId="12952" xr:uid="{00000000-0005-0000-0000-000087320000}"/>
    <cellStyle name="Normal 2 57 4 2 2" xfId="12953" xr:uid="{00000000-0005-0000-0000-000088320000}"/>
    <cellStyle name="Normal 2 57 4 2 2 2" xfId="12954" xr:uid="{00000000-0005-0000-0000-000089320000}"/>
    <cellStyle name="Normal 2 57 4 2 2 3" xfId="12955" xr:uid="{00000000-0005-0000-0000-00008A320000}"/>
    <cellStyle name="Normal 2 57 4 2 3" xfId="12956" xr:uid="{00000000-0005-0000-0000-00008B320000}"/>
    <cellStyle name="Normal 2 57 4 2 3 2" xfId="12957" xr:uid="{00000000-0005-0000-0000-00008C320000}"/>
    <cellStyle name="Normal 2 57 4 2 3 3" xfId="12958" xr:uid="{00000000-0005-0000-0000-00008D320000}"/>
    <cellStyle name="Normal 2 57 4 2 4" xfId="12959" xr:uid="{00000000-0005-0000-0000-00008E320000}"/>
    <cellStyle name="Normal 2 57 4 2 4 2" xfId="12960" xr:uid="{00000000-0005-0000-0000-00008F320000}"/>
    <cellStyle name="Normal 2 57 4 2 4 3" xfId="12961" xr:uid="{00000000-0005-0000-0000-000090320000}"/>
    <cellStyle name="Normal 2 57 4 2 5" xfId="12962" xr:uid="{00000000-0005-0000-0000-000091320000}"/>
    <cellStyle name="Normal 2 57 4 2 5 2" xfId="12963" xr:uid="{00000000-0005-0000-0000-000092320000}"/>
    <cellStyle name="Normal 2 57 4 2 5 3" xfId="12964" xr:uid="{00000000-0005-0000-0000-000093320000}"/>
    <cellStyle name="Normal 2 57 4 2 6" xfId="12965" xr:uid="{00000000-0005-0000-0000-000094320000}"/>
    <cellStyle name="Normal 2 57 4 2 6 2" xfId="12966" xr:uid="{00000000-0005-0000-0000-000095320000}"/>
    <cellStyle name="Normal 2 57 4 2 6 3" xfId="12967" xr:uid="{00000000-0005-0000-0000-000096320000}"/>
    <cellStyle name="Normal 2 57 4 2 7" xfId="12968" xr:uid="{00000000-0005-0000-0000-000097320000}"/>
    <cellStyle name="Normal 2 57 4 2 7 2" xfId="12969" xr:uid="{00000000-0005-0000-0000-000098320000}"/>
    <cellStyle name="Normal 2 57 4 2 7 3" xfId="12970" xr:uid="{00000000-0005-0000-0000-000099320000}"/>
    <cellStyle name="Normal 2 57 4 2 8" xfId="12971" xr:uid="{00000000-0005-0000-0000-00009A320000}"/>
    <cellStyle name="Normal 2 57 4 2 8 2" xfId="12972" xr:uid="{00000000-0005-0000-0000-00009B320000}"/>
    <cellStyle name="Normal 2 57 4 2 8 3" xfId="12973" xr:uid="{00000000-0005-0000-0000-00009C320000}"/>
    <cellStyle name="Normal 2 57 4 2 9" xfId="12974" xr:uid="{00000000-0005-0000-0000-00009D320000}"/>
    <cellStyle name="Normal 2 57 4 2 9 2" xfId="12975" xr:uid="{00000000-0005-0000-0000-00009E320000}"/>
    <cellStyle name="Normal 2 57 4 2 9 3" xfId="12976" xr:uid="{00000000-0005-0000-0000-00009F320000}"/>
    <cellStyle name="Normal 2 57 4 3" xfId="12977" xr:uid="{00000000-0005-0000-0000-0000A0320000}"/>
    <cellStyle name="Normal 2 57 4 3 2" xfId="12978" xr:uid="{00000000-0005-0000-0000-0000A1320000}"/>
    <cellStyle name="Normal 2 57 4 3 3" xfId="12979" xr:uid="{00000000-0005-0000-0000-0000A2320000}"/>
    <cellStyle name="Normal 2 57 4 4" xfId="12980" xr:uid="{00000000-0005-0000-0000-0000A3320000}"/>
    <cellStyle name="Normal 2 57 4 4 2" xfId="12981" xr:uid="{00000000-0005-0000-0000-0000A4320000}"/>
    <cellStyle name="Normal 2 57 4 4 3" xfId="12982" xr:uid="{00000000-0005-0000-0000-0000A5320000}"/>
    <cellStyle name="Normal 2 57 4 5" xfId="12983" xr:uid="{00000000-0005-0000-0000-0000A6320000}"/>
    <cellStyle name="Normal 2 57 4 5 2" xfId="12984" xr:uid="{00000000-0005-0000-0000-0000A7320000}"/>
    <cellStyle name="Normal 2 57 4 5 3" xfId="12985" xr:uid="{00000000-0005-0000-0000-0000A8320000}"/>
    <cellStyle name="Normal 2 57 4 6" xfId="12986" xr:uid="{00000000-0005-0000-0000-0000A9320000}"/>
    <cellStyle name="Normal 2 57 4 6 2" xfId="12987" xr:uid="{00000000-0005-0000-0000-0000AA320000}"/>
    <cellStyle name="Normal 2 57 4 6 3" xfId="12988" xr:uid="{00000000-0005-0000-0000-0000AB320000}"/>
    <cellStyle name="Normal 2 57 4 7" xfId="12989" xr:uid="{00000000-0005-0000-0000-0000AC320000}"/>
    <cellStyle name="Normal 2 57 4 7 2" xfId="12990" xr:uid="{00000000-0005-0000-0000-0000AD320000}"/>
    <cellStyle name="Normal 2 57 4 7 3" xfId="12991" xr:uid="{00000000-0005-0000-0000-0000AE320000}"/>
    <cellStyle name="Normal 2 57 4 8" xfId="12992" xr:uid="{00000000-0005-0000-0000-0000AF320000}"/>
    <cellStyle name="Normal 2 57 4 8 2" xfId="12993" xr:uid="{00000000-0005-0000-0000-0000B0320000}"/>
    <cellStyle name="Normal 2 57 4 8 3" xfId="12994" xr:uid="{00000000-0005-0000-0000-0000B1320000}"/>
    <cellStyle name="Normal 2 57 4 9" xfId="12995" xr:uid="{00000000-0005-0000-0000-0000B2320000}"/>
    <cellStyle name="Normal 2 57 4 9 2" xfId="12996" xr:uid="{00000000-0005-0000-0000-0000B3320000}"/>
    <cellStyle name="Normal 2 57 4 9 3" xfId="12997" xr:uid="{00000000-0005-0000-0000-0000B4320000}"/>
    <cellStyle name="Normal 2 57 5" xfId="12998" xr:uid="{00000000-0005-0000-0000-0000B5320000}"/>
    <cellStyle name="Normal 2 57 5 10" xfId="12999" xr:uid="{00000000-0005-0000-0000-0000B6320000}"/>
    <cellStyle name="Normal 2 57 5 10 2" xfId="13000" xr:uid="{00000000-0005-0000-0000-0000B7320000}"/>
    <cellStyle name="Normal 2 57 5 10 3" xfId="13001" xr:uid="{00000000-0005-0000-0000-0000B8320000}"/>
    <cellStyle name="Normal 2 57 5 11" xfId="13002" xr:uid="{00000000-0005-0000-0000-0000B9320000}"/>
    <cellStyle name="Normal 2 57 5 11 2" xfId="13003" xr:uid="{00000000-0005-0000-0000-0000BA320000}"/>
    <cellStyle name="Normal 2 57 5 11 3" xfId="13004" xr:uid="{00000000-0005-0000-0000-0000BB320000}"/>
    <cellStyle name="Normal 2 57 5 12" xfId="13005" xr:uid="{00000000-0005-0000-0000-0000BC320000}"/>
    <cellStyle name="Normal 2 57 5 12 2" xfId="13006" xr:uid="{00000000-0005-0000-0000-0000BD320000}"/>
    <cellStyle name="Normal 2 57 5 12 3" xfId="13007" xr:uid="{00000000-0005-0000-0000-0000BE320000}"/>
    <cellStyle name="Normal 2 57 5 13" xfId="13008" xr:uid="{00000000-0005-0000-0000-0000BF320000}"/>
    <cellStyle name="Normal 2 57 5 13 2" xfId="13009" xr:uid="{00000000-0005-0000-0000-0000C0320000}"/>
    <cellStyle name="Normal 2 57 5 13 3" xfId="13010" xr:uid="{00000000-0005-0000-0000-0000C1320000}"/>
    <cellStyle name="Normal 2 57 5 14" xfId="13011" xr:uid="{00000000-0005-0000-0000-0000C2320000}"/>
    <cellStyle name="Normal 2 57 5 14 2" xfId="13012" xr:uid="{00000000-0005-0000-0000-0000C3320000}"/>
    <cellStyle name="Normal 2 57 5 14 3" xfId="13013" xr:uid="{00000000-0005-0000-0000-0000C4320000}"/>
    <cellStyle name="Normal 2 57 5 15" xfId="13014" xr:uid="{00000000-0005-0000-0000-0000C5320000}"/>
    <cellStyle name="Normal 2 57 5 16" xfId="13015" xr:uid="{00000000-0005-0000-0000-0000C6320000}"/>
    <cellStyle name="Normal 2 57 5 2" xfId="13016" xr:uid="{00000000-0005-0000-0000-0000C7320000}"/>
    <cellStyle name="Normal 2 57 5 2 2" xfId="13017" xr:uid="{00000000-0005-0000-0000-0000C8320000}"/>
    <cellStyle name="Normal 2 57 5 2 3" xfId="13018" xr:uid="{00000000-0005-0000-0000-0000C9320000}"/>
    <cellStyle name="Normal 2 57 5 3" xfId="13019" xr:uid="{00000000-0005-0000-0000-0000CA320000}"/>
    <cellStyle name="Normal 2 57 5 3 2" xfId="13020" xr:uid="{00000000-0005-0000-0000-0000CB320000}"/>
    <cellStyle name="Normal 2 57 5 3 3" xfId="13021" xr:uid="{00000000-0005-0000-0000-0000CC320000}"/>
    <cellStyle name="Normal 2 57 5 4" xfId="13022" xr:uid="{00000000-0005-0000-0000-0000CD320000}"/>
    <cellStyle name="Normal 2 57 5 4 2" xfId="13023" xr:uid="{00000000-0005-0000-0000-0000CE320000}"/>
    <cellStyle name="Normal 2 57 5 4 3" xfId="13024" xr:uid="{00000000-0005-0000-0000-0000CF320000}"/>
    <cellStyle name="Normal 2 57 5 5" xfId="13025" xr:uid="{00000000-0005-0000-0000-0000D0320000}"/>
    <cellStyle name="Normal 2 57 5 5 2" xfId="13026" xr:uid="{00000000-0005-0000-0000-0000D1320000}"/>
    <cellStyle name="Normal 2 57 5 5 3" xfId="13027" xr:uid="{00000000-0005-0000-0000-0000D2320000}"/>
    <cellStyle name="Normal 2 57 5 6" xfId="13028" xr:uid="{00000000-0005-0000-0000-0000D3320000}"/>
    <cellStyle name="Normal 2 57 5 6 2" xfId="13029" xr:uid="{00000000-0005-0000-0000-0000D4320000}"/>
    <cellStyle name="Normal 2 57 5 6 3" xfId="13030" xr:uid="{00000000-0005-0000-0000-0000D5320000}"/>
    <cellStyle name="Normal 2 57 5 7" xfId="13031" xr:uid="{00000000-0005-0000-0000-0000D6320000}"/>
    <cellStyle name="Normal 2 57 5 7 2" xfId="13032" xr:uid="{00000000-0005-0000-0000-0000D7320000}"/>
    <cellStyle name="Normal 2 57 5 7 3" xfId="13033" xr:uid="{00000000-0005-0000-0000-0000D8320000}"/>
    <cellStyle name="Normal 2 57 5 8" xfId="13034" xr:uid="{00000000-0005-0000-0000-0000D9320000}"/>
    <cellStyle name="Normal 2 57 5 8 2" xfId="13035" xr:uid="{00000000-0005-0000-0000-0000DA320000}"/>
    <cellStyle name="Normal 2 57 5 8 3" xfId="13036" xr:uid="{00000000-0005-0000-0000-0000DB320000}"/>
    <cellStyle name="Normal 2 57 5 9" xfId="13037" xr:uid="{00000000-0005-0000-0000-0000DC320000}"/>
    <cellStyle name="Normal 2 57 5 9 2" xfId="13038" xr:uid="{00000000-0005-0000-0000-0000DD320000}"/>
    <cellStyle name="Normal 2 57 5 9 3" xfId="13039" xr:uid="{00000000-0005-0000-0000-0000DE320000}"/>
    <cellStyle name="Normal 2 57 6" xfId="13040" xr:uid="{00000000-0005-0000-0000-0000DF320000}"/>
    <cellStyle name="Normal 2 57 6 10" xfId="13041" xr:uid="{00000000-0005-0000-0000-0000E0320000}"/>
    <cellStyle name="Normal 2 57 6 10 2" xfId="13042" xr:uid="{00000000-0005-0000-0000-0000E1320000}"/>
    <cellStyle name="Normal 2 57 6 10 3" xfId="13043" xr:uid="{00000000-0005-0000-0000-0000E2320000}"/>
    <cellStyle name="Normal 2 57 6 11" xfId="13044" xr:uid="{00000000-0005-0000-0000-0000E3320000}"/>
    <cellStyle name="Normal 2 57 6 11 2" xfId="13045" xr:uid="{00000000-0005-0000-0000-0000E4320000}"/>
    <cellStyle name="Normal 2 57 6 11 3" xfId="13046" xr:uid="{00000000-0005-0000-0000-0000E5320000}"/>
    <cellStyle name="Normal 2 57 6 12" xfId="13047" xr:uid="{00000000-0005-0000-0000-0000E6320000}"/>
    <cellStyle name="Normal 2 57 6 12 2" xfId="13048" xr:uid="{00000000-0005-0000-0000-0000E7320000}"/>
    <cellStyle name="Normal 2 57 6 12 3" xfId="13049" xr:uid="{00000000-0005-0000-0000-0000E8320000}"/>
    <cellStyle name="Normal 2 57 6 13" xfId="13050" xr:uid="{00000000-0005-0000-0000-0000E9320000}"/>
    <cellStyle name="Normal 2 57 6 13 2" xfId="13051" xr:uid="{00000000-0005-0000-0000-0000EA320000}"/>
    <cellStyle name="Normal 2 57 6 13 3" xfId="13052" xr:uid="{00000000-0005-0000-0000-0000EB320000}"/>
    <cellStyle name="Normal 2 57 6 14" xfId="13053" xr:uid="{00000000-0005-0000-0000-0000EC320000}"/>
    <cellStyle name="Normal 2 57 6 14 2" xfId="13054" xr:uid="{00000000-0005-0000-0000-0000ED320000}"/>
    <cellStyle name="Normal 2 57 6 14 3" xfId="13055" xr:uid="{00000000-0005-0000-0000-0000EE320000}"/>
    <cellStyle name="Normal 2 57 6 15" xfId="13056" xr:uid="{00000000-0005-0000-0000-0000EF320000}"/>
    <cellStyle name="Normal 2 57 6 16" xfId="13057" xr:uid="{00000000-0005-0000-0000-0000F0320000}"/>
    <cellStyle name="Normal 2 57 6 2" xfId="13058" xr:uid="{00000000-0005-0000-0000-0000F1320000}"/>
    <cellStyle name="Normal 2 57 6 2 2" xfId="13059" xr:uid="{00000000-0005-0000-0000-0000F2320000}"/>
    <cellStyle name="Normal 2 57 6 2 3" xfId="13060" xr:uid="{00000000-0005-0000-0000-0000F3320000}"/>
    <cellStyle name="Normal 2 57 6 3" xfId="13061" xr:uid="{00000000-0005-0000-0000-0000F4320000}"/>
    <cellStyle name="Normal 2 57 6 3 2" xfId="13062" xr:uid="{00000000-0005-0000-0000-0000F5320000}"/>
    <cellStyle name="Normal 2 57 6 3 3" xfId="13063" xr:uid="{00000000-0005-0000-0000-0000F6320000}"/>
    <cellStyle name="Normal 2 57 6 4" xfId="13064" xr:uid="{00000000-0005-0000-0000-0000F7320000}"/>
    <cellStyle name="Normal 2 57 6 4 2" xfId="13065" xr:uid="{00000000-0005-0000-0000-0000F8320000}"/>
    <cellStyle name="Normal 2 57 6 4 3" xfId="13066" xr:uid="{00000000-0005-0000-0000-0000F9320000}"/>
    <cellStyle name="Normal 2 57 6 5" xfId="13067" xr:uid="{00000000-0005-0000-0000-0000FA320000}"/>
    <cellStyle name="Normal 2 57 6 5 2" xfId="13068" xr:uid="{00000000-0005-0000-0000-0000FB320000}"/>
    <cellStyle name="Normal 2 57 6 5 3" xfId="13069" xr:uid="{00000000-0005-0000-0000-0000FC320000}"/>
    <cellStyle name="Normal 2 57 6 6" xfId="13070" xr:uid="{00000000-0005-0000-0000-0000FD320000}"/>
    <cellStyle name="Normal 2 57 6 6 2" xfId="13071" xr:uid="{00000000-0005-0000-0000-0000FE320000}"/>
    <cellStyle name="Normal 2 57 6 6 3" xfId="13072" xr:uid="{00000000-0005-0000-0000-0000FF320000}"/>
    <cellStyle name="Normal 2 57 6 7" xfId="13073" xr:uid="{00000000-0005-0000-0000-000000330000}"/>
    <cellStyle name="Normal 2 57 6 7 2" xfId="13074" xr:uid="{00000000-0005-0000-0000-000001330000}"/>
    <cellStyle name="Normal 2 57 6 7 3" xfId="13075" xr:uid="{00000000-0005-0000-0000-000002330000}"/>
    <cellStyle name="Normal 2 57 6 8" xfId="13076" xr:uid="{00000000-0005-0000-0000-000003330000}"/>
    <cellStyle name="Normal 2 57 6 8 2" xfId="13077" xr:uid="{00000000-0005-0000-0000-000004330000}"/>
    <cellStyle name="Normal 2 57 6 8 3" xfId="13078" xr:uid="{00000000-0005-0000-0000-000005330000}"/>
    <cellStyle name="Normal 2 57 6 9" xfId="13079" xr:uid="{00000000-0005-0000-0000-000006330000}"/>
    <cellStyle name="Normal 2 57 6 9 2" xfId="13080" xr:uid="{00000000-0005-0000-0000-000007330000}"/>
    <cellStyle name="Normal 2 57 6 9 3" xfId="13081" xr:uid="{00000000-0005-0000-0000-000008330000}"/>
    <cellStyle name="Normal 2 57 7" xfId="13082" xr:uid="{00000000-0005-0000-0000-000009330000}"/>
    <cellStyle name="Normal 2 57 7 10" xfId="13083" xr:uid="{00000000-0005-0000-0000-00000A330000}"/>
    <cellStyle name="Normal 2 57 7 10 2" xfId="13084" xr:uid="{00000000-0005-0000-0000-00000B330000}"/>
    <cellStyle name="Normal 2 57 7 10 3" xfId="13085" xr:uid="{00000000-0005-0000-0000-00000C330000}"/>
    <cellStyle name="Normal 2 57 7 11" xfId="13086" xr:uid="{00000000-0005-0000-0000-00000D330000}"/>
    <cellStyle name="Normal 2 57 7 11 2" xfId="13087" xr:uid="{00000000-0005-0000-0000-00000E330000}"/>
    <cellStyle name="Normal 2 57 7 11 3" xfId="13088" xr:uid="{00000000-0005-0000-0000-00000F330000}"/>
    <cellStyle name="Normal 2 57 7 12" xfId="13089" xr:uid="{00000000-0005-0000-0000-000010330000}"/>
    <cellStyle name="Normal 2 57 7 12 2" xfId="13090" xr:uid="{00000000-0005-0000-0000-000011330000}"/>
    <cellStyle name="Normal 2 57 7 12 3" xfId="13091" xr:uid="{00000000-0005-0000-0000-000012330000}"/>
    <cellStyle name="Normal 2 57 7 13" xfId="13092" xr:uid="{00000000-0005-0000-0000-000013330000}"/>
    <cellStyle name="Normal 2 57 7 13 2" xfId="13093" xr:uid="{00000000-0005-0000-0000-000014330000}"/>
    <cellStyle name="Normal 2 57 7 13 3" xfId="13094" xr:uid="{00000000-0005-0000-0000-000015330000}"/>
    <cellStyle name="Normal 2 57 7 14" xfId="13095" xr:uid="{00000000-0005-0000-0000-000016330000}"/>
    <cellStyle name="Normal 2 57 7 14 2" xfId="13096" xr:uid="{00000000-0005-0000-0000-000017330000}"/>
    <cellStyle name="Normal 2 57 7 14 3" xfId="13097" xr:uid="{00000000-0005-0000-0000-000018330000}"/>
    <cellStyle name="Normal 2 57 7 15" xfId="13098" xr:uid="{00000000-0005-0000-0000-000019330000}"/>
    <cellStyle name="Normal 2 57 7 16" xfId="13099" xr:uid="{00000000-0005-0000-0000-00001A330000}"/>
    <cellStyle name="Normal 2 57 7 2" xfId="13100" xr:uid="{00000000-0005-0000-0000-00001B330000}"/>
    <cellStyle name="Normal 2 57 7 2 2" xfId="13101" xr:uid="{00000000-0005-0000-0000-00001C330000}"/>
    <cellStyle name="Normal 2 57 7 2 3" xfId="13102" xr:uid="{00000000-0005-0000-0000-00001D330000}"/>
    <cellStyle name="Normal 2 57 7 3" xfId="13103" xr:uid="{00000000-0005-0000-0000-00001E330000}"/>
    <cellStyle name="Normal 2 57 7 3 2" xfId="13104" xr:uid="{00000000-0005-0000-0000-00001F330000}"/>
    <cellStyle name="Normal 2 57 7 3 3" xfId="13105" xr:uid="{00000000-0005-0000-0000-000020330000}"/>
    <cellStyle name="Normal 2 57 7 4" xfId="13106" xr:uid="{00000000-0005-0000-0000-000021330000}"/>
    <cellStyle name="Normal 2 57 7 4 2" xfId="13107" xr:uid="{00000000-0005-0000-0000-000022330000}"/>
    <cellStyle name="Normal 2 57 7 4 3" xfId="13108" xr:uid="{00000000-0005-0000-0000-000023330000}"/>
    <cellStyle name="Normal 2 57 7 5" xfId="13109" xr:uid="{00000000-0005-0000-0000-000024330000}"/>
    <cellStyle name="Normal 2 57 7 5 2" xfId="13110" xr:uid="{00000000-0005-0000-0000-000025330000}"/>
    <cellStyle name="Normal 2 57 7 5 3" xfId="13111" xr:uid="{00000000-0005-0000-0000-000026330000}"/>
    <cellStyle name="Normal 2 57 7 6" xfId="13112" xr:uid="{00000000-0005-0000-0000-000027330000}"/>
    <cellStyle name="Normal 2 57 7 6 2" xfId="13113" xr:uid="{00000000-0005-0000-0000-000028330000}"/>
    <cellStyle name="Normal 2 57 7 6 3" xfId="13114" xr:uid="{00000000-0005-0000-0000-000029330000}"/>
    <cellStyle name="Normal 2 57 7 7" xfId="13115" xr:uid="{00000000-0005-0000-0000-00002A330000}"/>
    <cellStyle name="Normal 2 57 7 7 2" xfId="13116" xr:uid="{00000000-0005-0000-0000-00002B330000}"/>
    <cellStyle name="Normal 2 57 7 7 3" xfId="13117" xr:uid="{00000000-0005-0000-0000-00002C330000}"/>
    <cellStyle name="Normal 2 57 7 8" xfId="13118" xr:uid="{00000000-0005-0000-0000-00002D330000}"/>
    <cellStyle name="Normal 2 57 7 8 2" xfId="13119" xr:uid="{00000000-0005-0000-0000-00002E330000}"/>
    <cellStyle name="Normal 2 57 7 8 3" xfId="13120" xr:uid="{00000000-0005-0000-0000-00002F330000}"/>
    <cellStyle name="Normal 2 57 7 9" xfId="13121" xr:uid="{00000000-0005-0000-0000-000030330000}"/>
    <cellStyle name="Normal 2 57 7 9 2" xfId="13122" xr:uid="{00000000-0005-0000-0000-000031330000}"/>
    <cellStyle name="Normal 2 57 7 9 3" xfId="13123" xr:uid="{00000000-0005-0000-0000-000032330000}"/>
    <cellStyle name="Normal 2 57 8" xfId="13124" xr:uid="{00000000-0005-0000-0000-000033330000}"/>
    <cellStyle name="Normal 2 57 8 10" xfId="13125" xr:uid="{00000000-0005-0000-0000-000034330000}"/>
    <cellStyle name="Normal 2 57 8 10 2" xfId="13126" xr:uid="{00000000-0005-0000-0000-000035330000}"/>
    <cellStyle name="Normal 2 57 8 10 3" xfId="13127" xr:uid="{00000000-0005-0000-0000-000036330000}"/>
    <cellStyle name="Normal 2 57 8 11" xfId="13128" xr:uid="{00000000-0005-0000-0000-000037330000}"/>
    <cellStyle name="Normal 2 57 8 11 2" xfId="13129" xr:uid="{00000000-0005-0000-0000-000038330000}"/>
    <cellStyle name="Normal 2 57 8 11 3" xfId="13130" xr:uid="{00000000-0005-0000-0000-000039330000}"/>
    <cellStyle name="Normal 2 57 8 12" xfId="13131" xr:uid="{00000000-0005-0000-0000-00003A330000}"/>
    <cellStyle name="Normal 2 57 8 12 2" xfId="13132" xr:uid="{00000000-0005-0000-0000-00003B330000}"/>
    <cellStyle name="Normal 2 57 8 12 3" xfId="13133" xr:uid="{00000000-0005-0000-0000-00003C330000}"/>
    <cellStyle name="Normal 2 57 8 13" xfId="13134" xr:uid="{00000000-0005-0000-0000-00003D330000}"/>
    <cellStyle name="Normal 2 57 8 13 2" xfId="13135" xr:uid="{00000000-0005-0000-0000-00003E330000}"/>
    <cellStyle name="Normal 2 57 8 13 3" xfId="13136" xr:uid="{00000000-0005-0000-0000-00003F330000}"/>
    <cellStyle name="Normal 2 57 8 14" xfId="13137" xr:uid="{00000000-0005-0000-0000-000040330000}"/>
    <cellStyle name="Normal 2 57 8 14 2" xfId="13138" xr:uid="{00000000-0005-0000-0000-000041330000}"/>
    <cellStyle name="Normal 2 57 8 14 3" xfId="13139" xr:uid="{00000000-0005-0000-0000-000042330000}"/>
    <cellStyle name="Normal 2 57 8 15" xfId="13140" xr:uid="{00000000-0005-0000-0000-000043330000}"/>
    <cellStyle name="Normal 2 57 8 16" xfId="13141" xr:uid="{00000000-0005-0000-0000-000044330000}"/>
    <cellStyle name="Normal 2 57 8 2" xfId="13142" xr:uid="{00000000-0005-0000-0000-000045330000}"/>
    <cellStyle name="Normal 2 57 8 2 2" xfId="13143" xr:uid="{00000000-0005-0000-0000-000046330000}"/>
    <cellStyle name="Normal 2 57 8 2 3" xfId="13144" xr:uid="{00000000-0005-0000-0000-000047330000}"/>
    <cellStyle name="Normal 2 57 8 3" xfId="13145" xr:uid="{00000000-0005-0000-0000-000048330000}"/>
    <cellStyle name="Normal 2 57 8 3 2" xfId="13146" xr:uid="{00000000-0005-0000-0000-000049330000}"/>
    <cellStyle name="Normal 2 57 8 3 3" xfId="13147" xr:uid="{00000000-0005-0000-0000-00004A330000}"/>
    <cellStyle name="Normal 2 57 8 4" xfId="13148" xr:uid="{00000000-0005-0000-0000-00004B330000}"/>
    <cellStyle name="Normal 2 57 8 4 2" xfId="13149" xr:uid="{00000000-0005-0000-0000-00004C330000}"/>
    <cellStyle name="Normal 2 57 8 4 3" xfId="13150" xr:uid="{00000000-0005-0000-0000-00004D330000}"/>
    <cellStyle name="Normal 2 57 8 5" xfId="13151" xr:uid="{00000000-0005-0000-0000-00004E330000}"/>
    <cellStyle name="Normal 2 57 8 5 2" xfId="13152" xr:uid="{00000000-0005-0000-0000-00004F330000}"/>
    <cellStyle name="Normal 2 57 8 5 3" xfId="13153" xr:uid="{00000000-0005-0000-0000-000050330000}"/>
    <cellStyle name="Normal 2 57 8 6" xfId="13154" xr:uid="{00000000-0005-0000-0000-000051330000}"/>
    <cellStyle name="Normal 2 57 8 6 2" xfId="13155" xr:uid="{00000000-0005-0000-0000-000052330000}"/>
    <cellStyle name="Normal 2 57 8 6 3" xfId="13156" xr:uid="{00000000-0005-0000-0000-000053330000}"/>
    <cellStyle name="Normal 2 57 8 7" xfId="13157" xr:uid="{00000000-0005-0000-0000-000054330000}"/>
    <cellStyle name="Normal 2 57 8 7 2" xfId="13158" xr:uid="{00000000-0005-0000-0000-000055330000}"/>
    <cellStyle name="Normal 2 57 8 7 3" xfId="13159" xr:uid="{00000000-0005-0000-0000-000056330000}"/>
    <cellStyle name="Normal 2 57 8 8" xfId="13160" xr:uid="{00000000-0005-0000-0000-000057330000}"/>
    <cellStyle name="Normal 2 57 8 8 2" xfId="13161" xr:uid="{00000000-0005-0000-0000-000058330000}"/>
    <cellStyle name="Normal 2 57 8 8 3" xfId="13162" xr:uid="{00000000-0005-0000-0000-000059330000}"/>
    <cellStyle name="Normal 2 57 8 9" xfId="13163" xr:uid="{00000000-0005-0000-0000-00005A330000}"/>
    <cellStyle name="Normal 2 57 8 9 2" xfId="13164" xr:uid="{00000000-0005-0000-0000-00005B330000}"/>
    <cellStyle name="Normal 2 57 8 9 3" xfId="13165" xr:uid="{00000000-0005-0000-0000-00005C330000}"/>
    <cellStyle name="Normal 2 57 9" xfId="13166" xr:uid="{00000000-0005-0000-0000-00005D330000}"/>
    <cellStyle name="Normal 2 57 9 10" xfId="13167" xr:uid="{00000000-0005-0000-0000-00005E330000}"/>
    <cellStyle name="Normal 2 57 9 10 2" xfId="13168" xr:uid="{00000000-0005-0000-0000-00005F330000}"/>
    <cellStyle name="Normal 2 57 9 10 3" xfId="13169" xr:uid="{00000000-0005-0000-0000-000060330000}"/>
    <cellStyle name="Normal 2 57 9 11" xfId="13170" xr:uid="{00000000-0005-0000-0000-000061330000}"/>
    <cellStyle name="Normal 2 57 9 11 2" xfId="13171" xr:uid="{00000000-0005-0000-0000-000062330000}"/>
    <cellStyle name="Normal 2 57 9 11 3" xfId="13172" xr:uid="{00000000-0005-0000-0000-000063330000}"/>
    <cellStyle name="Normal 2 57 9 12" xfId="13173" xr:uid="{00000000-0005-0000-0000-000064330000}"/>
    <cellStyle name="Normal 2 57 9 12 2" xfId="13174" xr:uid="{00000000-0005-0000-0000-000065330000}"/>
    <cellStyle name="Normal 2 57 9 12 3" xfId="13175" xr:uid="{00000000-0005-0000-0000-000066330000}"/>
    <cellStyle name="Normal 2 57 9 13" xfId="13176" xr:uid="{00000000-0005-0000-0000-000067330000}"/>
    <cellStyle name="Normal 2 57 9 13 2" xfId="13177" xr:uid="{00000000-0005-0000-0000-000068330000}"/>
    <cellStyle name="Normal 2 57 9 13 3" xfId="13178" xr:uid="{00000000-0005-0000-0000-000069330000}"/>
    <cellStyle name="Normal 2 57 9 14" xfId="13179" xr:uid="{00000000-0005-0000-0000-00006A330000}"/>
    <cellStyle name="Normal 2 57 9 14 2" xfId="13180" xr:uid="{00000000-0005-0000-0000-00006B330000}"/>
    <cellStyle name="Normal 2 57 9 14 3" xfId="13181" xr:uid="{00000000-0005-0000-0000-00006C330000}"/>
    <cellStyle name="Normal 2 57 9 15" xfId="13182" xr:uid="{00000000-0005-0000-0000-00006D330000}"/>
    <cellStyle name="Normal 2 57 9 16" xfId="13183" xr:uid="{00000000-0005-0000-0000-00006E330000}"/>
    <cellStyle name="Normal 2 57 9 2" xfId="13184" xr:uid="{00000000-0005-0000-0000-00006F330000}"/>
    <cellStyle name="Normal 2 57 9 2 2" xfId="13185" xr:uid="{00000000-0005-0000-0000-000070330000}"/>
    <cellStyle name="Normal 2 57 9 2 3" xfId="13186" xr:uid="{00000000-0005-0000-0000-000071330000}"/>
    <cellStyle name="Normal 2 57 9 3" xfId="13187" xr:uid="{00000000-0005-0000-0000-000072330000}"/>
    <cellStyle name="Normal 2 57 9 3 2" xfId="13188" xr:uid="{00000000-0005-0000-0000-000073330000}"/>
    <cellStyle name="Normal 2 57 9 3 3" xfId="13189" xr:uid="{00000000-0005-0000-0000-000074330000}"/>
    <cellStyle name="Normal 2 57 9 4" xfId="13190" xr:uid="{00000000-0005-0000-0000-000075330000}"/>
    <cellStyle name="Normal 2 57 9 4 2" xfId="13191" xr:uid="{00000000-0005-0000-0000-000076330000}"/>
    <cellStyle name="Normal 2 57 9 4 3" xfId="13192" xr:uid="{00000000-0005-0000-0000-000077330000}"/>
    <cellStyle name="Normal 2 57 9 5" xfId="13193" xr:uid="{00000000-0005-0000-0000-000078330000}"/>
    <cellStyle name="Normal 2 57 9 5 2" xfId="13194" xr:uid="{00000000-0005-0000-0000-000079330000}"/>
    <cellStyle name="Normal 2 57 9 5 3" xfId="13195" xr:uid="{00000000-0005-0000-0000-00007A330000}"/>
    <cellStyle name="Normal 2 57 9 6" xfId="13196" xr:uid="{00000000-0005-0000-0000-00007B330000}"/>
    <cellStyle name="Normal 2 57 9 6 2" xfId="13197" xr:uid="{00000000-0005-0000-0000-00007C330000}"/>
    <cellStyle name="Normal 2 57 9 6 3" xfId="13198" xr:uid="{00000000-0005-0000-0000-00007D330000}"/>
    <cellStyle name="Normal 2 57 9 7" xfId="13199" xr:uid="{00000000-0005-0000-0000-00007E330000}"/>
    <cellStyle name="Normal 2 57 9 7 2" xfId="13200" xr:uid="{00000000-0005-0000-0000-00007F330000}"/>
    <cellStyle name="Normal 2 57 9 7 3" xfId="13201" xr:uid="{00000000-0005-0000-0000-000080330000}"/>
    <cellStyle name="Normal 2 57 9 8" xfId="13202" xr:uid="{00000000-0005-0000-0000-000081330000}"/>
    <cellStyle name="Normal 2 57 9 8 2" xfId="13203" xr:uid="{00000000-0005-0000-0000-000082330000}"/>
    <cellStyle name="Normal 2 57 9 8 3" xfId="13204" xr:uid="{00000000-0005-0000-0000-000083330000}"/>
    <cellStyle name="Normal 2 57 9 9" xfId="13205" xr:uid="{00000000-0005-0000-0000-000084330000}"/>
    <cellStyle name="Normal 2 57 9 9 2" xfId="13206" xr:uid="{00000000-0005-0000-0000-000085330000}"/>
    <cellStyle name="Normal 2 57 9 9 3" xfId="13207" xr:uid="{00000000-0005-0000-0000-000086330000}"/>
    <cellStyle name="Normal 2 58" xfId="13208" xr:uid="{00000000-0005-0000-0000-000087330000}"/>
    <cellStyle name="Normal 2 58 10" xfId="13209" xr:uid="{00000000-0005-0000-0000-000088330000}"/>
    <cellStyle name="Normal 2 58 10 10" xfId="13210" xr:uid="{00000000-0005-0000-0000-000089330000}"/>
    <cellStyle name="Normal 2 58 10 10 2" xfId="13211" xr:uid="{00000000-0005-0000-0000-00008A330000}"/>
    <cellStyle name="Normal 2 58 10 10 3" xfId="13212" xr:uid="{00000000-0005-0000-0000-00008B330000}"/>
    <cellStyle name="Normal 2 58 10 11" xfId="13213" xr:uid="{00000000-0005-0000-0000-00008C330000}"/>
    <cellStyle name="Normal 2 58 10 11 2" xfId="13214" xr:uid="{00000000-0005-0000-0000-00008D330000}"/>
    <cellStyle name="Normal 2 58 10 11 3" xfId="13215" xr:uid="{00000000-0005-0000-0000-00008E330000}"/>
    <cellStyle name="Normal 2 58 10 12" xfId="13216" xr:uid="{00000000-0005-0000-0000-00008F330000}"/>
    <cellStyle name="Normal 2 58 10 12 2" xfId="13217" xr:uid="{00000000-0005-0000-0000-000090330000}"/>
    <cellStyle name="Normal 2 58 10 12 3" xfId="13218" xr:uid="{00000000-0005-0000-0000-000091330000}"/>
    <cellStyle name="Normal 2 58 10 13" xfId="13219" xr:uid="{00000000-0005-0000-0000-000092330000}"/>
    <cellStyle name="Normal 2 58 10 13 2" xfId="13220" xr:uid="{00000000-0005-0000-0000-000093330000}"/>
    <cellStyle name="Normal 2 58 10 13 3" xfId="13221" xr:uid="{00000000-0005-0000-0000-000094330000}"/>
    <cellStyle name="Normal 2 58 10 14" xfId="13222" xr:uid="{00000000-0005-0000-0000-000095330000}"/>
    <cellStyle name="Normal 2 58 10 14 2" xfId="13223" xr:uid="{00000000-0005-0000-0000-000096330000}"/>
    <cellStyle name="Normal 2 58 10 14 3" xfId="13224" xr:uid="{00000000-0005-0000-0000-000097330000}"/>
    <cellStyle name="Normal 2 58 10 15" xfId="13225" xr:uid="{00000000-0005-0000-0000-000098330000}"/>
    <cellStyle name="Normal 2 58 10 16" xfId="13226" xr:uid="{00000000-0005-0000-0000-000099330000}"/>
    <cellStyle name="Normal 2 58 10 2" xfId="13227" xr:uid="{00000000-0005-0000-0000-00009A330000}"/>
    <cellStyle name="Normal 2 58 10 2 2" xfId="13228" xr:uid="{00000000-0005-0000-0000-00009B330000}"/>
    <cellStyle name="Normal 2 58 10 2 3" xfId="13229" xr:uid="{00000000-0005-0000-0000-00009C330000}"/>
    <cellStyle name="Normal 2 58 10 3" xfId="13230" xr:uid="{00000000-0005-0000-0000-00009D330000}"/>
    <cellStyle name="Normal 2 58 10 3 2" xfId="13231" xr:uid="{00000000-0005-0000-0000-00009E330000}"/>
    <cellStyle name="Normal 2 58 10 3 3" xfId="13232" xr:uid="{00000000-0005-0000-0000-00009F330000}"/>
    <cellStyle name="Normal 2 58 10 4" xfId="13233" xr:uid="{00000000-0005-0000-0000-0000A0330000}"/>
    <cellStyle name="Normal 2 58 10 4 2" xfId="13234" xr:uid="{00000000-0005-0000-0000-0000A1330000}"/>
    <cellStyle name="Normal 2 58 10 4 3" xfId="13235" xr:uid="{00000000-0005-0000-0000-0000A2330000}"/>
    <cellStyle name="Normal 2 58 10 5" xfId="13236" xr:uid="{00000000-0005-0000-0000-0000A3330000}"/>
    <cellStyle name="Normal 2 58 10 5 2" xfId="13237" xr:uid="{00000000-0005-0000-0000-0000A4330000}"/>
    <cellStyle name="Normal 2 58 10 5 3" xfId="13238" xr:uid="{00000000-0005-0000-0000-0000A5330000}"/>
    <cellStyle name="Normal 2 58 10 6" xfId="13239" xr:uid="{00000000-0005-0000-0000-0000A6330000}"/>
    <cellStyle name="Normal 2 58 10 6 2" xfId="13240" xr:uid="{00000000-0005-0000-0000-0000A7330000}"/>
    <cellStyle name="Normal 2 58 10 6 3" xfId="13241" xr:uid="{00000000-0005-0000-0000-0000A8330000}"/>
    <cellStyle name="Normal 2 58 10 7" xfId="13242" xr:uid="{00000000-0005-0000-0000-0000A9330000}"/>
    <cellStyle name="Normal 2 58 10 7 2" xfId="13243" xr:uid="{00000000-0005-0000-0000-0000AA330000}"/>
    <cellStyle name="Normal 2 58 10 7 3" xfId="13244" xr:uid="{00000000-0005-0000-0000-0000AB330000}"/>
    <cellStyle name="Normal 2 58 10 8" xfId="13245" xr:uid="{00000000-0005-0000-0000-0000AC330000}"/>
    <cellStyle name="Normal 2 58 10 8 2" xfId="13246" xr:uid="{00000000-0005-0000-0000-0000AD330000}"/>
    <cellStyle name="Normal 2 58 10 8 3" xfId="13247" xr:uid="{00000000-0005-0000-0000-0000AE330000}"/>
    <cellStyle name="Normal 2 58 10 9" xfId="13248" xr:uid="{00000000-0005-0000-0000-0000AF330000}"/>
    <cellStyle name="Normal 2 58 10 9 2" xfId="13249" xr:uid="{00000000-0005-0000-0000-0000B0330000}"/>
    <cellStyle name="Normal 2 58 10 9 3" xfId="13250" xr:uid="{00000000-0005-0000-0000-0000B1330000}"/>
    <cellStyle name="Normal 2 58 11" xfId="13251" xr:uid="{00000000-0005-0000-0000-0000B2330000}"/>
    <cellStyle name="Normal 2 58 11 2" xfId="13252" xr:uid="{00000000-0005-0000-0000-0000B3330000}"/>
    <cellStyle name="Normal 2 58 11 3" xfId="13253" xr:uid="{00000000-0005-0000-0000-0000B4330000}"/>
    <cellStyle name="Normal 2 58 12" xfId="13254" xr:uid="{00000000-0005-0000-0000-0000B5330000}"/>
    <cellStyle name="Normal 2 58 12 2" xfId="13255" xr:uid="{00000000-0005-0000-0000-0000B6330000}"/>
    <cellStyle name="Normal 2 58 12 3" xfId="13256" xr:uid="{00000000-0005-0000-0000-0000B7330000}"/>
    <cellStyle name="Normal 2 58 13" xfId="13257" xr:uid="{00000000-0005-0000-0000-0000B8330000}"/>
    <cellStyle name="Normal 2 58 13 2" xfId="13258" xr:uid="{00000000-0005-0000-0000-0000B9330000}"/>
    <cellStyle name="Normal 2 58 13 3" xfId="13259" xr:uid="{00000000-0005-0000-0000-0000BA330000}"/>
    <cellStyle name="Normal 2 58 14" xfId="13260" xr:uid="{00000000-0005-0000-0000-0000BB330000}"/>
    <cellStyle name="Normal 2 58 14 2" xfId="13261" xr:uid="{00000000-0005-0000-0000-0000BC330000}"/>
    <cellStyle name="Normal 2 58 14 3" xfId="13262" xr:uid="{00000000-0005-0000-0000-0000BD330000}"/>
    <cellStyle name="Normal 2 58 15" xfId="13263" xr:uid="{00000000-0005-0000-0000-0000BE330000}"/>
    <cellStyle name="Normal 2 58 15 2" xfId="13264" xr:uid="{00000000-0005-0000-0000-0000BF330000}"/>
    <cellStyle name="Normal 2 58 15 3" xfId="13265" xr:uid="{00000000-0005-0000-0000-0000C0330000}"/>
    <cellStyle name="Normal 2 58 16" xfId="13266" xr:uid="{00000000-0005-0000-0000-0000C1330000}"/>
    <cellStyle name="Normal 2 58 16 2" xfId="13267" xr:uid="{00000000-0005-0000-0000-0000C2330000}"/>
    <cellStyle name="Normal 2 58 16 3" xfId="13268" xr:uid="{00000000-0005-0000-0000-0000C3330000}"/>
    <cellStyle name="Normal 2 58 17" xfId="13269" xr:uid="{00000000-0005-0000-0000-0000C4330000}"/>
    <cellStyle name="Normal 2 58 17 2" xfId="13270" xr:uid="{00000000-0005-0000-0000-0000C5330000}"/>
    <cellStyle name="Normal 2 58 17 3" xfId="13271" xr:uid="{00000000-0005-0000-0000-0000C6330000}"/>
    <cellStyle name="Normal 2 58 18" xfId="13272" xr:uid="{00000000-0005-0000-0000-0000C7330000}"/>
    <cellStyle name="Normal 2 58 18 2" xfId="13273" xr:uid="{00000000-0005-0000-0000-0000C8330000}"/>
    <cellStyle name="Normal 2 58 18 3" xfId="13274" xr:uid="{00000000-0005-0000-0000-0000C9330000}"/>
    <cellStyle name="Normal 2 58 19" xfId="13275" xr:uid="{00000000-0005-0000-0000-0000CA330000}"/>
    <cellStyle name="Normal 2 58 19 2" xfId="13276" xr:uid="{00000000-0005-0000-0000-0000CB330000}"/>
    <cellStyle name="Normal 2 58 19 3" xfId="13277" xr:uid="{00000000-0005-0000-0000-0000CC330000}"/>
    <cellStyle name="Normal 2 58 2" xfId="13278" xr:uid="{00000000-0005-0000-0000-0000CD330000}"/>
    <cellStyle name="Normal 2 58 2 10" xfId="13279" xr:uid="{00000000-0005-0000-0000-0000CE330000}"/>
    <cellStyle name="Normal 2 58 2 10 2" xfId="13280" xr:uid="{00000000-0005-0000-0000-0000CF330000}"/>
    <cellStyle name="Normal 2 58 2 10 3" xfId="13281" xr:uid="{00000000-0005-0000-0000-0000D0330000}"/>
    <cellStyle name="Normal 2 58 2 11" xfId="13282" xr:uid="{00000000-0005-0000-0000-0000D1330000}"/>
    <cellStyle name="Normal 2 58 2 11 2" xfId="13283" xr:uid="{00000000-0005-0000-0000-0000D2330000}"/>
    <cellStyle name="Normal 2 58 2 11 3" xfId="13284" xr:uid="{00000000-0005-0000-0000-0000D3330000}"/>
    <cellStyle name="Normal 2 58 2 12" xfId="13285" xr:uid="{00000000-0005-0000-0000-0000D4330000}"/>
    <cellStyle name="Normal 2 58 2 12 2" xfId="13286" xr:uid="{00000000-0005-0000-0000-0000D5330000}"/>
    <cellStyle name="Normal 2 58 2 12 3" xfId="13287" xr:uid="{00000000-0005-0000-0000-0000D6330000}"/>
    <cellStyle name="Normal 2 58 2 13" xfId="13288" xr:uid="{00000000-0005-0000-0000-0000D7330000}"/>
    <cellStyle name="Normal 2 58 2 13 2" xfId="13289" xr:uid="{00000000-0005-0000-0000-0000D8330000}"/>
    <cellStyle name="Normal 2 58 2 13 3" xfId="13290" xr:uid="{00000000-0005-0000-0000-0000D9330000}"/>
    <cellStyle name="Normal 2 58 2 14" xfId="13291" xr:uid="{00000000-0005-0000-0000-0000DA330000}"/>
    <cellStyle name="Normal 2 58 2 14 2" xfId="13292" xr:uid="{00000000-0005-0000-0000-0000DB330000}"/>
    <cellStyle name="Normal 2 58 2 14 3" xfId="13293" xr:uid="{00000000-0005-0000-0000-0000DC330000}"/>
    <cellStyle name="Normal 2 58 2 15" xfId="13294" xr:uid="{00000000-0005-0000-0000-0000DD330000}"/>
    <cellStyle name="Normal 2 58 2 15 2" xfId="13295" xr:uid="{00000000-0005-0000-0000-0000DE330000}"/>
    <cellStyle name="Normal 2 58 2 15 3" xfId="13296" xr:uid="{00000000-0005-0000-0000-0000DF330000}"/>
    <cellStyle name="Normal 2 58 2 16" xfId="13297" xr:uid="{00000000-0005-0000-0000-0000E0330000}"/>
    <cellStyle name="Normal 2 58 2 17" xfId="13298" xr:uid="{00000000-0005-0000-0000-0000E1330000}"/>
    <cellStyle name="Normal 2 58 2 2" xfId="13299" xr:uid="{00000000-0005-0000-0000-0000E2330000}"/>
    <cellStyle name="Normal 2 58 2 2 10" xfId="13300" xr:uid="{00000000-0005-0000-0000-0000E3330000}"/>
    <cellStyle name="Normal 2 58 2 2 10 2" xfId="13301" xr:uid="{00000000-0005-0000-0000-0000E4330000}"/>
    <cellStyle name="Normal 2 58 2 2 10 3" xfId="13302" xr:uid="{00000000-0005-0000-0000-0000E5330000}"/>
    <cellStyle name="Normal 2 58 2 2 11" xfId="13303" xr:uid="{00000000-0005-0000-0000-0000E6330000}"/>
    <cellStyle name="Normal 2 58 2 2 11 2" xfId="13304" xr:uid="{00000000-0005-0000-0000-0000E7330000}"/>
    <cellStyle name="Normal 2 58 2 2 11 3" xfId="13305" xr:uid="{00000000-0005-0000-0000-0000E8330000}"/>
    <cellStyle name="Normal 2 58 2 2 12" xfId="13306" xr:uid="{00000000-0005-0000-0000-0000E9330000}"/>
    <cellStyle name="Normal 2 58 2 2 12 2" xfId="13307" xr:uid="{00000000-0005-0000-0000-0000EA330000}"/>
    <cellStyle name="Normal 2 58 2 2 12 3" xfId="13308" xr:uid="{00000000-0005-0000-0000-0000EB330000}"/>
    <cellStyle name="Normal 2 58 2 2 13" xfId="13309" xr:uid="{00000000-0005-0000-0000-0000EC330000}"/>
    <cellStyle name="Normal 2 58 2 2 13 2" xfId="13310" xr:uid="{00000000-0005-0000-0000-0000ED330000}"/>
    <cellStyle name="Normal 2 58 2 2 13 3" xfId="13311" xr:uid="{00000000-0005-0000-0000-0000EE330000}"/>
    <cellStyle name="Normal 2 58 2 2 14" xfId="13312" xr:uid="{00000000-0005-0000-0000-0000EF330000}"/>
    <cellStyle name="Normal 2 58 2 2 14 2" xfId="13313" xr:uid="{00000000-0005-0000-0000-0000F0330000}"/>
    <cellStyle name="Normal 2 58 2 2 14 3" xfId="13314" xr:uid="{00000000-0005-0000-0000-0000F1330000}"/>
    <cellStyle name="Normal 2 58 2 2 15" xfId="13315" xr:uid="{00000000-0005-0000-0000-0000F2330000}"/>
    <cellStyle name="Normal 2 58 2 2 16" xfId="13316" xr:uid="{00000000-0005-0000-0000-0000F3330000}"/>
    <cellStyle name="Normal 2 58 2 2 2" xfId="13317" xr:uid="{00000000-0005-0000-0000-0000F4330000}"/>
    <cellStyle name="Normal 2 58 2 2 2 2" xfId="13318" xr:uid="{00000000-0005-0000-0000-0000F5330000}"/>
    <cellStyle name="Normal 2 58 2 2 2 3" xfId="13319" xr:uid="{00000000-0005-0000-0000-0000F6330000}"/>
    <cellStyle name="Normal 2 58 2 2 3" xfId="13320" xr:uid="{00000000-0005-0000-0000-0000F7330000}"/>
    <cellStyle name="Normal 2 58 2 2 3 2" xfId="13321" xr:uid="{00000000-0005-0000-0000-0000F8330000}"/>
    <cellStyle name="Normal 2 58 2 2 3 3" xfId="13322" xr:uid="{00000000-0005-0000-0000-0000F9330000}"/>
    <cellStyle name="Normal 2 58 2 2 4" xfId="13323" xr:uid="{00000000-0005-0000-0000-0000FA330000}"/>
    <cellStyle name="Normal 2 58 2 2 4 2" xfId="13324" xr:uid="{00000000-0005-0000-0000-0000FB330000}"/>
    <cellStyle name="Normal 2 58 2 2 4 3" xfId="13325" xr:uid="{00000000-0005-0000-0000-0000FC330000}"/>
    <cellStyle name="Normal 2 58 2 2 5" xfId="13326" xr:uid="{00000000-0005-0000-0000-0000FD330000}"/>
    <cellStyle name="Normal 2 58 2 2 5 2" xfId="13327" xr:uid="{00000000-0005-0000-0000-0000FE330000}"/>
    <cellStyle name="Normal 2 58 2 2 5 3" xfId="13328" xr:uid="{00000000-0005-0000-0000-0000FF330000}"/>
    <cellStyle name="Normal 2 58 2 2 6" xfId="13329" xr:uid="{00000000-0005-0000-0000-000000340000}"/>
    <cellStyle name="Normal 2 58 2 2 6 2" xfId="13330" xr:uid="{00000000-0005-0000-0000-000001340000}"/>
    <cellStyle name="Normal 2 58 2 2 6 3" xfId="13331" xr:uid="{00000000-0005-0000-0000-000002340000}"/>
    <cellStyle name="Normal 2 58 2 2 7" xfId="13332" xr:uid="{00000000-0005-0000-0000-000003340000}"/>
    <cellStyle name="Normal 2 58 2 2 7 2" xfId="13333" xr:uid="{00000000-0005-0000-0000-000004340000}"/>
    <cellStyle name="Normal 2 58 2 2 7 3" xfId="13334" xr:uid="{00000000-0005-0000-0000-000005340000}"/>
    <cellStyle name="Normal 2 58 2 2 8" xfId="13335" xr:uid="{00000000-0005-0000-0000-000006340000}"/>
    <cellStyle name="Normal 2 58 2 2 8 2" xfId="13336" xr:uid="{00000000-0005-0000-0000-000007340000}"/>
    <cellStyle name="Normal 2 58 2 2 8 3" xfId="13337" xr:uid="{00000000-0005-0000-0000-000008340000}"/>
    <cellStyle name="Normal 2 58 2 2 9" xfId="13338" xr:uid="{00000000-0005-0000-0000-000009340000}"/>
    <cellStyle name="Normal 2 58 2 2 9 2" xfId="13339" xr:uid="{00000000-0005-0000-0000-00000A340000}"/>
    <cellStyle name="Normal 2 58 2 2 9 3" xfId="13340" xr:uid="{00000000-0005-0000-0000-00000B340000}"/>
    <cellStyle name="Normal 2 58 2 3" xfId="13341" xr:uid="{00000000-0005-0000-0000-00000C340000}"/>
    <cellStyle name="Normal 2 58 2 3 2" xfId="13342" xr:uid="{00000000-0005-0000-0000-00000D340000}"/>
    <cellStyle name="Normal 2 58 2 3 3" xfId="13343" xr:uid="{00000000-0005-0000-0000-00000E340000}"/>
    <cellStyle name="Normal 2 58 2 4" xfId="13344" xr:uid="{00000000-0005-0000-0000-00000F340000}"/>
    <cellStyle name="Normal 2 58 2 4 2" xfId="13345" xr:uid="{00000000-0005-0000-0000-000010340000}"/>
    <cellStyle name="Normal 2 58 2 4 3" xfId="13346" xr:uid="{00000000-0005-0000-0000-000011340000}"/>
    <cellStyle name="Normal 2 58 2 5" xfId="13347" xr:uid="{00000000-0005-0000-0000-000012340000}"/>
    <cellStyle name="Normal 2 58 2 5 2" xfId="13348" xr:uid="{00000000-0005-0000-0000-000013340000}"/>
    <cellStyle name="Normal 2 58 2 5 3" xfId="13349" xr:uid="{00000000-0005-0000-0000-000014340000}"/>
    <cellStyle name="Normal 2 58 2 6" xfId="13350" xr:uid="{00000000-0005-0000-0000-000015340000}"/>
    <cellStyle name="Normal 2 58 2 6 2" xfId="13351" xr:uid="{00000000-0005-0000-0000-000016340000}"/>
    <cellStyle name="Normal 2 58 2 6 3" xfId="13352" xr:uid="{00000000-0005-0000-0000-000017340000}"/>
    <cellStyle name="Normal 2 58 2 7" xfId="13353" xr:uid="{00000000-0005-0000-0000-000018340000}"/>
    <cellStyle name="Normal 2 58 2 7 2" xfId="13354" xr:uid="{00000000-0005-0000-0000-000019340000}"/>
    <cellStyle name="Normal 2 58 2 7 3" xfId="13355" xr:uid="{00000000-0005-0000-0000-00001A340000}"/>
    <cellStyle name="Normal 2 58 2 8" xfId="13356" xr:uid="{00000000-0005-0000-0000-00001B340000}"/>
    <cellStyle name="Normal 2 58 2 8 2" xfId="13357" xr:uid="{00000000-0005-0000-0000-00001C340000}"/>
    <cellStyle name="Normal 2 58 2 8 3" xfId="13358" xr:uid="{00000000-0005-0000-0000-00001D340000}"/>
    <cellStyle name="Normal 2 58 2 9" xfId="13359" xr:uid="{00000000-0005-0000-0000-00001E340000}"/>
    <cellStyle name="Normal 2 58 2 9 2" xfId="13360" xr:uid="{00000000-0005-0000-0000-00001F340000}"/>
    <cellStyle name="Normal 2 58 2 9 3" xfId="13361" xr:uid="{00000000-0005-0000-0000-000020340000}"/>
    <cellStyle name="Normal 2 58 20" xfId="13362" xr:uid="{00000000-0005-0000-0000-000021340000}"/>
    <cellStyle name="Normal 2 58 20 2" xfId="13363" xr:uid="{00000000-0005-0000-0000-000022340000}"/>
    <cellStyle name="Normal 2 58 20 3" xfId="13364" xr:uid="{00000000-0005-0000-0000-000023340000}"/>
    <cellStyle name="Normal 2 58 21" xfId="13365" xr:uid="{00000000-0005-0000-0000-000024340000}"/>
    <cellStyle name="Normal 2 58 21 2" xfId="13366" xr:uid="{00000000-0005-0000-0000-000025340000}"/>
    <cellStyle name="Normal 2 58 21 3" xfId="13367" xr:uid="{00000000-0005-0000-0000-000026340000}"/>
    <cellStyle name="Normal 2 58 22" xfId="13368" xr:uid="{00000000-0005-0000-0000-000027340000}"/>
    <cellStyle name="Normal 2 58 22 2" xfId="13369" xr:uid="{00000000-0005-0000-0000-000028340000}"/>
    <cellStyle name="Normal 2 58 22 3" xfId="13370" xr:uid="{00000000-0005-0000-0000-000029340000}"/>
    <cellStyle name="Normal 2 58 23" xfId="13371" xr:uid="{00000000-0005-0000-0000-00002A340000}"/>
    <cellStyle name="Normal 2 58 23 2" xfId="13372" xr:uid="{00000000-0005-0000-0000-00002B340000}"/>
    <cellStyle name="Normal 2 58 23 3" xfId="13373" xr:uid="{00000000-0005-0000-0000-00002C340000}"/>
    <cellStyle name="Normal 2 58 24" xfId="13374" xr:uid="{00000000-0005-0000-0000-00002D340000}"/>
    <cellStyle name="Normal 2 58 25" xfId="13375" xr:uid="{00000000-0005-0000-0000-00002E340000}"/>
    <cellStyle name="Normal 2 58 3" xfId="13376" xr:uid="{00000000-0005-0000-0000-00002F340000}"/>
    <cellStyle name="Normal 2 58 3 10" xfId="13377" xr:uid="{00000000-0005-0000-0000-000030340000}"/>
    <cellStyle name="Normal 2 58 3 10 2" xfId="13378" xr:uid="{00000000-0005-0000-0000-000031340000}"/>
    <cellStyle name="Normal 2 58 3 10 3" xfId="13379" xr:uid="{00000000-0005-0000-0000-000032340000}"/>
    <cellStyle name="Normal 2 58 3 11" xfId="13380" xr:uid="{00000000-0005-0000-0000-000033340000}"/>
    <cellStyle name="Normal 2 58 3 11 2" xfId="13381" xr:uid="{00000000-0005-0000-0000-000034340000}"/>
    <cellStyle name="Normal 2 58 3 11 3" xfId="13382" xr:uid="{00000000-0005-0000-0000-000035340000}"/>
    <cellStyle name="Normal 2 58 3 12" xfId="13383" xr:uid="{00000000-0005-0000-0000-000036340000}"/>
    <cellStyle name="Normal 2 58 3 12 2" xfId="13384" xr:uid="{00000000-0005-0000-0000-000037340000}"/>
    <cellStyle name="Normal 2 58 3 12 3" xfId="13385" xr:uid="{00000000-0005-0000-0000-000038340000}"/>
    <cellStyle name="Normal 2 58 3 13" xfId="13386" xr:uid="{00000000-0005-0000-0000-000039340000}"/>
    <cellStyle name="Normal 2 58 3 13 2" xfId="13387" xr:uid="{00000000-0005-0000-0000-00003A340000}"/>
    <cellStyle name="Normal 2 58 3 13 3" xfId="13388" xr:uid="{00000000-0005-0000-0000-00003B340000}"/>
    <cellStyle name="Normal 2 58 3 14" xfId="13389" xr:uid="{00000000-0005-0000-0000-00003C340000}"/>
    <cellStyle name="Normal 2 58 3 14 2" xfId="13390" xr:uid="{00000000-0005-0000-0000-00003D340000}"/>
    <cellStyle name="Normal 2 58 3 14 3" xfId="13391" xr:uid="{00000000-0005-0000-0000-00003E340000}"/>
    <cellStyle name="Normal 2 58 3 15" xfId="13392" xr:uid="{00000000-0005-0000-0000-00003F340000}"/>
    <cellStyle name="Normal 2 58 3 15 2" xfId="13393" xr:uid="{00000000-0005-0000-0000-000040340000}"/>
    <cellStyle name="Normal 2 58 3 15 3" xfId="13394" xr:uid="{00000000-0005-0000-0000-000041340000}"/>
    <cellStyle name="Normal 2 58 3 16" xfId="13395" xr:uid="{00000000-0005-0000-0000-000042340000}"/>
    <cellStyle name="Normal 2 58 3 17" xfId="13396" xr:uid="{00000000-0005-0000-0000-000043340000}"/>
    <cellStyle name="Normal 2 58 3 2" xfId="13397" xr:uid="{00000000-0005-0000-0000-000044340000}"/>
    <cellStyle name="Normal 2 58 3 2 10" xfId="13398" xr:uid="{00000000-0005-0000-0000-000045340000}"/>
    <cellStyle name="Normal 2 58 3 2 10 2" xfId="13399" xr:uid="{00000000-0005-0000-0000-000046340000}"/>
    <cellStyle name="Normal 2 58 3 2 10 3" xfId="13400" xr:uid="{00000000-0005-0000-0000-000047340000}"/>
    <cellStyle name="Normal 2 58 3 2 11" xfId="13401" xr:uid="{00000000-0005-0000-0000-000048340000}"/>
    <cellStyle name="Normal 2 58 3 2 11 2" xfId="13402" xr:uid="{00000000-0005-0000-0000-000049340000}"/>
    <cellStyle name="Normal 2 58 3 2 11 3" xfId="13403" xr:uid="{00000000-0005-0000-0000-00004A340000}"/>
    <cellStyle name="Normal 2 58 3 2 12" xfId="13404" xr:uid="{00000000-0005-0000-0000-00004B340000}"/>
    <cellStyle name="Normal 2 58 3 2 12 2" xfId="13405" xr:uid="{00000000-0005-0000-0000-00004C340000}"/>
    <cellStyle name="Normal 2 58 3 2 12 3" xfId="13406" xr:uid="{00000000-0005-0000-0000-00004D340000}"/>
    <cellStyle name="Normal 2 58 3 2 13" xfId="13407" xr:uid="{00000000-0005-0000-0000-00004E340000}"/>
    <cellStyle name="Normal 2 58 3 2 13 2" xfId="13408" xr:uid="{00000000-0005-0000-0000-00004F340000}"/>
    <cellStyle name="Normal 2 58 3 2 13 3" xfId="13409" xr:uid="{00000000-0005-0000-0000-000050340000}"/>
    <cellStyle name="Normal 2 58 3 2 14" xfId="13410" xr:uid="{00000000-0005-0000-0000-000051340000}"/>
    <cellStyle name="Normal 2 58 3 2 14 2" xfId="13411" xr:uid="{00000000-0005-0000-0000-000052340000}"/>
    <cellStyle name="Normal 2 58 3 2 14 3" xfId="13412" xr:uid="{00000000-0005-0000-0000-000053340000}"/>
    <cellStyle name="Normal 2 58 3 2 15" xfId="13413" xr:uid="{00000000-0005-0000-0000-000054340000}"/>
    <cellStyle name="Normal 2 58 3 2 16" xfId="13414" xr:uid="{00000000-0005-0000-0000-000055340000}"/>
    <cellStyle name="Normal 2 58 3 2 2" xfId="13415" xr:uid="{00000000-0005-0000-0000-000056340000}"/>
    <cellStyle name="Normal 2 58 3 2 2 2" xfId="13416" xr:uid="{00000000-0005-0000-0000-000057340000}"/>
    <cellStyle name="Normal 2 58 3 2 2 3" xfId="13417" xr:uid="{00000000-0005-0000-0000-000058340000}"/>
    <cellStyle name="Normal 2 58 3 2 3" xfId="13418" xr:uid="{00000000-0005-0000-0000-000059340000}"/>
    <cellStyle name="Normal 2 58 3 2 3 2" xfId="13419" xr:uid="{00000000-0005-0000-0000-00005A340000}"/>
    <cellStyle name="Normal 2 58 3 2 3 3" xfId="13420" xr:uid="{00000000-0005-0000-0000-00005B340000}"/>
    <cellStyle name="Normal 2 58 3 2 4" xfId="13421" xr:uid="{00000000-0005-0000-0000-00005C340000}"/>
    <cellStyle name="Normal 2 58 3 2 4 2" xfId="13422" xr:uid="{00000000-0005-0000-0000-00005D340000}"/>
    <cellStyle name="Normal 2 58 3 2 4 3" xfId="13423" xr:uid="{00000000-0005-0000-0000-00005E340000}"/>
    <cellStyle name="Normal 2 58 3 2 5" xfId="13424" xr:uid="{00000000-0005-0000-0000-00005F340000}"/>
    <cellStyle name="Normal 2 58 3 2 5 2" xfId="13425" xr:uid="{00000000-0005-0000-0000-000060340000}"/>
    <cellStyle name="Normal 2 58 3 2 5 3" xfId="13426" xr:uid="{00000000-0005-0000-0000-000061340000}"/>
    <cellStyle name="Normal 2 58 3 2 6" xfId="13427" xr:uid="{00000000-0005-0000-0000-000062340000}"/>
    <cellStyle name="Normal 2 58 3 2 6 2" xfId="13428" xr:uid="{00000000-0005-0000-0000-000063340000}"/>
    <cellStyle name="Normal 2 58 3 2 6 3" xfId="13429" xr:uid="{00000000-0005-0000-0000-000064340000}"/>
    <cellStyle name="Normal 2 58 3 2 7" xfId="13430" xr:uid="{00000000-0005-0000-0000-000065340000}"/>
    <cellStyle name="Normal 2 58 3 2 7 2" xfId="13431" xr:uid="{00000000-0005-0000-0000-000066340000}"/>
    <cellStyle name="Normal 2 58 3 2 7 3" xfId="13432" xr:uid="{00000000-0005-0000-0000-000067340000}"/>
    <cellStyle name="Normal 2 58 3 2 8" xfId="13433" xr:uid="{00000000-0005-0000-0000-000068340000}"/>
    <cellStyle name="Normal 2 58 3 2 8 2" xfId="13434" xr:uid="{00000000-0005-0000-0000-000069340000}"/>
    <cellStyle name="Normal 2 58 3 2 8 3" xfId="13435" xr:uid="{00000000-0005-0000-0000-00006A340000}"/>
    <cellStyle name="Normal 2 58 3 2 9" xfId="13436" xr:uid="{00000000-0005-0000-0000-00006B340000}"/>
    <cellStyle name="Normal 2 58 3 2 9 2" xfId="13437" xr:uid="{00000000-0005-0000-0000-00006C340000}"/>
    <cellStyle name="Normal 2 58 3 2 9 3" xfId="13438" xr:uid="{00000000-0005-0000-0000-00006D340000}"/>
    <cellStyle name="Normal 2 58 3 3" xfId="13439" xr:uid="{00000000-0005-0000-0000-00006E340000}"/>
    <cellStyle name="Normal 2 58 3 3 2" xfId="13440" xr:uid="{00000000-0005-0000-0000-00006F340000}"/>
    <cellStyle name="Normal 2 58 3 3 3" xfId="13441" xr:uid="{00000000-0005-0000-0000-000070340000}"/>
    <cellStyle name="Normal 2 58 3 4" xfId="13442" xr:uid="{00000000-0005-0000-0000-000071340000}"/>
    <cellStyle name="Normal 2 58 3 4 2" xfId="13443" xr:uid="{00000000-0005-0000-0000-000072340000}"/>
    <cellStyle name="Normal 2 58 3 4 3" xfId="13444" xr:uid="{00000000-0005-0000-0000-000073340000}"/>
    <cellStyle name="Normal 2 58 3 5" xfId="13445" xr:uid="{00000000-0005-0000-0000-000074340000}"/>
    <cellStyle name="Normal 2 58 3 5 2" xfId="13446" xr:uid="{00000000-0005-0000-0000-000075340000}"/>
    <cellStyle name="Normal 2 58 3 5 3" xfId="13447" xr:uid="{00000000-0005-0000-0000-000076340000}"/>
    <cellStyle name="Normal 2 58 3 6" xfId="13448" xr:uid="{00000000-0005-0000-0000-000077340000}"/>
    <cellStyle name="Normal 2 58 3 6 2" xfId="13449" xr:uid="{00000000-0005-0000-0000-000078340000}"/>
    <cellStyle name="Normal 2 58 3 6 3" xfId="13450" xr:uid="{00000000-0005-0000-0000-000079340000}"/>
    <cellStyle name="Normal 2 58 3 7" xfId="13451" xr:uid="{00000000-0005-0000-0000-00007A340000}"/>
    <cellStyle name="Normal 2 58 3 7 2" xfId="13452" xr:uid="{00000000-0005-0000-0000-00007B340000}"/>
    <cellStyle name="Normal 2 58 3 7 3" xfId="13453" xr:uid="{00000000-0005-0000-0000-00007C340000}"/>
    <cellStyle name="Normal 2 58 3 8" xfId="13454" xr:uid="{00000000-0005-0000-0000-00007D340000}"/>
    <cellStyle name="Normal 2 58 3 8 2" xfId="13455" xr:uid="{00000000-0005-0000-0000-00007E340000}"/>
    <cellStyle name="Normal 2 58 3 8 3" xfId="13456" xr:uid="{00000000-0005-0000-0000-00007F340000}"/>
    <cellStyle name="Normal 2 58 3 9" xfId="13457" xr:uid="{00000000-0005-0000-0000-000080340000}"/>
    <cellStyle name="Normal 2 58 3 9 2" xfId="13458" xr:uid="{00000000-0005-0000-0000-000081340000}"/>
    <cellStyle name="Normal 2 58 3 9 3" xfId="13459" xr:uid="{00000000-0005-0000-0000-000082340000}"/>
    <cellStyle name="Normal 2 58 4" xfId="13460" xr:uid="{00000000-0005-0000-0000-000083340000}"/>
    <cellStyle name="Normal 2 58 4 10" xfId="13461" xr:uid="{00000000-0005-0000-0000-000084340000}"/>
    <cellStyle name="Normal 2 58 4 10 2" xfId="13462" xr:uid="{00000000-0005-0000-0000-000085340000}"/>
    <cellStyle name="Normal 2 58 4 10 3" xfId="13463" xr:uid="{00000000-0005-0000-0000-000086340000}"/>
    <cellStyle name="Normal 2 58 4 11" xfId="13464" xr:uid="{00000000-0005-0000-0000-000087340000}"/>
    <cellStyle name="Normal 2 58 4 11 2" xfId="13465" xr:uid="{00000000-0005-0000-0000-000088340000}"/>
    <cellStyle name="Normal 2 58 4 11 3" xfId="13466" xr:uid="{00000000-0005-0000-0000-000089340000}"/>
    <cellStyle name="Normal 2 58 4 12" xfId="13467" xr:uid="{00000000-0005-0000-0000-00008A340000}"/>
    <cellStyle name="Normal 2 58 4 12 2" xfId="13468" xr:uid="{00000000-0005-0000-0000-00008B340000}"/>
    <cellStyle name="Normal 2 58 4 12 3" xfId="13469" xr:uid="{00000000-0005-0000-0000-00008C340000}"/>
    <cellStyle name="Normal 2 58 4 13" xfId="13470" xr:uid="{00000000-0005-0000-0000-00008D340000}"/>
    <cellStyle name="Normal 2 58 4 13 2" xfId="13471" xr:uid="{00000000-0005-0000-0000-00008E340000}"/>
    <cellStyle name="Normal 2 58 4 13 3" xfId="13472" xr:uid="{00000000-0005-0000-0000-00008F340000}"/>
    <cellStyle name="Normal 2 58 4 14" xfId="13473" xr:uid="{00000000-0005-0000-0000-000090340000}"/>
    <cellStyle name="Normal 2 58 4 14 2" xfId="13474" xr:uid="{00000000-0005-0000-0000-000091340000}"/>
    <cellStyle name="Normal 2 58 4 14 3" xfId="13475" xr:uid="{00000000-0005-0000-0000-000092340000}"/>
    <cellStyle name="Normal 2 58 4 15" xfId="13476" xr:uid="{00000000-0005-0000-0000-000093340000}"/>
    <cellStyle name="Normal 2 58 4 15 2" xfId="13477" xr:uid="{00000000-0005-0000-0000-000094340000}"/>
    <cellStyle name="Normal 2 58 4 15 3" xfId="13478" xr:uid="{00000000-0005-0000-0000-000095340000}"/>
    <cellStyle name="Normal 2 58 4 16" xfId="13479" xr:uid="{00000000-0005-0000-0000-000096340000}"/>
    <cellStyle name="Normal 2 58 4 17" xfId="13480" xr:uid="{00000000-0005-0000-0000-000097340000}"/>
    <cellStyle name="Normal 2 58 4 2" xfId="13481" xr:uid="{00000000-0005-0000-0000-000098340000}"/>
    <cellStyle name="Normal 2 58 4 2 10" xfId="13482" xr:uid="{00000000-0005-0000-0000-000099340000}"/>
    <cellStyle name="Normal 2 58 4 2 10 2" xfId="13483" xr:uid="{00000000-0005-0000-0000-00009A340000}"/>
    <cellStyle name="Normal 2 58 4 2 10 3" xfId="13484" xr:uid="{00000000-0005-0000-0000-00009B340000}"/>
    <cellStyle name="Normal 2 58 4 2 11" xfId="13485" xr:uid="{00000000-0005-0000-0000-00009C340000}"/>
    <cellStyle name="Normal 2 58 4 2 11 2" xfId="13486" xr:uid="{00000000-0005-0000-0000-00009D340000}"/>
    <cellStyle name="Normal 2 58 4 2 11 3" xfId="13487" xr:uid="{00000000-0005-0000-0000-00009E340000}"/>
    <cellStyle name="Normal 2 58 4 2 12" xfId="13488" xr:uid="{00000000-0005-0000-0000-00009F340000}"/>
    <cellStyle name="Normal 2 58 4 2 12 2" xfId="13489" xr:uid="{00000000-0005-0000-0000-0000A0340000}"/>
    <cellStyle name="Normal 2 58 4 2 12 3" xfId="13490" xr:uid="{00000000-0005-0000-0000-0000A1340000}"/>
    <cellStyle name="Normal 2 58 4 2 13" xfId="13491" xr:uid="{00000000-0005-0000-0000-0000A2340000}"/>
    <cellStyle name="Normal 2 58 4 2 13 2" xfId="13492" xr:uid="{00000000-0005-0000-0000-0000A3340000}"/>
    <cellStyle name="Normal 2 58 4 2 13 3" xfId="13493" xr:uid="{00000000-0005-0000-0000-0000A4340000}"/>
    <cellStyle name="Normal 2 58 4 2 14" xfId="13494" xr:uid="{00000000-0005-0000-0000-0000A5340000}"/>
    <cellStyle name="Normal 2 58 4 2 14 2" xfId="13495" xr:uid="{00000000-0005-0000-0000-0000A6340000}"/>
    <cellStyle name="Normal 2 58 4 2 14 3" xfId="13496" xr:uid="{00000000-0005-0000-0000-0000A7340000}"/>
    <cellStyle name="Normal 2 58 4 2 15" xfId="13497" xr:uid="{00000000-0005-0000-0000-0000A8340000}"/>
    <cellStyle name="Normal 2 58 4 2 16" xfId="13498" xr:uid="{00000000-0005-0000-0000-0000A9340000}"/>
    <cellStyle name="Normal 2 58 4 2 2" xfId="13499" xr:uid="{00000000-0005-0000-0000-0000AA340000}"/>
    <cellStyle name="Normal 2 58 4 2 2 2" xfId="13500" xr:uid="{00000000-0005-0000-0000-0000AB340000}"/>
    <cellStyle name="Normal 2 58 4 2 2 3" xfId="13501" xr:uid="{00000000-0005-0000-0000-0000AC340000}"/>
    <cellStyle name="Normal 2 58 4 2 3" xfId="13502" xr:uid="{00000000-0005-0000-0000-0000AD340000}"/>
    <cellStyle name="Normal 2 58 4 2 3 2" xfId="13503" xr:uid="{00000000-0005-0000-0000-0000AE340000}"/>
    <cellStyle name="Normal 2 58 4 2 3 3" xfId="13504" xr:uid="{00000000-0005-0000-0000-0000AF340000}"/>
    <cellStyle name="Normal 2 58 4 2 4" xfId="13505" xr:uid="{00000000-0005-0000-0000-0000B0340000}"/>
    <cellStyle name="Normal 2 58 4 2 4 2" xfId="13506" xr:uid="{00000000-0005-0000-0000-0000B1340000}"/>
    <cellStyle name="Normal 2 58 4 2 4 3" xfId="13507" xr:uid="{00000000-0005-0000-0000-0000B2340000}"/>
    <cellStyle name="Normal 2 58 4 2 5" xfId="13508" xr:uid="{00000000-0005-0000-0000-0000B3340000}"/>
    <cellStyle name="Normal 2 58 4 2 5 2" xfId="13509" xr:uid="{00000000-0005-0000-0000-0000B4340000}"/>
    <cellStyle name="Normal 2 58 4 2 5 3" xfId="13510" xr:uid="{00000000-0005-0000-0000-0000B5340000}"/>
    <cellStyle name="Normal 2 58 4 2 6" xfId="13511" xr:uid="{00000000-0005-0000-0000-0000B6340000}"/>
    <cellStyle name="Normal 2 58 4 2 6 2" xfId="13512" xr:uid="{00000000-0005-0000-0000-0000B7340000}"/>
    <cellStyle name="Normal 2 58 4 2 6 3" xfId="13513" xr:uid="{00000000-0005-0000-0000-0000B8340000}"/>
    <cellStyle name="Normal 2 58 4 2 7" xfId="13514" xr:uid="{00000000-0005-0000-0000-0000B9340000}"/>
    <cellStyle name="Normal 2 58 4 2 7 2" xfId="13515" xr:uid="{00000000-0005-0000-0000-0000BA340000}"/>
    <cellStyle name="Normal 2 58 4 2 7 3" xfId="13516" xr:uid="{00000000-0005-0000-0000-0000BB340000}"/>
    <cellStyle name="Normal 2 58 4 2 8" xfId="13517" xr:uid="{00000000-0005-0000-0000-0000BC340000}"/>
    <cellStyle name="Normal 2 58 4 2 8 2" xfId="13518" xr:uid="{00000000-0005-0000-0000-0000BD340000}"/>
    <cellStyle name="Normal 2 58 4 2 8 3" xfId="13519" xr:uid="{00000000-0005-0000-0000-0000BE340000}"/>
    <cellStyle name="Normal 2 58 4 2 9" xfId="13520" xr:uid="{00000000-0005-0000-0000-0000BF340000}"/>
    <cellStyle name="Normal 2 58 4 2 9 2" xfId="13521" xr:uid="{00000000-0005-0000-0000-0000C0340000}"/>
    <cellStyle name="Normal 2 58 4 2 9 3" xfId="13522" xr:uid="{00000000-0005-0000-0000-0000C1340000}"/>
    <cellStyle name="Normal 2 58 4 3" xfId="13523" xr:uid="{00000000-0005-0000-0000-0000C2340000}"/>
    <cellStyle name="Normal 2 58 4 3 2" xfId="13524" xr:uid="{00000000-0005-0000-0000-0000C3340000}"/>
    <cellStyle name="Normal 2 58 4 3 3" xfId="13525" xr:uid="{00000000-0005-0000-0000-0000C4340000}"/>
    <cellStyle name="Normal 2 58 4 4" xfId="13526" xr:uid="{00000000-0005-0000-0000-0000C5340000}"/>
    <cellStyle name="Normal 2 58 4 4 2" xfId="13527" xr:uid="{00000000-0005-0000-0000-0000C6340000}"/>
    <cellStyle name="Normal 2 58 4 4 3" xfId="13528" xr:uid="{00000000-0005-0000-0000-0000C7340000}"/>
    <cellStyle name="Normal 2 58 4 5" xfId="13529" xr:uid="{00000000-0005-0000-0000-0000C8340000}"/>
    <cellStyle name="Normal 2 58 4 5 2" xfId="13530" xr:uid="{00000000-0005-0000-0000-0000C9340000}"/>
    <cellStyle name="Normal 2 58 4 5 3" xfId="13531" xr:uid="{00000000-0005-0000-0000-0000CA340000}"/>
    <cellStyle name="Normal 2 58 4 6" xfId="13532" xr:uid="{00000000-0005-0000-0000-0000CB340000}"/>
    <cellStyle name="Normal 2 58 4 6 2" xfId="13533" xr:uid="{00000000-0005-0000-0000-0000CC340000}"/>
    <cellStyle name="Normal 2 58 4 6 3" xfId="13534" xr:uid="{00000000-0005-0000-0000-0000CD340000}"/>
    <cellStyle name="Normal 2 58 4 7" xfId="13535" xr:uid="{00000000-0005-0000-0000-0000CE340000}"/>
    <cellStyle name="Normal 2 58 4 7 2" xfId="13536" xr:uid="{00000000-0005-0000-0000-0000CF340000}"/>
    <cellStyle name="Normal 2 58 4 7 3" xfId="13537" xr:uid="{00000000-0005-0000-0000-0000D0340000}"/>
    <cellStyle name="Normal 2 58 4 8" xfId="13538" xr:uid="{00000000-0005-0000-0000-0000D1340000}"/>
    <cellStyle name="Normal 2 58 4 8 2" xfId="13539" xr:uid="{00000000-0005-0000-0000-0000D2340000}"/>
    <cellStyle name="Normal 2 58 4 8 3" xfId="13540" xr:uid="{00000000-0005-0000-0000-0000D3340000}"/>
    <cellStyle name="Normal 2 58 4 9" xfId="13541" xr:uid="{00000000-0005-0000-0000-0000D4340000}"/>
    <cellStyle name="Normal 2 58 4 9 2" xfId="13542" xr:uid="{00000000-0005-0000-0000-0000D5340000}"/>
    <cellStyle name="Normal 2 58 4 9 3" xfId="13543" xr:uid="{00000000-0005-0000-0000-0000D6340000}"/>
    <cellStyle name="Normal 2 58 5" xfId="13544" xr:uid="{00000000-0005-0000-0000-0000D7340000}"/>
    <cellStyle name="Normal 2 58 5 10" xfId="13545" xr:uid="{00000000-0005-0000-0000-0000D8340000}"/>
    <cellStyle name="Normal 2 58 5 10 2" xfId="13546" xr:uid="{00000000-0005-0000-0000-0000D9340000}"/>
    <cellStyle name="Normal 2 58 5 10 3" xfId="13547" xr:uid="{00000000-0005-0000-0000-0000DA340000}"/>
    <cellStyle name="Normal 2 58 5 11" xfId="13548" xr:uid="{00000000-0005-0000-0000-0000DB340000}"/>
    <cellStyle name="Normal 2 58 5 11 2" xfId="13549" xr:uid="{00000000-0005-0000-0000-0000DC340000}"/>
    <cellStyle name="Normal 2 58 5 11 3" xfId="13550" xr:uid="{00000000-0005-0000-0000-0000DD340000}"/>
    <cellStyle name="Normal 2 58 5 12" xfId="13551" xr:uid="{00000000-0005-0000-0000-0000DE340000}"/>
    <cellStyle name="Normal 2 58 5 12 2" xfId="13552" xr:uid="{00000000-0005-0000-0000-0000DF340000}"/>
    <cellStyle name="Normal 2 58 5 12 3" xfId="13553" xr:uid="{00000000-0005-0000-0000-0000E0340000}"/>
    <cellStyle name="Normal 2 58 5 13" xfId="13554" xr:uid="{00000000-0005-0000-0000-0000E1340000}"/>
    <cellStyle name="Normal 2 58 5 13 2" xfId="13555" xr:uid="{00000000-0005-0000-0000-0000E2340000}"/>
    <cellStyle name="Normal 2 58 5 13 3" xfId="13556" xr:uid="{00000000-0005-0000-0000-0000E3340000}"/>
    <cellStyle name="Normal 2 58 5 14" xfId="13557" xr:uid="{00000000-0005-0000-0000-0000E4340000}"/>
    <cellStyle name="Normal 2 58 5 14 2" xfId="13558" xr:uid="{00000000-0005-0000-0000-0000E5340000}"/>
    <cellStyle name="Normal 2 58 5 14 3" xfId="13559" xr:uid="{00000000-0005-0000-0000-0000E6340000}"/>
    <cellStyle name="Normal 2 58 5 15" xfId="13560" xr:uid="{00000000-0005-0000-0000-0000E7340000}"/>
    <cellStyle name="Normal 2 58 5 16" xfId="13561" xr:uid="{00000000-0005-0000-0000-0000E8340000}"/>
    <cellStyle name="Normal 2 58 5 2" xfId="13562" xr:uid="{00000000-0005-0000-0000-0000E9340000}"/>
    <cellStyle name="Normal 2 58 5 2 2" xfId="13563" xr:uid="{00000000-0005-0000-0000-0000EA340000}"/>
    <cellStyle name="Normal 2 58 5 2 3" xfId="13564" xr:uid="{00000000-0005-0000-0000-0000EB340000}"/>
    <cellStyle name="Normal 2 58 5 3" xfId="13565" xr:uid="{00000000-0005-0000-0000-0000EC340000}"/>
    <cellStyle name="Normal 2 58 5 3 2" xfId="13566" xr:uid="{00000000-0005-0000-0000-0000ED340000}"/>
    <cellStyle name="Normal 2 58 5 3 3" xfId="13567" xr:uid="{00000000-0005-0000-0000-0000EE340000}"/>
    <cellStyle name="Normal 2 58 5 4" xfId="13568" xr:uid="{00000000-0005-0000-0000-0000EF340000}"/>
    <cellStyle name="Normal 2 58 5 4 2" xfId="13569" xr:uid="{00000000-0005-0000-0000-0000F0340000}"/>
    <cellStyle name="Normal 2 58 5 4 3" xfId="13570" xr:uid="{00000000-0005-0000-0000-0000F1340000}"/>
    <cellStyle name="Normal 2 58 5 5" xfId="13571" xr:uid="{00000000-0005-0000-0000-0000F2340000}"/>
    <cellStyle name="Normal 2 58 5 5 2" xfId="13572" xr:uid="{00000000-0005-0000-0000-0000F3340000}"/>
    <cellStyle name="Normal 2 58 5 5 3" xfId="13573" xr:uid="{00000000-0005-0000-0000-0000F4340000}"/>
    <cellStyle name="Normal 2 58 5 6" xfId="13574" xr:uid="{00000000-0005-0000-0000-0000F5340000}"/>
    <cellStyle name="Normal 2 58 5 6 2" xfId="13575" xr:uid="{00000000-0005-0000-0000-0000F6340000}"/>
    <cellStyle name="Normal 2 58 5 6 3" xfId="13576" xr:uid="{00000000-0005-0000-0000-0000F7340000}"/>
    <cellStyle name="Normal 2 58 5 7" xfId="13577" xr:uid="{00000000-0005-0000-0000-0000F8340000}"/>
    <cellStyle name="Normal 2 58 5 7 2" xfId="13578" xr:uid="{00000000-0005-0000-0000-0000F9340000}"/>
    <cellStyle name="Normal 2 58 5 7 3" xfId="13579" xr:uid="{00000000-0005-0000-0000-0000FA340000}"/>
    <cellStyle name="Normal 2 58 5 8" xfId="13580" xr:uid="{00000000-0005-0000-0000-0000FB340000}"/>
    <cellStyle name="Normal 2 58 5 8 2" xfId="13581" xr:uid="{00000000-0005-0000-0000-0000FC340000}"/>
    <cellStyle name="Normal 2 58 5 8 3" xfId="13582" xr:uid="{00000000-0005-0000-0000-0000FD340000}"/>
    <cellStyle name="Normal 2 58 5 9" xfId="13583" xr:uid="{00000000-0005-0000-0000-0000FE340000}"/>
    <cellStyle name="Normal 2 58 5 9 2" xfId="13584" xr:uid="{00000000-0005-0000-0000-0000FF340000}"/>
    <cellStyle name="Normal 2 58 5 9 3" xfId="13585" xr:uid="{00000000-0005-0000-0000-000000350000}"/>
    <cellStyle name="Normal 2 58 6" xfId="13586" xr:uid="{00000000-0005-0000-0000-000001350000}"/>
    <cellStyle name="Normal 2 58 6 10" xfId="13587" xr:uid="{00000000-0005-0000-0000-000002350000}"/>
    <cellStyle name="Normal 2 58 6 10 2" xfId="13588" xr:uid="{00000000-0005-0000-0000-000003350000}"/>
    <cellStyle name="Normal 2 58 6 10 3" xfId="13589" xr:uid="{00000000-0005-0000-0000-000004350000}"/>
    <cellStyle name="Normal 2 58 6 11" xfId="13590" xr:uid="{00000000-0005-0000-0000-000005350000}"/>
    <cellStyle name="Normal 2 58 6 11 2" xfId="13591" xr:uid="{00000000-0005-0000-0000-000006350000}"/>
    <cellStyle name="Normal 2 58 6 11 3" xfId="13592" xr:uid="{00000000-0005-0000-0000-000007350000}"/>
    <cellStyle name="Normal 2 58 6 12" xfId="13593" xr:uid="{00000000-0005-0000-0000-000008350000}"/>
    <cellStyle name="Normal 2 58 6 12 2" xfId="13594" xr:uid="{00000000-0005-0000-0000-000009350000}"/>
    <cellStyle name="Normal 2 58 6 12 3" xfId="13595" xr:uid="{00000000-0005-0000-0000-00000A350000}"/>
    <cellStyle name="Normal 2 58 6 13" xfId="13596" xr:uid="{00000000-0005-0000-0000-00000B350000}"/>
    <cellStyle name="Normal 2 58 6 13 2" xfId="13597" xr:uid="{00000000-0005-0000-0000-00000C350000}"/>
    <cellStyle name="Normal 2 58 6 13 3" xfId="13598" xr:uid="{00000000-0005-0000-0000-00000D350000}"/>
    <cellStyle name="Normal 2 58 6 14" xfId="13599" xr:uid="{00000000-0005-0000-0000-00000E350000}"/>
    <cellStyle name="Normal 2 58 6 14 2" xfId="13600" xr:uid="{00000000-0005-0000-0000-00000F350000}"/>
    <cellStyle name="Normal 2 58 6 14 3" xfId="13601" xr:uid="{00000000-0005-0000-0000-000010350000}"/>
    <cellStyle name="Normal 2 58 6 15" xfId="13602" xr:uid="{00000000-0005-0000-0000-000011350000}"/>
    <cellStyle name="Normal 2 58 6 16" xfId="13603" xr:uid="{00000000-0005-0000-0000-000012350000}"/>
    <cellStyle name="Normal 2 58 6 2" xfId="13604" xr:uid="{00000000-0005-0000-0000-000013350000}"/>
    <cellStyle name="Normal 2 58 6 2 2" xfId="13605" xr:uid="{00000000-0005-0000-0000-000014350000}"/>
    <cellStyle name="Normal 2 58 6 2 3" xfId="13606" xr:uid="{00000000-0005-0000-0000-000015350000}"/>
    <cellStyle name="Normal 2 58 6 3" xfId="13607" xr:uid="{00000000-0005-0000-0000-000016350000}"/>
    <cellStyle name="Normal 2 58 6 3 2" xfId="13608" xr:uid="{00000000-0005-0000-0000-000017350000}"/>
    <cellStyle name="Normal 2 58 6 3 3" xfId="13609" xr:uid="{00000000-0005-0000-0000-000018350000}"/>
    <cellStyle name="Normal 2 58 6 4" xfId="13610" xr:uid="{00000000-0005-0000-0000-000019350000}"/>
    <cellStyle name="Normal 2 58 6 4 2" xfId="13611" xr:uid="{00000000-0005-0000-0000-00001A350000}"/>
    <cellStyle name="Normal 2 58 6 4 3" xfId="13612" xr:uid="{00000000-0005-0000-0000-00001B350000}"/>
    <cellStyle name="Normal 2 58 6 5" xfId="13613" xr:uid="{00000000-0005-0000-0000-00001C350000}"/>
    <cellStyle name="Normal 2 58 6 5 2" xfId="13614" xr:uid="{00000000-0005-0000-0000-00001D350000}"/>
    <cellStyle name="Normal 2 58 6 5 3" xfId="13615" xr:uid="{00000000-0005-0000-0000-00001E350000}"/>
    <cellStyle name="Normal 2 58 6 6" xfId="13616" xr:uid="{00000000-0005-0000-0000-00001F350000}"/>
    <cellStyle name="Normal 2 58 6 6 2" xfId="13617" xr:uid="{00000000-0005-0000-0000-000020350000}"/>
    <cellStyle name="Normal 2 58 6 6 3" xfId="13618" xr:uid="{00000000-0005-0000-0000-000021350000}"/>
    <cellStyle name="Normal 2 58 6 7" xfId="13619" xr:uid="{00000000-0005-0000-0000-000022350000}"/>
    <cellStyle name="Normal 2 58 6 7 2" xfId="13620" xr:uid="{00000000-0005-0000-0000-000023350000}"/>
    <cellStyle name="Normal 2 58 6 7 3" xfId="13621" xr:uid="{00000000-0005-0000-0000-000024350000}"/>
    <cellStyle name="Normal 2 58 6 8" xfId="13622" xr:uid="{00000000-0005-0000-0000-000025350000}"/>
    <cellStyle name="Normal 2 58 6 8 2" xfId="13623" xr:uid="{00000000-0005-0000-0000-000026350000}"/>
    <cellStyle name="Normal 2 58 6 8 3" xfId="13624" xr:uid="{00000000-0005-0000-0000-000027350000}"/>
    <cellStyle name="Normal 2 58 6 9" xfId="13625" xr:uid="{00000000-0005-0000-0000-000028350000}"/>
    <cellStyle name="Normal 2 58 6 9 2" xfId="13626" xr:uid="{00000000-0005-0000-0000-000029350000}"/>
    <cellStyle name="Normal 2 58 6 9 3" xfId="13627" xr:uid="{00000000-0005-0000-0000-00002A350000}"/>
    <cellStyle name="Normal 2 58 7" xfId="13628" xr:uid="{00000000-0005-0000-0000-00002B350000}"/>
    <cellStyle name="Normal 2 58 7 10" xfId="13629" xr:uid="{00000000-0005-0000-0000-00002C350000}"/>
    <cellStyle name="Normal 2 58 7 10 2" xfId="13630" xr:uid="{00000000-0005-0000-0000-00002D350000}"/>
    <cellStyle name="Normal 2 58 7 10 3" xfId="13631" xr:uid="{00000000-0005-0000-0000-00002E350000}"/>
    <cellStyle name="Normal 2 58 7 11" xfId="13632" xr:uid="{00000000-0005-0000-0000-00002F350000}"/>
    <cellStyle name="Normal 2 58 7 11 2" xfId="13633" xr:uid="{00000000-0005-0000-0000-000030350000}"/>
    <cellStyle name="Normal 2 58 7 11 3" xfId="13634" xr:uid="{00000000-0005-0000-0000-000031350000}"/>
    <cellStyle name="Normal 2 58 7 12" xfId="13635" xr:uid="{00000000-0005-0000-0000-000032350000}"/>
    <cellStyle name="Normal 2 58 7 12 2" xfId="13636" xr:uid="{00000000-0005-0000-0000-000033350000}"/>
    <cellStyle name="Normal 2 58 7 12 3" xfId="13637" xr:uid="{00000000-0005-0000-0000-000034350000}"/>
    <cellStyle name="Normal 2 58 7 13" xfId="13638" xr:uid="{00000000-0005-0000-0000-000035350000}"/>
    <cellStyle name="Normal 2 58 7 13 2" xfId="13639" xr:uid="{00000000-0005-0000-0000-000036350000}"/>
    <cellStyle name="Normal 2 58 7 13 3" xfId="13640" xr:uid="{00000000-0005-0000-0000-000037350000}"/>
    <cellStyle name="Normal 2 58 7 14" xfId="13641" xr:uid="{00000000-0005-0000-0000-000038350000}"/>
    <cellStyle name="Normal 2 58 7 14 2" xfId="13642" xr:uid="{00000000-0005-0000-0000-000039350000}"/>
    <cellStyle name="Normal 2 58 7 14 3" xfId="13643" xr:uid="{00000000-0005-0000-0000-00003A350000}"/>
    <cellStyle name="Normal 2 58 7 15" xfId="13644" xr:uid="{00000000-0005-0000-0000-00003B350000}"/>
    <cellStyle name="Normal 2 58 7 16" xfId="13645" xr:uid="{00000000-0005-0000-0000-00003C350000}"/>
    <cellStyle name="Normal 2 58 7 2" xfId="13646" xr:uid="{00000000-0005-0000-0000-00003D350000}"/>
    <cellStyle name="Normal 2 58 7 2 2" xfId="13647" xr:uid="{00000000-0005-0000-0000-00003E350000}"/>
    <cellStyle name="Normal 2 58 7 2 3" xfId="13648" xr:uid="{00000000-0005-0000-0000-00003F350000}"/>
    <cellStyle name="Normal 2 58 7 3" xfId="13649" xr:uid="{00000000-0005-0000-0000-000040350000}"/>
    <cellStyle name="Normal 2 58 7 3 2" xfId="13650" xr:uid="{00000000-0005-0000-0000-000041350000}"/>
    <cellStyle name="Normal 2 58 7 3 3" xfId="13651" xr:uid="{00000000-0005-0000-0000-000042350000}"/>
    <cellStyle name="Normal 2 58 7 4" xfId="13652" xr:uid="{00000000-0005-0000-0000-000043350000}"/>
    <cellStyle name="Normal 2 58 7 4 2" xfId="13653" xr:uid="{00000000-0005-0000-0000-000044350000}"/>
    <cellStyle name="Normal 2 58 7 4 3" xfId="13654" xr:uid="{00000000-0005-0000-0000-000045350000}"/>
    <cellStyle name="Normal 2 58 7 5" xfId="13655" xr:uid="{00000000-0005-0000-0000-000046350000}"/>
    <cellStyle name="Normal 2 58 7 5 2" xfId="13656" xr:uid="{00000000-0005-0000-0000-000047350000}"/>
    <cellStyle name="Normal 2 58 7 5 3" xfId="13657" xr:uid="{00000000-0005-0000-0000-000048350000}"/>
    <cellStyle name="Normal 2 58 7 6" xfId="13658" xr:uid="{00000000-0005-0000-0000-000049350000}"/>
    <cellStyle name="Normal 2 58 7 6 2" xfId="13659" xr:uid="{00000000-0005-0000-0000-00004A350000}"/>
    <cellStyle name="Normal 2 58 7 6 3" xfId="13660" xr:uid="{00000000-0005-0000-0000-00004B350000}"/>
    <cellStyle name="Normal 2 58 7 7" xfId="13661" xr:uid="{00000000-0005-0000-0000-00004C350000}"/>
    <cellStyle name="Normal 2 58 7 7 2" xfId="13662" xr:uid="{00000000-0005-0000-0000-00004D350000}"/>
    <cellStyle name="Normal 2 58 7 7 3" xfId="13663" xr:uid="{00000000-0005-0000-0000-00004E350000}"/>
    <cellStyle name="Normal 2 58 7 8" xfId="13664" xr:uid="{00000000-0005-0000-0000-00004F350000}"/>
    <cellStyle name="Normal 2 58 7 8 2" xfId="13665" xr:uid="{00000000-0005-0000-0000-000050350000}"/>
    <cellStyle name="Normal 2 58 7 8 3" xfId="13666" xr:uid="{00000000-0005-0000-0000-000051350000}"/>
    <cellStyle name="Normal 2 58 7 9" xfId="13667" xr:uid="{00000000-0005-0000-0000-000052350000}"/>
    <cellStyle name="Normal 2 58 7 9 2" xfId="13668" xr:uid="{00000000-0005-0000-0000-000053350000}"/>
    <cellStyle name="Normal 2 58 7 9 3" xfId="13669" xr:uid="{00000000-0005-0000-0000-000054350000}"/>
    <cellStyle name="Normal 2 58 8" xfId="13670" xr:uid="{00000000-0005-0000-0000-000055350000}"/>
    <cellStyle name="Normal 2 58 8 10" xfId="13671" xr:uid="{00000000-0005-0000-0000-000056350000}"/>
    <cellStyle name="Normal 2 58 8 10 2" xfId="13672" xr:uid="{00000000-0005-0000-0000-000057350000}"/>
    <cellStyle name="Normal 2 58 8 10 3" xfId="13673" xr:uid="{00000000-0005-0000-0000-000058350000}"/>
    <cellStyle name="Normal 2 58 8 11" xfId="13674" xr:uid="{00000000-0005-0000-0000-000059350000}"/>
    <cellStyle name="Normal 2 58 8 11 2" xfId="13675" xr:uid="{00000000-0005-0000-0000-00005A350000}"/>
    <cellStyle name="Normal 2 58 8 11 3" xfId="13676" xr:uid="{00000000-0005-0000-0000-00005B350000}"/>
    <cellStyle name="Normal 2 58 8 12" xfId="13677" xr:uid="{00000000-0005-0000-0000-00005C350000}"/>
    <cellStyle name="Normal 2 58 8 12 2" xfId="13678" xr:uid="{00000000-0005-0000-0000-00005D350000}"/>
    <cellStyle name="Normal 2 58 8 12 3" xfId="13679" xr:uid="{00000000-0005-0000-0000-00005E350000}"/>
    <cellStyle name="Normal 2 58 8 13" xfId="13680" xr:uid="{00000000-0005-0000-0000-00005F350000}"/>
    <cellStyle name="Normal 2 58 8 13 2" xfId="13681" xr:uid="{00000000-0005-0000-0000-000060350000}"/>
    <cellStyle name="Normal 2 58 8 13 3" xfId="13682" xr:uid="{00000000-0005-0000-0000-000061350000}"/>
    <cellStyle name="Normal 2 58 8 14" xfId="13683" xr:uid="{00000000-0005-0000-0000-000062350000}"/>
    <cellStyle name="Normal 2 58 8 14 2" xfId="13684" xr:uid="{00000000-0005-0000-0000-000063350000}"/>
    <cellStyle name="Normal 2 58 8 14 3" xfId="13685" xr:uid="{00000000-0005-0000-0000-000064350000}"/>
    <cellStyle name="Normal 2 58 8 15" xfId="13686" xr:uid="{00000000-0005-0000-0000-000065350000}"/>
    <cellStyle name="Normal 2 58 8 16" xfId="13687" xr:uid="{00000000-0005-0000-0000-000066350000}"/>
    <cellStyle name="Normal 2 58 8 2" xfId="13688" xr:uid="{00000000-0005-0000-0000-000067350000}"/>
    <cellStyle name="Normal 2 58 8 2 2" xfId="13689" xr:uid="{00000000-0005-0000-0000-000068350000}"/>
    <cellStyle name="Normal 2 58 8 2 3" xfId="13690" xr:uid="{00000000-0005-0000-0000-000069350000}"/>
    <cellStyle name="Normal 2 58 8 3" xfId="13691" xr:uid="{00000000-0005-0000-0000-00006A350000}"/>
    <cellStyle name="Normal 2 58 8 3 2" xfId="13692" xr:uid="{00000000-0005-0000-0000-00006B350000}"/>
    <cellStyle name="Normal 2 58 8 3 3" xfId="13693" xr:uid="{00000000-0005-0000-0000-00006C350000}"/>
    <cellStyle name="Normal 2 58 8 4" xfId="13694" xr:uid="{00000000-0005-0000-0000-00006D350000}"/>
    <cellStyle name="Normal 2 58 8 4 2" xfId="13695" xr:uid="{00000000-0005-0000-0000-00006E350000}"/>
    <cellStyle name="Normal 2 58 8 4 3" xfId="13696" xr:uid="{00000000-0005-0000-0000-00006F350000}"/>
    <cellStyle name="Normal 2 58 8 5" xfId="13697" xr:uid="{00000000-0005-0000-0000-000070350000}"/>
    <cellStyle name="Normal 2 58 8 5 2" xfId="13698" xr:uid="{00000000-0005-0000-0000-000071350000}"/>
    <cellStyle name="Normal 2 58 8 5 3" xfId="13699" xr:uid="{00000000-0005-0000-0000-000072350000}"/>
    <cellStyle name="Normal 2 58 8 6" xfId="13700" xr:uid="{00000000-0005-0000-0000-000073350000}"/>
    <cellStyle name="Normal 2 58 8 6 2" xfId="13701" xr:uid="{00000000-0005-0000-0000-000074350000}"/>
    <cellStyle name="Normal 2 58 8 6 3" xfId="13702" xr:uid="{00000000-0005-0000-0000-000075350000}"/>
    <cellStyle name="Normal 2 58 8 7" xfId="13703" xr:uid="{00000000-0005-0000-0000-000076350000}"/>
    <cellStyle name="Normal 2 58 8 7 2" xfId="13704" xr:uid="{00000000-0005-0000-0000-000077350000}"/>
    <cellStyle name="Normal 2 58 8 7 3" xfId="13705" xr:uid="{00000000-0005-0000-0000-000078350000}"/>
    <cellStyle name="Normal 2 58 8 8" xfId="13706" xr:uid="{00000000-0005-0000-0000-000079350000}"/>
    <cellStyle name="Normal 2 58 8 8 2" xfId="13707" xr:uid="{00000000-0005-0000-0000-00007A350000}"/>
    <cellStyle name="Normal 2 58 8 8 3" xfId="13708" xr:uid="{00000000-0005-0000-0000-00007B350000}"/>
    <cellStyle name="Normal 2 58 8 9" xfId="13709" xr:uid="{00000000-0005-0000-0000-00007C350000}"/>
    <cellStyle name="Normal 2 58 8 9 2" xfId="13710" xr:uid="{00000000-0005-0000-0000-00007D350000}"/>
    <cellStyle name="Normal 2 58 8 9 3" xfId="13711" xr:uid="{00000000-0005-0000-0000-00007E350000}"/>
    <cellStyle name="Normal 2 58 9" xfId="13712" xr:uid="{00000000-0005-0000-0000-00007F350000}"/>
    <cellStyle name="Normal 2 58 9 10" xfId="13713" xr:uid="{00000000-0005-0000-0000-000080350000}"/>
    <cellStyle name="Normal 2 58 9 10 2" xfId="13714" xr:uid="{00000000-0005-0000-0000-000081350000}"/>
    <cellStyle name="Normal 2 58 9 10 3" xfId="13715" xr:uid="{00000000-0005-0000-0000-000082350000}"/>
    <cellStyle name="Normal 2 58 9 11" xfId="13716" xr:uid="{00000000-0005-0000-0000-000083350000}"/>
    <cellStyle name="Normal 2 58 9 11 2" xfId="13717" xr:uid="{00000000-0005-0000-0000-000084350000}"/>
    <cellStyle name="Normal 2 58 9 11 3" xfId="13718" xr:uid="{00000000-0005-0000-0000-000085350000}"/>
    <cellStyle name="Normal 2 58 9 12" xfId="13719" xr:uid="{00000000-0005-0000-0000-000086350000}"/>
    <cellStyle name="Normal 2 58 9 12 2" xfId="13720" xr:uid="{00000000-0005-0000-0000-000087350000}"/>
    <cellStyle name="Normal 2 58 9 12 3" xfId="13721" xr:uid="{00000000-0005-0000-0000-000088350000}"/>
    <cellStyle name="Normal 2 58 9 13" xfId="13722" xr:uid="{00000000-0005-0000-0000-000089350000}"/>
    <cellStyle name="Normal 2 58 9 13 2" xfId="13723" xr:uid="{00000000-0005-0000-0000-00008A350000}"/>
    <cellStyle name="Normal 2 58 9 13 3" xfId="13724" xr:uid="{00000000-0005-0000-0000-00008B350000}"/>
    <cellStyle name="Normal 2 58 9 14" xfId="13725" xr:uid="{00000000-0005-0000-0000-00008C350000}"/>
    <cellStyle name="Normal 2 58 9 14 2" xfId="13726" xr:uid="{00000000-0005-0000-0000-00008D350000}"/>
    <cellStyle name="Normal 2 58 9 14 3" xfId="13727" xr:uid="{00000000-0005-0000-0000-00008E350000}"/>
    <cellStyle name="Normal 2 58 9 15" xfId="13728" xr:uid="{00000000-0005-0000-0000-00008F350000}"/>
    <cellStyle name="Normal 2 58 9 16" xfId="13729" xr:uid="{00000000-0005-0000-0000-000090350000}"/>
    <cellStyle name="Normal 2 58 9 2" xfId="13730" xr:uid="{00000000-0005-0000-0000-000091350000}"/>
    <cellStyle name="Normal 2 58 9 2 2" xfId="13731" xr:uid="{00000000-0005-0000-0000-000092350000}"/>
    <cellStyle name="Normal 2 58 9 2 3" xfId="13732" xr:uid="{00000000-0005-0000-0000-000093350000}"/>
    <cellStyle name="Normal 2 58 9 3" xfId="13733" xr:uid="{00000000-0005-0000-0000-000094350000}"/>
    <cellStyle name="Normal 2 58 9 3 2" xfId="13734" xr:uid="{00000000-0005-0000-0000-000095350000}"/>
    <cellStyle name="Normal 2 58 9 3 3" xfId="13735" xr:uid="{00000000-0005-0000-0000-000096350000}"/>
    <cellStyle name="Normal 2 58 9 4" xfId="13736" xr:uid="{00000000-0005-0000-0000-000097350000}"/>
    <cellStyle name="Normal 2 58 9 4 2" xfId="13737" xr:uid="{00000000-0005-0000-0000-000098350000}"/>
    <cellStyle name="Normal 2 58 9 4 3" xfId="13738" xr:uid="{00000000-0005-0000-0000-000099350000}"/>
    <cellStyle name="Normal 2 58 9 5" xfId="13739" xr:uid="{00000000-0005-0000-0000-00009A350000}"/>
    <cellStyle name="Normal 2 58 9 5 2" xfId="13740" xr:uid="{00000000-0005-0000-0000-00009B350000}"/>
    <cellStyle name="Normal 2 58 9 5 3" xfId="13741" xr:uid="{00000000-0005-0000-0000-00009C350000}"/>
    <cellStyle name="Normal 2 58 9 6" xfId="13742" xr:uid="{00000000-0005-0000-0000-00009D350000}"/>
    <cellStyle name="Normal 2 58 9 6 2" xfId="13743" xr:uid="{00000000-0005-0000-0000-00009E350000}"/>
    <cellStyle name="Normal 2 58 9 6 3" xfId="13744" xr:uid="{00000000-0005-0000-0000-00009F350000}"/>
    <cellStyle name="Normal 2 58 9 7" xfId="13745" xr:uid="{00000000-0005-0000-0000-0000A0350000}"/>
    <cellStyle name="Normal 2 58 9 7 2" xfId="13746" xr:uid="{00000000-0005-0000-0000-0000A1350000}"/>
    <cellStyle name="Normal 2 58 9 7 3" xfId="13747" xr:uid="{00000000-0005-0000-0000-0000A2350000}"/>
    <cellStyle name="Normal 2 58 9 8" xfId="13748" xr:uid="{00000000-0005-0000-0000-0000A3350000}"/>
    <cellStyle name="Normal 2 58 9 8 2" xfId="13749" xr:uid="{00000000-0005-0000-0000-0000A4350000}"/>
    <cellStyle name="Normal 2 58 9 8 3" xfId="13750" xr:uid="{00000000-0005-0000-0000-0000A5350000}"/>
    <cellStyle name="Normal 2 58 9 9" xfId="13751" xr:uid="{00000000-0005-0000-0000-0000A6350000}"/>
    <cellStyle name="Normal 2 58 9 9 2" xfId="13752" xr:uid="{00000000-0005-0000-0000-0000A7350000}"/>
    <cellStyle name="Normal 2 58 9 9 3" xfId="13753" xr:uid="{00000000-0005-0000-0000-0000A8350000}"/>
    <cellStyle name="Normal 2 59" xfId="13754" xr:uid="{00000000-0005-0000-0000-0000A9350000}"/>
    <cellStyle name="Normal 2 59 10" xfId="13755" xr:uid="{00000000-0005-0000-0000-0000AA350000}"/>
    <cellStyle name="Normal 2 59 10 10" xfId="13756" xr:uid="{00000000-0005-0000-0000-0000AB350000}"/>
    <cellStyle name="Normal 2 59 10 10 2" xfId="13757" xr:uid="{00000000-0005-0000-0000-0000AC350000}"/>
    <cellStyle name="Normal 2 59 10 10 3" xfId="13758" xr:uid="{00000000-0005-0000-0000-0000AD350000}"/>
    <cellStyle name="Normal 2 59 10 11" xfId="13759" xr:uid="{00000000-0005-0000-0000-0000AE350000}"/>
    <cellStyle name="Normal 2 59 10 11 2" xfId="13760" xr:uid="{00000000-0005-0000-0000-0000AF350000}"/>
    <cellStyle name="Normal 2 59 10 11 3" xfId="13761" xr:uid="{00000000-0005-0000-0000-0000B0350000}"/>
    <cellStyle name="Normal 2 59 10 12" xfId="13762" xr:uid="{00000000-0005-0000-0000-0000B1350000}"/>
    <cellStyle name="Normal 2 59 10 12 2" xfId="13763" xr:uid="{00000000-0005-0000-0000-0000B2350000}"/>
    <cellStyle name="Normal 2 59 10 12 3" xfId="13764" xr:uid="{00000000-0005-0000-0000-0000B3350000}"/>
    <cellStyle name="Normal 2 59 10 13" xfId="13765" xr:uid="{00000000-0005-0000-0000-0000B4350000}"/>
    <cellStyle name="Normal 2 59 10 13 2" xfId="13766" xr:uid="{00000000-0005-0000-0000-0000B5350000}"/>
    <cellStyle name="Normal 2 59 10 13 3" xfId="13767" xr:uid="{00000000-0005-0000-0000-0000B6350000}"/>
    <cellStyle name="Normal 2 59 10 14" xfId="13768" xr:uid="{00000000-0005-0000-0000-0000B7350000}"/>
    <cellStyle name="Normal 2 59 10 14 2" xfId="13769" xr:uid="{00000000-0005-0000-0000-0000B8350000}"/>
    <cellStyle name="Normal 2 59 10 14 3" xfId="13770" xr:uid="{00000000-0005-0000-0000-0000B9350000}"/>
    <cellStyle name="Normal 2 59 10 15" xfId="13771" xr:uid="{00000000-0005-0000-0000-0000BA350000}"/>
    <cellStyle name="Normal 2 59 10 16" xfId="13772" xr:uid="{00000000-0005-0000-0000-0000BB350000}"/>
    <cellStyle name="Normal 2 59 10 2" xfId="13773" xr:uid="{00000000-0005-0000-0000-0000BC350000}"/>
    <cellStyle name="Normal 2 59 10 2 2" xfId="13774" xr:uid="{00000000-0005-0000-0000-0000BD350000}"/>
    <cellStyle name="Normal 2 59 10 2 3" xfId="13775" xr:uid="{00000000-0005-0000-0000-0000BE350000}"/>
    <cellStyle name="Normal 2 59 10 3" xfId="13776" xr:uid="{00000000-0005-0000-0000-0000BF350000}"/>
    <cellStyle name="Normal 2 59 10 3 2" xfId="13777" xr:uid="{00000000-0005-0000-0000-0000C0350000}"/>
    <cellStyle name="Normal 2 59 10 3 3" xfId="13778" xr:uid="{00000000-0005-0000-0000-0000C1350000}"/>
    <cellStyle name="Normal 2 59 10 4" xfId="13779" xr:uid="{00000000-0005-0000-0000-0000C2350000}"/>
    <cellStyle name="Normal 2 59 10 4 2" xfId="13780" xr:uid="{00000000-0005-0000-0000-0000C3350000}"/>
    <cellStyle name="Normal 2 59 10 4 3" xfId="13781" xr:uid="{00000000-0005-0000-0000-0000C4350000}"/>
    <cellStyle name="Normal 2 59 10 5" xfId="13782" xr:uid="{00000000-0005-0000-0000-0000C5350000}"/>
    <cellStyle name="Normal 2 59 10 5 2" xfId="13783" xr:uid="{00000000-0005-0000-0000-0000C6350000}"/>
    <cellStyle name="Normal 2 59 10 5 3" xfId="13784" xr:uid="{00000000-0005-0000-0000-0000C7350000}"/>
    <cellStyle name="Normal 2 59 10 6" xfId="13785" xr:uid="{00000000-0005-0000-0000-0000C8350000}"/>
    <cellStyle name="Normal 2 59 10 6 2" xfId="13786" xr:uid="{00000000-0005-0000-0000-0000C9350000}"/>
    <cellStyle name="Normal 2 59 10 6 3" xfId="13787" xr:uid="{00000000-0005-0000-0000-0000CA350000}"/>
    <cellStyle name="Normal 2 59 10 7" xfId="13788" xr:uid="{00000000-0005-0000-0000-0000CB350000}"/>
    <cellStyle name="Normal 2 59 10 7 2" xfId="13789" xr:uid="{00000000-0005-0000-0000-0000CC350000}"/>
    <cellStyle name="Normal 2 59 10 7 3" xfId="13790" xr:uid="{00000000-0005-0000-0000-0000CD350000}"/>
    <cellStyle name="Normal 2 59 10 8" xfId="13791" xr:uid="{00000000-0005-0000-0000-0000CE350000}"/>
    <cellStyle name="Normal 2 59 10 8 2" xfId="13792" xr:uid="{00000000-0005-0000-0000-0000CF350000}"/>
    <cellStyle name="Normal 2 59 10 8 3" xfId="13793" xr:uid="{00000000-0005-0000-0000-0000D0350000}"/>
    <cellStyle name="Normal 2 59 10 9" xfId="13794" xr:uid="{00000000-0005-0000-0000-0000D1350000}"/>
    <cellStyle name="Normal 2 59 10 9 2" xfId="13795" xr:uid="{00000000-0005-0000-0000-0000D2350000}"/>
    <cellStyle name="Normal 2 59 10 9 3" xfId="13796" xr:uid="{00000000-0005-0000-0000-0000D3350000}"/>
    <cellStyle name="Normal 2 59 11" xfId="13797" xr:uid="{00000000-0005-0000-0000-0000D4350000}"/>
    <cellStyle name="Normal 2 59 11 2" xfId="13798" xr:uid="{00000000-0005-0000-0000-0000D5350000}"/>
    <cellStyle name="Normal 2 59 11 3" xfId="13799" xr:uid="{00000000-0005-0000-0000-0000D6350000}"/>
    <cellStyle name="Normal 2 59 12" xfId="13800" xr:uid="{00000000-0005-0000-0000-0000D7350000}"/>
    <cellStyle name="Normal 2 59 12 2" xfId="13801" xr:uid="{00000000-0005-0000-0000-0000D8350000}"/>
    <cellStyle name="Normal 2 59 12 3" xfId="13802" xr:uid="{00000000-0005-0000-0000-0000D9350000}"/>
    <cellStyle name="Normal 2 59 13" xfId="13803" xr:uid="{00000000-0005-0000-0000-0000DA350000}"/>
    <cellStyle name="Normal 2 59 13 2" xfId="13804" xr:uid="{00000000-0005-0000-0000-0000DB350000}"/>
    <cellStyle name="Normal 2 59 13 3" xfId="13805" xr:uid="{00000000-0005-0000-0000-0000DC350000}"/>
    <cellStyle name="Normal 2 59 14" xfId="13806" xr:uid="{00000000-0005-0000-0000-0000DD350000}"/>
    <cellStyle name="Normal 2 59 14 2" xfId="13807" xr:uid="{00000000-0005-0000-0000-0000DE350000}"/>
    <cellStyle name="Normal 2 59 14 3" xfId="13808" xr:uid="{00000000-0005-0000-0000-0000DF350000}"/>
    <cellStyle name="Normal 2 59 15" xfId="13809" xr:uid="{00000000-0005-0000-0000-0000E0350000}"/>
    <cellStyle name="Normal 2 59 15 2" xfId="13810" xr:uid="{00000000-0005-0000-0000-0000E1350000}"/>
    <cellStyle name="Normal 2 59 15 3" xfId="13811" xr:uid="{00000000-0005-0000-0000-0000E2350000}"/>
    <cellStyle name="Normal 2 59 16" xfId="13812" xr:uid="{00000000-0005-0000-0000-0000E3350000}"/>
    <cellStyle name="Normal 2 59 16 2" xfId="13813" xr:uid="{00000000-0005-0000-0000-0000E4350000}"/>
    <cellStyle name="Normal 2 59 16 3" xfId="13814" xr:uid="{00000000-0005-0000-0000-0000E5350000}"/>
    <cellStyle name="Normal 2 59 17" xfId="13815" xr:uid="{00000000-0005-0000-0000-0000E6350000}"/>
    <cellStyle name="Normal 2 59 17 2" xfId="13816" xr:uid="{00000000-0005-0000-0000-0000E7350000}"/>
    <cellStyle name="Normal 2 59 17 3" xfId="13817" xr:uid="{00000000-0005-0000-0000-0000E8350000}"/>
    <cellStyle name="Normal 2 59 18" xfId="13818" xr:uid="{00000000-0005-0000-0000-0000E9350000}"/>
    <cellStyle name="Normal 2 59 18 2" xfId="13819" xr:uid="{00000000-0005-0000-0000-0000EA350000}"/>
    <cellStyle name="Normal 2 59 18 3" xfId="13820" xr:uid="{00000000-0005-0000-0000-0000EB350000}"/>
    <cellStyle name="Normal 2 59 19" xfId="13821" xr:uid="{00000000-0005-0000-0000-0000EC350000}"/>
    <cellStyle name="Normal 2 59 19 2" xfId="13822" xr:uid="{00000000-0005-0000-0000-0000ED350000}"/>
    <cellStyle name="Normal 2 59 19 3" xfId="13823" xr:uid="{00000000-0005-0000-0000-0000EE350000}"/>
    <cellStyle name="Normal 2 59 2" xfId="13824" xr:uid="{00000000-0005-0000-0000-0000EF350000}"/>
    <cellStyle name="Normal 2 59 2 10" xfId="13825" xr:uid="{00000000-0005-0000-0000-0000F0350000}"/>
    <cellStyle name="Normal 2 59 2 10 2" xfId="13826" xr:uid="{00000000-0005-0000-0000-0000F1350000}"/>
    <cellStyle name="Normal 2 59 2 10 3" xfId="13827" xr:uid="{00000000-0005-0000-0000-0000F2350000}"/>
    <cellStyle name="Normal 2 59 2 11" xfId="13828" xr:uid="{00000000-0005-0000-0000-0000F3350000}"/>
    <cellStyle name="Normal 2 59 2 11 2" xfId="13829" xr:uid="{00000000-0005-0000-0000-0000F4350000}"/>
    <cellStyle name="Normal 2 59 2 11 3" xfId="13830" xr:uid="{00000000-0005-0000-0000-0000F5350000}"/>
    <cellStyle name="Normal 2 59 2 12" xfId="13831" xr:uid="{00000000-0005-0000-0000-0000F6350000}"/>
    <cellStyle name="Normal 2 59 2 12 2" xfId="13832" xr:uid="{00000000-0005-0000-0000-0000F7350000}"/>
    <cellStyle name="Normal 2 59 2 12 3" xfId="13833" xr:uid="{00000000-0005-0000-0000-0000F8350000}"/>
    <cellStyle name="Normal 2 59 2 13" xfId="13834" xr:uid="{00000000-0005-0000-0000-0000F9350000}"/>
    <cellStyle name="Normal 2 59 2 13 2" xfId="13835" xr:uid="{00000000-0005-0000-0000-0000FA350000}"/>
    <cellStyle name="Normal 2 59 2 13 3" xfId="13836" xr:uid="{00000000-0005-0000-0000-0000FB350000}"/>
    <cellStyle name="Normal 2 59 2 14" xfId="13837" xr:uid="{00000000-0005-0000-0000-0000FC350000}"/>
    <cellStyle name="Normal 2 59 2 14 2" xfId="13838" xr:uid="{00000000-0005-0000-0000-0000FD350000}"/>
    <cellStyle name="Normal 2 59 2 14 3" xfId="13839" xr:uid="{00000000-0005-0000-0000-0000FE350000}"/>
    <cellStyle name="Normal 2 59 2 15" xfId="13840" xr:uid="{00000000-0005-0000-0000-0000FF350000}"/>
    <cellStyle name="Normal 2 59 2 15 2" xfId="13841" xr:uid="{00000000-0005-0000-0000-000000360000}"/>
    <cellStyle name="Normal 2 59 2 15 3" xfId="13842" xr:uid="{00000000-0005-0000-0000-000001360000}"/>
    <cellStyle name="Normal 2 59 2 16" xfId="13843" xr:uid="{00000000-0005-0000-0000-000002360000}"/>
    <cellStyle name="Normal 2 59 2 17" xfId="13844" xr:uid="{00000000-0005-0000-0000-000003360000}"/>
    <cellStyle name="Normal 2 59 2 2" xfId="13845" xr:uid="{00000000-0005-0000-0000-000004360000}"/>
    <cellStyle name="Normal 2 59 2 2 10" xfId="13846" xr:uid="{00000000-0005-0000-0000-000005360000}"/>
    <cellStyle name="Normal 2 59 2 2 10 2" xfId="13847" xr:uid="{00000000-0005-0000-0000-000006360000}"/>
    <cellStyle name="Normal 2 59 2 2 10 3" xfId="13848" xr:uid="{00000000-0005-0000-0000-000007360000}"/>
    <cellStyle name="Normal 2 59 2 2 11" xfId="13849" xr:uid="{00000000-0005-0000-0000-000008360000}"/>
    <cellStyle name="Normal 2 59 2 2 11 2" xfId="13850" xr:uid="{00000000-0005-0000-0000-000009360000}"/>
    <cellStyle name="Normal 2 59 2 2 11 3" xfId="13851" xr:uid="{00000000-0005-0000-0000-00000A360000}"/>
    <cellStyle name="Normal 2 59 2 2 12" xfId="13852" xr:uid="{00000000-0005-0000-0000-00000B360000}"/>
    <cellStyle name="Normal 2 59 2 2 12 2" xfId="13853" xr:uid="{00000000-0005-0000-0000-00000C360000}"/>
    <cellStyle name="Normal 2 59 2 2 12 3" xfId="13854" xr:uid="{00000000-0005-0000-0000-00000D360000}"/>
    <cellStyle name="Normal 2 59 2 2 13" xfId="13855" xr:uid="{00000000-0005-0000-0000-00000E360000}"/>
    <cellStyle name="Normal 2 59 2 2 13 2" xfId="13856" xr:uid="{00000000-0005-0000-0000-00000F360000}"/>
    <cellStyle name="Normal 2 59 2 2 13 3" xfId="13857" xr:uid="{00000000-0005-0000-0000-000010360000}"/>
    <cellStyle name="Normal 2 59 2 2 14" xfId="13858" xr:uid="{00000000-0005-0000-0000-000011360000}"/>
    <cellStyle name="Normal 2 59 2 2 14 2" xfId="13859" xr:uid="{00000000-0005-0000-0000-000012360000}"/>
    <cellStyle name="Normal 2 59 2 2 14 3" xfId="13860" xr:uid="{00000000-0005-0000-0000-000013360000}"/>
    <cellStyle name="Normal 2 59 2 2 15" xfId="13861" xr:uid="{00000000-0005-0000-0000-000014360000}"/>
    <cellStyle name="Normal 2 59 2 2 16" xfId="13862" xr:uid="{00000000-0005-0000-0000-000015360000}"/>
    <cellStyle name="Normal 2 59 2 2 2" xfId="13863" xr:uid="{00000000-0005-0000-0000-000016360000}"/>
    <cellStyle name="Normal 2 59 2 2 2 2" xfId="13864" xr:uid="{00000000-0005-0000-0000-000017360000}"/>
    <cellStyle name="Normal 2 59 2 2 2 3" xfId="13865" xr:uid="{00000000-0005-0000-0000-000018360000}"/>
    <cellStyle name="Normal 2 59 2 2 3" xfId="13866" xr:uid="{00000000-0005-0000-0000-000019360000}"/>
    <cellStyle name="Normal 2 59 2 2 3 2" xfId="13867" xr:uid="{00000000-0005-0000-0000-00001A360000}"/>
    <cellStyle name="Normal 2 59 2 2 3 3" xfId="13868" xr:uid="{00000000-0005-0000-0000-00001B360000}"/>
    <cellStyle name="Normal 2 59 2 2 4" xfId="13869" xr:uid="{00000000-0005-0000-0000-00001C360000}"/>
    <cellStyle name="Normal 2 59 2 2 4 2" xfId="13870" xr:uid="{00000000-0005-0000-0000-00001D360000}"/>
    <cellStyle name="Normal 2 59 2 2 4 3" xfId="13871" xr:uid="{00000000-0005-0000-0000-00001E360000}"/>
    <cellStyle name="Normal 2 59 2 2 5" xfId="13872" xr:uid="{00000000-0005-0000-0000-00001F360000}"/>
    <cellStyle name="Normal 2 59 2 2 5 2" xfId="13873" xr:uid="{00000000-0005-0000-0000-000020360000}"/>
    <cellStyle name="Normal 2 59 2 2 5 3" xfId="13874" xr:uid="{00000000-0005-0000-0000-000021360000}"/>
    <cellStyle name="Normal 2 59 2 2 6" xfId="13875" xr:uid="{00000000-0005-0000-0000-000022360000}"/>
    <cellStyle name="Normal 2 59 2 2 6 2" xfId="13876" xr:uid="{00000000-0005-0000-0000-000023360000}"/>
    <cellStyle name="Normal 2 59 2 2 6 3" xfId="13877" xr:uid="{00000000-0005-0000-0000-000024360000}"/>
    <cellStyle name="Normal 2 59 2 2 7" xfId="13878" xr:uid="{00000000-0005-0000-0000-000025360000}"/>
    <cellStyle name="Normal 2 59 2 2 7 2" xfId="13879" xr:uid="{00000000-0005-0000-0000-000026360000}"/>
    <cellStyle name="Normal 2 59 2 2 7 3" xfId="13880" xr:uid="{00000000-0005-0000-0000-000027360000}"/>
    <cellStyle name="Normal 2 59 2 2 8" xfId="13881" xr:uid="{00000000-0005-0000-0000-000028360000}"/>
    <cellStyle name="Normal 2 59 2 2 8 2" xfId="13882" xr:uid="{00000000-0005-0000-0000-000029360000}"/>
    <cellStyle name="Normal 2 59 2 2 8 3" xfId="13883" xr:uid="{00000000-0005-0000-0000-00002A360000}"/>
    <cellStyle name="Normal 2 59 2 2 9" xfId="13884" xr:uid="{00000000-0005-0000-0000-00002B360000}"/>
    <cellStyle name="Normal 2 59 2 2 9 2" xfId="13885" xr:uid="{00000000-0005-0000-0000-00002C360000}"/>
    <cellStyle name="Normal 2 59 2 2 9 3" xfId="13886" xr:uid="{00000000-0005-0000-0000-00002D360000}"/>
    <cellStyle name="Normal 2 59 2 3" xfId="13887" xr:uid="{00000000-0005-0000-0000-00002E360000}"/>
    <cellStyle name="Normal 2 59 2 3 2" xfId="13888" xr:uid="{00000000-0005-0000-0000-00002F360000}"/>
    <cellStyle name="Normal 2 59 2 3 3" xfId="13889" xr:uid="{00000000-0005-0000-0000-000030360000}"/>
    <cellStyle name="Normal 2 59 2 4" xfId="13890" xr:uid="{00000000-0005-0000-0000-000031360000}"/>
    <cellStyle name="Normal 2 59 2 4 2" xfId="13891" xr:uid="{00000000-0005-0000-0000-000032360000}"/>
    <cellStyle name="Normal 2 59 2 4 3" xfId="13892" xr:uid="{00000000-0005-0000-0000-000033360000}"/>
    <cellStyle name="Normal 2 59 2 5" xfId="13893" xr:uid="{00000000-0005-0000-0000-000034360000}"/>
    <cellStyle name="Normal 2 59 2 5 2" xfId="13894" xr:uid="{00000000-0005-0000-0000-000035360000}"/>
    <cellStyle name="Normal 2 59 2 5 3" xfId="13895" xr:uid="{00000000-0005-0000-0000-000036360000}"/>
    <cellStyle name="Normal 2 59 2 6" xfId="13896" xr:uid="{00000000-0005-0000-0000-000037360000}"/>
    <cellStyle name="Normal 2 59 2 6 2" xfId="13897" xr:uid="{00000000-0005-0000-0000-000038360000}"/>
    <cellStyle name="Normal 2 59 2 6 3" xfId="13898" xr:uid="{00000000-0005-0000-0000-000039360000}"/>
    <cellStyle name="Normal 2 59 2 7" xfId="13899" xr:uid="{00000000-0005-0000-0000-00003A360000}"/>
    <cellStyle name="Normal 2 59 2 7 2" xfId="13900" xr:uid="{00000000-0005-0000-0000-00003B360000}"/>
    <cellStyle name="Normal 2 59 2 7 3" xfId="13901" xr:uid="{00000000-0005-0000-0000-00003C360000}"/>
    <cellStyle name="Normal 2 59 2 8" xfId="13902" xr:uid="{00000000-0005-0000-0000-00003D360000}"/>
    <cellStyle name="Normal 2 59 2 8 2" xfId="13903" xr:uid="{00000000-0005-0000-0000-00003E360000}"/>
    <cellStyle name="Normal 2 59 2 8 3" xfId="13904" xr:uid="{00000000-0005-0000-0000-00003F360000}"/>
    <cellStyle name="Normal 2 59 2 9" xfId="13905" xr:uid="{00000000-0005-0000-0000-000040360000}"/>
    <cellStyle name="Normal 2 59 2 9 2" xfId="13906" xr:uid="{00000000-0005-0000-0000-000041360000}"/>
    <cellStyle name="Normal 2 59 2 9 3" xfId="13907" xr:uid="{00000000-0005-0000-0000-000042360000}"/>
    <cellStyle name="Normal 2 59 20" xfId="13908" xr:uid="{00000000-0005-0000-0000-000043360000}"/>
    <cellStyle name="Normal 2 59 20 2" xfId="13909" xr:uid="{00000000-0005-0000-0000-000044360000}"/>
    <cellStyle name="Normal 2 59 20 3" xfId="13910" xr:uid="{00000000-0005-0000-0000-000045360000}"/>
    <cellStyle name="Normal 2 59 21" xfId="13911" xr:uid="{00000000-0005-0000-0000-000046360000}"/>
    <cellStyle name="Normal 2 59 21 2" xfId="13912" xr:uid="{00000000-0005-0000-0000-000047360000}"/>
    <cellStyle name="Normal 2 59 21 3" xfId="13913" xr:uid="{00000000-0005-0000-0000-000048360000}"/>
    <cellStyle name="Normal 2 59 22" xfId="13914" xr:uid="{00000000-0005-0000-0000-000049360000}"/>
    <cellStyle name="Normal 2 59 22 2" xfId="13915" xr:uid="{00000000-0005-0000-0000-00004A360000}"/>
    <cellStyle name="Normal 2 59 22 3" xfId="13916" xr:uid="{00000000-0005-0000-0000-00004B360000}"/>
    <cellStyle name="Normal 2 59 23" xfId="13917" xr:uid="{00000000-0005-0000-0000-00004C360000}"/>
    <cellStyle name="Normal 2 59 23 2" xfId="13918" xr:uid="{00000000-0005-0000-0000-00004D360000}"/>
    <cellStyle name="Normal 2 59 23 3" xfId="13919" xr:uid="{00000000-0005-0000-0000-00004E360000}"/>
    <cellStyle name="Normal 2 59 24" xfId="13920" xr:uid="{00000000-0005-0000-0000-00004F360000}"/>
    <cellStyle name="Normal 2 59 25" xfId="13921" xr:uid="{00000000-0005-0000-0000-000050360000}"/>
    <cellStyle name="Normal 2 59 3" xfId="13922" xr:uid="{00000000-0005-0000-0000-000051360000}"/>
    <cellStyle name="Normal 2 59 3 10" xfId="13923" xr:uid="{00000000-0005-0000-0000-000052360000}"/>
    <cellStyle name="Normal 2 59 3 10 2" xfId="13924" xr:uid="{00000000-0005-0000-0000-000053360000}"/>
    <cellStyle name="Normal 2 59 3 10 3" xfId="13925" xr:uid="{00000000-0005-0000-0000-000054360000}"/>
    <cellStyle name="Normal 2 59 3 11" xfId="13926" xr:uid="{00000000-0005-0000-0000-000055360000}"/>
    <cellStyle name="Normal 2 59 3 11 2" xfId="13927" xr:uid="{00000000-0005-0000-0000-000056360000}"/>
    <cellStyle name="Normal 2 59 3 11 3" xfId="13928" xr:uid="{00000000-0005-0000-0000-000057360000}"/>
    <cellStyle name="Normal 2 59 3 12" xfId="13929" xr:uid="{00000000-0005-0000-0000-000058360000}"/>
    <cellStyle name="Normal 2 59 3 12 2" xfId="13930" xr:uid="{00000000-0005-0000-0000-000059360000}"/>
    <cellStyle name="Normal 2 59 3 12 3" xfId="13931" xr:uid="{00000000-0005-0000-0000-00005A360000}"/>
    <cellStyle name="Normal 2 59 3 13" xfId="13932" xr:uid="{00000000-0005-0000-0000-00005B360000}"/>
    <cellStyle name="Normal 2 59 3 13 2" xfId="13933" xr:uid="{00000000-0005-0000-0000-00005C360000}"/>
    <cellStyle name="Normal 2 59 3 13 3" xfId="13934" xr:uid="{00000000-0005-0000-0000-00005D360000}"/>
    <cellStyle name="Normal 2 59 3 14" xfId="13935" xr:uid="{00000000-0005-0000-0000-00005E360000}"/>
    <cellStyle name="Normal 2 59 3 14 2" xfId="13936" xr:uid="{00000000-0005-0000-0000-00005F360000}"/>
    <cellStyle name="Normal 2 59 3 14 3" xfId="13937" xr:uid="{00000000-0005-0000-0000-000060360000}"/>
    <cellStyle name="Normal 2 59 3 15" xfId="13938" xr:uid="{00000000-0005-0000-0000-000061360000}"/>
    <cellStyle name="Normal 2 59 3 15 2" xfId="13939" xr:uid="{00000000-0005-0000-0000-000062360000}"/>
    <cellStyle name="Normal 2 59 3 15 3" xfId="13940" xr:uid="{00000000-0005-0000-0000-000063360000}"/>
    <cellStyle name="Normal 2 59 3 16" xfId="13941" xr:uid="{00000000-0005-0000-0000-000064360000}"/>
    <cellStyle name="Normal 2 59 3 17" xfId="13942" xr:uid="{00000000-0005-0000-0000-000065360000}"/>
    <cellStyle name="Normal 2 59 3 2" xfId="13943" xr:uid="{00000000-0005-0000-0000-000066360000}"/>
    <cellStyle name="Normal 2 59 3 2 10" xfId="13944" xr:uid="{00000000-0005-0000-0000-000067360000}"/>
    <cellStyle name="Normal 2 59 3 2 10 2" xfId="13945" xr:uid="{00000000-0005-0000-0000-000068360000}"/>
    <cellStyle name="Normal 2 59 3 2 10 3" xfId="13946" xr:uid="{00000000-0005-0000-0000-000069360000}"/>
    <cellStyle name="Normal 2 59 3 2 11" xfId="13947" xr:uid="{00000000-0005-0000-0000-00006A360000}"/>
    <cellStyle name="Normal 2 59 3 2 11 2" xfId="13948" xr:uid="{00000000-0005-0000-0000-00006B360000}"/>
    <cellStyle name="Normal 2 59 3 2 11 3" xfId="13949" xr:uid="{00000000-0005-0000-0000-00006C360000}"/>
    <cellStyle name="Normal 2 59 3 2 12" xfId="13950" xr:uid="{00000000-0005-0000-0000-00006D360000}"/>
    <cellStyle name="Normal 2 59 3 2 12 2" xfId="13951" xr:uid="{00000000-0005-0000-0000-00006E360000}"/>
    <cellStyle name="Normal 2 59 3 2 12 3" xfId="13952" xr:uid="{00000000-0005-0000-0000-00006F360000}"/>
    <cellStyle name="Normal 2 59 3 2 13" xfId="13953" xr:uid="{00000000-0005-0000-0000-000070360000}"/>
    <cellStyle name="Normal 2 59 3 2 13 2" xfId="13954" xr:uid="{00000000-0005-0000-0000-000071360000}"/>
    <cellStyle name="Normal 2 59 3 2 13 3" xfId="13955" xr:uid="{00000000-0005-0000-0000-000072360000}"/>
    <cellStyle name="Normal 2 59 3 2 14" xfId="13956" xr:uid="{00000000-0005-0000-0000-000073360000}"/>
    <cellStyle name="Normal 2 59 3 2 14 2" xfId="13957" xr:uid="{00000000-0005-0000-0000-000074360000}"/>
    <cellStyle name="Normal 2 59 3 2 14 3" xfId="13958" xr:uid="{00000000-0005-0000-0000-000075360000}"/>
    <cellStyle name="Normal 2 59 3 2 15" xfId="13959" xr:uid="{00000000-0005-0000-0000-000076360000}"/>
    <cellStyle name="Normal 2 59 3 2 16" xfId="13960" xr:uid="{00000000-0005-0000-0000-000077360000}"/>
    <cellStyle name="Normal 2 59 3 2 2" xfId="13961" xr:uid="{00000000-0005-0000-0000-000078360000}"/>
    <cellStyle name="Normal 2 59 3 2 2 2" xfId="13962" xr:uid="{00000000-0005-0000-0000-000079360000}"/>
    <cellStyle name="Normal 2 59 3 2 2 3" xfId="13963" xr:uid="{00000000-0005-0000-0000-00007A360000}"/>
    <cellStyle name="Normal 2 59 3 2 3" xfId="13964" xr:uid="{00000000-0005-0000-0000-00007B360000}"/>
    <cellStyle name="Normal 2 59 3 2 3 2" xfId="13965" xr:uid="{00000000-0005-0000-0000-00007C360000}"/>
    <cellStyle name="Normal 2 59 3 2 3 3" xfId="13966" xr:uid="{00000000-0005-0000-0000-00007D360000}"/>
    <cellStyle name="Normal 2 59 3 2 4" xfId="13967" xr:uid="{00000000-0005-0000-0000-00007E360000}"/>
    <cellStyle name="Normal 2 59 3 2 4 2" xfId="13968" xr:uid="{00000000-0005-0000-0000-00007F360000}"/>
    <cellStyle name="Normal 2 59 3 2 4 3" xfId="13969" xr:uid="{00000000-0005-0000-0000-000080360000}"/>
    <cellStyle name="Normal 2 59 3 2 5" xfId="13970" xr:uid="{00000000-0005-0000-0000-000081360000}"/>
    <cellStyle name="Normal 2 59 3 2 5 2" xfId="13971" xr:uid="{00000000-0005-0000-0000-000082360000}"/>
    <cellStyle name="Normal 2 59 3 2 5 3" xfId="13972" xr:uid="{00000000-0005-0000-0000-000083360000}"/>
    <cellStyle name="Normal 2 59 3 2 6" xfId="13973" xr:uid="{00000000-0005-0000-0000-000084360000}"/>
    <cellStyle name="Normal 2 59 3 2 6 2" xfId="13974" xr:uid="{00000000-0005-0000-0000-000085360000}"/>
    <cellStyle name="Normal 2 59 3 2 6 3" xfId="13975" xr:uid="{00000000-0005-0000-0000-000086360000}"/>
    <cellStyle name="Normal 2 59 3 2 7" xfId="13976" xr:uid="{00000000-0005-0000-0000-000087360000}"/>
    <cellStyle name="Normal 2 59 3 2 7 2" xfId="13977" xr:uid="{00000000-0005-0000-0000-000088360000}"/>
    <cellStyle name="Normal 2 59 3 2 7 3" xfId="13978" xr:uid="{00000000-0005-0000-0000-000089360000}"/>
    <cellStyle name="Normal 2 59 3 2 8" xfId="13979" xr:uid="{00000000-0005-0000-0000-00008A360000}"/>
    <cellStyle name="Normal 2 59 3 2 8 2" xfId="13980" xr:uid="{00000000-0005-0000-0000-00008B360000}"/>
    <cellStyle name="Normal 2 59 3 2 8 3" xfId="13981" xr:uid="{00000000-0005-0000-0000-00008C360000}"/>
    <cellStyle name="Normal 2 59 3 2 9" xfId="13982" xr:uid="{00000000-0005-0000-0000-00008D360000}"/>
    <cellStyle name="Normal 2 59 3 2 9 2" xfId="13983" xr:uid="{00000000-0005-0000-0000-00008E360000}"/>
    <cellStyle name="Normal 2 59 3 2 9 3" xfId="13984" xr:uid="{00000000-0005-0000-0000-00008F360000}"/>
    <cellStyle name="Normal 2 59 3 3" xfId="13985" xr:uid="{00000000-0005-0000-0000-000090360000}"/>
    <cellStyle name="Normal 2 59 3 3 2" xfId="13986" xr:uid="{00000000-0005-0000-0000-000091360000}"/>
    <cellStyle name="Normal 2 59 3 3 3" xfId="13987" xr:uid="{00000000-0005-0000-0000-000092360000}"/>
    <cellStyle name="Normal 2 59 3 4" xfId="13988" xr:uid="{00000000-0005-0000-0000-000093360000}"/>
    <cellStyle name="Normal 2 59 3 4 2" xfId="13989" xr:uid="{00000000-0005-0000-0000-000094360000}"/>
    <cellStyle name="Normal 2 59 3 4 3" xfId="13990" xr:uid="{00000000-0005-0000-0000-000095360000}"/>
    <cellStyle name="Normal 2 59 3 5" xfId="13991" xr:uid="{00000000-0005-0000-0000-000096360000}"/>
    <cellStyle name="Normal 2 59 3 5 2" xfId="13992" xr:uid="{00000000-0005-0000-0000-000097360000}"/>
    <cellStyle name="Normal 2 59 3 5 3" xfId="13993" xr:uid="{00000000-0005-0000-0000-000098360000}"/>
    <cellStyle name="Normal 2 59 3 6" xfId="13994" xr:uid="{00000000-0005-0000-0000-000099360000}"/>
    <cellStyle name="Normal 2 59 3 6 2" xfId="13995" xr:uid="{00000000-0005-0000-0000-00009A360000}"/>
    <cellStyle name="Normal 2 59 3 6 3" xfId="13996" xr:uid="{00000000-0005-0000-0000-00009B360000}"/>
    <cellStyle name="Normal 2 59 3 7" xfId="13997" xr:uid="{00000000-0005-0000-0000-00009C360000}"/>
    <cellStyle name="Normal 2 59 3 7 2" xfId="13998" xr:uid="{00000000-0005-0000-0000-00009D360000}"/>
    <cellStyle name="Normal 2 59 3 7 3" xfId="13999" xr:uid="{00000000-0005-0000-0000-00009E360000}"/>
    <cellStyle name="Normal 2 59 3 8" xfId="14000" xr:uid="{00000000-0005-0000-0000-00009F360000}"/>
    <cellStyle name="Normal 2 59 3 8 2" xfId="14001" xr:uid="{00000000-0005-0000-0000-0000A0360000}"/>
    <cellStyle name="Normal 2 59 3 8 3" xfId="14002" xr:uid="{00000000-0005-0000-0000-0000A1360000}"/>
    <cellStyle name="Normal 2 59 3 9" xfId="14003" xr:uid="{00000000-0005-0000-0000-0000A2360000}"/>
    <cellStyle name="Normal 2 59 3 9 2" xfId="14004" xr:uid="{00000000-0005-0000-0000-0000A3360000}"/>
    <cellStyle name="Normal 2 59 3 9 3" xfId="14005" xr:uid="{00000000-0005-0000-0000-0000A4360000}"/>
    <cellStyle name="Normal 2 59 4" xfId="14006" xr:uid="{00000000-0005-0000-0000-0000A5360000}"/>
    <cellStyle name="Normal 2 59 4 10" xfId="14007" xr:uid="{00000000-0005-0000-0000-0000A6360000}"/>
    <cellStyle name="Normal 2 59 4 10 2" xfId="14008" xr:uid="{00000000-0005-0000-0000-0000A7360000}"/>
    <cellStyle name="Normal 2 59 4 10 3" xfId="14009" xr:uid="{00000000-0005-0000-0000-0000A8360000}"/>
    <cellStyle name="Normal 2 59 4 11" xfId="14010" xr:uid="{00000000-0005-0000-0000-0000A9360000}"/>
    <cellStyle name="Normal 2 59 4 11 2" xfId="14011" xr:uid="{00000000-0005-0000-0000-0000AA360000}"/>
    <cellStyle name="Normal 2 59 4 11 3" xfId="14012" xr:uid="{00000000-0005-0000-0000-0000AB360000}"/>
    <cellStyle name="Normal 2 59 4 12" xfId="14013" xr:uid="{00000000-0005-0000-0000-0000AC360000}"/>
    <cellStyle name="Normal 2 59 4 12 2" xfId="14014" xr:uid="{00000000-0005-0000-0000-0000AD360000}"/>
    <cellStyle name="Normal 2 59 4 12 3" xfId="14015" xr:uid="{00000000-0005-0000-0000-0000AE360000}"/>
    <cellStyle name="Normal 2 59 4 13" xfId="14016" xr:uid="{00000000-0005-0000-0000-0000AF360000}"/>
    <cellStyle name="Normal 2 59 4 13 2" xfId="14017" xr:uid="{00000000-0005-0000-0000-0000B0360000}"/>
    <cellStyle name="Normal 2 59 4 13 3" xfId="14018" xr:uid="{00000000-0005-0000-0000-0000B1360000}"/>
    <cellStyle name="Normal 2 59 4 14" xfId="14019" xr:uid="{00000000-0005-0000-0000-0000B2360000}"/>
    <cellStyle name="Normal 2 59 4 14 2" xfId="14020" xr:uid="{00000000-0005-0000-0000-0000B3360000}"/>
    <cellStyle name="Normal 2 59 4 14 3" xfId="14021" xr:uid="{00000000-0005-0000-0000-0000B4360000}"/>
    <cellStyle name="Normal 2 59 4 15" xfId="14022" xr:uid="{00000000-0005-0000-0000-0000B5360000}"/>
    <cellStyle name="Normal 2 59 4 15 2" xfId="14023" xr:uid="{00000000-0005-0000-0000-0000B6360000}"/>
    <cellStyle name="Normal 2 59 4 15 3" xfId="14024" xr:uid="{00000000-0005-0000-0000-0000B7360000}"/>
    <cellStyle name="Normal 2 59 4 16" xfId="14025" xr:uid="{00000000-0005-0000-0000-0000B8360000}"/>
    <cellStyle name="Normal 2 59 4 17" xfId="14026" xr:uid="{00000000-0005-0000-0000-0000B9360000}"/>
    <cellStyle name="Normal 2 59 4 2" xfId="14027" xr:uid="{00000000-0005-0000-0000-0000BA360000}"/>
    <cellStyle name="Normal 2 59 4 2 10" xfId="14028" xr:uid="{00000000-0005-0000-0000-0000BB360000}"/>
    <cellStyle name="Normal 2 59 4 2 10 2" xfId="14029" xr:uid="{00000000-0005-0000-0000-0000BC360000}"/>
    <cellStyle name="Normal 2 59 4 2 10 3" xfId="14030" xr:uid="{00000000-0005-0000-0000-0000BD360000}"/>
    <cellStyle name="Normal 2 59 4 2 11" xfId="14031" xr:uid="{00000000-0005-0000-0000-0000BE360000}"/>
    <cellStyle name="Normal 2 59 4 2 11 2" xfId="14032" xr:uid="{00000000-0005-0000-0000-0000BF360000}"/>
    <cellStyle name="Normal 2 59 4 2 11 3" xfId="14033" xr:uid="{00000000-0005-0000-0000-0000C0360000}"/>
    <cellStyle name="Normal 2 59 4 2 12" xfId="14034" xr:uid="{00000000-0005-0000-0000-0000C1360000}"/>
    <cellStyle name="Normal 2 59 4 2 12 2" xfId="14035" xr:uid="{00000000-0005-0000-0000-0000C2360000}"/>
    <cellStyle name="Normal 2 59 4 2 12 3" xfId="14036" xr:uid="{00000000-0005-0000-0000-0000C3360000}"/>
    <cellStyle name="Normal 2 59 4 2 13" xfId="14037" xr:uid="{00000000-0005-0000-0000-0000C4360000}"/>
    <cellStyle name="Normal 2 59 4 2 13 2" xfId="14038" xr:uid="{00000000-0005-0000-0000-0000C5360000}"/>
    <cellStyle name="Normal 2 59 4 2 13 3" xfId="14039" xr:uid="{00000000-0005-0000-0000-0000C6360000}"/>
    <cellStyle name="Normal 2 59 4 2 14" xfId="14040" xr:uid="{00000000-0005-0000-0000-0000C7360000}"/>
    <cellStyle name="Normal 2 59 4 2 14 2" xfId="14041" xr:uid="{00000000-0005-0000-0000-0000C8360000}"/>
    <cellStyle name="Normal 2 59 4 2 14 3" xfId="14042" xr:uid="{00000000-0005-0000-0000-0000C9360000}"/>
    <cellStyle name="Normal 2 59 4 2 15" xfId="14043" xr:uid="{00000000-0005-0000-0000-0000CA360000}"/>
    <cellStyle name="Normal 2 59 4 2 16" xfId="14044" xr:uid="{00000000-0005-0000-0000-0000CB360000}"/>
    <cellStyle name="Normal 2 59 4 2 2" xfId="14045" xr:uid="{00000000-0005-0000-0000-0000CC360000}"/>
    <cellStyle name="Normal 2 59 4 2 2 2" xfId="14046" xr:uid="{00000000-0005-0000-0000-0000CD360000}"/>
    <cellStyle name="Normal 2 59 4 2 2 3" xfId="14047" xr:uid="{00000000-0005-0000-0000-0000CE360000}"/>
    <cellStyle name="Normal 2 59 4 2 3" xfId="14048" xr:uid="{00000000-0005-0000-0000-0000CF360000}"/>
    <cellStyle name="Normal 2 59 4 2 3 2" xfId="14049" xr:uid="{00000000-0005-0000-0000-0000D0360000}"/>
    <cellStyle name="Normal 2 59 4 2 3 3" xfId="14050" xr:uid="{00000000-0005-0000-0000-0000D1360000}"/>
    <cellStyle name="Normal 2 59 4 2 4" xfId="14051" xr:uid="{00000000-0005-0000-0000-0000D2360000}"/>
    <cellStyle name="Normal 2 59 4 2 4 2" xfId="14052" xr:uid="{00000000-0005-0000-0000-0000D3360000}"/>
    <cellStyle name="Normal 2 59 4 2 4 3" xfId="14053" xr:uid="{00000000-0005-0000-0000-0000D4360000}"/>
    <cellStyle name="Normal 2 59 4 2 5" xfId="14054" xr:uid="{00000000-0005-0000-0000-0000D5360000}"/>
    <cellStyle name="Normal 2 59 4 2 5 2" xfId="14055" xr:uid="{00000000-0005-0000-0000-0000D6360000}"/>
    <cellStyle name="Normal 2 59 4 2 5 3" xfId="14056" xr:uid="{00000000-0005-0000-0000-0000D7360000}"/>
    <cellStyle name="Normal 2 59 4 2 6" xfId="14057" xr:uid="{00000000-0005-0000-0000-0000D8360000}"/>
    <cellStyle name="Normal 2 59 4 2 6 2" xfId="14058" xr:uid="{00000000-0005-0000-0000-0000D9360000}"/>
    <cellStyle name="Normal 2 59 4 2 6 3" xfId="14059" xr:uid="{00000000-0005-0000-0000-0000DA360000}"/>
    <cellStyle name="Normal 2 59 4 2 7" xfId="14060" xr:uid="{00000000-0005-0000-0000-0000DB360000}"/>
    <cellStyle name="Normal 2 59 4 2 7 2" xfId="14061" xr:uid="{00000000-0005-0000-0000-0000DC360000}"/>
    <cellStyle name="Normal 2 59 4 2 7 3" xfId="14062" xr:uid="{00000000-0005-0000-0000-0000DD360000}"/>
    <cellStyle name="Normal 2 59 4 2 8" xfId="14063" xr:uid="{00000000-0005-0000-0000-0000DE360000}"/>
    <cellStyle name="Normal 2 59 4 2 8 2" xfId="14064" xr:uid="{00000000-0005-0000-0000-0000DF360000}"/>
    <cellStyle name="Normal 2 59 4 2 8 3" xfId="14065" xr:uid="{00000000-0005-0000-0000-0000E0360000}"/>
    <cellStyle name="Normal 2 59 4 2 9" xfId="14066" xr:uid="{00000000-0005-0000-0000-0000E1360000}"/>
    <cellStyle name="Normal 2 59 4 2 9 2" xfId="14067" xr:uid="{00000000-0005-0000-0000-0000E2360000}"/>
    <cellStyle name="Normal 2 59 4 2 9 3" xfId="14068" xr:uid="{00000000-0005-0000-0000-0000E3360000}"/>
    <cellStyle name="Normal 2 59 4 3" xfId="14069" xr:uid="{00000000-0005-0000-0000-0000E4360000}"/>
    <cellStyle name="Normal 2 59 4 3 2" xfId="14070" xr:uid="{00000000-0005-0000-0000-0000E5360000}"/>
    <cellStyle name="Normal 2 59 4 3 3" xfId="14071" xr:uid="{00000000-0005-0000-0000-0000E6360000}"/>
    <cellStyle name="Normal 2 59 4 4" xfId="14072" xr:uid="{00000000-0005-0000-0000-0000E7360000}"/>
    <cellStyle name="Normal 2 59 4 4 2" xfId="14073" xr:uid="{00000000-0005-0000-0000-0000E8360000}"/>
    <cellStyle name="Normal 2 59 4 4 3" xfId="14074" xr:uid="{00000000-0005-0000-0000-0000E9360000}"/>
    <cellStyle name="Normal 2 59 4 5" xfId="14075" xr:uid="{00000000-0005-0000-0000-0000EA360000}"/>
    <cellStyle name="Normal 2 59 4 5 2" xfId="14076" xr:uid="{00000000-0005-0000-0000-0000EB360000}"/>
    <cellStyle name="Normal 2 59 4 5 3" xfId="14077" xr:uid="{00000000-0005-0000-0000-0000EC360000}"/>
    <cellStyle name="Normal 2 59 4 6" xfId="14078" xr:uid="{00000000-0005-0000-0000-0000ED360000}"/>
    <cellStyle name="Normal 2 59 4 6 2" xfId="14079" xr:uid="{00000000-0005-0000-0000-0000EE360000}"/>
    <cellStyle name="Normal 2 59 4 6 3" xfId="14080" xr:uid="{00000000-0005-0000-0000-0000EF360000}"/>
    <cellStyle name="Normal 2 59 4 7" xfId="14081" xr:uid="{00000000-0005-0000-0000-0000F0360000}"/>
    <cellStyle name="Normal 2 59 4 7 2" xfId="14082" xr:uid="{00000000-0005-0000-0000-0000F1360000}"/>
    <cellStyle name="Normal 2 59 4 7 3" xfId="14083" xr:uid="{00000000-0005-0000-0000-0000F2360000}"/>
    <cellStyle name="Normal 2 59 4 8" xfId="14084" xr:uid="{00000000-0005-0000-0000-0000F3360000}"/>
    <cellStyle name="Normal 2 59 4 8 2" xfId="14085" xr:uid="{00000000-0005-0000-0000-0000F4360000}"/>
    <cellStyle name="Normal 2 59 4 8 3" xfId="14086" xr:uid="{00000000-0005-0000-0000-0000F5360000}"/>
    <cellStyle name="Normal 2 59 4 9" xfId="14087" xr:uid="{00000000-0005-0000-0000-0000F6360000}"/>
    <cellStyle name="Normal 2 59 4 9 2" xfId="14088" xr:uid="{00000000-0005-0000-0000-0000F7360000}"/>
    <cellStyle name="Normal 2 59 4 9 3" xfId="14089" xr:uid="{00000000-0005-0000-0000-0000F8360000}"/>
    <cellStyle name="Normal 2 59 5" xfId="14090" xr:uid="{00000000-0005-0000-0000-0000F9360000}"/>
    <cellStyle name="Normal 2 59 5 10" xfId="14091" xr:uid="{00000000-0005-0000-0000-0000FA360000}"/>
    <cellStyle name="Normal 2 59 5 10 2" xfId="14092" xr:uid="{00000000-0005-0000-0000-0000FB360000}"/>
    <cellStyle name="Normal 2 59 5 10 3" xfId="14093" xr:uid="{00000000-0005-0000-0000-0000FC360000}"/>
    <cellStyle name="Normal 2 59 5 11" xfId="14094" xr:uid="{00000000-0005-0000-0000-0000FD360000}"/>
    <cellStyle name="Normal 2 59 5 11 2" xfId="14095" xr:uid="{00000000-0005-0000-0000-0000FE360000}"/>
    <cellStyle name="Normal 2 59 5 11 3" xfId="14096" xr:uid="{00000000-0005-0000-0000-0000FF360000}"/>
    <cellStyle name="Normal 2 59 5 12" xfId="14097" xr:uid="{00000000-0005-0000-0000-000000370000}"/>
    <cellStyle name="Normal 2 59 5 12 2" xfId="14098" xr:uid="{00000000-0005-0000-0000-000001370000}"/>
    <cellStyle name="Normal 2 59 5 12 3" xfId="14099" xr:uid="{00000000-0005-0000-0000-000002370000}"/>
    <cellStyle name="Normal 2 59 5 13" xfId="14100" xr:uid="{00000000-0005-0000-0000-000003370000}"/>
    <cellStyle name="Normal 2 59 5 13 2" xfId="14101" xr:uid="{00000000-0005-0000-0000-000004370000}"/>
    <cellStyle name="Normal 2 59 5 13 3" xfId="14102" xr:uid="{00000000-0005-0000-0000-000005370000}"/>
    <cellStyle name="Normal 2 59 5 14" xfId="14103" xr:uid="{00000000-0005-0000-0000-000006370000}"/>
    <cellStyle name="Normal 2 59 5 14 2" xfId="14104" xr:uid="{00000000-0005-0000-0000-000007370000}"/>
    <cellStyle name="Normal 2 59 5 14 3" xfId="14105" xr:uid="{00000000-0005-0000-0000-000008370000}"/>
    <cellStyle name="Normal 2 59 5 15" xfId="14106" xr:uid="{00000000-0005-0000-0000-000009370000}"/>
    <cellStyle name="Normal 2 59 5 16" xfId="14107" xr:uid="{00000000-0005-0000-0000-00000A370000}"/>
    <cellStyle name="Normal 2 59 5 2" xfId="14108" xr:uid="{00000000-0005-0000-0000-00000B370000}"/>
    <cellStyle name="Normal 2 59 5 2 2" xfId="14109" xr:uid="{00000000-0005-0000-0000-00000C370000}"/>
    <cellStyle name="Normal 2 59 5 2 3" xfId="14110" xr:uid="{00000000-0005-0000-0000-00000D370000}"/>
    <cellStyle name="Normal 2 59 5 3" xfId="14111" xr:uid="{00000000-0005-0000-0000-00000E370000}"/>
    <cellStyle name="Normal 2 59 5 3 2" xfId="14112" xr:uid="{00000000-0005-0000-0000-00000F370000}"/>
    <cellStyle name="Normal 2 59 5 3 3" xfId="14113" xr:uid="{00000000-0005-0000-0000-000010370000}"/>
    <cellStyle name="Normal 2 59 5 4" xfId="14114" xr:uid="{00000000-0005-0000-0000-000011370000}"/>
    <cellStyle name="Normal 2 59 5 4 2" xfId="14115" xr:uid="{00000000-0005-0000-0000-000012370000}"/>
    <cellStyle name="Normal 2 59 5 4 3" xfId="14116" xr:uid="{00000000-0005-0000-0000-000013370000}"/>
    <cellStyle name="Normal 2 59 5 5" xfId="14117" xr:uid="{00000000-0005-0000-0000-000014370000}"/>
    <cellStyle name="Normal 2 59 5 5 2" xfId="14118" xr:uid="{00000000-0005-0000-0000-000015370000}"/>
    <cellStyle name="Normal 2 59 5 5 3" xfId="14119" xr:uid="{00000000-0005-0000-0000-000016370000}"/>
    <cellStyle name="Normal 2 59 5 6" xfId="14120" xr:uid="{00000000-0005-0000-0000-000017370000}"/>
    <cellStyle name="Normal 2 59 5 6 2" xfId="14121" xr:uid="{00000000-0005-0000-0000-000018370000}"/>
    <cellStyle name="Normal 2 59 5 6 3" xfId="14122" xr:uid="{00000000-0005-0000-0000-000019370000}"/>
    <cellStyle name="Normal 2 59 5 7" xfId="14123" xr:uid="{00000000-0005-0000-0000-00001A370000}"/>
    <cellStyle name="Normal 2 59 5 7 2" xfId="14124" xr:uid="{00000000-0005-0000-0000-00001B370000}"/>
    <cellStyle name="Normal 2 59 5 7 3" xfId="14125" xr:uid="{00000000-0005-0000-0000-00001C370000}"/>
    <cellStyle name="Normal 2 59 5 8" xfId="14126" xr:uid="{00000000-0005-0000-0000-00001D370000}"/>
    <cellStyle name="Normal 2 59 5 8 2" xfId="14127" xr:uid="{00000000-0005-0000-0000-00001E370000}"/>
    <cellStyle name="Normal 2 59 5 8 3" xfId="14128" xr:uid="{00000000-0005-0000-0000-00001F370000}"/>
    <cellStyle name="Normal 2 59 5 9" xfId="14129" xr:uid="{00000000-0005-0000-0000-000020370000}"/>
    <cellStyle name="Normal 2 59 5 9 2" xfId="14130" xr:uid="{00000000-0005-0000-0000-000021370000}"/>
    <cellStyle name="Normal 2 59 5 9 3" xfId="14131" xr:uid="{00000000-0005-0000-0000-000022370000}"/>
    <cellStyle name="Normal 2 59 6" xfId="14132" xr:uid="{00000000-0005-0000-0000-000023370000}"/>
    <cellStyle name="Normal 2 59 6 10" xfId="14133" xr:uid="{00000000-0005-0000-0000-000024370000}"/>
    <cellStyle name="Normal 2 59 6 10 2" xfId="14134" xr:uid="{00000000-0005-0000-0000-000025370000}"/>
    <cellStyle name="Normal 2 59 6 10 3" xfId="14135" xr:uid="{00000000-0005-0000-0000-000026370000}"/>
    <cellStyle name="Normal 2 59 6 11" xfId="14136" xr:uid="{00000000-0005-0000-0000-000027370000}"/>
    <cellStyle name="Normal 2 59 6 11 2" xfId="14137" xr:uid="{00000000-0005-0000-0000-000028370000}"/>
    <cellStyle name="Normal 2 59 6 11 3" xfId="14138" xr:uid="{00000000-0005-0000-0000-000029370000}"/>
    <cellStyle name="Normal 2 59 6 12" xfId="14139" xr:uid="{00000000-0005-0000-0000-00002A370000}"/>
    <cellStyle name="Normal 2 59 6 12 2" xfId="14140" xr:uid="{00000000-0005-0000-0000-00002B370000}"/>
    <cellStyle name="Normal 2 59 6 12 3" xfId="14141" xr:uid="{00000000-0005-0000-0000-00002C370000}"/>
    <cellStyle name="Normal 2 59 6 13" xfId="14142" xr:uid="{00000000-0005-0000-0000-00002D370000}"/>
    <cellStyle name="Normal 2 59 6 13 2" xfId="14143" xr:uid="{00000000-0005-0000-0000-00002E370000}"/>
    <cellStyle name="Normal 2 59 6 13 3" xfId="14144" xr:uid="{00000000-0005-0000-0000-00002F370000}"/>
    <cellStyle name="Normal 2 59 6 14" xfId="14145" xr:uid="{00000000-0005-0000-0000-000030370000}"/>
    <cellStyle name="Normal 2 59 6 14 2" xfId="14146" xr:uid="{00000000-0005-0000-0000-000031370000}"/>
    <cellStyle name="Normal 2 59 6 14 3" xfId="14147" xr:uid="{00000000-0005-0000-0000-000032370000}"/>
    <cellStyle name="Normal 2 59 6 15" xfId="14148" xr:uid="{00000000-0005-0000-0000-000033370000}"/>
    <cellStyle name="Normal 2 59 6 16" xfId="14149" xr:uid="{00000000-0005-0000-0000-000034370000}"/>
    <cellStyle name="Normal 2 59 6 2" xfId="14150" xr:uid="{00000000-0005-0000-0000-000035370000}"/>
    <cellStyle name="Normal 2 59 6 2 2" xfId="14151" xr:uid="{00000000-0005-0000-0000-000036370000}"/>
    <cellStyle name="Normal 2 59 6 2 3" xfId="14152" xr:uid="{00000000-0005-0000-0000-000037370000}"/>
    <cellStyle name="Normal 2 59 6 3" xfId="14153" xr:uid="{00000000-0005-0000-0000-000038370000}"/>
    <cellStyle name="Normal 2 59 6 3 2" xfId="14154" xr:uid="{00000000-0005-0000-0000-000039370000}"/>
    <cellStyle name="Normal 2 59 6 3 3" xfId="14155" xr:uid="{00000000-0005-0000-0000-00003A370000}"/>
    <cellStyle name="Normal 2 59 6 4" xfId="14156" xr:uid="{00000000-0005-0000-0000-00003B370000}"/>
    <cellStyle name="Normal 2 59 6 4 2" xfId="14157" xr:uid="{00000000-0005-0000-0000-00003C370000}"/>
    <cellStyle name="Normal 2 59 6 4 3" xfId="14158" xr:uid="{00000000-0005-0000-0000-00003D370000}"/>
    <cellStyle name="Normal 2 59 6 5" xfId="14159" xr:uid="{00000000-0005-0000-0000-00003E370000}"/>
    <cellStyle name="Normal 2 59 6 5 2" xfId="14160" xr:uid="{00000000-0005-0000-0000-00003F370000}"/>
    <cellStyle name="Normal 2 59 6 5 3" xfId="14161" xr:uid="{00000000-0005-0000-0000-000040370000}"/>
    <cellStyle name="Normal 2 59 6 6" xfId="14162" xr:uid="{00000000-0005-0000-0000-000041370000}"/>
    <cellStyle name="Normal 2 59 6 6 2" xfId="14163" xr:uid="{00000000-0005-0000-0000-000042370000}"/>
    <cellStyle name="Normal 2 59 6 6 3" xfId="14164" xr:uid="{00000000-0005-0000-0000-000043370000}"/>
    <cellStyle name="Normal 2 59 6 7" xfId="14165" xr:uid="{00000000-0005-0000-0000-000044370000}"/>
    <cellStyle name="Normal 2 59 6 7 2" xfId="14166" xr:uid="{00000000-0005-0000-0000-000045370000}"/>
    <cellStyle name="Normal 2 59 6 7 3" xfId="14167" xr:uid="{00000000-0005-0000-0000-000046370000}"/>
    <cellStyle name="Normal 2 59 6 8" xfId="14168" xr:uid="{00000000-0005-0000-0000-000047370000}"/>
    <cellStyle name="Normal 2 59 6 8 2" xfId="14169" xr:uid="{00000000-0005-0000-0000-000048370000}"/>
    <cellStyle name="Normal 2 59 6 8 3" xfId="14170" xr:uid="{00000000-0005-0000-0000-000049370000}"/>
    <cellStyle name="Normal 2 59 6 9" xfId="14171" xr:uid="{00000000-0005-0000-0000-00004A370000}"/>
    <cellStyle name="Normal 2 59 6 9 2" xfId="14172" xr:uid="{00000000-0005-0000-0000-00004B370000}"/>
    <cellStyle name="Normal 2 59 6 9 3" xfId="14173" xr:uid="{00000000-0005-0000-0000-00004C370000}"/>
    <cellStyle name="Normal 2 59 7" xfId="14174" xr:uid="{00000000-0005-0000-0000-00004D370000}"/>
    <cellStyle name="Normal 2 59 7 10" xfId="14175" xr:uid="{00000000-0005-0000-0000-00004E370000}"/>
    <cellStyle name="Normal 2 59 7 10 2" xfId="14176" xr:uid="{00000000-0005-0000-0000-00004F370000}"/>
    <cellStyle name="Normal 2 59 7 10 3" xfId="14177" xr:uid="{00000000-0005-0000-0000-000050370000}"/>
    <cellStyle name="Normal 2 59 7 11" xfId="14178" xr:uid="{00000000-0005-0000-0000-000051370000}"/>
    <cellStyle name="Normal 2 59 7 11 2" xfId="14179" xr:uid="{00000000-0005-0000-0000-000052370000}"/>
    <cellStyle name="Normal 2 59 7 11 3" xfId="14180" xr:uid="{00000000-0005-0000-0000-000053370000}"/>
    <cellStyle name="Normal 2 59 7 12" xfId="14181" xr:uid="{00000000-0005-0000-0000-000054370000}"/>
    <cellStyle name="Normal 2 59 7 12 2" xfId="14182" xr:uid="{00000000-0005-0000-0000-000055370000}"/>
    <cellStyle name="Normal 2 59 7 12 3" xfId="14183" xr:uid="{00000000-0005-0000-0000-000056370000}"/>
    <cellStyle name="Normal 2 59 7 13" xfId="14184" xr:uid="{00000000-0005-0000-0000-000057370000}"/>
    <cellStyle name="Normal 2 59 7 13 2" xfId="14185" xr:uid="{00000000-0005-0000-0000-000058370000}"/>
    <cellStyle name="Normal 2 59 7 13 3" xfId="14186" xr:uid="{00000000-0005-0000-0000-000059370000}"/>
    <cellStyle name="Normal 2 59 7 14" xfId="14187" xr:uid="{00000000-0005-0000-0000-00005A370000}"/>
    <cellStyle name="Normal 2 59 7 14 2" xfId="14188" xr:uid="{00000000-0005-0000-0000-00005B370000}"/>
    <cellStyle name="Normal 2 59 7 14 3" xfId="14189" xr:uid="{00000000-0005-0000-0000-00005C370000}"/>
    <cellStyle name="Normal 2 59 7 15" xfId="14190" xr:uid="{00000000-0005-0000-0000-00005D370000}"/>
    <cellStyle name="Normal 2 59 7 16" xfId="14191" xr:uid="{00000000-0005-0000-0000-00005E370000}"/>
    <cellStyle name="Normal 2 59 7 2" xfId="14192" xr:uid="{00000000-0005-0000-0000-00005F370000}"/>
    <cellStyle name="Normal 2 59 7 2 2" xfId="14193" xr:uid="{00000000-0005-0000-0000-000060370000}"/>
    <cellStyle name="Normal 2 59 7 2 3" xfId="14194" xr:uid="{00000000-0005-0000-0000-000061370000}"/>
    <cellStyle name="Normal 2 59 7 3" xfId="14195" xr:uid="{00000000-0005-0000-0000-000062370000}"/>
    <cellStyle name="Normal 2 59 7 3 2" xfId="14196" xr:uid="{00000000-0005-0000-0000-000063370000}"/>
    <cellStyle name="Normal 2 59 7 3 3" xfId="14197" xr:uid="{00000000-0005-0000-0000-000064370000}"/>
    <cellStyle name="Normal 2 59 7 4" xfId="14198" xr:uid="{00000000-0005-0000-0000-000065370000}"/>
    <cellStyle name="Normal 2 59 7 4 2" xfId="14199" xr:uid="{00000000-0005-0000-0000-000066370000}"/>
    <cellStyle name="Normal 2 59 7 4 3" xfId="14200" xr:uid="{00000000-0005-0000-0000-000067370000}"/>
    <cellStyle name="Normal 2 59 7 5" xfId="14201" xr:uid="{00000000-0005-0000-0000-000068370000}"/>
    <cellStyle name="Normal 2 59 7 5 2" xfId="14202" xr:uid="{00000000-0005-0000-0000-000069370000}"/>
    <cellStyle name="Normal 2 59 7 5 3" xfId="14203" xr:uid="{00000000-0005-0000-0000-00006A370000}"/>
    <cellStyle name="Normal 2 59 7 6" xfId="14204" xr:uid="{00000000-0005-0000-0000-00006B370000}"/>
    <cellStyle name="Normal 2 59 7 6 2" xfId="14205" xr:uid="{00000000-0005-0000-0000-00006C370000}"/>
    <cellStyle name="Normal 2 59 7 6 3" xfId="14206" xr:uid="{00000000-0005-0000-0000-00006D370000}"/>
    <cellStyle name="Normal 2 59 7 7" xfId="14207" xr:uid="{00000000-0005-0000-0000-00006E370000}"/>
    <cellStyle name="Normal 2 59 7 7 2" xfId="14208" xr:uid="{00000000-0005-0000-0000-00006F370000}"/>
    <cellStyle name="Normal 2 59 7 7 3" xfId="14209" xr:uid="{00000000-0005-0000-0000-000070370000}"/>
    <cellStyle name="Normal 2 59 7 8" xfId="14210" xr:uid="{00000000-0005-0000-0000-000071370000}"/>
    <cellStyle name="Normal 2 59 7 8 2" xfId="14211" xr:uid="{00000000-0005-0000-0000-000072370000}"/>
    <cellStyle name="Normal 2 59 7 8 3" xfId="14212" xr:uid="{00000000-0005-0000-0000-000073370000}"/>
    <cellStyle name="Normal 2 59 7 9" xfId="14213" xr:uid="{00000000-0005-0000-0000-000074370000}"/>
    <cellStyle name="Normal 2 59 7 9 2" xfId="14214" xr:uid="{00000000-0005-0000-0000-000075370000}"/>
    <cellStyle name="Normal 2 59 7 9 3" xfId="14215" xr:uid="{00000000-0005-0000-0000-000076370000}"/>
    <cellStyle name="Normal 2 59 8" xfId="14216" xr:uid="{00000000-0005-0000-0000-000077370000}"/>
    <cellStyle name="Normal 2 59 8 10" xfId="14217" xr:uid="{00000000-0005-0000-0000-000078370000}"/>
    <cellStyle name="Normal 2 59 8 10 2" xfId="14218" xr:uid="{00000000-0005-0000-0000-000079370000}"/>
    <cellStyle name="Normal 2 59 8 10 3" xfId="14219" xr:uid="{00000000-0005-0000-0000-00007A370000}"/>
    <cellStyle name="Normal 2 59 8 11" xfId="14220" xr:uid="{00000000-0005-0000-0000-00007B370000}"/>
    <cellStyle name="Normal 2 59 8 11 2" xfId="14221" xr:uid="{00000000-0005-0000-0000-00007C370000}"/>
    <cellStyle name="Normal 2 59 8 11 3" xfId="14222" xr:uid="{00000000-0005-0000-0000-00007D370000}"/>
    <cellStyle name="Normal 2 59 8 12" xfId="14223" xr:uid="{00000000-0005-0000-0000-00007E370000}"/>
    <cellStyle name="Normal 2 59 8 12 2" xfId="14224" xr:uid="{00000000-0005-0000-0000-00007F370000}"/>
    <cellStyle name="Normal 2 59 8 12 3" xfId="14225" xr:uid="{00000000-0005-0000-0000-000080370000}"/>
    <cellStyle name="Normal 2 59 8 13" xfId="14226" xr:uid="{00000000-0005-0000-0000-000081370000}"/>
    <cellStyle name="Normal 2 59 8 13 2" xfId="14227" xr:uid="{00000000-0005-0000-0000-000082370000}"/>
    <cellStyle name="Normal 2 59 8 13 3" xfId="14228" xr:uid="{00000000-0005-0000-0000-000083370000}"/>
    <cellStyle name="Normal 2 59 8 14" xfId="14229" xr:uid="{00000000-0005-0000-0000-000084370000}"/>
    <cellStyle name="Normal 2 59 8 14 2" xfId="14230" xr:uid="{00000000-0005-0000-0000-000085370000}"/>
    <cellStyle name="Normal 2 59 8 14 3" xfId="14231" xr:uid="{00000000-0005-0000-0000-000086370000}"/>
    <cellStyle name="Normal 2 59 8 15" xfId="14232" xr:uid="{00000000-0005-0000-0000-000087370000}"/>
    <cellStyle name="Normal 2 59 8 16" xfId="14233" xr:uid="{00000000-0005-0000-0000-000088370000}"/>
    <cellStyle name="Normal 2 59 8 2" xfId="14234" xr:uid="{00000000-0005-0000-0000-000089370000}"/>
    <cellStyle name="Normal 2 59 8 2 2" xfId="14235" xr:uid="{00000000-0005-0000-0000-00008A370000}"/>
    <cellStyle name="Normal 2 59 8 2 3" xfId="14236" xr:uid="{00000000-0005-0000-0000-00008B370000}"/>
    <cellStyle name="Normal 2 59 8 3" xfId="14237" xr:uid="{00000000-0005-0000-0000-00008C370000}"/>
    <cellStyle name="Normal 2 59 8 3 2" xfId="14238" xr:uid="{00000000-0005-0000-0000-00008D370000}"/>
    <cellStyle name="Normal 2 59 8 3 3" xfId="14239" xr:uid="{00000000-0005-0000-0000-00008E370000}"/>
    <cellStyle name="Normal 2 59 8 4" xfId="14240" xr:uid="{00000000-0005-0000-0000-00008F370000}"/>
    <cellStyle name="Normal 2 59 8 4 2" xfId="14241" xr:uid="{00000000-0005-0000-0000-000090370000}"/>
    <cellStyle name="Normal 2 59 8 4 3" xfId="14242" xr:uid="{00000000-0005-0000-0000-000091370000}"/>
    <cellStyle name="Normal 2 59 8 5" xfId="14243" xr:uid="{00000000-0005-0000-0000-000092370000}"/>
    <cellStyle name="Normal 2 59 8 5 2" xfId="14244" xr:uid="{00000000-0005-0000-0000-000093370000}"/>
    <cellStyle name="Normal 2 59 8 5 3" xfId="14245" xr:uid="{00000000-0005-0000-0000-000094370000}"/>
    <cellStyle name="Normal 2 59 8 6" xfId="14246" xr:uid="{00000000-0005-0000-0000-000095370000}"/>
    <cellStyle name="Normal 2 59 8 6 2" xfId="14247" xr:uid="{00000000-0005-0000-0000-000096370000}"/>
    <cellStyle name="Normal 2 59 8 6 3" xfId="14248" xr:uid="{00000000-0005-0000-0000-000097370000}"/>
    <cellStyle name="Normal 2 59 8 7" xfId="14249" xr:uid="{00000000-0005-0000-0000-000098370000}"/>
    <cellStyle name="Normal 2 59 8 7 2" xfId="14250" xr:uid="{00000000-0005-0000-0000-000099370000}"/>
    <cellStyle name="Normal 2 59 8 7 3" xfId="14251" xr:uid="{00000000-0005-0000-0000-00009A370000}"/>
    <cellStyle name="Normal 2 59 8 8" xfId="14252" xr:uid="{00000000-0005-0000-0000-00009B370000}"/>
    <cellStyle name="Normal 2 59 8 8 2" xfId="14253" xr:uid="{00000000-0005-0000-0000-00009C370000}"/>
    <cellStyle name="Normal 2 59 8 8 3" xfId="14254" xr:uid="{00000000-0005-0000-0000-00009D370000}"/>
    <cellStyle name="Normal 2 59 8 9" xfId="14255" xr:uid="{00000000-0005-0000-0000-00009E370000}"/>
    <cellStyle name="Normal 2 59 8 9 2" xfId="14256" xr:uid="{00000000-0005-0000-0000-00009F370000}"/>
    <cellStyle name="Normal 2 59 8 9 3" xfId="14257" xr:uid="{00000000-0005-0000-0000-0000A0370000}"/>
    <cellStyle name="Normal 2 59 9" xfId="14258" xr:uid="{00000000-0005-0000-0000-0000A1370000}"/>
    <cellStyle name="Normal 2 59 9 10" xfId="14259" xr:uid="{00000000-0005-0000-0000-0000A2370000}"/>
    <cellStyle name="Normal 2 59 9 10 2" xfId="14260" xr:uid="{00000000-0005-0000-0000-0000A3370000}"/>
    <cellStyle name="Normal 2 59 9 10 3" xfId="14261" xr:uid="{00000000-0005-0000-0000-0000A4370000}"/>
    <cellStyle name="Normal 2 59 9 11" xfId="14262" xr:uid="{00000000-0005-0000-0000-0000A5370000}"/>
    <cellStyle name="Normal 2 59 9 11 2" xfId="14263" xr:uid="{00000000-0005-0000-0000-0000A6370000}"/>
    <cellStyle name="Normal 2 59 9 11 3" xfId="14264" xr:uid="{00000000-0005-0000-0000-0000A7370000}"/>
    <cellStyle name="Normal 2 59 9 12" xfId="14265" xr:uid="{00000000-0005-0000-0000-0000A8370000}"/>
    <cellStyle name="Normal 2 59 9 12 2" xfId="14266" xr:uid="{00000000-0005-0000-0000-0000A9370000}"/>
    <cellStyle name="Normal 2 59 9 12 3" xfId="14267" xr:uid="{00000000-0005-0000-0000-0000AA370000}"/>
    <cellStyle name="Normal 2 59 9 13" xfId="14268" xr:uid="{00000000-0005-0000-0000-0000AB370000}"/>
    <cellStyle name="Normal 2 59 9 13 2" xfId="14269" xr:uid="{00000000-0005-0000-0000-0000AC370000}"/>
    <cellStyle name="Normal 2 59 9 13 3" xfId="14270" xr:uid="{00000000-0005-0000-0000-0000AD370000}"/>
    <cellStyle name="Normal 2 59 9 14" xfId="14271" xr:uid="{00000000-0005-0000-0000-0000AE370000}"/>
    <cellStyle name="Normal 2 59 9 14 2" xfId="14272" xr:uid="{00000000-0005-0000-0000-0000AF370000}"/>
    <cellStyle name="Normal 2 59 9 14 3" xfId="14273" xr:uid="{00000000-0005-0000-0000-0000B0370000}"/>
    <cellStyle name="Normal 2 59 9 15" xfId="14274" xr:uid="{00000000-0005-0000-0000-0000B1370000}"/>
    <cellStyle name="Normal 2 59 9 16" xfId="14275" xr:uid="{00000000-0005-0000-0000-0000B2370000}"/>
    <cellStyle name="Normal 2 59 9 2" xfId="14276" xr:uid="{00000000-0005-0000-0000-0000B3370000}"/>
    <cellStyle name="Normal 2 59 9 2 2" xfId="14277" xr:uid="{00000000-0005-0000-0000-0000B4370000}"/>
    <cellStyle name="Normal 2 59 9 2 3" xfId="14278" xr:uid="{00000000-0005-0000-0000-0000B5370000}"/>
    <cellStyle name="Normal 2 59 9 3" xfId="14279" xr:uid="{00000000-0005-0000-0000-0000B6370000}"/>
    <cellStyle name="Normal 2 59 9 3 2" xfId="14280" xr:uid="{00000000-0005-0000-0000-0000B7370000}"/>
    <cellStyle name="Normal 2 59 9 3 3" xfId="14281" xr:uid="{00000000-0005-0000-0000-0000B8370000}"/>
    <cellStyle name="Normal 2 59 9 4" xfId="14282" xr:uid="{00000000-0005-0000-0000-0000B9370000}"/>
    <cellStyle name="Normal 2 59 9 4 2" xfId="14283" xr:uid="{00000000-0005-0000-0000-0000BA370000}"/>
    <cellStyle name="Normal 2 59 9 4 3" xfId="14284" xr:uid="{00000000-0005-0000-0000-0000BB370000}"/>
    <cellStyle name="Normal 2 59 9 5" xfId="14285" xr:uid="{00000000-0005-0000-0000-0000BC370000}"/>
    <cellStyle name="Normal 2 59 9 5 2" xfId="14286" xr:uid="{00000000-0005-0000-0000-0000BD370000}"/>
    <cellStyle name="Normal 2 59 9 5 3" xfId="14287" xr:uid="{00000000-0005-0000-0000-0000BE370000}"/>
    <cellStyle name="Normal 2 59 9 6" xfId="14288" xr:uid="{00000000-0005-0000-0000-0000BF370000}"/>
    <cellStyle name="Normal 2 59 9 6 2" xfId="14289" xr:uid="{00000000-0005-0000-0000-0000C0370000}"/>
    <cellStyle name="Normal 2 59 9 6 3" xfId="14290" xr:uid="{00000000-0005-0000-0000-0000C1370000}"/>
    <cellStyle name="Normal 2 59 9 7" xfId="14291" xr:uid="{00000000-0005-0000-0000-0000C2370000}"/>
    <cellStyle name="Normal 2 59 9 7 2" xfId="14292" xr:uid="{00000000-0005-0000-0000-0000C3370000}"/>
    <cellStyle name="Normal 2 59 9 7 3" xfId="14293" xr:uid="{00000000-0005-0000-0000-0000C4370000}"/>
    <cellStyle name="Normal 2 59 9 8" xfId="14294" xr:uid="{00000000-0005-0000-0000-0000C5370000}"/>
    <cellStyle name="Normal 2 59 9 8 2" xfId="14295" xr:uid="{00000000-0005-0000-0000-0000C6370000}"/>
    <cellStyle name="Normal 2 59 9 8 3" xfId="14296" xr:uid="{00000000-0005-0000-0000-0000C7370000}"/>
    <cellStyle name="Normal 2 59 9 9" xfId="14297" xr:uid="{00000000-0005-0000-0000-0000C8370000}"/>
    <cellStyle name="Normal 2 59 9 9 2" xfId="14298" xr:uid="{00000000-0005-0000-0000-0000C9370000}"/>
    <cellStyle name="Normal 2 59 9 9 3" xfId="14299" xr:uid="{00000000-0005-0000-0000-0000CA370000}"/>
    <cellStyle name="Normal 2 6" xfId="14300" xr:uid="{00000000-0005-0000-0000-0000CB370000}"/>
    <cellStyle name="Normal 2 6 2" xfId="14301" xr:uid="{00000000-0005-0000-0000-0000CC370000}"/>
    <cellStyle name="Normal 2 6 2 2" xfId="14302" xr:uid="{00000000-0005-0000-0000-0000CD370000}"/>
    <cellStyle name="Normal 2 6 2 2 2" xfId="14303" xr:uid="{00000000-0005-0000-0000-0000CE370000}"/>
    <cellStyle name="Normal 2 6 2 3" xfId="14304" xr:uid="{00000000-0005-0000-0000-0000CF370000}"/>
    <cellStyle name="Normal 2 6 2 3 2" xfId="14305" xr:uid="{00000000-0005-0000-0000-0000D0370000}"/>
    <cellStyle name="Normal 2 6 2 4" xfId="14306" xr:uid="{00000000-0005-0000-0000-0000D1370000}"/>
    <cellStyle name="Normal 2 6 2 4 2" xfId="14307" xr:uid="{00000000-0005-0000-0000-0000D2370000}"/>
    <cellStyle name="Normal 2 6 2 5" xfId="14308" xr:uid="{00000000-0005-0000-0000-0000D3370000}"/>
    <cellStyle name="Normal 2 6 2 5 2" xfId="14309" xr:uid="{00000000-0005-0000-0000-0000D4370000}"/>
    <cellStyle name="Normal 2 6 2 6" xfId="14310" xr:uid="{00000000-0005-0000-0000-0000D5370000}"/>
    <cellStyle name="Normal 2 6 2 6 2" xfId="14311" xr:uid="{00000000-0005-0000-0000-0000D6370000}"/>
    <cellStyle name="Normal 2 6 2 7" xfId="14312" xr:uid="{00000000-0005-0000-0000-0000D7370000}"/>
    <cellStyle name="Normal 2 6 2 7 2" xfId="14313" xr:uid="{00000000-0005-0000-0000-0000D8370000}"/>
    <cellStyle name="Normal 2 6 3" xfId="14314" xr:uid="{00000000-0005-0000-0000-0000D9370000}"/>
    <cellStyle name="Normal 2 6 4" xfId="14315" xr:uid="{00000000-0005-0000-0000-0000DA370000}"/>
    <cellStyle name="Normal 2 6 5" xfId="14316" xr:uid="{00000000-0005-0000-0000-0000DB370000}"/>
    <cellStyle name="Normal 2 6 6" xfId="14317" xr:uid="{00000000-0005-0000-0000-0000DC370000}"/>
    <cellStyle name="Normal 2 6 7" xfId="14318" xr:uid="{00000000-0005-0000-0000-0000DD370000}"/>
    <cellStyle name="Normal 2 6 8" xfId="14319" xr:uid="{00000000-0005-0000-0000-0000DE370000}"/>
    <cellStyle name="Normal 2 60" xfId="14320" xr:uid="{00000000-0005-0000-0000-0000DF370000}"/>
    <cellStyle name="Normal 2 60 10" xfId="14321" xr:uid="{00000000-0005-0000-0000-0000E0370000}"/>
    <cellStyle name="Normal 2 60 10 10" xfId="14322" xr:uid="{00000000-0005-0000-0000-0000E1370000}"/>
    <cellStyle name="Normal 2 60 10 10 2" xfId="14323" xr:uid="{00000000-0005-0000-0000-0000E2370000}"/>
    <cellStyle name="Normal 2 60 10 10 3" xfId="14324" xr:uid="{00000000-0005-0000-0000-0000E3370000}"/>
    <cellStyle name="Normal 2 60 10 11" xfId="14325" xr:uid="{00000000-0005-0000-0000-0000E4370000}"/>
    <cellStyle name="Normal 2 60 10 11 2" xfId="14326" xr:uid="{00000000-0005-0000-0000-0000E5370000}"/>
    <cellStyle name="Normal 2 60 10 11 3" xfId="14327" xr:uid="{00000000-0005-0000-0000-0000E6370000}"/>
    <cellStyle name="Normal 2 60 10 12" xfId="14328" xr:uid="{00000000-0005-0000-0000-0000E7370000}"/>
    <cellStyle name="Normal 2 60 10 12 2" xfId="14329" xr:uid="{00000000-0005-0000-0000-0000E8370000}"/>
    <cellStyle name="Normal 2 60 10 12 3" xfId="14330" xr:uid="{00000000-0005-0000-0000-0000E9370000}"/>
    <cellStyle name="Normal 2 60 10 13" xfId="14331" xr:uid="{00000000-0005-0000-0000-0000EA370000}"/>
    <cellStyle name="Normal 2 60 10 13 2" xfId="14332" xr:uid="{00000000-0005-0000-0000-0000EB370000}"/>
    <cellStyle name="Normal 2 60 10 13 3" xfId="14333" xr:uid="{00000000-0005-0000-0000-0000EC370000}"/>
    <cellStyle name="Normal 2 60 10 14" xfId="14334" xr:uid="{00000000-0005-0000-0000-0000ED370000}"/>
    <cellStyle name="Normal 2 60 10 14 2" xfId="14335" xr:uid="{00000000-0005-0000-0000-0000EE370000}"/>
    <cellStyle name="Normal 2 60 10 14 3" xfId="14336" xr:uid="{00000000-0005-0000-0000-0000EF370000}"/>
    <cellStyle name="Normal 2 60 10 15" xfId="14337" xr:uid="{00000000-0005-0000-0000-0000F0370000}"/>
    <cellStyle name="Normal 2 60 10 16" xfId="14338" xr:uid="{00000000-0005-0000-0000-0000F1370000}"/>
    <cellStyle name="Normal 2 60 10 2" xfId="14339" xr:uid="{00000000-0005-0000-0000-0000F2370000}"/>
    <cellStyle name="Normal 2 60 10 2 2" xfId="14340" xr:uid="{00000000-0005-0000-0000-0000F3370000}"/>
    <cellStyle name="Normal 2 60 10 2 3" xfId="14341" xr:uid="{00000000-0005-0000-0000-0000F4370000}"/>
    <cellStyle name="Normal 2 60 10 3" xfId="14342" xr:uid="{00000000-0005-0000-0000-0000F5370000}"/>
    <cellStyle name="Normal 2 60 10 3 2" xfId="14343" xr:uid="{00000000-0005-0000-0000-0000F6370000}"/>
    <cellStyle name="Normal 2 60 10 3 3" xfId="14344" xr:uid="{00000000-0005-0000-0000-0000F7370000}"/>
    <cellStyle name="Normal 2 60 10 4" xfId="14345" xr:uid="{00000000-0005-0000-0000-0000F8370000}"/>
    <cellStyle name="Normal 2 60 10 4 2" xfId="14346" xr:uid="{00000000-0005-0000-0000-0000F9370000}"/>
    <cellStyle name="Normal 2 60 10 4 3" xfId="14347" xr:uid="{00000000-0005-0000-0000-0000FA370000}"/>
    <cellStyle name="Normal 2 60 10 5" xfId="14348" xr:uid="{00000000-0005-0000-0000-0000FB370000}"/>
    <cellStyle name="Normal 2 60 10 5 2" xfId="14349" xr:uid="{00000000-0005-0000-0000-0000FC370000}"/>
    <cellStyle name="Normal 2 60 10 5 3" xfId="14350" xr:uid="{00000000-0005-0000-0000-0000FD370000}"/>
    <cellStyle name="Normal 2 60 10 6" xfId="14351" xr:uid="{00000000-0005-0000-0000-0000FE370000}"/>
    <cellStyle name="Normal 2 60 10 6 2" xfId="14352" xr:uid="{00000000-0005-0000-0000-0000FF370000}"/>
    <cellStyle name="Normal 2 60 10 6 3" xfId="14353" xr:uid="{00000000-0005-0000-0000-000000380000}"/>
    <cellStyle name="Normal 2 60 10 7" xfId="14354" xr:uid="{00000000-0005-0000-0000-000001380000}"/>
    <cellStyle name="Normal 2 60 10 7 2" xfId="14355" xr:uid="{00000000-0005-0000-0000-000002380000}"/>
    <cellStyle name="Normal 2 60 10 7 3" xfId="14356" xr:uid="{00000000-0005-0000-0000-000003380000}"/>
    <cellStyle name="Normal 2 60 10 8" xfId="14357" xr:uid="{00000000-0005-0000-0000-000004380000}"/>
    <cellStyle name="Normal 2 60 10 8 2" xfId="14358" xr:uid="{00000000-0005-0000-0000-000005380000}"/>
    <cellStyle name="Normal 2 60 10 8 3" xfId="14359" xr:uid="{00000000-0005-0000-0000-000006380000}"/>
    <cellStyle name="Normal 2 60 10 9" xfId="14360" xr:uid="{00000000-0005-0000-0000-000007380000}"/>
    <cellStyle name="Normal 2 60 10 9 2" xfId="14361" xr:uid="{00000000-0005-0000-0000-000008380000}"/>
    <cellStyle name="Normal 2 60 10 9 3" xfId="14362" xr:uid="{00000000-0005-0000-0000-000009380000}"/>
    <cellStyle name="Normal 2 60 11" xfId="14363" xr:uid="{00000000-0005-0000-0000-00000A380000}"/>
    <cellStyle name="Normal 2 60 11 2" xfId="14364" xr:uid="{00000000-0005-0000-0000-00000B380000}"/>
    <cellStyle name="Normal 2 60 11 3" xfId="14365" xr:uid="{00000000-0005-0000-0000-00000C380000}"/>
    <cellStyle name="Normal 2 60 12" xfId="14366" xr:uid="{00000000-0005-0000-0000-00000D380000}"/>
    <cellStyle name="Normal 2 60 12 2" xfId="14367" xr:uid="{00000000-0005-0000-0000-00000E380000}"/>
    <cellStyle name="Normal 2 60 12 3" xfId="14368" xr:uid="{00000000-0005-0000-0000-00000F380000}"/>
    <cellStyle name="Normal 2 60 13" xfId="14369" xr:uid="{00000000-0005-0000-0000-000010380000}"/>
    <cellStyle name="Normal 2 60 13 2" xfId="14370" xr:uid="{00000000-0005-0000-0000-000011380000}"/>
    <cellStyle name="Normal 2 60 13 3" xfId="14371" xr:uid="{00000000-0005-0000-0000-000012380000}"/>
    <cellStyle name="Normal 2 60 14" xfId="14372" xr:uid="{00000000-0005-0000-0000-000013380000}"/>
    <cellStyle name="Normal 2 60 14 2" xfId="14373" xr:uid="{00000000-0005-0000-0000-000014380000}"/>
    <cellStyle name="Normal 2 60 14 3" xfId="14374" xr:uid="{00000000-0005-0000-0000-000015380000}"/>
    <cellStyle name="Normal 2 60 15" xfId="14375" xr:uid="{00000000-0005-0000-0000-000016380000}"/>
    <cellStyle name="Normal 2 60 15 2" xfId="14376" xr:uid="{00000000-0005-0000-0000-000017380000}"/>
    <cellStyle name="Normal 2 60 15 3" xfId="14377" xr:uid="{00000000-0005-0000-0000-000018380000}"/>
    <cellStyle name="Normal 2 60 16" xfId="14378" xr:uid="{00000000-0005-0000-0000-000019380000}"/>
    <cellStyle name="Normal 2 60 16 2" xfId="14379" xr:uid="{00000000-0005-0000-0000-00001A380000}"/>
    <cellStyle name="Normal 2 60 16 3" xfId="14380" xr:uid="{00000000-0005-0000-0000-00001B380000}"/>
    <cellStyle name="Normal 2 60 17" xfId="14381" xr:uid="{00000000-0005-0000-0000-00001C380000}"/>
    <cellStyle name="Normal 2 60 17 2" xfId="14382" xr:uid="{00000000-0005-0000-0000-00001D380000}"/>
    <cellStyle name="Normal 2 60 17 3" xfId="14383" xr:uid="{00000000-0005-0000-0000-00001E380000}"/>
    <cellStyle name="Normal 2 60 18" xfId="14384" xr:uid="{00000000-0005-0000-0000-00001F380000}"/>
    <cellStyle name="Normal 2 60 18 2" xfId="14385" xr:uid="{00000000-0005-0000-0000-000020380000}"/>
    <cellStyle name="Normal 2 60 18 3" xfId="14386" xr:uid="{00000000-0005-0000-0000-000021380000}"/>
    <cellStyle name="Normal 2 60 19" xfId="14387" xr:uid="{00000000-0005-0000-0000-000022380000}"/>
    <cellStyle name="Normal 2 60 19 2" xfId="14388" xr:uid="{00000000-0005-0000-0000-000023380000}"/>
    <cellStyle name="Normal 2 60 19 3" xfId="14389" xr:uid="{00000000-0005-0000-0000-000024380000}"/>
    <cellStyle name="Normal 2 60 2" xfId="14390" xr:uid="{00000000-0005-0000-0000-000025380000}"/>
    <cellStyle name="Normal 2 60 2 10" xfId="14391" xr:uid="{00000000-0005-0000-0000-000026380000}"/>
    <cellStyle name="Normal 2 60 2 10 2" xfId="14392" xr:uid="{00000000-0005-0000-0000-000027380000}"/>
    <cellStyle name="Normal 2 60 2 10 3" xfId="14393" xr:uid="{00000000-0005-0000-0000-000028380000}"/>
    <cellStyle name="Normal 2 60 2 11" xfId="14394" xr:uid="{00000000-0005-0000-0000-000029380000}"/>
    <cellStyle name="Normal 2 60 2 11 2" xfId="14395" xr:uid="{00000000-0005-0000-0000-00002A380000}"/>
    <cellStyle name="Normal 2 60 2 11 3" xfId="14396" xr:uid="{00000000-0005-0000-0000-00002B380000}"/>
    <cellStyle name="Normal 2 60 2 12" xfId="14397" xr:uid="{00000000-0005-0000-0000-00002C380000}"/>
    <cellStyle name="Normal 2 60 2 12 2" xfId="14398" xr:uid="{00000000-0005-0000-0000-00002D380000}"/>
    <cellStyle name="Normal 2 60 2 12 3" xfId="14399" xr:uid="{00000000-0005-0000-0000-00002E380000}"/>
    <cellStyle name="Normal 2 60 2 13" xfId="14400" xr:uid="{00000000-0005-0000-0000-00002F380000}"/>
    <cellStyle name="Normal 2 60 2 13 2" xfId="14401" xr:uid="{00000000-0005-0000-0000-000030380000}"/>
    <cellStyle name="Normal 2 60 2 13 3" xfId="14402" xr:uid="{00000000-0005-0000-0000-000031380000}"/>
    <cellStyle name="Normal 2 60 2 14" xfId="14403" xr:uid="{00000000-0005-0000-0000-000032380000}"/>
    <cellStyle name="Normal 2 60 2 14 2" xfId="14404" xr:uid="{00000000-0005-0000-0000-000033380000}"/>
    <cellStyle name="Normal 2 60 2 14 3" xfId="14405" xr:uid="{00000000-0005-0000-0000-000034380000}"/>
    <cellStyle name="Normal 2 60 2 15" xfId="14406" xr:uid="{00000000-0005-0000-0000-000035380000}"/>
    <cellStyle name="Normal 2 60 2 15 2" xfId="14407" xr:uid="{00000000-0005-0000-0000-000036380000}"/>
    <cellStyle name="Normal 2 60 2 15 3" xfId="14408" xr:uid="{00000000-0005-0000-0000-000037380000}"/>
    <cellStyle name="Normal 2 60 2 16" xfId="14409" xr:uid="{00000000-0005-0000-0000-000038380000}"/>
    <cellStyle name="Normal 2 60 2 17" xfId="14410" xr:uid="{00000000-0005-0000-0000-000039380000}"/>
    <cellStyle name="Normal 2 60 2 2" xfId="14411" xr:uid="{00000000-0005-0000-0000-00003A380000}"/>
    <cellStyle name="Normal 2 60 2 2 10" xfId="14412" xr:uid="{00000000-0005-0000-0000-00003B380000}"/>
    <cellStyle name="Normal 2 60 2 2 10 2" xfId="14413" xr:uid="{00000000-0005-0000-0000-00003C380000}"/>
    <cellStyle name="Normal 2 60 2 2 10 3" xfId="14414" xr:uid="{00000000-0005-0000-0000-00003D380000}"/>
    <cellStyle name="Normal 2 60 2 2 11" xfId="14415" xr:uid="{00000000-0005-0000-0000-00003E380000}"/>
    <cellStyle name="Normal 2 60 2 2 11 2" xfId="14416" xr:uid="{00000000-0005-0000-0000-00003F380000}"/>
    <cellStyle name="Normal 2 60 2 2 11 3" xfId="14417" xr:uid="{00000000-0005-0000-0000-000040380000}"/>
    <cellStyle name="Normal 2 60 2 2 12" xfId="14418" xr:uid="{00000000-0005-0000-0000-000041380000}"/>
    <cellStyle name="Normal 2 60 2 2 12 2" xfId="14419" xr:uid="{00000000-0005-0000-0000-000042380000}"/>
    <cellStyle name="Normal 2 60 2 2 12 3" xfId="14420" xr:uid="{00000000-0005-0000-0000-000043380000}"/>
    <cellStyle name="Normal 2 60 2 2 13" xfId="14421" xr:uid="{00000000-0005-0000-0000-000044380000}"/>
    <cellStyle name="Normal 2 60 2 2 13 2" xfId="14422" xr:uid="{00000000-0005-0000-0000-000045380000}"/>
    <cellStyle name="Normal 2 60 2 2 13 3" xfId="14423" xr:uid="{00000000-0005-0000-0000-000046380000}"/>
    <cellStyle name="Normal 2 60 2 2 14" xfId="14424" xr:uid="{00000000-0005-0000-0000-000047380000}"/>
    <cellStyle name="Normal 2 60 2 2 14 2" xfId="14425" xr:uid="{00000000-0005-0000-0000-000048380000}"/>
    <cellStyle name="Normal 2 60 2 2 14 3" xfId="14426" xr:uid="{00000000-0005-0000-0000-000049380000}"/>
    <cellStyle name="Normal 2 60 2 2 15" xfId="14427" xr:uid="{00000000-0005-0000-0000-00004A380000}"/>
    <cellStyle name="Normal 2 60 2 2 16" xfId="14428" xr:uid="{00000000-0005-0000-0000-00004B380000}"/>
    <cellStyle name="Normal 2 60 2 2 2" xfId="14429" xr:uid="{00000000-0005-0000-0000-00004C380000}"/>
    <cellStyle name="Normal 2 60 2 2 2 2" xfId="14430" xr:uid="{00000000-0005-0000-0000-00004D380000}"/>
    <cellStyle name="Normal 2 60 2 2 2 3" xfId="14431" xr:uid="{00000000-0005-0000-0000-00004E380000}"/>
    <cellStyle name="Normal 2 60 2 2 3" xfId="14432" xr:uid="{00000000-0005-0000-0000-00004F380000}"/>
    <cellStyle name="Normal 2 60 2 2 3 2" xfId="14433" xr:uid="{00000000-0005-0000-0000-000050380000}"/>
    <cellStyle name="Normal 2 60 2 2 3 3" xfId="14434" xr:uid="{00000000-0005-0000-0000-000051380000}"/>
    <cellStyle name="Normal 2 60 2 2 4" xfId="14435" xr:uid="{00000000-0005-0000-0000-000052380000}"/>
    <cellStyle name="Normal 2 60 2 2 4 2" xfId="14436" xr:uid="{00000000-0005-0000-0000-000053380000}"/>
    <cellStyle name="Normal 2 60 2 2 4 3" xfId="14437" xr:uid="{00000000-0005-0000-0000-000054380000}"/>
    <cellStyle name="Normal 2 60 2 2 5" xfId="14438" xr:uid="{00000000-0005-0000-0000-000055380000}"/>
    <cellStyle name="Normal 2 60 2 2 5 2" xfId="14439" xr:uid="{00000000-0005-0000-0000-000056380000}"/>
    <cellStyle name="Normal 2 60 2 2 5 3" xfId="14440" xr:uid="{00000000-0005-0000-0000-000057380000}"/>
    <cellStyle name="Normal 2 60 2 2 6" xfId="14441" xr:uid="{00000000-0005-0000-0000-000058380000}"/>
    <cellStyle name="Normal 2 60 2 2 6 2" xfId="14442" xr:uid="{00000000-0005-0000-0000-000059380000}"/>
    <cellStyle name="Normal 2 60 2 2 6 3" xfId="14443" xr:uid="{00000000-0005-0000-0000-00005A380000}"/>
    <cellStyle name="Normal 2 60 2 2 7" xfId="14444" xr:uid="{00000000-0005-0000-0000-00005B380000}"/>
    <cellStyle name="Normal 2 60 2 2 7 2" xfId="14445" xr:uid="{00000000-0005-0000-0000-00005C380000}"/>
    <cellStyle name="Normal 2 60 2 2 7 3" xfId="14446" xr:uid="{00000000-0005-0000-0000-00005D380000}"/>
    <cellStyle name="Normal 2 60 2 2 8" xfId="14447" xr:uid="{00000000-0005-0000-0000-00005E380000}"/>
    <cellStyle name="Normal 2 60 2 2 8 2" xfId="14448" xr:uid="{00000000-0005-0000-0000-00005F380000}"/>
    <cellStyle name="Normal 2 60 2 2 8 3" xfId="14449" xr:uid="{00000000-0005-0000-0000-000060380000}"/>
    <cellStyle name="Normal 2 60 2 2 9" xfId="14450" xr:uid="{00000000-0005-0000-0000-000061380000}"/>
    <cellStyle name="Normal 2 60 2 2 9 2" xfId="14451" xr:uid="{00000000-0005-0000-0000-000062380000}"/>
    <cellStyle name="Normal 2 60 2 2 9 3" xfId="14452" xr:uid="{00000000-0005-0000-0000-000063380000}"/>
    <cellStyle name="Normal 2 60 2 3" xfId="14453" xr:uid="{00000000-0005-0000-0000-000064380000}"/>
    <cellStyle name="Normal 2 60 2 3 2" xfId="14454" xr:uid="{00000000-0005-0000-0000-000065380000}"/>
    <cellStyle name="Normal 2 60 2 3 3" xfId="14455" xr:uid="{00000000-0005-0000-0000-000066380000}"/>
    <cellStyle name="Normal 2 60 2 4" xfId="14456" xr:uid="{00000000-0005-0000-0000-000067380000}"/>
    <cellStyle name="Normal 2 60 2 4 2" xfId="14457" xr:uid="{00000000-0005-0000-0000-000068380000}"/>
    <cellStyle name="Normal 2 60 2 4 3" xfId="14458" xr:uid="{00000000-0005-0000-0000-000069380000}"/>
    <cellStyle name="Normal 2 60 2 5" xfId="14459" xr:uid="{00000000-0005-0000-0000-00006A380000}"/>
    <cellStyle name="Normal 2 60 2 5 2" xfId="14460" xr:uid="{00000000-0005-0000-0000-00006B380000}"/>
    <cellStyle name="Normal 2 60 2 5 3" xfId="14461" xr:uid="{00000000-0005-0000-0000-00006C380000}"/>
    <cellStyle name="Normal 2 60 2 6" xfId="14462" xr:uid="{00000000-0005-0000-0000-00006D380000}"/>
    <cellStyle name="Normal 2 60 2 6 2" xfId="14463" xr:uid="{00000000-0005-0000-0000-00006E380000}"/>
    <cellStyle name="Normal 2 60 2 6 3" xfId="14464" xr:uid="{00000000-0005-0000-0000-00006F380000}"/>
    <cellStyle name="Normal 2 60 2 7" xfId="14465" xr:uid="{00000000-0005-0000-0000-000070380000}"/>
    <cellStyle name="Normal 2 60 2 7 2" xfId="14466" xr:uid="{00000000-0005-0000-0000-000071380000}"/>
    <cellStyle name="Normal 2 60 2 7 3" xfId="14467" xr:uid="{00000000-0005-0000-0000-000072380000}"/>
    <cellStyle name="Normal 2 60 2 8" xfId="14468" xr:uid="{00000000-0005-0000-0000-000073380000}"/>
    <cellStyle name="Normal 2 60 2 8 2" xfId="14469" xr:uid="{00000000-0005-0000-0000-000074380000}"/>
    <cellStyle name="Normal 2 60 2 8 3" xfId="14470" xr:uid="{00000000-0005-0000-0000-000075380000}"/>
    <cellStyle name="Normal 2 60 2 9" xfId="14471" xr:uid="{00000000-0005-0000-0000-000076380000}"/>
    <cellStyle name="Normal 2 60 2 9 2" xfId="14472" xr:uid="{00000000-0005-0000-0000-000077380000}"/>
    <cellStyle name="Normal 2 60 2 9 3" xfId="14473" xr:uid="{00000000-0005-0000-0000-000078380000}"/>
    <cellStyle name="Normal 2 60 20" xfId="14474" xr:uid="{00000000-0005-0000-0000-000079380000}"/>
    <cellStyle name="Normal 2 60 20 2" xfId="14475" xr:uid="{00000000-0005-0000-0000-00007A380000}"/>
    <cellStyle name="Normal 2 60 20 3" xfId="14476" xr:uid="{00000000-0005-0000-0000-00007B380000}"/>
    <cellStyle name="Normal 2 60 21" xfId="14477" xr:uid="{00000000-0005-0000-0000-00007C380000}"/>
    <cellStyle name="Normal 2 60 21 2" xfId="14478" xr:uid="{00000000-0005-0000-0000-00007D380000}"/>
    <cellStyle name="Normal 2 60 21 3" xfId="14479" xr:uid="{00000000-0005-0000-0000-00007E380000}"/>
    <cellStyle name="Normal 2 60 22" xfId="14480" xr:uid="{00000000-0005-0000-0000-00007F380000}"/>
    <cellStyle name="Normal 2 60 22 2" xfId="14481" xr:uid="{00000000-0005-0000-0000-000080380000}"/>
    <cellStyle name="Normal 2 60 22 3" xfId="14482" xr:uid="{00000000-0005-0000-0000-000081380000}"/>
    <cellStyle name="Normal 2 60 23" xfId="14483" xr:uid="{00000000-0005-0000-0000-000082380000}"/>
    <cellStyle name="Normal 2 60 23 2" xfId="14484" xr:uid="{00000000-0005-0000-0000-000083380000}"/>
    <cellStyle name="Normal 2 60 23 3" xfId="14485" xr:uid="{00000000-0005-0000-0000-000084380000}"/>
    <cellStyle name="Normal 2 60 24" xfId="14486" xr:uid="{00000000-0005-0000-0000-000085380000}"/>
    <cellStyle name="Normal 2 60 25" xfId="14487" xr:uid="{00000000-0005-0000-0000-000086380000}"/>
    <cellStyle name="Normal 2 60 3" xfId="14488" xr:uid="{00000000-0005-0000-0000-000087380000}"/>
    <cellStyle name="Normal 2 60 3 10" xfId="14489" xr:uid="{00000000-0005-0000-0000-000088380000}"/>
    <cellStyle name="Normal 2 60 3 10 2" xfId="14490" xr:uid="{00000000-0005-0000-0000-000089380000}"/>
    <cellStyle name="Normal 2 60 3 10 3" xfId="14491" xr:uid="{00000000-0005-0000-0000-00008A380000}"/>
    <cellStyle name="Normal 2 60 3 11" xfId="14492" xr:uid="{00000000-0005-0000-0000-00008B380000}"/>
    <cellStyle name="Normal 2 60 3 11 2" xfId="14493" xr:uid="{00000000-0005-0000-0000-00008C380000}"/>
    <cellStyle name="Normal 2 60 3 11 3" xfId="14494" xr:uid="{00000000-0005-0000-0000-00008D380000}"/>
    <cellStyle name="Normal 2 60 3 12" xfId="14495" xr:uid="{00000000-0005-0000-0000-00008E380000}"/>
    <cellStyle name="Normal 2 60 3 12 2" xfId="14496" xr:uid="{00000000-0005-0000-0000-00008F380000}"/>
    <cellStyle name="Normal 2 60 3 12 3" xfId="14497" xr:uid="{00000000-0005-0000-0000-000090380000}"/>
    <cellStyle name="Normal 2 60 3 13" xfId="14498" xr:uid="{00000000-0005-0000-0000-000091380000}"/>
    <cellStyle name="Normal 2 60 3 13 2" xfId="14499" xr:uid="{00000000-0005-0000-0000-000092380000}"/>
    <cellStyle name="Normal 2 60 3 13 3" xfId="14500" xr:uid="{00000000-0005-0000-0000-000093380000}"/>
    <cellStyle name="Normal 2 60 3 14" xfId="14501" xr:uid="{00000000-0005-0000-0000-000094380000}"/>
    <cellStyle name="Normal 2 60 3 14 2" xfId="14502" xr:uid="{00000000-0005-0000-0000-000095380000}"/>
    <cellStyle name="Normal 2 60 3 14 3" xfId="14503" xr:uid="{00000000-0005-0000-0000-000096380000}"/>
    <cellStyle name="Normal 2 60 3 15" xfId="14504" xr:uid="{00000000-0005-0000-0000-000097380000}"/>
    <cellStyle name="Normal 2 60 3 15 2" xfId="14505" xr:uid="{00000000-0005-0000-0000-000098380000}"/>
    <cellStyle name="Normal 2 60 3 15 3" xfId="14506" xr:uid="{00000000-0005-0000-0000-000099380000}"/>
    <cellStyle name="Normal 2 60 3 16" xfId="14507" xr:uid="{00000000-0005-0000-0000-00009A380000}"/>
    <cellStyle name="Normal 2 60 3 17" xfId="14508" xr:uid="{00000000-0005-0000-0000-00009B380000}"/>
    <cellStyle name="Normal 2 60 3 2" xfId="14509" xr:uid="{00000000-0005-0000-0000-00009C380000}"/>
    <cellStyle name="Normal 2 60 3 2 10" xfId="14510" xr:uid="{00000000-0005-0000-0000-00009D380000}"/>
    <cellStyle name="Normal 2 60 3 2 10 2" xfId="14511" xr:uid="{00000000-0005-0000-0000-00009E380000}"/>
    <cellStyle name="Normal 2 60 3 2 10 3" xfId="14512" xr:uid="{00000000-0005-0000-0000-00009F380000}"/>
    <cellStyle name="Normal 2 60 3 2 11" xfId="14513" xr:uid="{00000000-0005-0000-0000-0000A0380000}"/>
    <cellStyle name="Normal 2 60 3 2 11 2" xfId="14514" xr:uid="{00000000-0005-0000-0000-0000A1380000}"/>
    <cellStyle name="Normal 2 60 3 2 11 3" xfId="14515" xr:uid="{00000000-0005-0000-0000-0000A2380000}"/>
    <cellStyle name="Normal 2 60 3 2 12" xfId="14516" xr:uid="{00000000-0005-0000-0000-0000A3380000}"/>
    <cellStyle name="Normal 2 60 3 2 12 2" xfId="14517" xr:uid="{00000000-0005-0000-0000-0000A4380000}"/>
    <cellStyle name="Normal 2 60 3 2 12 3" xfId="14518" xr:uid="{00000000-0005-0000-0000-0000A5380000}"/>
    <cellStyle name="Normal 2 60 3 2 13" xfId="14519" xr:uid="{00000000-0005-0000-0000-0000A6380000}"/>
    <cellStyle name="Normal 2 60 3 2 13 2" xfId="14520" xr:uid="{00000000-0005-0000-0000-0000A7380000}"/>
    <cellStyle name="Normal 2 60 3 2 13 3" xfId="14521" xr:uid="{00000000-0005-0000-0000-0000A8380000}"/>
    <cellStyle name="Normal 2 60 3 2 14" xfId="14522" xr:uid="{00000000-0005-0000-0000-0000A9380000}"/>
    <cellStyle name="Normal 2 60 3 2 14 2" xfId="14523" xr:uid="{00000000-0005-0000-0000-0000AA380000}"/>
    <cellStyle name="Normal 2 60 3 2 14 3" xfId="14524" xr:uid="{00000000-0005-0000-0000-0000AB380000}"/>
    <cellStyle name="Normal 2 60 3 2 15" xfId="14525" xr:uid="{00000000-0005-0000-0000-0000AC380000}"/>
    <cellStyle name="Normal 2 60 3 2 16" xfId="14526" xr:uid="{00000000-0005-0000-0000-0000AD380000}"/>
    <cellStyle name="Normal 2 60 3 2 2" xfId="14527" xr:uid="{00000000-0005-0000-0000-0000AE380000}"/>
    <cellStyle name="Normal 2 60 3 2 2 2" xfId="14528" xr:uid="{00000000-0005-0000-0000-0000AF380000}"/>
    <cellStyle name="Normal 2 60 3 2 2 3" xfId="14529" xr:uid="{00000000-0005-0000-0000-0000B0380000}"/>
    <cellStyle name="Normal 2 60 3 2 3" xfId="14530" xr:uid="{00000000-0005-0000-0000-0000B1380000}"/>
    <cellStyle name="Normal 2 60 3 2 3 2" xfId="14531" xr:uid="{00000000-0005-0000-0000-0000B2380000}"/>
    <cellStyle name="Normal 2 60 3 2 3 3" xfId="14532" xr:uid="{00000000-0005-0000-0000-0000B3380000}"/>
    <cellStyle name="Normal 2 60 3 2 4" xfId="14533" xr:uid="{00000000-0005-0000-0000-0000B4380000}"/>
    <cellStyle name="Normal 2 60 3 2 4 2" xfId="14534" xr:uid="{00000000-0005-0000-0000-0000B5380000}"/>
    <cellStyle name="Normal 2 60 3 2 4 3" xfId="14535" xr:uid="{00000000-0005-0000-0000-0000B6380000}"/>
    <cellStyle name="Normal 2 60 3 2 5" xfId="14536" xr:uid="{00000000-0005-0000-0000-0000B7380000}"/>
    <cellStyle name="Normal 2 60 3 2 5 2" xfId="14537" xr:uid="{00000000-0005-0000-0000-0000B8380000}"/>
    <cellStyle name="Normal 2 60 3 2 5 3" xfId="14538" xr:uid="{00000000-0005-0000-0000-0000B9380000}"/>
    <cellStyle name="Normal 2 60 3 2 6" xfId="14539" xr:uid="{00000000-0005-0000-0000-0000BA380000}"/>
    <cellStyle name="Normal 2 60 3 2 6 2" xfId="14540" xr:uid="{00000000-0005-0000-0000-0000BB380000}"/>
    <cellStyle name="Normal 2 60 3 2 6 3" xfId="14541" xr:uid="{00000000-0005-0000-0000-0000BC380000}"/>
    <cellStyle name="Normal 2 60 3 2 7" xfId="14542" xr:uid="{00000000-0005-0000-0000-0000BD380000}"/>
    <cellStyle name="Normal 2 60 3 2 7 2" xfId="14543" xr:uid="{00000000-0005-0000-0000-0000BE380000}"/>
    <cellStyle name="Normal 2 60 3 2 7 3" xfId="14544" xr:uid="{00000000-0005-0000-0000-0000BF380000}"/>
    <cellStyle name="Normal 2 60 3 2 8" xfId="14545" xr:uid="{00000000-0005-0000-0000-0000C0380000}"/>
    <cellStyle name="Normal 2 60 3 2 8 2" xfId="14546" xr:uid="{00000000-0005-0000-0000-0000C1380000}"/>
    <cellStyle name="Normal 2 60 3 2 8 3" xfId="14547" xr:uid="{00000000-0005-0000-0000-0000C2380000}"/>
    <cellStyle name="Normal 2 60 3 2 9" xfId="14548" xr:uid="{00000000-0005-0000-0000-0000C3380000}"/>
    <cellStyle name="Normal 2 60 3 2 9 2" xfId="14549" xr:uid="{00000000-0005-0000-0000-0000C4380000}"/>
    <cellStyle name="Normal 2 60 3 2 9 3" xfId="14550" xr:uid="{00000000-0005-0000-0000-0000C5380000}"/>
    <cellStyle name="Normal 2 60 3 3" xfId="14551" xr:uid="{00000000-0005-0000-0000-0000C6380000}"/>
    <cellStyle name="Normal 2 60 3 3 2" xfId="14552" xr:uid="{00000000-0005-0000-0000-0000C7380000}"/>
    <cellStyle name="Normal 2 60 3 3 3" xfId="14553" xr:uid="{00000000-0005-0000-0000-0000C8380000}"/>
    <cellStyle name="Normal 2 60 3 4" xfId="14554" xr:uid="{00000000-0005-0000-0000-0000C9380000}"/>
    <cellStyle name="Normal 2 60 3 4 2" xfId="14555" xr:uid="{00000000-0005-0000-0000-0000CA380000}"/>
    <cellStyle name="Normal 2 60 3 4 3" xfId="14556" xr:uid="{00000000-0005-0000-0000-0000CB380000}"/>
    <cellStyle name="Normal 2 60 3 5" xfId="14557" xr:uid="{00000000-0005-0000-0000-0000CC380000}"/>
    <cellStyle name="Normal 2 60 3 5 2" xfId="14558" xr:uid="{00000000-0005-0000-0000-0000CD380000}"/>
    <cellStyle name="Normal 2 60 3 5 3" xfId="14559" xr:uid="{00000000-0005-0000-0000-0000CE380000}"/>
    <cellStyle name="Normal 2 60 3 6" xfId="14560" xr:uid="{00000000-0005-0000-0000-0000CF380000}"/>
    <cellStyle name="Normal 2 60 3 6 2" xfId="14561" xr:uid="{00000000-0005-0000-0000-0000D0380000}"/>
    <cellStyle name="Normal 2 60 3 6 3" xfId="14562" xr:uid="{00000000-0005-0000-0000-0000D1380000}"/>
    <cellStyle name="Normal 2 60 3 7" xfId="14563" xr:uid="{00000000-0005-0000-0000-0000D2380000}"/>
    <cellStyle name="Normal 2 60 3 7 2" xfId="14564" xr:uid="{00000000-0005-0000-0000-0000D3380000}"/>
    <cellStyle name="Normal 2 60 3 7 3" xfId="14565" xr:uid="{00000000-0005-0000-0000-0000D4380000}"/>
    <cellStyle name="Normal 2 60 3 8" xfId="14566" xr:uid="{00000000-0005-0000-0000-0000D5380000}"/>
    <cellStyle name="Normal 2 60 3 8 2" xfId="14567" xr:uid="{00000000-0005-0000-0000-0000D6380000}"/>
    <cellStyle name="Normal 2 60 3 8 3" xfId="14568" xr:uid="{00000000-0005-0000-0000-0000D7380000}"/>
    <cellStyle name="Normal 2 60 3 9" xfId="14569" xr:uid="{00000000-0005-0000-0000-0000D8380000}"/>
    <cellStyle name="Normal 2 60 3 9 2" xfId="14570" xr:uid="{00000000-0005-0000-0000-0000D9380000}"/>
    <cellStyle name="Normal 2 60 3 9 3" xfId="14571" xr:uid="{00000000-0005-0000-0000-0000DA380000}"/>
    <cellStyle name="Normal 2 60 4" xfId="14572" xr:uid="{00000000-0005-0000-0000-0000DB380000}"/>
    <cellStyle name="Normal 2 60 4 10" xfId="14573" xr:uid="{00000000-0005-0000-0000-0000DC380000}"/>
    <cellStyle name="Normal 2 60 4 10 2" xfId="14574" xr:uid="{00000000-0005-0000-0000-0000DD380000}"/>
    <cellStyle name="Normal 2 60 4 10 3" xfId="14575" xr:uid="{00000000-0005-0000-0000-0000DE380000}"/>
    <cellStyle name="Normal 2 60 4 11" xfId="14576" xr:uid="{00000000-0005-0000-0000-0000DF380000}"/>
    <cellStyle name="Normal 2 60 4 11 2" xfId="14577" xr:uid="{00000000-0005-0000-0000-0000E0380000}"/>
    <cellStyle name="Normal 2 60 4 11 3" xfId="14578" xr:uid="{00000000-0005-0000-0000-0000E1380000}"/>
    <cellStyle name="Normal 2 60 4 12" xfId="14579" xr:uid="{00000000-0005-0000-0000-0000E2380000}"/>
    <cellStyle name="Normal 2 60 4 12 2" xfId="14580" xr:uid="{00000000-0005-0000-0000-0000E3380000}"/>
    <cellStyle name="Normal 2 60 4 12 3" xfId="14581" xr:uid="{00000000-0005-0000-0000-0000E4380000}"/>
    <cellStyle name="Normal 2 60 4 13" xfId="14582" xr:uid="{00000000-0005-0000-0000-0000E5380000}"/>
    <cellStyle name="Normal 2 60 4 13 2" xfId="14583" xr:uid="{00000000-0005-0000-0000-0000E6380000}"/>
    <cellStyle name="Normal 2 60 4 13 3" xfId="14584" xr:uid="{00000000-0005-0000-0000-0000E7380000}"/>
    <cellStyle name="Normal 2 60 4 14" xfId="14585" xr:uid="{00000000-0005-0000-0000-0000E8380000}"/>
    <cellStyle name="Normal 2 60 4 14 2" xfId="14586" xr:uid="{00000000-0005-0000-0000-0000E9380000}"/>
    <cellStyle name="Normal 2 60 4 14 3" xfId="14587" xr:uid="{00000000-0005-0000-0000-0000EA380000}"/>
    <cellStyle name="Normal 2 60 4 15" xfId="14588" xr:uid="{00000000-0005-0000-0000-0000EB380000}"/>
    <cellStyle name="Normal 2 60 4 15 2" xfId="14589" xr:uid="{00000000-0005-0000-0000-0000EC380000}"/>
    <cellStyle name="Normal 2 60 4 15 3" xfId="14590" xr:uid="{00000000-0005-0000-0000-0000ED380000}"/>
    <cellStyle name="Normal 2 60 4 16" xfId="14591" xr:uid="{00000000-0005-0000-0000-0000EE380000}"/>
    <cellStyle name="Normal 2 60 4 17" xfId="14592" xr:uid="{00000000-0005-0000-0000-0000EF380000}"/>
    <cellStyle name="Normal 2 60 4 2" xfId="14593" xr:uid="{00000000-0005-0000-0000-0000F0380000}"/>
    <cellStyle name="Normal 2 60 4 2 10" xfId="14594" xr:uid="{00000000-0005-0000-0000-0000F1380000}"/>
    <cellStyle name="Normal 2 60 4 2 10 2" xfId="14595" xr:uid="{00000000-0005-0000-0000-0000F2380000}"/>
    <cellStyle name="Normal 2 60 4 2 10 3" xfId="14596" xr:uid="{00000000-0005-0000-0000-0000F3380000}"/>
    <cellStyle name="Normal 2 60 4 2 11" xfId="14597" xr:uid="{00000000-0005-0000-0000-0000F4380000}"/>
    <cellStyle name="Normal 2 60 4 2 11 2" xfId="14598" xr:uid="{00000000-0005-0000-0000-0000F5380000}"/>
    <cellStyle name="Normal 2 60 4 2 11 3" xfId="14599" xr:uid="{00000000-0005-0000-0000-0000F6380000}"/>
    <cellStyle name="Normal 2 60 4 2 12" xfId="14600" xr:uid="{00000000-0005-0000-0000-0000F7380000}"/>
    <cellStyle name="Normal 2 60 4 2 12 2" xfId="14601" xr:uid="{00000000-0005-0000-0000-0000F8380000}"/>
    <cellStyle name="Normal 2 60 4 2 12 3" xfId="14602" xr:uid="{00000000-0005-0000-0000-0000F9380000}"/>
    <cellStyle name="Normal 2 60 4 2 13" xfId="14603" xr:uid="{00000000-0005-0000-0000-0000FA380000}"/>
    <cellStyle name="Normal 2 60 4 2 13 2" xfId="14604" xr:uid="{00000000-0005-0000-0000-0000FB380000}"/>
    <cellStyle name="Normal 2 60 4 2 13 3" xfId="14605" xr:uid="{00000000-0005-0000-0000-0000FC380000}"/>
    <cellStyle name="Normal 2 60 4 2 14" xfId="14606" xr:uid="{00000000-0005-0000-0000-0000FD380000}"/>
    <cellStyle name="Normal 2 60 4 2 14 2" xfId="14607" xr:uid="{00000000-0005-0000-0000-0000FE380000}"/>
    <cellStyle name="Normal 2 60 4 2 14 3" xfId="14608" xr:uid="{00000000-0005-0000-0000-0000FF380000}"/>
    <cellStyle name="Normal 2 60 4 2 15" xfId="14609" xr:uid="{00000000-0005-0000-0000-000000390000}"/>
    <cellStyle name="Normal 2 60 4 2 16" xfId="14610" xr:uid="{00000000-0005-0000-0000-000001390000}"/>
    <cellStyle name="Normal 2 60 4 2 2" xfId="14611" xr:uid="{00000000-0005-0000-0000-000002390000}"/>
    <cellStyle name="Normal 2 60 4 2 2 2" xfId="14612" xr:uid="{00000000-0005-0000-0000-000003390000}"/>
    <cellStyle name="Normal 2 60 4 2 2 3" xfId="14613" xr:uid="{00000000-0005-0000-0000-000004390000}"/>
    <cellStyle name="Normal 2 60 4 2 3" xfId="14614" xr:uid="{00000000-0005-0000-0000-000005390000}"/>
    <cellStyle name="Normal 2 60 4 2 3 2" xfId="14615" xr:uid="{00000000-0005-0000-0000-000006390000}"/>
    <cellStyle name="Normal 2 60 4 2 3 3" xfId="14616" xr:uid="{00000000-0005-0000-0000-000007390000}"/>
    <cellStyle name="Normal 2 60 4 2 4" xfId="14617" xr:uid="{00000000-0005-0000-0000-000008390000}"/>
    <cellStyle name="Normal 2 60 4 2 4 2" xfId="14618" xr:uid="{00000000-0005-0000-0000-000009390000}"/>
    <cellStyle name="Normal 2 60 4 2 4 3" xfId="14619" xr:uid="{00000000-0005-0000-0000-00000A390000}"/>
    <cellStyle name="Normal 2 60 4 2 5" xfId="14620" xr:uid="{00000000-0005-0000-0000-00000B390000}"/>
    <cellStyle name="Normal 2 60 4 2 5 2" xfId="14621" xr:uid="{00000000-0005-0000-0000-00000C390000}"/>
    <cellStyle name="Normal 2 60 4 2 5 3" xfId="14622" xr:uid="{00000000-0005-0000-0000-00000D390000}"/>
    <cellStyle name="Normal 2 60 4 2 6" xfId="14623" xr:uid="{00000000-0005-0000-0000-00000E390000}"/>
    <cellStyle name="Normal 2 60 4 2 6 2" xfId="14624" xr:uid="{00000000-0005-0000-0000-00000F390000}"/>
    <cellStyle name="Normal 2 60 4 2 6 3" xfId="14625" xr:uid="{00000000-0005-0000-0000-000010390000}"/>
    <cellStyle name="Normal 2 60 4 2 7" xfId="14626" xr:uid="{00000000-0005-0000-0000-000011390000}"/>
    <cellStyle name="Normal 2 60 4 2 7 2" xfId="14627" xr:uid="{00000000-0005-0000-0000-000012390000}"/>
    <cellStyle name="Normal 2 60 4 2 7 3" xfId="14628" xr:uid="{00000000-0005-0000-0000-000013390000}"/>
    <cellStyle name="Normal 2 60 4 2 8" xfId="14629" xr:uid="{00000000-0005-0000-0000-000014390000}"/>
    <cellStyle name="Normal 2 60 4 2 8 2" xfId="14630" xr:uid="{00000000-0005-0000-0000-000015390000}"/>
    <cellStyle name="Normal 2 60 4 2 8 3" xfId="14631" xr:uid="{00000000-0005-0000-0000-000016390000}"/>
    <cellStyle name="Normal 2 60 4 2 9" xfId="14632" xr:uid="{00000000-0005-0000-0000-000017390000}"/>
    <cellStyle name="Normal 2 60 4 2 9 2" xfId="14633" xr:uid="{00000000-0005-0000-0000-000018390000}"/>
    <cellStyle name="Normal 2 60 4 2 9 3" xfId="14634" xr:uid="{00000000-0005-0000-0000-000019390000}"/>
    <cellStyle name="Normal 2 60 4 3" xfId="14635" xr:uid="{00000000-0005-0000-0000-00001A390000}"/>
    <cellStyle name="Normal 2 60 4 3 2" xfId="14636" xr:uid="{00000000-0005-0000-0000-00001B390000}"/>
    <cellStyle name="Normal 2 60 4 3 3" xfId="14637" xr:uid="{00000000-0005-0000-0000-00001C390000}"/>
    <cellStyle name="Normal 2 60 4 4" xfId="14638" xr:uid="{00000000-0005-0000-0000-00001D390000}"/>
    <cellStyle name="Normal 2 60 4 4 2" xfId="14639" xr:uid="{00000000-0005-0000-0000-00001E390000}"/>
    <cellStyle name="Normal 2 60 4 4 3" xfId="14640" xr:uid="{00000000-0005-0000-0000-00001F390000}"/>
    <cellStyle name="Normal 2 60 4 5" xfId="14641" xr:uid="{00000000-0005-0000-0000-000020390000}"/>
    <cellStyle name="Normal 2 60 4 5 2" xfId="14642" xr:uid="{00000000-0005-0000-0000-000021390000}"/>
    <cellStyle name="Normal 2 60 4 5 3" xfId="14643" xr:uid="{00000000-0005-0000-0000-000022390000}"/>
    <cellStyle name="Normal 2 60 4 6" xfId="14644" xr:uid="{00000000-0005-0000-0000-000023390000}"/>
    <cellStyle name="Normal 2 60 4 6 2" xfId="14645" xr:uid="{00000000-0005-0000-0000-000024390000}"/>
    <cellStyle name="Normal 2 60 4 6 3" xfId="14646" xr:uid="{00000000-0005-0000-0000-000025390000}"/>
    <cellStyle name="Normal 2 60 4 7" xfId="14647" xr:uid="{00000000-0005-0000-0000-000026390000}"/>
    <cellStyle name="Normal 2 60 4 7 2" xfId="14648" xr:uid="{00000000-0005-0000-0000-000027390000}"/>
    <cellStyle name="Normal 2 60 4 7 3" xfId="14649" xr:uid="{00000000-0005-0000-0000-000028390000}"/>
    <cellStyle name="Normal 2 60 4 8" xfId="14650" xr:uid="{00000000-0005-0000-0000-000029390000}"/>
    <cellStyle name="Normal 2 60 4 8 2" xfId="14651" xr:uid="{00000000-0005-0000-0000-00002A390000}"/>
    <cellStyle name="Normal 2 60 4 8 3" xfId="14652" xr:uid="{00000000-0005-0000-0000-00002B390000}"/>
    <cellStyle name="Normal 2 60 4 9" xfId="14653" xr:uid="{00000000-0005-0000-0000-00002C390000}"/>
    <cellStyle name="Normal 2 60 4 9 2" xfId="14654" xr:uid="{00000000-0005-0000-0000-00002D390000}"/>
    <cellStyle name="Normal 2 60 4 9 3" xfId="14655" xr:uid="{00000000-0005-0000-0000-00002E390000}"/>
    <cellStyle name="Normal 2 60 5" xfId="14656" xr:uid="{00000000-0005-0000-0000-00002F390000}"/>
    <cellStyle name="Normal 2 60 5 10" xfId="14657" xr:uid="{00000000-0005-0000-0000-000030390000}"/>
    <cellStyle name="Normal 2 60 5 10 2" xfId="14658" xr:uid="{00000000-0005-0000-0000-000031390000}"/>
    <cellStyle name="Normal 2 60 5 10 3" xfId="14659" xr:uid="{00000000-0005-0000-0000-000032390000}"/>
    <cellStyle name="Normal 2 60 5 11" xfId="14660" xr:uid="{00000000-0005-0000-0000-000033390000}"/>
    <cellStyle name="Normal 2 60 5 11 2" xfId="14661" xr:uid="{00000000-0005-0000-0000-000034390000}"/>
    <cellStyle name="Normal 2 60 5 11 3" xfId="14662" xr:uid="{00000000-0005-0000-0000-000035390000}"/>
    <cellStyle name="Normal 2 60 5 12" xfId="14663" xr:uid="{00000000-0005-0000-0000-000036390000}"/>
    <cellStyle name="Normal 2 60 5 12 2" xfId="14664" xr:uid="{00000000-0005-0000-0000-000037390000}"/>
    <cellStyle name="Normal 2 60 5 12 3" xfId="14665" xr:uid="{00000000-0005-0000-0000-000038390000}"/>
    <cellStyle name="Normal 2 60 5 13" xfId="14666" xr:uid="{00000000-0005-0000-0000-000039390000}"/>
    <cellStyle name="Normal 2 60 5 13 2" xfId="14667" xr:uid="{00000000-0005-0000-0000-00003A390000}"/>
    <cellStyle name="Normal 2 60 5 13 3" xfId="14668" xr:uid="{00000000-0005-0000-0000-00003B390000}"/>
    <cellStyle name="Normal 2 60 5 14" xfId="14669" xr:uid="{00000000-0005-0000-0000-00003C390000}"/>
    <cellStyle name="Normal 2 60 5 14 2" xfId="14670" xr:uid="{00000000-0005-0000-0000-00003D390000}"/>
    <cellStyle name="Normal 2 60 5 14 3" xfId="14671" xr:uid="{00000000-0005-0000-0000-00003E390000}"/>
    <cellStyle name="Normal 2 60 5 15" xfId="14672" xr:uid="{00000000-0005-0000-0000-00003F390000}"/>
    <cellStyle name="Normal 2 60 5 16" xfId="14673" xr:uid="{00000000-0005-0000-0000-000040390000}"/>
    <cellStyle name="Normal 2 60 5 2" xfId="14674" xr:uid="{00000000-0005-0000-0000-000041390000}"/>
    <cellStyle name="Normal 2 60 5 2 2" xfId="14675" xr:uid="{00000000-0005-0000-0000-000042390000}"/>
    <cellStyle name="Normal 2 60 5 2 3" xfId="14676" xr:uid="{00000000-0005-0000-0000-000043390000}"/>
    <cellStyle name="Normal 2 60 5 3" xfId="14677" xr:uid="{00000000-0005-0000-0000-000044390000}"/>
    <cellStyle name="Normal 2 60 5 3 2" xfId="14678" xr:uid="{00000000-0005-0000-0000-000045390000}"/>
    <cellStyle name="Normal 2 60 5 3 3" xfId="14679" xr:uid="{00000000-0005-0000-0000-000046390000}"/>
    <cellStyle name="Normal 2 60 5 4" xfId="14680" xr:uid="{00000000-0005-0000-0000-000047390000}"/>
    <cellStyle name="Normal 2 60 5 4 2" xfId="14681" xr:uid="{00000000-0005-0000-0000-000048390000}"/>
    <cellStyle name="Normal 2 60 5 4 3" xfId="14682" xr:uid="{00000000-0005-0000-0000-000049390000}"/>
    <cellStyle name="Normal 2 60 5 5" xfId="14683" xr:uid="{00000000-0005-0000-0000-00004A390000}"/>
    <cellStyle name="Normal 2 60 5 5 2" xfId="14684" xr:uid="{00000000-0005-0000-0000-00004B390000}"/>
    <cellStyle name="Normal 2 60 5 5 3" xfId="14685" xr:uid="{00000000-0005-0000-0000-00004C390000}"/>
    <cellStyle name="Normal 2 60 5 6" xfId="14686" xr:uid="{00000000-0005-0000-0000-00004D390000}"/>
    <cellStyle name="Normal 2 60 5 6 2" xfId="14687" xr:uid="{00000000-0005-0000-0000-00004E390000}"/>
    <cellStyle name="Normal 2 60 5 6 3" xfId="14688" xr:uid="{00000000-0005-0000-0000-00004F390000}"/>
    <cellStyle name="Normal 2 60 5 7" xfId="14689" xr:uid="{00000000-0005-0000-0000-000050390000}"/>
    <cellStyle name="Normal 2 60 5 7 2" xfId="14690" xr:uid="{00000000-0005-0000-0000-000051390000}"/>
    <cellStyle name="Normal 2 60 5 7 3" xfId="14691" xr:uid="{00000000-0005-0000-0000-000052390000}"/>
    <cellStyle name="Normal 2 60 5 8" xfId="14692" xr:uid="{00000000-0005-0000-0000-000053390000}"/>
    <cellStyle name="Normal 2 60 5 8 2" xfId="14693" xr:uid="{00000000-0005-0000-0000-000054390000}"/>
    <cellStyle name="Normal 2 60 5 8 3" xfId="14694" xr:uid="{00000000-0005-0000-0000-000055390000}"/>
    <cellStyle name="Normal 2 60 5 9" xfId="14695" xr:uid="{00000000-0005-0000-0000-000056390000}"/>
    <cellStyle name="Normal 2 60 5 9 2" xfId="14696" xr:uid="{00000000-0005-0000-0000-000057390000}"/>
    <cellStyle name="Normal 2 60 5 9 3" xfId="14697" xr:uid="{00000000-0005-0000-0000-000058390000}"/>
    <cellStyle name="Normal 2 60 6" xfId="14698" xr:uid="{00000000-0005-0000-0000-000059390000}"/>
    <cellStyle name="Normal 2 60 6 10" xfId="14699" xr:uid="{00000000-0005-0000-0000-00005A390000}"/>
    <cellStyle name="Normal 2 60 6 10 2" xfId="14700" xr:uid="{00000000-0005-0000-0000-00005B390000}"/>
    <cellStyle name="Normal 2 60 6 10 3" xfId="14701" xr:uid="{00000000-0005-0000-0000-00005C390000}"/>
    <cellStyle name="Normal 2 60 6 11" xfId="14702" xr:uid="{00000000-0005-0000-0000-00005D390000}"/>
    <cellStyle name="Normal 2 60 6 11 2" xfId="14703" xr:uid="{00000000-0005-0000-0000-00005E390000}"/>
    <cellStyle name="Normal 2 60 6 11 3" xfId="14704" xr:uid="{00000000-0005-0000-0000-00005F390000}"/>
    <cellStyle name="Normal 2 60 6 12" xfId="14705" xr:uid="{00000000-0005-0000-0000-000060390000}"/>
    <cellStyle name="Normal 2 60 6 12 2" xfId="14706" xr:uid="{00000000-0005-0000-0000-000061390000}"/>
    <cellStyle name="Normal 2 60 6 12 3" xfId="14707" xr:uid="{00000000-0005-0000-0000-000062390000}"/>
    <cellStyle name="Normal 2 60 6 13" xfId="14708" xr:uid="{00000000-0005-0000-0000-000063390000}"/>
    <cellStyle name="Normal 2 60 6 13 2" xfId="14709" xr:uid="{00000000-0005-0000-0000-000064390000}"/>
    <cellStyle name="Normal 2 60 6 13 3" xfId="14710" xr:uid="{00000000-0005-0000-0000-000065390000}"/>
    <cellStyle name="Normal 2 60 6 14" xfId="14711" xr:uid="{00000000-0005-0000-0000-000066390000}"/>
    <cellStyle name="Normal 2 60 6 14 2" xfId="14712" xr:uid="{00000000-0005-0000-0000-000067390000}"/>
    <cellStyle name="Normal 2 60 6 14 3" xfId="14713" xr:uid="{00000000-0005-0000-0000-000068390000}"/>
    <cellStyle name="Normal 2 60 6 15" xfId="14714" xr:uid="{00000000-0005-0000-0000-000069390000}"/>
    <cellStyle name="Normal 2 60 6 16" xfId="14715" xr:uid="{00000000-0005-0000-0000-00006A390000}"/>
    <cellStyle name="Normal 2 60 6 2" xfId="14716" xr:uid="{00000000-0005-0000-0000-00006B390000}"/>
    <cellStyle name="Normal 2 60 6 2 2" xfId="14717" xr:uid="{00000000-0005-0000-0000-00006C390000}"/>
    <cellStyle name="Normal 2 60 6 2 3" xfId="14718" xr:uid="{00000000-0005-0000-0000-00006D390000}"/>
    <cellStyle name="Normal 2 60 6 3" xfId="14719" xr:uid="{00000000-0005-0000-0000-00006E390000}"/>
    <cellStyle name="Normal 2 60 6 3 2" xfId="14720" xr:uid="{00000000-0005-0000-0000-00006F390000}"/>
    <cellStyle name="Normal 2 60 6 3 3" xfId="14721" xr:uid="{00000000-0005-0000-0000-000070390000}"/>
    <cellStyle name="Normal 2 60 6 4" xfId="14722" xr:uid="{00000000-0005-0000-0000-000071390000}"/>
    <cellStyle name="Normal 2 60 6 4 2" xfId="14723" xr:uid="{00000000-0005-0000-0000-000072390000}"/>
    <cellStyle name="Normal 2 60 6 4 3" xfId="14724" xr:uid="{00000000-0005-0000-0000-000073390000}"/>
    <cellStyle name="Normal 2 60 6 5" xfId="14725" xr:uid="{00000000-0005-0000-0000-000074390000}"/>
    <cellStyle name="Normal 2 60 6 5 2" xfId="14726" xr:uid="{00000000-0005-0000-0000-000075390000}"/>
    <cellStyle name="Normal 2 60 6 5 3" xfId="14727" xr:uid="{00000000-0005-0000-0000-000076390000}"/>
    <cellStyle name="Normal 2 60 6 6" xfId="14728" xr:uid="{00000000-0005-0000-0000-000077390000}"/>
    <cellStyle name="Normal 2 60 6 6 2" xfId="14729" xr:uid="{00000000-0005-0000-0000-000078390000}"/>
    <cellStyle name="Normal 2 60 6 6 3" xfId="14730" xr:uid="{00000000-0005-0000-0000-000079390000}"/>
    <cellStyle name="Normal 2 60 6 7" xfId="14731" xr:uid="{00000000-0005-0000-0000-00007A390000}"/>
    <cellStyle name="Normal 2 60 6 7 2" xfId="14732" xr:uid="{00000000-0005-0000-0000-00007B390000}"/>
    <cellStyle name="Normal 2 60 6 7 3" xfId="14733" xr:uid="{00000000-0005-0000-0000-00007C390000}"/>
    <cellStyle name="Normal 2 60 6 8" xfId="14734" xr:uid="{00000000-0005-0000-0000-00007D390000}"/>
    <cellStyle name="Normal 2 60 6 8 2" xfId="14735" xr:uid="{00000000-0005-0000-0000-00007E390000}"/>
    <cellStyle name="Normal 2 60 6 8 3" xfId="14736" xr:uid="{00000000-0005-0000-0000-00007F390000}"/>
    <cellStyle name="Normal 2 60 6 9" xfId="14737" xr:uid="{00000000-0005-0000-0000-000080390000}"/>
    <cellStyle name="Normal 2 60 6 9 2" xfId="14738" xr:uid="{00000000-0005-0000-0000-000081390000}"/>
    <cellStyle name="Normal 2 60 6 9 3" xfId="14739" xr:uid="{00000000-0005-0000-0000-000082390000}"/>
    <cellStyle name="Normal 2 60 7" xfId="14740" xr:uid="{00000000-0005-0000-0000-000083390000}"/>
    <cellStyle name="Normal 2 60 7 10" xfId="14741" xr:uid="{00000000-0005-0000-0000-000084390000}"/>
    <cellStyle name="Normal 2 60 7 10 2" xfId="14742" xr:uid="{00000000-0005-0000-0000-000085390000}"/>
    <cellStyle name="Normal 2 60 7 10 3" xfId="14743" xr:uid="{00000000-0005-0000-0000-000086390000}"/>
    <cellStyle name="Normal 2 60 7 11" xfId="14744" xr:uid="{00000000-0005-0000-0000-000087390000}"/>
    <cellStyle name="Normal 2 60 7 11 2" xfId="14745" xr:uid="{00000000-0005-0000-0000-000088390000}"/>
    <cellStyle name="Normal 2 60 7 11 3" xfId="14746" xr:uid="{00000000-0005-0000-0000-000089390000}"/>
    <cellStyle name="Normal 2 60 7 12" xfId="14747" xr:uid="{00000000-0005-0000-0000-00008A390000}"/>
    <cellStyle name="Normal 2 60 7 12 2" xfId="14748" xr:uid="{00000000-0005-0000-0000-00008B390000}"/>
    <cellStyle name="Normal 2 60 7 12 3" xfId="14749" xr:uid="{00000000-0005-0000-0000-00008C390000}"/>
    <cellStyle name="Normal 2 60 7 13" xfId="14750" xr:uid="{00000000-0005-0000-0000-00008D390000}"/>
    <cellStyle name="Normal 2 60 7 13 2" xfId="14751" xr:uid="{00000000-0005-0000-0000-00008E390000}"/>
    <cellStyle name="Normal 2 60 7 13 3" xfId="14752" xr:uid="{00000000-0005-0000-0000-00008F390000}"/>
    <cellStyle name="Normal 2 60 7 14" xfId="14753" xr:uid="{00000000-0005-0000-0000-000090390000}"/>
    <cellStyle name="Normal 2 60 7 14 2" xfId="14754" xr:uid="{00000000-0005-0000-0000-000091390000}"/>
    <cellStyle name="Normal 2 60 7 14 3" xfId="14755" xr:uid="{00000000-0005-0000-0000-000092390000}"/>
    <cellStyle name="Normal 2 60 7 15" xfId="14756" xr:uid="{00000000-0005-0000-0000-000093390000}"/>
    <cellStyle name="Normal 2 60 7 16" xfId="14757" xr:uid="{00000000-0005-0000-0000-000094390000}"/>
    <cellStyle name="Normal 2 60 7 2" xfId="14758" xr:uid="{00000000-0005-0000-0000-000095390000}"/>
    <cellStyle name="Normal 2 60 7 2 2" xfId="14759" xr:uid="{00000000-0005-0000-0000-000096390000}"/>
    <cellStyle name="Normal 2 60 7 2 3" xfId="14760" xr:uid="{00000000-0005-0000-0000-000097390000}"/>
    <cellStyle name="Normal 2 60 7 3" xfId="14761" xr:uid="{00000000-0005-0000-0000-000098390000}"/>
    <cellStyle name="Normal 2 60 7 3 2" xfId="14762" xr:uid="{00000000-0005-0000-0000-000099390000}"/>
    <cellStyle name="Normal 2 60 7 3 3" xfId="14763" xr:uid="{00000000-0005-0000-0000-00009A390000}"/>
    <cellStyle name="Normal 2 60 7 4" xfId="14764" xr:uid="{00000000-0005-0000-0000-00009B390000}"/>
    <cellStyle name="Normal 2 60 7 4 2" xfId="14765" xr:uid="{00000000-0005-0000-0000-00009C390000}"/>
    <cellStyle name="Normal 2 60 7 4 3" xfId="14766" xr:uid="{00000000-0005-0000-0000-00009D390000}"/>
    <cellStyle name="Normal 2 60 7 5" xfId="14767" xr:uid="{00000000-0005-0000-0000-00009E390000}"/>
    <cellStyle name="Normal 2 60 7 5 2" xfId="14768" xr:uid="{00000000-0005-0000-0000-00009F390000}"/>
    <cellStyle name="Normal 2 60 7 5 3" xfId="14769" xr:uid="{00000000-0005-0000-0000-0000A0390000}"/>
    <cellStyle name="Normal 2 60 7 6" xfId="14770" xr:uid="{00000000-0005-0000-0000-0000A1390000}"/>
    <cellStyle name="Normal 2 60 7 6 2" xfId="14771" xr:uid="{00000000-0005-0000-0000-0000A2390000}"/>
    <cellStyle name="Normal 2 60 7 6 3" xfId="14772" xr:uid="{00000000-0005-0000-0000-0000A3390000}"/>
    <cellStyle name="Normal 2 60 7 7" xfId="14773" xr:uid="{00000000-0005-0000-0000-0000A4390000}"/>
    <cellStyle name="Normal 2 60 7 7 2" xfId="14774" xr:uid="{00000000-0005-0000-0000-0000A5390000}"/>
    <cellStyle name="Normal 2 60 7 7 3" xfId="14775" xr:uid="{00000000-0005-0000-0000-0000A6390000}"/>
    <cellStyle name="Normal 2 60 7 8" xfId="14776" xr:uid="{00000000-0005-0000-0000-0000A7390000}"/>
    <cellStyle name="Normal 2 60 7 8 2" xfId="14777" xr:uid="{00000000-0005-0000-0000-0000A8390000}"/>
    <cellStyle name="Normal 2 60 7 8 3" xfId="14778" xr:uid="{00000000-0005-0000-0000-0000A9390000}"/>
    <cellStyle name="Normal 2 60 7 9" xfId="14779" xr:uid="{00000000-0005-0000-0000-0000AA390000}"/>
    <cellStyle name="Normal 2 60 7 9 2" xfId="14780" xr:uid="{00000000-0005-0000-0000-0000AB390000}"/>
    <cellStyle name="Normal 2 60 7 9 3" xfId="14781" xr:uid="{00000000-0005-0000-0000-0000AC390000}"/>
    <cellStyle name="Normal 2 60 8" xfId="14782" xr:uid="{00000000-0005-0000-0000-0000AD390000}"/>
    <cellStyle name="Normal 2 60 8 10" xfId="14783" xr:uid="{00000000-0005-0000-0000-0000AE390000}"/>
    <cellStyle name="Normal 2 60 8 10 2" xfId="14784" xr:uid="{00000000-0005-0000-0000-0000AF390000}"/>
    <cellStyle name="Normal 2 60 8 10 3" xfId="14785" xr:uid="{00000000-0005-0000-0000-0000B0390000}"/>
    <cellStyle name="Normal 2 60 8 11" xfId="14786" xr:uid="{00000000-0005-0000-0000-0000B1390000}"/>
    <cellStyle name="Normal 2 60 8 11 2" xfId="14787" xr:uid="{00000000-0005-0000-0000-0000B2390000}"/>
    <cellStyle name="Normal 2 60 8 11 3" xfId="14788" xr:uid="{00000000-0005-0000-0000-0000B3390000}"/>
    <cellStyle name="Normal 2 60 8 12" xfId="14789" xr:uid="{00000000-0005-0000-0000-0000B4390000}"/>
    <cellStyle name="Normal 2 60 8 12 2" xfId="14790" xr:uid="{00000000-0005-0000-0000-0000B5390000}"/>
    <cellStyle name="Normal 2 60 8 12 3" xfId="14791" xr:uid="{00000000-0005-0000-0000-0000B6390000}"/>
    <cellStyle name="Normal 2 60 8 13" xfId="14792" xr:uid="{00000000-0005-0000-0000-0000B7390000}"/>
    <cellStyle name="Normal 2 60 8 13 2" xfId="14793" xr:uid="{00000000-0005-0000-0000-0000B8390000}"/>
    <cellStyle name="Normal 2 60 8 13 3" xfId="14794" xr:uid="{00000000-0005-0000-0000-0000B9390000}"/>
    <cellStyle name="Normal 2 60 8 14" xfId="14795" xr:uid="{00000000-0005-0000-0000-0000BA390000}"/>
    <cellStyle name="Normal 2 60 8 14 2" xfId="14796" xr:uid="{00000000-0005-0000-0000-0000BB390000}"/>
    <cellStyle name="Normal 2 60 8 14 3" xfId="14797" xr:uid="{00000000-0005-0000-0000-0000BC390000}"/>
    <cellStyle name="Normal 2 60 8 15" xfId="14798" xr:uid="{00000000-0005-0000-0000-0000BD390000}"/>
    <cellStyle name="Normal 2 60 8 16" xfId="14799" xr:uid="{00000000-0005-0000-0000-0000BE390000}"/>
    <cellStyle name="Normal 2 60 8 2" xfId="14800" xr:uid="{00000000-0005-0000-0000-0000BF390000}"/>
    <cellStyle name="Normal 2 60 8 2 2" xfId="14801" xr:uid="{00000000-0005-0000-0000-0000C0390000}"/>
    <cellStyle name="Normal 2 60 8 2 3" xfId="14802" xr:uid="{00000000-0005-0000-0000-0000C1390000}"/>
    <cellStyle name="Normal 2 60 8 3" xfId="14803" xr:uid="{00000000-0005-0000-0000-0000C2390000}"/>
    <cellStyle name="Normal 2 60 8 3 2" xfId="14804" xr:uid="{00000000-0005-0000-0000-0000C3390000}"/>
    <cellStyle name="Normal 2 60 8 3 3" xfId="14805" xr:uid="{00000000-0005-0000-0000-0000C4390000}"/>
    <cellStyle name="Normal 2 60 8 4" xfId="14806" xr:uid="{00000000-0005-0000-0000-0000C5390000}"/>
    <cellStyle name="Normal 2 60 8 4 2" xfId="14807" xr:uid="{00000000-0005-0000-0000-0000C6390000}"/>
    <cellStyle name="Normal 2 60 8 4 3" xfId="14808" xr:uid="{00000000-0005-0000-0000-0000C7390000}"/>
    <cellStyle name="Normal 2 60 8 5" xfId="14809" xr:uid="{00000000-0005-0000-0000-0000C8390000}"/>
    <cellStyle name="Normal 2 60 8 5 2" xfId="14810" xr:uid="{00000000-0005-0000-0000-0000C9390000}"/>
    <cellStyle name="Normal 2 60 8 5 3" xfId="14811" xr:uid="{00000000-0005-0000-0000-0000CA390000}"/>
    <cellStyle name="Normal 2 60 8 6" xfId="14812" xr:uid="{00000000-0005-0000-0000-0000CB390000}"/>
    <cellStyle name="Normal 2 60 8 6 2" xfId="14813" xr:uid="{00000000-0005-0000-0000-0000CC390000}"/>
    <cellStyle name="Normal 2 60 8 6 3" xfId="14814" xr:uid="{00000000-0005-0000-0000-0000CD390000}"/>
    <cellStyle name="Normal 2 60 8 7" xfId="14815" xr:uid="{00000000-0005-0000-0000-0000CE390000}"/>
    <cellStyle name="Normal 2 60 8 7 2" xfId="14816" xr:uid="{00000000-0005-0000-0000-0000CF390000}"/>
    <cellStyle name="Normal 2 60 8 7 3" xfId="14817" xr:uid="{00000000-0005-0000-0000-0000D0390000}"/>
    <cellStyle name="Normal 2 60 8 8" xfId="14818" xr:uid="{00000000-0005-0000-0000-0000D1390000}"/>
    <cellStyle name="Normal 2 60 8 8 2" xfId="14819" xr:uid="{00000000-0005-0000-0000-0000D2390000}"/>
    <cellStyle name="Normal 2 60 8 8 3" xfId="14820" xr:uid="{00000000-0005-0000-0000-0000D3390000}"/>
    <cellStyle name="Normal 2 60 8 9" xfId="14821" xr:uid="{00000000-0005-0000-0000-0000D4390000}"/>
    <cellStyle name="Normal 2 60 8 9 2" xfId="14822" xr:uid="{00000000-0005-0000-0000-0000D5390000}"/>
    <cellStyle name="Normal 2 60 8 9 3" xfId="14823" xr:uid="{00000000-0005-0000-0000-0000D6390000}"/>
    <cellStyle name="Normal 2 60 9" xfId="14824" xr:uid="{00000000-0005-0000-0000-0000D7390000}"/>
    <cellStyle name="Normal 2 60 9 10" xfId="14825" xr:uid="{00000000-0005-0000-0000-0000D8390000}"/>
    <cellStyle name="Normal 2 60 9 10 2" xfId="14826" xr:uid="{00000000-0005-0000-0000-0000D9390000}"/>
    <cellStyle name="Normal 2 60 9 10 3" xfId="14827" xr:uid="{00000000-0005-0000-0000-0000DA390000}"/>
    <cellStyle name="Normal 2 60 9 11" xfId="14828" xr:uid="{00000000-0005-0000-0000-0000DB390000}"/>
    <cellStyle name="Normal 2 60 9 11 2" xfId="14829" xr:uid="{00000000-0005-0000-0000-0000DC390000}"/>
    <cellStyle name="Normal 2 60 9 11 3" xfId="14830" xr:uid="{00000000-0005-0000-0000-0000DD390000}"/>
    <cellStyle name="Normal 2 60 9 12" xfId="14831" xr:uid="{00000000-0005-0000-0000-0000DE390000}"/>
    <cellStyle name="Normal 2 60 9 12 2" xfId="14832" xr:uid="{00000000-0005-0000-0000-0000DF390000}"/>
    <cellStyle name="Normal 2 60 9 12 3" xfId="14833" xr:uid="{00000000-0005-0000-0000-0000E0390000}"/>
    <cellStyle name="Normal 2 60 9 13" xfId="14834" xr:uid="{00000000-0005-0000-0000-0000E1390000}"/>
    <cellStyle name="Normal 2 60 9 13 2" xfId="14835" xr:uid="{00000000-0005-0000-0000-0000E2390000}"/>
    <cellStyle name="Normal 2 60 9 13 3" xfId="14836" xr:uid="{00000000-0005-0000-0000-0000E3390000}"/>
    <cellStyle name="Normal 2 60 9 14" xfId="14837" xr:uid="{00000000-0005-0000-0000-0000E4390000}"/>
    <cellStyle name="Normal 2 60 9 14 2" xfId="14838" xr:uid="{00000000-0005-0000-0000-0000E5390000}"/>
    <cellStyle name="Normal 2 60 9 14 3" xfId="14839" xr:uid="{00000000-0005-0000-0000-0000E6390000}"/>
    <cellStyle name="Normal 2 60 9 15" xfId="14840" xr:uid="{00000000-0005-0000-0000-0000E7390000}"/>
    <cellStyle name="Normal 2 60 9 16" xfId="14841" xr:uid="{00000000-0005-0000-0000-0000E8390000}"/>
    <cellStyle name="Normal 2 60 9 2" xfId="14842" xr:uid="{00000000-0005-0000-0000-0000E9390000}"/>
    <cellStyle name="Normal 2 60 9 2 2" xfId="14843" xr:uid="{00000000-0005-0000-0000-0000EA390000}"/>
    <cellStyle name="Normal 2 60 9 2 3" xfId="14844" xr:uid="{00000000-0005-0000-0000-0000EB390000}"/>
    <cellStyle name="Normal 2 60 9 3" xfId="14845" xr:uid="{00000000-0005-0000-0000-0000EC390000}"/>
    <cellStyle name="Normal 2 60 9 3 2" xfId="14846" xr:uid="{00000000-0005-0000-0000-0000ED390000}"/>
    <cellStyle name="Normal 2 60 9 3 3" xfId="14847" xr:uid="{00000000-0005-0000-0000-0000EE390000}"/>
    <cellStyle name="Normal 2 60 9 4" xfId="14848" xr:uid="{00000000-0005-0000-0000-0000EF390000}"/>
    <cellStyle name="Normal 2 60 9 4 2" xfId="14849" xr:uid="{00000000-0005-0000-0000-0000F0390000}"/>
    <cellStyle name="Normal 2 60 9 4 3" xfId="14850" xr:uid="{00000000-0005-0000-0000-0000F1390000}"/>
    <cellStyle name="Normal 2 60 9 5" xfId="14851" xr:uid="{00000000-0005-0000-0000-0000F2390000}"/>
    <cellStyle name="Normal 2 60 9 5 2" xfId="14852" xr:uid="{00000000-0005-0000-0000-0000F3390000}"/>
    <cellStyle name="Normal 2 60 9 5 3" xfId="14853" xr:uid="{00000000-0005-0000-0000-0000F4390000}"/>
    <cellStyle name="Normal 2 60 9 6" xfId="14854" xr:uid="{00000000-0005-0000-0000-0000F5390000}"/>
    <cellStyle name="Normal 2 60 9 6 2" xfId="14855" xr:uid="{00000000-0005-0000-0000-0000F6390000}"/>
    <cellStyle name="Normal 2 60 9 6 3" xfId="14856" xr:uid="{00000000-0005-0000-0000-0000F7390000}"/>
    <cellStyle name="Normal 2 60 9 7" xfId="14857" xr:uid="{00000000-0005-0000-0000-0000F8390000}"/>
    <cellStyle name="Normal 2 60 9 7 2" xfId="14858" xr:uid="{00000000-0005-0000-0000-0000F9390000}"/>
    <cellStyle name="Normal 2 60 9 7 3" xfId="14859" xr:uid="{00000000-0005-0000-0000-0000FA390000}"/>
    <cellStyle name="Normal 2 60 9 8" xfId="14860" xr:uid="{00000000-0005-0000-0000-0000FB390000}"/>
    <cellStyle name="Normal 2 60 9 8 2" xfId="14861" xr:uid="{00000000-0005-0000-0000-0000FC390000}"/>
    <cellStyle name="Normal 2 60 9 8 3" xfId="14862" xr:uid="{00000000-0005-0000-0000-0000FD390000}"/>
    <cellStyle name="Normal 2 60 9 9" xfId="14863" xr:uid="{00000000-0005-0000-0000-0000FE390000}"/>
    <cellStyle name="Normal 2 60 9 9 2" xfId="14864" xr:uid="{00000000-0005-0000-0000-0000FF390000}"/>
    <cellStyle name="Normal 2 60 9 9 3" xfId="14865" xr:uid="{00000000-0005-0000-0000-0000003A0000}"/>
    <cellStyle name="Normal 2 61" xfId="14866" xr:uid="{00000000-0005-0000-0000-0000013A0000}"/>
    <cellStyle name="Normal 2 61 10" xfId="14867" xr:uid="{00000000-0005-0000-0000-0000023A0000}"/>
    <cellStyle name="Normal 2 61 10 10" xfId="14868" xr:uid="{00000000-0005-0000-0000-0000033A0000}"/>
    <cellStyle name="Normal 2 61 10 10 2" xfId="14869" xr:uid="{00000000-0005-0000-0000-0000043A0000}"/>
    <cellStyle name="Normal 2 61 10 10 3" xfId="14870" xr:uid="{00000000-0005-0000-0000-0000053A0000}"/>
    <cellStyle name="Normal 2 61 10 11" xfId="14871" xr:uid="{00000000-0005-0000-0000-0000063A0000}"/>
    <cellStyle name="Normal 2 61 10 11 2" xfId="14872" xr:uid="{00000000-0005-0000-0000-0000073A0000}"/>
    <cellStyle name="Normal 2 61 10 11 3" xfId="14873" xr:uid="{00000000-0005-0000-0000-0000083A0000}"/>
    <cellStyle name="Normal 2 61 10 12" xfId="14874" xr:uid="{00000000-0005-0000-0000-0000093A0000}"/>
    <cellStyle name="Normal 2 61 10 12 2" xfId="14875" xr:uid="{00000000-0005-0000-0000-00000A3A0000}"/>
    <cellStyle name="Normal 2 61 10 12 3" xfId="14876" xr:uid="{00000000-0005-0000-0000-00000B3A0000}"/>
    <cellStyle name="Normal 2 61 10 13" xfId="14877" xr:uid="{00000000-0005-0000-0000-00000C3A0000}"/>
    <cellStyle name="Normal 2 61 10 13 2" xfId="14878" xr:uid="{00000000-0005-0000-0000-00000D3A0000}"/>
    <cellStyle name="Normal 2 61 10 13 3" xfId="14879" xr:uid="{00000000-0005-0000-0000-00000E3A0000}"/>
    <cellStyle name="Normal 2 61 10 14" xfId="14880" xr:uid="{00000000-0005-0000-0000-00000F3A0000}"/>
    <cellStyle name="Normal 2 61 10 14 2" xfId="14881" xr:uid="{00000000-0005-0000-0000-0000103A0000}"/>
    <cellStyle name="Normal 2 61 10 14 3" xfId="14882" xr:uid="{00000000-0005-0000-0000-0000113A0000}"/>
    <cellStyle name="Normal 2 61 10 15" xfId="14883" xr:uid="{00000000-0005-0000-0000-0000123A0000}"/>
    <cellStyle name="Normal 2 61 10 16" xfId="14884" xr:uid="{00000000-0005-0000-0000-0000133A0000}"/>
    <cellStyle name="Normal 2 61 10 2" xfId="14885" xr:uid="{00000000-0005-0000-0000-0000143A0000}"/>
    <cellStyle name="Normal 2 61 10 2 2" xfId="14886" xr:uid="{00000000-0005-0000-0000-0000153A0000}"/>
    <cellStyle name="Normal 2 61 10 2 3" xfId="14887" xr:uid="{00000000-0005-0000-0000-0000163A0000}"/>
    <cellStyle name="Normal 2 61 10 3" xfId="14888" xr:uid="{00000000-0005-0000-0000-0000173A0000}"/>
    <cellStyle name="Normal 2 61 10 3 2" xfId="14889" xr:uid="{00000000-0005-0000-0000-0000183A0000}"/>
    <cellStyle name="Normal 2 61 10 3 3" xfId="14890" xr:uid="{00000000-0005-0000-0000-0000193A0000}"/>
    <cellStyle name="Normal 2 61 10 4" xfId="14891" xr:uid="{00000000-0005-0000-0000-00001A3A0000}"/>
    <cellStyle name="Normal 2 61 10 4 2" xfId="14892" xr:uid="{00000000-0005-0000-0000-00001B3A0000}"/>
    <cellStyle name="Normal 2 61 10 4 3" xfId="14893" xr:uid="{00000000-0005-0000-0000-00001C3A0000}"/>
    <cellStyle name="Normal 2 61 10 5" xfId="14894" xr:uid="{00000000-0005-0000-0000-00001D3A0000}"/>
    <cellStyle name="Normal 2 61 10 5 2" xfId="14895" xr:uid="{00000000-0005-0000-0000-00001E3A0000}"/>
    <cellStyle name="Normal 2 61 10 5 3" xfId="14896" xr:uid="{00000000-0005-0000-0000-00001F3A0000}"/>
    <cellStyle name="Normal 2 61 10 6" xfId="14897" xr:uid="{00000000-0005-0000-0000-0000203A0000}"/>
    <cellStyle name="Normal 2 61 10 6 2" xfId="14898" xr:uid="{00000000-0005-0000-0000-0000213A0000}"/>
    <cellStyle name="Normal 2 61 10 6 3" xfId="14899" xr:uid="{00000000-0005-0000-0000-0000223A0000}"/>
    <cellStyle name="Normal 2 61 10 7" xfId="14900" xr:uid="{00000000-0005-0000-0000-0000233A0000}"/>
    <cellStyle name="Normal 2 61 10 7 2" xfId="14901" xr:uid="{00000000-0005-0000-0000-0000243A0000}"/>
    <cellStyle name="Normal 2 61 10 7 3" xfId="14902" xr:uid="{00000000-0005-0000-0000-0000253A0000}"/>
    <cellStyle name="Normal 2 61 10 8" xfId="14903" xr:uid="{00000000-0005-0000-0000-0000263A0000}"/>
    <cellStyle name="Normal 2 61 10 8 2" xfId="14904" xr:uid="{00000000-0005-0000-0000-0000273A0000}"/>
    <cellStyle name="Normal 2 61 10 8 3" xfId="14905" xr:uid="{00000000-0005-0000-0000-0000283A0000}"/>
    <cellStyle name="Normal 2 61 10 9" xfId="14906" xr:uid="{00000000-0005-0000-0000-0000293A0000}"/>
    <cellStyle name="Normal 2 61 10 9 2" xfId="14907" xr:uid="{00000000-0005-0000-0000-00002A3A0000}"/>
    <cellStyle name="Normal 2 61 10 9 3" xfId="14908" xr:uid="{00000000-0005-0000-0000-00002B3A0000}"/>
    <cellStyle name="Normal 2 61 11" xfId="14909" xr:uid="{00000000-0005-0000-0000-00002C3A0000}"/>
    <cellStyle name="Normal 2 61 11 2" xfId="14910" xr:uid="{00000000-0005-0000-0000-00002D3A0000}"/>
    <cellStyle name="Normal 2 61 11 3" xfId="14911" xr:uid="{00000000-0005-0000-0000-00002E3A0000}"/>
    <cellStyle name="Normal 2 61 12" xfId="14912" xr:uid="{00000000-0005-0000-0000-00002F3A0000}"/>
    <cellStyle name="Normal 2 61 12 2" xfId="14913" xr:uid="{00000000-0005-0000-0000-0000303A0000}"/>
    <cellStyle name="Normal 2 61 12 3" xfId="14914" xr:uid="{00000000-0005-0000-0000-0000313A0000}"/>
    <cellStyle name="Normal 2 61 13" xfId="14915" xr:uid="{00000000-0005-0000-0000-0000323A0000}"/>
    <cellStyle name="Normal 2 61 13 2" xfId="14916" xr:uid="{00000000-0005-0000-0000-0000333A0000}"/>
    <cellStyle name="Normal 2 61 13 3" xfId="14917" xr:uid="{00000000-0005-0000-0000-0000343A0000}"/>
    <cellStyle name="Normal 2 61 14" xfId="14918" xr:uid="{00000000-0005-0000-0000-0000353A0000}"/>
    <cellStyle name="Normal 2 61 14 2" xfId="14919" xr:uid="{00000000-0005-0000-0000-0000363A0000}"/>
    <cellStyle name="Normal 2 61 14 3" xfId="14920" xr:uid="{00000000-0005-0000-0000-0000373A0000}"/>
    <cellStyle name="Normal 2 61 15" xfId="14921" xr:uid="{00000000-0005-0000-0000-0000383A0000}"/>
    <cellStyle name="Normal 2 61 15 2" xfId="14922" xr:uid="{00000000-0005-0000-0000-0000393A0000}"/>
    <cellStyle name="Normal 2 61 15 3" xfId="14923" xr:uid="{00000000-0005-0000-0000-00003A3A0000}"/>
    <cellStyle name="Normal 2 61 16" xfId="14924" xr:uid="{00000000-0005-0000-0000-00003B3A0000}"/>
    <cellStyle name="Normal 2 61 16 2" xfId="14925" xr:uid="{00000000-0005-0000-0000-00003C3A0000}"/>
    <cellStyle name="Normal 2 61 16 3" xfId="14926" xr:uid="{00000000-0005-0000-0000-00003D3A0000}"/>
    <cellStyle name="Normal 2 61 17" xfId="14927" xr:uid="{00000000-0005-0000-0000-00003E3A0000}"/>
    <cellStyle name="Normal 2 61 17 2" xfId="14928" xr:uid="{00000000-0005-0000-0000-00003F3A0000}"/>
    <cellStyle name="Normal 2 61 17 3" xfId="14929" xr:uid="{00000000-0005-0000-0000-0000403A0000}"/>
    <cellStyle name="Normal 2 61 18" xfId="14930" xr:uid="{00000000-0005-0000-0000-0000413A0000}"/>
    <cellStyle name="Normal 2 61 18 2" xfId="14931" xr:uid="{00000000-0005-0000-0000-0000423A0000}"/>
    <cellStyle name="Normal 2 61 18 3" xfId="14932" xr:uid="{00000000-0005-0000-0000-0000433A0000}"/>
    <cellStyle name="Normal 2 61 19" xfId="14933" xr:uid="{00000000-0005-0000-0000-0000443A0000}"/>
    <cellStyle name="Normal 2 61 19 2" xfId="14934" xr:uid="{00000000-0005-0000-0000-0000453A0000}"/>
    <cellStyle name="Normal 2 61 19 3" xfId="14935" xr:uid="{00000000-0005-0000-0000-0000463A0000}"/>
    <cellStyle name="Normal 2 61 2" xfId="14936" xr:uid="{00000000-0005-0000-0000-0000473A0000}"/>
    <cellStyle name="Normal 2 61 2 10" xfId="14937" xr:uid="{00000000-0005-0000-0000-0000483A0000}"/>
    <cellStyle name="Normal 2 61 2 10 2" xfId="14938" xr:uid="{00000000-0005-0000-0000-0000493A0000}"/>
    <cellStyle name="Normal 2 61 2 10 3" xfId="14939" xr:uid="{00000000-0005-0000-0000-00004A3A0000}"/>
    <cellStyle name="Normal 2 61 2 11" xfId="14940" xr:uid="{00000000-0005-0000-0000-00004B3A0000}"/>
    <cellStyle name="Normal 2 61 2 11 2" xfId="14941" xr:uid="{00000000-0005-0000-0000-00004C3A0000}"/>
    <cellStyle name="Normal 2 61 2 11 3" xfId="14942" xr:uid="{00000000-0005-0000-0000-00004D3A0000}"/>
    <cellStyle name="Normal 2 61 2 12" xfId="14943" xr:uid="{00000000-0005-0000-0000-00004E3A0000}"/>
    <cellStyle name="Normal 2 61 2 12 2" xfId="14944" xr:uid="{00000000-0005-0000-0000-00004F3A0000}"/>
    <cellStyle name="Normal 2 61 2 12 3" xfId="14945" xr:uid="{00000000-0005-0000-0000-0000503A0000}"/>
    <cellStyle name="Normal 2 61 2 13" xfId="14946" xr:uid="{00000000-0005-0000-0000-0000513A0000}"/>
    <cellStyle name="Normal 2 61 2 13 2" xfId="14947" xr:uid="{00000000-0005-0000-0000-0000523A0000}"/>
    <cellStyle name="Normal 2 61 2 13 3" xfId="14948" xr:uid="{00000000-0005-0000-0000-0000533A0000}"/>
    <cellStyle name="Normal 2 61 2 14" xfId="14949" xr:uid="{00000000-0005-0000-0000-0000543A0000}"/>
    <cellStyle name="Normal 2 61 2 14 2" xfId="14950" xr:uid="{00000000-0005-0000-0000-0000553A0000}"/>
    <cellStyle name="Normal 2 61 2 14 3" xfId="14951" xr:uid="{00000000-0005-0000-0000-0000563A0000}"/>
    <cellStyle name="Normal 2 61 2 15" xfId="14952" xr:uid="{00000000-0005-0000-0000-0000573A0000}"/>
    <cellStyle name="Normal 2 61 2 15 2" xfId="14953" xr:uid="{00000000-0005-0000-0000-0000583A0000}"/>
    <cellStyle name="Normal 2 61 2 15 3" xfId="14954" xr:uid="{00000000-0005-0000-0000-0000593A0000}"/>
    <cellStyle name="Normal 2 61 2 16" xfId="14955" xr:uid="{00000000-0005-0000-0000-00005A3A0000}"/>
    <cellStyle name="Normal 2 61 2 17" xfId="14956" xr:uid="{00000000-0005-0000-0000-00005B3A0000}"/>
    <cellStyle name="Normal 2 61 2 2" xfId="14957" xr:uid="{00000000-0005-0000-0000-00005C3A0000}"/>
    <cellStyle name="Normal 2 61 2 2 10" xfId="14958" xr:uid="{00000000-0005-0000-0000-00005D3A0000}"/>
    <cellStyle name="Normal 2 61 2 2 10 2" xfId="14959" xr:uid="{00000000-0005-0000-0000-00005E3A0000}"/>
    <cellStyle name="Normal 2 61 2 2 10 3" xfId="14960" xr:uid="{00000000-0005-0000-0000-00005F3A0000}"/>
    <cellStyle name="Normal 2 61 2 2 11" xfId="14961" xr:uid="{00000000-0005-0000-0000-0000603A0000}"/>
    <cellStyle name="Normal 2 61 2 2 11 2" xfId="14962" xr:uid="{00000000-0005-0000-0000-0000613A0000}"/>
    <cellStyle name="Normal 2 61 2 2 11 3" xfId="14963" xr:uid="{00000000-0005-0000-0000-0000623A0000}"/>
    <cellStyle name="Normal 2 61 2 2 12" xfId="14964" xr:uid="{00000000-0005-0000-0000-0000633A0000}"/>
    <cellStyle name="Normal 2 61 2 2 12 2" xfId="14965" xr:uid="{00000000-0005-0000-0000-0000643A0000}"/>
    <cellStyle name="Normal 2 61 2 2 12 3" xfId="14966" xr:uid="{00000000-0005-0000-0000-0000653A0000}"/>
    <cellStyle name="Normal 2 61 2 2 13" xfId="14967" xr:uid="{00000000-0005-0000-0000-0000663A0000}"/>
    <cellStyle name="Normal 2 61 2 2 13 2" xfId="14968" xr:uid="{00000000-0005-0000-0000-0000673A0000}"/>
    <cellStyle name="Normal 2 61 2 2 13 3" xfId="14969" xr:uid="{00000000-0005-0000-0000-0000683A0000}"/>
    <cellStyle name="Normal 2 61 2 2 14" xfId="14970" xr:uid="{00000000-0005-0000-0000-0000693A0000}"/>
    <cellStyle name="Normal 2 61 2 2 14 2" xfId="14971" xr:uid="{00000000-0005-0000-0000-00006A3A0000}"/>
    <cellStyle name="Normal 2 61 2 2 14 3" xfId="14972" xr:uid="{00000000-0005-0000-0000-00006B3A0000}"/>
    <cellStyle name="Normal 2 61 2 2 15" xfId="14973" xr:uid="{00000000-0005-0000-0000-00006C3A0000}"/>
    <cellStyle name="Normal 2 61 2 2 16" xfId="14974" xr:uid="{00000000-0005-0000-0000-00006D3A0000}"/>
    <cellStyle name="Normal 2 61 2 2 2" xfId="14975" xr:uid="{00000000-0005-0000-0000-00006E3A0000}"/>
    <cellStyle name="Normal 2 61 2 2 2 2" xfId="14976" xr:uid="{00000000-0005-0000-0000-00006F3A0000}"/>
    <cellStyle name="Normal 2 61 2 2 2 3" xfId="14977" xr:uid="{00000000-0005-0000-0000-0000703A0000}"/>
    <cellStyle name="Normal 2 61 2 2 3" xfId="14978" xr:uid="{00000000-0005-0000-0000-0000713A0000}"/>
    <cellStyle name="Normal 2 61 2 2 3 2" xfId="14979" xr:uid="{00000000-0005-0000-0000-0000723A0000}"/>
    <cellStyle name="Normal 2 61 2 2 3 3" xfId="14980" xr:uid="{00000000-0005-0000-0000-0000733A0000}"/>
    <cellStyle name="Normal 2 61 2 2 4" xfId="14981" xr:uid="{00000000-0005-0000-0000-0000743A0000}"/>
    <cellStyle name="Normal 2 61 2 2 4 2" xfId="14982" xr:uid="{00000000-0005-0000-0000-0000753A0000}"/>
    <cellStyle name="Normal 2 61 2 2 4 3" xfId="14983" xr:uid="{00000000-0005-0000-0000-0000763A0000}"/>
    <cellStyle name="Normal 2 61 2 2 5" xfId="14984" xr:uid="{00000000-0005-0000-0000-0000773A0000}"/>
    <cellStyle name="Normal 2 61 2 2 5 2" xfId="14985" xr:uid="{00000000-0005-0000-0000-0000783A0000}"/>
    <cellStyle name="Normal 2 61 2 2 5 3" xfId="14986" xr:uid="{00000000-0005-0000-0000-0000793A0000}"/>
    <cellStyle name="Normal 2 61 2 2 6" xfId="14987" xr:uid="{00000000-0005-0000-0000-00007A3A0000}"/>
    <cellStyle name="Normal 2 61 2 2 6 2" xfId="14988" xr:uid="{00000000-0005-0000-0000-00007B3A0000}"/>
    <cellStyle name="Normal 2 61 2 2 6 3" xfId="14989" xr:uid="{00000000-0005-0000-0000-00007C3A0000}"/>
    <cellStyle name="Normal 2 61 2 2 7" xfId="14990" xr:uid="{00000000-0005-0000-0000-00007D3A0000}"/>
    <cellStyle name="Normal 2 61 2 2 7 2" xfId="14991" xr:uid="{00000000-0005-0000-0000-00007E3A0000}"/>
    <cellStyle name="Normal 2 61 2 2 7 3" xfId="14992" xr:uid="{00000000-0005-0000-0000-00007F3A0000}"/>
    <cellStyle name="Normal 2 61 2 2 8" xfId="14993" xr:uid="{00000000-0005-0000-0000-0000803A0000}"/>
    <cellStyle name="Normal 2 61 2 2 8 2" xfId="14994" xr:uid="{00000000-0005-0000-0000-0000813A0000}"/>
    <cellStyle name="Normal 2 61 2 2 8 3" xfId="14995" xr:uid="{00000000-0005-0000-0000-0000823A0000}"/>
    <cellStyle name="Normal 2 61 2 2 9" xfId="14996" xr:uid="{00000000-0005-0000-0000-0000833A0000}"/>
    <cellStyle name="Normal 2 61 2 2 9 2" xfId="14997" xr:uid="{00000000-0005-0000-0000-0000843A0000}"/>
    <cellStyle name="Normal 2 61 2 2 9 3" xfId="14998" xr:uid="{00000000-0005-0000-0000-0000853A0000}"/>
    <cellStyle name="Normal 2 61 2 3" xfId="14999" xr:uid="{00000000-0005-0000-0000-0000863A0000}"/>
    <cellStyle name="Normal 2 61 2 3 2" xfId="15000" xr:uid="{00000000-0005-0000-0000-0000873A0000}"/>
    <cellStyle name="Normal 2 61 2 3 3" xfId="15001" xr:uid="{00000000-0005-0000-0000-0000883A0000}"/>
    <cellStyle name="Normal 2 61 2 4" xfId="15002" xr:uid="{00000000-0005-0000-0000-0000893A0000}"/>
    <cellStyle name="Normal 2 61 2 4 2" xfId="15003" xr:uid="{00000000-0005-0000-0000-00008A3A0000}"/>
    <cellStyle name="Normal 2 61 2 4 3" xfId="15004" xr:uid="{00000000-0005-0000-0000-00008B3A0000}"/>
    <cellStyle name="Normal 2 61 2 5" xfId="15005" xr:uid="{00000000-0005-0000-0000-00008C3A0000}"/>
    <cellStyle name="Normal 2 61 2 5 2" xfId="15006" xr:uid="{00000000-0005-0000-0000-00008D3A0000}"/>
    <cellStyle name="Normal 2 61 2 5 3" xfId="15007" xr:uid="{00000000-0005-0000-0000-00008E3A0000}"/>
    <cellStyle name="Normal 2 61 2 6" xfId="15008" xr:uid="{00000000-0005-0000-0000-00008F3A0000}"/>
    <cellStyle name="Normal 2 61 2 6 2" xfId="15009" xr:uid="{00000000-0005-0000-0000-0000903A0000}"/>
    <cellStyle name="Normal 2 61 2 6 3" xfId="15010" xr:uid="{00000000-0005-0000-0000-0000913A0000}"/>
    <cellStyle name="Normal 2 61 2 7" xfId="15011" xr:uid="{00000000-0005-0000-0000-0000923A0000}"/>
    <cellStyle name="Normal 2 61 2 7 2" xfId="15012" xr:uid="{00000000-0005-0000-0000-0000933A0000}"/>
    <cellStyle name="Normal 2 61 2 7 3" xfId="15013" xr:uid="{00000000-0005-0000-0000-0000943A0000}"/>
    <cellStyle name="Normal 2 61 2 8" xfId="15014" xr:uid="{00000000-0005-0000-0000-0000953A0000}"/>
    <cellStyle name="Normal 2 61 2 8 2" xfId="15015" xr:uid="{00000000-0005-0000-0000-0000963A0000}"/>
    <cellStyle name="Normal 2 61 2 8 3" xfId="15016" xr:uid="{00000000-0005-0000-0000-0000973A0000}"/>
    <cellStyle name="Normal 2 61 2 9" xfId="15017" xr:uid="{00000000-0005-0000-0000-0000983A0000}"/>
    <cellStyle name="Normal 2 61 2 9 2" xfId="15018" xr:uid="{00000000-0005-0000-0000-0000993A0000}"/>
    <cellStyle name="Normal 2 61 2 9 3" xfId="15019" xr:uid="{00000000-0005-0000-0000-00009A3A0000}"/>
    <cellStyle name="Normal 2 61 20" xfId="15020" xr:uid="{00000000-0005-0000-0000-00009B3A0000}"/>
    <cellStyle name="Normal 2 61 20 2" xfId="15021" xr:uid="{00000000-0005-0000-0000-00009C3A0000}"/>
    <cellStyle name="Normal 2 61 20 3" xfId="15022" xr:uid="{00000000-0005-0000-0000-00009D3A0000}"/>
    <cellStyle name="Normal 2 61 21" xfId="15023" xr:uid="{00000000-0005-0000-0000-00009E3A0000}"/>
    <cellStyle name="Normal 2 61 21 2" xfId="15024" xr:uid="{00000000-0005-0000-0000-00009F3A0000}"/>
    <cellStyle name="Normal 2 61 21 3" xfId="15025" xr:uid="{00000000-0005-0000-0000-0000A03A0000}"/>
    <cellStyle name="Normal 2 61 22" xfId="15026" xr:uid="{00000000-0005-0000-0000-0000A13A0000}"/>
    <cellStyle name="Normal 2 61 22 2" xfId="15027" xr:uid="{00000000-0005-0000-0000-0000A23A0000}"/>
    <cellStyle name="Normal 2 61 22 3" xfId="15028" xr:uid="{00000000-0005-0000-0000-0000A33A0000}"/>
    <cellStyle name="Normal 2 61 23" xfId="15029" xr:uid="{00000000-0005-0000-0000-0000A43A0000}"/>
    <cellStyle name="Normal 2 61 23 2" xfId="15030" xr:uid="{00000000-0005-0000-0000-0000A53A0000}"/>
    <cellStyle name="Normal 2 61 23 3" xfId="15031" xr:uid="{00000000-0005-0000-0000-0000A63A0000}"/>
    <cellStyle name="Normal 2 61 24" xfId="15032" xr:uid="{00000000-0005-0000-0000-0000A73A0000}"/>
    <cellStyle name="Normal 2 61 25" xfId="15033" xr:uid="{00000000-0005-0000-0000-0000A83A0000}"/>
    <cellStyle name="Normal 2 61 3" xfId="15034" xr:uid="{00000000-0005-0000-0000-0000A93A0000}"/>
    <cellStyle name="Normal 2 61 3 10" xfId="15035" xr:uid="{00000000-0005-0000-0000-0000AA3A0000}"/>
    <cellStyle name="Normal 2 61 3 10 2" xfId="15036" xr:uid="{00000000-0005-0000-0000-0000AB3A0000}"/>
    <cellStyle name="Normal 2 61 3 10 3" xfId="15037" xr:uid="{00000000-0005-0000-0000-0000AC3A0000}"/>
    <cellStyle name="Normal 2 61 3 11" xfId="15038" xr:uid="{00000000-0005-0000-0000-0000AD3A0000}"/>
    <cellStyle name="Normal 2 61 3 11 2" xfId="15039" xr:uid="{00000000-0005-0000-0000-0000AE3A0000}"/>
    <cellStyle name="Normal 2 61 3 11 3" xfId="15040" xr:uid="{00000000-0005-0000-0000-0000AF3A0000}"/>
    <cellStyle name="Normal 2 61 3 12" xfId="15041" xr:uid="{00000000-0005-0000-0000-0000B03A0000}"/>
    <cellStyle name="Normal 2 61 3 12 2" xfId="15042" xr:uid="{00000000-0005-0000-0000-0000B13A0000}"/>
    <cellStyle name="Normal 2 61 3 12 3" xfId="15043" xr:uid="{00000000-0005-0000-0000-0000B23A0000}"/>
    <cellStyle name="Normal 2 61 3 13" xfId="15044" xr:uid="{00000000-0005-0000-0000-0000B33A0000}"/>
    <cellStyle name="Normal 2 61 3 13 2" xfId="15045" xr:uid="{00000000-0005-0000-0000-0000B43A0000}"/>
    <cellStyle name="Normal 2 61 3 13 3" xfId="15046" xr:uid="{00000000-0005-0000-0000-0000B53A0000}"/>
    <cellStyle name="Normal 2 61 3 14" xfId="15047" xr:uid="{00000000-0005-0000-0000-0000B63A0000}"/>
    <cellStyle name="Normal 2 61 3 14 2" xfId="15048" xr:uid="{00000000-0005-0000-0000-0000B73A0000}"/>
    <cellStyle name="Normal 2 61 3 14 3" xfId="15049" xr:uid="{00000000-0005-0000-0000-0000B83A0000}"/>
    <cellStyle name="Normal 2 61 3 15" xfId="15050" xr:uid="{00000000-0005-0000-0000-0000B93A0000}"/>
    <cellStyle name="Normal 2 61 3 15 2" xfId="15051" xr:uid="{00000000-0005-0000-0000-0000BA3A0000}"/>
    <cellStyle name="Normal 2 61 3 15 3" xfId="15052" xr:uid="{00000000-0005-0000-0000-0000BB3A0000}"/>
    <cellStyle name="Normal 2 61 3 16" xfId="15053" xr:uid="{00000000-0005-0000-0000-0000BC3A0000}"/>
    <cellStyle name="Normal 2 61 3 17" xfId="15054" xr:uid="{00000000-0005-0000-0000-0000BD3A0000}"/>
    <cellStyle name="Normal 2 61 3 2" xfId="15055" xr:uid="{00000000-0005-0000-0000-0000BE3A0000}"/>
    <cellStyle name="Normal 2 61 3 2 10" xfId="15056" xr:uid="{00000000-0005-0000-0000-0000BF3A0000}"/>
    <cellStyle name="Normal 2 61 3 2 10 2" xfId="15057" xr:uid="{00000000-0005-0000-0000-0000C03A0000}"/>
    <cellStyle name="Normal 2 61 3 2 10 3" xfId="15058" xr:uid="{00000000-0005-0000-0000-0000C13A0000}"/>
    <cellStyle name="Normal 2 61 3 2 11" xfId="15059" xr:uid="{00000000-0005-0000-0000-0000C23A0000}"/>
    <cellStyle name="Normal 2 61 3 2 11 2" xfId="15060" xr:uid="{00000000-0005-0000-0000-0000C33A0000}"/>
    <cellStyle name="Normal 2 61 3 2 11 3" xfId="15061" xr:uid="{00000000-0005-0000-0000-0000C43A0000}"/>
    <cellStyle name="Normal 2 61 3 2 12" xfId="15062" xr:uid="{00000000-0005-0000-0000-0000C53A0000}"/>
    <cellStyle name="Normal 2 61 3 2 12 2" xfId="15063" xr:uid="{00000000-0005-0000-0000-0000C63A0000}"/>
    <cellStyle name="Normal 2 61 3 2 12 3" xfId="15064" xr:uid="{00000000-0005-0000-0000-0000C73A0000}"/>
    <cellStyle name="Normal 2 61 3 2 13" xfId="15065" xr:uid="{00000000-0005-0000-0000-0000C83A0000}"/>
    <cellStyle name="Normal 2 61 3 2 13 2" xfId="15066" xr:uid="{00000000-0005-0000-0000-0000C93A0000}"/>
    <cellStyle name="Normal 2 61 3 2 13 3" xfId="15067" xr:uid="{00000000-0005-0000-0000-0000CA3A0000}"/>
    <cellStyle name="Normal 2 61 3 2 14" xfId="15068" xr:uid="{00000000-0005-0000-0000-0000CB3A0000}"/>
    <cellStyle name="Normal 2 61 3 2 14 2" xfId="15069" xr:uid="{00000000-0005-0000-0000-0000CC3A0000}"/>
    <cellStyle name="Normal 2 61 3 2 14 3" xfId="15070" xr:uid="{00000000-0005-0000-0000-0000CD3A0000}"/>
    <cellStyle name="Normal 2 61 3 2 15" xfId="15071" xr:uid="{00000000-0005-0000-0000-0000CE3A0000}"/>
    <cellStyle name="Normal 2 61 3 2 16" xfId="15072" xr:uid="{00000000-0005-0000-0000-0000CF3A0000}"/>
    <cellStyle name="Normal 2 61 3 2 2" xfId="15073" xr:uid="{00000000-0005-0000-0000-0000D03A0000}"/>
    <cellStyle name="Normal 2 61 3 2 2 2" xfId="15074" xr:uid="{00000000-0005-0000-0000-0000D13A0000}"/>
    <cellStyle name="Normal 2 61 3 2 2 3" xfId="15075" xr:uid="{00000000-0005-0000-0000-0000D23A0000}"/>
    <cellStyle name="Normal 2 61 3 2 3" xfId="15076" xr:uid="{00000000-0005-0000-0000-0000D33A0000}"/>
    <cellStyle name="Normal 2 61 3 2 3 2" xfId="15077" xr:uid="{00000000-0005-0000-0000-0000D43A0000}"/>
    <cellStyle name="Normal 2 61 3 2 3 3" xfId="15078" xr:uid="{00000000-0005-0000-0000-0000D53A0000}"/>
    <cellStyle name="Normal 2 61 3 2 4" xfId="15079" xr:uid="{00000000-0005-0000-0000-0000D63A0000}"/>
    <cellStyle name="Normal 2 61 3 2 4 2" xfId="15080" xr:uid="{00000000-0005-0000-0000-0000D73A0000}"/>
    <cellStyle name="Normal 2 61 3 2 4 3" xfId="15081" xr:uid="{00000000-0005-0000-0000-0000D83A0000}"/>
    <cellStyle name="Normal 2 61 3 2 5" xfId="15082" xr:uid="{00000000-0005-0000-0000-0000D93A0000}"/>
    <cellStyle name="Normal 2 61 3 2 5 2" xfId="15083" xr:uid="{00000000-0005-0000-0000-0000DA3A0000}"/>
    <cellStyle name="Normal 2 61 3 2 5 3" xfId="15084" xr:uid="{00000000-0005-0000-0000-0000DB3A0000}"/>
    <cellStyle name="Normal 2 61 3 2 6" xfId="15085" xr:uid="{00000000-0005-0000-0000-0000DC3A0000}"/>
    <cellStyle name="Normal 2 61 3 2 6 2" xfId="15086" xr:uid="{00000000-0005-0000-0000-0000DD3A0000}"/>
    <cellStyle name="Normal 2 61 3 2 6 3" xfId="15087" xr:uid="{00000000-0005-0000-0000-0000DE3A0000}"/>
    <cellStyle name="Normal 2 61 3 2 7" xfId="15088" xr:uid="{00000000-0005-0000-0000-0000DF3A0000}"/>
    <cellStyle name="Normal 2 61 3 2 7 2" xfId="15089" xr:uid="{00000000-0005-0000-0000-0000E03A0000}"/>
    <cellStyle name="Normal 2 61 3 2 7 3" xfId="15090" xr:uid="{00000000-0005-0000-0000-0000E13A0000}"/>
    <cellStyle name="Normal 2 61 3 2 8" xfId="15091" xr:uid="{00000000-0005-0000-0000-0000E23A0000}"/>
    <cellStyle name="Normal 2 61 3 2 8 2" xfId="15092" xr:uid="{00000000-0005-0000-0000-0000E33A0000}"/>
    <cellStyle name="Normal 2 61 3 2 8 3" xfId="15093" xr:uid="{00000000-0005-0000-0000-0000E43A0000}"/>
    <cellStyle name="Normal 2 61 3 2 9" xfId="15094" xr:uid="{00000000-0005-0000-0000-0000E53A0000}"/>
    <cellStyle name="Normal 2 61 3 2 9 2" xfId="15095" xr:uid="{00000000-0005-0000-0000-0000E63A0000}"/>
    <cellStyle name="Normal 2 61 3 2 9 3" xfId="15096" xr:uid="{00000000-0005-0000-0000-0000E73A0000}"/>
    <cellStyle name="Normal 2 61 3 3" xfId="15097" xr:uid="{00000000-0005-0000-0000-0000E83A0000}"/>
    <cellStyle name="Normal 2 61 3 3 2" xfId="15098" xr:uid="{00000000-0005-0000-0000-0000E93A0000}"/>
    <cellStyle name="Normal 2 61 3 3 3" xfId="15099" xr:uid="{00000000-0005-0000-0000-0000EA3A0000}"/>
    <cellStyle name="Normal 2 61 3 4" xfId="15100" xr:uid="{00000000-0005-0000-0000-0000EB3A0000}"/>
    <cellStyle name="Normal 2 61 3 4 2" xfId="15101" xr:uid="{00000000-0005-0000-0000-0000EC3A0000}"/>
    <cellStyle name="Normal 2 61 3 4 3" xfId="15102" xr:uid="{00000000-0005-0000-0000-0000ED3A0000}"/>
    <cellStyle name="Normal 2 61 3 5" xfId="15103" xr:uid="{00000000-0005-0000-0000-0000EE3A0000}"/>
    <cellStyle name="Normal 2 61 3 5 2" xfId="15104" xr:uid="{00000000-0005-0000-0000-0000EF3A0000}"/>
    <cellStyle name="Normal 2 61 3 5 3" xfId="15105" xr:uid="{00000000-0005-0000-0000-0000F03A0000}"/>
    <cellStyle name="Normal 2 61 3 6" xfId="15106" xr:uid="{00000000-0005-0000-0000-0000F13A0000}"/>
    <cellStyle name="Normal 2 61 3 6 2" xfId="15107" xr:uid="{00000000-0005-0000-0000-0000F23A0000}"/>
    <cellStyle name="Normal 2 61 3 6 3" xfId="15108" xr:uid="{00000000-0005-0000-0000-0000F33A0000}"/>
    <cellStyle name="Normal 2 61 3 7" xfId="15109" xr:uid="{00000000-0005-0000-0000-0000F43A0000}"/>
    <cellStyle name="Normal 2 61 3 7 2" xfId="15110" xr:uid="{00000000-0005-0000-0000-0000F53A0000}"/>
    <cellStyle name="Normal 2 61 3 7 3" xfId="15111" xr:uid="{00000000-0005-0000-0000-0000F63A0000}"/>
    <cellStyle name="Normal 2 61 3 8" xfId="15112" xr:uid="{00000000-0005-0000-0000-0000F73A0000}"/>
    <cellStyle name="Normal 2 61 3 8 2" xfId="15113" xr:uid="{00000000-0005-0000-0000-0000F83A0000}"/>
    <cellStyle name="Normal 2 61 3 8 3" xfId="15114" xr:uid="{00000000-0005-0000-0000-0000F93A0000}"/>
    <cellStyle name="Normal 2 61 3 9" xfId="15115" xr:uid="{00000000-0005-0000-0000-0000FA3A0000}"/>
    <cellStyle name="Normal 2 61 3 9 2" xfId="15116" xr:uid="{00000000-0005-0000-0000-0000FB3A0000}"/>
    <cellStyle name="Normal 2 61 3 9 3" xfId="15117" xr:uid="{00000000-0005-0000-0000-0000FC3A0000}"/>
    <cellStyle name="Normal 2 61 4" xfId="15118" xr:uid="{00000000-0005-0000-0000-0000FD3A0000}"/>
    <cellStyle name="Normal 2 61 4 10" xfId="15119" xr:uid="{00000000-0005-0000-0000-0000FE3A0000}"/>
    <cellStyle name="Normal 2 61 4 10 2" xfId="15120" xr:uid="{00000000-0005-0000-0000-0000FF3A0000}"/>
    <cellStyle name="Normal 2 61 4 10 3" xfId="15121" xr:uid="{00000000-0005-0000-0000-0000003B0000}"/>
    <cellStyle name="Normal 2 61 4 11" xfId="15122" xr:uid="{00000000-0005-0000-0000-0000013B0000}"/>
    <cellStyle name="Normal 2 61 4 11 2" xfId="15123" xr:uid="{00000000-0005-0000-0000-0000023B0000}"/>
    <cellStyle name="Normal 2 61 4 11 3" xfId="15124" xr:uid="{00000000-0005-0000-0000-0000033B0000}"/>
    <cellStyle name="Normal 2 61 4 12" xfId="15125" xr:uid="{00000000-0005-0000-0000-0000043B0000}"/>
    <cellStyle name="Normal 2 61 4 12 2" xfId="15126" xr:uid="{00000000-0005-0000-0000-0000053B0000}"/>
    <cellStyle name="Normal 2 61 4 12 3" xfId="15127" xr:uid="{00000000-0005-0000-0000-0000063B0000}"/>
    <cellStyle name="Normal 2 61 4 13" xfId="15128" xr:uid="{00000000-0005-0000-0000-0000073B0000}"/>
    <cellStyle name="Normal 2 61 4 13 2" xfId="15129" xr:uid="{00000000-0005-0000-0000-0000083B0000}"/>
    <cellStyle name="Normal 2 61 4 13 3" xfId="15130" xr:uid="{00000000-0005-0000-0000-0000093B0000}"/>
    <cellStyle name="Normal 2 61 4 14" xfId="15131" xr:uid="{00000000-0005-0000-0000-00000A3B0000}"/>
    <cellStyle name="Normal 2 61 4 14 2" xfId="15132" xr:uid="{00000000-0005-0000-0000-00000B3B0000}"/>
    <cellStyle name="Normal 2 61 4 14 3" xfId="15133" xr:uid="{00000000-0005-0000-0000-00000C3B0000}"/>
    <cellStyle name="Normal 2 61 4 15" xfId="15134" xr:uid="{00000000-0005-0000-0000-00000D3B0000}"/>
    <cellStyle name="Normal 2 61 4 15 2" xfId="15135" xr:uid="{00000000-0005-0000-0000-00000E3B0000}"/>
    <cellStyle name="Normal 2 61 4 15 3" xfId="15136" xr:uid="{00000000-0005-0000-0000-00000F3B0000}"/>
    <cellStyle name="Normal 2 61 4 16" xfId="15137" xr:uid="{00000000-0005-0000-0000-0000103B0000}"/>
    <cellStyle name="Normal 2 61 4 17" xfId="15138" xr:uid="{00000000-0005-0000-0000-0000113B0000}"/>
    <cellStyle name="Normal 2 61 4 2" xfId="15139" xr:uid="{00000000-0005-0000-0000-0000123B0000}"/>
    <cellStyle name="Normal 2 61 4 2 10" xfId="15140" xr:uid="{00000000-0005-0000-0000-0000133B0000}"/>
    <cellStyle name="Normal 2 61 4 2 10 2" xfId="15141" xr:uid="{00000000-0005-0000-0000-0000143B0000}"/>
    <cellStyle name="Normal 2 61 4 2 10 3" xfId="15142" xr:uid="{00000000-0005-0000-0000-0000153B0000}"/>
    <cellStyle name="Normal 2 61 4 2 11" xfId="15143" xr:uid="{00000000-0005-0000-0000-0000163B0000}"/>
    <cellStyle name="Normal 2 61 4 2 11 2" xfId="15144" xr:uid="{00000000-0005-0000-0000-0000173B0000}"/>
    <cellStyle name="Normal 2 61 4 2 11 3" xfId="15145" xr:uid="{00000000-0005-0000-0000-0000183B0000}"/>
    <cellStyle name="Normal 2 61 4 2 12" xfId="15146" xr:uid="{00000000-0005-0000-0000-0000193B0000}"/>
    <cellStyle name="Normal 2 61 4 2 12 2" xfId="15147" xr:uid="{00000000-0005-0000-0000-00001A3B0000}"/>
    <cellStyle name="Normal 2 61 4 2 12 3" xfId="15148" xr:uid="{00000000-0005-0000-0000-00001B3B0000}"/>
    <cellStyle name="Normal 2 61 4 2 13" xfId="15149" xr:uid="{00000000-0005-0000-0000-00001C3B0000}"/>
    <cellStyle name="Normal 2 61 4 2 13 2" xfId="15150" xr:uid="{00000000-0005-0000-0000-00001D3B0000}"/>
    <cellStyle name="Normal 2 61 4 2 13 3" xfId="15151" xr:uid="{00000000-0005-0000-0000-00001E3B0000}"/>
    <cellStyle name="Normal 2 61 4 2 14" xfId="15152" xr:uid="{00000000-0005-0000-0000-00001F3B0000}"/>
    <cellStyle name="Normal 2 61 4 2 14 2" xfId="15153" xr:uid="{00000000-0005-0000-0000-0000203B0000}"/>
    <cellStyle name="Normal 2 61 4 2 14 3" xfId="15154" xr:uid="{00000000-0005-0000-0000-0000213B0000}"/>
    <cellStyle name="Normal 2 61 4 2 15" xfId="15155" xr:uid="{00000000-0005-0000-0000-0000223B0000}"/>
    <cellStyle name="Normal 2 61 4 2 16" xfId="15156" xr:uid="{00000000-0005-0000-0000-0000233B0000}"/>
    <cellStyle name="Normal 2 61 4 2 2" xfId="15157" xr:uid="{00000000-0005-0000-0000-0000243B0000}"/>
    <cellStyle name="Normal 2 61 4 2 2 2" xfId="15158" xr:uid="{00000000-0005-0000-0000-0000253B0000}"/>
    <cellStyle name="Normal 2 61 4 2 2 3" xfId="15159" xr:uid="{00000000-0005-0000-0000-0000263B0000}"/>
    <cellStyle name="Normal 2 61 4 2 3" xfId="15160" xr:uid="{00000000-0005-0000-0000-0000273B0000}"/>
    <cellStyle name="Normal 2 61 4 2 3 2" xfId="15161" xr:uid="{00000000-0005-0000-0000-0000283B0000}"/>
    <cellStyle name="Normal 2 61 4 2 3 3" xfId="15162" xr:uid="{00000000-0005-0000-0000-0000293B0000}"/>
    <cellStyle name="Normal 2 61 4 2 4" xfId="15163" xr:uid="{00000000-0005-0000-0000-00002A3B0000}"/>
    <cellStyle name="Normal 2 61 4 2 4 2" xfId="15164" xr:uid="{00000000-0005-0000-0000-00002B3B0000}"/>
    <cellStyle name="Normal 2 61 4 2 4 3" xfId="15165" xr:uid="{00000000-0005-0000-0000-00002C3B0000}"/>
    <cellStyle name="Normal 2 61 4 2 5" xfId="15166" xr:uid="{00000000-0005-0000-0000-00002D3B0000}"/>
    <cellStyle name="Normal 2 61 4 2 5 2" xfId="15167" xr:uid="{00000000-0005-0000-0000-00002E3B0000}"/>
    <cellStyle name="Normal 2 61 4 2 5 3" xfId="15168" xr:uid="{00000000-0005-0000-0000-00002F3B0000}"/>
    <cellStyle name="Normal 2 61 4 2 6" xfId="15169" xr:uid="{00000000-0005-0000-0000-0000303B0000}"/>
    <cellStyle name="Normal 2 61 4 2 6 2" xfId="15170" xr:uid="{00000000-0005-0000-0000-0000313B0000}"/>
    <cellStyle name="Normal 2 61 4 2 6 3" xfId="15171" xr:uid="{00000000-0005-0000-0000-0000323B0000}"/>
    <cellStyle name="Normal 2 61 4 2 7" xfId="15172" xr:uid="{00000000-0005-0000-0000-0000333B0000}"/>
    <cellStyle name="Normal 2 61 4 2 7 2" xfId="15173" xr:uid="{00000000-0005-0000-0000-0000343B0000}"/>
    <cellStyle name="Normal 2 61 4 2 7 3" xfId="15174" xr:uid="{00000000-0005-0000-0000-0000353B0000}"/>
    <cellStyle name="Normal 2 61 4 2 8" xfId="15175" xr:uid="{00000000-0005-0000-0000-0000363B0000}"/>
    <cellStyle name="Normal 2 61 4 2 8 2" xfId="15176" xr:uid="{00000000-0005-0000-0000-0000373B0000}"/>
    <cellStyle name="Normal 2 61 4 2 8 3" xfId="15177" xr:uid="{00000000-0005-0000-0000-0000383B0000}"/>
    <cellStyle name="Normal 2 61 4 2 9" xfId="15178" xr:uid="{00000000-0005-0000-0000-0000393B0000}"/>
    <cellStyle name="Normal 2 61 4 2 9 2" xfId="15179" xr:uid="{00000000-0005-0000-0000-00003A3B0000}"/>
    <cellStyle name="Normal 2 61 4 2 9 3" xfId="15180" xr:uid="{00000000-0005-0000-0000-00003B3B0000}"/>
    <cellStyle name="Normal 2 61 4 3" xfId="15181" xr:uid="{00000000-0005-0000-0000-00003C3B0000}"/>
    <cellStyle name="Normal 2 61 4 3 2" xfId="15182" xr:uid="{00000000-0005-0000-0000-00003D3B0000}"/>
    <cellStyle name="Normal 2 61 4 3 3" xfId="15183" xr:uid="{00000000-0005-0000-0000-00003E3B0000}"/>
    <cellStyle name="Normal 2 61 4 4" xfId="15184" xr:uid="{00000000-0005-0000-0000-00003F3B0000}"/>
    <cellStyle name="Normal 2 61 4 4 2" xfId="15185" xr:uid="{00000000-0005-0000-0000-0000403B0000}"/>
    <cellStyle name="Normal 2 61 4 4 3" xfId="15186" xr:uid="{00000000-0005-0000-0000-0000413B0000}"/>
    <cellStyle name="Normal 2 61 4 5" xfId="15187" xr:uid="{00000000-0005-0000-0000-0000423B0000}"/>
    <cellStyle name="Normal 2 61 4 5 2" xfId="15188" xr:uid="{00000000-0005-0000-0000-0000433B0000}"/>
    <cellStyle name="Normal 2 61 4 5 3" xfId="15189" xr:uid="{00000000-0005-0000-0000-0000443B0000}"/>
    <cellStyle name="Normal 2 61 4 6" xfId="15190" xr:uid="{00000000-0005-0000-0000-0000453B0000}"/>
    <cellStyle name="Normal 2 61 4 6 2" xfId="15191" xr:uid="{00000000-0005-0000-0000-0000463B0000}"/>
    <cellStyle name="Normal 2 61 4 6 3" xfId="15192" xr:uid="{00000000-0005-0000-0000-0000473B0000}"/>
    <cellStyle name="Normal 2 61 4 7" xfId="15193" xr:uid="{00000000-0005-0000-0000-0000483B0000}"/>
    <cellStyle name="Normal 2 61 4 7 2" xfId="15194" xr:uid="{00000000-0005-0000-0000-0000493B0000}"/>
    <cellStyle name="Normal 2 61 4 7 3" xfId="15195" xr:uid="{00000000-0005-0000-0000-00004A3B0000}"/>
    <cellStyle name="Normal 2 61 4 8" xfId="15196" xr:uid="{00000000-0005-0000-0000-00004B3B0000}"/>
    <cellStyle name="Normal 2 61 4 8 2" xfId="15197" xr:uid="{00000000-0005-0000-0000-00004C3B0000}"/>
    <cellStyle name="Normal 2 61 4 8 3" xfId="15198" xr:uid="{00000000-0005-0000-0000-00004D3B0000}"/>
    <cellStyle name="Normal 2 61 4 9" xfId="15199" xr:uid="{00000000-0005-0000-0000-00004E3B0000}"/>
    <cellStyle name="Normal 2 61 4 9 2" xfId="15200" xr:uid="{00000000-0005-0000-0000-00004F3B0000}"/>
    <cellStyle name="Normal 2 61 4 9 3" xfId="15201" xr:uid="{00000000-0005-0000-0000-0000503B0000}"/>
    <cellStyle name="Normal 2 61 5" xfId="15202" xr:uid="{00000000-0005-0000-0000-0000513B0000}"/>
    <cellStyle name="Normal 2 61 5 10" xfId="15203" xr:uid="{00000000-0005-0000-0000-0000523B0000}"/>
    <cellStyle name="Normal 2 61 5 10 2" xfId="15204" xr:uid="{00000000-0005-0000-0000-0000533B0000}"/>
    <cellStyle name="Normal 2 61 5 10 3" xfId="15205" xr:uid="{00000000-0005-0000-0000-0000543B0000}"/>
    <cellStyle name="Normal 2 61 5 11" xfId="15206" xr:uid="{00000000-0005-0000-0000-0000553B0000}"/>
    <cellStyle name="Normal 2 61 5 11 2" xfId="15207" xr:uid="{00000000-0005-0000-0000-0000563B0000}"/>
    <cellStyle name="Normal 2 61 5 11 3" xfId="15208" xr:uid="{00000000-0005-0000-0000-0000573B0000}"/>
    <cellStyle name="Normal 2 61 5 12" xfId="15209" xr:uid="{00000000-0005-0000-0000-0000583B0000}"/>
    <cellStyle name="Normal 2 61 5 12 2" xfId="15210" xr:uid="{00000000-0005-0000-0000-0000593B0000}"/>
    <cellStyle name="Normal 2 61 5 12 3" xfId="15211" xr:uid="{00000000-0005-0000-0000-00005A3B0000}"/>
    <cellStyle name="Normal 2 61 5 13" xfId="15212" xr:uid="{00000000-0005-0000-0000-00005B3B0000}"/>
    <cellStyle name="Normal 2 61 5 13 2" xfId="15213" xr:uid="{00000000-0005-0000-0000-00005C3B0000}"/>
    <cellStyle name="Normal 2 61 5 13 3" xfId="15214" xr:uid="{00000000-0005-0000-0000-00005D3B0000}"/>
    <cellStyle name="Normal 2 61 5 14" xfId="15215" xr:uid="{00000000-0005-0000-0000-00005E3B0000}"/>
    <cellStyle name="Normal 2 61 5 14 2" xfId="15216" xr:uid="{00000000-0005-0000-0000-00005F3B0000}"/>
    <cellStyle name="Normal 2 61 5 14 3" xfId="15217" xr:uid="{00000000-0005-0000-0000-0000603B0000}"/>
    <cellStyle name="Normal 2 61 5 15" xfId="15218" xr:uid="{00000000-0005-0000-0000-0000613B0000}"/>
    <cellStyle name="Normal 2 61 5 16" xfId="15219" xr:uid="{00000000-0005-0000-0000-0000623B0000}"/>
    <cellStyle name="Normal 2 61 5 2" xfId="15220" xr:uid="{00000000-0005-0000-0000-0000633B0000}"/>
    <cellStyle name="Normal 2 61 5 2 2" xfId="15221" xr:uid="{00000000-0005-0000-0000-0000643B0000}"/>
    <cellStyle name="Normal 2 61 5 2 3" xfId="15222" xr:uid="{00000000-0005-0000-0000-0000653B0000}"/>
    <cellStyle name="Normal 2 61 5 3" xfId="15223" xr:uid="{00000000-0005-0000-0000-0000663B0000}"/>
    <cellStyle name="Normal 2 61 5 3 2" xfId="15224" xr:uid="{00000000-0005-0000-0000-0000673B0000}"/>
    <cellStyle name="Normal 2 61 5 3 3" xfId="15225" xr:uid="{00000000-0005-0000-0000-0000683B0000}"/>
    <cellStyle name="Normal 2 61 5 4" xfId="15226" xr:uid="{00000000-0005-0000-0000-0000693B0000}"/>
    <cellStyle name="Normal 2 61 5 4 2" xfId="15227" xr:uid="{00000000-0005-0000-0000-00006A3B0000}"/>
    <cellStyle name="Normal 2 61 5 4 3" xfId="15228" xr:uid="{00000000-0005-0000-0000-00006B3B0000}"/>
    <cellStyle name="Normal 2 61 5 5" xfId="15229" xr:uid="{00000000-0005-0000-0000-00006C3B0000}"/>
    <cellStyle name="Normal 2 61 5 5 2" xfId="15230" xr:uid="{00000000-0005-0000-0000-00006D3B0000}"/>
    <cellStyle name="Normal 2 61 5 5 3" xfId="15231" xr:uid="{00000000-0005-0000-0000-00006E3B0000}"/>
    <cellStyle name="Normal 2 61 5 6" xfId="15232" xr:uid="{00000000-0005-0000-0000-00006F3B0000}"/>
    <cellStyle name="Normal 2 61 5 6 2" xfId="15233" xr:uid="{00000000-0005-0000-0000-0000703B0000}"/>
    <cellStyle name="Normal 2 61 5 6 3" xfId="15234" xr:uid="{00000000-0005-0000-0000-0000713B0000}"/>
    <cellStyle name="Normal 2 61 5 7" xfId="15235" xr:uid="{00000000-0005-0000-0000-0000723B0000}"/>
    <cellStyle name="Normal 2 61 5 7 2" xfId="15236" xr:uid="{00000000-0005-0000-0000-0000733B0000}"/>
    <cellStyle name="Normal 2 61 5 7 3" xfId="15237" xr:uid="{00000000-0005-0000-0000-0000743B0000}"/>
    <cellStyle name="Normal 2 61 5 8" xfId="15238" xr:uid="{00000000-0005-0000-0000-0000753B0000}"/>
    <cellStyle name="Normal 2 61 5 8 2" xfId="15239" xr:uid="{00000000-0005-0000-0000-0000763B0000}"/>
    <cellStyle name="Normal 2 61 5 8 3" xfId="15240" xr:uid="{00000000-0005-0000-0000-0000773B0000}"/>
    <cellStyle name="Normal 2 61 5 9" xfId="15241" xr:uid="{00000000-0005-0000-0000-0000783B0000}"/>
    <cellStyle name="Normal 2 61 5 9 2" xfId="15242" xr:uid="{00000000-0005-0000-0000-0000793B0000}"/>
    <cellStyle name="Normal 2 61 5 9 3" xfId="15243" xr:uid="{00000000-0005-0000-0000-00007A3B0000}"/>
    <cellStyle name="Normal 2 61 6" xfId="15244" xr:uid="{00000000-0005-0000-0000-00007B3B0000}"/>
    <cellStyle name="Normal 2 61 6 10" xfId="15245" xr:uid="{00000000-0005-0000-0000-00007C3B0000}"/>
    <cellStyle name="Normal 2 61 6 10 2" xfId="15246" xr:uid="{00000000-0005-0000-0000-00007D3B0000}"/>
    <cellStyle name="Normal 2 61 6 10 3" xfId="15247" xr:uid="{00000000-0005-0000-0000-00007E3B0000}"/>
    <cellStyle name="Normal 2 61 6 11" xfId="15248" xr:uid="{00000000-0005-0000-0000-00007F3B0000}"/>
    <cellStyle name="Normal 2 61 6 11 2" xfId="15249" xr:uid="{00000000-0005-0000-0000-0000803B0000}"/>
    <cellStyle name="Normal 2 61 6 11 3" xfId="15250" xr:uid="{00000000-0005-0000-0000-0000813B0000}"/>
    <cellStyle name="Normal 2 61 6 12" xfId="15251" xr:uid="{00000000-0005-0000-0000-0000823B0000}"/>
    <cellStyle name="Normal 2 61 6 12 2" xfId="15252" xr:uid="{00000000-0005-0000-0000-0000833B0000}"/>
    <cellStyle name="Normal 2 61 6 12 3" xfId="15253" xr:uid="{00000000-0005-0000-0000-0000843B0000}"/>
    <cellStyle name="Normal 2 61 6 13" xfId="15254" xr:uid="{00000000-0005-0000-0000-0000853B0000}"/>
    <cellStyle name="Normal 2 61 6 13 2" xfId="15255" xr:uid="{00000000-0005-0000-0000-0000863B0000}"/>
    <cellStyle name="Normal 2 61 6 13 3" xfId="15256" xr:uid="{00000000-0005-0000-0000-0000873B0000}"/>
    <cellStyle name="Normal 2 61 6 14" xfId="15257" xr:uid="{00000000-0005-0000-0000-0000883B0000}"/>
    <cellStyle name="Normal 2 61 6 14 2" xfId="15258" xr:uid="{00000000-0005-0000-0000-0000893B0000}"/>
    <cellStyle name="Normal 2 61 6 14 3" xfId="15259" xr:uid="{00000000-0005-0000-0000-00008A3B0000}"/>
    <cellStyle name="Normal 2 61 6 15" xfId="15260" xr:uid="{00000000-0005-0000-0000-00008B3B0000}"/>
    <cellStyle name="Normal 2 61 6 16" xfId="15261" xr:uid="{00000000-0005-0000-0000-00008C3B0000}"/>
    <cellStyle name="Normal 2 61 6 2" xfId="15262" xr:uid="{00000000-0005-0000-0000-00008D3B0000}"/>
    <cellStyle name="Normal 2 61 6 2 2" xfId="15263" xr:uid="{00000000-0005-0000-0000-00008E3B0000}"/>
    <cellStyle name="Normal 2 61 6 2 3" xfId="15264" xr:uid="{00000000-0005-0000-0000-00008F3B0000}"/>
    <cellStyle name="Normal 2 61 6 3" xfId="15265" xr:uid="{00000000-0005-0000-0000-0000903B0000}"/>
    <cellStyle name="Normal 2 61 6 3 2" xfId="15266" xr:uid="{00000000-0005-0000-0000-0000913B0000}"/>
    <cellStyle name="Normal 2 61 6 3 3" xfId="15267" xr:uid="{00000000-0005-0000-0000-0000923B0000}"/>
    <cellStyle name="Normal 2 61 6 4" xfId="15268" xr:uid="{00000000-0005-0000-0000-0000933B0000}"/>
    <cellStyle name="Normal 2 61 6 4 2" xfId="15269" xr:uid="{00000000-0005-0000-0000-0000943B0000}"/>
    <cellStyle name="Normal 2 61 6 4 3" xfId="15270" xr:uid="{00000000-0005-0000-0000-0000953B0000}"/>
    <cellStyle name="Normal 2 61 6 5" xfId="15271" xr:uid="{00000000-0005-0000-0000-0000963B0000}"/>
    <cellStyle name="Normal 2 61 6 5 2" xfId="15272" xr:uid="{00000000-0005-0000-0000-0000973B0000}"/>
    <cellStyle name="Normal 2 61 6 5 3" xfId="15273" xr:uid="{00000000-0005-0000-0000-0000983B0000}"/>
    <cellStyle name="Normal 2 61 6 6" xfId="15274" xr:uid="{00000000-0005-0000-0000-0000993B0000}"/>
    <cellStyle name="Normal 2 61 6 6 2" xfId="15275" xr:uid="{00000000-0005-0000-0000-00009A3B0000}"/>
    <cellStyle name="Normal 2 61 6 6 3" xfId="15276" xr:uid="{00000000-0005-0000-0000-00009B3B0000}"/>
    <cellStyle name="Normal 2 61 6 7" xfId="15277" xr:uid="{00000000-0005-0000-0000-00009C3B0000}"/>
    <cellStyle name="Normal 2 61 6 7 2" xfId="15278" xr:uid="{00000000-0005-0000-0000-00009D3B0000}"/>
    <cellStyle name="Normal 2 61 6 7 3" xfId="15279" xr:uid="{00000000-0005-0000-0000-00009E3B0000}"/>
    <cellStyle name="Normal 2 61 6 8" xfId="15280" xr:uid="{00000000-0005-0000-0000-00009F3B0000}"/>
    <cellStyle name="Normal 2 61 6 8 2" xfId="15281" xr:uid="{00000000-0005-0000-0000-0000A03B0000}"/>
    <cellStyle name="Normal 2 61 6 8 3" xfId="15282" xr:uid="{00000000-0005-0000-0000-0000A13B0000}"/>
    <cellStyle name="Normal 2 61 6 9" xfId="15283" xr:uid="{00000000-0005-0000-0000-0000A23B0000}"/>
    <cellStyle name="Normal 2 61 6 9 2" xfId="15284" xr:uid="{00000000-0005-0000-0000-0000A33B0000}"/>
    <cellStyle name="Normal 2 61 6 9 3" xfId="15285" xr:uid="{00000000-0005-0000-0000-0000A43B0000}"/>
    <cellStyle name="Normal 2 61 7" xfId="15286" xr:uid="{00000000-0005-0000-0000-0000A53B0000}"/>
    <cellStyle name="Normal 2 61 7 10" xfId="15287" xr:uid="{00000000-0005-0000-0000-0000A63B0000}"/>
    <cellStyle name="Normal 2 61 7 10 2" xfId="15288" xr:uid="{00000000-0005-0000-0000-0000A73B0000}"/>
    <cellStyle name="Normal 2 61 7 10 3" xfId="15289" xr:uid="{00000000-0005-0000-0000-0000A83B0000}"/>
    <cellStyle name="Normal 2 61 7 11" xfId="15290" xr:uid="{00000000-0005-0000-0000-0000A93B0000}"/>
    <cellStyle name="Normal 2 61 7 11 2" xfId="15291" xr:uid="{00000000-0005-0000-0000-0000AA3B0000}"/>
    <cellStyle name="Normal 2 61 7 11 3" xfId="15292" xr:uid="{00000000-0005-0000-0000-0000AB3B0000}"/>
    <cellStyle name="Normal 2 61 7 12" xfId="15293" xr:uid="{00000000-0005-0000-0000-0000AC3B0000}"/>
    <cellStyle name="Normal 2 61 7 12 2" xfId="15294" xr:uid="{00000000-0005-0000-0000-0000AD3B0000}"/>
    <cellStyle name="Normal 2 61 7 12 3" xfId="15295" xr:uid="{00000000-0005-0000-0000-0000AE3B0000}"/>
    <cellStyle name="Normal 2 61 7 13" xfId="15296" xr:uid="{00000000-0005-0000-0000-0000AF3B0000}"/>
    <cellStyle name="Normal 2 61 7 13 2" xfId="15297" xr:uid="{00000000-0005-0000-0000-0000B03B0000}"/>
    <cellStyle name="Normal 2 61 7 13 3" xfId="15298" xr:uid="{00000000-0005-0000-0000-0000B13B0000}"/>
    <cellStyle name="Normal 2 61 7 14" xfId="15299" xr:uid="{00000000-0005-0000-0000-0000B23B0000}"/>
    <cellStyle name="Normal 2 61 7 14 2" xfId="15300" xr:uid="{00000000-0005-0000-0000-0000B33B0000}"/>
    <cellStyle name="Normal 2 61 7 14 3" xfId="15301" xr:uid="{00000000-0005-0000-0000-0000B43B0000}"/>
    <cellStyle name="Normal 2 61 7 15" xfId="15302" xr:uid="{00000000-0005-0000-0000-0000B53B0000}"/>
    <cellStyle name="Normal 2 61 7 16" xfId="15303" xr:uid="{00000000-0005-0000-0000-0000B63B0000}"/>
    <cellStyle name="Normal 2 61 7 2" xfId="15304" xr:uid="{00000000-0005-0000-0000-0000B73B0000}"/>
    <cellStyle name="Normal 2 61 7 2 2" xfId="15305" xr:uid="{00000000-0005-0000-0000-0000B83B0000}"/>
    <cellStyle name="Normal 2 61 7 2 3" xfId="15306" xr:uid="{00000000-0005-0000-0000-0000B93B0000}"/>
    <cellStyle name="Normal 2 61 7 3" xfId="15307" xr:uid="{00000000-0005-0000-0000-0000BA3B0000}"/>
    <cellStyle name="Normal 2 61 7 3 2" xfId="15308" xr:uid="{00000000-0005-0000-0000-0000BB3B0000}"/>
    <cellStyle name="Normal 2 61 7 3 3" xfId="15309" xr:uid="{00000000-0005-0000-0000-0000BC3B0000}"/>
    <cellStyle name="Normal 2 61 7 4" xfId="15310" xr:uid="{00000000-0005-0000-0000-0000BD3B0000}"/>
    <cellStyle name="Normal 2 61 7 4 2" xfId="15311" xr:uid="{00000000-0005-0000-0000-0000BE3B0000}"/>
    <cellStyle name="Normal 2 61 7 4 3" xfId="15312" xr:uid="{00000000-0005-0000-0000-0000BF3B0000}"/>
    <cellStyle name="Normal 2 61 7 5" xfId="15313" xr:uid="{00000000-0005-0000-0000-0000C03B0000}"/>
    <cellStyle name="Normal 2 61 7 5 2" xfId="15314" xr:uid="{00000000-0005-0000-0000-0000C13B0000}"/>
    <cellStyle name="Normal 2 61 7 5 3" xfId="15315" xr:uid="{00000000-0005-0000-0000-0000C23B0000}"/>
    <cellStyle name="Normal 2 61 7 6" xfId="15316" xr:uid="{00000000-0005-0000-0000-0000C33B0000}"/>
    <cellStyle name="Normal 2 61 7 6 2" xfId="15317" xr:uid="{00000000-0005-0000-0000-0000C43B0000}"/>
    <cellStyle name="Normal 2 61 7 6 3" xfId="15318" xr:uid="{00000000-0005-0000-0000-0000C53B0000}"/>
    <cellStyle name="Normal 2 61 7 7" xfId="15319" xr:uid="{00000000-0005-0000-0000-0000C63B0000}"/>
    <cellStyle name="Normal 2 61 7 7 2" xfId="15320" xr:uid="{00000000-0005-0000-0000-0000C73B0000}"/>
    <cellStyle name="Normal 2 61 7 7 3" xfId="15321" xr:uid="{00000000-0005-0000-0000-0000C83B0000}"/>
    <cellStyle name="Normal 2 61 7 8" xfId="15322" xr:uid="{00000000-0005-0000-0000-0000C93B0000}"/>
    <cellStyle name="Normal 2 61 7 8 2" xfId="15323" xr:uid="{00000000-0005-0000-0000-0000CA3B0000}"/>
    <cellStyle name="Normal 2 61 7 8 3" xfId="15324" xr:uid="{00000000-0005-0000-0000-0000CB3B0000}"/>
    <cellStyle name="Normal 2 61 7 9" xfId="15325" xr:uid="{00000000-0005-0000-0000-0000CC3B0000}"/>
    <cellStyle name="Normal 2 61 7 9 2" xfId="15326" xr:uid="{00000000-0005-0000-0000-0000CD3B0000}"/>
    <cellStyle name="Normal 2 61 7 9 3" xfId="15327" xr:uid="{00000000-0005-0000-0000-0000CE3B0000}"/>
    <cellStyle name="Normal 2 61 8" xfId="15328" xr:uid="{00000000-0005-0000-0000-0000CF3B0000}"/>
    <cellStyle name="Normal 2 61 8 10" xfId="15329" xr:uid="{00000000-0005-0000-0000-0000D03B0000}"/>
    <cellStyle name="Normal 2 61 8 10 2" xfId="15330" xr:uid="{00000000-0005-0000-0000-0000D13B0000}"/>
    <cellStyle name="Normal 2 61 8 10 3" xfId="15331" xr:uid="{00000000-0005-0000-0000-0000D23B0000}"/>
    <cellStyle name="Normal 2 61 8 11" xfId="15332" xr:uid="{00000000-0005-0000-0000-0000D33B0000}"/>
    <cellStyle name="Normal 2 61 8 11 2" xfId="15333" xr:uid="{00000000-0005-0000-0000-0000D43B0000}"/>
    <cellStyle name="Normal 2 61 8 11 3" xfId="15334" xr:uid="{00000000-0005-0000-0000-0000D53B0000}"/>
    <cellStyle name="Normal 2 61 8 12" xfId="15335" xr:uid="{00000000-0005-0000-0000-0000D63B0000}"/>
    <cellStyle name="Normal 2 61 8 12 2" xfId="15336" xr:uid="{00000000-0005-0000-0000-0000D73B0000}"/>
    <cellStyle name="Normal 2 61 8 12 3" xfId="15337" xr:uid="{00000000-0005-0000-0000-0000D83B0000}"/>
    <cellStyle name="Normal 2 61 8 13" xfId="15338" xr:uid="{00000000-0005-0000-0000-0000D93B0000}"/>
    <cellStyle name="Normal 2 61 8 13 2" xfId="15339" xr:uid="{00000000-0005-0000-0000-0000DA3B0000}"/>
    <cellStyle name="Normal 2 61 8 13 3" xfId="15340" xr:uid="{00000000-0005-0000-0000-0000DB3B0000}"/>
    <cellStyle name="Normal 2 61 8 14" xfId="15341" xr:uid="{00000000-0005-0000-0000-0000DC3B0000}"/>
    <cellStyle name="Normal 2 61 8 14 2" xfId="15342" xr:uid="{00000000-0005-0000-0000-0000DD3B0000}"/>
    <cellStyle name="Normal 2 61 8 14 3" xfId="15343" xr:uid="{00000000-0005-0000-0000-0000DE3B0000}"/>
    <cellStyle name="Normal 2 61 8 15" xfId="15344" xr:uid="{00000000-0005-0000-0000-0000DF3B0000}"/>
    <cellStyle name="Normal 2 61 8 16" xfId="15345" xr:uid="{00000000-0005-0000-0000-0000E03B0000}"/>
    <cellStyle name="Normal 2 61 8 2" xfId="15346" xr:uid="{00000000-0005-0000-0000-0000E13B0000}"/>
    <cellStyle name="Normal 2 61 8 2 2" xfId="15347" xr:uid="{00000000-0005-0000-0000-0000E23B0000}"/>
    <cellStyle name="Normal 2 61 8 2 3" xfId="15348" xr:uid="{00000000-0005-0000-0000-0000E33B0000}"/>
    <cellStyle name="Normal 2 61 8 3" xfId="15349" xr:uid="{00000000-0005-0000-0000-0000E43B0000}"/>
    <cellStyle name="Normal 2 61 8 3 2" xfId="15350" xr:uid="{00000000-0005-0000-0000-0000E53B0000}"/>
    <cellStyle name="Normal 2 61 8 3 3" xfId="15351" xr:uid="{00000000-0005-0000-0000-0000E63B0000}"/>
    <cellStyle name="Normal 2 61 8 4" xfId="15352" xr:uid="{00000000-0005-0000-0000-0000E73B0000}"/>
    <cellStyle name="Normal 2 61 8 4 2" xfId="15353" xr:uid="{00000000-0005-0000-0000-0000E83B0000}"/>
    <cellStyle name="Normal 2 61 8 4 3" xfId="15354" xr:uid="{00000000-0005-0000-0000-0000E93B0000}"/>
    <cellStyle name="Normal 2 61 8 5" xfId="15355" xr:uid="{00000000-0005-0000-0000-0000EA3B0000}"/>
    <cellStyle name="Normal 2 61 8 5 2" xfId="15356" xr:uid="{00000000-0005-0000-0000-0000EB3B0000}"/>
    <cellStyle name="Normal 2 61 8 5 3" xfId="15357" xr:uid="{00000000-0005-0000-0000-0000EC3B0000}"/>
    <cellStyle name="Normal 2 61 8 6" xfId="15358" xr:uid="{00000000-0005-0000-0000-0000ED3B0000}"/>
    <cellStyle name="Normal 2 61 8 6 2" xfId="15359" xr:uid="{00000000-0005-0000-0000-0000EE3B0000}"/>
    <cellStyle name="Normal 2 61 8 6 3" xfId="15360" xr:uid="{00000000-0005-0000-0000-0000EF3B0000}"/>
    <cellStyle name="Normal 2 61 8 7" xfId="15361" xr:uid="{00000000-0005-0000-0000-0000F03B0000}"/>
    <cellStyle name="Normal 2 61 8 7 2" xfId="15362" xr:uid="{00000000-0005-0000-0000-0000F13B0000}"/>
    <cellStyle name="Normal 2 61 8 7 3" xfId="15363" xr:uid="{00000000-0005-0000-0000-0000F23B0000}"/>
    <cellStyle name="Normal 2 61 8 8" xfId="15364" xr:uid="{00000000-0005-0000-0000-0000F33B0000}"/>
    <cellStyle name="Normal 2 61 8 8 2" xfId="15365" xr:uid="{00000000-0005-0000-0000-0000F43B0000}"/>
    <cellStyle name="Normal 2 61 8 8 3" xfId="15366" xr:uid="{00000000-0005-0000-0000-0000F53B0000}"/>
    <cellStyle name="Normal 2 61 8 9" xfId="15367" xr:uid="{00000000-0005-0000-0000-0000F63B0000}"/>
    <cellStyle name="Normal 2 61 8 9 2" xfId="15368" xr:uid="{00000000-0005-0000-0000-0000F73B0000}"/>
    <cellStyle name="Normal 2 61 8 9 3" xfId="15369" xr:uid="{00000000-0005-0000-0000-0000F83B0000}"/>
    <cellStyle name="Normal 2 61 9" xfId="15370" xr:uid="{00000000-0005-0000-0000-0000F93B0000}"/>
    <cellStyle name="Normal 2 61 9 10" xfId="15371" xr:uid="{00000000-0005-0000-0000-0000FA3B0000}"/>
    <cellStyle name="Normal 2 61 9 10 2" xfId="15372" xr:uid="{00000000-0005-0000-0000-0000FB3B0000}"/>
    <cellStyle name="Normal 2 61 9 10 3" xfId="15373" xr:uid="{00000000-0005-0000-0000-0000FC3B0000}"/>
    <cellStyle name="Normal 2 61 9 11" xfId="15374" xr:uid="{00000000-0005-0000-0000-0000FD3B0000}"/>
    <cellStyle name="Normal 2 61 9 11 2" xfId="15375" xr:uid="{00000000-0005-0000-0000-0000FE3B0000}"/>
    <cellStyle name="Normal 2 61 9 11 3" xfId="15376" xr:uid="{00000000-0005-0000-0000-0000FF3B0000}"/>
    <cellStyle name="Normal 2 61 9 12" xfId="15377" xr:uid="{00000000-0005-0000-0000-0000003C0000}"/>
    <cellStyle name="Normal 2 61 9 12 2" xfId="15378" xr:uid="{00000000-0005-0000-0000-0000013C0000}"/>
    <cellStyle name="Normal 2 61 9 12 3" xfId="15379" xr:uid="{00000000-0005-0000-0000-0000023C0000}"/>
    <cellStyle name="Normal 2 61 9 13" xfId="15380" xr:uid="{00000000-0005-0000-0000-0000033C0000}"/>
    <cellStyle name="Normal 2 61 9 13 2" xfId="15381" xr:uid="{00000000-0005-0000-0000-0000043C0000}"/>
    <cellStyle name="Normal 2 61 9 13 3" xfId="15382" xr:uid="{00000000-0005-0000-0000-0000053C0000}"/>
    <cellStyle name="Normal 2 61 9 14" xfId="15383" xr:uid="{00000000-0005-0000-0000-0000063C0000}"/>
    <cellStyle name="Normal 2 61 9 14 2" xfId="15384" xr:uid="{00000000-0005-0000-0000-0000073C0000}"/>
    <cellStyle name="Normal 2 61 9 14 3" xfId="15385" xr:uid="{00000000-0005-0000-0000-0000083C0000}"/>
    <cellStyle name="Normal 2 61 9 15" xfId="15386" xr:uid="{00000000-0005-0000-0000-0000093C0000}"/>
    <cellStyle name="Normal 2 61 9 16" xfId="15387" xr:uid="{00000000-0005-0000-0000-00000A3C0000}"/>
    <cellStyle name="Normal 2 61 9 2" xfId="15388" xr:uid="{00000000-0005-0000-0000-00000B3C0000}"/>
    <cellStyle name="Normal 2 61 9 2 2" xfId="15389" xr:uid="{00000000-0005-0000-0000-00000C3C0000}"/>
    <cellStyle name="Normal 2 61 9 2 3" xfId="15390" xr:uid="{00000000-0005-0000-0000-00000D3C0000}"/>
    <cellStyle name="Normal 2 61 9 3" xfId="15391" xr:uid="{00000000-0005-0000-0000-00000E3C0000}"/>
    <cellStyle name="Normal 2 61 9 3 2" xfId="15392" xr:uid="{00000000-0005-0000-0000-00000F3C0000}"/>
    <cellStyle name="Normal 2 61 9 3 3" xfId="15393" xr:uid="{00000000-0005-0000-0000-0000103C0000}"/>
    <cellStyle name="Normal 2 61 9 4" xfId="15394" xr:uid="{00000000-0005-0000-0000-0000113C0000}"/>
    <cellStyle name="Normal 2 61 9 4 2" xfId="15395" xr:uid="{00000000-0005-0000-0000-0000123C0000}"/>
    <cellStyle name="Normal 2 61 9 4 3" xfId="15396" xr:uid="{00000000-0005-0000-0000-0000133C0000}"/>
    <cellStyle name="Normal 2 61 9 5" xfId="15397" xr:uid="{00000000-0005-0000-0000-0000143C0000}"/>
    <cellStyle name="Normal 2 61 9 5 2" xfId="15398" xr:uid="{00000000-0005-0000-0000-0000153C0000}"/>
    <cellStyle name="Normal 2 61 9 5 3" xfId="15399" xr:uid="{00000000-0005-0000-0000-0000163C0000}"/>
    <cellStyle name="Normal 2 61 9 6" xfId="15400" xr:uid="{00000000-0005-0000-0000-0000173C0000}"/>
    <cellStyle name="Normal 2 61 9 6 2" xfId="15401" xr:uid="{00000000-0005-0000-0000-0000183C0000}"/>
    <cellStyle name="Normal 2 61 9 6 3" xfId="15402" xr:uid="{00000000-0005-0000-0000-0000193C0000}"/>
    <cellStyle name="Normal 2 61 9 7" xfId="15403" xr:uid="{00000000-0005-0000-0000-00001A3C0000}"/>
    <cellStyle name="Normal 2 61 9 7 2" xfId="15404" xr:uid="{00000000-0005-0000-0000-00001B3C0000}"/>
    <cellStyle name="Normal 2 61 9 7 3" xfId="15405" xr:uid="{00000000-0005-0000-0000-00001C3C0000}"/>
    <cellStyle name="Normal 2 61 9 8" xfId="15406" xr:uid="{00000000-0005-0000-0000-00001D3C0000}"/>
    <cellStyle name="Normal 2 61 9 8 2" xfId="15407" xr:uid="{00000000-0005-0000-0000-00001E3C0000}"/>
    <cellStyle name="Normal 2 61 9 8 3" xfId="15408" xr:uid="{00000000-0005-0000-0000-00001F3C0000}"/>
    <cellStyle name="Normal 2 61 9 9" xfId="15409" xr:uid="{00000000-0005-0000-0000-0000203C0000}"/>
    <cellStyle name="Normal 2 61 9 9 2" xfId="15410" xr:uid="{00000000-0005-0000-0000-0000213C0000}"/>
    <cellStyle name="Normal 2 61 9 9 3" xfId="15411" xr:uid="{00000000-0005-0000-0000-0000223C0000}"/>
    <cellStyle name="Normal 2 62" xfId="15412" xr:uid="{00000000-0005-0000-0000-0000233C0000}"/>
    <cellStyle name="Normal 2 62 10" xfId="15413" xr:uid="{00000000-0005-0000-0000-0000243C0000}"/>
    <cellStyle name="Normal 2 62 10 10" xfId="15414" xr:uid="{00000000-0005-0000-0000-0000253C0000}"/>
    <cellStyle name="Normal 2 62 10 10 2" xfId="15415" xr:uid="{00000000-0005-0000-0000-0000263C0000}"/>
    <cellStyle name="Normal 2 62 10 10 3" xfId="15416" xr:uid="{00000000-0005-0000-0000-0000273C0000}"/>
    <cellStyle name="Normal 2 62 10 11" xfId="15417" xr:uid="{00000000-0005-0000-0000-0000283C0000}"/>
    <cellStyle name="Normal 2 62 10 11 2" xfId="15418" xr:uid="{00000000-0005-0000-0000-0000293C0000}"/>
    <cellStyle name="Normal 2 62 10 11 3" xfId="15419" xr:uid="{00000000-0005-0000-0000-00002A3C0000}"/>
    <cellStyle name="Normal 2 62 10 12" xfId="15420" xr:uid="{00000000-0005-0000-0000-00002B3C0000}"/>
    <cellStyle name="Normal 2 62 10 12 2" xfId="15421" xr:uid="{00000000-0005-0000-0000-00002C3C0000}"/>
    <cellStyle name="Normal 2 62 10 12 3" xfId="15422" xr:uid="{00000000-0005-0000-0000-00002D3C0000}"/>
    <cellStyle name="Normal 2 62 10 13" xfId="15423" xr:uid="{00000000-0005-0000-0000-00002E3C0000}"/>
    <cellStyle name="Normal 2 62 10 13 2" xfId="15424" xr:uid="{00000000-0005-0000-0000-00002F3C0000}"/>
    <cellStyle name="Normal 2 62 10 13 3" xfId="15425" xr:uid="{00000000-0005-0000-0000-0000303C0000}"/>
    <cellStyle name="Normal 2 62 10 14" xfId="15426" xr:uid="{00000000-0005-0000-0000-0000313C0000}"/>
    <cellStyle name="Normal 2 62 10 14 2" xfId="15427" xr:uid="{00000000-0005-0000-0000-0000323C0000}"/>
    <cellStyle name="Normal 2 62 10 14 3" xfId="15428" xr:uid="{00000000-0005-0000-0000-0000333C0000}"/>
    <cellStyle name="Normal 2 62 10 15" xfId="15429" xr:uid="{00000000-0005-0000-0000-0000343C0000}"/>
    <cellStyle name="Normal 2 62 10 16" xfId="15430" xr:uid="{00000000-0005-0000-0000-0000353C0000}"/>
    <cellStyle name="Normal 2 62 10 2" xfId="15431" xr:uid="{00000000-0005-0000-0000-0000363C0000}"/>
    <cellStyle name="Normal 2 62 10 2 2" xfId="15432" xr:uid="{00000000-0005-0000-0000-0000373C0000}"/>
    <cellStyle name="Normal 2 62 10 2 3" xfId="15433" xr:uid="{00000000-0005-0000-0000-0000383C0000}"/>
    <cellStyle name="Normal 2 62 10 3" xfId="15434" xr:uid="{00000000-0005-0000-0000-0000393C0000}"/>
    <cellStyle name="Normal 2 62 10 3 2" xfId="15435" xr:uid="{00000000-0005-0000-0000-00003A3C0000}"/>
    <cellStyle name="Normal 2 62 10 3 3" xfId="15436" xr:uid="{00000000-0005-0000-0000-00003B3C0000}"/>
    <cellStyle name="Normal 2 62 10 4" xfId="15437" xr:uid="{00000000-0005-0000-0000-00003C3C0000}"/>
    <cellStyle name="Normal 2 62 10 4 2" xfId="15438" xr:uid="{00000000-0005-0000-0000-00003D3C0000}"/>
    <cellStyle name="Normal 2 62 10 4 3" xfId="15439" xr:uid="{00000000-0005-0000-0000-00003E3C0000}"/>
    <cellStyle name="Normal 2 62 10 5" xfId="15440" xr:uid="{00000000-0005-0000-0000-00003F3C0000}"/>
    <cellStyle name="Normal 2 62 10 5 2" xfId="15441" xr:uid="{00000000-0005-0000-0000-0000403C0000}"/>
    <cellStyle name="Normal 2 62 10 5 3" xfId="15442" xr:uid="{00000000-0005-0000-0000-0000413C0000}"/>
    <cellStyle name="Normal 2 62 10 6" xfId="15443" xr:uid="{00000000-0005-0000-0000-0000423C0000}"/>
    <cellStyle name="Normal 2 62 10 6 2" xfId="15444" xr:uid="{00000000-0005-0000-0000-0000433C0000}"/>
    <cellStyle name="Normal 2 62 10 6 3" xfId="15445" xr:uid="{00000000-0005-0000-0000-0000443C0000}"/>
    <cellStyle name="Normal 2 62 10 7" xfId="15446" xr:uid="{00000000-0005-0000-0000-0000453C0000}"/>
    <cellStyle name="Normal 2 62 10 7 2" xfId="15447" xr:uid="{00000000-0005-0000-0000-0000463C0000}"/>
    <cellStyle name="Normal 2 62 10 7 3" xfId="15448" xr:uid="{00000000-0005-0000-0000-0000473C0000}"/>
    <cellStyle name="Normal 2 62 10 8" xfId="15449" xr:uid="{00000000-0005-0000-0000-0000483C0000}"/>
    <cellStyle name="Normal 2 62 10 8 2" xfId="15450" xr:uid="{00000000-0005-0000-0000-0000493C0000}"/>
    <cellStyle name="Normal 2 62 10 8 3" xfId="15451" xr:uid="{00000000-0005-0000-0000-00004A3C0000}"/>
    <cellStyle name="Normal 2 62 10 9" xfId="15452" xr:uid="{00000000-0005-0000-0000-00004B3C0000}"/>
    <cellStyle name="Normal 2 62 10 9 2" xfId="15453" xr:uid="{00000000-0005-0000-0000-00004C3C0000}"/>
    <cellStyle name="Normal 2 62 10 9 3" xfId="15454" xr:uid="{00000000-0005-0000-0000-00004D3C0000}"/>
    <cellStyle name="Normal 2 62 11" xfId="15455" xr:uid="{00000000-0005-0000-0000-00004E3C0000}"/>
    <cellStyle name="Normal 2 62 11 2" xfId="15456" xr:uid="{00000000-0005-0000-0000-00004F3C0000}"/>
    <cellStyle name="Normal 2 62 11 3" xfId="15457" xr:uid="{00000000-0005-0000-0000-0000503C0000}"/>
    <cellStyle name="Normal 2 62 12" xfId="15458" xr:uid="{00000000-0005-0000-0000-0000513C0000}"/>
    <cellStyle name="Normal 2 62 12 2" xfId="15459" xr:uid="{00000000-0005-0000-0000-0000523C0000}"/>
    <cellStyle name="Normal 2 62 12 3" xfId="15460" xr:uid="{00000000-0005-0000-0000-0000533C0000}"/>
    <cellStyle name="Normal 2 62 13" xfId="15461" xr:uid="{00000000-0005-0000-0000-0000543C0000}"/>
    <cellStyle name="Normal 2 62 13 2" xfId="15462" xr:uid="{00000000-0005-0000-0000-0000553C0000}"/>
    <cellStyle name="Normal 2 62 13 3" xfId="15463" xr:uid="{00000000-0005-0000-0000-0000563C0000}"/>
    <cellStyle name="Normal 2 62 14" xfId="15464" xr:uid="{00000000-0005-0000-0000-0000573C0000}"/>
    <cellStyle name="Normal 2 62 14 2" xfId="15465" xr:uid="{00000000-0005-0000-0000-0000583C0000}"/>
    <cellStyle name="Normal 2 62 14 3" xfId="15466" xr:uid="{00000000-0005-0000-0000-0000593C0000}"/>
    <cellStyle name="Normal 2 62 15" xfId="15467" xr:uid="{00000000-0005-0000-0000-00005A3C0000}"/>
    <cellStyle name="Normal 2 62 15 2" xfId="15468" xr:uid="{00000000-0005-0000-0000-00005B3C0000}"/>
    <cellStyle name="Normal 2 62 15 3" xfId="15469" xr:uid="{00000000-0005-0000-0000-00005C3C0000}"/>
    <cellStyle name="Normal 2 62 16" xfId="15470" xr:uid="{00000000-0005-0000-0000-00005D3C0000}"/>
    <cellStyle name="Normal 2 62 16 2" xfId="15471" xr:uid="{00000000-0005-0000-0000-00005E3C0000}"/>
    <cellStyle name="Normal 2 62 16 3" xfId="15472" xr:uid="{00000000-0005-0000-0000-00005F3C0000}"/>
    <cellStyle name="Normal 2 62 17" xfId="15473" xr:uid="{00000000-0005-0000-0000-0000603C0000}"/>
    <cellStyle name="Normal 2 62 17 2" xfId="15474" xr:uid="{00000000-0005-0000-0000-0000613C0000}"/>
    <cellStyle name="Normal 2 62 17 3" xfId="15475" xr:uid="{00000000-0005-0000-0000-0000623C0000}"/>
    <cellStyle name="Normal 2 62 18" xfId="15476" xr:uid="{00000000-0005-0000-0000-0000633C0000}"/>
    <cellStyle name="Normal 2 62 18 2" xfId="15477" xr:uid="{00000000-0005-0000-0000-0000643C0000}"/>
    <cellStyle name="Normal 2 62 18 3" xfId="15478" xr:uid="{00000000-0005-0000-0000-0000653C0000}"/>
    <cellStyle name="Normal 2 62 19" xfId="15479" xr:uid="{00000000-0005-0000-0000-0000663C0000}"/>
    <cellStyle name="Normal 2 62 19 2" xfId="15480" xr:uid="{00000000-0005-0000-0000-0000673C0000}"/>
    <cellStyle name="Normal 2 62 19 3" xfId="15481" xr:uid="{00000000-0005-0000-0000-0000683C0000}"/>
    <cellStyle name="Normal 2 62 2" xfId="15482" xr:uid="{00000000-0005-0000-0000-0000693C0000}"/>
    <cellStyle name="Normal 2 62 2 10" xfId="15483" xr:uid="{00000000-0005-0000-0000-00006A3C0000}"/>
    <cellStyle name="Normal 2 62 2 10 2" xfId="15484" xr:uid="{00000000-0005-0000-0000-00006B3C0000}"/>
    <cellStyle name="Normal 2 62 2 10 3" xfId="15485" xr:uid="{00000000-0005-0000-0000-00006C3C0000}"/>
    <cellStyle name="Normal 2 62 2 11" xfId="15486" xr:uid="{00000000-0005-0000-0000-00006D3C0000}"/>
    <cellStyle name="Normal 2 62 2 11 2" xfId="15487" xr:uid="{00000000-0005-0000-0000-00006E3C0000}"/>
    <cellStyle name="Normal 2 62 2 11 3" xfId="15488" xr:uid="{00000000-0005-0000-0000-00006F3C0000}"/>
    <cellStyle name="Normal 2 62 2 12" xfId="15489" xr:uid="{00000000-0005-0000-0000-0000703C0000}"/>
    <cellStyle name="Normal 2 62 2 12 2" xfId="15490" xr:uid="{00000000-0005-0000-0000-0000713C0000}"/>
    <cellStyle name="Normal 2 62 2 12 3" xfId="15491" xr:uid="{00000000-0005-0000-0000-0000723C0000}"/>
    <cellStyle name="Normal 2 62 2 13" xfId="15492" xr:uid="{00000000-0005-0000-0000-0000733C0000}"/>
    <cellStyle name="Normal 2 62 2 13 2" xfId="15493" xr:uid="{00000000-0005-0000-0000-0000743C0000}"/>
    <cellStyle name="Normal 2 62 2 13 3" xfId="15494" xr:uid="{00000000-0005-0000-0000-0000753C0000}"/>
    <cellStyle name="Normal 2 62 2 14" xfId="15495" xr:uid="{00000000-0005-0000-0000-0000763C0000}"/>
    <cellStyle name="Normal 2 62 2 14 2" xfId="15496" xr:uid="{00000000-0005-0000-0000-0000773C0000}"/>
    <cellStyle name="Normal 2 62 2 14 3" xfId="15497" xr:uid="{00000000-0005-0000-0000-0000783C0000}"/>
    <cellStyle name="Normal 2 62 2 15" xfId="15498" xr:uid="{00000000-0005-0000-0000-0000793C0000}"/>
    <cellStyle name="Normal 2 62 2 15 2" xfId="15499" xr:uid="{00000000-0005-0000-0000-00007A3C0000}"/>
    <cellStyle name="Normal 2 62 2 15 3" xfId="15500" xr:uid="{00000000-0005-0000-0000-00007B3C0000}"/>
    <cellStyle name="Normal 2 62 2 16" xfId="15501" xr:uid="{00000000-0005-0000-0000-00007C3C0000}"/>
    <cellStyle name="Normal 2 62 2 17" xfId="15502" xr:uid="{00000000-0005-0000-0000-00007D3C0000}"/>
    <cellStyle name="Normal 2 62 2 2" xfId="15503" xr:uid="{00000000-0005-0000-0000-00007E3C0000}"/>
    <cellStyle name="Normal 2 62 2 2 10" xfId="15504" xr:uid="{00000000-0005-0000-0000-00007F3C0000}"/>
    <cellStyle name="Normal 2 62 2 2 10 2" xfId="15505" xr:uid="{00000000-0005-0000-0000-0000803C0000}"/>
    <cellStyle name="Normal 2 62 2 2 10 3" xfId="15506" xr:uid="{00000000-0005-0000-0000-0000813C0000}"/>
    <cellStyle name="Normal 2 62 2 2 11" xfId="15507" xr:uid="{00000000-0005-0000-0000-0000823C0000}"/>
    <cellStyle name="Normal 2 62 2 2 11 2" xfId="15508" xr:uid="{00000000-0005-0000-0000-0000833C0000}"/>
    <cellStyle name="Normal 2 62 2 2 11 3" xfId="15509" xr:uid="{00000000-0005-0000-0000-0000843C0000}"/>
    <cellStyle name="Normal 2 62 2 2 12" xfId="15510" xr:uid="{00000000-0005-0000-0000-0000853C0000}"/>
    <cellStyle name="Normal 2 62 2 2 12 2" xfId="15511" xr:uid="{00000000-0005-0000-0000-0000863C0000}"/>
    <cellStyle name="Normal 2 62 2 2 12 3" xfId="15512" xr:uid="{00000000-0005-0000-0000-0000873C0000}"/>
    <cellStyle name="Normal 2 62 2 2 13" xfId="15513" xr:uid="{00000000-0005-0000-0000-0000883C0000}"/>
    <cellStyle name="Normal 2 62 2 2 13 2" xfId="15514" xr:uid="{00000000-0005-0000-0000-0000893C0000}"/>
    <cellStyle name="Normal 2 62 2 2 13 3" xfId="15515" xr:uid="{00000000-0005-0000-0000-00008A3C0000}"/>
    <cellStyle name="Normal 2 62 2 2 14" xfId="15516" xr:uid="{00000000-0005-0000-0000-00008B3C0000}"/>
    <cellStyle name="Normal 2 62 2 2 14 2" xfId="15517" xr:uid="{00000000-0005-0000-0000-00008C3C0000}"/>
    <cellStyle name="Normal 2 62 2 2 14 3" xfId="15518" xr:uid="{00000000-0005-0000-0000-00008D3C0000}"/>
    <cellStyle name="Normal 2 62 2 2 15" xfId="15519" xr:uid="{00000000-0005-0000-0000-00008E3C0000}"/>
    <cellStyle name="Normal 2 62 2 2 16" xfId="15520" xr:uid="{00000000-0005-0000-0000-00008F3C0000}"/>
    <cellStyle name="Normal 2 62 2 2 2" xfId="15521" xr:uid="{00000000-0005-0000-0000-0000903C0000}"/>
    <cellStyle name="Normal 2 62 2 2 2 2" xfId="15522" xr:uid="{00000000-0005-0000-0000-0000913C0000}"/>
    <cellStyle name="Normal 2 62 2 2 2 3" xfId="15523" xr:uid="{00000000-0005-0000-0000-0000923C0000}"/>
    <cellStyle name="Normal 2 62 2 2 3" xfId="15524" xr:uid="{00000000-0005-0000-0000-0000933C0000}"/>
    <cellStyle name="Normal 2 62 2 2 3 2" xfId="15525" xr:uid="{00000000-0005-0000-0000-0000943C0000}"/>
    <cellStyle name="Normal 2 62 2 2 3 3" xfId="15526" xr:uid="{00000000-0005-0000-0000-0000953C0000}"/>
    <cellStyle name="Normal 2 62 2 2 4" xfId="15527" xr:uid="{00000000-0005-0000-0000-0000963C0000}"/>
    <cellStyle name="Normal 2 62 2 2 4 2" xfId="15528" xr:uid="{00000000-0005-0000-0000-0000973C0000}"/>
    <cellStyle name="Normal 2 62 2 2 4 3" xfId="15529" xr:uid="{00000000-0005-0000-0000-0000983C0000}"/>
    <cellStyle name="Normal 2 62 2 2 5" xfId="15530" xr:uid="{00000000-0005-0000-0000-0000993C0000}"/>
    <cellStyle name="Normal 2 62 2 2 5 2" xfId="15531" xr:uid="{00000000-0005-0000-0000-00009A3C0000}"/>
    <cellStyle name="Normal 2 62 2 2 5 3" xfId="15532" xr:uid="{00000000-0005-0000-0000-00009B3C0000}"/>
    <cellStyle name="Normal 2 62 2 2 6" xfId="15533" xr:uid="{00000000-0005-0000-0000-00009C3C0000}"/>
    <cellStyle name="Normal 2 62 2 2 6 2" xfId="15534" xr:uid="{00000000-0005-0000-0000-00009D3C0000}"/>
    <cellStyle name="Normal 2 62 2 2 6 3" xfId="15535" xr:uid="{00000000-0005-0000-0000-00009E3C0000}"/>
    <cellStyle name="Normal 2 62 2 2 7" xfId="15536" xr:uid="{00000000-0005-0000-0000-00009F3C0000}"/>
    <cellStyle name="Normal 2 62 2 2 7 2" xfId="15537" xr:uid="{00000000-0005-0000-0000-0000A03C0000}"/>
    <cellStyle name="Normal 2 62 2 2 7 3" xfId="15538" xr:uid="{00000000-0005-0000-0000-0000A13C0000}"/>
    <cellStyle name="Normal 2 62 2 2 8" xfId="15539" xr:uid="{00000000-0005-0000-0000-0000A23C0000}"/>
    <cellStyle name="Normal 2 62 2 2 8 2" xfId="15540" xr:uid="{00000000-0005-0000-0000-0000A33C0000}"/>
    <cellStyle name="Normal 2 62 2 2 8 3" xfId="15541" xr:uid="{00000000-0005-0000-0000-0000A43C0000}"/>
    <cellStyle name="Normal 2 62 2 2 9" xfId="15542" xr:uid="{00000000-0005-0000-0000-0000A53C0000}"/>
    <cellStyle name="Normal 2 62 2 2 9 2" xfId="15543" xr:uid="{00000000-0005-0000-0000-0000A63C0000}"/>
    <cellStyle name="Normal 2 62 2 2 9 3" xfId="15544" xr:uid="{00000000-0005-0000-0000-0000A73C0000}"/>
    <cellStyle name="Normal 2 62 2 3" xfId="15545" xr:uid="{00000000-0005-0000-0000-0000A83C0000}"/>
    <cellStyle name="Normal 2 62 2 3 2" xfId="15546" xr:uid="{00000000-0005-0000-0000-0000A93C0000}"/>
    <cellStyle name="Normal 2 62 2 3 3" xfId="15547" xr:uid="{00000000-0005-0000-0000-0000AA3C0000}"/>
    <cellStyle name="Normal 2 62 2 4" xfId="15548" xr:uid="{00000000-0005-0000-0000-0000AB3C0000}"/>
    <cellStyle name="Normal 2 62 2 4 2" xfId="15549" xr:uid="{00000000-0005-0000-0000-0000AC3C0000}"/>
    <cellStyle name="Normal 2 62 2 4 3" xfId="15550" xr:uid="{00000000-0005-0000-0000-0000AD3C0000}"/>
    <cellStyle name="Normal 2 62 2 5" xfId="15551" xr:uid="{00000000-0005-0000-0000-0000AE3C0000}"/>
    <cellStyle name="Normal 2 62 2 5 2" xfId="15552" xr:uid="{00000000-0005-0000-0000-0000AF3C0000}"/>
    <cellStyle name="Normal 2 62 2 5 3" xfId="15553" xr:uid="{00000000-0005-0000-0000-0000B03C0000}"/>
    <cellStyle name="Normal 2 62 2 6" xfId="15554" xr:uid="{00000000-0005-0000-0000-0000B13C0000}"/>
    <cellStyle name="Normal 2 62 2 6 2" xfId="15555" xr:uid="{00000000-0005-0000-0000-0000B23C0000}"/>
    <cellStyle name="Normal 2 62 2 6 3" xfId="15556" xr:uid="{00000000-0005-0000-0000-0000B33C0000}"/>
    <cellStyle name="Normal 2 62 2 7" xfId="15557" xr:uid="{00000000-0005-0000-0000-0000B43C0000}"/>
    <cellStyle name="Normal 2 62 2 7 2" xfId="15558" xr:uid="{00000000-0005-0000-0000-0000B53C0000}"/>
    <cellStyle name="Normal 2 62 2 7 3" xfId="15559" xr:uid="{00000000-0005-0000-0000-0000B63C0000}"/>
    <cellStyle name="Normal 2 62 2 8" xfId="15560" xr:uid="{00000000-0005-0000-0000-0000B73C0000}"/>
    <cellStyle name="Normal 2 62 2 8 2" xfId="15561" xr:uid="{00000000-0005-0000-0000-0000B83C0000}"/>
    <cellStyle name="Normal 2 62 2 8 3" xfId="15562" xr:uid="{00000000-0005-0000-0000-0000B93C0000}"/>
    <cellStyle name="Normal 2 62 2 9" xfId="15563" xr:uid="{00000000-0005-0000-0000-0000BA3C0000}"/>
    <cellStyle name="Normal 2 62 2 9 2" xfId="15564" xr:uid="{00000000-0005-0000-0000-0000BB3C0000}"/>
    <cellStyle name="Normal 2 62 2 9 3" xfId="15565" xr:uid="{00000000-0005-0000-0000-0000BC3C0000}"/>
    <cellStyle name="Normal 2 62 20" xfId="15566" xr:uid="{00000000-0005-0000-0000-0000BD3C0000}"/>
    <cellStyle name="Normal 2 62 20 2" xfId="15567" xr:uid="{00000000-0005-0000-0000-0000BE3C0000}"/>
    <cellStyle name="Normal 2 62 20 3" xfId="15568" xr:uid="{00000000-0005-0000-0000-0000BF3C0000}"/>
    <cellStyle name="Normal 2 62 21" xfId="15569" xr:uid="{00000000-0005-0000-0000-0000C03C0000}"/>
    <cellStyle name="Normal 2 62 21 2" xfId="15570" xr:uid="{00000000-0005-0000-0000-0000C13C0000}"/>
    <cellStyle name="Normal 2 62 21 3" xfId="15571" xr:uid="{00000000-0005-0000-0000-0000C23C0000}"/>
    <cellStyle name="Normal 2 62 22" xfId="15572" xr:uid="{00000000-0005-0000-0000-0000C33C0000}"/>
    <cellStyle name="Normal 2 62 22 2" xfId="15573" xr:uid="{00000000-0005-0000-0000-0000C43C0000}"/>
    <cellStyle name="Normal 2 62 22 3" xfId="15574" xr:uid="{00000000-0005-0000-0000-0000C53C0000}"/>
    <cellStyle name="Normal 2 62 23" xfId="15575" xr:uid="{00000000-0005-0000-0000-0000C63C0000}"/>
    <cellStyle name="Normal 2 62 23 2" xfId="15576" xr:uid="{00000000-0005-0000-0000-0000C73C0000}"/>
    <cellStyle name="Normal 2 62 23 3" xfId="15577" xr:uid="{00000000-0005-0000-0000-0000C83C0000}"/>
    <cellStyle name="Normal 2 62 24" xfId="15578" xr:uid="{00000000-0005-0000-0000-0000C93C0000}"/>
    <cellStyle name="Normal 2 62 25" xfId="15579" xr:uid="{00000000-0005-0000-0000-0000CA3C0000}"/>
    <cellStyle name="Normal 2 62 3" xfId="15580" xr:uid="{00000000-0005-0000-0000-0000CB3C0000}"/>
    <cellStyle name="Normal 2 62 3 10" xfId="15581" xr:uid="{00000000-0005-0000-0000-0000CC3C0000}"/>
    <cellStyle name="Normal 2 62 3 10 2" xfId="15582" xr:uid="{00000000-0005-0000-0000-0000CD3C0000}"/>
    <cellStyle name="Normal 2 62 3 10 3" xfId="15583" xr:uid="{00000000-0005-0000-0000-0000CE3C0000}"/>
    <cellStyle name="Normal 2 62 3 11" xfId="15584" xr:uid="{00000000-0005-0000-0000-0000CF3C0000}"/>
    <cellStyle name="Normal 2 62 3 11 2" xfId="15585" xr:uid="{00000000-0005-0000-0000-0000D03C0000}"/>
    <cellStyle name="Normal 2 62 3 11 3" xfId="15586" xr:uid="{00000000-0005-0000-0000-0000D13C0000}"/>
    <cellStyle name="Normal 2 62 3 12" xfId="15587" xr:uid="{00000000-0005-0000-0000-0000D23C0000}"/>
    <cellStyle name="Normal 2 62 3 12 2" xfId="15588" xr:uid="{00000000-0005-0000-0000-0000D33C0000}"/>
    <cellStyle name="Normal 2 62 3 12 3" xfId="15589" xr:uid="{00000000-0005-0000-0000-0000D43C0000}"/>
    <cellStyle name="Normal 2 62 3 13" xfId="15590" xr:uid="{00000000-0005-0000-0000-0000D53C0000}"/>
    <cellStyle name="Normal 2 62 3 13 2" xfId="15591" xr:uid="{00000000-0005-0000-0000-0000D63C0000}"/>
    <cellStyle name="Normal 2 62 3 13 3" xfId="15592" xr:uid="{00000000-0005-0000-0000-0000D73C0000}"/>
    <cellStyle name="Normal 2 62 3 14" xfId="15593" xr:uid="{00000000-0005-0000-0000-0000D83C0000}"/>
    <cellStyle name="Normal 2 62 3 14 2" xfId="15594" xr:uid="{00000000-0005-0000-0000-0000D93C0000}"/>
    <cellStyle name="Normal 2 62 3 14 3" xfId="15595" xr:uid="{00000000-0005-0000-0000-0000DA3C0000}"/>
    <cellStyle name="Normal 2 62 3 15" xfId="15596" xr:uid="{00000000-0005-0000-0000-0000DB3C0000}"/>
    <cellStyle name="Normal 2 62 3 15 2" xfId="15597" xr:uid="{00000000-0005-0000-0000-0000DC3C0000}"/>
    <cellStyle name="Normal 2 62 3 15 3" xfId="15598" xr:uid="{00000000-0005-0000-0000-0000DD3C0000}"/>
    <cellStyle name="Normal 2 62 3 16" xfId="15599" xr:uid="{00000000-0005-0000-0000-0000DE3C0000}"/>
    <cellStyle name="Normal 2 62 3 17" xfId="15600" xr:uid="{00000000-0005-0000-0000-0000DF3C0000}"/>
    <cellStyle name="Normal 2 62 3 2" xfId="15601" xr:uid="{00000000-0005-0000-0000-0000E03C0000}"/>
    <cellStyle name="Normal 2 62 3 2 10" xfId="15602" xr:uid="{00000000-0005-0000-0000-0000E13C0000}"/>
    <cellStyle name="Normal 2 62 3 2 10 2" xfId="15603" xr:uid="{00000000-0005-0000-0000-0000E23C0000}"/>
    <cellStyle name="Normal 2 62 3 2 10 3" xfId="15604" xr:uid="{00000000-0005-0000-0000-0000E33C0000}"/>
    <cellStyle name="Normal 2 62 3 2 11" xfId="15605" xr:uid="{00000000-0005-0000-0000-0000E43C0000}"/>
    <cellStyle name="Normal 2 62 3 2 11 2" xfId="15606" xr:uid="{00000000-0005-0000-0000-0000E53C0000}"/>
    <cellStyle name="Normal 2 62 3 2 11 3" xfId="15607" xr:uid="{00000000-0005-0000-0000-0000E63C0000}"/>
    <cellStyle name="Normal 2 62 3 2 12" xfId="15608" xr:uid="{00000000-0005-0000-0000-0000E73C0000}"/>
    <cellStyle name="Normal 2 62 3 2 12 2" xfId="15609" xr:uid="{00000000-0005-0000-0000-0000E83C0000}"/>
    <cellStyle name="Normal 2 62 3 2 12 3" xfId="15610" xr:uid="{00000000-0005-0000-0000-0000E93C0000}"/>
    <cellStyle name="Normal 2 62 3 2 13" xfId="15611" xr:uid="{00000000-0005-0000-0000-0000EA3C0000}"/>
    <cellStyle name="Normal 2 62 3 2 13 2" xfId="15612" xr:uid="{00000000-0005-0000-0000-0000EB3C0000}"/>
    <cellStyle name="Normal 2 62 3 2 13 3" xfId="15613" xr:uid="{00000000-0005-0000-0000-0000EC3C0000}"/>
    <cellStyle name="Normal 2 62 3 2 14" xfId="15614" xr:uid="{00000000-0005-0000-0000-0000ED3C0000}"/>
    <cellStyle name="Normal 2 62 3 2 14 2" xfId="15615" xr:uid="{00000000-0005-0000-0000-0000EE3C0000}"/>
    <cellStyle name="Normal 2 62 3 2 14 3" xfId="15616" xr:uid="{00000000-0005-0000-0000-0000EF3C0000}"/>
    <cellStyle name="Normal 2 62 3 2 15" xfId="15617" xr:uid="{00000000-0005-0000-0000-0000F03C0000}"/>
    <cellStyle name="Normal 2 62 3 2 16" xfId="15618" xr:uid="{00000000-0005-0000-0000-0000F13C0000}"/>
    <cellStyle name="Normal 2 62 3 2 2" xfId="15619" xr:uid="{00000000-0005-0000-0000-0000F23C0000}"/>
    <cellStyle name="Normal 2 62 3 2 2 2" xfId="15620" xr:uid="{00000000-0005-0000-0000-0000F33C0000}"/>
    <cellStyle name="Normal 2 62 3 2 2 3" xfId="15621" xr:uid="{00000000-0005-0000-0000-0000F43C0000}"/>
    <cellStyle name="Normal 2 62 3 2 3" xfId="15622" xr:uid="{00000000-0005-0000-0000-0000F53C0000}"/>
    <cellStyle name="Normal 2 62 3 2 3 2" xfId="15623" xr:uid="{00000000-0005-0000-0000-0000F63C0000}"/>
    <cellStyle name="Normal 2 62 3 2 3 3" xfId="15624" xr:uid="{00000000-0005-0000-0000-0000F73C0000}"/>
    <cellStyle name="Normal 2 62 3 2 4" xfId="15625" xr:uid="{00000000-0005-0000-0000-0000F83C0000}"/>
    <cellStyle name="Normal 2 62 3 2 4 2" xfId="15626" xr:uid="{00000000-0005-0000-0000-0000F93C0000}"/>
    <cellStyle name="Normal 2 62 3 2 4 3" xfId="15627" xr:uid="{00000000-0005-0000-0000-0000FA3C0000}"/>
    <cellStyle name="Normal 2 62 3 2 5" xfId="15628" xr:uid="{00000000-0005-0000-0000-0000FB3C0000}"/>
    <cellStyle name="Normal 2 62 3 2 5 2" xfId="15629" xr:uid="{00000000-0005-0000-0000-0000FC3C0000}"/>
    <cellStyle name="Normal 2 62 3 2 5 3" xfId="15630" xr:uid="{00000000-0005-0000-0000-0000FD3C0000}"/>
    <cellStyle name="Normal 2 62 3 2 6" xfId="15631" xr:uid="{00000000-0005-0000-0000-0000FE3C0000}"/>
    <cellStyle name="Normal 2 62 3 2 6 2" xfId="15632" xr:uid="{00000000-0005-0000-0000-0000FF3C0000}"/>
    <cellStyle name="Normal 2 62 3 2 6 3" xfId="15633" xr:uid="{00000000-0005-0000-0000-0000003D0000}"/>
    <cellStyle name="Normal 2 62 3 2 7" xfId="15634" xr:uid="{00000000-0005-0000-0000-0000013D0000}"/>
    <cellStyle name="Normal 2 62 3 2 7 2" xfId="15635" xr:uid="{00000000-0005-0000-0000-0000023D0000}"/>
    <cellStyle name="Normal 2 62 3 2 7 3" xfId="15636" xr:uid="{00000000-0005-0000-0000-0000033D0000}"/>
    <cellStyle name="Normal 2 62 3 2 8" xfId="15637" xr:uid="{00000000-0005-0000-0000-0000043D0000}"/>
    <cellStyle name="Normal 2 62 3 2 8 2" xfId="15638" xr:uid="{00000000-0005-0000-0000-0000053D0000}"/>
    <cellStyle name="Normal 2 62 3 2 8 3" xfId="15639" xr:uid="{00000000-0005-0000-0000-0000063D0000}"/>
    <cellStyle name="Normal 2 62 3 2 9" xfId="15640" xr:uid="{00000000-0005-0000-0000-0000073D0000}"/>
    <cellStyle name="Normal 2 62 3 2 9 2" xfId="15641" xr:uid="{00000000-0005-0000-0000-0000083D0000}"/>
    <cellStyle name="Normal 2 62 3 2 9 3" xfId="15642" xr:uid="{00000000-0005-0000-0000-0000093D0000}"/>
    <cellStyle name="Normal 2 62 3 3" xfId="15643" xr:uid="{00000000-0005-0000-0000-00000A3D0000}"/>
    <cellStyle name="Normal 2 62 3 3 2" xfId="15644" xr:uid="{00000000-0005-0000-0000-00000B3D0000}"/>
    <cellStyle name="Normal 2 62 3 3 3" xfId="15645" xr:uid="{00000000-0005-0000-0000-00000C3D0000}"/>
    <cellStyle name="Normal 2 62 3 4" xfId="15646" xr:uid="{00000000-0005-0000-0000-00000D3D0000}"/>
    <cellStyle name="Normal 2 62 3 4 2" xfId="15647" xr:uid="{00000000-0005-0000-0000-00000E3D0000}"/>
    <cellStyle name="Normal 2 62 3 4 3" xfId="15648" xr:uid="{00000000-0005-0000-0000-00000F3D0000}"/>
    <cellStyle name="Normal 2 62 3 5" xfId="15649" xr:uid="{00000000-0005-0000-0000-0000103D0000}"/>
    <cellStyle name="Normal 2 62 3 5 2" xfId="15650" xr:uid="{00000000-0005-0000-0000-0000113D0000}"/>
    <cellStyle name="Normal 2 62 3 5 3" xfId="15651" xr:uid="{00000000-0005-0000-0000-0000123D0000}"/>
    <cellStyle name="Normal 2 62 3 6" xfId="15652" xr:uid="{00000000-0005-0000-0000-0000133D0000}"/>
    <cellStyle name="Normal 2 62 3 6 2" xfId="15653" xr:uid="{00000000-0005-0000-0000-0000143D0000}"/>
    <cellStyle name="Normal 2 62 3 6 3" xfId="15654" xr:uid="{00000000-0005-0000-0000-0000153D0000}"/>
    <cellStyle name="Normal 2 62 3 7" xfId="15655" xr:uid="{00000000-0005-0000-0000-0000163D0000}"/>
    <cellStyle name="Normal 2 62 3 7 2" xfId="15656" xr:uid="{00000000-0005-0000-0000-0000173D0000}"/>
    <cellStyle name="Normal 2 62 3 7 3" xfId="15657" xr:uid="{00000000-0005-0000-0000-0000183D0000}"/>
    <cellStyle name="Normal 2 62 3 8" xfId="15658" xr:uid="{00000000-0005-0000-0000-0000193D0000}"/>
    <cellStyle name="Normal 2 62 3 8 2" xfId="15659" xr:uid="{00000000-0005-0000-0000-00001A3D0000}"/>
    <cellStyle name="Normal 2 62 3 8 3" xfId="15660" xr:uid="{00000000-0005-0000-0000-00001B3D0000}"/>
    <cellStyle name="Normal 2 62 3 9" xfId="15661" xr:uid="{00000000-0005-0000-0000-00001C3D0000}"/>
    <cellStyle name="Normal 2 62 3 9 2" xfId="15662" xr:uid="{00000000-0005-0000-0000-00001D3D0000}"/>
    <cellStyle name="Normal 2 62 3 9 3" xfId="15663" xr:uid="{00000000-0005-0000-0000-00001E3D0000}"/>
    <cellStyle name="Normal 2 62 4" xfId="15664" xr:uid="{00000000-0005-0000-0000-00001F3D0000}"/>
    <cellStyle name="Normal 2 62 4 10" xfId="15665" xr:uid="{00000000-0005-0000-0000-0000203D0000}"/>
    <cellStyle name="Normal 2 62 4 10 2" xfId="15666" xr:uid="{00000000-0005-0000-0000-0000213D0000}"/>
    <cellStyle name="Normal 2 62 4 10 3" xfId="15667" xr:uid="{00000000-0005-0000-0000-0000223D0000}"/>
    <cellStyle name="Normal 2 62 4 11" xfId="15668" xr:uid="{00000000-0005-0000-0000-0000233D0000}"/>
    <cellStyle name="Normal 2 62 4 11 2" xfId="15669" xr:uid="{00000000-0005-0000-0000-0000243D0000}"/>
    <cellStyle name="Normal 2 62 4 11 3" xfId="15670" xr:uid="{00000000-0005-0000-0000-0000253D0000}"/>
    <cellStyle name="Normal 2 62 4 12" xfId="15671" xr:uid="{00000000-0005-0000-0000-0000263D0000}"/>
    <cellStyle name="Normal 2 62 4 12 2" xfId="15672" xr:uid="{00000000-0005-0000-0000-0000273D0000}"/>
    <cellStyle name="Normal 2 62 4 12 3" xfId="15673" xr:uid="{00000000-0005-0000-0000-0000283D0000}"/>
    <cellStyle name="Normal 2 62 4 13" xfId="15674" xr:uid="{00000000-0005-0000-0000-0000293D0000}"/>
    <cellStyle name="Normal 2 62 4 13 2" xfId="15675" xr:uid="{00000000-0005-0000-0000-00002A3D0000}"/>
    <cellStyle name="Normal 2 62 4 13 3" xfId="15676" xr:uid="{00000000-0005-0000-0000-00002B3D0000}"/>
    <cellStyle name="Normal 2 62 4 14" xfId="15677" xr:uid="{00000000-0005-0000-0000-00002C3D0000}"/>
    <cellStyle name="Normal 2 62 4 14 2" xfId="15678" xr:uid="{00000000-0005-0000-0000-00002D3D0000}"/>
    <cellStyle name="Normal 2 62 4 14 3" xfId="15679" xr:uid="{00000000-0005-0000-0000-00002E3D0000}"/>
    <cellStyle name="Normal 2 62 4 15" xfId="15680" xr:uid="{00000000-0005-0000-0000-00002F3D0000}"/>
    <cellStyle name="Normal 2 62 4 15 2" xfId="15681" xr:uid="{00000000-0005-0000-0000-0000303D0000}"/>
    <cellStyle name="Normal 2 62 4 15 3" xfId="15682" xr:uid="{00000000-0005-0000-0000-0000313D0000}"/>
    <cellStyle name="Normal 2 62 4 16" xfId="15683" xr:uid="{00000000-0005-0000-0000-0000323D0000}"/>
    <cellStyle name="Normal 2 62 4 17" xfId="15684" xr:uid="{00000000-0005-0000-0000-0000333D0000}"/>
    <cellStyle name="Normal 2 62 4 2" xfId="15685" xr:uid="{00000000-0005-0000-0000-0000343D0000}"/>
    <cellStyle name="Normal 2 62 4 2 10" xfId="15686" xr:uid="{00000000-0005-0000-0000-0000353D0000}"/>
    <cellStyle name="Normal 2 62 4 2 10 2" xfId="15687" xr:uid="{00000000-0005-0000-0000-0000363D0000}"/>
    <cellStyle name="Normal 2 62 4 2 10 3" xfId="15688" xr:uid="{00000000-0005-0000-0000-0000373D0000}"/>
    <cellStyle name="Normal 2 62 4 2 11" xfId="15689" xr:uid="{00000000-0005-0000-0000-0000383D0000}"/>
    <cellStyle name="Normal 2 62 4 2 11 2" xfId="15690" xr:uid="{00000000-0005-0000-0000-0000393D0000}"/>
    <cellStyle name="Normal 2 62 4 2 11 3" xfId="15691" xr:uid="{00000000-0005-0000-0000-00003A3D0000}"/>
    <cellStyle name="Normal 2 62 4 2 12" xfId="15692" xr:uid="{00000000-0005-0000-0000-00003B3D0000}"/>
    <cellStyle name="Normal 2 62 4 2 12 2" xfId="15693" xr:uid="{00000000-0005-0000-0000-00003C3D0000}"/>
    <cellStyle name="Normal 2 62 4 2 12 3" xfId="15694" xr:uid="{00000000-0005-0000-0000-00003D3D0000}"/>
    <cellStyle name="Normal 2 62 4 2 13" xfId="15695" xr:uid="{00000000-0005-0000-0000-00003E3D0000}"/>
    <cellStyle name="Normal 2 62 4 2 13 2" xfId="15696" xr:uid="{00000000-0005-0000-0000-00003F3D0000}"/>
    <cellStyle name="Normal 2 62 4 2 13 3" xfId="15697" xr:uid="{00000000-0005-0000-0000-0000403D0000}"/>
    <cellStyle name="Normal 2 62 4 2 14" xfId="15698" xr:uid="{00000000-0005-0000-0000-0000413D0000}"/>
    <cellStyle name="Normal 2 62 4 2 14 2" xfId="15699" xr:uid="{00000000-0005-0000-0000-0000423D0000}"/>
    <cellStyle name="Normal 2 62 4 2 14 3" xfId="15700" xr:uid="{00000000-0005-0000-0000-0000433D0000}"/>
    <cellStyle name="Normal 2 62 4 2 15" xfId="15701" xr:uid="{00000000-0005-0000-0000-0000443D0000}"/>
    <cellStyle name="Normal 2 62 4 2 16" xfId="15702" xr:uid="{00000000-0005-0000-0000-0000453D0000}"/>
    <cellStyle name="Normal 2 62 4 2 2" xfId="15703" xr:uid="{00000000-0005-0000-0000-0000463D0000}"/>
    <cellStyle name="Normal 2 62 4 2 2 2" xfId="15704" xr:uid="{00000000-0005-0000-0000-0000473D0000}"/>
    <cellStyle name="Normal 2 62 4 2 2 3" xfId="15705" xr:uid="{00000000-0005-0000-0000-0000483D0000}"/>
    <cellStyle name="Normal 2 62 4 2 3" xfId="15706" xr:uid="{00000000-0005-0000-0000-0000493D0000}"/>
    <cellStyle name="Normal 2 62 4 2 3 2" xfId="15707" xr:uid="{00000000-0005-0000-0000-00004A3D0000}"/>
    <cellStyle name="Normal 2 62 4 2 3 3" xfId="15708" xr:uid="{00000000-0005-0000-0000-00004B3D0000}"/>
    <cellStyle name="Normal 2 62 4 2 4" xfId="15709" xr:uid="{00000000-0005-0000-0000-00004C3D0000}"/>
    <cellStyle name="Normal 2 62 4 2 4 2" xfId="15710" xr:uid="{00000000-0005-0000-0000-00004D3D0000}"/>
    <cellStyle name="Normal 2 62 4 2 4 3" xfId="15711" xr:uid="{00000000-0005-0000-0000-00004E3D0000}"/>
    <cellStyle name="Normal 2 62 4 2 5" xfId="15712" xr:uid="{00000000-0005-0000-0000-00004F3D0000}"/>
    <cellStyle name="Normal 2 62 4 2 5 2" xfId="15713" xr:uid="{00000000-0005-0000-0000-0000503D0000}"/>
    <cellStyle name="Normal 2 62 4 2 5 3" xfId="15714" xr:uid="{00000000-0005-0000-0000-0000513D0000}"/>
    <cellStyle name="Normal 2 62 4 2 6" xfId="15715" xr:uid="{00000000-0005-0000-0000-0000523D0000}"/>
    <cellStyle name="Normal 2 62 4 2 6 2" xfId="15716" xr:uid="{00000000-0005-0000-0000-0000533D0000}"/>
    <cellStyle name="Normal 2 62 4 2 6 3" xfId="15717" xr:uid="{00000000-0005-0000-0000-0000543D0000}"/>
    <cellStyle name="Normal 2 62 4 2 7" xfId="15718" xr:uid="{00000000-0005-0000-0000-0000553D0000}"/>
    <cellStyle name="Normal 2 62 4 2 7 2" xfId="15719" xr:uid="{00000000-0005-0000-0000-0000563D0000}"/>
    <cellStyle name="Normal 2 62 4 2 7 3" xfId="15720" xr:uid="{00000000-0005-0000-0000-0000573D0000}"/>
    <cellStyle name="Normal 2 62 4 2 8" xfId="15721" xr:uid="{00000000-0005-0000-0000-0000583D0000}"/>
    <cellStyle name="Normal 2 62 4 2 8 2" xfId="15722" xr:uid="{00000000-0005-0000-0000-0000593D0000}"/>
    <cellStyle name="Normal 2 62 4 2 8 3" xfId="15723" xr:uid="{00000000-0005-0000-0000-00005A3D0000}"/>
    <cellStyle name="Normal 2 62 4 2 9" xfId="15724" xr:uid="{00000000-0005-0000-0000-00005B3D0000}"/>
    <cellStyle name="Normal 2 62 4 2 9 2" xfId="15725" xr:uid="{00000000-0005-0000-0000-00005C3D0000}"/>
    <cellStyle name="Normal 2 62 4 2 9 3" xfId="15726" xr:uid="{00000000-0005-0000-0000-00005D3D0000}"/>
    <cellStyle name="Normal 2 62 4 3" xfId="15727" xr:uid="{00000000-0005-0000-0000-00005E3D0000}"/>
    <cellStyle name="Normal 2 62 4 3 2" xfId="15728" xr:uid="{00000000-0005-0000-0000-00005F3D0000}"/>
    <cellStyle name="Normal 2 62 4 3 3" xfId="15729" xr:uid="{00000000-0005-0000-0000-0000603D0000}"/>
    <cellStyle name="Normal 2 62 4 4" xfId="15730" xr:uid="{00000000-0005-0000-0000-0000613D0000}"/>
    <cellStyle name="Normal 2 62 4 4 2" xfId="15731" xr:uid="{00000000-0005-0000-0000-0000623D0000}"/>
    <cellStyle name="Normal 2 62 4 4 3" xfId="15732" xr:uid="{00000000-0005-0000-0000-0000633D0000}"/>
    <cellStyle name="Normal 2 62 4 5" xfId="15733" xr:uid="{00000000-0005-0000-0000-0000643D0000}"/>
    <cellStyle name="Normal 2 62 4 5 2" xfId="15734" xr:uid="{00000000-0005-0000-0000-0000653D0000}"/>
    <cellStyle name="Normal 2 62 4 5 3" xfId="15735" xr:uid="{00000000-0005-0000-0000-0000663D0000}"/>
    <cellStyle name="Normal 2 62 4 6" xfId="15736" xr:uid="{00000000-0005-0000-0000-0000673D0000}"/>
    <cellStyle name="Normal 2 62 4 6 2" xfId="15737" xr:uid="{00000000-0005-0000-0000-0000683D0000}"/>
    <cellStyle name="Normal 2 62 4 6 3" xfId="15738" xr:uid="{00000000-0005-0000-0000-0000693D0000}"/>
    <cellStyle name="Normal 2 62 4 7" xfId="15739" xr:uid="{00000000-0005-0000-0000-00006A3D0000}"/>
    <cellStyle name="Normal 2 62 4 7 2" xfId="15740" xr:uid="{00000000-0005-0000-0000-00006B3D0000}"/>
    <cellStyle name="Normal 2 62 4 7 3" xfId="15741" xr:uid="{00000000-0005-0000-0000-00006C3D0000}"/>
    <cellStyle name="Normal 2 62 4 8" xfId="15742" xr:uid="{00000000-0005-0000-0000-00006D3D0000}"/>
    <cellStyle name="Normal 2 62 4 8 2" xfId="15743" xr:uid="{00000000-0005-0000-0000-00006E3D0000}"/>
    <cellStyle name="Normal 2 62 4 8 3" xfId="15744" xr:uid="{00000000-0005-0000-0000-00006F3D0000}"/>
    <cellStyle name="Normal 2 62 4 9" xfId="15745" xr:uid="{00000000-0005-0000-0000-0000703D0000}"/>
    <cellStyle name="Normal 2 62 4 9 2" xfId="15746" xr:uid="{00000000-0005-0000-0000-0000713D0000}"/>
    <cellStyle name="Normal 2 62 4 9 3" xfId="15747" xr:uid="{00000000-0005-0000-0000-0000723D0000}"/>
    <cellStyle name="Normal 2 62 5" xfId="15748" xr:uid="{00000000-0005-0000-0000-0000733D0000}"/>
    <cellStyle name="Normal 2 62 5 10" xfId="15749" xr:uid="{00000000-0005-0000-0000-0000743D0000}"/>
    <cellStyle name="Normal 2 62 5 10 2" xfId="15750" xr:uid="{00000000-0005-0000-0000-0000753D0000}"/>
    <cellStyle name="Normal 2 62 5 10 3" xfId="15751" xr:uid="{00000000-0005-0000-0000-0000763D0000}"/>
    <cellStyle name="Normal 2 62 5 11" xfId="15752" xr:uid="{00000000-0005-0000-0000-0000773D0000}"/>
    <cellStyle name="Normal 2 62 5 11 2" xfId="15753" xr:uid="{00000000-0005-0000-0000-0000783D0000}"/>
    <cellStyle name="Normal 2 62 5 11 3" xfId="15754" xr:uid="{00000000-0005-0000-0000-0000793D0000}"/>
    <cellStyle name="Normal 2 62 5 12" xfId="15755" xr:uid="{00000000-0005-0000-0000-00007A3D0000}"/>
    <cellStyle name="Normal 2 62 5 12 2" xfId="15756" xr:uid="{00000000-0005-0000-0000-00007B3D0000}"/>
    <cellStyle name="Normal 2 62 5 12 3" xfId="15757" xr:uid="{00000000-0005-0000-0000-00007C3D0000}"/>
    <cellStyle name="Normal 2 62 5 13" xfId="15758" xr:uid="{00000000-0005-0000-0000-00007D3D0000}"/>
    <cellStyle name="Normal 2 62 5 13 2" xfId="15759" xr:uid="{00000000-0005-0000-0000-00007E3D0000}"/>
    <cellStyle name="Normal 2 62 5 13 3" xfId="15760" xr:uid="{00000000-0005-0000-0000-00007F3D0000}"/>
    <cellStyle name="Normal 2 62 5 14" xfId="15761" xr:uid="{00000000-0005-0000-0000-0000803D0000}"/>
    <cellStyle name="Normal 2 62 5 14 2" xfId="15762" xr:uid="{00000000-0005-0000-0000-0000813D0000}"/>
    <cellStyle name="Normal 2 62 5 14 3" xfId="15763" xr:uid="{00000000-0005-0000-0000-0000823D0000}"/>
    <cellStyle name="Normal 2 62 5 15" xfId="15764" xr:uid="{00000000-0005-0000-0000-0000833D0000}"/>
    <cellStyle name="Normal 2 62 5 16" xfId="15765" xr:uid="{00000000-0005-0000-0000-0000843D0000}"/>
    <cellStyle name="Normal 2 62 5 2" xfId="15766" xr:uid="{00000000-0005-0000-0000-0000853D0000}"/>
    <cellStyle name="Normal 2 62 5 2 2" xfId="15767" xr:uid="{00000000-0005-0000-0000-0000863D0000}"/>
    <cellStyle name="Normal 2 62 5 2 3" xfId="15768" xr:uid="{00000000-0005-0000-0000-0000873D0000}"/>
    <cellStyle name="Normal 2 62 5 3" xfId="15769" xr:uid="{00000000-0005-0000-0000-0000883D0000}"/>
    <cellStyle name="Normal 2 62 5 3 2" xfId="15770" xr:uid="{00000000-0005-0000-0000-0000893D0000}"/>
    <cellStyle name="Normal 2 62 5 3 3" xfId="15771" xr:uid="{00000000-0005-0000-0000-00008A3D0000}"/>
    <cellStyle name="Normal 2 62 5 4" xfId="15772" xr:uid="{00000000-0005-0000-0000-00008B3D0000}"/>
    <cellStyle name="Normal 2 62 5 4 2" xfId="15773" xr:uid="{00000000-0005-0000-0000-00008C3D0000}"/>
    <cellStyle name="Normal 2 62 5 4 3" xfId="15774" xr:uid="{00000000-0005-0000-0000-00008D3D0000}"/>
    <cellStyle name="Normal 2 62 5 5" xfId="15775" xr:uid="{00000000-0005-0000-0000-00008E3D0000}"/>
    <cellStyle name="Normal 2 62 5 5 2" xfId="15776" xr:uid="{00000000-0005-0000-0000-00008F3D0000}"/>
    <cellStyle name="Normal 2 62 5 5 3" xfId="15777" xr:uid="{00000000-0005-0000-0000-0000903D0000}"/>
    <cellStyle name="Normal 2 62 5 6" xfId="15778" xr:uid="{00000000-0005-0000-0000-0000913D0000}"/>
    <cellStyle name="Normal 2 62 5 6 2" xfId="15779" xr:uid="{00000000-0005-0000-0000-0000923D0000}"/>
    <cellStyle name="Normal 2 62 5 6 3" xfId="15780" xr:uid="{00000000-0005-0000-0000-0000933D0000}"/>
    <cellStyle name="Normal 2 62 5 7" xfId="15781" xr:uid="{00000000-0005-0000-0000-0000943D0000}"/>
    <cellStyle name="Normal 2 62 5 7 2" xfId="15782" xr:uid="{00000000-0005-0000-0000-0000953D0000}"/>
    <cellStyle name="Normal 2 62 5 7 3" xfId="15783" xr:uid="{00000000-0005-0000-0000-0000963D0000}"/>
    <cellStyle name="Normal 2 62 5 8" xfId="15784" xr:uid="{00000000-0005-0000-0000-0000973D0000}"/>
    <cellStyle name="Normal 2 62 5 8 2" xfId="15785" xr:uid="{00000000-0005-0000-0000-0000983D0000}"/>
    <cellStyle name="Normal 2 62 5 8 3" xfId="15786" xr:uid="{00000000-0005-0000-0000-0000993D0000}"/>
    <cellStyle name="Normal 2 62 5 9" xfId="15787" xr:uid="{00000000-0005-0000-0000-00009A3D0000}"/>
    <cellStyle name="Normal 2 62 5 9 2" xfId="15788" xr:uid="{00000000-0005-0000-0000-00009B3D0000}"/>
    <cellStyle name="Normal 2 62 5 9 3" xfId="15789" xr:uid="{00000000-0005-0000-0000-00009C3D0000}"/>
    <cellStyle name="Normal 2 62 6" xfId="15790" xr:uid="{00000000-0005-0000-0000-00009D3D0000}"/>
    <cellStyle name="Normal 2 62 6 10" xfId="15791" xr:uid="{00000000-0005-0000-0000-00009E3D0000}"/>
    <cellStyle name="Normal 2 62 6 10 2" xfId="15792" xr:uid="{00000000-0005-0000-0000-00009F3D0000}"/>
    <cellStyle name="Normal 2 62 6 10 3" xfId="15793" xr:uid="{00000000-0005-0000-0000-0000A03D0000}"/>
    <cellStyle name="Normal 2 62 6 11" xfId="15794" xr:uid="{00000000-0005-0000-0000-0000A13D0000}"/>
    <cellStyle name="Normal 2 62 6 11 2" xfId="15795" xr:uid="{00000000-0005-0000-0000-0000A23D0000}"/>
    <cellStyle name="Normal 2 62 6 11 3" xfId="15796" xr:uid="{00000000-0005-0000-0000-0000A33D0000}"/>
    <cellStyle name="Normal 2 62 6 12" xfId="15797" xr:uid="{00000000-0005-0000-0000-0000A43D0000}"/>
    <cellStyle name="Normal 2 62 6 12 2" xfId="15798" xr:uid="{00000000-0005-0000-0000-0000A53D0000}"/>
    <cellStyle name="Normal 2 62 6 12 3" xfId="15799" xr:uid="{00000000-0005-0000-0000-0000A63D0000}"/>
    <cellStyle name="Normal 2 62 6 13" xfId="15800" xr:uid="{00000000-0005-0000-0000-0000A73D0000}"/>
    <cellStyle name="Normal 2 62 6 13 2" xfId="15801" xr:uid="{00000000-0005-0000-0000-0000A83D0000}"/>
    <cellStyle name="Normal 2 62 6 13 3" xfId="15802" xr:uid="{00000000-0005-0000-0000-0000A93D0000}"/>
    <cellStyle name="Normal 2 62 6 14" xfId="15803" xr:uid="{00000000-0005-0000-0000-0000AA3D0000}"/>
    <cellStyle name="Normal 2 62 6 14 2" xfId="15804" xr:uid="{00000000-0005-0000-0000-0000AB3D0000}"/>
    <cellStyle name="Normal 2 62 6 14 3" xfId="15805" xr:uid="{00000000-0005-0000-0000-0000AC3D0000}"/>
    <cellStyle name="Normal 2 62 6 15" xfId="15806" xr:uid="{00000000-0005-0000-0000-0000AD3D0000}"/>
    <cellStyle name="Normal 2 62 6 16" xfId="15807" xr:uid="{00000000-0005-0000-0000-0000AE3D0000}"/>
    <cellStyle name="Normal 2 62 6 2" xfId="15808" xr:uid="{00000000-0005-0000-0000-0000AF3D0000}"/>
    <cellStyle name="Normal 2 62 6 2 2" xfId="15809" xr:uid="{00000000-0005-0000-0000-0000B03D0000}"/>
    <cellStyle name="Normal 2 62 6 2 3" xfId="15810" xr:uid="{00000000-0005-0000-0000-0000B13D0000}"/>
    <cellStyle name="Normal 2 62 6 3" xfId="15811" xr:uid="{00000000-0005-0000-0000-0000B23D0000}"/>
    <cellStyle name="Normal 2 62 6 3 2" xfId="15812" xr:uid="{00000000-0005-0000-0000-0000B33D0000}"/>
    <cellStyle name="Normal 2 62 6 3 3" xfId="15813" xr:uid="{00000000-0005-0000-0000-0000B43D0000}"/>
    <cellStyle name="Normal 2 62 6 4" xfId="15814" xr:uid="{00000000-0005-0000-0000-0000B53D0000}"/>
    <cellStyle name="Normal 2 62 6 4 2" xfId="15815" xr:uid="{00000000-0005-0000-0000-0000B63D0000}"/>
    <cellStyle name="Normal 2 62 6 4 3" xfId="15816" xr:uid="{00000000-0005-0000-0000-0000B73D0000}"/>
    <cellStyle name="Normal 2 62 6 5" xfId="15817" xr:uid="{00000000-0005-0000-0000-0000B83D0000}"/>
    <cellStyle name="Normal 2 62 6 5 2" xfId="15818" xr:uid="{00000000-0005-0000-0000-0000B93D0000}"/>
    <cellStyle name="Normal 2 62 6 5 3" xfId="15819" xr:uid="{00000000-0005-0000-0000-0000BA3D0000}"/>
    <cellStyle name="Normal 2 62 6 6" xfId="15820" xr:uid="{00000000-0005-0000-0000-0000BB3D0000}"/>
    <cellStyle name="Normal 2 62 6 6 2" xfId="15821" xr:uid="{00000000-0005-0000-0000-0000BC3D0000}"/>
    <cellStyle name="Normal 2 62 6 6 3" xfId="15822" xr:uid="{00000000-0005-0000-0000-0000BD3D0000}"/>
    <cellStyle name="Normal 2 62 6 7" xfId="15823" xr:uid="{00000000-0005-0000-0000-0000BE3D0000}"/>
    <cellStyle name="Normal 2 62 6 7 2" xfId="15824" xr:uid="{00000000-0005-0000-0000-0000BF3D0000}"/>
    <cellStyle name="Normal 2 62 6 7 3" xfId="15825" xr:uid="{00000000-0005-0000-0000-0000C03D0000}"/>
    <cellStyle name="Normal 2 62 6 8" xfId="15826" xr:uid="{00000000-0005-0000-0000-0000C13D0000}"/>
    <cellStyle name="Normal 2 62 6 8 2" xfId="15827" xr:uid="{00000000-0005-0000-0000-0000C23D0000}"/>
    <cellStyle name="Normal 2 62 6 8 3" xfId="15828" xr:uid="{00000000-0005-0000-0000-0000C33D0000}"/>
    <cellStyle name="Normal 2 62 6 9" xfId="15829" xr:uid="{00000000-0005-0000-0000-0000C43D0000}"/>
    <cellStyle name="Normal 2 62 6 9 2" xfId="15830" xr:uid="{00000000-0005-0000-0000-0000C53D0000}"/>
    <cellStyle name="Normal 2 62 6 9 3" xfId="15831" xr:uid="{00000000-0005-0000-0000-0000C63D0000}"/>
    <cellStyle name="Normal 2 62 7" xfId="15832" xr:uid="{00000000-0005-0000-0000-0000C73D0000}"/>
    <cellStyle name="Normal 2 62 7 10" xfId="15833" xr:uid="{00000000-0005-0000-0000-0000C83D0000}"/>
    <cellStyle name="Normal 2 62 7 10 2" xfId="15834" xr:uid="{00000000-0005-0000-0000-0000C93D0000}"/>
    <cellStyle name="Normal 2 62 7 10 3" xfId="15835" xr:uid="{00000000-0005-0000-0000-0000CA3D0000}"/>
    <cellStyle name="Normal 2 62 7 11" xfId="15836" xr:uid="{00000000-0005-0000-0000-0000CB3D0000}"/>
    <cellStyle name="Normal 2 62 7 11 2" xfId="15837" xr:uid="{00000000-0005-0000-0000-0000CC3D0000}"/>
    <cellStyle name="Normal 2 62 7 11 3" xfId="15838" xr:uid="{00000000-0005-0000-0000-0000CD3D0000}"/>
    <cellStyle name="Normal 2 62 7 12" xfId="15839" xr:uid="{00000000-0005-0000-0000-0000CE3D0000}"/>
    <cellStyle name="Normal 2 62 7 12 2" xfId="15840" xr:uid="{00000000-0005-0000-0000-0000CF3D0000}"/>
    <cellStyle name="Normal 2 62 7 12 3" xfId="15841" xr:uid="{00000000-0005-0000-0000-0000D03D0000}"/>
    <cellStyle name="Normal 2 62 7 13" xfId="15842" xr:uid="{00000000-0005-0000-0000-0000D13D0000}"/>
    <cellStyle name="Normal 2 62 7 13 2" xfId="15843" xr:uid="{00000000-0005-0000-0000-0000D23D0000}"/>
    <cellStyle name="Normal 2 62 7 13 3" xfId="15844" xr:uid="{00000000-0005-0000-0000-0000D33D0000}"/>
    <cellStyle name="Normal 2 62 7 14" xfId="15845" xr:uid="{00000000-0005-0000-0000-0000D43D0000}"/>
    <cellStyle name="Normal 2 62 7 14 2" xfId="15846" xr:uid="{00000000-0005-0000-0000-0000D53D0000}"/>
    <cellStyle name="Normal 2 62 7 14 3" xfId="15847" xr:uid="{00000000-0005-0000-0000-0000D63D0000}"/>
    <cellStyle name="Normal 2 62 7 15" xfId="15848" xr:uid="{00000000-0005-0000-0000-0000D73D0000}"/>
    <cellStyle name="Normal 2 62 7 16" xfId="15849" xr:uid="{00000000-0005-0000-0000-0000D83D0000}"/>
    <cellStyle name="Normal 2 62 7 2" xfId="15850" xr:uid="{00000000-0005-0000-0000-0000D93D0000}"/>
    <cellStyle name="Normal 2 62 7 2 2" xfId="15851" xr:uid="{00000000-0005-0000-0000-0000DA3D0000}"/>
    <cellStyle name="Normal 2 62 7 2 3" xfId="15852" xr:uid="{00000000-0005-0000-0000-0000DB3D0000}"/>
    <cellStyle name="Normal 2 62 7 3" xfId="15853" xr:uid="{00000000-0005-0000-0000-0000DC3D0000}"/>
    <cellStyle name="Normal 2 62 7 3 2" xfId="15854" xr:uid="{00000000-0005-0000-0000-0000DD3D0000}"/>
    <cellStyle name="Normal 2 62 7 3 3" xfId="15855" xr:uid="{00000000-0005-0000-0000-0000DE3D0000}"/>
    <cellStyle name="Normal 2 62 7 4" xfId="15856" xr:uid="{00000000-0005-0000-0000-0000DF3D0000}"/>
    <cellStyle name="Normal 2 62 7 4 2" xfId="15857" xr:uid="{00000000-0005-0000-0000-0000E03D0000}"/>
    <cellStyle name="Normal 2 62 7 4 3" xfId="15858" xr:uid="{00000000-0005-0000-0000-0000E13D0000}"/>
    <cellStyle name="Normal 2 62 7 5" xfId="15859" xr:uid="{00000000-0005-0000-0000-0000E23D0000}"/>
    <cellStyle name="Normal 2 62 7 5 2" xfId="15860" xr:uid="{00000000-0005-0000-0000-0000E33D0000}"/>
    <cellStyle name="Normal 2 62 7 5 3" xfId="15861" xr:uid="{00000000-0005-0000-0000-0000E43D0000}"/>
    <cellStyle name="Normal 2 62 7 6" xfId="15862" xr:uid="{00000000-0005-0000-0000-0000E53D0000}"/>
    <cellStyle name="Normal 2 62 7 6 2" xfId="15863" xr:uid="{00000000-0005-0000-0000-0000E63D0000}"/>
    <cellStyle name="Normal 2 62 7 6 3" xfId="15864" xr:uid="{00000000-0005-0000-0000-0000E73D0000}"/>
    <cellStyle name="Normal 2 62 7 7" xfId="15865" xr:uid="{00000000-0005-0000-0000-0000E83D0000}"/>
    <cellStyle name="Normal 2 62 7 7 2" xfId="15866" xr:uid="{00000000-0005-0000-0000-0000E93D0000}"/>
    <cellStyle name="Normal 2 62 7 7 3" xfId="15867" xr:uid="{00000000-0005-0000-0000-0000EA3D0000}"/>
    <cellStyle name="Normal 2 62 7 8" xfId="15868" xr:uid="{00000000-0005-0000-0000-0000EB3D0000}"/>
    <cellStyle name="Normal 2 62 7 8 2" xfId="15869" xr:uid="{00000000-0005-0000-0000-0000EC3D0000}"/>
    <cellStyle name="Normal 2 62 7 8 3" xfId="15870" xr:uid="{00000000-0005-0000-0000-0000ED3D0000}"/>
    <cellStyle name="Normal 2 62 7 9" xfId="15871" xr:uid="{00000000-0005-0000-0000-0000EE3D0000}"/>
    <cellStyle name="Normal 2 62 7 9 2" xfId="15872" xr:uid="{00000000-0005-0000-0000-0000EF3D0000}"/>
    <cellStyle name="Normal 2 62 7 9 3" xfId="15873" xr:uid="{00000000-0005-0000-0000-0000F03D0000}"/>
    <cellStyle name="Normal 2 62 8" xfId="15874" xr:uid="{00000000-0005-0000-0000-0000F13D0000}"/>
    <cellStyle name="Normal 2 62 8 10" xfId="15875" xr:uid="{00000000-0005-0000-0000-0000F23D0000}"/>
    <cellStyle name="Normal 2 62 8 10 2" xfId="15876" xr:uid="{00000000-0005-0000-0000-0000F33D0000}"/>
    <cellStyle name="Normal 2 62 8 10 3" xfId="15877" xr:uid="{00000000-0005-0000-0000-0000F43D0000}"/>
    <cellStyle name="Normal 2 62 8 11" xfId="15878" xr:uid="{00000000-0005-0000-0000-0000F53D0000}"/>
    <cellStyle name="Normal 2 62 8 11 2" xfId="15879" xr:uid="{00000000-0005-0000-0000-0000F63D0000}"/>
    <cellStyle name="Normal 2 62 8 11 3" xfId="15880" xr:uid="{00000000-0005-0000-0000-0000F73D0000}"/>
    <cellStyle name="Normal 2 62 8 12" xfId="15881" xr:uid="{00000000-0005-0000-0000-0000F83D0000}"/>
    <cellStyle name="Normal 2 62 8 12 2" xfId="15882" xr:uid="{00000000-0005-0000-0000-0000F93D0000}"/>
    <cellStyle name="Normal 2 62 8 12 3" xfId="15883" xr:uid="{00000000-0005-0000-0000-0000FA3D0000}"/>
    <cellStyle name="Normal 2 62 8 13" xfId="15884" xr:uid="{00000000-0005-0000-0000-0000FB3D0000}"/>
    <cellStyle name="Normal 2 62 8 13 2" xfId="15885" xr:uid="{00000000-0005-0000-0000-0000FC3D0000}"/>
    <cellStyle name="Normal 2 62 8 13 3" xfId="15886" xr:uid="{00000000-0005-0000-0000-0000FD3D0000}"/>
    <cellStyle name="Normal 2 62 8 14" xfId="15887" xr:uid="{00000000-0005-0000-0000-0000FE3D0000}"/>
    <cellStyle name="Normal 2 62 8 14 2" xfId="15888" xr:uid="{00000000-0005-0000-0000-0000FF3D0000}"/>
    <cellStyle name="Normal 2 62 8 14 3" xfId="15889" xr:uid="{00000000-0005-0000-0000-0000003E0000}"/>
    <cellStyle name="Normal 2 62 8 15" xfId="15890" xr:uid="{00000000-0005-0000-0000-0000013E0000}"/>
    <cellStyle name="Normal 2 62 8 16" xfId="15891" xr:uid="{00000000-0005-0000-0000-0000023E0000}"/>
    <cellStyle name="Normal 2 62 8 2" xfId="15892" xr:uid="{00000000-0005-0000-0000-0000033E0000}"/>
    <cellStyle name="Normal 2 62 8 2 2" xfId="15893" xr:uid="{00000000-0005-0000-0000-0000043E0000}"/>
    <cellStyle name="Normal 2 62 8 2 3" xfId="15894" xr:uid="{00000000-0005-0000-0000-0000053E0000}"/>
    <cellStyle name="Normal 2 62 8 3" xfId="15895" xr:uid="{00000000-0005-0000-0000-0000063E0000}"/>
    <cellStyle name="Normal 2 62 8 3 2" xfId="15896" xr:uid="{00000000-0005-0000-0000-0000073E0000}"/>
    <cellStyle name="Normal 2 62 8 3 3" xfId="15897" xr:uid="{00000000-0005-0000-0000-0000083E0000}"/>
    <cellStyle name="Normal 2 62 8 4" xfId="15898" xr:uid="{00000000-0005-0000-0000-0000093E0000}"/>
    <cellStyle name="Normal 2 62 8 4 2" xfId="15899" xr:uid="{00000000-0005-0000-0000-00000A3E0000}"/>
    <cellStyle name="Normal 2 62 8 4 3" xfId="15900" xr:uid="{00000000-0005-0000-0000-00000B3E0000}"/>
    <cellStyle name="Normal 2 62 8 5" xfId="15901" xr:uid="{00000000-0005-0000-0000-00000C3E0000}"/>
    <cellStyle name="Normal 2 62 8 5 2" xfId="15902" xr:uid="{00000000-0005-0000-0000-00000D3E0000}"/>
    <cellStyle name="Normal 2 62 8 5 3" xfId="15903" xr:uid="{00000000-0005-0000-0000-00000E3E0000}"/>
    <cellStyle name="Normal 2 62 8 6" xfId="15904" xr:uid="{00000000-0005-0000-0000-00000F3E0000}"/>
    <cellStyle name="Normal 2 62 8 6 2" xfId="15905" xr:uid="{00000000-0005-0000-0000-0000103E0000}"/>
    <cellStyle name="Normal 2 62 8 6 3" xfId="15906" xr:uid="{00000000-0005-0000-0000-0000113E0000}"/>
    <cellStyle name="Normal 2 62 8 7" xfId="15907" xr:uid="{00000000-0005-0000-0000-0000123E0000}"/>
    <cellStyle name="Normal 2 62 8 7 2" xfId="15908" xr:uid="{00000000-0005-0000-0000-0000133E0000}"/>
    <cellStyle name="Normal 2 62 8 7 3" xfId="15909" xr:uid="{00000000-0005-0000-0000-0000143E0000}"/>
    <cellStyle name="Normal 2 62 8 8" xfId="15910" xr:uid="{00000000-0005-0000-0000-0000153E0000}"/>
    <cellStyle name="Normal 2 62 8 8 2" xfId="15911" xr:uid="{00000000-0005-0000-0000-0000163E0000}"/>
    <cellStyle name="Normal 2 62 8 8 3" xfId="15912" xr:uid="{00000000-0005-0000-0000-0000173E0000}"/>
    <cellStyle name="Normal 2 62 8 9" xfId="15913" xr:uid="{00000000-0005-0000-0000-0000183E0000}"/>
    <cellStyle name="Normal 2 62 8 9 2" xfId="15914" xr:uid="{00000000-0005-0000-0000-0000193E0000}"/>
    <cellStyle name="Normal 2 62 8 9 3" xfId="15915" xr:uid="{00000000-0005-0000-0000-00001A3E0000}"/>
    <cellStyle name="Normal 2 62 9" xfId="15916" xr:uid="{00000000-0005-0000-0000-00001B3E0000}"/>
    <cellStyle name="Normal 2 62 9 10" xfId="15917" xr:uid="{00000000-0005-0000-0000-00001C3E0000}"/>
    <cellStyle name="Normal 2 62 9 10 2" xfId="15918" xr:uid="{00000000-0005-0000-0000-00001D3E0000}"/>
    <cellStyle name="Normal 2 62 9 10 3" xfId="15919" xr:uid="{00000000-0005-0000-0000-00001E3E0000}"/>
    <cellStyle name="Normal 2 62 9 11" xfId="15920" xr:uid="{00000000-0005-0000-0000-00001F3E0000}"/>
    <cellStyle name="Normal 2 62 9 11 2" xfId="15921" xr:uid="{00000000-0005-0000-0000-0000203E0000}"/>
    <cellStyle name="Normal 2 62 9 11 3" xfId="15922" xr:uid="{00000000-0005-0000-0000-0000213E0000}"/>
    <cellStyle name="Normal 2 62 9 12" xfId="15923" xr:uid="{00000000-0005-0000-0000-0000223E0000}"/>
    <cellStyle name="Normal 2 62 9 12 2" xfId="15924" xr:uid="{00000000-0005-0000-0000-0000233E0000}"/>
    <cellStyle name="Normal 2 62 9 12 3" xfId="15925" xr:uid="{00000000-0005-0000-0000-0000243E0000}"/>
    <cellStyle name="Normal 2 62 9 13" xfId="15926" xr:uid="{00000000-0005-0000-0000-0000253E0000}"/>
    <cellStyle name="Normal 2 62 9 13 2" xfId="15927" xr:uid="{00000000-0005-0000-0000-0000263E0000}"/>
    <cellStyle name="Normal 2 62 9 13 3" xfId="15928" xr:uid="{00000000-0005-0000-0000-0000273E0000}"/>
    <cellStyle name="Normal 2 62 9 14" xfId="15929" xr:uid="{00000000-0005-0000-0000-0000283E0000}"/>
    <cellStyle name="Normal 2 62 9 14 2" xfId="15930" xr:uid="{00000000-0005-0000-0000-0000293E0000}"/>
    <cellStyle name="Normal 2 62 9 14 3" xfId="15931" xr:uid="{00000000-0005-0000-0000-00002A3E0000}"/>
    <cellStyle name="Normal 2 62 9 15" xfId="15932" xr:uid="{00000000-0005-0000-0000-00002B3E0000}"/>
    <cellStyle name="Normal 2 62 9 16" xfId="15933" xr:uid="{00000000-0005-0000-0000-00002C3E0000}"/>
    <cellStyle name="Normal 2 62 9 2" xfId="15934" xr:uid="{00000000-0005-0000-0000-00002D3E0000}"/>
    <cellStyle name="Normal 2 62 9 2 2" xfId="15935" xr:uid="{00000000-0005-0000-0000-00002E3E0000}"/>
    <cellStyle name="Normal 2 62 9 2 3" xfId="15936" xr:uid="{00000000-0005-0000-0000-00002F3E0000}"/>
    <cellStyle name="Normal 2 62 9 3" xfId="15937" xr:uid="{00000000-0005-0000-0000-0000303E0000}"/>
    <cellStyle name="Normal 2 62 9 3 2" xfId="15938" xr:uid="{00000000-0005-0000-0000-0000313E0000}"/>
    <cellStyle name="Normal 2 62 9 3 3" xfId="15939" xr:uid="{00000000-0005-0000-0000-0000323E0000}"/>
    <cellStyle name="Normal 2 62 9 4" xfId="15940" xr:uid="{00000000-0005-0000-0000-0000333E0000}"/>
    <cellStyle name="Normal 2 62 9 4 2" xfId="15941" xr:uid="{00000000-0005-0000-0000-0000343E0000}"/>
    <cellStyle name="Normal 2 62 9 4 3" xfId="15942" xr:uid="{00000000-0005-0000-0000-0000353E0000}"/>
    <cellStyle name="Normal 2 62 9 5" xfId="15943" xr:uid="{00000000-0005-0000-0000-0000363E0000}"/>
    <cellStyle name="Normal 2 62 9 5 2" xfId="15944" xr:uid="{00000000-0005-0000-0000-0000373E0000}"/>
    <cellStyle name="Normal 2 62 9 5 3" xfId="15945" xr:uid="{00000000-0005-0000-0000-0000383E0000}"/>
    <cellStyle name="Normal 2 62 9 6" xfId="15946" xr:uid="{00000000-0005-0000-0000-0000393E0000}"/>
    <cellStyle name="Normal 2 62 9 6 2" xfId="15947" xr:uid="{00000000-0005-0000-0000-00003A3E0000}"/>
    <cellStyle name="Normal 2 62 9 6 3" xfId="15948" xr:uid="{00000000-0005-0000-0000-00003B3E0000}"/>
    <cellStyle name="Normal 2 62 9 7" xfId="15949" xr:uid="{00000000-0005-0000-0000-00003C3E0000}"/>
    <cellStyle name="Normal 2 62 9 7 2" xfId="15950" xr:uid="{00000000-0005-0000-0000-00003D3E0000}"/>
    <cellStyle name="Normal 2 62 9 7 3" xfId="15951" xr:uid="{00000000-0005-0000-0000-00003E3E0000}"/>
    <cellStyle name="Normal 2 62 9 8" xfId="15952" xr:uid="{00000000-0005-0000-0000-00003F3E0000}"/>
    <cellStyle name="Normal 2 62 9 8 2" xfId="15953" xr:uid="{00000000-0005-0000-0000-0000403E0000}"/>
    <cellStyle name="Normal 2 62 9 8 3" xfId="15954" xr:uid="{00000000-0005-0000-0000-0000413E0000}"/>
    <cellStyle name="Normal 2 62 9 9" xfId="15955" xr:uid="{00000000-0005-0000-0000-0000423E0000}"/>
    <cellStyle name="Normal 2 62 9 9 2" xfId="15956" xr:uid="{00000000-0005-0000-0000-0000433E0000}"/>
    <cellStyle name="Normal 2 62 9 9 3" xfId="15957" xr:uid="{00000000-0005-0000-0000-0000443E0000}"/>
    <cellStyle name="Normal 2 63" xfId="15958" xr:uid="{00000000-0005-0000-0000-0000453E0000}"/>
    <cellStyle name="Normal 2 64" xfId="15959" xr:uid="{00000000-0005-0000-0000-0000463E0000}"/>
    <cellStyle name="Normal 2 65" xfId="15960" xr:uid="{00000000-0005-0000-0000-0000473E0000}"/>
    <cellStyle name="Normal 2 66" xfId="15961" xr:uid="{00000000-0005-0000-0000-0000483E0000}"/>
    <cellStyle name="Normal 2 66 10" xfId="15962" xr:uid="{00000000-0005-0000-0000-0000493E0000}"/>
    <cellStyle name="Normal 2 66 10 2" xfId="15963" xr:uid="{00000000-0005-0000-0000-00004A3E0000}"/>
    <cellStyle name="Normal 2 66 10 3" xfId="15964" xr:uid="{00000000-0005-0000-0000-00004B3E0000}"/>
    <cellStyle name="Normal 2 66 11" xfId="15965" xr:uid="{00000000-0005-0000-0000-00004C3E0000}"/>
    <cellStyle name="Normal 2 66 11 2" xfId="15966" xr:uid="{00000000-0005-0000-0000-00004D3E0000}"/>
    <cellStyle name="Normal 2 66 11 3" xfId="15967" xr:uid="{00000000-0005-0000-0000-00004E3E0000}"/>
    <cellStyle name="Normal 2 66 12" xfId="15968" xr:uid="{00000000-0005-0000-0000-00004F3E0000}"/>
    <cellStyle name="Normal 2 66 12 2" xfId="15969" xr:uid="{00000000-0005-0000-0000-0000503E0000}"/>
    <cellStyle name="Normal 2 66 12 3" xfId="15970" xr:uid="{00000000-0005-0000-0000-0000513E0000}"/>
    <cellStyle name="Normal 2 66 13" xfId="15971" xr:uid="{00000000-0005-0000-0000-0000523E0000}"/>
    <cellStyle name="Normal 2 66 13 2" xfId="15972" xr:uid="{00000000-0005-0000-0000-0000533E0000}"/>
    <cellStyle name="Normal 2 66 13 3" xfId="15973" xr:uid="{00000000-0005-0000-0000-0000543E0000}"/>
    <cellStyle name="Normal 2 66 14" xfId="15974" xr:uid="{00000000-0005-0000-0000-0000553E0000}"/>
    <cellStyle name="Normal 2 66 14 2" xfId="15975" xr:uid="{00000000-0005-0000-0000-0000563E0000}"/>
    <cellStyle name="Normal 2 66 14 3" xfId="15976" xr:uid="{00000000-0005-0000-0000-0000573E0000}"/>
    <cellStyle name="Normal 2 66 15" xfId="15977" xr:uid="{00000000-0005-0000-0000-0000583E0000}"/>
    <cellStyle name="Normal 2 66 15 2" xfId="15978" xr:uid="{00000000-0005-0000-0000-0000593E0000}"/>
    <cellStyle name="Normal 2 66 15 3" xfId="15979" xr:uid="{00000000-0005-0000-0000-00005A3E0000}"/>
    <cellStyle name="Normal 2 66 16" xfId="15980" xr:uid="{00000000-0005-0000-0000-00005B3E0000}"/>
    <cellStyle name="Normal 2 66 17" xfId="15981" xr:uid="{00000000-0005-0000-0000-00005C3E0000}"/>
    <cellStyle name="Normal 2 66 2" xfId="15982" xr:uid="{00000000-0005-0000-0000-00005D3E0000}"/>
    <cellStyle name="Normal 2 66 2 10" xfId="15983" xr:uid="{00000000-0005-0000-0000-00005E3E0000}"/>
    <cellStyle name="Normal 2 66 2 10 2" xfId="15984" xr:uid="{00000000-0005-0000-0000-00005F3E0000}"/>
    <cellStyle name="Normal 2 66 2 10 3" xfId="15985" xr:uid="{00000000-0005-0000-0000-0000603E0000}"/>
    <cellStyle name="Normal 2 66 2 11" xfId="15986" xr:uid="{00000000-0005-0000-0000-0000613E0000}"/>
    <cellStyle name="Normal 2 66 2 11 2" xfId="15987" xr:uid="{00000000-0005-0000-0000-0000623E0000}"/>
    <cellStyle name="Normal 2 66 2 11 3" xfId="15988" xr:uid="{00000000-0005-0000-0000-0000633E0000}"/>
    <cellStyle name="Normal 2 66 2 12" xfId="15989" xr:uid="{00000000-0005-0000-0000-0000643E0000}"/>
    <cellStyle name="Normal 2 66 2 12 2" xfId="15990" xr:uid="{00000000-0005-0000-0000-0000653E0000}"/>
    <cellStyle name="Normal 2 66 2 12 3" xfId="15991" xr:uid="{00000000-0005-0000-0000-0000663E0000}"/>
    <cellStyle name="Normal 2 66 2 13" xfId="15992" xr:uid="{00000000-0005-0000-0000-0000673E0000}"/>
    <cellStyle name="Normal 2 66 2 13 2" xfId="15993" xr:uid="{00000000-0005-0000-0000-0000683E0000}"/>
    <cellStyle name="Normal 2 66 2 13 3" xfId="15994" xr:uid="{00000000-0005-0000-0000-0000693E0000}"/>
    <cellStyle name="Normal 2 66 2 14" xfId="15995" xr:uid="{00000000-0005-0000-0000-00006A3E0000}"/>
    <cellStyle name="Normal 2 66 2 14 2" xfId="15996" xr:uid="{00000000-0005-0000-0000-00006B3E0000}"/>
    <cellStyle name="Normal 2 66 2 14 3" xfId="15997" xr:uid="{00000000-0005-0000-0000-00006C3E0000}"/>
    <cellStyle name="Normal 2 66 2 15" xfId="15998" xr:uid="{00000000-0005-0000-0000-00006D3E0000}"/>
    <cellStyle name="Normal 2 66 2 16" xfId="15999" xr:uid="{00000000-0005-0000-0000-00006E3E0000}"/>
    <cellStyle name="Normal 2 66 2 2" xfId="16000" xr:uid="{00000000-0005-0000-0000-00006F3E0000}"/>
    <cellStyle name="Normal 2 66 2 2 2" xfId="16001" xr:uid="{00000000-0005-0000-0000-0000703E0000}"/>
    <cellStyle name="Normal 2 66 2 2 3" xfId="16002" xr:uid="{00000000-0005-0000-0000-0000713E0000}"/>
    <cellStyle name="Normal 2 66 2 3" xfId="16003" xr:uid="{00000000-0005-0000-0000-0000723E0000}"/>
    <cellStyle name="Normal 2 66 2 3 2" xfId="16004" xr:uid="{00000000-0005-0000-0000-0000733E0000}"/>
    <cellStyle name="Normal 2 66 2 3 3" xfId="16005" xr:uid="{00000000-0005-0000-0000-0000743E0000}"/>
    <cellStyle name="Normal 2 66 2 4" xfId="16006" xr:uid="{00000000-0005-0000-0000-0000753E0000}"/>
    <cellStyle name="Normal 2 66 2 4 2" xfId="16007" xr:uid="{00000000-0005-0000-0000-0000763E0000}"/>
    <cellStyle name="Normal 2 66 2 4 3" xfId="16008" xr:uid="{00000000-0005-0000-0000-0000773E0000}"/>
    <cellStyle name="Normal 2 66 2 5" xfId="16009" xr:uid="{00000000-0005-0000-0000-0000783E0000}"/>
    <cellStyle name="Normal 2 66 2 5 2" xfId="16010" xr:uid="{00000000-0005-0000-0000-0000793E0000}"/>
    <cellStyle name="Normal 2 66 2 5 3" xfId="16011" xr:uid="{00000000-0005-0000-0000-00007A3E0000}"/>
    <cellStyle name="Normal 2 66 2 6" xfId="16012" xr:uid="{00000000-0005-0000-0000-00007B3E0000}"/>
    <cellStyle name="Normal 2 66 2 6 2" xfId="16013" xr:uid="{00000000-0005-0000-0000-00007C3E0000}"/>
    <cellStyle name="Normal 2 66 2 6 3" xfId="16014" xr:uid="{00000000-0005-0000-0000-00007D3E0000}"/>
    <cellStyle name="Normal 2 66 2 7" xfId="16015" xr:uid="{00000000-0005-0000-0000-00007E3E0000}"/>
    <cellStyle name="Normal 2 66 2 7 2" xfId="16016" xr:uid="{00000000-0005-0000-0000-00007F3E0000}"/>
    <cellStyle name="Normal 2 66 2 7 3" xfId="16017" xr:uid="{00000000-0005-0000-0000-0000803E0000}"/>
    <cellStyle name="Normal 2 66 2 8" xfId="16018" xr:uid="{00000000-0005-0000-0000-0000813E0000}"/>
    <cellStyle name="Normal 2 66 2 8 2" xfId="16019" xr:uid="{00000000-0005-0000-0000-0000823E0000}"/>
    <cellStyle name="Normal 2 66 2 8 3" xfId="16020" xr:uid="{00000000-0005-0000-0000-0000833E0000}"/>
    <cellStyle name="Normal 2 66 2 9" xfId="16021" xr:uid="{00000000-0005-0000-0000-0000843E0000}"/>
    <cellStyle name="Normal 2 66 2 9 2" xfId="16022" xr:uid="{00000000-0005-0000-0000-0000853E0000}"/>
    <cellStyle name="Normal 2 66 2 9 3" xfId="16023" xr:uid="{00000000-0005-0000-0000-0000863E0000}"/>
    <cellStyle name="Normal 2 66 3" xfId="16024" xr:uid="{00000000-0005-0000-0000-0000873E0000}"/>
    <cellStyle name="Normal 2 66 3 2" xfId="16025" xr:uid="{00000000-0005-0000-0000-0000883E0000}"/>
    <cellStyle name="Normal 2 66 3 3" xfId="16026" xr:uid="{00000000-0005-0000-0000-0000893E0000}"/>
    <cellStyle name="Normal 2 66 4" xfId="16027" xr:uid="{00000000-0005-0000-0000-00008A3E0000}"/>
    <cellStyle name="Normal 2 66 4 2" xfId="16028" xr:uid="{00000000-0005-0000-0000-00008B3E0000}"/>
    <cellStyle name="Normal 2 66 4 3" xfId="16029" xr:uid="{00000000-0005-0000-0000-00008C3E0000}"/>
    <cellStyle name="Normal 2 66 5" xfId="16030" xr:uid="{00000000-0005-0000-0000-00008D3E0000}"/>
    <cellStyle name="Normal 2 66 5 2" xfId="16031" xr:uid="{00000000-0005-0000-0000-00008E3E0000}"/>
    <cellStyle name="Normal 2 66 5 3" xfId="16032" xr:uid="{00000000-0005-0000-0000-00008F3E0000}"/>
    <cellStyle name="Normal 2 66 6" xfId="16033" xr:uid="{00000000-0005-0000-0000-0000903E0000}"/>
    <cellStyle name="Normal 2 66 6 2" xfId="16034" xr:uid="{00000000-0005-0000-0000-0000913E0000}"/>
    <cellStyle name="Normal 2 66 6 3" xfId="16035" xr:uid="{00000000-0005-0000-0000-0000923E0000}"/>
    <cellStyle name="Normal 2 66 7" xfId="16036" xr:uid="{00000000-0005-0000-0000-0000933E0000}"/>
    <cellStyle name="Normal 2 66 7 2" xfId="16037" xr:uid="{00000000-0005-0000-0000-0000943E0000}"/>
    <cellStyle name="Normal 2 66 7 3" xfId="16038" xr:uid="{00000000-0005-0000-0000-0000953E0000}"/>
    <cellStyle name="Normal 2 66 8" xfId="16039" xr:uid="{00000000-0005-0000-0000-0000963E0000}"/>
    <cellStyle name="Normal 2 66 8 2" xfId="16040" xr:uid="{00000000-0005-0000-0000-0000973E0000}"/>
    <cellStyle name="Normal 2 66 8 3" xfId="16041" xr:uid="{00000000-0005-0000-0000-0000983E0000}"/>
    <cellStyle name="Normal 2 66 9" xfId="16042" xr:uid="{00000000-0005-0000-0000-0000993E0000}"/>
    <cellStyle name="Normal 2 66 9 2" xfId="16043" xr:uid="{00000000-0005-0000-0000-00009A3E0000}"/>
    <cellStyle name="Normal 2 66 9 3" xfId="16044" xr:uid="{00000000-0005-0000-0000-00009B3E0000}"/>
    <cellStyle name="Normal 2 67" xfId="16045" xr:uid="{00000000-0005-0000-0000-00009C3E0000}"/>
    <cellStyle name="Normal 2 67 10" xfId="16046" xr:uid="{00000000-0005-0000-0000-00009D3E0000}"/>
    <cellStyle name="Normal 2 67 10 2" xfId="16047" xr:uid="{00000000-0005-0000-0000-00009E3E0000}"/>
    <cellStyle name="Normal 2 67 10 3" xfId="16048" xr:uid="{00000000-0005-0000-0000-00009F3E0000}"/>
    <cellStyle name="Normal 2 67 11" xfId="16049" xr:uid="{00000000-0005-0000-0000-0000A03E0000}"/>
    <cellStyle name="Normal 2 67 11 2" xfId="16050" xr:uid="{00000000-0005-0000-0000-0000A13E0000}"/>
    <cellStyle name="Normal 2 67 11 3" xfId="16051" xr:uid="{00000000-0005-0000-0000-0000A23E0000}"/>
    <cellStyle name="Normal 2 67 12" xfId="16052" xr:uid="{00000000-0005-0000-0000-0000A33E0000}"/>
    <cellStyle name="Normal 2 67 12 2" xfId="16053" xr:uid="{00000000-0005-0000-0000-0000A43E0000}"/>
    <cellStyle name="Normal 2 67 12 3" xfId="16054" xr:uid="{00000000-0005-0000-0000-0000A53E0000}"/>
    <cellStyle name="Normal 2 67 13" xfId="16055" xr:uid="{00000000-0005-0000-0000-0000A63E0000}"/>
    <cellStyle name="Normal 2 67 13 2" xfId="16056" xr:uid="{00000000-0005-0000-0000-0000A73E0000}"/>
    <cellStyle name="Normal 2 67 13 3" xfId="16057" xr:uid="{00000000-0005-0000-0000-0000A83E0000}"/>
    <cellStyle name="Normal 2 67 14" xfId="16058" xr:uid="{00000000-0005-0000-0000-0000A93E0000}"/>
    <cellStyle name="Normal 2 67 14 2" xfId="16059" xr:uid="{00000000-0005-0000-0000-0000AA3E0000}"/>
    <cellStyle name="Normal 2 67 14 3" xfId="16060" xr:uid="{00000000-0005-0000-0000-0000AB3E0000}"/>
    <cellStyle name="Normal 2 67 15" xfId="16061" xr:uid="{00000000-0005-0000-0000-0000AC3E0000}"/>
    <cellStyle name="Normal 2 67 15 2" xfId="16062" xr:uid="{00000000-0005-0000-0000-0000AD3E0000}"/>
    <cellStyle name="Normal 2 67 15 3" xfId="16063" xr:uid="{00000000-0005-0000-0000-0000AE3E0000}"/>
    <cellStyle name="Normal 2 67 16" xfId="16064" xr:uid="{00000000-0005-0000-0000-0000AF3E0000}"/>
    <cellStyle name="Normal 2 67 17" xfId="16065" xr:uid="{00000000-0005-0000-0000-0000B03E0000}"/>
    <cellStyle name="Normal 2 67 2" xfId="16066" xr:uid="{00000000-0005-0000-0000-0000B13E0000}"/>
    <cellStyle name="Normal 2 67 2 10" xfId="16067" xr:uid="{00000000-0005-0000-0000-0000B23E0000}"/>
    <cellStyle name="Normal 2 67 2 10 2" xfId="16068" xr:uid="{00000000-0005-0000-0000-0000B33E0000}"/>
    <cellStyle name="Normal 2 67 2 10 3" xfId="16069" xr:uid="{00000000-0005-0000-0000-0000B43E0000}"/>
    <cellStyle name="Normal 2 67 2 11" xfId="16070" xr:uid="{00000000-0005-0000-0000-0000B53E0000}"/>
    <cellStyle name="Normal 2 67 2 11 2" xfId="16071" xr:uid="{00000000-0005-0000-0000-0000B63E0000}"/>
    <cellStyle name="Normal 2 67 2 11 3" xfId="16072" xr:uid="{00000000-0005-0000-0000-0000B73E0000}"/>
    <cellStyle name="Normal 2 67 2 12" xfId="16073" xr:uid="{00000000-0005-0000-0000-0000B83E0000}"/>
    <cellStyle name="Normal 2 67 2 12 2" xfId="16074" xr:uid="{00000000-0005-0000-0000-0000B93E0000}"/>
    <cellStyle name="Normal 2 67 2 12 3" xfId="16075" xr:uid="{00000000-0005-0000-0000-0000BA3E0000}"/>
    <cellStyle name="Normal 2 67 2 13" xfId="16076" xr:uid="{00000000-0005-0000-0000-0000BB3E0000}"/>
    <cellStyle name="Normal 2 67 2 13 2" xfId="16077" xr:uid="{00000000-0005-0000-0000-0000BC3E0000}"/>
    <cellStyle name="Normal 2 67 2 13 3" xfId="16078" xr:uid="{00000000-0005-0000-0000-0000BD3E0000}"/>
    <cellStyle name="Normal 2 67 2 14" xfId="16079" xr:uid="{00000000-0005-0000-0000-0000BE3E0000}"/>
    <cellStyle name="Normal 2 67 2 14 2" xfId="16080" xr:uid="{00000000-0005-0000-0000-0000BF3E0000}"/>
    <cellStyle name="Normal 2 67 2 14 3" xfId="16081" xr:uid="{00000000-0005-0000-0000-0000C03E0000}"/>
    <cellStyle name="Normal 2 67 2 15" xfId="16082" xr:uid="{00000000-0005-0000-0000-0000C13E0000}"/>
    <cellStyle name="Normal 2 67 2 16" xfId="16083" xr:uid="{00000000-0005-0000-0000-0000C23E0000}"/>
    <cellStyle name="Normal 2 67 2 2" xfId="16084" xr:uid="{00000000-0005-0000-0000-0000C33E0000}"/>
    <cellStyle name="Normal 2 67 2 2 2" xfId="16085" xr:uid="{00000000-0005-0000-0000-0000C43E0000}"/>
    <cellStyle name="Normal 2 67 2 2 3" xfId="16086" xr:uid="{00000000-0005-0000-0000-0000C53E0000}"/>
    <cellStyle name="Normal 2 67 2 3" xfId="16087" xr:uid="{00000000-0005-0000-0000-0000C63E0000}"/>
    <cellStyle name="Normal 2 67 2 3 2" xfId="16088" xr:uid="{00000000-0005-0000-0000-0000C73E0000}"/>
    <cellStyle name="Normal 2 67 2 3 3" xfId="16089" xr:uid="{00000000-0005-0000-0000-0000C83E0000}"/>
    <cellStyle name="Normal 2 67 2 4" xfId="16090" xr:uid="{00000000-0005-0000-0000-0000C93E0000}"/>
    <cellStyle name="Normal 2 67 2 4 2" xfId="16091" xr:uid="{00000000-0005-0000-0000-0000CA3E0000}"/>
    <cellStyle name="Normal 2 67 2 4 3" xfId="16092" xr:uid="{00000000-0005-0000-0000-0000CB3E0000}"/>
    <cellStyle name="Normal 2 67 2 5" xfId="16093" xr:uid="{00000000-0005-0000-0000-0000CC3E0000}"/>
    <cellStyle name="Normal 2 67 2 5 2" xfId="16094" xr:uid="{00000000-0005-0000-0000-0000CD3E0000}"/>
    <cellStyle name="Normal 2 67 2 5 3" xfId="16095" xr:uid="{00000000-0005-0000-0000-0000CE3E0000}"/>
    <cellStyle name="Normal 2 67 2 6" xfId="16096" xr:uid="{00000000-0005-0000-0000-0000CF3E0000}"/>
    <cellStyle name="Normal 2 67 2 6 2" xfId="16097" xr:uid="{00000000-0005-0000-0000-0000D03E0000}"/>
    <cellStyle name="Normal 2 67 2 6 3" xfId="16098" xr:uid="{00000000-0005-0000-0000-0000D13E0000}"/>
    <cellStyle name="Normal 2 67 2 7" xfId="16099" xr:uid="{00000000-0005-0000-0000-0000D23E0000}"/>
    <cellStyle name="Normal 2 67 2 7 2" xfId="16100" xr:uid="{00000000-0005-0000-0000-0000D33E0000}"/>
    <cellStyle name="Normal 2 67 2 7 3" xfId="16101" xr:uid="{00000000-0005-0000-0000-0000D43E0000}"/>
    <cellStyle name="Normal 2 67 2 8" xfId="16102" xr:uid="{00000000-0005-0000-0000-0000D53E0000}"/>
    <cellStyle name="Normal 2 67 2 8 2" xfId="16103" xr:uid="{00000000-0005-0000-0000-0000D63E0000}"/>
    <cellStyle name="Normal 2 67 2 8 3" xfId="16104" xr:uid="{00000000-0005-0000-0000-0000D73E0000}"/>
    <cellStyle name="Normal 2 67 2 9" xfId="16105" xr:uid="{00000000-0005-0000-0000-0000D83E0000}"/>
    <cellStyle name="Normal 2 67 2 9 2" xfId="16106" xr:uid="{00000000-0005-0000-0000-0000D93E0000}"/>
    <cellStyle name="Normal 2 67 2 9 3" xfId="16107" xr:uid="{00000000-0005-0000-0000-0000DA3E0000}"/>
    <cellStyle name="Normal 2 67 3" xfId="16108" xr:uid="{00000000-0005-0000-0000-0000DB3E0000}"/>
    <cellStyle name="Normal 2 67 3 2" xfId="16109" xr:uid="{00000000-0005-0000-0000-0000DC3E0000}"/>
    <cellStyle name="Normal 2 67 3 3" xfId="16110" xr:uid="{00000000-0005-0000-0000-0000DD3E0000}"/>
    <cellStyle name="Normal 2 67 4" xfId="16111" xr:uid="{00000000-0005-0000-0000-0000DE3E0000}"/>
    <cellStyle name="Normal 2 67 4 2" xfId="16112" xr:uid="{00000000-0005-0000-0000-0000DF3E0000}"/>
    <cellStyle name="Normal 2 67 4 3" xfId="16113" xr:uid="{00000000-0005-0000-0000-0000E03E0000}"/>
    <cellStyle name="Normal 2 67 5" xfId="16114" xr:uid="{00000000-0005-0000-0000-0000E13E0000}"/>
    <cellStyle name="Normal 2 67 5 2" xfId="16115" xr:uid="{00000000-0005-0000-0000-0000E23E0000}"/>
    <cellStyle name="Normal 2 67 5 3" xfId="16116" xr:uid="{00000000-0005-0000-0000-0000E33E0000}"/>
    <cellStyle name="Normal 2 67 6" xfId="16117" xr:uid="{00000000-0005-0000-0000-0000E43E0000}"/>
    <cellStyle name="Normal 2 67 6 2" xfId="16118" xr:uid="{00000000-0005-0000-0000-0000E53E0000}"/>
    <cellStyle name="Normal 2 67 6 3" xfId="16119" xr:uid="{00000000-0005-0000-0000-0000E63E0000}"/>
    <cellStyle name="Normal 2 67 7" xfId="16120" xr:uid="{00000000-0005-0000-0000-0000E73E0000}"/>
    <cellStyle name="Normal 2 67 7 2" xfId="16121" xr:uid="{00000000-0005-0000-0000-0000E83E0000}"/>
    <cellStyle name="Normal 2 67 7 3" xfId="16122" xr:uid="{00000000-0005-0000-0000-0000E93E0000}"/>
    <cellStyle name="Normal 2 67 8" xfId="16123" xr:uid="{00000000-0005-0000-0000-0000EA3E0000}"/>
    <cellStyle name="Normal 2 67 8 2" xfId="16124" xr:uid="{00000000-0005-0000-0000-0000EB3E0000}"/>
    <cellStyle name="Normal 2 67 8 3" xfId="16125" xr:uid="{00000000-0005-0000-0000-0000EC3E0000}"/>
    <cellStyle name="Normal 2 67 9" xfId="16126" xr:uid="{00000000-0005-0000-0000-0000ED3E0000}"/>
    <cellStyle name="Normal 2 67 9 2" xfId="16127" xr:uid="{00000000-0005-0000-0000-0000EE3E0000}"/>
    <cellStyle name="Normal 2 67 9 3" xfId="16128" xr:uid="{00000000-0005-0000-0000-0000EF3E0000}"/>
    <cellStyle name="Normal 2 68" xfId="16129" xr:uid="{00000000-0005-0000-0000-0000F03E0000}"/>
    <cellStyle name="Normal 2 68 10" xfId="16130" xr:uid="{00000000-0005-0000-0000-0000F13E0000}"/>
    <cellStyle name="Normal 2 68 10 2" xfId="16131" xr:uid="{00000000-0005-0000-0000-0000F23E0000}"/>
    <cellStyle name="Normal 2 68 10 3" xfId="16132" xr:uid="{00000000-0005-0000-0000-0000F33E0000}"/>
    <cellStyle name="Normal 2 68 11" xfId="16133" xr:uid="{00000000-0005-0000-0000-0000F43E0000}"/>
    <cellStyle name="Normal 2 68 11 2" xfId="16134" xr:uid="{00000000-0005-0000-0000-0000F53E0000}"/>
    <cellStyle name="Normal 2 68 11 3" xfId="16135" xr:uid="{00000000-0005-0000-0000-0000F63E0000}"/>
    <cellStyle name="Normal 2 68 12" xfId="16136" xr:uid="{00000000-0005-0000-0000-0000F73E0000}"/>
    <cellStyle name="Normal 2 68 12 2" xfId="16137" xr:uid="{00000000-0005-0000-0000-0000F83E0000}"/>
    <cellStyle name="Normal 2 68 12 3" xfId="16138" xr:uid="{00000000-0005-0000-0000-0000F93E0000}"/>
    <cellStyle name="Normal 2 68 13" xfId="16139" xr:uid="{00000000-0005-0000-0000-0000FA3E0000}"/>
    <cellStyle name="Normal 2 68 13 2" xfId="16140" xr:uid="{00000000-0005-0000-0000-0000FB3E0000}"/>
    <cellStyle name="Normal 2 68 13 3" xfId="16141" xr:uid="{00000000-0005-0000-0000-0000FC3E0000}"/>
    <cellStyle name="Normal 2 68 14" xfId="16142" xr:uid="{00000000-0005-0000-0000-0000FD3E0000}"/>
    <cellStyle name="Normal 2 68 14 2" xfId="16143" xr:uid="{00000000-0005-0000-0000-0000FE3E0000}"/>
    <cellStyle name="Normal 2 68 14 3" xfId="16144" xr:uid="{00000000-0005-0000-0000-0000FF3E0000}"/>
    <cellStyle name="Normal 2 68 15" xfId="16145" xr:uid="{00000000-0005-0000-0000-0000003F0000}"/>
    <cellStyle name="Normal 2 68 15 2" xfId="16146" xr:uid="{00000000-0005-0000-0000-0000013F0000}"/>
    <cellStyle name="Normal 2 68 15 3" xfId="16147" xr:uid="{00000000-0005-0000-0000-0000023F0000}"/>
    <cellStyle name="Normal 2 68 16" xfId="16148" xr:uid="{00000000-0005-0000-0000-0000033F0000}"/>
    <cellStyle name="Normal 2 68 17" xfId="16149" xr:uid="{00000000-0005-0000-0000-0000043F0000}"/>
    <cellStyle name="Normal 2 68 2" xfId="16150" xr:uid="{00000000-0005-0000-0000-0000053F0000}"/>
    <cellStyle name="Normal 2 68 2 10" xfId="16151" xr:uid="{00000000-0005-0000-0000-0000063F0000}"/>
    <cellStyle name="Normal 2 68 2 10 2" xfId="16152" xr:uid="{00000000-0005-0000-0000-0000073F0000}"/>
    <cellStyle name="Normal 2 68 2 10 3" xfId="16153" xr:uid="{00000000-0005-0000-0000-0000083F0000}"/>
    <cellStyle name="Normal 2 68 2 11" xfId="16154" xr:uid="{00000000-0005-0000-0000-0000093F0000}"/>
    <cellStyle name="Normal 2 68 2 11 2" xfId="16155" xr:uid="{00000000-0005-0000-0000-00000A3F0000}"/>
    <cellStyle name="Normal 2 68 2 11 3" xfId="16156" xr:uid="{00000000-0005-0000-0000-00000B3F0000}"/>
    <cellStyle name="Normal 2 68 2 12" xfId="16157" xr:uid="{00000000-0005-0000-0000-00000C3F0000}"/>
    <cellStyle name="Normal 2 68 2 12 2" xfId="16158" xr:uid="{00000000-0005-0000-0000-00000D3F0000}"/>
    <cellStyle name="Normal 2 68 2 12 3" xfId="16159" xr:uid="{00000000-0005-0000-0000-00000E3F0000}"/>
    <cellStyle name="Normal 2 68 2 13" xfId="16160" xr:uid="{00000000-0005-0000-0000-00000F3F0000}"/>
    <cellStyle name="Normal 2 68 2 13 2" xfId="16161" xr:uid="{00000000-0005-0000-0000-0000103F0000}"/>
    <cellStyle name="Normal 2 68 2 13 3" xfId="16162" xr:uid="{00000000-0005-0000-0000-0000113F0000}"/>
    <cellStyle name="Normal 2 68 2 14" xfId="16163" xr:uid="{00000000-0005-0000-0000-0000123F0000}"/>
    <cellStyle name="Normal 2 68 2 14 2" xfId="16164" xr:uid="{00000000-0005-0000-0000-0000133F0000}"/>
    <cellStyle name="Normal 2 68 2 14 3" xfId="16165" xr:uid="{00000000-0005-0000-0000-0000143F0000}"/>
    <cellStyle name="Normal 2 68 2 15" xfId="16166" xr:uid="{00000000-0005-0000-0000-0000153F0000}"/>
    <cellStyle name="Normal 2 68 2 16" xfId="16167" xr:uid="{00000000-0005-0000-0000-0000163F0000}"/>
    <cellStyle name="Normal 2 68 2 2" xfId="16168" xr:uid="{00000000-0005-0000-0000-0000173F0000}"/>
    <cellStyle name="Normal 2 68 2 2 2" xfId="16169" xr:uid="{00000000-0005-0000-0000-0000183F0000}"/>
    <cellStyle name="Normal 2 68 2 2 3" xfId="16170" xr:uid="{00000000-0005-0000-0000-0000193F0000}"/>
    <cellStyle name="Normal 2 68 2 3" xfId="16171" xr:uid="{00000000-0005-0000-0000-00001A3F0000}"/>
    <cellStyle name="Normal 2 68 2 3 2" xfId="16172" xr:uid="{00000000-0005-0000-0000-00001B3F0000}"/>
    <cellStyle name="Normal 2 68 2 3 3" xfId="16173" xr:uid="{00000000-0005-0000-0000-00001C3F0000}"/>
    <cellStyle name="Normal 2 68 2 4" xfId="16174" xr:uid="{00000000-0005-0000-0000-00001D3F0000}"/>
    <cellStyle name="Normal 2 68 2 4 2" xfId="16175" xr:uid="{00000000-0005-0000-0000-00001E3F0000}"/>
    <cellStyle name="Normal 2 68 2 4 3" xfId="16176" xr:uid="{00000000-0005-0000-0000-00001F3F0000}"/>
    <cellStyle name="Normal 2 68 2 5" xfId="16177" xr:uid="{00000000-0005-0000-0000-0000203F0000}"/>
    <cellStyle name="Normal 2 68 2 5 2" xfId="16178" xr:uid="{00000000-0005-0000-0000-0000213F0000}"/>
    <cellStyle name="Normal 2 68 2 5 3" xfId="16179" xr:uid="{00000000-0005-0000-0000-0000223F0000}"/>
    <cellStyle name="Normal 2 68 2 6" xfId="16180" xr:uid="{00000000-0005-0000-0000-0000233F0000}"/>
    <cellStyle name="Normal 2 68 2 6 2" xfId="16181" xr:uid="{00000000-0005-0000-0000-0000243F0000}"/>
    <cellStyle name="Normal 2 68 2 6 3" xfId="16182" xr:uid="{00000000-0005-0000-0000-0000253F0000}"/>
    <cellStyle name="Normal 2 68 2 7" xfId="16183" xr:uid="{00000000-0005-0000-0000-0000263F0000}"/>
    <cellStyle name="Normal 2 68 2 7 2" xfId="16184" xr:uid="{00000000-0005-0000-0000-0000273F0000}"/>
    <cellStyle name="Normal 2 68 2 7 3" xfId="16185" xr:uid="{00000000-0005-0000-0000-0000283F0000}"/>
    <cellStyle name="Normal 2 68 2 8" xfId="16186" xr:uid="{00000000-0005-0000-0000-0000293F0000}"/>
    <cellStyle name="Normal 2 68 2 8 2" xfId="16187" xr:uid="{00000000-0005-0000-0000-00002A3F0000}"/>
    <cellStyle name="Normal 2 68 2 8 3" xfId="16188" xr:uid="{00000000-0005-0000-0000-00002B3F0000}"/>
    <cellStyle name="Normal 2 68 2 9" xfId="16189" xr:uid="{00000000-0005-0000-0000-00002C3F0000}"/>
    <cellStyle name="Normal 2 68 2 9 2" xfId="16190" xr:uid="{00000000-0005-0000-0000-00002D3F0000}"/>
    <cellStyle name="Normal 2 68 2 9 3" xfId="16191" xr:uid="{00000000-0005-0000-0000-00002E3F0000}"/>
    <cellStyle name="Normal 2 68 3" xfId="16192" xr:uid="{00000000-0005-0000-0000-00002F3F0000}"/>
    <cellStyle name="Normal 2 68 3 2" xfId="16193" xr:uid="{00000000-0005-0000-0000-0000303F0000}"/>
    <cellStyle name="Normal 2 68 3 3" xfId="16194" xr:uid="{00000000-0005-0000-0000-0000313F0000}"/>
    <cellStyle name="Normal 2 68 4" xfId="16195" xr:uid="{00000000-0005-0000-0000-0000323F0000}"/>
    <cellStyle name="Normal 2 68 4 2" xfId="16196" xr:uid="{00000000-0005-0000-0000-0000333F0000}"/>
    <cellStyle name="Normal 2 68 4 3" xfId="16197" xr:uid="{00000000-0005-0000-0000-0000343F0000}"/>
    <cellStyle name="Normal 2 68 5" xfId="16198" xr:uid="{00000000-0005-0000-0000-0000353F0000}"/>
    <cellStyle name="Normal 2 68 5 2" xfId="16199" xr:uid="{00000000-0005-0000-0000-0000363F0000}"/>
    <cellStyle name="Normal 2 68 5 3" xfId="16200" xr:uid="{00000000-0005-0000-0000-0000373F0000}"/>
    <cellStyle name="Normal 2 68 6" xfId="16201" xr:uid="{00000000-0005-0000-0000-0000383F0000}"/>
    <cellStyle name="Normal 2 68 6 2" xfId="16202" xr:uid="{00000000-0005-0000-0000-0000393F0000}"/>
    <cellStyle name="Normal 2 68 6 3" xfId="16203" xr:uid="{00000000-0005-0000-0000-00003A3F0000}"/>
    <cellStyle name="Normal 2 68 7" xfId="16204" xr:uid="{00000000-0005-0000-0000-00003B3F0000}"/>
    <cellStyle name="Normal 2 68 7 2" xfId="16205" xr:uid="{00000000-0005-0000-0000-00003C3F0000}"/>
    <cellStyle name="Normal 2 68 7 3" xfId="16206" xr:uid="{00000000-0005-0000-0000-00003D3F0000}"/>
    <cellStyle name="Normal 2 68 8" xfId="16207" xr:uid="{00000000-0005-0000-0000-00003E3F0000}"/>
    <cellStyle name="Normal 2 68 8 2" xfId="16208" xr:uid="{00000000-0005-0000-0000-00003F3F0000}"/>
    <cellStyle name="Normal 2 68 8 3" xfId="16209" xr:uid="{00000000-0005-0000-0000-0000403F0000}"/>
    <cellStyle name="Normal 2 68 9" xfId="16210" xr:uid="{00000000-0005-0000-0000-0000413F0000}"/>
    <cellStyle name="Normal 2 68 9 2" xfId="16211" xr:uid="{00000000-0005-0000-0000-0000423F0000}"/>
    <cellStyle name="Normal 2 68 9 3" xfId="16212" xr:uid="{00000000-0005-0000-0000-0000433F0000}"/>
    <cellStyle name="Normal 2 69" xfId="16213" xr:uid="{00000000-0005-0000-0000-0000443F0000}"/>
    <cellStyle name="Normal 2 69 10" xfId="16214" xr:uid="{00000000-0005-0000-0000-0000453F0000}"/>
    <cellStyle name="Normal 2 69 10 2" xfId="16215" xr:uid="{00000000-0005-0000-0000-0000463F0000}"/>
    <cellStyle name="Normal 2 69 10 3" xfId="16216" xr:uid="{00000000-0005-0000-0000-0000473F0000}"/>
    <cellStyle name="Normal 2 69 11" xfId="16217" xr:uid="{00000000-0005-0000-0000-0000483F0000}"/>
    <cellStyle name="Normal 2 69 11 2" xfId="16218" xr:uid="{00000000-0005-0000-0000-0000493F0000}"/>
    <cellStyle name="Normal 2 69 11 3" xfId="16219" xr:uid="{00000000-0005-0000-0000-00004A3F0000}"/>
    <cellStyle name="Normal 2 69 12" xfId="16220" xr:uid="{00000000-0005-0000-0000-00004B3F0000}"/>
    <cellStyle name="Normal 2 69 12 2" xfId="16221" xr:uid="{00000000-0005-0000-0000-00004C3F0000}"/>
    <cellStyle name="Normal 2 69 12 3" xfId="16222" xr:uid="{00000000-0005-0000-0000-00004D3F0000}"/>
    <cellStyle name="Normal 2 69 13" xfId="16223" xr:uid="{00000000-0005-0000-0000-00004E3F0000}"/>
    <cellStyle name="Normal 2 69 13 2" xfId="16224" xr:uid="{00000000-0005-0000-0000-00004F3F0000}"/>
    <cellStyle name="Normal 2 69 13 3" xfId="16225" xr:uid="{00000000-0005-0000-0000-0000503F0000}"/>
    <cellStyle name="Normal 2 69 14" xfId="16226" xr:uid="{00000000-0005-0000-0000-0000513F0000}"/>
    <cellStyle name="Normal 2 69 14 2" xfId="16227" xr:uid="{00000000-0005-0000-0000-0000523F0000}"/>
    <cellStyle name="Normal 2 69 14 3" xfId="16228" xr:uid="{00000000-0005-0000-0000-0000533F0000}"/>
    <cellStyle name="Normal 2 69 15" xfId="16229" xr:uid="{00000000-0005-0000-0000-0000543F0000}"/>
    <cellStyle name="Normal 2 69 16" xfId="16230" xr:uid="{00000000-0005-0000-0000-0000553F0000}"/>
    <cellStyle name="Normal 2 69 2" xfId="16231" xr:uid="{00000000-0005-0000-0000-0000563F0000}"/>
    <cellStyle name="Normal 2 69 2 2" xfId="16232" xr:uid="{00000000-0005-0000-0000-0000573F0000}"/>
    <cellStyle name="Normal 2 69 2 3" xfId="16233" xr:uid="{00000000-0005-0000-0000-0000583F0000}"/>
    <cellStyle name="Normal 2 69 3" xfId="16234" xr:uid="{00000000-0005-0000-0000-0000593F0000}"/>
    <cellStyle name="Normal 2 69 3 2" xfId="16235" xr:uid="{00000000-0005-0000-0000-00005A3F0000}"/>
    <cellStyle name="Normal 2 69 3 3" xfId="16236" xr:uid="{00000000-0005-0000-0000-00005B3F0000}"/>
    <cellStyle name="Normal 2 69 4" xfId="16237" xr:uid="{00000000-0005-0000-0000-00005C3F0000}"/>
    <cellStyle name="Normal 2 69 4 2" xfId="16238" xr:uid="{00000000-0005-0000-0000-00005D3F0000}"/>
    <cellStyle name="Normal 2 69 4 3" xfId="16239" xr:uid="{00000000-0005-0000-0000-00005E3F0000}"/>
    <cellStyle name="Normal 2 69 5" xfId="16240" xr:uid="{00000000-0005-0000-0000-00005F3F0000}"/>
    <cellStyle name="Normal 2 69 5 2" xfId="16241" xr:uid="{00000000-0005-0000-0000-0000603F0000}"/>
    <cellStyle name="Normal 2 69 5 3" xfId="16242" xr:uid="{00000000-0005-0000-0000-0000613F0000}"/>
    <cellStyle name="Normal 2 69 6" xfId="16243" xr:uid="{00000000-0005-0000-0000-0000623F0000}"/>
    <cellStyle name="Normal 2 69 6 2" xfId="16244" xr:uid="{00000000-0005-0000-0000-0000633F0000}"/>
    <cellStyle name="Normal 2 69 6 3" xfId="16245" xr:uid="{00000000-0005-0000-0000-0000643F0000}"/>
    <cellStyle name="Normal 2 69 7" xfId="16246" xr:uid="{00000000-0005-0000-0000-0000653F0000}"/>
    <cellStyle name="Normal 2 69 7 2" xfId="16247" xr:uid="{00000000-0005-0000-0000-0000663F0000}"/>
    <cellStyle name="Normal 2 69 7 3" xfId="16248" xr:uid="{00000000-0005-0000-0000-0000673F0000}"/>
    <cellStyle name="Normal 2 69 8" xfId="16249" xr:uid="{00000000-0005-0000-0000-0000683F0000}"/>
    <cellStyle name="Normal 2 69 8 2" xfId="16250" xr:uid="{00000000-0005-0000-0000-0000693F0000}"/>
    <cellStyle name="Normal 2 69 8 3" xfId="16251" xr:uid="{00000000-0005-0000-0000-00006A3F0000}"/>
    <cellStyle name="Normal 2 69 9" xfId="16252" xr:uid="{00000000-0005-0000-0000-00006B3F0000}"/>
    <cellStyle name="Normal 2 69 9 2" xfId="16253" xr:uid="{00000000-0005-0000-0000-00006C3F0000}"/>
    <cellStyle name="Normal 2 69 9 3" xfId="16254" xr:uid="{00000000-0005-0000-0000-00006D3F0000}"/>
    <cellStyle name="Normal 2 7" xfId="16255" xr:uid="{00000000-0005-0000-0000-00006E3F0000}"/>
    <cellStyle name="Normal 2 7 2" xfId="16256" xr:uid="{00000000-0005-0000-0000-00006F3F0000}"/>
    <cellStyle name="Normal 2 7 2 2" xfId="16257" xr:uid="{00000000-0005-0000-0000-0000703F0000}"/>
    <cellStyle name="Normal 2 7 2 2 2" xfId="16258" xr:uid="{00000000-0005-0000-0000-0000713F0000}"/>
    <cellStyle name="Normal 2 7 2 3" xfId="16259" xr:uid="{00000000-0005-0000-0000-0000723F0000}"/>
    <cellStyle name="Normal 2 7 2 3 2" xfId="16260" xr:uid="{00000000-0005-0000-0000-0000733F0000}"/>
    <cellStyle name="Normal 2 7 2 4" xfId="16261" xr:uid="{00000000-0005-0000-0000-0000743F0000}"/>
    <cellStyle name="Normal 2 7 2 4 2" xfId="16262" xr:uid="{00000000-0005-0000-0000-0000753F0000}"/>
    <cellStyle name="Normal 2 7 2 5" xfId="16263" xr:uid="{00000000-0005-0000-0000-0000763F0000}"/>
    <cellStyle name="Normal 2 7 2 5 2" xfId="16264" xr:uid="{00000000-0005-0000-0000-0000773F0000}"/>
    <cellStyle name="Normal 2 7 2 6" xfId="16265" xr:uid="{00000000-0005-0000-0000-0000783F0000}"/>
    <cellStyle name="Normal 2 7 2 6 2" xfId="16266" xr:uid="{00000000-0005-0000-0000-0000793F0000}"/>
    <cellStyle name="Normal 2 7 2 7" xfId="16267" xr:uid="{00000000-0005-0000-0000-00007A3F0000}"/>
    <cellStyle name="Normal 2 7 2 7 2" xfId="16268" xr:uid="{00000000-0005-0000-0000-00007B3F0000}"/>
    <cellStyle name="Normal 2 7 3" xfId="16269" xr:uid="{00000000-0005-0000-0000-00007C3F0000}"/>
    <cellStyle name="Normal 2 7 4" xfId="16270" xr:uid="{00000000-0005-0000-0000-00007D3F0000}"/>
    <cellStyle name="Normal 2 7 5" xfId="16271" xr:uid="{00000000-0005-0000-0000-00007E3F0000}"/>
    <cellStyle name="Normal 2 7 6" xfId="16272" xr:uid="{00000000-0005-0000-0000-00007F3F0000}"/>
    <cellStyle name="Normal 2 7 7" xfId="16273" xr:uid="{00000000-0005-0000-0000-0000803F0000}"/>
    <cellStyle name="Normal 2 7 8" xfId="16274" xr:uid="{00000000-0005-0000-0000-0000813F0000}"/>
    <cellStyle name="Normal 2 70" xfId="16275" xr:uid="{00000000-0005-0000-0000-0000823F0000}"/>
    <cellStyle name="Normal 2 70 10" xfId="16276" xr:uid="{00000000-0005-0000-0000-0000833F0000}"/>
    <cellStyle name="Normal 2 70 10 2" xfId="16277" xr:uid="{00000000-0005-0000-0000-0000843F0000}"/>
    <cellStyle name="Normal 2 70 10 3" xfId="16278" xr:uid="{00000000-0005-0000-0000-0000853F0000}"/>
    <cellStyle name="Normal 2 70 11" xfId="16279" xr:uid="{00000000-0005-0000-0000-0000863F0000}"/>
    <cellStyle name="Normal 2 70 11 2" xfId="16280" xr:uid="{00000000-0005-0000-0000-0000873F0000}"/>
    <cellStyle name="Normal 2 70 11 3" xfId="16281" xr:uid="{00000000-0005-0000-0000-0000883F0000}"/>
    <cellStyle name="Normal 2 70 12" xfId="16282" xr:uid="{00000000-0005-0000-0000-0000893F0000}"/>
    <cellStyle name="Normal 2 70 12 2" xfId="16283" xr:uid="{00000000-0005-0000-0000-00008A3F0000}"/>
    <cellStyle name="Normal 2 70 12 3" xfId="16284" xr:uid="{00000000-0005-0000-0000-00008B3F0000}"/>
    <cellStyle name="Normal 2 70 13" xfId="16285" xr:uid="{00000000-0005-0000-0000-00008C3F0000}"/>
    <cellStyle name="Normal 2 70 13 2" xfId="16286" xr:uid="{00000000-0005-0000-0000-00008D3F0000}"/>
    <cellStyle name="Normal 2 70 13 3" xfId="16287" xr:uid="{00000000-0005-0000-0000-00008E3F0000}"/>
    <cellStyle name="Normal 2 70 14" xfId="16288" xr:uid="{00000000-0005-0000-0000-00008F3F0000}"/>
    <cellStyle name="Normal 2 70 14 2" xfId="16289" xr:uid="{00000000-0005-0000-0000-0000903F0000}"/>
    <cellStyle name="Normal 2 70 14 3" xfId="16290" xr:uid="{00000000-0005-0000-0000-0000913F0000}"/>
    <cellStyle name="Normal 2 70 15" xfId="16291" xr:uid="{00000000-0005-0000-0000-0000923F0000}"/>
    <cellStyle name="Normal 2 70 16" xfId="16292" xr:uid="{00000000-0005-0000-0000-0000933F0000}"/>
    <cellStyle name="Normal 2 70 2" xfId="16293" xr:uid="{00000000-0005-0000-0000-0000943F0000}"/>
    <cellStyle name="Normal 2 70 2 2" xfId="16294" xr:uid="{00000000-0005-0000-0000-0000953F0000}"/>
    <cellStyle name="Normal 2 70 2 3" xfId="16295" xr:uid="{00000000-0005-0000-0000-0000963F0000}"/>
    <cellStyle name="Normal 2 70 3" xfId="16296" xr:uid="{00000000-0005-0000-0000-0000973F0000}"/>
    <cellStyle name="Normal 2 70 3 2" xfId="16297" xr:uid="{00000000-0005-0000-0000-0000983F0000}"/>
    <cellStyle name="Normal 2 70 3 3" xfId="16298" xr:uid="{00000000-0005-0000-0000-0000993F0000}"/>
    <cellStyle name="Normal 2 70 4" xfId="16299" xr:uid="{00000000-0005-0000-0000-00009A3F0000}"/>
    <cellStyle name="Normal 2 70 4 2" xfId="16300" xr:uid="{00000000-0005-0000-0000-00009B3F0000}"/>
    <cellStyle name="Normal 2 70 4 3" xfId="16301" xr:uid="{00000000-0005-0000-0000-00009C3F0000}"/>
    <cellStyle name="Normal 2 70 5" xfId="16302" xr:uid="{00000000-0005-0000-0000-00009D3F0000}"/>
    <cellStyle name="Normal 2 70 5 2" xfId="16303" xr:uid="{00000000-0005-0000-0000-00009E3F0000}"/>
    <cellStyle name="Normal 2 70 5 3" xfId="16304" xr:uid="{00000000-0005-0000-0000-00009F3F0000}"/>
    <cellStyle name="Normal 2 70 6" xfId="16305" xr:uid="{00000000-0005-0000-0000-0000A03F0000}"/>
    <cellStyle name="Normal 2 70 6 2" xfId="16306" xr:uid="{00000000-0005-0000-0000-0000A13F0000}"/>
    <cellStyle name="Normal 2 70 6 3" xfId="16307" xr:uid="{00000000-0005-0000-0000-0000A23F0000}"/>
    <cellStyle name="Normal 2 70 7" xfId="16308" xr:uid="{00000000-0005-0000-0000-0000A33F0000}"/>
    <cellStyle name="Normal 2 70 7 2" xfId="16309" xr:uid="{00000000-0005-0000-0000-0000A43F0000}"/>
    <cellStyle name="Normal 2 70 7 3" xfId="16310" xr:uid="{00000000-0005-0000-0000-0000A53F0000}"/>
    <cellStyle name="Normal 2 70 8" xfId="16311" xr:uid="{00000000-0005-0000-0000-0000A63F0000}"/>
    <cellStyle name="Normal 2 70 8 2" xfId="16312" xr:uid="{00000000-0005-0000-0000-0000A73F0000}"/>
    <cellStyle name="Normal 2 70 8 3" xfId="16313" xr:uid="{00000000-0005-0000-0000-0000A83F0000}"/>
    <cellStyle name="Normal 2 70 9" xfId="16314" xr:uid="{00000000-0005-0000-0000-0000A93F0000}"/>
    <cellStyle name="Normal 2 70 9 2" xfId="16315" xr:uid="{00000000-0005-0000-0000-0000AA3F0000}"/>
    <cellStyle name="Normal 2 70 9 3" xfId="16316" xr:uid="{00000000-0005-0000-0000-0000AB3F0000}"/>
    <cellStyle name="Normal 2 71" xfId="16317" xr:uid="{00000000-0005-0000-0000-0000AC3F0000}"/>
    <cellStyle name="Normal 2 71 10" xfId="16318" xr:uid="{00000000-0005-0000-0000-0000AD3F0000}"/>
    <cellStyle name="Normal 2 71 10 2" xfId="16319" xr:uid="{00000000-0005-0000-0000-0000AE3F0000}"/>
    <cellStyle name="Normal 2 71 10 3" xfId="16320" xr:uid="{00000000-0005-0000-0000-0000AF3F0000}"/>
    <cellStyle name="Normal 2 71 11" xfId="16321" xr:uid="{00000000-0005-0000-0000-0000B03F0000}"/>
    <cellStyle name="Normal 2 71 11 2" xfId="16322" xr:uid="{00000000-0005-0000-0000-0000B13F0000}"/>
    <cellStyle name="Normal 2 71 11 3" xfId="16323" xr:uid="{00000000-0005-0000-0000-0000B23F0000}"/>
    <cellStyle name="Normal 2 71 12" xfId="16324" xr:uid="{00000000-0005-0000-0000-0000B33F0000}"/>
    <cellStyle name="Normal 2 71 12 2" xfId="16325" xr:uid="{00000000-0005-0000-0000-0000B43F0000}"/>
    <cellStyle name="Normal 2 71 12 3" xfId="16326" xr:uid="{00000000-0005-0000-0000-0000B53F0000}"/>
    <cellStyle name="Normal 2 71 13" xfId="16327" xr:uid="{00000000-0005-0000-0000-0000B63F0000}"/>
    <cellStyle name="Normal 2 71 13 2" xfId="16328" xr:uid="{00000000-0005-0000-0000-0000B73F0000}"/>
    <cellStyle name="Normal 2 71 13 3" xfId="16329" xr:uid="{00000000-0005-0000-0000-0000B83F0000}"/>
    <cellStyle name="Normal 2 71 14" xfId="16330" xr:uid="{00000000-0005-0000-0000-0000B93F0000}"/>
    <cellStyle name="Normal 2 71 14 2" xfId="16331" xr:uid="{00000000-0005-0000-0000-0000BA3F0000}"/>
    <cellStyle name="Normal 2 71 14 3" xfId="16332" xr:uid="{00000000-0005-0000-0000-0000BB3F0000}"/>
    <cellStyle name="Normal 2 71 15" xfId="16333" xr:uid="{00000000-0005-0000-0000-0000BC3F0000}"/>
    <cellStyle name="Normal 2 71 16" xfId="16334" xr:uid="{00000000-0005-0000-0000-0000BD3F0000}"/>
    <cellStyle name="Normal 2 71 2" xfId="16335" xr:uid="{00000000-0005-0000-0000-0000BE3F0000}"/>
    <cellStyle name="Normal 2 71 2 2" xfId="16336" xr:uid="{00000000-0005-0000-0000-0000BF3F0000}"/>
    <cellStyle name="Normal 2 71 2 3" xfId="16337" xr:uid="{00000000-0005-0000-0000-0000C03F0000}"/>
    <cellStyle name="Normal 2 71 3" xfId="16338" xr:uid="{00000000-0005-0000-0000-0000C13F0000}"/>
    <cellStyle name="Normal 2 71 3 2" xfId="16339" xr:uid="{00000000-0005-0000-0000-0000C23F0000}"/>
    <cellStyle name="Normal 2 71 3 3" xfId="16340" xr:uid="{00000000-0005-0000-0000-0000C33F0000}"/>
    <cellStyle name="Normal 2 71 4" xfId="16341" xr:uid="{00000000-0005-0000-0000-0000C43F0000}"/>
    <cellStyle name="Normal 2 71 4 2" xfId="16342" xr:uid="{00000000-0005-0000-0000-0000C53F0000}"/>
    <cellStyle name="Normal 2 71 4 3" xfId="16343" xr:uid="{00000000-0005-0000-0000-0000C63F0000}"/>
    <cellStyle name="Normal 2 71 5" xfId="16344" xr:uid="{00000000-0005-0000-0000-0000C73F0000}"/>
    <cellStyle name="Normal 2 71 5 2" xfId="16345" xr:uid="{00000000-0005-0000-0000-0000C83F0000}"/>
    <cellStyle name="Normal 2 71 5 3" xfId="16346" xr:uid="{00000000-0005-0000-0000-0000C93F0000}"/>
    <cellStyle name="Normal 2 71 6" xfId="16347" xr:uid="{00000000-0005-0000-0000-0000CA3F0000}"/>
    <cellStyle name="Normal 2 71 6 2" xfId="16348" xr:uid="{00000000-0005-0000-0000-0000CB3F0000}"/>
    <cellStyle name="Normal 2 71 6 3" xfId="16349" xr:uid="{00000000-0005-0000-0000-0000CC3F0000}"/>
    <cellStyle name="Normal 2 71 7" xfId="16350" xr:uid="{00000000-0005-0000-0000-0000CD3F0000}"/>
    <cellStyle name="Normal 2 71 7 2" xfId="16351" xr:uid="{00000000-0005-0000-0000-0000CE3F0000}"/>
    <cellStyle name="Normal 2 71 7 3" xfId="16352" xr:uid="{00000000-0005-0000-0000-0000CF3F0000}"/>
    <cellStyle name="Normal 2 71 8" xfId="16353" xr:uid="{00000000-0005-0000-0000-0000D03F0000}"/>
    <cellStyle name="Normal 2 71 8 2" xfId="16354" xr:uid="{00000000-0005-0000-0000-0000D13F0000}"/>
    <cellStyle name="Normal 2 71 8 3" xfId="16355" xr:uid="{00000000-0005-0000-0000-0000D23F0000}"/>
    <cellStyle name="Normal 2 71 9" xfId="16356" xr:uid="{00000000-0005-0000-0000-0000D33F0000}"/>
    <cellStyle name="Normal 2 71 9 2" xfId="16357" xr:uid="{00000000-0005-0000-0000-0000D43F0000}"/>
    <cellStyle name="Normal 2 71 9 3" xfId="16358" xr:uid="{00000000-0005-0000-0000-0000D53F0000}"/>
    <cellStyle name="Normal 2 72" xfId="16359" xr:uid="{00000000-0005-0000-0000-0000D63F0000}"/>
    <cellStyle name="Normal 2 72 10" xfId="16360" xr:uid="{00000000-0005-0000-0000-0000D73F0000}"/>
    <cellStyle name="Normal 2 72 10 2" xfId="16361" xr:uid="{00000000-0005-0000-0000-0000D83F0000}"/>
    <cellStyle name="Normal 2 72 10 3" xfId="16362" xr:uid="{00000000-0005-0000-0000-0000D93F0000}"/>
    <cellStyle name="Normal 2 72 11" xfId="16363" xr:uid="{00000000-0005-0000-0000-0000DA3F0000}"/>
    <cellStyle name="Normal 2 72 11 2" xfId="16364" xr:uid="{00000000-0005-0000-0000-0000DB3F0000}"/>
    <cellStyle name="Normal 2 72 11 3" xfId="16365" xr:uid="{00000000-0005-0000-0000-0000DC3F0000}"/>
    <cellStyle name="Normal 2 72 12" xfId="16366" xr:uid="{00000000-0005-0000-0000-0000DD3F0000}"/>
    <cellStyle name="Normal 2 72 12 2" xfId="16367" xr:uid="{00000000-0005-0000-0000-0000DE3F0000}"/>
    <cellStyle name="Normal 2 72 12 3" xfId="16368" xr:uid="{00000000-0005-0000-0000-0000DF3F0000}"/>
    <cellStyle name="Normal 2 72 13" xfId="16369" xr:uid="{00000000-0005-0000-0000-0000E03F0000}"/>
    <cellStyle name="Normal 2 72 13 2" xfId="16370" xr:uid="{00000000-0005-0000-0000-0000E13F0000}"/>
    <cellStyle name="Normal 2 72 13 3" xfId="16371" xr:uid="{00000000-0005-0000-0000-0000E23F0000}"/>
    <cellStyle name="Normal 2 72 14" xfId="16372" xr:uid="{00000000-0005-0000-0000-0000E33F0000}"/>
    <cellStyle name="Normal 2 72 14 2" xfId="16373" xr:uid="{00000000-0005-0000-0000-0000E43F0000}"/>
    <cellStyle name="Normal 2 72 14 3" xfId="16374" xr:uid="{00000000-0005-0000-0000-0000E53F0000}"/>
    <cellStyle name="Normal 2 72 15" xfId="16375" xr:uid="{00000000-0005-0000-0000-0000E63F0000}"/>
    <cellStyle name="Normal 2 72 16" xfId="16376" xr:uid="{00000000-0005-0000-0000-0000E73F0000}"/>
    <cellStyle name="Normal 2 72 2" xfId="16377" xr:uid="{00000000-0005-0000-0000-0000E83F0000}"/>
    <cellStyle name="Normal 2 72 2 2" xfId="16378" xr:uid="{00000000-0005-0000-0000-0000E93F0000}"/>
    <cellStyle name="Normal 2 72 2 3" xfId="16379" xr:uid="{00000000-0005-0000-0000-0000EA3F0000}"/>
    <cellStyle name="Normal 2 72 3" xfId="16380" xr:uid="{00000000-0005-0000-0000-0000EB3F0000}"/>
    <cellStyle name="Normal 2 72 3 2" xfId="16381" xr:uid="{00000000-0005-0000-0000-0000EC3F0000}"/>
    <cellStyle name="Normal 2 72 3 3" xfId="16382" xr:uid="{00000000-0005-0000-0000-0000ED3F0000}"/>
    <cellStyle name="Normal 2 72 4" xfId="16383" xr:uid="{00000000-0005-0000-0000-0000EE3F0000}"/>
    <cellStyle name="Normal 2 72 4 2" xfId="16384" xr:uid="{00000000-0005-0000-0000-0000EF3F0000}"/>
    <cellStyle name="Normal 2 72 4 3" xfId="16385" xr:uid="{00000000-0005-0000-0000-0000F03F0000}"/>
    <cellStyle name="Normal 2 72 5" xfId="16386" xr:uid="{00000000-0005-0000-0000-0000F13F0000}"/>
    <cellStyle name="Normal 2 72 5 2" xfId="16387" xr:uid="{00000000-0005-0000-0000-0000F23F0000}"/>
    <cellStyle name="Normal 2 72 5 3" xfId="16388" xr:uid="{00000000-0005-0000-0000-0000F33F0000}"/>
    <cellStyle name="Normal 2 72 6" xfId="16389" xr:uid="{00000000-0005-0000-0000-0000F43F0000}"/>
    <cellStyle name="Normal 2 72 6 2" xfId="16390" xr:uid="{00000000-0005-0000-0000-0000F53F0000}"/>
    <cellStyle name="Normal 2 72 6 3" xfId="16391" xr:uid="{00000000-0005-0000-0000-0000F63F0000}"/>
    <cellStyle name="Normal 2 72 7" xfId="16392" xr:uid="{00000000-0005-0000-0000-0000F73F0000}"/>
    <cellStyle name="Normal 2 72 7 2" xfId="16393" xr:uid="{00000000-0005-0000-0000-0000F83F0000}"/>
    <cellStyle name="Normal 2 72 7 3" xfId="16394" xr:uid="{00000000-0005-0000-0000-0000F93F0000}"/>
    <cellStyle name="Normal 2 72 8" xfId="16395" xr:uid="{00000000-0005-0000-0000-0000FA3F0000}"/>
    <cellStyle name="Normal 2 72 8 2" xfId="16396" xr:uid="{00000000-0005-0000-0000-0000FB3F0000}"/>
    <cellStyle name="Normal 2 72 8 3" xfId="16397" xr:uid="{00000000-0005-0000-0000-0000FC3F0000}"/>
    <cellStyle name="Normal 2 72 9" xfId="16398" xr:uid="{00000000-0005-0000-0000-0000FD3F0000}"/>
    <cellStyle name="Normal 2 72 9 2" xfId="16399" xr:uid="{00000000-0005-0000-0000-0000FE3F0000}"/>
    <cellStyle name="Normal 2 72 9 3" xfId="16400" xr:uid="{00000000-0005-0000-0000-0000FF3F0000}"/>
    <cellStyle name="Normal 2 73" xfId="16401" xr:uid="{00000000-0005-0000-0000-000000400000}"/>
    <cellStyle name="Normal 2 73 10" xfId="16402" xr:uid="{00000000-0005-0000-0000-000001400000}"/>
    <cellStyle name="Normal 2 73 10 2" xfId="16403" xr:uid="{00000000-0005-0000-0000-000002400000}"/>
    <cellStyle name="Normal 2 73 10 3" xfId="16404" xr:uid="{00000000-0005-0000-0000-000003400000}"/>
    <cellStyle name="Normal 2 73 11" xfId="16405" xr:uid="{00000000-0005-0000-0000-000004400000}"/>
    <cellStyle name="Normal 2 73 11 2" xfId="16406" xr:uid="{00000000-0005-0000-0000-000005400000}"/>
    <cellStyle name="Normal 2 73 11 3" xfId="16407" xr:uid="{00000000-0005-0000-0000-000006400000}"/>
    <cellStyle name="Normal 2 73 12" xfId="16408" xr:uid="{00000000-0005-0000-0000-000007400000}"/>
    <cellStyle name="Normal 2 73 12 2" xfId="16409" xr:uid="{00000000-0005-0000-0000-000008400000}"/>
    <cellStyle name="Normal 2 73 12 3" xfId="16410" xr:uid="{00000000-0005-0000-0000-000009400000}"/>
    <cellStyle name="Normal 2 73 13" xfId="16411" xr:uid="{00000000-0005-0000-0000-00000A400000}"/>
    <cellStyle name="Normal 2 73 13 2" xfId="16412" xr:uid="{00000000-0005-0000-0000-00000B400000}"/>
    <cellStyle name="Normal 2 73 13 3" xfId="16413" xr:uid="{00000000-0005-0000-0000-00000C400000}"/>
    <cellStyle name="Normal 2 73 14" xfId="16414" xr:uid="{00000000-0005-0000-0000-00000D400000}"/>
    <cellStyle name="Normal 2 73 14 2" xfId="16415" xr:uid="{00000000-0005-0000-0000-00000E400000}"/>
    <cellStyle name="Normal 2 73 14 3" xfId="16416" xr:uid="{00000000-0005-0000-0000-00000F400000}"/>
    <cellStyle name="Normal 2 73 15" xfId="16417" xr:uid="{00000000-0005-0000-0000-000010400000}"/>
    <cellStyle name="Normal 2 73 16" xfId="16418" xr:uid="{00000000-0005-0000-0000-000011400000}"/>
    <cellStyle name="Normal 2 73 2" xfId="16419" xr:uid="{00000000-0005-0000-0000-000012400000}"/>
    <cellStyle name="Normal 2 73 2 2" xfId="16420" xr:uid="{00000000-0005-0000-0000-000013400000}"/>
    <cellStyle name="Normal 2 73 2 3" xfId="16421" xr:uid="{00000000-0005-0000-0000-000014400000}"/>
    <cellStyle name="Normal 2 73 3" xfId="16422" xr:uid="{00000000-0005-0000-0000-000015400000}"/>
    <cellStyle name="Normal 2 73 3 2" xfId="16423" xr:uid="{00000000-0005-0000-0000-000016400000}"/>
    <cellStyle name="Normal 2 73 3 3" xfId="16424" xr:uid="{00000000-0005-0000-0000-000017400000}"/>
    <cellStyle name="Normal 2 73 4" xfId="16425" xr:uid="{00000000-0005-0000-0000-000018400000}"/>
    <cellStyle name="Normal 2 73 4 2" xfId="16426" xr:uid="{00000000-0005-0000-0000-000019400000}"/>
    <cellStyle name="Normal 2 73 4 3" xfId="16427" xr:uid="{00000000-0005-0000-0000-00001A400000}"/>
    <cellStyle name="Normal 2 73 5" xfId="16428" xr:uid="{00000000-0005-0000-0000-00001B400000}"/>
    <cellStyle name="Normal 2 73 5 2" xfId="16429" xr:uid="{00000000-0005-0000-0000-00001C400000}"/>
    <cellStyle name="Normal 2 73 5 3" xfId="16430" xr:uid="{00000000-0005-0000-0000-00001D400000}"/>
    <cellStyle name="Normal 2 73 6" xfId="16431" xr:uid="{00000000-0005-0000-0000-00001E400000}"/>
    <cellStyle name="Normal 2 73 6 2" xfId="16432" xr:uid="{00000000-0005-0000-0000-00001F400000}"/>
    <cellStyle name="Normal 2 73 6 3" xfId="16433" xr:uid="{00000000-0005-0000-0000-000020400000}"/>
    <cellStyle name="Normal 2 73 7" xfId="16434" xr:uid="{00000000-0005-0000-0000-000021400000}"/>
    <cellStyle name="Normal 2 73 7 2" xfId="16435" xr:uid="{00000000-0005-0000-0000-000022400000}"/>
    <cellStyle name="Normal 2 73 7 3" xfId="16436" xr:uid="{00000000-0005-0000-0000-000023400000}"/>
    <cellStyle name="Normal 2 73 8" xfId="16437" xr:uid="{00000000-0005-0000-0000-000024400000}"/>
    <cellStyle name="Normal 2 73 8 2" xfId="16438" xr:uid="{00000000-0005-0000-0000-000025400000}"/>
    <cellStyle name="Normal 2 73 8 3" xfId="16439" xr:uid="{00000000-0005-0000-0000-000026400000}"/>
    <cellStyle name="Normal 2 73 9" xfId="16440" xr:uid="{00000000-0005-0000-0000-000027400000}"/>
    <cellStyle name="Normal 2 73 9 2" xfId="16441" xr:uid="{00000000-0005-0000-0000-000028400000}"/>
    <cellStyle name="Normal 2 73 9 3" xfId="16442" xr:uid="{00000000-0005-0000-0000-000029400000}"/>
    <cellStyle name="Normal 2 74" xfId="16443" xr:uid="{00000000-0005-0000-0000-00002A400000}"/>
    <cellStyle name="Normal 2 74 10" xfId="16444" xr:uid="{00000000-0005-0000-0000-00002B400000}"/>
    <cellStyle name="Normal 2 74 10 2" xfId="16445" xr:uid="{00000000-0005-0000-0000-00002C400000}"/>
    <cellStyle name="Normal 2 74 10 3" xfId="16446" xr:uid="{00000000-0005-0000-0000-00002D400000}"/>
    <cellStyle name="Normal 2 74 11" xfId="16447" xr:uid="{00000000-0005-0000-0000-00002E400000}"/>
    <cellStyle name="Normal 2 74 11 2" xfId="16448" xr:uid="{00000000-0005-0000-0000-00002F400000}"/>
    <cellStyle name="Normal 2 74 11 3" xfId="16449" xr:uid="{00000000-0005-0000-0000-000030400000}"/>
    <cellStyle name="Normal 2 74 12" xfId="16450" xr:uid="{00000000-0005-0000-0000-000031400000}"/>
    <cellStyle name="Normal 2 74 12 2" xfId="16451" xr:uid="{00000000-0005-0000-0000-000032400000}"/>
    <cellStyle name="Normal 2 74 12 3" xfId="16452" xr:uid="{00000000-0005-0000-0000-000033400000}"/>
    <cellStyle name="Normal 2 74 13" xfId="16453" xr:uid="{00000000-0005-0000-0000-000034400000}"/>
    <cellStyle name="Normal 2 74 13 2" xfId="16454" xr:uid="{00000000-0005-0000-0000-000035400000}"/>
    <cellStyle name="Normal 2 74 13 3" xfId="16455" xr:uid="{00000000-0005-0000-0000-000036400000}"/>
    <cellStyle name="Normal 2 74 14" xfId="16456" xr:uid="{00000000-0005-0000-0000-000037400000}"/>
    <cellStyle name="Normal 2 74 14 2" xfId="16457" xr:uid="{00000000-0005-0000-0000-000038400000}"/>
    <cellStyle name="Normal 2 74 14 3" xfId="16458" xr:uid="{00000000-0005-0000-0000-000039400000}"/>
    <cellStyle name="Normal 2 74 15" xfId="16459" xr:uid="{00000000-0005-0000-0000-00003A400000}"/>
    <cellStyle name="Normal 2 74 16" xfId="16460" xr:uid="{00000000-0005-0000-0000-00003B400000}"/>
    <cellStyle name="Normal 2 74 2" xfId="16461" xr:uid="{00000000-0005-0000-0000-00003C400000}"/>
    <cellStyle name="Normal 2 74 2 2" xfId="16462" xr:uid="{00000000-0005-0000-0000-00003D400000}"/>
    <cellStyle name="Normal 2 74 2 3" xfId="16463" xr:uid="{00000000-0005-0000-0000-00003E400000}"/>
    <cellStyle name="Normal 2 74 3" xfId="16464" xr:uid="{00000000-0005-0000-0000-00003F400000}"/>
    <cellStyle name="Normal 2 74 3 2" xfId="16465" xr:uid="{00000000-0005-0000-0000-000040400000}"/>
    <cellStyle name="Normal 2 74 3 3" xfId="16466" xr:uid="{00000000-0005-0000-0000-000041400000}"/>
    <cellStyle name="Normal 2 74 4" xfId="16467" xr:uid="{00000000-0005-0000-0000-000042400000}"/>
    <cellStyle name="Normal 2 74 4 2" xfId="16468" xr:uid="{00000000-0005-0000-0000-000043400000}"/>
    <cellStyle name="Normal 2 74 4 3" xfId="16469" xr:uid="{00000000-0005-0000-0000-000044400000}"/>
    <cellStyle name="Normal 2 74 5" xfId="16470" xr:uid="{00000000-0005-0000-0000-000045400000}"/>
    <cellStyle name="Normal 2 74 5 2" xfId="16471" xr:uid="{00000000-0005-0000-0000-000046400000}"/>
    <cellStyle name="Normal 2 74 5 3" xfId="16472" xr:uid="{00000000-0005-0000-0000-000047400000}"/>
    <cellStyle name="Normal 2 74 6" xfId="16473" xr:uid="{00000000-0005-0000-0000-000048400000}"/>
    <cellStyle name="Normal 2 74 6 2" xfId="16474" xr:uid="{00000000-0005-0000-0000-000049400000}"/>
    <cellStyle name="Normal 2 74 6 3" xfId="16475" xr:uid="{00000000-0005-0000-0000-00004A400000}"/>
    <cellStyle name="Normal 2 74 7" xfId="16476" xr:uid="{00000000-0005-0000-0000-00004B400000}"/>
    <cellStyle name="Normal 2 74 7 2" xfId="16477" xr:uid="{00000000-0005-0000-0000-00004C400000}"/>
    <cellStyle name="Normal 2 74 7 3" xfId="16478" xr:uid="{00000000-0005-0000-0000-00004D400000}"/>
    <cellStyle name="Normal 2 74 8" xfId="16479" xr:uid="{00000000-0005-0000-0000-00004E400000}"/>
    <cellStyle name="Normal 2 74 8 2" xfId="16480" xr:uid="{00000000-0005-0000-0000-00004F400000}"/>
    <cellStyle name="Normal 2 74 8 3" xfId="16481" xr:uid="{00000000-0005-0000-0000-000050400000}"/>
    <cellStyle name="Normal 2 74 9" xfId="16482" xr:uid="{00000000-0005-0000-0000-000051400000}"/>
    <cellStyle name="Normal 2 74 9 2" xfId="16483" xr:uid="{00000000-0005-0000-0000-000052400000}"/>
    <cellStyle name="Normal 2 74 9 3" xfId="16484" xr:uid="{00000000-0005-0000-0000-000053400000}"/>
    <cellStyle name="Normal 2 75" xfId="16485" xr:uid="{00000000-0005-0000-0000-000054400000}"/>
    <cellStyle name="Normal 2 75 10" xfId="16486" xr:uid="{00000000-0005-0000-0000-000055400000}"/>
    <cellStyle name="Normal 2 75 10 2" xfId="16487" xr:uid="{00000000-0005-0000-0000-000056400000}"/>
    <cellStyle name="Normal 2 75 10 3" xfId="16488" xr:uid="{00000000-0005-0000-0000-000057400000}"/>
    <cellStyle name="Normal 2 75 11" xfId="16489" xr:uid="{00000000-0005-0000-0000-000058400000}"/>
    <cellStyle name="Normal 2 75 11 2" xfId="16490" xr:uid="{00000000-0005-0000-0000-000059400000}"/>
    <cellStyle name="Normal 2 75 11 3" xfId="16491" xr:uid="{00000000-0005-0000-0000-00005A400000}"/>
    <cellStyle name="Normal 2 75 12" xfId="16492" xr:uid="{00000000-0005-0000-0000-00005B400000}"/>
    <cellStyle name="Normal 2 75 12 2" xfId="16493" xr:uid="{00000000-0005-0000-0000-00005C400000}"/>
    <cellStyle name="Normal 2 75 12 3" xfId="16494" xr:uid="{00000000-0005-0000-0000-00005D400000}"/>
    <cellStyle name="Normal 2 75 13" xfId="16495" xr:uid="{00000000-0005-0000-0000-00005E400000}"/>
    <cellStyle name="Normal 2 75 13 2" xfId="16496" xr:uid="{00000000-0005-0000-0000-00005F400000}"/>
    <cellStyle name="Normal 2 75 13 3" xfId="16497" xr:uid="{00000000-0005-0000-0000-000060400000}"/>
    <cellStyle name="Normal 2 75 14" xfId="16498" xr:uid="{00000000-0005-0000-0000-000061400000}"/>
    <cellStyle name="Normal 2 75 14 2" xfId="16499" xr:uid="{00000000-0005-0000-0000-000062400000}"/>
    <cellStyle name="Normal 2 75 14 3" xfId="16500" xr:uid="{00000000-0005-0000-0000-000063400000}"/>
    <cellStyle name="Normal 2 75 15" xfId="16501" xr:uid="{00000000-0005-0000-0000-000064400000}"/>
    <cellStyle name="Normal 2 75 16" xfId="16502" xr:uid="{00000000-0005-0000-0000-000065400000}"/>
    <cellStyle name="Normal 2 75 2" xfId="16503" xr:uid="{00000000-0005-0000-0000-000066400000}"/>
    <cellStyle name="Normal 2 75 2 2" xfId="16504" xr:uid="{00000000-0005-0000-0000-000067400000}"/>
    <cellStyle name="Normal 2 75 2 3" xfId="16505" xr:uid="{00000000-0005-0000-0000-000068400000}"/>
    <cellStyle name="Normal 2 75 3" xfId="16506" xr:uid="{00000000-0005-0000-0000-000069400000}"/>
    <cellStyle name="Normal 2 75 3 2" xfId="16507" xr:uid="{00000000-0005-0000-0000-00006A400000}"/>
    <cellStyle name="Normal 2 75 3 3" xfId="16508" xr:uid="{00000000-0005-0000-0000-00006B400000}"/>
    <cellStyle name="Normal 2 75 4" xfId="16509" xr:uid="{00000000-0005-0000-0000-00006C400000}"/>
    <cellStyle name="Normal 2 75 4 2" xfId="16510" xr:uid="{00000000-0005-0000-0000-00006D400000}"/>
    <cellStyle name="Normal 2 75 4 3" xfId="16511" xr:uid="{00000000-0005-0000-0000-00006E400000}"/>
    <cellStyle name="Normal 2 75 5" xfId="16512" xr:uid="{00000000-0005-0000-0000-00006F400000}"/>
    <cellStyle name="Normal 2 75 5 2" xfId="16513" xr:uid="{00000000-0005-0000-0000-000070400000}"/>
    <cellStyle name="Normal 2 75 5 3" xfId="16514" xr:uid="{00000000-0005-0000-0000-000071400000}"/>
    <cellStyle name="Normal 2 75 6" xfId="16515" xr:uid="{00000000-0005-0000-0000-000072400000}"/>
    <cellStyle name="Normal 2 75 6 2" xfId="16516" xr:uid="{00000000-0005-0000-0000-000073400000}"/>
    <cellStyle name="Normal 2 75 6 3" xfId="16517" xr:uid="{00000000-0005-0000-0000-000074400000}"/>
    <cellStyle name="Normal 2 75 7" xfId="16518" xr:uid="{00000000-0005-0000-0000-000075400000}"/>
    <cellStyle name="Normal 2 75 7 2" xfId="16519" xr:uid="{00000000-0005-0000-0000-000076400000}"/>
    <cellStyle name="Normal 2 75 7 3" xfId="16520" xr:uid="{00000000-0005-0000-0000-000077400000}"/>
    <cellStyle name="Normal 2 75 8" xfId="16521" xr:uid="{00000000-0005-0000-0000-000078400000}"/>
    <cellStyle name="Normal 2 75 8 2" xfId="16522" xr:uid="{00000000-0005-0000-0000-000079400000}"/>
    <cellStyle name="Normal 2 75 8 3" xfId="16523" xr:uid="{00000000-0005-0000-0000-00007A400000}"/>
    <cellStyle name="Normal 2 75 9" xfId="16524" xr:uid="{00000000-0005-0000-0000-00007B400000}"/>
    <cellStyle name="Normal 2 75 9 2" xfId="16525" xr:uid="{00000000-0005-0000-0000-00007C400000}"/>
    <cellStyle name="Normal 2 75 9 3" xfId="16526" xr:uid="{00000000-0005-0000-0000-00007D400000}"/>
    <cellStyle name="Normal 2 76" xfId="16527" xr:uid="{00000000-0005-0000-0000-00007E400000}"/>
    <cellStyle name="Normal 2 76 10" xfId="16528" xr:uid="{00000000-0005-0000-0000-00007F400000}"/>
    <cellStyle name="Normal 2 76 10 2" xfId="16529" xr:uid="{00000000-0005-0000-0000-000080400000}"/>
    <cellStyle name="Normal 2 76 10 3" xfId="16530" xr:uid="{00000000-0005-0000-0000-000081400000}"/>
    <cellStyle name="Normal 2 76 11" xfId="16531" xr:uid="{00000000-0005-0000-0000-000082400000}"/>
    <cellStyle name="Normal 2 76 11 2" xfId="16532" xr:uid="{00000000-0005-0000-0000-000083400000}"/>
    <cellStyle name="Normal 2 76 11 3" xfId="16533" xr:uid="{00000000-0005-0000-0000-000084400000}"/>
    <cellStyle name="Normal 2 76 12" xfId="16534" xr:uid="{00000000-0005-0000-0000-000085400000}"/>
    <cellStyle name="Normal 2 76 12 2" xfId="16535" xr:uid="{00000000-0005-0000-0000-000086400000}"/>
    <cellStyle name="Normal 2 76 12 3" xfId="16536" xr:uid="{00000000-0005-0000-0000-000087400000}"/>
    <cellStyle name="Normal 2 76 13" xfId="16537" xr:uid="{00000000-0005-0000-0000-000088400000}"/>
    <cellStyle name="Normal 2 76 13 2" xfId="16538" xr:uid="{00000000-0005-0000-0000-000089400000}"/>
    <cellStyle name="Normal 2 76 13 3" xfId="16539" xr:uid="{00000000-0005-0000-0000-00008A400000}"/>
    <cellStyle name="Normal 2 76 14" xfId="16540" xr:uid="{00000000-0005-0000-0000-00008B400000}"/>
    <cellStyle name="Normal 2 76 14 2" xfId="16541" xr:uid="{00000000-0005-0000-0000-00008C400000}"/>
    <cellStyle name="Normal 2 76 14 3" xfId="16542" xr:uid="{00000000-0005-0000-0000-00008D400000}"/>
    <cellStyle name="Normal 2 76 15" xfId="16543" xr:uid="{00000000-0005-0000-0000-00008E400000}"/>
    <cellStyle name="Normal 2 76 16" xfId="16544" xr:uid="{00000000-0005-0000-0000-00008F400000}"/>
    <cellStyle name="Normal 2 76 2" xfId="16545" xr:uid="{00000000-0005-0000-0000-000090400000}"/>
    <cellStyle name="Normal 2 76 2 2" xfId="16546" xr:uid="{00000000-0005-0000-0000-000091400000}"/>
    <cellStyle name="Normal 2 76 2 3" xfId="16547" xr:uid="{00000000-0005-0000-0000-000092400000}"/>
    <cellStyle name="Normal 2 76 3" xfId="16548" xr:uid="{00000000-0005-0000-0000-000093400000}"/>
    <cellStyle name="Normal 2 76 3 2" xfId="16549" xr:uid="{00000000-0005-0000-0000-000094400000}"/>
    <cellStyle name="Normal 2 76 3 3" xfId="16550" xr:uid="{00000000-0005-0000-0000-000095400000}"/>
    <cellStyle name="Normal 2 76 4" xfId="16551" xr:uid="{00000000-0005-0000-0000-000096400000}"/>
    <cellStyle name="Normal 2 76 4 2" xfId="16552" xr:uid="{00000000-0005-0000-0000-000097400000}"/>
    <cellStyle name="Normal 2 76 4 3" xfId="16553" xr:uid="{00000000-0005-0000-0000-000098400000}"/>
    <cellStyle name="Normal 2 76 5" xfId="16554" xr:uid="{00000000-0005-0000-0000-000099400000}"/>
    <cellStyle name="Normal 2 76 5 2" xfId="16555" xr:uid="{00000000-0005-0000-0000-00009A400000}"/>
    <cellStyle name="Normal 2 76 5 3" xfId="16556" xr:uid="{00000000-0005-0000-0000-00009B400000}"/>
    <cellStyle name="Normal 2 76 6" xfId="16557" xr:uid="{00000000-0005-0000-0000-00009C400000}"/>
    <cellStyle name="Normal 2 76 6 2" xfId="16558" xr:uid="{00000000-0005-0000-0000-00009D400000}"/>
    <cellStyle name="Normal 2 76 6 3" xfId="16559" xr:uid="{00000000-0005-0000-0000-00009E400000}"/>
    <cellStyle name="Normal 2 76 7" xfId="16560" xr:uid="{00000000-0005-0000-0000-00009F400000}"/>
    <cellStyle name="Normal 2 76 7 2" xfId="16561" xr:uid="{00000000-0005-0000-0000-0000A0400000}"/>
    <cellStyle name="Normal 2 76 7 3" xfId="16562" xr:uid="{00000000-0005-0000-0000-0000A1400000}"/>
    <cellStyle name="Normal 2 76 8" xfId="16563" xr:uid="{00000000-0005-0000-0000-0000A2400000}"/>
    <cellStyle name="Normal 2 76 8 2" xfId="16564" xr:uid="{00000000-0005-0000-0000-0000A3400000}"/>
    <cellStyle name="Normal 2 76 8 3" xfId="16565" xr:uid="{00000000-0005-0000-0000-0000A4400000}"/>
    <cellStyle name="Normal 2 76 9" xfId="16566" xr:uid="{00000000-0005-0000-0000-0000A5400000}"/>
    <cellStyle name="Normal 2 76 9 2" xfId="16567" xr:uid="{00000000-0005-0000-0000-0000A6400000}"/>
    <cellStyle name="Normal 2 76 9 3" xfId="16568" xr:uid="{00000000-0005-0000-0000-0000A7400000}"/>
    <cellStyle name="Normal 2 77" xfId="16569" xr:uid="{00000000-0005-0000-0000-0000A8400000}"/>
    <cellStyle name="Normal 2 77 10" xfId="16570" xr:uid="{00000000-0005-0000-0000-0000A9400000}"/>
    <cellStyle name="Normal 2 77 10 2" xfId="16571" xr:uid="{00000000-0005-0000-0000-0000AA400000}"/>
    <cellStyle name="Normal 2 77 10 3" xfId="16572" xr:uid="{00000000-0005-0000-0000-0000AB400000}"/>
    <cellStyle name="Normal 2 77 11" xfId="16573" xr:uid="{00000000-0005-0000-0000-0000AC400000}"/>
    <cellStyle name="Normal 2 77 11 2" xfId="16574" xr:uid="{00000000-0005-0000-0000-0000AD400000}"/>
    <cellStyle name="Normal 2 77 11 3" xfId="16575" xr:uid="{00000000-0005-0000-0000-0000AE400000}"/>
    <cellStyle name="Normal 2 77 12" xfId="16576" xr:uid="{00000000-0005-0000-0000-0000AF400000}"/>
    <cellStyle name="Normal 2 77 12 2" xfId="16577" xr:uid="{00000000-0005-0000-0000-0000B0400000}"/>
    <cellStyle name="Normal 2 77 12 3" xfId="16578" xr:uid="{00000000-0005-0000-0000-0000B1400000}"/>
    <cellStyle name="Normal 2 77 13" xfId="16579" xr:uid="{00000000-0005-0000-0000-0000B2400000}"/>
    <cellStyle name="Normal 2 77 13 2" xfId="16580" xr:uid="{00000000-0005-0000-0000-0000B3400000}"/>
    <cellStyle name="Normal 2 77 13 3" xfId="16581" xr:uid="{00000000-0005-0000-0000-0000B4400000}"/>
    <cellStyle name="Normal 2 77 14" xfId="16582" xr:uid="{00000000-0005-0000-0000-0000B5400000}"/>
    <cellStyle name="Normal 2 77 14 2" xfId="16583" xr:uid="{00000000-0005-0000-0000-0000B6400000}"/>
    <cellStyle name="Normal 2 77 14 3" xfId="16584" xr:uid="{00000000-0005-0000-0000-0000B7400000}"/>
    <cellStyle name="Normal 2 77 15" xfId="16585" xr:uid="{00000000-0005-0000-0000-0000B8400000}"/>
    <cellStyle name="Normal 2 77 16" xfId="16586" xr:uid="{00000000-0005-0000-0000-0000B9400000}"/>
    <cellStyle name="Normal 2 77 2" xfId="16587" xr:uid="{00000000-0005-0000-0000-0000BA400000}"/>
    <cellStyle name="Normal 2 77 2 2" xfId="16588" xr:uid="{00000000-0005-0000-0000-0000BB400000}"/>
    <cellStyle name="Normal 2 77 2 3" xfId="16589" xr:uid="{00000000-0005-0000-0000-0000BC400000}"/>
    <cellStyle name="Normal 2 77 3" xfId="16590" xr:uid="{00000000-0005-0000-0000-0000BD400000}"/>
    <cellStyle name="Normal 2 77 3 2" xfId="16591" xr:uid="{00000000-0005-0000-0000-0000BE400000}"/>
    <cellStyle name="Normal 2 77 3 3" xfId="16592" xr:uid="{00000000-0005-0000-0000-0000BF400000}"/>
    <cellStyle name="Normal 2 77 4" xfId="16593" xr:uid="{00000000-0005-0000-0000-0000C0400000}"/>
    <cellStyle name="Normal 2 77 4 2" xfId="16594" xr:uid="{00000000-0005-0000-0000-0000C1400000}"/>
    <cellStyle name="Normal 2 77 4 3" xfId="16595" xr:uid="{00000000-0005-0000-0000-0000C2400000}"/>
    <cellStyle name="Normal 2 77 5" xfId="16596" xr:uid="{00000000-0005-0000-0000-0000C3400000}"/>
    <cellStyle name="Normal 2 77 5 2" xfId="16597" xr:uid="{00000000-0005-0000-0000-0000C4400000}"/>
    <cellStyle name="Normal 2 77 5 3" xfId="16598" xr:uid="{00000000-0005-0000-0000-0000C5400000}"/>
    <cellStyle name="Normal 2 77 6" xfId="16599" xr:uid="{00000000-0005-0000-0000-0000C6400000}"/>
    <cellStyle name="Normal 2 77 6 2" xfId="16600" xr:uid="{00000000-0005-0000-0000-0000C7400000}"/>
    <cellStyle name="Normal 2 77 6 3" xfId="16601" xr:uid="{00000000-0005-0000-0000-0000C8400000}"/>
    <cellStyle name="Normal 2 77 7" xfId="16602" xr:uid="{00000000-0005-0000-0000-0000C9400000}"/>
    <cellStyle name="Normal 2 77 7 2" xfId="16603" xr:uid="{00000000-0005-0000-0000-0000CA400000}"/>
    <cellStyle name="Normal 2 77 7 3" xfId="16604" xr:uid="{00000000-0005-0000-0000-0000CB400000}"/>
    <cellStyle name="Normal 2 77 8" xfId="16605" xr:uid="{00000000-0005-0000-0000-0000CC400000}"/>
    <cellStyle name="Normal 2 77 8 2" xfId="16606" xr:uid="{00000000-0005-0000-0000-0000CD400000}"/>
    <cellStyle name="Normal 2 77 8 3" xfId="16607" xr:uid="{00000000-0005-0000-0000-0000CE400000}"/>
    <cellStyle name="Normal 2 77 9" xfId="16608" xr:uid="{00000000-0005-0000-0000-0000CF400000}"/>
    <cellStyle name="Normal 2 77 9 2" xfId="16609" xr:uid="{00000000-0005-0000-0000-0000D0400000}"/>
    <cellStyle name="Normal 2 77 9 3" xfId="16610" xr:uid="{00000000-0005-0000-0000-0000D1400000}"/>
    <cellStyle name="Normal 2 78" xfId="16611" xr:uid="{00000000-0005-0000-0000-0000D2400000}"/>
    <cellStyle name="Normal 2 78 10" xfId="16612" xr:uid="{00000000-0005-0000-0000-0000D3400000}"/>
    <cellStyle name="Normal 2 78 10 2" xfId="16613" xr:uid="{00000000-0005-0000-0000-0000D4400000}"/>
    <cellStyle name="Normal 2 78 10 3" xfId="16614" xr:uid="{00000000-0005-0000-0000-0000D5400000}"/>
    <cellStyle name="Normal 2 78 11" xfId="16615" xr:uid="{00000000-0005-0000-0000-0000D6400000}"/>
    <cellStyle name="Normal 2 78 11 2" xfId="16616" xr:uid="{00000000-0005-0000-0000-0000D7400000}"/>
    <cellStyle name="Normal 2 78 11 3" xfId="16617" xr:uid="{00000000-0005-0000-0000-0000D8400000}"/>
    <cellStyle name="Normal 2 78 12" xfId="16618" xr:uid="{00000000-0005-0000-0000-0000D9400000}"/>
    <cellStyle name="Normal 2 78 12 2" xfId="16619" xr:uid="{00000000-0005-0000-0000-0000DA400000}"/>
    <cellStyle name="Normal 2 78 12 3" xfId="16620" xr:uid="{00000000-0005-0000-0000-0000DB400000}"/>
    <cellStyle name="Normal 2 78 13" xfId="16621" xr:uid="{00000000-0005-0000-0000-0000DC400000}"/>
    <cellStyle name="Normal 2 78 13 2" xfId="16622" xr:uid="{00000000-0005-0000-0000-0000DD400000}"/>
    <cellStyle name="Normal 2 78 13 3" xfId="16623" xr:uid="{00000000-0005-0000-0000-0000DE400000}"/>
    <cellStyle name="Normal 2 78 14" xfId="16624" xr:uid="{00000000-0005-0000-0000-0000DF400000}"/>
    <cellStyle name="Normal 2 78 14 2" xfId="16625" xr:uid="{00000000-0005-0000-0000-0000E0400000}"/>
    <cellStyle name="Normal 2 78 14 3" xfId="16626" xr:uid="{00000000-0005-0000-0000-0000E1400000}"/>
    <cellStyle name="Normal 2 78 15" xfId="16627" xr:uid="{00000000-0005-0000-0000-0000E2400000}"/>
    <cellStyle name="Normal 2 78 16" xfId="16628" xr:uid="{00000000-0005-0000-0000-0000E3400000}"/>
    <cellStyle name="Normal 2 78 2" xfId="16629" xr:uid="{00000000-0005-0000-0000-0000E4400000}"/>
    <cellStyle name="Normal 2 78 2 2" xfId="16630" xr:uid="{00000000-0005-0000-0000-0000E5400000}"/>
    <cellStyle name="Normal 2 78 2 3" xfId="16631" xr:uid="{00000000-0005-0000-0000-0000E6400000}"/>
    <cellStyle name="Normal 2 78 3" xfId="16632" xr:uid="{00000000-0005-0000-0000-0000E7400000}"/>
    <cellStyle name="Normal 2 78 3 2" xfId="16633" xr:uid="{00000000-0005-0000-0000-0000E8400000}"/>
    <cellStyle name="Normal 2 78 3 3" xfId="16634" xr:uid="{00000000-0005-0000-0000-0000E9400000}"/>
    <cellStyle name="Normal 2 78 4" xfId="16635" xr:uid="{00000000-0005-0000-0000-0000EA400000}"/>
    <cellStyle name="Normal 2 78 4 2" xfId="16636" xr:uid="{00000000-0005-0000-0000-0000EB400000}"/>
    <cellStyle name="Normal 2 78 4 3" xfId="16637" xr:uid="{00000000-0005-0000-0000-0000EC400000}"/>
    <cellStyle name="Normal 2 78 5" xfId="16638" xr:uid="{00000000-0005-0000-0000-0000ED400000}"/>
    <cellStyle name="Normal 2 78 5 2" xfId="16639" xr:uid="{00000000-0005-0000-0000-0000EE400000}"/>
    <cellStyle name="Normal 2 78 5 3" xfId="16640" xr:uid="{00000000-0005-0000-0000-0000EF400000}"/>
    <cellStyle name="Normal 2 78 6" xfId="16641" xr:uid="{00000000-0005-0000-0000-0000F0400000}"/>
    <cellStyle name="Normal 2 78 6 2" xfId="16642" xr:uid="{00000000-0005-0000-0000-0000F1400000}"/>
    <cellStyle name="Normal 2 78 6 3" xfId="16643" xr:uid="{00000000-0005-0000-0000-0000F2400000}"/>
    <cellStyle name="Normal 2 78 7" xfId="16644" xr:uid="{00000000-0005-0000-0000-0000F3400000}"/>
    <cellStyle name="Normal 2 78 7 2" xfId="16645" xr:uid="{00000000-0005-0000-0000-0000F4400000}"/>
    <cellStyle name="Normal 2 78 7 3" xfId="16646" xr:uid="{00000000-0005-0000-0000-0000F5400000}"/>
    <cellStyle name="Normal 2 78 8" xfId="16647" xr:uid="{00000000-0005-0000-0000-0000F6400000}"/>
    <cellStyle name="Normal 2 78 8 2" xfId="16648" xr:uid="{00000000-0005-0000-0000-0000F7400000}"/>
    <cellStyle name="Normal 2 78 8 3" xfId="16649" xr:uid="{00000000-0005-0000-0000-0000F8400000}"/>
    <cellStyle name="Normal 2 78 9" xfId="16650" xr:uid="{00000000-0005-0000-0000-0000F9400000}"/>
    <cellStyle name="Normal 2 78 9 2" xfId="16651" xr:uid="{00000000-0005-0000-0000-0000FA400000}"/>
    <cellStyle name="Normal 2 78 9 3" xfId="16652" xr:uid="{00000000-0005-0000-0000-0000FB400000}"/>
    <cellStyle name="Normal 2 79" xfId="16653" xr:uid="{00000000-0005-0000-0000-0000FC400000}"/>
    <cellStyle name="Normal 2 8" xfId="16654" xr:uid="{00000000-0005-0000-0000-0000FD400000}"/>
    <cellStyle name="Normal 2 8 2" xfId="16655" xr:uid="{00000000-0005-0000-0000-0000FE400000}"/>
    <cellStyle name="Normal 2 8 2 2" xfId="16656" xr:uid="{00000000-0005-0000-0000-0000FF400000}"/>
    <cellStyle name="Normal 2 8 3" xfId="16657" xr:uid="{00000000-0005-0000-0000-000000410000}"/>
    <cellStyle name="Normal 2 8 3 2" xfId="16658" xr:uid="{00000000-0005-0000-0000-000001410000}"/>
    <cellStyle name="Normal 2 8 4" xfId="16659" xr:uid="{00000000-0005-0000-0000-000002410000}"/>
    <cellStyle name="Normal 2 8 4 2" xfId="16660" xr:uid="{00000000-0005-0000-0000-000003410000}"/>
    <cellStyle name="Normal 2 8 5" xfId="16661" xr:uid="{00000000-0005-0000-0000-000004410000}"/>
    <cellStyle name="Normal 2 8 5 2" xfId="16662" xr:uid="{00000000-0005-0000-0000-000005410000}"/>
    <cellStyle name="Normal 2 8 6" xfId="16663" xr:uid="{00000000-0005-0000-0000-000006410000}"/>
    <cellStyle name="Normal 2 8 6 2" xfId="16664" xr:uid="{00000000-0005-0000-0000-000007410000}"/>
    <cellStyle name="Normal 2 8 7" xfId="16665" xr:uid="{00000000-0005-0000-0000-000008410000}"/>
    <cellStyle name="Normal 2 8 7 2" xfId="16666" xr:uid="{00000000-0005-0000-0000-000009410000}"/>
    <cellStyle name="Normal 2 8 8" xfId="16667" xr:uid="{00000000-0005-0000-0000-00000A410000}"/>
    <cellStyle name="Normal 2 80" xfId="16668" xr:uid="{00000000-0005-0000-0000-00000B410000}"/>
    <cellStyle name="Normal 2 80 10" xfId="16669" xr:uid="{00000000-0005-0000-0000-00000C410000}"/>
    <cellStyle name="Normal 2 80 10 2" xfId="16670" xr:uid="{00000000-0005-0000-0000-00000D410000}"/>
    <cellStyle name="Normal 2 80 10 3" xfId="16671" xr:uid="{00000000-0005-0000-0000-00000E410000}"/>
    <cellStyle name="Normal 2 80 11" xfId="16672" xr:uid="{00000000-0005-0000-0000-00000F410000}"/>
    <cellStyle name="Normal 2 80 11 2" xfId="16673" xr:uid="{00000000-0005-0000-0000-000010410000}"/>
    <cellStyle name="Normal 2 80 11 3" xfId="16674" xr:uid="{00000000-0005-0000-0000-000011410000}"/>
    <cellStyle name="Normal 2 80 12" xfId="16675" xr:uid="{00000000-0005-0000-0000-000012410000}"/>
    <cellStyle name="Normal 2 80 12 2" xfId="16676" xr:uid="{00000000-0005-0000-0000-000013410000}"/>
    <cellStyle name="Normal 2 80 12 3" xfId="16677" xr:uid="{00000000-0005-0000-0000-000014410000}"/>
    <cellStyle name="Normal 2 80 13" xfId="16678" xr:uid="{00000000-0005-0000-0000-000015410000}"/>
    <cellStyle name="Normal 2 80 13 2" xfId="16679" xr:uid="{00000000-0005-0000-0000-000016410000}"/>
    <cellStyle name="Normal 2 80 13 3" xfId="16680" xr:uid="{00000000-0005-0000-0000-000017410000}"/>
    <cellStyle name="Normal 2 80 14" xfId="16681" xr:uid="{00000000-0005-0000-0000-000018410000}"/>
    <cellStyle name="Normal 2 80 14 2" xfId="16682" xr:uid="{00000000-0005-0000-0000-000019410000}"/>
    <cellStyle name="Normal 2 80 14 3" xfId="16683" xr:uid="{00000000-0005-0000-0000-00001A410000}"/>
    <cellStyle name="Normal 2 80 15" xfId="16684" xr:uid="{00000000-0005-0000-0000-00001B410000}"/>
    <cellStyle name="Normal 2 80 16" xfId="16685" xr:uid="{00000000-0005-0000-0000-00001C410000}"/>
    <cellStyle name="Normal 2 80 2" xfId="16686" xr:uid="{00000000-0005-0000-0000-00001D410000}"/>
    <cellStyle name="Normal 2 80 2 2" xfId="16687" xr:uid="{00000000-0005-0000-0000-00001E410000}"/>
    <cellStyle name="Normal 2 80 2 3" xfId="16688" xr:uid="{00000000-0005-0000-0000-00001F410000}"/>
    <cellStyle name="Normal 2 80 3" xfId="16689" xr:uid="{00000000-0005-0000-0000-000020410000}"/>
    <cellStyle name="Normal 2 80 3 2" xfId="16690" xr:uid="{00000000-0005-0000-0000-000021410000}"/>
    <cellStyle name="Normal 2 80 3 3" xfId="16691" xr:uid="{00000000-0005-0000-0000-000022410000}"/>
    <cellStyle name="Normal 2 80 4" xfId="16692" xr:uid="{00000000-0005-0000-0000-000023410000}"/>
    <cellStyle name="Normal 2 80 4 2" xfId="16693" xr:uid="{00000000-0005-0000-0000-000024410000}"/>
    <cellStyle name="Normal 2 80 4 3" xfId="16694" xr:uid="{00000000-0005-0000-0000-000025410000}"/>
    <cellStyle name="Normal 2 80 5" xfId="16695" xr:uid="{00000000-0005-0000-0000-000026410000}"/>
    <cellStyle name="Normal 2 80 5 2" xfId="16696" xr:uid="{00000000-0005-0000-0000-000027410000}"/>
    <cellStyle name="Normal 2 80 5 3" xfId="16697" xr:uid="{00000000-0005-0000-0000-000028410000}"/>
    <cellStyle name="Normal 2 80 6" xfId="16698" xr:uid="{00000000-0005-0000-0000-000029410000}"/>
    <cellStyle name="Normal 2 80 6 2" xfId="16699" xr:uid="{00000000-0005-0000-0000-00002A410000}"/>
    <cellStyle name="Normal 2 80 6 3" xfId="16700" xr:uid="{00000000-0005-0000-0000-00002B410000}"/>
    <cellStyle name="Normal 2 80 7" xfId="16701" xr:uid="{00000000-0005-0000-0000-00002C410000}"/>
    <cellStyle name="Normal 2 80 7 2" xfId="16702" xr:uid="{00000000-0005-0000-0000-00002D410000}"/>
    <cellStyle name="Normal 2 80 7 3" xfId="16703" xr:uid="{00000000-0005-0000-0000-00002E410000}"/>
    <cellStyle name="Normal 2 80 8" xfId="16704" xr:uid="{00000000-0005-0000-0000-00002F410000}"/>
    <cellStyle name="Normal 2 80 8 2" xfId="16705" xr:uid="{00000000-0005-0000-0000-000030410000}"/>
    <cellStyle name="Normal 2 80 8 3" xfId="16706" xr:uid="{00000000-0005-0000-0000-000031410000}"/>
    <cellStyle name="Normal 2 80 9" xfId="16707" xr:uid="{00000000-0005-0000-0000-000032410000}"/>
    <cellStyle name="Normal 2 80 9 2" xfId="16708" xr:uid="{00000000-0005-0000-0000-000033410000}"/>
    <cellStyle name="Normal 2 80 9 3" xfId="16709" xr:uid="{00000000-0005-0000-0000-000034410000}"/>
    <cellStyle name="Normal 2 81" xfId="16710" xr:uid="{00000000-0005-0000-0000-000035410000}"/>
    <cellStyle name="Normal 2 81 10" xfId="16711" xr:uid="{00000000-0005-0000-0000-000036410000}"/>
    <cellStyle name="Normal 2 81 10 2" xfId="16712" xr:uid="{00000000-0005-0000-0000-000037410000}"/>
    <cellStyle name="Normal 2 81 10 3" xfId="16713" xr:uid="{00000000-0005-0000-0000-000038410000}"/>
    <cellStyle name="Normal 2 81 11" xfId="16714" xr:uid="{00000000-0005-0000-0000-000039410000}"/>
    <cellStyle name="Normal 2 81 11 2" xfId="16715" xr:uid="{00000000-0005-0000-0000-00003A410000}"/>
    <cellStyle name="Normal 2 81 11 3" xfId="16716" xr:uid="{00000000-0005-0000-0000-00003B410000}"/>
    <cellStyle name="Normal 2 81 12" xfId="16717" xr:uid="{00000000-0005-0000-0000-00003C410000}"/>
    <cellStyle name="Normal 2 81 12 2" xfId="16718" xr:uid="{00000000-0005-0000-0000-00003D410000}"/>
    <cellStyle name="Normal 2 81 12 3" xfId="16719" xr:uid="{00000000-0005-0000-0000-00003E410000}"/>
    <cellStyle name="Normal 2 81 13" xfId="16720" xr:uid="{00000000-0005-0000-0000-00003F410000}"/>
    <cellStyle name="Normal 2 81 13 2" xfId="16721" xr:uid="{00000000-0005-0000-0000-000040410000}"/>
    <cellStyle name="Normal 2 81 13 3" xfId="16722" xr:uid="{00000000-0005-0000-0000-000041410000}"/>
    <cellStyle name="Normal 2 81 14" xfId="16723" xr:uid="{00000000-0005-0000-0000-000042410000}"/>
    <cellStyle name="Normal 2 81 14 2" xfId="16724" xr:uid="{00000000-0005-0000-0000-000043410000}"/>
    <cellStyle name="Normal 2 81 14 3" xfId="16725" xr:uid="{00000000-0005-0000-0000-000044410000}"/>
    <cellStyle name="Normal 2 81 15" xfId="16726" xr:uid="{00000000-0005-0000-0000-000045410000}"/>
    <cellStyle name="Normal 2 81 16" xfId="16727" xr:uid="{00000000-0005-0000-0000-000046410000}"/>
    <cellStyle name="Normal 2 81 2" xfId="16728" xr:uid="{00000000-0005-0000-0000-000047410000}"/>
    <cellStyle name="Normal 2 81 2 2" xfId="16729" xr:uid="{00000000-0005-0000-0000-000048410000}"/>
    <cellStyle name="Normal 2 81 2 3" xfId="16730" xr:uid="{00000000-0005-0000-0000-000049410000}"/>
    <cellStyle name="Normal 2 81 3" xfId="16731" xr:uid="{00000000-0005-0000-0000-00004A410000}"/>
    <cellStyle name="Normal 2 81 3 2" xfId="16732" xr:uid="{00000000-0005-0000-0000-00004B410000}"/>
    <cellStyle name="Normal 2 81 3 3" xfId="16733" xr:uid="{00000000-0005-0000-0000-00004C410000}"/>
    <cellStyle name="Normal 2 81 4" xfId="16734" xr:uid="{00000000-0005-0000-0000-00004D410000}"/>
    <cellStyle name="Normal 2 81 4 2" xfId="16735" xr:uid="{00000000-0005-0000-0000-00004E410000}"/>
    <cellStyle name="Normal 2 81 4 3" xfId="16736" xr:uid="{00000000-0005-0000-0000-00004F410000}"/>
    <cellStyle name="Normal 2 81 5" xfId="16737" xr:uid="{00000000-0005-0000-0000-000050410000}"/>
    <cellStyle name="Normal 2 81 5 2" xfId="16738" xr:uid="{00000000-0005-0000-0000-000051410000}"/>
    <cellStyle name="Normal 2 81 5 3" xfId="16739" xr:uid="{00000000-0005-0000-0000-000052410000}"/>
    <cellStyle name="Normal 2 81 6" xfId="16740" xr:uid="{00000000-0005-0000-0000-000053410000}"/>
    <cellStyle name="Normal 2 81 6 2" xfId="16741" xr:uid="{00000000-0005-0000-0000-000054410000}"/>
    <cellStyle name="Normal 2 81 6 3" xfId="16742" xr:uid="{00000000-0005-0000-0000-000055410000}"/>
    <cellStyle name="Normal 2 81 7" xfId="16743" xr:uid="{00000000-0005-0000-0000-000056410000}"/>
    <cellStyle name="Normal 2 81 7 2" xfId="16744" xr:uid="{00000000-0005-0000-0000-000057410000}"/>
    <cellStyle name="Normal 2 81 7 3" xfId="16745" xr:uid="{00000000-0005-0000-0000-000058410000}"/>
    <cellStyle name="Normal 2 81 8" xfId="16746" xr:uid="{00000000-0005-0000-0000-000059410000}"/>
    <cellStyle name="Normal 2 81 8 2" xfId="16747" xr:uid="{00000000-0005-0000-0000-00005A410000}"/>
    <cellStyle name="Normal 2 81 8 3" xfId="16748" xr:uid="{00000000-0005-0000-0000-00005B410000}"/>
    <cellStyle name="Normal 2 81 9" xfId="16749" xr:uid="{00000000-0005-0000-0000-00005C410000}"/>
    <cellStyle name="Normal 2 81 9 2" xfId="16750" xr:uid="{00000000-0005-0000-0000-00005D410000}"/>
    <cellStyle name="Normal 2 81 9 3" xfId="16751" xr:uid="{00000000-0005-0000-0000-00005E410000}"/>
    <cellStyle name="Normal 2 82" xfId="16752" xr:uid="{00000000-0005-0000-0000-00005F410000}"/>
    <cellStyle name="Normal 2 82 2" xfId="16753" xr:uid="{00000000-0005-0000-0000-000060410000}"/>
    <cellStyle name="Normal 2 82 2 2" xfId="16754" xr:uid="{00000000-0005-0000-0000-000061410000}"/>
    <cellStyle name="Normal 2 82 2 3" xfId="16755" xr:uid="{00000000-0005-0000-0000-000062410000}"/>
    <cellStyle name="Normal 2 82 3" xfId="16756" xr:uid="{00000000-0005-0000-0000-000063410000}"/>
    <cellStyle name="Normal 2 83" xfId="16757" xr:uid="{00000000-0005-0000-0000-000064410000}"/>
    <cellStyle name="Normal 2 83 2" xfId="16758" xr:uid="{00000000-0005-0000-0000-000065410000}"/>
    <cellStyle name="Normal 2 83 3" xfId="16759" xr:uid="{00000000-0005-0000-0000-000066410000}"/>
    <cellStyle name="Normal 2 84" xfId="16760" xr:uid="{00000000-0005-0000-0000-000067410000}"/>
    <cellStyle name="Normal 2 84 2" xfId="16761" xr:uid="{00000000-0005-0000-0000-000068410000}"/>
    <cellStyle name="Normal 2 84 3" xfId="16762" xr:uid="{00000000-0005-0000-0000-000069410000}"/>
    <cellStyle name="Normal 2 85" xfId="16763" xr:uid="{00000000-0005-0000-0000-00006A410000}"/>
    <cellStyle name="Normal 2 85 2" xfId="16764" xr:uid="{00000000-0005-0000-0000-00006B410000}"/>
    <cellStyle name="Normal 2 85 3" xfId="16765" xr:uid="{00000000-0005-0000-0000-00006C410000}"/>
    <cellStyle name="Normal 2 86" xfId="16766" xr:uid="{00000000-0005-0000-0000-00006D410000}"/>
    <cellStyle name="Normal 2 86 2" xfId="16767" xr:uid="{00000000-0005-0000-0000-00006E410000}"/>
    <cellStyle name="Normal 2 86 3" xfId="16768" xr:uid="{00000000-0005-0000-0000-00006F410000}"/>
    <cellStyle name="Normal 2 87" xfId="16769" xr:uid="{00000000-0005-0000-0000-000070410000}"/>
    <cellStyle name="Normal 2 87 2" xfId="16770" xr:uid="{00000000-0005-0000-0000-000071410000}"/>
    <cellStyle name="Normal 2 87 3" xfId="16771" xr:uid="{00000000-0005-0000-0000-000072410000}"/>
    <cellStyle name="Normal 2 88" xfId="16772" xr:uid="{00000000-0005-0000-0000-000073410000}"/>
    <cellStyle name="Normal 2 88 2" xfId="16773" xr:uid="{00000000-0005-0000-0000-000074410000}"/>
    <cellStyle name="Normal 2 88 3" xfId="16774" xr:uid="{00000000-0005-0000-0000-000075410000}"/>
    <cellStyle name="Normal 2 89" xfId="16775" xr:uid="{00000000-0005-0000-0000-000076410000}"/>
    <cellStyle name="Normal 2 89 2" xfId="16776" xr:uid="{00000000-0005-0000-0000-000077410000}"/>
    <cellStyle name="Normal 2 89 3" xfId="16777" xr:uid="{00000000-0005-0000-0000-000078410000}"/>
    <cellStyle name="Normal 2 9" xfId="16778" xr:uid="{00000000-0005-0000-0000-000079410000}"/>
    <cellStyle name="Normal 2 9 2" xfId="16779" xr:uid="{00000000-0005-0000-0000-00007A410000}"/>
    <cellStyle name="Normal 2 9 2 2" xfId="16780" xr:uid="{00000000-0005-0000-0000-00007B410000}"/>
    <cellStyle name="Normal 2 9 3" xfId="16781" xr:uid="{00000000-0005-0000-0000-00007C410000}"/>
    <cellStyle name="Normal 2 9 3 2" xfId="16782" xr:uid="{00000000-0005-0000-0000-00007D410000}"/>
    <cellStyle name="Normal 2 9 4" xfId="16783" xr:uid="{00000000-0005-0000-0000-00007E410000}"/>
    <cellStyle name="Normal 2 9 4 2" xfId="16784" xr:uid="{00000000-0005-0000-0000-00007F410000}"/>
    <cellStyle name="Normal 2 9 5" xfId="16785" xr:uid="{00000000-0005-0000-0000-000080410000}"/>
    <cellStyle name="Normal 2 9 5 2" xfId="16786" xr:uid="{00000000-0005-0000-0000-000081410000}"/>
    <cellStyle name="Normal 2 9 6" xfId="16787" xr:uid="{00000000-0005-0000-0000-000082410000}"/>
    <cellStyle name="Normal 2 9 6 2" xfId="16788" xr:uid="{00000000-0005-0000-0000-000083410000}"/>
    <cellStyle name="Normal 2 9 7" xfId="16789" xr:uid="{00000000-0005-0000-0000-000084410000}"/>
    <cellStyle name="Normal 2 9 7 2" xfId="16790" xr:uid="{00000000-0005-0000-0000-000085410000}"/>
    <cellStyle name="Normal 2 9 8" xfId="16791" xr:uid="{00000000-0005-0000-0000-000086410000}"/>
    <cellStyle name="Normal 2 90" xfId="16792" xr:uid="{00000000-0005-0000-0000-000087410000}"/>
    <cellStyle name="Normal 2 90 2" xfId="16793" xr:uid="{00000000-0005-0000-0000-000088410000}"/>
    <cellStyle name="Normal 2 90 3" xfId="16794" xr:uid="{00000000-0005-0000-0000-000089410000}"/>
    <cellStyle name="Normal 2 91" xfId="16795" xr:uid="{00000000-0005-0000-0000-00008A410000}"/>
    <cellStyle name="Normal 2 91 2" xfId="16796" xr:uid="{00000000-0005-0000-0000-00008B410000}"/>
    <cellStyle name="Normal 2 91 3" xfId="16797" xr:uid="{00000000-0005-0000-0000-00008C410000}"/>
    <cellStyle name="Normal 2 92" xfId="16798" xr:uid="{00000000-0005-0000-0000-00008D410000}"/>
    <cellStyle name="Normal 2 92 2" xfId="16799" xr:uid="{00000000-0005-0000-0000-00008E410000}"/>
    <cellStyle name="Normal 2 92 3" xfId="16800" xr:uid="{00000000-0005-0000-0000-00008F410000}"/>
    <cellStyle name="Normal 2 93" xfId="16801" xr:uid="{00000000-0005-0000-0000-000090410000}"/>
    <cellStyle name="Normal 2 94" xfId="16802" xr:uid="{00000000-0005-0000-0000-000091410000}"/>
    <cellStyle name="Normal 2 95" xfId="4325" xr:uid="{00000000-0005-0000-0000-000092410000}"/>
    <cellStyle name="Normal 2 96" xfId="28" xr:uid="{00000000-0005-0000-0000-000093410000}"/>
    <cellStyle name="Normal 2_Sheet1" xfId="16803" xr:uid="{00000000-0005-0000-0000-000094410000}"/>
    <cellStyle name="Normal 20" xfId="50" xr:uid="{00000000-0005-0000-0000-000095410000}"/>
    <cellStyle name="Normal 20 10" xfId="16805" xr:uid="{00000000-0005-0000-0000-000096410000}"/>
    <cellStyle name="Normal 20 10 10" xfId="16806" xr:uid="{00000000-0005-0000-0000-000097410000}"/>
    <cellStyle name="Normal 20 10 11" xfId="16807" xr:uid="{00000000-0005-0000-0000-000098410000}"/>
    <cellStyle name="Normal 20 10 12" xfId="16808" xr:uid="{00000000-0005-0000-0000-000099410000}"/>
    <cellStyle name="Normal 20 10 13" xfId="16809" xr:uid="{00000000-0005-0000-0000-00009A410000}"/>
    <cellStyle name="Normal 20 10 14" xfId="16810" xr:uid="{00000000-0005-0000-0000-00009B410000}"/>
    <cellStyle name="Normal 20 10 2" xfId="16811" xr:uid="{00000000-0005-0000-0000-00009C410000}"/>
    <cellStyle name="Normal 20 10 2 2" xfId="16812" xr:uid="{00000000-0005-0000-0000-00009D410000}"/>
    <cellStyle name="Normal 20 10 2 2 2" xfId="16813" xr:uid="{00000000-0005-0000-0000-00009E410000}"/>
    <cellStyle name="Normal 20 10 2 2 3" xfId="16814" xr:uid="{00000000-0005-0000-0000-00009F410000}"/>
    <cellStyle name="Normal 20 10 2 3" xfId="16815" xr:uid="{00000000-0005-0000-0000-0000A0410000}"/>
    <cellStyle name="Normal 20 10 3" xfId="16816" xr:uid="{00000000-0005-0000-0000-0000A1410000}"/>
    <cellStyle name="Normal 20 10 4" xfId="16817" xr:uid="{00000000-0005-0000-0000-0000A2410000}"/>
    <cellStyle name="Normal 20 10 5" xfId="16818" xr:uid="{00000000-0005-0000-0000-0000A3410000}"/>
    <cellStyle name="Normal 20 10 6" xfId="16819" xr:uid="{00000000-0005-0000-0000-0000A4410000}"/>
    <cellStyle name="Normal 20 10 7" xfId="16820" xr:uid="{00000000-0005-0000-0000-0000A5410000}"/>
    <cellStyle name="Normal 20 10 8" xfId="16821" xr:uid="{00000000-0005-0000-0000-0000A6410000}"/>
    <cellStyle name="Normal 20 10 9" xfId="16822" xr:uid="{00000000-0005-0000-0000-0000A7410000}"/>
    <cellStyle name="Normal 20 11" xfId="16823" xr:uid="{00000000-0005-0000-0000-0000A8410000}"/>
    <cellStyle name="Normal 20 12" xfId="16824" xr:uid="{00000000-0005-0000-0000-0000A9410000}"/>
    <cellStyle name="Normal 20 13" xfId="16825" xr:uid="{00000000-0005-0000-0000-0000AA410000}"/>
    <cellStyle name="Normal 20 13 2" xfId="16826" xr:uid="{00000000-0005-0000-0000-0000AB410000}"/>
    <cellStyle name="Normal 20 13 2 2" xfId="16827" xr:uid="{00000000-0005-0000-0000-0000AC410000}"/>
    <cellStyle name="Normal 20 13 2 3" xfId="16828" xr:uid="{00000000-0005-0000-0000-0000AD410000}"/>
    <cellStyle name="Normal 20 13 3" xfId="16829" xr:uid="{00000000-0005-0000-0000-0000AE410000}"/>
    <cellStyle name="Normal 20 14" xfId="16830" xr:uid="{00000000-0005-0000-0000-0000AF410000}"/>
    <cellStyle name="Normal 20 14 2" xfId="16831" xr:uid="{00000000-0005-0000-0000-0000B0410000}"/>
    <cellStyle name="Normal 20 14 2 2" xfId="16832" xr:uid="{00000000-0005-0000-0000-0000B1410000}"/>
    <cellStyle name="Normal 20 14 2 3" xfId="16833" xr:uid="{00000000-0005-0000-0000-0000B2410000}"/>
    <cellStyle name="Normal 20 14 3" xfId="16834" xr:uid="{00000000-0005-0000-0000-0000B3410000}"/>
    <cellStyle name="Normal 20 15" xfId="16835" xr:uid="{00000000-0005-0000-0000-0000B4410000}"/>
    <cellStyle name="Normal 20 16" xfId="16836" xr:uid="{00000000-0005-0000-0000-0000B5410000}"/>
    <cellStyle name="Normal 20 17" xfId="16837" xr:uid="{00000000-0005-0000-0000-0000B6410000}"/>
    <cellStyle name="Normal 20 18" xfId="16838" xr:uid="{00000000-0005-0000-0000-0000B7410000}"/>
    <cellStyle name="Normal 20 19" xfId="16839" xr:uid="{00000000-0005-0000-0000-0000B8410000}"/>
    <cellStyle name="Normal 20 2" xfId="16840" xr:uid="{00000000-0005-0000-0000-0000B9410000}"/>
    <cellStyle name="Normal 20 20" xfId="16841" xr:uid="{00000000-0005-0000-0000-0000BA410000}"/>
    <cellStyle name="Normal 20 21" xfId="16842" xr:uid="{00000000-0005-0000-0000-0000BB410000}"/>
    <cellStyle name="Normal 20 22" xfId="16843" xr:uid="{00000000-0005-0000-0000-0000BC410000}"/>
    <cellStyle name="Normal 20 23" xfId="16844" xr:uid="{00000000-0005-0000-0000-0000BD410000}"/>
    <cellStyle name="Normal 20 24" xfId="16845" xr:uid="{00000000-0005-0000-0000-0000BE410000}"/>
    <cellStyle name="Normal 20 25" xfId="16804" xr:uid="{00000000-0005-0000-0000-0000BF410000}"/>
    <cellStyle name="Normal 20 3" xfId="16846" xr:uid="{00000000-0005-0000-0000-0000C0410000}"/>
    <cellStyle name="Normal 20 4" xfId="16847" xr:uid="{00000000-0005-0000-0000-0000C1410000}"/>
    <cellStyle name="Normal 20 5" xfId="16848" xr:uid="{00000000-0005-0000-0000-0000C2410000}"/>
    <cellStyle name="Normal 20 6" xfId="16849" xr:uid="{00000000-0005-0000-0000-0000C3410000}"/>
    <cellStyle name="Normal 20 7" xfId="16850" xr:uid="{00000000-0005-0000-0000-0000C4410000}"/>
    <cellStyle name="Normal 20 8" xfId="16851" xr:uid="{00000000-0005-0000-0000-0000C5410000}"/>
    <cellStyle name="Normal 20 9" xfId="16852" xr:uid="{00000000-0005-0000-0000-0000C6410000}"/>
    <cellStyle name="Normal 21" xfId="51" xr:uid="{00000000-0005-0000-0000-0000C7410000}"/>
    <cellStyle name="Normal 21 10" xfId="16854" xr:uid="{00000000-0005-0000-0000-0000C8410000}"/>
    <cellStyle name="Normal 21 10 10" xfId="16855" xr:uid="{00000000-0005-0000-0000-0000C9410000}"/>
    <cellStyle name="Normal 21 10 11" xfId="16856" xr:uid="{00000000-0005-0000-0000-0000CA410000}"/>
    <cellStyle name="Normal 21 10 12" xfId="16857" xr:uid="{00000000-0005-0000-0000-0000CB410000}"/>
    <cellStyle name="Normal 21 10 13" xfId="16858" xr:uid="{00000000-0005-0000-0000-0000CC410000}"/>
    <cellStyle name="Normal 21 10 14" xfId="16859" xr:uid="{00000000-0005-0000-0000-0000CD410000}"/>
    <cellStyle name="Normal 21 10 2" xfId="16860" xr:uid="{00000000-0005-0000-0000-0000CE410000}"/>
    <cellStyle name="Normal 21 10 2 2" xfId="16861" xr:uid="{00000000-0005-0000-0000-0000CF410000}"/>
    <cellStyle name="Normal 21 10 2 2 2" xfId="16862" xr:uid="{00000000-0005-0000-0000-0000D0410000}"/>
    <cellStyle name="Normal 21 10 2 2 3" xfId="16863" xr:uid="{00000000-0005-0000-0000-0000D1410000}"/>
    <cellStyle name="Normal 21 10 2 3" xfId="16864" xr:uid="{00000000-0005-0000-0000-0000D2410000}"/>
    <cellStyle name="Normal 21 10 3" xfId="16865" xr:uid="{00000000-0005-0000-0000-0000D3410000}"/>
    <cellStyle name="Normal 21 10 4" xfId="16866" xr:uid="{00000000-0005-0000-0000-0000D4410000}"/>
    <cellStyle name="Normal 21 10 5" xfId="16867" xr:uid="{00000000-0005-0000-0000-0000D5410000}"/>
    <cellStyle name="Normal 21 10 6" xfId="16868" xr:uid="{00000000-0005-0000-0000-0000D6410000}"/>
    <cellStyle name="Normal 21 10 7" xfId="16869" xr:uid="{00000000-0005-0000-0000-0000D7410000}"/>
    <cellStyle name="Normal 21 10 8" xfId="16870" xr:uid="{00000000-0005-0000-0000-0000D8410000}"/>
    <cellStyle name="Normal 21 10 9" xfId="16871" xr:uid="{00000000-0005-0000-0000-0000D9410000}"/>
    <cellStyle name="Normal 21 11" xfId="16872" xr:uid="{00000000-0005-0000-0000-0000DA410000}"/>
    <cellStyle name="Normal 21 12" xfId="16873" xr:uid="{00000000-0005-0000-0000-0000DB410000}"/>
    <cellStyle name="Normal 21 13" xfId="16874" xr:uid="{00000000-0005-0000-0000-0000DC410000}"/>
    <cellStyle name="Normal 21 13 2" xfId="16875" xr:uid="{00000000-0005-0000-0000-0000DD410000}"/>
    <cellStyle name="Normal 21 13 2 2" xfId="16876" xr:uid="{00000000-0005-0000-0000-0000DE410000}"/>
    <cellStyle name="Normal 21 13 2 3" xfId="16877" xr:uid="{00000000-0005-0000-0000-0000DF410000}"/>
    <cellStyle name="Normal 21 13 3" xfId="16878" xr:uid="{00000000-0005-0000-0000-0000E0410000}"/>
    <cellStyle name="Normal 21 14" xfId="16879" xr:uid="{00000000-0005-0000-0000-0000E1410000}"/>
    <cellStyle name="Normal 21 14 2" xfId="16880" xr:uid="{00000000-0005-0000-0000-0000E2410000}"/>
    <cellStyle name="Normal 21 14 2 2" xfId="16881" xr:uid="{00000000-0005-0000-0000-0000E3410000}"/>
    <cellStyle name="Normal 21 14 2 3" xfId="16882" xr:uid="{00000000-0005-0000-0000-0000E4410000}"/>
    <cellStyle name="Normal 21 14 3" xfId="16883" xr:uid="{00000000-0005-0000-0000-0000E5410000}"/>
    <cellStyle name="Normal 21 15" xfId="16884" xr:uid="{00000000-0005-0000-0000-0000E6410000}"/>
    <cellStyle name="Normal 21 16" xfId="16885" xr:uid="{00000000-0005-0000-0000-0000E7410000}"/>
    <cellStyle name="Normal 21 17" xfId="16886" xr:uid="{00000000-0005-0000-0000-0000E8410000}"/>
    <cellStyle name="Normal 21 18" xfId="16887" xr:uid="{00000000-0005-0000-0000-0000E9410000}"/>
    <cellStyle name="Normal 21 19" xfId="16888" xr:uid="{00000000-0005-0000-0000-0000EA410000}"/>
    <cellStyle name="Normal 21 2" xfId="16889" xr:uid="{00000000-0005-0000-0000-0000EB410000}"/>
    <cellStyle name="Normal 21 20" xfId="16890" xr:uid="{00000000-0005-0000-0000-0000EC410000}"/>
    <cellStyle name="Normal 21 21" xfId="16891" xr:uid="{00000000-0005-0000-0000-0000ED410000}"/>
    <cellStyle name="Normal 21 22" xfId="16892" xr:uid="{00000000-0005-0000-0000-0000EE410000}"/>
    <cellStyle name="Normal 21 23" xfId="16893" xr:uid="{00000000-0005-0000-0000-0000EF410000}"/>
    <cellStyle name="Normal 21 24" xfId="16894" xr:uid="{00000000-0005-0000-0000-0000F0410000}"/>
    <cellStyle name="Normal 21 25" xfId="16853" xr:uid="{00000000-0005-0000-0000-0000F1410000}"/>
    <cellStyle name="Normal 21 3" xfId="16895" xr:uid="{00000000-0005-0000-0000-0000F2410000}"/>
    <cellStyle name="Normal 21 4" xfId="16896" xr:uid="{00000000-0005-0000-0000-0000F3410000}"/>
    <cellStyle name="Normal 21 5" xfId="16897" xr:uid="{00000000-0005-0000-0000-0000F4410000}"/>
    <cellStyle name="Normal 21 6" xfId="16898" xr:uid="{00000000-0005-0000-0000-0000F5410000}"/>
    <cellStyle name="Normal 21 7" xfId="16899" xr:uid="{00000000-0005-0000-0000-0000F6410000}"/>
    <cellStyle name="Normal 21 8" xfId="16900" xr:uid="{00000000-0005-0000-0000-0000F7410000}"/>
    <cellStyle name="Normal 21 9" xfId="16901" xr:uid="{00000000-0005-0000-0000-0000F8410000}"/>
    <cellStyle name="Normal 22" xfId="53" xr:uid="{00000000-0005-0000-0000-0000F9410000}"/>
    <cellStyle name="Normal 22 2" xfId="16903" xr:uid="{00000000-0005-0000-0000-0000FA410000}"/>
    <cellStyle name="Normal 22 3" xfId="16902" xr:uid="{00000000-0005-0000-0000-0000FB410000}"/>
    <cellStyle name="Normal 23" xfId="52" xr:uid="{00000000-0005-0000-0000-0000FC410000}"/>
    <cellStyle name="Normal 23 2" xfId="16905" xr:uid="{00000000-0005-0000-0000-0000FD410000}"/>
    <cellStyle name="Normal 23 3" xfId="16904" xr:uid="{00000000-0005-0000-0000-0000FE410000}"/>
    <cellStyle name="Normal 24" xfId="54" xr:uid="{00000000-0005-0000-0000-0000FF410000}"/>
    <cellStyle name="Normal 24 2" xfId="16907" xr:uid="{00000000-0005-0000-0000-000000420000}"/>
    <cellStyle name="Normal 24 3" xfId="16906" xr:uid="{00000000-0005-0000-0000-000001420000}"/>
    <cellStyle name="Normal 25" xfId="2" xr:uid="{00000000-0005-0000-0000-000002420000}"/>
    <cellStyle name="Normal 25 2" xfId="16909" xr:uid="{00000000-0005-0000-0000-000003420000}"/>
    <cellStyle name="Normal 25 3" xfId="16908" xr:uid="{00000000-0005-0000-0000-000004420000}"/>
    <cellStyle name="Normal 26" xfId="16910" xr:uid="{00000000-0005-0000-0000-000005420000}"/>
    <cellStyle name="Normal 26 2" xfId="16911" xr:uid="{00000000-0005-0000-0000-000006420000}"/>
    <cellStyle name="Normal 26 3" xfId="16912" xr:uid="{00000000-0005-0000-0000-000007420000}"/>
    <cellStyle name="Normal 26 4" xfId="16913" xr:uid="{00000000-0005-0000-0000-000008420000}"/>
    <cellStyle name="Normal 26 5" xfId="16914" xr:uid="{00000000-0005-0000-0000-000009420000}"/>
    <cellStyle name="Normal 26 6" xfId="16915" xr:uid="{00000000-0005-0000-0000-00000A420000}"/>
    <cellStyle name="Normal 26 7" xfId="16916" xr:uid="{00000000-0005-0000-0000-00000B420000}"/>
    <cellStyle name="Normal 27" xfId="16917" xr:uid="{00000000-0005-0000-0000-00000C420000}"/>
    <cellStyle name="Normal 27 2" xfId="16918" xr:uid="{00000000-0005-0000-0000-00000D420000}"/>
    <cellStyle name="Normal 27 3" xfId="16919" xr:uid="{00000000-0005-0000-0000-00000E420000}"/>
    <cellStyle name="Normal 27 4" xfId="16920" xr:uid="{00000000-0005-0000-0000-00000F420000}"/>
    <cellStyle name="Normal 27 5" xfId="16921" xr:uid="{00000000-0005-0000-0000-000010420000}"/>
    <cellStyle name="Normal 27 6" xfId="16922" xr:uid="{00000000-0005-0000-0000-000011420000}"/>
    <cellStyle name="Normal 27 7" xfId="16923" xr:uid="{00000000-0005-0000-0000-000012420000}"/>
    <cellStyle name="Normal 27 8" xfId="16924" xr:uid="{00000000-0005-0000-0000-000013420000}"/>
    <cellStyle name="Normal 28" xfId="16925" xr:uid="{00000000-0005-0000-0000-000014420000}"/>
    <cellStyle name="Normal 28 2" xfId="16926" xr:uid="{00000000-0005-0000-0000-000015420000}"/>
    <cellStyle name="Normal 28 3" xfId="16927" xr:uid="{00000000-0005-0000-0000-000016420000}"/>
    <cellStyle name="Normal 28 3 10" xfId="16928" xr:uid="{00000000-0005-0000-0000-000017420000}"/>
    <cellStyle name="Normal 28 3 10 10" xfId="16929" xr:uid="{00000000-0005-0000-0000-000018420000}"/>
    <cellStyle name="Normal 28 3 10 10 2" xfId="16930" xr:uid="{00000000-0005-0000-0000-000019420000}"/>
    <cellStyle name="Normal 28 3 10 10 3" xfId="16931" xr:uid="{00000000-0005-0000-0000-00001A420000}"/>
    <cellStyle name="Normal 28 3 10 11" xfId="16932" xr:uid="{00000000-0005-0000-0000-00001B420000}"/>
    <cellStyle name="Normal 28 3 10 11 2" xfId="16933" xr:uid="{00000000-0005-0000-0000-00001C420000}"/>
    <cellStyle name="Normal 28 3 10 11 3" xfId="16934" xr:uid="{00000000-0005-0000-0000-00001D420000}"/>
    <cellStyle name="Normal 28 3 10 12" xfId="16935" xr:uid="{00000000-0005-0000-0000-00001E420000}"/>
    <cellStyle name="Normal 28 3 10 12 2" xfId="16936" xr:uid="{00000000-0005-0000-0000-00001F420000}"/>
    <cellStyle name="Normal 28 3 10 12 3" xfId="16937" xr:uid="{00000000-0005-0000-0000-000020420000}"/>
    <cellStyle name="Normal 28 3 10 13" xfId="16938" xr:uid="{00000000-0005-0000-0000-000021420000}"/>
    <cellStyle name="Normal 28 3 10 13 2" xfId="16939" xr:uid="{00000000-0005-0000-0000-000022420000}"/>
    <cellStyle name="Normal 28 3 10 13 3" xfId="16940" xr:uid="{00000000-0005-0000-0000-000023420000}"/>
    <cellStyle name="Normal 28 3 10 14" xfId="16941" xr:uid="{00000000-0005-0000-0000-000024420000}"/>
    <cellStyle name="Normal 28 3 10 14 2" xfId="16942" xr:uid="{00000000-0005-0000-0000-000025420000}"/>
    <cellStyle name="Normal 28 3 10 14 3" xfId="16943" xr:uid="{00000000-0005-0000-0000-000026420000}"/>
    <cellStyle name="Normal 28 3 10 15" xfId="16944" xr:uid="{00000000-0005-0000-0000-000027420000}"/>
    <cellStyle name="Normal 28 3 10 16" xfId="16945" xr:uid="{00000000-0005-0000-0000-000028420000}"/>
    <cellStyle name="Normal 28 3 10 2" xfId="16946" xr:uid="{00000000-0005-0000-0000-000029420000}"/>
    <cellStyle name="Normal 28 3 10 2 2" xfId="16947" xr:uid="{00000000-0005-0000-0000-00002A420000}"/>
    <cellStyle name="Normal 28 3 10 2 3" xfId="16948" xr:uid="{00000000-0005-0000-0000-00002B420000}"/>
    <cellStyle name="Normal 28 3 10 3" xfId="16949" xr:uid="{00000000-0005-0000-0000-00002C420000}"/>
    <cellStyle name="Normal 28 3 10 3 2" xfId="16950" xr:uid="{00000000-0005-0000-0000-00002D420000}"/>
    <cellStyle name="Normal 28 3 10 3 3" xfId="16951" xr:uid="{00000000-0005-0000-0000-00002E420000}"/>
    <cellStyle name="Normal 28 3 10 4" xfId="16952" xr:uid="{00000000-0005-0000-0000-00002F420000}"/>
    <cellStyle name="Normal 28 3 10 4 2" xfId="16953" xr:uid="{00000000-0005-0000-0000-000030420000}"/>
    <cellStyle name="Normal 28 3 10 4 3" xfId="16954" xr:uid="{00000000-0005-0000-0000-000031420000}"/>
    <cellStyle name="Normal 28 3 10 5" xfId="16955" xr:uid="{00000000-0005-0000-0000-000032420000}"/>
    <cellStyle name="Normal 28 3 10 5 2" xfId="16956" xr:uid="{00000000-0005-0000-0000-000033420000}"/>
    <cellStyle name="Normal 28 3 10 5 3" xfId="16957" xr:uid="{00000000-0005-0000-0000-000034420000}"/>
    <cellStyle name="Normal 28 3 10 6" xfId="16958" xr:uid="{00000000-0005-0000-0000-000035420000}"/>
    <cellStyle name="Normal 28 3 10 6 2" xfId="16959" xr:uid="{00000000-0005-0000-0000-000036420000}"/>
    <cellStyle name="Normal 28 3 10 6 3" xfId="16960" xr:uid="{00000000-0005-0000-0000-000037420000}"/>
    <cellStyle name="Normal 28 3 10 7" xfId="16961" xr:uid="{00000000-0005-0000-0000-000038420000}"/>
    <cellStyle name="Normal 28 3 10 7 2" xfId="16962" xr:uid="{00000000-0005-0000-0000-000039420000}"/>
    <cellStyle name="Normal 28 3 10 7 3" xfId="16963" xr:uid="{00000000-0005-0000-0000-00003A420000}"/>
    <cellStyle name="Normal 28 3 10 8" xfId="16964" xr:uid="{00000000-0005-0000-0000-00003B420000}"/>
    <cellStyle name="Normal 28 3 10 8 2" xfId="16965" xr:uid="{00000000-0005-0000-0000-00003C420000}"/>
    <cellStyle name="Normal 28 3 10 8 3" xfId="16966" xr:uid="{00000000-0005-0000-0000-00003D420000}"/>
    <cellStyle name="Normal 28 3 10 9" xfId="16967" xr:uid="{00000000-0005-0000-0000-00003E420000}"/>
    <cellStyle name="Normal 28 3 10 9 2" xfId="16968" xr:uid="{00000000-0005-0000-0000-00003F420000}"/>
    <cellStyle name="Normal 28 3 10 9 3" xfId="16969" xr:uid="{00000000-0005-0000-0000-000040420000}"/>
    <cellStyle name="Normal 28 3 11" xfId="16970" xr:uid="{00000000-0005-0000-0000-000041420000}"/>
    <cellStyle name="Normal 28 3 11 10" xfId="16971" xr:uid="{00000000-0005-0000-0000-000042420000}"/>
    <cellStyle name="Normal 28 3 11 10 2" xfId="16972" xr:uid="{00000000-0005-0000-0000-000043420000}"/>
    <cellStyle name="Normal 28 3 11 10 3" xfId="16973" xr:uid="{00000000-0005-0000-0000-000044420000}"/>
    <cellStyle name="Normal 28 3 11 11" xfId="16974" xr:uid="{00000000-0005-0000-0000-000045420000}"/>
    <cellStyle name="Normal 28 3 11 11 2" xfId="16975" xr:uid="{00000000-0005-0000-0000-000046420000}"/>
    <cellStyle name="Normal 28 3 11 11 3" xfId="16976" xr:uid="{00000000-0005-0000-0000-000047420000}"/>
    <cellStyle name="Normal 28 3 11 12" xfId="16977" xr:uid="{00000000-0005-0000-0000-000048420000}"/>
    <cellStyle name="Normal 28 3 11 12 2" xfId="16978" xr:uid="{00000000-0005-0000-0000-000049420000}"/>
    <cellStyle name="Normal 28 3 11 12 3" xfId="16979" xr:uid="{00000000-0005-0000-0000-00004A420000}"/>
    <cellStyle name="Normal 28 3 11 13" xfId="16980" xr:uid="{00000000-0005-0000-0000-00004B420000}"/>
    <cellStyle name="Normal 28 3 11 13 2" xfId="16981" xr:uid="{00000000-0005-0000-0000-00004C420000}"/>
    <cellStyle name="Normal 28 3 11 13 3" xfId="16982" xr:uid="{00000000-0005-0000-0000-00004D420000}"/>
    <cellStyle name="Normal 28 3 11 14" xfId="16983" xr:uid="{00000000-0005-0000-0000-00004E420000}"/>
    <cellStyle name="Normal 28 3 11 14 2" xfId="16984" xr:uid="{00000000-0005-0000-0000-00004F420000}"/>
    <cellStyle name="Normal 28 3 11 14 3" xfId="16985" xr:uid="{00000000-0005-0000-0000-000050420000}"/>
    <cellStyle name="Normal 28 3 11 15" xfId="16986" xr:uid="{00000000-0005-0000-0000-000051420000}"/>
    <cellStyle name="Normal 28 3 11 16" xfId="16987" xr:uid="{00000000-0005-0000-0000-000052420000}"/>
    <cellStyle name="Normal 28 3 11 2" xfId="16988" xr:uid="{00000000-0005-0000-0000-000053420000}"/>
    <cellStyle name="Normal 28 3 11 2 2" xfId="16989" xr:uid="{00000000-0005-0000-0000-000054420000}"/>
    <cellStyle name="Normal 28 3 11 2 3" xfId="16990" xr:uid="{00000000-0005-0000-0000-000055420000}"/>
    <cellStyle name="Normal 28 3 11 3" xfId="16991" xr:uid="{00000000-0005-0000-0000-000056420000}"/>
    <cellStyle name="Normal 28 3 11 3 2" xfId="16992" xr:uid="{00000000-0005-0000-0000-000057420000}"/>
    <cellStyle name="Normal 28 3 11 3 3" xfId="16993" xr:uid="{00000000-0005-0000-0000-000058420000}"/>
    <cellStyle name="Normal 28 3 11 4" xfId="16994" xr:uid="{00000000-0005-0000-0000-000059420000}"/>
    <cellStyle name="Normal 28 3 11 4 2" xfId="16995" xr:uid="{00000000-0005-0000-0000-00005A420000}"/>
    <cellStyle name="Normal 28 3 11 4 3" xfId="16996" xr:uid="{00000000-0005-0000-0000-00005B420000}"/>
    <cellStyle name="Normal 28 3 11 5" xfId="16997" xr:uid="{00000000-0005-0000-0000-00005C420000}"/>
    <cellStyle name="Normal 28 3 11 5 2" xfId="16998" xr:uid="{00000000-0005-0000-0000-00005D420000}"/>
    <cellStyle name="Normal 28 3 11 5 3" xfId="16999" xr:uid="{00000000-0005-0000-0000-00005E420000}"/>
    <cellStyle name="Normal 28 3 11 6" xfId="17000" xr:uid="{00000000-0005-0000-0000-00005F420000}"/>
    <cellStyle name="Normal 28 3 11 6 2" xfId="17001" xr:uid="{00000000-0005-0000-0000-000060420000}"/>
    <cellStyle name="Normal 28 3 11 6 3" xfId="17002" xr:uid="{00000000-0005-0000-0000-000061420000}"/>
    <cellStyle name="Normal 28 3 11 7" xfId="17003" xr:uid="{00000000-0005-0000-0000-000062420000}"/>
    <cellStyle name="Normal 28 3 11 7 2" xfId="17004" xr:uid="{00000000-0005-0000-0000-000063420000}"/>
    <cellStyle name="Normal 28 3 11 7 3" xfId="17005" xr:uid="{00000000-0005-0000-0000-000064420000}"/>
    <cellStyle name="Normal 28 3 11 8" xfId="17006" xr:uid="{00000000-0005-0000-0000-000065420000}"/>
    <cellStyle name="Normal 28 3 11 8 2" xfId="17007" xr:uid="{00000000-0005-0000-0000-000066420000}"/>
    <cellStyle name="Normal 28 3 11 8 3" xfId="17008" xr:uid="{00000000-0005-0000-0000-000067420000}"/>
    <cellStyle name="Normal 28 3 11 9" xfId="17009" xr:uid="{00000000-0005-0000-0000-000068420000}"/>
    <cellStyle name="Normal 28 3 11 9 2" xfId="17010" xr:uid="{00000000-0005-0000-0000-000069420000}"/>
    <cellStyle name="Normal 28 3 11 9 3" xfId="17011" xr:uid="{00000000-0005-0000-0000-00006A420000}"/>
    <cellStyle name="Normal 28 3 12" xfId="17012" xr:uid="{00000000-0005-0000-0000-00006B420000}"/>
    <cellStyle name="Normal 28 3 12 10" xfId="17013" xr:uid="{00000000-0005-0000-0000-00006C420000}"/>
    <cellStyle name="Normal 28 3 12 10 2" xfId="17014" xr:uid="{00000000-0005-0000-0000-00006D420000}"/>
    <cellStyle name="Normal 28 3 12 10 3" xfId="17015" xr:uid="{00000000-0005-0000-0000-00006E420000}"/>
    <cellStyle name="Normal 28 3 12 11" xfId="17016" xr:uid="{00000000-0005-0000-0000-00006F420000}"/>
    <cellStyle name="Normal 28 3 12 11 2" xfId="17017" xr:uid="{00000000-0005-0000-0000-000070420000}"/>
    <cellStyle name="Normal 28 3 12 11 3" xfId="17018" xr:uid="{00000000-0005-0000-0000-000071420000}"/>
    <cellStyle name="Normal 28 3 12 12" xfId="17019" xr:uid="{00000000-0005-0000-0000-000072420000}"/>
    <cellStyle name="Normal 28 3 12 12 2" xfId="17020" xr:uid="{00000000-0005-0000-0000-000073420000}"/>
    <cellStyle name="Normal 28 3 12 12 3" xfId="17021" xr:uid="{00000000-0005-0000-0000-000074420000}"/>
    <cellStyle name="Normal 28 3 12 13" xfId="17022" xr:uid="{00000000-0005-0000-0000-000075420000}"/>
    <cellStyle name="Normal 28 3 12 13 2" xfId="17023" xr:uid="{00000000-0005-0000-0000-000076420000}"/>
    <cellStyle name="Normal 28 3 12 13 3" xfId="17024" xr:uid="{00000000-0005-0000-0000-000077420000}"/>
    <cellStyle name="Normal 28 3 12 14" xfId="17025" xr:uid="{00000000-0005-0000-0000-000078420000}"/>
    <cellStyle name="Normal 28 3 12 14 2" xfId="17026" xr:uid="{00000000-0005-0000-0000-000079420000}"/>
    <cellStyle name="Normal 28 3 12 14 3" xfId="17027" xr:uid="{00000000-0005-0000-0000-00007A420000}"/>
    <cellStyle name="Normal 28 3 12 15" xfId="17028" xr:uid="{00000000-0005-0000-0000-00007B420000}"/>
    <cellStyle name="Normal 28 3 12 16" xfId="17029" xr:uid="{00000000-0005-0000-0000-00007C420000}"/>
    <cellStyle name="Normal 28 3 12 2" xfId="17030" xr:uid="{00000000-0005-0000-0000-00007D420000}"/>
    <cellStyle name="Normal 28 3 12 2 2" xfId="17031" xr:uid="{00000000-0005-0000-0000-00007E420000}"/>
    <cellStyle name="Normal 28 3 12 2 3" xfId="17032" xr:uid="{00000000-0005-0000-0000-00007F420000}"/>
    <cellStyle name="Normal 28 3 12 3" xfId="17033" xr:uid="{00000000-0005-0000-0000-000080420000}"/>
    <cellStyle name="Normal 28 3 12 3 2" xfId="17034" xr:uid="{00000000-0005-0000-0000-000081420000}"/>
    <cellStyle name="Normal 28 3 12 3 3" xfId="17035" xr:uid="{00000000-0005-0000-0000-000082420000}"/>
    <cellStyle name="Normal 28 3 12 4" xfId="17036" xr:uid="{00000000-0005-0000-0000-000083420000}"/>
    <cellStyle name="Normal 28 3 12 4 2" xfId="17037" xr:uid="{00000000-0005-0000-0000-000084420000}"/>
    <cellStyle name="Normal 28 3 12 4 3" xfId="17038" xr:uid="{00000000-0005-0000-0000-000085420000}"/>
    <cellStyle name="Normal 28 3 12 5" xfId="17039" xr:uid="{00000000-0005-0000-0000-000086420000}"/>
    <cellStyle name="Normal 28 3 12 5 2" xfId="17040" xr:uid="{00000000-0005-0000-0000-000087420000}"/>
    <cellStyle name="Normal 28 3 12 5 3" xfId="17041" xr:uid="{00000000-0005-0000-0000-000088420000}"/>
    <cellStyle name="Normal 28 3 12 6" xfId="17042" xr:uid="{00000000-0005-0000-0000-000089420000}"/>
    <cellStyle name="Normal 28 3 12 6 2" xfId="17043" xr:uid="{00000000-0005-0000-0000-00008A420000}"/>
    <cellStyle name="Normal 28 3 12 6 3" xfId="17044" xr:uid="{00000000-0005-0000-0000-00008B420000}"/>
    <cellStyle name="Normal 28 3 12 7" xfId="17045" xr:uid="{00000000-0005-0000-0000-00008C420000}"/>
    <cellStyle name="Normal 28 3 12 7 2" xfId="17046" xr:uid="{00000000-0005-0000-0000-00008D420000}"/>
    <cellStyle name="Normal 28 3 12 7 3" xfId="17047" xr:uid="{00000000-0005-0000-0000-00008E420000}"/>
    <cellStyle name="Normal 28 3 12 8" xfId="17048" xr:uid="{00000000-0005-0000-0000-00008F420000}"/>
    <cellStyle name="Normal 28 3 12 8 2" xfId="17049" xr:uid="{00000000-0005-0000-0000-000090420000}"/>
    <cellStyle name="Normal 28 3 12 8 3" xfId="17050" xr:uid="{00000000-0005-0000-0000-000091420000}"/>
    <cellStyle name="Normal 28 3 12 9" xfId="17051" xr:uid="{00000000-0005-0000-0000-000092420000}"/>
    <cellStyle name="Normal 28 3 12 9 2" xfId="17052" xr:uid="{00000000-0005-0000-0000-000093420000}"/>
    <cellStyle name="Normal 28 3 12 9 3" xfId="17053" xr:uid="{00000000-0005-0000-0000-000094420000}"/>
    <cellStyle name="Normal 28 3 13" xfId="17054" xr:uid="{00000000-0005-0000-0000-000095420000}"/>
    <cellStyle name="Normal 28 3 13 10" xfId="17055" xr:uid="{00000000-0005-0000-0000-000096420000}"/>
    <cellStyle name="Normal 28 3 13 10 2" xfId="17056" xr:uid="{00000000-0005-0000-0000-000097420000}"/>
    <cellStyle name="Normal 28 3 13 10 3" xfId="17057" xr:uid="{00000000-0005-0000-0000-000098420000}"/>
    <cellStyle name="Normal 28 3 13 11" xfId="17058" xr:uid="{00000000-0005-0000-0000-000099420000}"/>
    <cellStyle name="Normal 28 3 13 11 2" xfId="17059" xr:uid="{00000000-0005-0000-0000-00009A420000}"/>
    <cellStyle name="Normal 28 3 13 11 3" xfId="17060" xr:uid="{00000000-0005-0000-0000-00009B420000}"/>
    <cellStyle name="Normal 28 3 13 12" xfId="17061" xr:uid="{00000000-0005-0000-0000-00009C420000}"/>
    <cellStyle name="Normal 28 3 13 12 2" xfId="17062" xr:uid="{00000000-0005-0000-0000-00009D420000}"/>
    <cellStyle name="Normal 28 3 13 12 3" xfId="17063" xr:uid="{00000000-0005-0000-0000-00009E420000}"/>
    <cellStyle name="Normal 28 3 13 13" xfId="17064" xr:uid="{00000000-0005-0000-0000-00009F420000}"/>
    <cellStyle name="Normal 28 3 13 13 2" xfId="17065" xr:uid="{00000000-0005-0000-0000-0000A0420000}"/>
    <cellStyle name="Normal 28 3 13 13 3" xfId="17066" xr:uid="{00000000-0005-0000-0000-0000A1420000}"/>
    <cellStyle name="Normal 28 3 13 14" xfId="17067" xr:uid="{00000000-0005-0000-0000-0000A2420000}"/>
    <cellStyle name="Normal 28 3 13 14 2" xfId="17068" xr:uid="{00000000-0005-0000-0000-0000A3420000}"/>
    <cellStyle name="Normal 28 3 13 14 3" xfId="17069" xr:uid="{00000000-0005-0000-0000-0000A4420000}"/>
    <cellStyle name="Normal 28 3 13 15" xfId="17070" xr:uid="{00000000-0005-0000-0000-0000A5420000}"/>
    <cellStyle name="Normal 28 3 13 16" xfId="17071" xr:uid="{00000000-0005-0000-0000-0000A6420000}"/>
    <cellStyle name="Normal 28 3 13 2" xfId="17072" xr:uid="{00000000-0005-0000-0000-0000A7420000}"/>
    <cellStyle name="Normal 28 3 13 2 2" xfId="17073" xr:uid="{00000000-0005-0000-0000-0000A8420000}"/>
    <cellStyle name="Normal 28 3 13 2 3" xfId="17074" xr:uid="{00000000-0005-0000-0000-0000A9420000}"/>
    <cellStyle name="Normal 28 3 13 3" xfId="17075" xr:uid="{00000000-0005-0000-0000-0000AA420000}"/>
    <cellStyle name="Normal 28 3 13 3 2" xfId="17076" xr:uid="{00000000-0005-0000-0000-0000AB420000}"/>
    <cellStyle name="Normal 28 3 13 3 3" xfId="17077" xr:uid="{00000000-0005-0000-0000-0000AC420000}"/>
    <cellStyle name="Normal 28 3 13 4" xfId="17078" xr:uid="{00000000-0005-0000-0000-0000AD420000}"/>
    <cellStyle name="Normal 28 3 13 4 2" xfId="17079" xr:uid="{00000000-0005-0000-0000-0000AE420000}"/>
    <cellStyle name="Normal 28 3 13 4 3" xfId="17080" xr:uid="{00000000-0005-0000-0000-0000AF420000}"/>
    <cellStyle name="Normal 28 3 13 5" xfId="17081" xr:uid="{00000000-0005-0000-0000-0000B0420000}"/>
    <cellStyle name="Normal 28 3 13 5 2" xfId="17082" xr:uid="{00000000-0005-0000-0000-0000B1420000}"/>
    <cellStyle name="Normal 28 3 13 5 3" xfId="17083" xr:uid="{00000000-0005-0000-0000-0000B2420000}"/>
    <cellStyle name="Normal 28 3 13 6" xfId="17084" xr:uid="{00000000-0005-0000-0000-0000B3420000}"/>
    <cellStyle name="Normal 28 3 13 6 2" xfId="17085" xr:uid="{00000000-0005-0000-0000-0000B4420000}"/>
    <cellStyle name="Normal 28 3 13 6 3" xfId="17086" xr:uid="{00000000-0005-0000-0000-0000B5420000}"/>
    <cellStyle name="Normal 28 3 13 7" xfId="17087" xr:uid="{00000000-0005-0000-0000-0000B6420000}"/>
    <cellStyle name="Normal 28 3 13 7 2" xfId="17088" xr:uid="{00000000-0005-0000-0000-0000B7420000}"/>
    <cellStyle name="Normal 28 3 13 7 3" xfId="17089" xr:uid="{00000000-0005-0000-0000-0000B8420000}"/>
    <cellStyle name="Normal 28 3 13 8" xfId="17090" xr:uid="{00000000-0005-0000-0000-0000B9420000}"/>
    <cellStyle name="Normal 28 3 13 8 2" xfId="17091" xr:uid="{00000000-0005-0000-0000-0000BA420000}"/>
    <cellStyle name="Normal 28 3 13 8 3" xfId="17092" xr:uid="{00000000-0005-0000-0000-0000BB420000}"/>
    <cellStyle name="Normal 28 3 13 9" xfId="17093" xr:uid="{00000000-0005-0000-0000-0000BC420000}"/>
    <cellStyle name="Normal 28 3 13 9 2" xfId="17094" xr:uid="{00000000-0005-0000-0000-0000BD420000}"/>
    <cellStyle name="Normal 28 3 13 9 3" xfId="17095" xr:uid="{00000000-0005-0000-0000-0000BE420000}"/>
    <cellStyle name="Normal 28 3 14" xfId="17096" xr:uid="{00000000-0005-0000-0000-0000BF420000}"/>
    <cellStyle name="Normal 28 3 14 10" xfId="17097" xr:uid="{00000000-0005-0000-0000-0000C0420000}"/>
    <cellStyle name="Normal 28 3 14 10 2" xfId="17098" xr:uid="{00000000-0005-0000-0000-0000C1420000}"/>
    <cellStyle name="Normal 28 3 14 10 3" xfId="17099" xr:uid="{00000000-0005-0000-0000-0000C2420000}"/>
    <cellStyle name="Normal 28 3 14 11" xfId="17100" xr:uid="{00000000-0005-0000-0000-0000C3420000}"/>
    <cellStyle name="Normal 28 3 14 11 2" xfId="17101" xr:uid="{00000000-0005-0000-0000-0000C4420000}"/>
    <cellStyle name="Normal 28 3 14 11 3" xfId="17102" xr:uid="{00000000-0005-0000-0000-0000C5420000}"/>
    <cellStyle name="Normal 28 3 14 12" xfId="17103" xr:uid="{00000000-0005-0000-0000-0000C6420000}"/>
    <cellStyle name="Normal 28 3 14 12 2" xfId="17104" xr:uid="{00000000-0005-0000-0000-0000C7420000}"/>
    <cellStyle name="Normal 28 3 14 12 3" xfId="17105" xr:uid="{00000000-0005-0000-0000-0000C8420000}"/>
    <cellStyle name="Normal 28 3 14 13" xfId="17106" xr:uid="{00000000-0005-0000-0000-0000C9420000}"/>
    <cellStyle name="Normal 28 3 14 13 2" xfId="17107" xr:uid="{00000000-0005-0000-0000-0000CA420000}"/>
    <cellStyle name="Normal 28 3 14 13 3" xfId="17108" xr:uid="{00000000-0005-0000-0000-0000CB420000}"/>
    <cellStyle name="Normal 28 3 14 14" xfId="17109" xr:uid="{00000000-0005-0000-0000-0000CC420000}"/>
    <cellStyle name="Normal 28 3 14 14 2" xfId="17110" xr:uid="{00000000-0005-0000-0000-0000CD420000}"/>
    <cellStyle name="Normal 28 3 14 14 3" xfId="17111" xr:uid="{00000000-0005-0000-0000-0000CE420000}"/>
    <cellStyle name="Normal 28 3 14 15" xfId="17112" xr:uid="{00000000-0005-0000-0000-0000CF420000}"/>
    <cellStyle name="Normal 28 3 14 16" xfId="17113" xr:uid="{00000000-0005-0000-0000-0000D0420000}"/>
    <cellStyle name="Normal 28 3 14 2" xfId="17114" xr:uid="{00000000-0005-0000-0000-0000D1420000}"/>
    <cellStyle name="Normal 28 3 14 2 2" xfId="17115" xr:uid="{00000000-0005-0000-0000-0000D2420000}"/>
    <cellStyle name="Normal 28 3 14 2 3" xfId="17116" xr:uid="{00000000-0005-0000-0000-0000D3420000}"/>
    <cellStyle name="Normal 28 3 14 3" xfId="17117" xr:uid="{00000000-0005-0000-0000-0000D4420000}"/>
    <cellStyle name="Normal 28 3 14 3 2" xfId="17118" xr:uid="{00000000-0005-0000-0000-0000D5420000}"/>
    <cellStyle name="Normal 28 3 14 3 3" xfId="17119" xr:uid="{00000000-0005-0000-0000-0000D6420000}"/>
    <cellStyle name="Normal 28 3 14 4" xfId="17120" xr:uid="{00000000-0005-0000-0000-0000D7420000}"/>
    <cellStyle name="Normal 28 3 14 4 2" xfId="17121" xr:uid="{00000000-0005-0000-0000-0000D8420000}"/>
    <cellStyle name="Normal 28 3 14 4 3" xfId="17122" xr:uid="{00000000-0005-0000-0000-0000D9420000}"/>
    <cellStyle name="Normal 28 3 14 5" xfId="17123" xr:uid="{00000000-0005-0000-0000-0000DA420000}"/>
    <cellStyle name="Normal 28 3 14 5 2" xfId="17124" xr:uid="{00000000-0005-0000-0000-0000DB420000}"/>
    <cellStyle name="Normal 28 3 14 5 3" xfId="17125" xr:uid="{00000000-0005-0000-0000-0000DC420000}"/>
    <cellStyle name="Normal 28 3 14 6" xfId="17126" xr:uid="{00000000-0005-0000-0000-0000DD420000}"/>
    <cellStyle name="Normal 28 3 14 6 2" xfId="17127" xr:uid="{00000000-0005-0000-0000-0000DE420000}"/>
    <cellStyle name="Normal 28 3 14 6 3" xfId="17128" xr:uid="{00000000-0005-0000-0000-0000DF420000}"/>
    <cellStyle name="Normal 28 3 14 7" xfId="17129" xr:uid="{00000000-0005-0000-0000-0000E0420000}"/>
    <cellStyle name="Normal 28 3 14 7 2" xfId="17130" xr:uid="{00000000-0005-0000-0000-0000E1420000}"/>
    <cellStyle name="Normal 28 3 14 7 3" xfId="17131" xr:uid="{00000000-0005-0000-0000-0000E2420000}"/>
    <cellStyle name="Normal 28 3 14 8" xfId="17132" xr:uid="{00000000-0005-0000-0000-0000E3420000}"/>
    <cellStyle name="Normal 28 3 14 8 2" xfId="17133" xr:uid="{00000000-0005-0000-0000-0000E4420000}"/>
    <cellStyle name="Normal 28 3 14 8 3" xfId="17134" xr:uid="{00000000-0005-0000-0000-0000E5420000}"/>
    <cellStyle name="Normal 28 3 14 9" xfId="17135" xr:uid="{00000000-0005-0000-0000-0000E6420000}"/>
    <cellStyle name="Normal 28 3 14 9 2" xfId="17136" xr:uid="{00000000-0005-0000-0000-0000E7420000}"/>
    <cellStyle name="Normal 28 3 14 9 3" xfId="17137" xr:uid="{00000000-0005-0000-0000-0000E8420000}"/>
    <cellStyle name="Normal 28 3 15" xfId="17138" xr:uid="{00000000-0005-0000-0000-0000E9420000}"/>
    <cellStyle name="Normal 28 3 15 10" xfId="17139" xr:uid="{00000000-0005-0000-0000-0000EA420000}"/>
    <cellStyle name="Normal 28 3 15 10 2" xfId="17140" xr:uid="{00000000-0005-0000-0000-0000EB420000}"/>
    <cellStyle name="Normal 28 3 15 10 3" xfId="17141" xr:uid="{00000000-0005-0000-0000-0000EC420000}"/>
    <cellStyle name="Normal 28 3 15 11" xfId="17142" xr:uid="{00000000-0005-0000-0000-0000ED420000}"/>
    <cellStyle name="Normal 28 3 15 11 2" xfId="17143" xr:uid="{00000000-0005-0000-0000-0000EE420000}"/>
    <cellStyle name="Normal 28 3 15 11 3" xfId="17144" xr:uid="{00000000-0005-0000-0000-0000EF420000}"/>
    <cellStyle name="Normal 28 3 15 12" xfId="17145" xr:uid="{00000000-0005-0000-0000-0000F0420000}"/>
    <cellStyle name="Normal 28 3 15 12 2" xfId="17146" xr:uid="{00000000-0005-0000-0000-0000F1420000}"/>
    <cellStyle name="Normal 28 3 15 12 3" xfId="17147" xr:uid="{00000000-0005-0000-0000-0000F2420000}"/>
    <cellStyle name="Normal 28 3 15 13" xfId="17148" xr:uid="{00000000-0005-0000-0000-0000F3420000}"/>
    <cellStyle name="Normal 28 3 15 13 2" xfId="17149" xr:uid="{00000000-0005-0000-0000-0000F4420000}"/>
    <cellStyle name="Normal 28 3 15 13 3" xfId="17150" xr:uid="{00000000-0005-0000-0000-0000F5420000}"/>
    <cellStyle name="Normal 28 3 15 14" xfId="17151" xr:uid="{00000000-0005-0000-0000-0000F6420000}"/>
    <cellStyle name="Normal 28 3 15 14 2" xfId="17152" xr:uid="{00000000-0005-0000-0000-0000F7420000}"/>
    <cellStyle name="Normal 28 3 15 14 3" xfId="17153" xr:uid="{00000000-0005-0000-0000-0000F8420000}"/>
    <cellStyle name="Normal 28 3 15 15" xfId="17154" xr:uid="{00000000-0005-0000-0000-0000F9420000}"/>
    <cellStyle name="Normal 28 3 15 16" xfId="17155" xr:uid="{00000000-0005-0000-0000-0000FA420000}"/>
    <cellStyle name="Normal 28 3 15 2" xfId="17156" xr:uid="{00000000-0005-0000-0000-0000FB420000}"/>
    <cellStyle name="Normal 28 3 15 2 2" xfId="17157" xr:uid="{00000000-0005-0000-0000-0000FC420000}"/>
    <cellStyle name="Normal 28 3 15 2 3" xfId="17158" xr:uid="{00000000-0005-0000-0000-0000FD420000}"/>
    <cellStyle name="Normal 28 3 15 3" xfId="17159" xr:uid="{00000000-0005-0000-0000-0000FE420000}"/>
    <cellStyle name="Normal 28 3 15 3 2" xfId="17160" xr:uid="{00000000-0005-0000-0000-0000FF420000}"/>
    <cellStyle name="Normal 28 3 15 3 3" xfId="17161" xr:uid="{00000000-0005-0000-0000-000000430000}"/>
    <cellStyle name="Normal 28 3 15 4" xfId="17162" xr:uid="{00000000-0005-0000-0000-000001430000}"/>
    <cellStyle name="Normal 28 3 15 4 2" xfId="17163" xr:uid="{00000000-0005-0000-0000-000002430000}"/>
    <cellStyle name="Normal 28 3 15 4 3" xfId="17164" xr:uid="{00000000-0005-0000-0000-000003430000}"/>
    <cellStyle name="Normal 28 3 15 5" xfId="17165" xr:uid="{00000000-0005-0000-0000-000004430000}"/>
    <cellStyle name="Normal 28 3 15 5 2" xfId="17166" xr:uid="{00000000-0005-0000-0000-000005430000}"/>
    <cellStyle name="Normal 28 3 15 5 3" xfId="17167" xr:uid="{00000000-0005-0000-0000-000006430000}"/>
    <cellStyle name="Normal 28 3 15 6" xfId="17168" xr:uid="{00000000-0005-0000-0000-000007430000}"/>
    <cellStyle name="Normal 28 3 15 6 2" xfId="17169" xr:uid="{00000000-0005-0000-0000-000008430000}"/>
    <cellStyle name="Normal 28 3 15 6 3" xfId="17170" xr:uid="{00000000-0005-0000-0000-000009430000}"/>
    <cellStyle name="Normal 28 3 15 7" xfId="17171" xr:uid="{00000000-0005-0000-0000-00000A430000}"/>
    <cellStyle name="Normal 28 3 15 7 2" xfId="17172" xr:uid="{00000000-0005-0000-0000-00000B430000}"/>
    <cellStyle name="Normal 28 3 15 7 3" xfId="17173" xr:uid="{00000000-0005-0000-0000-00000C430000}"/>
    <cellStyle name="Normal 28 3 15 8" xfId="17174" xr:uid="{00000000-0005-0000-0000-00000D430000}"/>
    <cellStyle name="Normal 28 3 15 8 2" xfId="17175" xr:uid="{00000000-0005-0000-0000-00000E430000}"/>
    <cellStyle name="Normal 28 3 15 8 3" xfId="17176" xr:uid="{00000000-0005-0000-0000-00000F430000}"/>
    <cellStyle name="Normal 28 3 15 9" xfId="17177" xr:uid="{00000000-0005-0000-0000-000010430000}"/>
    <cellStyle name="Normal 28 3 15 9 2" xfId="17178" xr:uid="{00000000-0005-0000-0000-000011430000}"/>
    <cellStyle name="Normal 28 3 15 9 3" xfId="17179" xr:uid="{00000000-0005-0000-0000-000012430000}"/>
    <cellStyle name="Normal 28 3 16" xfId="17180" xr:uid="{00000000-0005-0000-0000-000013430000}"/>
    <cellStyle name="Normal 28 3 16 2" xfId="17181" xr:uid="{00000000-0005-0000-0000-000014430000}"/>
    <cellStyle name="Normal 28 3 16 3" xfId="17182" xr:uid="{00000000-0005-0000-0000-000015430000}"/>
    <cellStyle name="Normal 28 3 17" xfId="17183" xr:uid="{00000000-0005-0000-0000-000016430000}"/>
    <cellStyle name="Normal 28 3 17 2" xfId="17184" xr:uid="{00000000-0005-0000-0000-000017430000}"/>
    <cellStyle name="Normal 28 3 17 3" xfId="17185" xr:uid="{00000000-0005-0000-0000-000018430000}"/>
    <cellStyle name="Normal 28 3 18" xfId="17186" xr:uid="{00000000-0005-0000-0000-000019430000}"/>
    <cellStyle name="Normal 28 3 18 2" xfId="17187" xr:uid="{00000000-0005-0000-0000-00001A430000}"/>
    <cellStyle name="Normal 28 3 18 3" xfId="17188" xr:uid="{00000000-0005-0000-0000-00001B430000}"/>
    <cellStyle name="Normal 28 3 19" xfId="17189" xr:uid="{00000000-0005-0000-0000-00001C430000}"/>
    <cellStyle name="Normal 28 3 19 2" xfId="17190" xr:uid="{00000000-0005-0000-0000-00001D430000}"/>
    <cellStyle name="Normal 28 3 19 3" xfId="17191" xr:uid="{00000000-0005-0000-0000-00001E430000}"/>
    <cellStyle name="Normal 28 3 2" xfId="17192" xr:uid="{00000000-0005-0000-0000-00001F430000}"/>
    <cellStyle name="Normal 28 3 2 10" xfId="17193" xr:uid="{00000000-0005-0000-0000-000020430000}"/>
    <cellStyle name="Normal 28 3 2 10 2" xfId="17194" xr:uid="{00000000-0005-0000-0000-000021430000}"/>
    <cellStyle name="Normal 28 3 2 10 3" xfId="17195" xr:uid="{00000000-0005-0000-0000-000022430000}"/>
    <cellStyle name="Normal 28 3 2 11" xfId="17196" xr:uid="{00000000-0005-0000-0000-000023430000}"/>
    <cellStyle name="Normal 28 3 2 11 2" xfId="17197" xr:uid="{00000000-0005-0000-0000-000024430000}"/>
    <cellStyle name="Normal 28 3 2 11 3" xfId="17198" xr:uid="{00000000-0005-0000-0000-000025430000}"/>
    <cellStyle name="Normal 28 3 2 12" xfId="17199" xr:uid="{00000000-0005-0000-0000-000026430000}"/>
    <cellStyle name="Normal 28 3 2 12 2" xfId="17200" xr:uid="{00000000-0005-0000-0000-000027430000}"/>
    <cellStyle name="Normal 28 3 2 12 3" xfId="17201" xr:uid="{00000000-0005-0000-0000-000028430000}"/>
    <cellStyle name="Normal 28 3 2 13" xfId="17202" xr:uid="{00000000-0005-0000-0000-000029430000}"/>
    <cellStyle name="Normal 28 3 2 13 2" xfId="17203" xr:uid="{00000000-0005-0000-0000-00002A430000}"/>
    <cellStyle name="Normal 28 3 2 13 3" xfId="17204" xr:uid="{00000000-0005-0000-0000-00002B430000}"/>
    <cellStyle name="Normal 28 3 2 14" xfId="17205" xr:uid="{00000000-0005-0000-0000-00002C430000}"/>
    <cellStyle name="Normal 28 3 2 14 2" xfId="17206" xr:uid="{00000000-0005-0000-0000-00002D430000}"/>
    <cellStyle name="Normal 28 3 2 14 3" xfId="17207" xr:uid="{00000000-0005-0000-0000-00002E430000}"/>
    <cellStyle name="Normal 28 3 2 15" xfId="17208" xr:uid="{00000000-0005-0000-0000-00002F430000}"/>
    <cellStyle name="Normal 28 3 2 15 2" xfId="17209" xr:uid="{00000000-0005-0000-0000-000030430000}"/>
    <cellStyle name="Normal 28 3 2 15 3" xfId="17210" xr:uid="{00000000-0005-0000-0000-000031430000}"/>
    <cellStyle name="Normal 28 3 2 16" xfId="17211" xr:uid="{00000000-0005-0000-0000-000032430000}"/>
    <cellStyle name="Normal 28 3 2 17" xfId="17212" xr:uid="{00000000-0005-0000-0000-000033430000}"/>
    <cellStyle name="Normal 28 3 2 2" xfId="17213" xr:uid="{00000000-0005-0000-0000-000034430000}"/>
    <cellStyle name="Normal 28 3 2 2 10" xfId="17214" xr:uid="{00000000-0005-0000-0000-000035430000}"/>
    <cellStyle name="Normal 28 3 2 2 10 2" xfId="17215" xr:uid="{00000000-0005-0000-0000-000036430000}"/>
    <cellStyle name="Normal 28 3 2 2 10 3" xfId="17216" xr:uid="{00000000-0005-0000-0000-000037430000}"/>
    <cellStyle name="Normal 28 3 2 2 11" xfId="17217" xr:uid="{00000000-0005-0000-0000-000038430000}"/>
    <cellStyle name="Normal 28 3 2 2 11 2" xfId="17218" xr:uid="{00000000-0005-0000-0000-000039430000}"/>
    <cellStyle name="Normal 28 3 2 2 11 3" xfId="17219" xr:uid="{00000000-0005-0000-0000-00003A430000}"/>
    <cellStyle name="Normal 28 3 2 2 12" xfId="17220" xr:uid="{00000000-0005-0000-0000-00003B430000}"/>
    <cellStyle name="Normal 28 3 2 2 12 2" xfId="17221" xr:uid="{00000000-0005-0000-0000-00003C430000}"/>
    <cellStyle name="Normal 28 3 2 2 12 3" xfId="17222" xr:uid="{00000000-0005-0000-0000-00003D430000}"/>
    <cellStyle name="Normal 28 3 2 2 13" xfId="17223" xr:uid="{00000000-0005-0000-0000-00003E430000}"/>
    <cellStyle name="Normal 28 3 2 2 13 2" xfId="17224" xr:uid="{00000000-0005-0000-0000-00003F430000}"/>
    <cellStyle name="Normal 28 3 2 2 13 3" xfId="17225" xr:uid="{00000000-0005-0000-0000-000040430000}"/>
    <cellStyle name="Normal 28 3 2 2 14" xfId="17226" xr:uid="{00000000-0005-0000-0000-000041430000}"/>
    <cellStyle name="Normal 28 3 2 2 14 2" xfId="17227" xr:uid="{00000000-0005-0000-0000-000042430000}"/>
    <cellStyle name="Normal 28 3 2 2 14 3" xfId="17228" xr:uid="{00000000-0005-0000-0000-000043430000}"/>
    <cellStyle name="Normal 28 3 2 2 15" xfId="17229" xr:uid="{00000000-0005-0000-0000-000044430000}"/>
    <cellStyle name="Normal 28 3 2 2 16" xfId="17230" xr:uid="{00000000-0005-0000-0000-000045430000}"/>
    <cellStyle name="Normal 28 3 2 2 2" xfId="17231" xr:uid="{00000000-0005-0000-0000-000046430000}"/>
    <cellStyle name="Normal 28 3 2 2 2 2" xfId="17232" xr:uid="{00000000-0005-0000-0000-000047430000}"/>
    <cellStyle name="Normal 28 3 2 2 2 3" xfId="17233" xr:uid="{00000000-0005-0000-0000-000048430000}"/>
    <cellStyle name="Normal 28 3 2 2 3" xfId="17234" xr:uid="{00000000-0005-0000-0000-000049430000}"/>
    <cellStyle name="Normal 28 3 2 2 3 2" xfId="17235" xr:uid="{00000000-0005-0000-0000-00004A430000}"/>
    <cellStyle name="Normal 28 3 2 2 3 3" xfId="17236" xr:uid="{00000000-0005-0000-0000-00004B430000}"/>
    <cellStyle name="Normal 28 3 2 2 4" xfId="17237" xr:uid="{00000000-0005-0000-0000-00004C430000}"/>
    <cellStyle name="Normal 28 3 2 2 4 2" xfId="17238" xr:uid="{00000000-0005-0000-0000-00004D430000}"/>
    <cellStyle name="Normal 28 3 2 2 4 3" xfId="17239" xr:uid="{00000000-0005-0000-0000-00004E430000}"/>
    <cellStyle name="Normal 28 3 2 2 5" xfId="17240" xr:uid="{00000000-0005-0000-0000-00004F430000}"/>
    <cellStyle name="Normal 28 3 2 2 5 2" xfId="17241" xr:uid="{00000000-0005-0000-0000-000050430000}"/>
    <cellStyle name="Normal 28 3 2 2 5 3" xfId="17242" xr:uid="{00000000-0005-0000-0000-000051430000}"/>
    <cellStyle name="Normal 28 3 2 2 6" xfId="17243" xr:uid="{00000000-0005-0000-0000-000052430000}"/>
    <cellStyle name="Normal 28 3 2 2 6 2" xfId="17244" xr:uid="{00000000-0005-0000-0000-000053430000}"/>
    <cellStyle name="Normal 28 3 2 2 6 3" xfId="17245" xr:uid="{00000000-0005-0000-0000-000054430000}"/>
    <cellStyle name="Normal 28 3 2 2 7" xfId="17246" xr:uid="{00000000-0005-0000-0000-000055430000}"/>
    <cellStyle name="Normal 28 3 2 2 7 2" xfId="17247" xr:uid="{00000000-0005-0000-0000-000056430000}"/>
    <cellStyle name="Normal 28 3 2 2 7 3" xfId="17248" xr:uid="{00000000-0005-0000-0000-000057430000}"/>
    <cellStyle name="Normal 28 3 2 2 8" xfId="17249" xr:uid="{00000000-0005-0000-0000-000058430000}"/>
    <cellStyle name="Normal 28 3 2 2 8 2" xfId="17250" xr:uid="{00000000-0005-0000-0000-000059430000}"/>
    <cellStyle name="Normal 28 3 2 2 8 3" xfId="17251" xr:uid="{00000000-0005-0000-0000-00005A430000}"/>
    <cellStyle name="Normal 28 3 2 2 9" xfId="17252" xr:uid="{00000000-0005-0000-0000-00005B430000}"/>
    <cellStyle name="Normal 28 3 2 2 9 2" xfId="17253" xr:uid="{00000000-0005-0000-0000-00005C430000}"/>
    <cellStyle name="Normal 28 3 2 2 9 3" xfId="17254" xr:uid="{00000000-0005-0000-0000-00005D430000}"/>
    <cellStyle name="Normal 28 3 2 3" xfId="17255" xr:uid="{00000000-0005-0000-0000-00005E430000}"/>
    <cellStyle name="Normal 28 3 2 3 2" xfId="17256" xr:uid="{00000000-0005-0000-0000-00005F430000}"/>
    <cellStyle name="Normal 28 3 2 3 3" xfId="17257" xr:uid="{00000000-0005-0000-0000-000060430000}"/>
    <cellStyle name="Normal 28 3 2 4" xfId="17258" xr:uid="{00000000-0005-0000-0000-000061430000}"/>
    <cellStyle name="Normal 28 3 2 4 2" xfId="17259" xr:uid="{00000000-0005-0000-0000-000062430000}"/>
    <cellStyle name="Normal 28 3 2 4 3" xfId="17260" xr:uid="{00000000-0005-0000-0000-000063430000}"/>
    <cellStyle name="Normal 28 3 2 5" xfId="17261" xr:uid="{00000000-0005-0000-0000-000064430000}"/>
    <cellStyle name="Normal 28 3 2 5 2" xfId="17262" xr:uid="{00000000-0005-0000-0000-000065430000}"/>
    <cellStyle name="Normal 28 3 2 5 3" xfId="17263" xr:uid="{00000000-0005-0000-0000-000066430000}"/>
    <cellStyle name="Normal 28 3 2 6" xfId="17264" xr:uid="{00000000-0005-0000-0000-000067430000}"/>
    <cellStyle name="Normal 28 3 2 6 2" xfId="17265" xr:uid="{00000000-0005-0000-0000-000068430000}"/>
    <cellStyle name="Normal 28 3 2 6 3" xfId="17266" xr:uid="{00000000-0005-0000-0000-000069430000}"/>
    <cellStyle name="Normal 28 3 2 7" xfId="17267" xr:uid="{00000000-0005-0000-0000-00006A430000}"/>
    <cellStyle name="Normal 28 3 2 7 2" xfId="17268" xr:uid="{00000000-0005-0000-0000-00006B430000}"/>
    <cellStyle name="Normal 28 3 2 7 3" xfId="17269" xr:uid="{00000000-0005-0000-0000-00006C430000}"/>
    <cellStyle name="Normal 28 3 2 8" xfId="17270" xr:uid="{00000000-0005-0000-0000-00006D430000}"/>
    <cellStyle name="Normal 28 3 2 8 2" xfId="17271" xr:uid="{00000000-0005-0000-0000-00006E430000}"/>
    <cellStyle name="Normal 28 3 2 8 3" xfId="17272" xr:uid="{00000000-0005-0000-0000-00006F430000}"/>
    <cellStyle name="Normal 28 3 2 9" xfId="17273" xr:uid="{00000000-0005-0000-0000-000070430000}"/>
    <cellStyle name="Normal 28 3 2 9 2" xfId="17274" xr:uid="{00000000-0005-0000-0000-000071430000}"/>
    <cellStyle name="Normal 28 3 2 9 3" xfId="17275" xr:uid="{00000000-0005-0000-0000-000072430000}"/>
    <cellStyle name="Normal 28 3 20" xfId="17276" xr:uid="{00000000-0005-0000-0000-000073430000}"/>
    <cellStyle name="Normal 28 3 20 2" xfId="17277" xr:uid="{00000000-0005-0000-0000-000074430000}"/>
    <cellStyle name="Normal 28 3 20 3" xfId="17278" xr:uid="{00000000-0005-0000-0000-000075430000}"/>
    <cellStyle name="Normal 28 3 21" xfId="17279" xr:uid="{00000000-0005-0000-0000-000076430000}"/>
    <cellStyle name="Normal 28 3 21 2" xfId="17280" xr:uid="{00000000-0005-0000-0000-000077430000}"/>
    <cellStyle name="Normal 28 3 21 3" xfId="17281" xr:uid="{00000000-0005-0000-0000-000078430000}"/>
    <cellStyle name="Normal 28 3 22" xfId="17282" xr:uid="{00000000-0005-0000-0000-000079430000}"/>
    <cellStyle name="Normal 28 3 22 2" xfId="17283" xr:uid="{00000000-0005-0000-0000-00007A430000}"/>
    <cellStyle name="Normal 28 3 22 3" xfId="17284" xr:uid="{00000000-0005-0000-0000-00007B430000}"/>
    <cellStyle name="Normal 28 3 23" xfId="17285" xr:uid="{00000000-0005-0000-0000-00007C430000}"/>
    <cellStyle name="Normal 28 3 23 2" xfId="17286" xr:uid="{00000000-0005-0000-0000-00007D430000}"/>
    <cellStyle name="Normal 28 3 23 3" xfId="17287" xr:uid="{00000000-0005-0000-0000-00007E430000}"/>
    <cellStyle name="Normal 28 3 24" xfId="17288" xr:uid="{00000000-0005-0000-0000-00007F430000}"/>
    <cellStyle name="Normal 28 3 24 2" xfId="17289" xr:uid="{00000000-0005-0000-0000-000080430000}"/>
    <cellStyle name="Normal 28 3 24 3" xfId="17290" xr:uid="{00000000-0005-0000-0000-000081430000}"/>
    <cellStyle name="Normal 28 3 25" xfId="17291" xr:uid="{00000000-0005-0000-0000-000082430000}"/>
    <cellStyle name="Normal 28 3 25 2" xfId="17292" xr:uid="{00000000-0005-0000-0000-000083430000}"/>
    <cellStyle name="Normal 28 3 25 3" xfId="17293" xr:uid="{00000000-0005-0000-0000-000084430000}"/>
    <cellStyle name="Normal 28 3 26" xfId="17294" xr:uid="{00000000-0005-0000-0000-000085430000}"/>
    <cellStyle name="Normal 28 3 26 2" xfId="17295" xr:uid="{00000000-0005-0000-0000-000086430000}"/>
    <cellStyle name="Normal 28 3 26 3" xfId="17296" xr:uid="{00000000-0005-0000-0000-000087430000}"/>
    <cellStyle name="Normal 28 3 27" xfId="17297" xr:uid="{00000000-0005-0000-0000-000088430000}"/>
    <cellStyle name="Normal 28 3 27 2" xfId="17298" xr:uid="{00000000-0005-0000-0000-000089430000}"/>
    <cellStyle name="Normal 28 3 27 3" xfId="17299" xr:uid="{00000000-0005-0000-0000-00008A430000}"/>
    <cellStyle name="Normal 28 3 28" xfId="17300" xr:uid="{00000000-0005-0000-0000-00008B430000}"/>
    <cellStyle name="Normal 28 3 28 2" xfId="17301" xr:uid="{00000000-0005-0000-0000-00008C430000}"/>
    <cellStyle name="Normal 28 3 28 3" xfId="17302" xr:uid="{00000000-0005-0000-0000-00008D430000}"/>
    <cellStyle name="Normal 28 3 29" xfId="17303" xr:uid="{00000000-0005-0000-0000-00008E430000}"/>
    <cellStyle name="Normal 28 3 3" xfId="17304" xr:uid="{00000000-0005-0000-0000-00008F430000}"/>
    <cellStyle name="Normal 28 3 3 10" xfId="17305" xr:uid="{00000000-0005-0000-0000-000090430000}"/>
    <cellStyle name="Normal 28 3 3 10 2" xfId="17306" xr:uid="{00000000-0005-0000-0000-000091430000}"/>
    <cellStyle name="Normal 28 3 3 10 3" xfId="17307" xr:uid="{00000000-0005-0000-0000-000092430000}"/>
    <cellStyle name="Normal 28 3 3 11" xfId="17308" xr:uid="{00000000-0005-0000-0000-000093430000}"/>
    <cellStyle name="Normal 28 3 3 11 2" xfId="17309" xr:uid="{00000000-0005-0000-0000-000094430000}"/>
    <cellStyle name="Normal 28 3 3 11 3" xfId="17310" xr:uid="{00000000-0005-0000-0000-000095430000}"/>
    <cellStyle name="Normal 28 3 3 12" xfId="17311" xr:uid="{00000000-0005-0000-0000-000096430000}"/>
    <cellStyle name="Normal 28 3 3 12 2" xfId="17312" xr:uid="{00000000-0005-0000-0000-000097430000}"/>
    <cellStyle name="Normal 28 3 3 12 3" xfId="17313" xr:uid="{00000000-0005-0000-0000-000098430000}"/>
    <cellStyle name="Normal 28 3 3 13" xfId="17314" xr:uid="{00000000-0005-0000-0000-000099430000}"/>
    <cellStyle name="Normal 28 3 3 13 2" xfId="17315" xr:uid="{00000000-0005-0000-0000-00009A430000}"/>
    <cellStyle name="Normal 28 3 3 13 3" xfId="17316" xr:uid="{00000000-0005-0000-0000-00009B430000}"/>
    <cellStyle name="Normal 28 3 3 14" xfId="17317" xr:uid="{00000000-0005-0000-0000-00009C430000}"/>
    <cellStyle name="Normal 28 3 3 14 2" xfId="17318" xr:uid="{00000000-0005-0000-0000-00009D430000}"/>
    <cellStyle name="Normal 28 3 3 14 3" xfId="17319" xr:uid="{00000000-0005-0000-0000-00009E430000}"/>
    <cellStyle name="Normal 28 3 3 15" xfId="17320" xr:uid="{00000000-0005-0000-0000-00009F430000}"/>
    <cellStyle name="Normal 28 3 3 15 2" xfId="17321" xr:uid="{00000000-0005-0000-0000-0000A0430000}"/>
    <cellStyle name="Normal 28 3 3 15 3" xfId="17322" xr:uid="{00000000-0005-0000-0000-0000A1430000}"/>
    <cellStyle name="Normal 28 3 3 16" xfId="17323" xr:uid="{00000000-0005-0000-0000-0000A2430000}"/>
    <cellStyle name="Normal 28 3 3 17" xfId="17324" xr:uid="{00000000-0005-0000-0000-0000A3430000}"/>
    <cellStyle name="Normal 28 3 3 2" xfId="17325" xr:uid="{00000000-0005-0000-0000-0000A4430000}"/>
    <cellStyle name="Normal 28 3 3 2 10" xfId="17326" xr:uid="{00000000-0005-0000-0000-0000A5430000}"/>
    <cellStyle name="Normal 28 3 3 2 10 2" xfId="17327" xr:uid="{00000000-0005-0000-0000-0000A6430000}"/>
    <cellStyle name="Normal 28 3 3 2 10 3" xfId="17328" xr:uid="{00000000-0005-0000-0000-0000A7430000}"/>
    <cellStyle name="Normal 28 3 3 2 11" xfId="17329" xr:uid="{00000000-0005-0000-0000-0000A8430000}"/>
    <cellStyle name="Normal 28 3 3 2 11 2" xfId="17330" xr:uid="{00000000-0005-0000-0000-0000A9430000}"/>
    <cellStyle name="Normal 28 3 3 2 11 3" xfId="17331" xr:uid="{00000000-0005-0000-0000-0000AA430000}"/>
    <cellStyle name="Normal 28 3 3 2 12" xfId="17332" xr:uid="{00000000-0005-0000-0000-0000AB430000}"/>
    <cellStyle name="Normal 28 3 3 2 12 2" xfId="17333" xr:uid="{00000000-0005-0000-0000-0000AC430000}"/>
    <cellStyle name="Normal 28 3 3 2 12 3" xfId="17334" xr:uid="{00000000-0005-0000-0000-0000AD430000}"/>
    <cellStyle name="Normal 28 3 3 2 13" xfId="17335" xr:uid="{00000000-0005-0000-0000-0000AE430000}"/>
    <cellStyle name="Normal 28 3 3 2 13 2" xfId="17336" xr:uid="{00000000-0005-0000-0000-0000AF430000}"/>
    <cellStyle name="Normal 28 3 3 2 13 3" xfId="17337" xr:uid="{00000000-0005-0000-0000-0000B0430000}"/>
    <cellStyle name="Normal 28 3 3 2 14" xfId="17338" xr:uid="{00000000-0005-0000-0000-0000B1430000}"/>
    <cellStyle name="Normal 28 3 3 2 14 2" xfId="17339" xr:uid="{00000000-0005-0000-0000-0000B2430000}"/>
    <cellStyle name="Normal 28 3 3 2 14 3" xfId="17340" xr:uid="{00000000-0005-0000-0000-0000B3430000}"/>
    <cellStyle name="Normal 28 3 3 2 15" xfId="17341" xr:uid="{00000000-0005-0000-0000-0000B4430000}"/>
    <cellStyle name="Normal 28 3 3 2 16" xfId="17342" xr:uid="{00000000-0005-0000-0000-0000B5430000}"/>
    <cellStyle name="Normal 28 3 3 2 2" xfId="17343" xr:uid="{00000000-0005-0000-0000-0000B6430000}"/>
    <cellStyle name="Normal 28 3 3 2 2 2" xfId="17344" xr:uid="{00000000-0005-0000-0000-0000B7430000}"/>
    <cellStyle name="Normal 28 3 3 2 2 3" xfId="17345" xr:uid="{00000000-0005-0000-0000-0000B8430000}"/>
    <cellStyle name="Normal 28 3 3 2 3" xfId="17346" xr:uid="{00000000-0005-0000-0000-0000B9430000}"/>
    <cellStyle name="Normal 28 3 3 2 3 2" xfId="17347" xr:uid="{00000000-0005-0000-0000-0000BA430000}"/>
    <cellStyle name="Normal 28 3 3 2 3 3" xfId="17348" xr:uid="{00000000-0005-0000-0000-0000BB430000}"/>
    <cellStyle name="Normal 28 3 3 2 4" xfId="17349" xr:uid="{00000000-0005-0000-0000-0000BC430000}"/>
    <cellStyle name="Normal 28 3 3 2 4 2" xfId="17350" xr:uid="{00000000-0005-0000-0000-0000BD430000}"/>
    <cellStyle name="Normal 28 3 3 2 4 3" xfId="17351" xr:uid="{00000000-0005-0000-0000-0000BE430000}"/>
    <cellStyle name="Normal 28 3 3 2 5" xfId="17352" xr:uid="{00000000-0005-0000-0000-0000BF430000}"/>
    <cellStyle name="Normal 28 3 3 2 5 2" xfId="17353" xr:uid="{00000000-0005-0000-0000-0000C0430000}"/>
    <cellStyle name="Normal 28 3 3 2 5 3" xfId="17354" xr:uid="{00000000-0005-0000-0000-0000C1430000}"/>
    <cellStyle name="Normal 28 3 3 2 6" xfId="17355" xr:uid="{00000000-0005-0000-0000-0000C2430000}"/>
    <cellStyle name="Normal 28 3 3 2 6 2" xfId="17356" xr:uid="{00000000-0005-0000-0000-0000C3430000}"/>
    <cellStyle name="Normal 28 3 3 2 6 3" xfId="17357" xr:uid="{00000000-0005-0000-0000-0000C4430000}"/>
    <cellStyle name="Normal 28 3 3 2 7" xfId="17358" xr:uid="{00000000-0005-0000-0000-0000C5430000}"/>
    <cellStyle name="Normal 28 3 3 2 7 2" xfId="17359" xr:uid="{00000000-0005-0000-0000-0000C6430000}"/>
    <cellStyle name="Normal 28 3 3 2 7 3" xfId="17360" xr:uid="{00000000-0005-0000-0000-0000C7430000}"/>
    <cellStyle name="Normal 28 3 3 2 8" xfId="17361" xr:uid="{00000000-0005-0000-0000-0000C8430000}"/>
    <cellStyle name="Normal 28 3 3 2 8 2" xfId="17362" xr:uid="{00000000-0005-0000-0000-0000C9430000}"/>
    <cellStyle name="Normal 28 3 3 2 8 3" xfId="17363" xr:uid="{00000000-0005-0000-0000-0000CA430000}"/>
    <cellStyle name="Normal 28 3 3 2 9" xfId="17364" xr:uid="{00000000-0005-0000-0000-0000CB430000}"/>
    <cellStyle name="Normal 28 3 3 2 9 2" xfId="17365" xr:uid="{00000000-0005-0000-0000-0000CC430000}"/>
    <cellStyle name="Normal 28 3 3 2 9 3" xfId="17366" xr:uid="{00000000-0005-0000-0000-0000CD430000}"/>
    <cellStyle name="Normal 28 3 3 3" xfId="17367" xr:uid="{00000000-0005-0000-0000-0000CE430000}"/>
    <cellStyle name="Normal 28 3 3 3 2" xfId="17368" xr:uid="{00000000-0005-0000-0000-0000CF430000}"/>
    <cellStyle name="Normal 28 3 3 3 3" xfId="17369" xr:uid="{00000000-0005-0000-0000-0000D0430000}"/>
    <cellStyle name="Normal 28 3 3 4" xfId="17370" xr:uid="{00000000-0005-0000-0000-0000D1430000}"/>
    <cellStyle name="Normal 28 3 3 4 2" xfId="17371" xr:uid="{00000000-0005-0000-0000-0000D2430000}"/>
    <cellStyle name="Normal 28 3 3 4 3" xfId="17372" xr:uid="{00000000-0005-0000-0000-0000D3430000}"/>
    <cellStyle name="Normal 28 3 3 5" xfId="17373" xr:uid="{00000000-0005-0000-0000-0000D4430000}"/>
    <cellStyle name="Normal 28 3 3 5 2" xfId="17374" xr:uid="{00000000-0005-0000-0000-0000D5430000}"/>
    <cellStyle name="Normal 28 3 3 5 3" xfId="17375" xr:uid="{00000000-0005-0000-0000-0000D6430000}"/>
    <cellStyle name="Normal 28 3 3 6" xfId="17376" xr:uid="{00000000-0005-0000-0000-0000D7430000}"/>
    <cellStyle name="Normal 28 3 3 6 2" xfId="17377" xr:uid="{00000000-0005-0000-0000-0000D8430000}"/>
    <cellStyle name="Normal 28 3 3 6 3" xfId="17378" xr:uid="{00000000-0005-0000-0000-0000D9430000}"/>
    <cellStyle name="Normal 28 3 3 7" xfId="17379" xr:uid="{00000000-0005-0000-0000-0000DA430000}"/>
    <cellStyle name="Normal 28 3 3 7 2" xfId="17380" xr:uid="{00000000-0005-0000-0000-0000DB430000}"/>
    <cellStyle name="Normal 28 3 3 7 3" xfId="17381" xr:uid="{00000000-0005-0000-0000-0000DC430000}"/>
    <cellStyle name="Normal 28 3 3 8" xfId="17382" xr:uid="{00000000-0005-0000-0000-0000DD430000}"/>
    <cellStyle name="Normal 28 3 3 8 2" xfId="17383" xr:uid="{00000000-0005-0000-0000-0000DE430000}"/>
    <cellStyle name="Normal 28 3 3 8 3" xfId="17384" xr:uid="{00000000-0005-0000-0000-0000DF430000}"/>
    <cellStyle name="Normal 28 3 3 9" xfId="17385" xr:uid="{00000000-0005-0000-0000-0000E0430000}"/>
    <cellStyle name="Normal 28 3 3 9 2" xfId="17386" xr:uid="{00000000-0005-0000-0000-0000E1430000}"/>
    <cellStyle name="Normal 28 3 3 9 3" xfId="17387" xr:uid="{00000000-0005-0000-0000-0000E2430000}"/>
    <cellStyle name="Normal 28 3 30" xfId="17388" xr:uid="{00000000-0005-0000-0000-0000E3430000}"/>
    <cellStyle name="Normal 28 3 31" xfId="17389" xr:uid="{00000000-0005-0000-0000-0000E4430000}"/>
    <cellStyle name="Normal 28 3 32" xfId="17390" xr:uid="{00000000-0005-0000-0000-0000E5430000}"/>
    <cellStyle name="Normal 28 3 33" xfId="17391" xr:uid="{00000000-0005-0000-0000-0000E6430000}"/>
    <cellStyle name="Normal 28 3 34" xfId="17392" xr:uid="{00000000-0005-0000-0000-0000E7430000}"/>
    <cellStyle name="Normal 28 3 35" xfId="17393" xr:uid="{00000000-0005-0000-0000-0000E8430000}"/>
    <cellStyle name="Normal 28 3 36" xfId="17394" xr:uid="{00000000-0005-0000-0000-0000E9430000}"/>
    <cellStyle name="Normal 28 3 37" xfId="17395" xr:uid="{00000000-0005-0000-0000-0000EA430000}"/>
    <cellStyle name="Normal 28 3 38" xfId="17396" xr:uid="{00000000-0005-0000-0000-0000EB430000}"/>
    <cellStyle name="Normal 28 3 39" xfId="17397" xr:uid="{00000000-0005-0000-0000-0000EC430000}"/>
    <cellStyle name="Normal 28 3 4" xfId="17398" xr:uid="{00000000-0005-0000-0000-0000ED430000}"/>
    <cellStyle name="Normal 28 3 4 10" xfId="17399" xr:uid="{00000000-0005-0000-0000-0000EE430000}"/>
    <cellStyle name="Normal 28 3 4 10 2" xfId="17400" xr:uid="{00000000-0005-0000-0000-0000EF430000}"/>
    <cellStyle name="Normal 28 3 4 10 3" xfId="17401" xr:uid="{00000000-0005-0000-0000-0000F0430000}"/>
    <cellStyle name="Normal 28 3 4 11" xfId="17402" xr:uid="{00000000-0005-0000-0000-0000F1430000}"/>
    <cellStyle name="Normal 28 3 4 11 2" xfId="17403" xr:uid="{00000000-0005-0000-0000-0000F2430000}"/>
    <cellStyle name="Normal 28 3 4 11 3" xfId="17404" xr:uid="{00000000-0005-0000-0000-0000F3430000}"/>
    <cellStyle name="Normal 28 3 4 12" xfId="17405" xr:uid="{00000000-0005-0000-0000-0000F4430000}"/>
    <cellStyle name="Normal 28 3 4 12 2" xfId="17406" xr:uid="{00000000-0005-0000-0000-0000F5430000}"/>
    <cellStyle name="Normal 28 3 4 12 3" xfId="17407" xr:uid="{00000000-0005-0000-0000-0000F6430000}"/>
    <cellStyle name="Normal 28 3 4 13" xfId="17408" xr:uid="{00000000-0005-0000-0000-0000F7430000}"/>
    <cellStyle name="Normal 28 3 4 13 2" xfId="17409" xr:uid="{00000000-0005-0000-0000-0000F8430000}"/>
    <cellStyle name="Normal 28 3 4 13 3" xfId="17410" xr:uid="{00000000-0005-0000-0000-0000F9430000}"/>
    <cellStyle name="Normal 28 3 4 14" xfId="17411" xr:uid="{00000000-0005-0000-0000-0000FA430000}"/>
    <cellStyle name="Normal 28 3 4 14 2" xfId="17412" xr:uid="{00000000-0005-0000-0000-0000FB430000}"/>
    <cellStyle name="Normal 28 3 4 14 3" xfId="17413" xr:uid="{00000000-0005-0000-0000-0000FC430000}"/>
    <cellStyle name="Normal 28 3 4 15" xfId="17414" xr:uid="{00000000-0005-0000-0000-0000FD430000}"/>
    <cellStyle name="Normal 28 3 4 15 2" xfId="17415" xr:uid="{00000000-0005-0000-0000-0000FE430000}"/>
    <cellStyle name="Normal 28 3 4 15 3" xfId="17416" xr:uid="{00000000-0005-0000-0000-0000FF430000}"/>
    <cellStyle name="Normal 28 3 4 16" xfId="17417" xr:uid="{00000000-0005-0000-0000-000000440000}"/>
    <cellStyle name="Normal 28 3 4 17" xfId="17418" xr:uid="{00000000-0005-0000-0000-000001440000}"/>
    <cellStyle name="Normal 28 3 4 2" xfId="17419" xr:uid="{00000000-0005-0000-0000-000002440000}"/>
    <cellStyle name="Normal 28 3 4 2 10" xfId="17420" xr:uid="{00000000-0005-0000-0000-000003440000}"/>
    <cellStyle name="Normal 28 3 4 2 10 2" xfId="17421" xr:uid="{00000000-0005-0000-0000-000004440000}"/>
    <cellStyle name="Normal 28 3 4 2 10 3" xfId="17422" xr:uid="{00000000-0005-0000-0000-000005440000}"/>
    <cellStyle name="Normal 28 3 4 2 11" xfId="17423" xr:uid="{00000000-0005-0000-0000-000006440000}"/>
    <cellStyle name="Normal 28 3 4 2 11 2" xfId="17424" xr:uid="{00000000-0005-0000-0000-000007440000}"/>
    <cellStyle name="Normal 28 3 4 2 11 3" xfId="17425" xr:uid="{00000000-0005-0000-0000-000008440000}"/>
    <cellStyle name="Normal 28 3 4 2 12" xfId="17426" xr:uid="{00000000-0005-0000-0000-000009440000}"/>
    <cellStyle name="Normal 28 3 4 2 12 2" xfId="17427" xr:uid="{00000000-0005-0000-0000-00000A440000}"/>
    <cellStyle name="Normal 28 3 4 2 12 3" xfId="17428" xr:uid="{00000000-0005-0000-0000-00000B440000}"/>
    <cellStyle name="Normal 28 3 4 2 13" xfId="17429" xr:uid="{00000000-0005-0000-0000-00000C440000}"/>
    <cellStyle name="Normal 28 3 4 2 13 2" xfId="17430" xr:uid="{00000000-0005-0000-0000-00000D440000}"/>
    <cellStyle name="Normal 28 3 4 2 13 3" xfId="17431" xr:uid="{00000000-0005-0000-0000-00000E440000}"/>
    <cellStyle name="Normal 28 3 4 2 14" xfId="17432" xr:uid="{00000000-0005-0000-0000-00000F440000}"/>
    <cellStyle name="Normal 28 3 4 2 14 2" xfId="17433" xr:uid="{00000000-0005-0000-0000-000010440000}"/>
    <cellStyle name="Normal 28 3 4 2 14 3" xfId="17434" xr:uid="{00000000-0005-0000-0000-000011440000}"/>
    <cellStyle name="Normal 28 3 4 2 15" xfId="17435" xr:uid="{00000000-0005-0000-0000-000012440000}"/>
    <cellStyle name="Normal 28 3 4 2 16" xfId="17436" xr:uid="{00000000-0005-0000-0000-000013440000}"/>
    <cellStyle name="Normal 28 3 4 2 2" xfId="17437" xr:uid="{00000000-0005-0000-0000-000014440000}"/>
    <cellStyle name="Normal 28 3 4 2 2 2" xfId="17438" xr:uid="{00000000-0005-0000-0000-000015440000}"/>
    <cellStyle name="Normal 28 3 4 2 2 3" xfId="17439" xr:uid="{00000000-0005-0000-0000-000016440000}"/>
    <cellStyle name="Normal 28 3 4 2 3" xfId="17440" xr:uid="{00000000-0005-0000-0000-000017440000}"/>
    <cellStyle name="Normal 28 3 4 2 3 2" xfId="17441" xr:uid="{00000000-0005-0000-0000-000018440000}"/>
    <cellStyle name="Normal 28 3 4 2 3 3" xfId="17442" xr:uid="{00000000-0005-0000-0000-000019440000}"/>
    <cellStyle name="Normal 28 3 4 2 4" xfId="17443" xr:uid="{00000000-0005-0000-0000-00001A440000}"/>
    <cellStyle name="Normal 28 3 4 2 4 2" xfId="17444" xr:uid="{00000000-0005-0000-0000-00001B440000}"/>
    <cellStyle name="Normal 28 3 4 2 4 3" xfId="17445" xr:uid="{00000000-0005-0000-0000-00001C440000}"/>
    <cellStyle name="Normal 28 3 4 2 5" xfId="17446" xr:uid="{00000000-0005-0000-0000-00001D440000}"/>
    <cellStyle name="Normal 28 3 4 2 5 2" xfId="17447" xr:uid="{00000000-0005-0000-0000-00001E440000}"/>
    <cellStyle name="Normal 28 3 4 2 5 3" xfId="17448" xr:uid="{00000000-0005-0000-0000-00001F440000}"/>
    <cellStyle name="Normal 28 3 4 2 6" xfId="17449" xr:uid="{00000000-0005-0000-0000-000020440000}"/>
    <cellStyle name="Normal 28 3 4 2 6 2" xfId="17450" xr:uid="{00000000-0005-0000-0000-000021440000}"/>
    <cellStyle name="Normal 28 3 4 2 6 3" xfId="17451" xr:uid="{00000000-0005-0000-0000-000022440000}"/>
    <cellStyle name="Normal 28 3 4 2 7" xfId="17452" xr:uid="{00000000-0005-0000-0000-000023440000}"/>
    <cellStyle name="Normal 28 3 4 2 7 2" xfId="17453" xr:uid="{00000000-0005-0000-0000-000024440000}"/>
    <cellStyle name="Normal 28 3 4 2 7 3" xfId="17454" xr:uid="{00000000-0005-0000-0000-000025440000}"/>
    <cellStyle name="Normal 28 3 4 2 8" xfId="17455" xr:uid="{00000000-0005-0000-0000-000026440000}"/>
    <cellStyle name="Normal 28 3 4 2 8 2" xfId="17456" xr:uid="{00000000-0005-0000-0000-000027440000}"/>
    <cellStyle name="Normal 28 3 4 2 8 3" xfId="17457" xr:uid="{00000000-0005-0000-0000-000028440000}"/>
    <cellStyle name="Normal 28 3 4 2 9" xfId="17458" xr:uid="{00000000-0005-0000-0000-000029440000}"/>
    <cellStyle name="Normal 28 3 4 2 9 2" xfId="17459" xr:uid="{00000000-0005-0000-0000-00002A440000}"/>
    <cellStyle name="Normal 28 3 4 2 9 3" xfId="17460" xr:uid="{00000000-0005-0000-0000-00002B440000}"/>
    <cellStyle name="Normal 28 3 4 3" xfId="17461" xr:uid="{00000000-0005-0000-0000-00002C440000}"/>
    <cellStyle name="Normal 28 3 4 3 2" xfId="17462" xr:uid="{00000000-0005-0000-0000-00002D440000}"/>
    <cellStyle name="Normal 28 3 4 3 3" xfId="17463" xr:uid="{00000000-0005-0000-0000-00002E440000}"/>
    <cellStyle name="Normal 28 3 4 4" xfId="17464" xr:uid="{00000000-0005-0000-0000-00002F440000}"/>
    <cellStyle name="Normal 28 3 4 4 2" xfId="17465" xr:uid="{00000000-0005-0000-0000-000030440000}"/>
    <cellStyle name="Normal 28 3 4 4 3" xfId="17466" xr:uid="{00000000-0005-0000-0000-000031440000}"/>
    <cellStyle name="Normal 28 3 4 5" xfId="17467" xr:uid="{00000000-0005-0000-0000-000032440000}"/>
    <cellStyle name="Normal 28 3 4 5 2" xfId="17468" xr:uid="{00000000-0005-0000-0000-000033440000}"/>
    <cellStyle name="Normal 28 3 4 5 3" xfId="17469" xr:uid="{00000000-0005-0000-0000-000034440000}"/>
    <cellStyle name="Normal 28 3 4 6" xfId="17470" xr:uid="{00000000-0005-0000-0000-000035440000}"/>
    <cellStyle name="Normal 28 3 4 6 2" xfId="17471" xr:uid="{00000000-0005-0000-0000-000036440000}"/>
    <cellStyle name="Normal 28 3 4 6 3" xfId="17472" xr:uid="{00000000-0005-0000-0000-000037440000}"/>
    <cellStyle name="Normal 28 3 4 7" xfId="17473" xr:uid="{00000000-0005-0000-0000-000038440000}"/>
    <cellStyle name="Normal 28 3 4 7 2" xfId="17474" xr:uid="{00000000-0005-0000-0000-000039440000}"/>
    <cellStyle name="Normal 28 3 4 7 3" xfId="17475" xr:uid="{00000000-0005-0000-0000-00003A440000}"/>
    <cellStyle name="Normal 28 3 4 8" xfId="17476" xr:uid="{00000000-0005-0000-0000-00003B440000}"/>
    <cellStyle name="Normal 28 3 4 8 2" xfId="17477" xr:uid="{00000000-0005-0000-0000-00003C440000}"/>
    <cellStyle name="Normal 28 3 4 8 3" xfId="17478" xr:uid="{00000000-0005-0000-0000-00003D440000}"/>
    <cellStyle name="Normal 28 3 4 9" xfId="17479" xr:uid="{00000000-0005-0000-0000-00003E440000}"/>
    <cellStyle name="Normal 28 3 4 9 2" xfId="17480" xr:uid="{00000000-0005-0000-0000-00003F440000}"/>
    <cellStyle name="Normal 28 3 4 9 3" xfId="17481" xr:uid="{00000000-0005-0000-0000-000040440000}"/>
    <cellStyle name="Normal 28 3 40" xfId="17482" xr:uid="{00000000-0005-0000-0000-000041440000}"/>
    <cellStyle name="Normal 28 3 41" xfId="17483" xr:uid="{00000000-0005-0000-0000-000042440000}"/>
    <cellStyle name="Normal 28 3 5" xfId="17484" xr:uid="{00000000-0005-0000-0000-000043440000}"/>
    <cellStyle name="Normal 28 3 5 10" xfId="17485" xr:uid="{00000000-0005-0000-0000-000044440000}"/>
    <cellStyle name="Normal 28 3 5 10 2" xfId="17486" xr:uid="{00000000-0005-0000-0000-000045440000}"/>
    <cellStyle name="Normal 28 3 5 10 3" xfId="17487" xr:uid="{00000000-0005-0000-0000-000046440000}"/>
    <cellStyle name="Normal 28 3 5 11" xfId="17488" xr:uid="{00000000-0005-0000-0000-000047440000}"/>
    <cellStyle name="Normal 28 3 5 11 2" xfId="17489" xr:uid="{00000000-0005-0000-0000-000048440000}"/>
    <cellStyle name="Normal 28 3 5 11 3" xfId="17490" xr:uid="{00000000-0005-0000-0000-000049440000}"/>
    <cellStyle name="Normal 28 3 5 12" xfId="17491" xr:uid="{00000000-0005-0000-0000-00004A440000}"/>
    <cellStyle name="Normal 28 3 5 12 2" xfId="17492" xr:uid="{00000000-0005-0000-0000-00004B440000}"/>
    <cellStyle name="Normal 28 3 5 12 3" xfId="17493" xr:uid="{00000000-0005-0000-0000-00004C440000}"/>
    <cellStyle name="Normal 28 3 5 13" xfId="17494" xr:uid="{00000000-0005-0000-0000-00004D440000}"/>
    <cellStyle name="Normal 28 3 5 13 2" xfId="17495" xr:uid="{00000000-0005-0000-0000-00004E440000}"/>
    <cellStyle name="Normal 28 3 5 13 3" xfId="17496" xr:uid="{00000000-0005-0000-0000-00004F440000}"/>
    <cellStyle name="Normal 28 3 5 14" xfId="17497" xr:uid="{00000000-0005-0000-0000-000050440000}"/>
    <cellStyle name="Normal 28 3 5 14 2" xfId="17498" xr:uid="{00000000-0005-0000-0000-000051440000}"/>
    <cellStyle name="Normal 28 3 5 14 3" xfId="17499" xr:uid="{00000000-0005-0000-0000-000052440000}"/>
    <cellStyle name="Normal 28 3 5 15" xfId="17500" xr:uid="{00000000-0005-0000-0000-000053440000}"/>
    <cellStyle name="Normal 28 3 5 16" xfId="17501" xr:uid="{00000000-0005-0000-0000-000054440000}"/>
    <cellStyle name="Normal 28 3 5 2" xfId="17502" xr:uid="{00000000-0005-0000-0000-000055440000}"/>
    <cellStyle name="Normal 28 3 5 2 2" xfId="17503" xr:uid="{00000000-0005-0000-0000-000056440000}"/>
    <cellStyle name="Normal 28 3 5 2 3" xfId="17504" xr:uid="{00000000-0005-0000-0000-000057440000}"/>
    <cellStyle name="Normal 28 3 5 3" xfId="17505" xr:uid="{00000000-0005-0000-0000-000058440000}"/>
    <cellStyle name="Normal 28 3 5 3 2" xfId="17506" xr:uid="{00000000-0005-0000-0000-000059440000}"/>
    <cellStyle name="Normal 28 3 5 3 3" xfId="17507" xr:uid="{00000000-0005-0000-0000-00005A440000}"/>
    <cellStyle name="Normal 28 3 5 4" xfId="17508" xr:uid="{00000000-0005-0000-0000-00005B440000}"/>
    <cellStyle name="Normal 28 3 5 4 2" xfId="17509" xr:uid="{00000000-0005-0000-0000-00005C440000}"/>
    <cellStyle name="Normal 28 3 5 4 3" xfId="17510" xr:uid="{00000000-0005-0000-0000-00005D440000}"/>
    <cellStyle name="Normal 28 3 5 5" xfId="17511" xr:uid="{00000000-0005-0000-0000-00005E440000}"/>
    <cellStyle name="Normal 28 3 5 5 2" xfId="17512" xr:uid="{00000000-0005-0000-0000-00005F440000}"/>
    <cellStyle name="Normal 28 3 5 5 3" xfId="17513" xr:uid="{00000000-0005-0000-0000-000060440000}"/>
    <cellStyle name="Normal 28 3 5 6" xfId="17514" xr:uid="{00000000-0005-0000-0000-000061440000}"/>
    <cellStyle name="Normal 28 3 5 6 2" xfId="17515" xr:uid="{00000000-0005-0000-0000-000062440000}"/>
    <cellStyle name="Normal 28 3 5 6 3" xfId="17516" xr:uid="{00000000-0005-0000-0000-000063440000}"/>
    <cellStyle name="Normal 28 3 5 7" xfId="17517" xr:uid="{00000000-0005-0000-0000-000064440000}"/>
    <cellStyle name="Normal 28 3 5 7 2" xfId="17518" xr:uid="{00000000-0005-0000-0000-000065440000}"/>
    <cellStyle name="Normal 28 3 5 7 3" xfId="17519" xr:uid="{00000000-0005-0000-0000-000066440000}"/>
    <cellStyle name="Normal 28 3 5 8" xfId="17520" xr:uid="{00000000-0005-0000-0000-000067440000}"/>
    <cellStyle name="Normal 28 3 5 8 2" xfId="17521" xr:uid="{00000000-0005-0000-0000-000068440000}"/>
    <cellStyle name="Normal 28 3 5 8 3" xfId="17522" xr:uid="{00000000-0005-0000-0000-000069440000}"/>
    <cellStyle name="Normal 28 3 5 9" xfId="17523" xr:uid="{00000000-0005-0000-0000-00006A440000}"/>
    <cellStyle name="Normal 28 3 5 9 2" xfId="17524" xr:uid="{00000000-0005-0000-0000-00006B440000}"/>
    <cellStyle name="Normal 28 3 5 9 3" xfId="17525" xr:uid="{00000000-0005-0000-0000-00006C440000}"/>
    <cellStyle name="Normal 28 3 6" xfId="17526" xr:uid="{00000000-0005-0000-0000-00006D440000}"/>
    <cellStyle name="Normal 28 3 6 10" xfId="17527" xr:uid="{00000000-0005-0000-0000-00006E440000}"/>
    <cellStyle name="Normal 28 3 6 10 2" xfId="17528" xr:uid="{00000000-0005-0000-0000-00006F440000}"/>
    <cellStyle name="Normal 28 3 6 10 3" xfId="17529" xr:uid="{00000000-0005-0000-0000-000070440000}"/>
    <cellStyle name="Normal 28 3 6 11" xfId="17530" xr:uid="{00000000-0005-0000-0000-000071440000}"/>
    <cellStyle name="Normal 28 3 6 11 2" xfId="17531" xr:uid="{00000000-0005-0000-0000-000072440000}"/>
    <cellStyle name="Normal 28 3 6 11 3" xfId="17532" xr:uid="{00000000-0005-0000-0000-000073440000}"/>
    <cellStyle name="Normal 28 3 6 12" xfId="17533" xr:uid="{00000000-0005-0000-0000-000074440000}"/>
    <cellStyle name="Normal 28 3 6 12 2" xfId="17534" xr:uid="{00000000-0005-0000-0000-000075440000}"/>
    <cellStyle name="Normal 28 3 6 12 3" xfId="17535" xr:uid="{00000000-0005-0000-0000-000076440000}"/>
    <cellStyle name="Normal 28 3 6 13" xfId="17536" xr:uid="{00000000-0005-0000-0000-000077440000}"/>
    <cellStyle name="Normal 28 3 6 13 2" xfId="17537" xr:uid="{00000000-0005-0000-0000-000078440000}"/>
    <cellStyle name="Normal 28 3 6 13 3" xfId="17538" xr:uid="{00000000-0005-0000-0000-000079440000}"/>
    <cellStyle name="Normal 28 3 6 14" xfId="17539" xr:uid="{00000000-0005-0000-0000-00007A440000}"/>
    <cellStyle name="Normal 28 3 6 14 2" xfId="17540" xr:uid="{00000000-0005-0000-0000-00007B440000}"/>
    <cellStyle name="Normal 28 3 6 14 3" xfId="17541" xr:uid="{00000000-0005-0000-0000-00007C440000}"/>
    <cellStyle name="Normal 28 3 6 15" xfId="17542" xr:uid="{00000000-0005-0000-0000-00007D440000}"/>
    <cellStyle name="Normal 28 3 6 16" xfId="17543" xr:uid="{00000000-0005-0000-0000-00007E440000}"/>
    <cellStyle name="Normal 28 3 6 2" xfId="17544" xr:uid="{00000000-0005-0000-0000-00007F440000}"/>
    <cellStyle name="Normal 28 3 6 2 2" xfId="17545" xr:uid="{00000000-0005-0000-0000-000080440000}"/>
    <cellStyle name="Normal 28 3 6 2 3" xfId="17546" xr:uid="{00000000-0005-0000-0000-000081440000}"/>
    <cellStyle name="Normal 28 3 6 3" xfId="17547" xr:uid="{00000000-0005-0000-0000-000082440000}"/>
    <cellStyle name="Normal 28 3 6 3 2" xfId="17548" xr:uid="{00000000-0005-0000-0000-000083440000}"/>
    <cellStyle name="Normal 28 3 6 3 3" xfId="17549" xr:uid="{00000000-0005-0000-0000-000084440000}"/>
    <cellStyle name="Normal 28 3 6 4" xfId="17550" xr:uid="{00000000-0005-0000-0000-000085440000}"/>
    <cellStyle name="Normal 28 3 6 4 2" xfId="17551" xr:uid="{00000000-0005-0000-0000-000086440000}"/>
    <cellStyle name="Normal 28 3 6 4 3" xfId="17552" xr:uid="{00000000-0005-0000-0000-000087440000}"/>
    <cellStyle name="Normal 28 3 6 5" xfId="17553" xr:uid="{00000000-0005-0000-0000-000088440000}"/>
    <cellStyle name="Normal 28 3 6 5 2" xfId="17554" xr:uid="{00000000-0005-0000-0000-000089440000}"/>
    <cellStyle name="Normal 28 3 6 5 3" xfId="17555" xr:uid="{00000000-0005-0000-0000-00008A440000}"/>
    <cellStyle name="Normal 28 3 6 6" xfId="17556" xr:uid="{00000000-0005-0000-0000-00008B440000}"/>
    <cellStyle name="Normal 28 3 6 6 2" xfId="17557" xr:uid="{00000000-0005-0000-0000-00008C440000}"/>
    <cellStyle name="Normal 28 3 6 6 3" xfId="17558" xr:uid="{00000000-0005-0000-0000-00008D440000}"/>
    <cellStyle name="Normal 28 3 6 7" xfId="17559" xr:uid="{00000000-0005-0000-0000-00008E440000}"/>
    <cellStyle name="Normal 28 3 6 7 2" xfId="17560" xr:uid="{00000000-0005-0000-0000-00008F440000}"/>
    <cellStyle name="Normal 28 3 6 7 3" xfId="17561" xr:uid="{00000000-0005-0000-0000-000090440000}"/>
    <cellStyle name="Normal 28 3 6 8" xfId="17562" xr:uid="{00000000-0005-0000-0000-000091440000}"/>
    <cellStyle name="Normal 28 3 6 8 2" xfId="17563" xr:uid="{00000000-0005-0000-0000-000092440000}"/>
    <cellStyle name="Normal 28 3 6 8 3" xfId="17564" xr:uid="{00000000-0005-0000-0000-000093440000}"/>
    <cellStyle name="Normal 28 3 6 9" xfId="17565" xr:uid="{00000000-0005-0000-0000-000094440000}"/>
    <cellStyle name="Normal 28 3 6 9 2" xfId="17566" xr:uid="{00000000-0005-0000-0000-000095440000}"/>
    <cellStyle name="Normal 28 3 6 9 3" xfId="17567" xr:uid="{00000000-0005-0000-0000-000096440000}"/>
    <cellStyle name="Normal 28 3 7" xfId="17568" xr:uid="{00000000-0005-0000-0000-000097440000}"/>
    <cellStyle name="Normal 28 3 7 10" xfId="17569" xr:uid="{00000000-0005-0000-0000-000098440000}"/>
    <cellStyle name="Normal 28 3 7 10 2" xfId="17570" xr:uid="{00000000-0005-0000-0000-000099440000}"/>
    <cellStyle name="Normal 28 3 7 10 3" xfId="17571" xr:uid="{00000000-0005-0000-0000-00009A440000}"/>
    <cellStyle name="Normal 28 3 7 11" xfId="17572" xr:uid="{00000000-0005-0000-0000-00009B440000}"/>
    <cellStyle name="Normal 28 3 7 11 2" xfId="17573" xr:uid="{00000000-0005-0000-0000-00009C440000}"/>
    <cellStyle name="Normal 28 3 7 11 3" xfId="17574" xr:uid="{00000000-0005-0000-0000-00009D440000}"/>
    <cellStyle name="Normal 28 3 7 12" xfId="17575" xr:uid="{00000000-0005-0000-0000-00009E440000}"/>
    <cellStyle name="Normal 28 3 7 12 2" xfId="17576" xr:uid="{00000000-0005-0000-0000-00009F440000}"/>
    <cellStyle name="Normal 28 3 7 12 3" xfId="17577" xr:uid="{00000000-0005-0000-0000-0000A0440000}"/>
    <cellStyle name="Normal 28 3 7 13" xfId="17578" xr:uid="{00000000-0005-0000-0000-0000A1440000}"/>
    <cellStyle name="Normal 28 3 7 13 2" xfId="17579" xr:uid="{00000000-0005-0000-0000-0000A2440000}"/>
    <cellStyle name="Normal 28 3 7 13 3" xfId="17580" xr:uid="{00000000-0005-0000-0000-0000A3440000}"/>
    <cellStyle name="Normal 28 3 7 14" xfId="17581" xr:uid="{00000000-0005-0000-0000-0000A4440000}"/>
    <cellStyle name="Normal 28 3 7 14 2" xfId="17582" xr:uid="{00000000-0005-0000-0000-0000A5440000}"/>
    <cellStyle name="Normal 28 3 7 14 3" xfId="17583" xr:uid="{00000000-0005-0000-0000-0000A6440000}"/>
    <cellStyle name="Normal 28 3 7 15" xfId="17584" xr:uid="{00000000-0005-0000-0000-0000A7440000}"/>
    <cellStyle name="Normal 28 3 7 16" xfId="17585" xr:uid="{00000000-0005-0000-0000-0000A8440000}"/>
    <cellStyle name="Normal 28 3 7 2" xfId="17586" xr:uid="{00000000-0005-0000-0000-0000A9440000}"/>
    <cellStyle name="Normal 28 3 7 2 2" xfId="17587" xr:uid="{00000000-0005-0000-0000-0000AA440000}"/>
    <cellStyle name="Normal 28 3 7 2 3" xfId="17588" xr:uid="{00000000-0005-0000-0000-0000AB440000}"/>
    <cellStyle name="Normal 28 3 7 3" xfId="17589" xr:uid="{00000000-0005-0000-0000-0000AC440000}"/>
    <cellStyle name="Normal 28 3 7 3 2" xfId="17590" xr:uid="{00000000-0005-0000-0000-0000AD440000}"/>
    <cellStyle name="Normal 28 3 7 3 3" xfId="17591" xr:uid="{00000000-0005-0000-0000-0000AE440000}"/>
    <cellStyle name="Normal 28 3 7 4" xfId="17592" xr:uid="{00000000-0005-0000-0000-0000AF440000}"/>
    <cellStyle name="Normal 28 3 7 4 2" xfId="17593" xr:uid="{00000000-0005-0000-0000-0000B0440000}"/>
    <cellStyle name="Normal 28 3 7 4 3" xfId="17594" xr:uid="{00000000-0005-0000-0000-0000B1440000}"/>
    <cellStyle name="Normal 28 3 7 5" xfId="17595" xr:uid="{00000000-0005-0000-0000-0000B2440000}"/>
    <cellStyle name="Normal 28 3 7 5 2" xfId="17596" xr:uid="{00000000-0005-0000-0000-0000B3440000}"/>
    <cellStyle name="Normal 28 3 7 5 3" xfId="17597" xr:uid="{00000000-0005-0000-0000-0000B4440000}"/>
    <cellStyle name="Normal 28 3 7 6" xfId="17598" xr:uid="{00000000-0005-0000-0000-0000B5440000}"/>
    <cellStyle name="Normal 28 3 7 6 2" xfId="17599" xr:uid="{00000000-0005-0000-0000-0000B6440000}"/>
    <cellStyle name="Normal 28 3 7 6 3" xfId="17600" xr:uid="{00000000-0005-0000-0000-0000B7440000}"/>
    <cellStyle name="Normal 28 3 7 7" xfId="17601" xr:uid="{00000000-0005-0000-0000-0000B8440000}"/>
    <cellStyle name="Normal 28 3 7 7 2" xfId="17602" xr:uid="{00000000-0005-0000-0000-0000B9440000}"/>
    <cellStyle name="Normal 28 3 7 7 3" xfId="17603" xr:uid="{00000000-0005-0000-0000-0000BA440000}"/>
    <cellStyle name="Normal 28 3 7 8" xfId="17604" xr:uid="{00000000-0005-0000-0000-0000BB440000}"/>
    <cellStyle name="Normal 28 3 7 8 2" xfId="17605" xr:uid="{00000000-0005-0000-0000-0000BC440000}"/>
    <cellStyle name="Normal 28 3 7 8 3" xfId="17606" xr:uid="{00000000-0005-0000-0000-0000BD440000}"/>
    <cellStyle name="Normal 28 3 7 9" xfId="17607" xr:uid="{00000000-0005-0000-0000-0000BE440000}"/>
    <cellStyle name="Normal 28 3 7 9 2" xfId="17608" xr:uid="{00000000-0005-0000-0000-0000BF440000}"/>
    <cellStyle name="Normal 28 3 7 9 3" xfId="17609" xr:uid="{00000000-0005-0000-0000-0000C0440000}"/>
    <cellStyle name="Normal 28 3 8" xfId="17610" xr:uid="{00000000-0005-0000-0000-0000C1440000}"/>
    <cellStyle name="Normal 28 3 8 10" xfId="17611" xr:uid="{00000000-0005-0000-0000-0000C2440000}"/>
    <cellStyle name="Normal 28 3 8 10 2" xfId="17612" xr:uid="{00000000-0005-0000-0000-0000C3440000}"/>
    <cellStyle name="Normal 28 3 8 10 3" xfId="17613" xr:uid="{00000000-0005-0000-0000-0000C4440000}"/>
    <cellStyle name="Normal 28 3 8 11" xfId="17614" xr:uid="{00000000-0005-0000-0000-0000C5440000}"/>
    <cellStyle name="Normal 28 3 8 11 2" xfId="17615" xr:uid="{00000000-0005-0000-0000-0000C6440000}"/>
    <cellStyle name="Normal 28 3 8 11 3" xfId="17616" xr:uid="{00000000-0005-0000-0000-0000C7440000}"/>
    <cellStyle name="Normal 28 3 8 12" xfId="17617" xr:uid="{00000000-0005-0000-0000-0000C8440000}"/>
    <cellStyle name="Normal 28 3 8 12 2" xfId="17618" xr:uid="{00000000-0005-0000-0000-0000C9440000}"/>
    <cellStyle name="Normal 28 3 8 12 3" xfId="17619" xr:uid="{00000000-0005-0000-0000-0000CA440000}"/>
    <cellStyle name="Normal 28 3 8 13" xfId="17620" xr:uid="{00000000-0005-0000-0000-0000CB440000}"/>
    <cellStyle name="Normal 28 3 8 13 2" xfId="17621" xr:uid="{00000000-0005-0000-0000-0000CC440000}"/>
    <cellStyle name="Normal 28 3 8 13 3" xfId="17622" xr:uid="{00000000-0005-0000-0000-0000CD440000}"/>
    <cellStyle name="Normal 28 3 8 14" xfId="17623" xr:uid="{00000000-0005-0000-0000-0000CE440000}"/>
    <cellStyle name="Normal 28 3 8 14 2" xfId="17624" xr:uid="{00000000-0005-0000-0000-0000CF440000}"/>
    <cellStyle name="Normal 28 3 8 14 3" xfId="17625" xr:uid="{00000000-0005-0000-0000-0000D0440000}"/>
    <cellStyle name="Normal 28 3 8 15" xfId="17626" xr:uid="{00000000-0005-0000-0000-0000D1440000}"/>
    <cellStyle name="Normal 28 3 8 16" xfId="17627" xr:uid="{00000000-0005-0000-0000-0000D2440000}"/>
    <cellStyle name="Normal 28 3 8 2" xfId="17628" xr:uid="{00000000-0005-0000-0000-0000D3440000}"/>
    <cellStyle name="Normal 28 3 8 2 2" xfId="17629" xr:uid="{00000000-0005-0000-0000-0000D4440000}"/>
    <cellStyle name="Normal 28 3 8 2 3" xfId="17630" xr:uid="{00000000-0005-0000-0000-0000D5440000}"/>
    <cellStyle name="Normal 28 3 8 3" xfId="17631" xr:uid="{00000000-0005-0000-0000-0000D6440000}"/>
    <cellStyle name="Normal 28 3 8 3 2" xfId="17632" xr:uid="{00000000-0005-0000-0000-0000D7440000}"/>
    <cellStyle name="Normal 28 3 8 3 3" xfId="17633" xr:uid="{00000000-0005-0000-0000-0000D8440000}"/>
    <cellStyle name="Normal 28 3 8 4" xfId="17634" xr:uid="{00000000-0005-0000-0000-0000D9440000}"/>
    <cellStyle name="Normal 28 3 8 4 2" xfId="17635" xr:uid="{00000000-0005-0000-0000-0000DA440000}"/>
    <cellStyle name="Normal 28 3 8 4 3" xfId="17636" xr:uid="{00000000-0005-0000-0000-0000DB440000}"/>
    <cellStyle name="Normal 28 3 8 5" xfId="17637" xr:uid="{00000000-0005-0000-0000-0000DC440000}"/>
    <cellStyle name="Normal 28 3 8 5 2" xfId="17638" xr:uid="{00000000-0005-0000-0000-0000DD440000}"/>
    <cellStyle name="Normal 28 3 8 5 3" xfId="17639" xr:uid="{00000000-0005-0000-0000-0000DE440000}"/>
    <cellStyle name="Normal 28 3 8 6" xfId="17640" xr:uid="{00000000-0005-0000-0000-0000DF440000}"/>
    <cellStyle name="Normal 28 3 8 6 2" xfId="17641" xr:uid="{00000000-0005-0000-0000-0000E0440000}"/>
    <cellStyle name="Normal 28 3 8 6 3" xfId="17642" xr:uid="{00000000-0005-0000-0000-0000E1440000}"/>
    <cellStyle name="Normal 28 3 8 7" xfId="17643" xr:uid="{00000000-0005-0000-0000-0000E2440000}"/>
    <cellStyle name="Normal 28 3 8 7 2" xfId="17644" xr:uid="{00000000-0005-0000-0000-0000E3440000}"/>
    <cellStyle name="Normal 28 3 8 7 3" xfId="17645" xr:uid="{00000000-0005-0000-0000-0000E4440000}"/>
    <cellStyle name="Normal 28 3 8 8" xfId="17646" xr:uid="{00000000-0005-0000-0000-0000E5440000}"/>
    <cellStyle name="Normal 28 3 8 8 2" xfId="17647" xr:uid="{00000000-0005-0000-0000-0000E6440000}"/>
    <cellStyle name="Normal 28 3 8 8 3" xfId="17648" xr:uid="{00000000-0005-0000-0000-0000E7440000}"/>
    <cellStyle name="Normal 28 3 8 9" xfId="17649" xr:uid="{00000000-0005-0000-0000-0000E8440000}"/>
    <cellStyle name="Normal 28 3 8 9 2" xfId="17650" xr:uid="{00000000-0005-0000-0000-0000E9440000}"/>
    <cellStyle name="Normal 28 3 8 9 3" xfId="17651" xr:uid="{00000000-0005-0000-0000-0000EA440000}"/>
    <cellStyle name="Normal 28 3 9" xfId="17652" xr:uid="{00000000-0005-0000-0000-0000EB440000}"/>
    <cellStyle name="Normal 28 3 9 10" xfId="17653" xr:uid="{00000000-0005-0000-0000-0000EC440000}"/>
    <cellStyle name="Normal 28 3 9 10 2" xfId="17654" xr:uid="{00000000-0005-0000-0000-0000ED440000}"/>
    <cellStyle name="Normal 28 3 9 10 3" xfId="17655" xr:uid="{00000000-0005-0000-0000-0000EE440000}"/>
    <cellStyle name="Normal 28 3 9 11" xfId="17656" xr:uid="{00000000-0005-0000-0000-0000EF440000}"/>
    <cellStyle name="Normal 28 3 9 11 2" xfId="17657" xr:uid="{00000000-0005-0000-0000-0000F0440000}"/>
    <cellStyle name="Normal 28 3 9 11 3" xfId="17658" xr:uid="{00000000-0005-0000-0000-0000F1440000}"/>
    <cellStyle name="Normal 28 3 9 12" xfId="17659" xr:uid="{00000000-0005-0000-0000-0000F2440000}"/>
    <cellStyle name="Normal 28 3 9 12 2" xfId="17660" xr:uid="{00000000-0005-0000-0000-0000F3440000}"/>
    <cellStyle name="Normal 28 3 9 12 3" xfId="17661" xr:uid="{00000000-0005-0000-0000-0000F4440000}"/>
    <cellStyle name="Normal 28 3 9 13" xfId="17662" xr:uid="{00000000-0005-0000-0000-0000F5440000}"/>
    <cellStyle name="Normal 28 3 9 13 2" xfId="17663" xr:uid="{00000000-0005-0000-0000-0000F6440000}"/>
    <cellStyle name="Normal 28 3 9 13 3" xfId="17664" xr:uid="{00000000-0005-0000-0000-0000F7440000}"/>
    <cellStyle name="Normal 28 3 9 14" xfId="17665" xr:uid="{00000000-0005-0000-0000-0000F8440000}"/>
    <cellStyle name="Normal 28 3 9 14 2" xfId="17666" xr:uid="{00000000-0005-0000-0000-0000F9440000}"/>
    <cellStyle name="Normal 28 3 9 14 3" xfId="17667" xr:uid="{00000000-0005-0000-0000-0000FA440000}"/>
    <cellStyle name="Normal 28 3 9 15" xfId="17668" xr:uid="{00000000-0005-0000-0000-0000FB440000}"/>
    <cellStyle name="Normal 28 3 9 16" xfId="17669" xr:uid="{00000000-0005-0000-0000-0000FC440000}"/>
    <cellStyle name="Normal 28 3 9 2" xfId="17670" xr:uid="{00000000-0005-0000-0000-0000FD440000}"/>
    <cellStyle name="Normal 28 3 9 2 2" xfId="17671" xr:uid="{00000000-0005-0000-0000-0000FE440000}"/>
    <cellStyle name="Normal 28 3 9 2 3" xfId="17672" xr:uid="{00000000-0005-0000-0000-0000FF440000}"/>
    <cellStyle name="Normal 28 3 9 3" xfId="17673" xr:uid="{00000000-0005-0000-0000-000000450000}"/>
    <cellStyle name="Normal 28 3 9 3 2" xfId="17674" xr:uid="{00000000-0005-0000-0000-000001450000}"/>
    <cellStyle name="Normal 28 3 9 3 3" xfId="17675" xr:uid="{00000000-0005-0000-0000-000002450000}"/>
    <cellStyle name="Normal 28 3 9 4" xfId="17676" xr:uid="{00000000-0005-0000-0000-000003450000}"/>
    <cellStyle name="Normal 28 3 9 4 2" xfId="17677" xr:uid="{00000000-0005-0000-0000-000004450000}"/>
    <cellStyle name="Normal 28 3 9 4 3" xfId="17678" xr:uid="{00000000-0005-0000-0000-000005450000}"/>
    <cellStyle name="Normal 28 3 9 5" xfId="17679" xr:uid="{00000000-0005-0000-0000-000006450000}"/>
    <cellStyle name="Normal 28 3 9 5 2" xfId="17680" xr:uid="{00000000-0005-0000-0000-000007450000}"/>
    <cellStyle name="Normal 28 3 9 5 3" xfId="17681" xr:uid="{00000000-0005-0000-0000-000008450000}"/>
    <cellStyle name="Normal 28 3 9 6" xfId="17682" xr:uid="{00000000-0005-0000-0000-000009450000}"/>
    <cellStyle name="Normal 28 3 9 6 2" xfId="17683" xr:uid="{00000000-0005-0000-0000-00000A450000}"/>
    <cellStyle name="Normal 28 3 9 6 3" xfId="17684" xr:uid="{00000000-0005-0000-0000-00000B450000}"/>
    <cellStyle name="Normal 28 3 9 7" xfId="17685" xr:uid="{00000000-0005-0000-0000-00000C450000}"/>
    <cellStyle name="Normal 28 3 9 7 2" xfId="17686" xr:uid="{00000000-0005-0000-0000-00000D450000}"/>
    <cellStyle name="Normal 28 3 9 7 3" xfId="17687" xr:uid="{00000000-0005-0000-0000-00000E450000}"/>
    <cellStyle name="Normal 28 3 9 8" xfId="17688" xr:uid="{00000000-0005-0000-0000-00000F450000}"/>
    <cellStyle name="Normal 28 3 9 8 2" xfId="17689" xr:uid="{00000000-0005-0000-0000-000010450000}"/>
    <cellStyle name="Normal 28 3 9 8 3" xfId="17690" xr:uid="{00000000-0005-0000-0000-000011450000}"/>
    <cellStyle name="Normal 28 3 9 9" xfId="17691" xr:uid="{00000000-0005-0000-0000-000012450000}"/>
    <cellStyle name="Normal 28 3 9 9 2" xfId="17692" xr:uid="{00000000-0005-0000-0000-000013450000}"/>
    <cellStyle name="Normal 28 3 9 9 3" xfId="17693" xr:uid="{00000000-0005-0000-0000-000014450000}"/>
    <cellStyle name="Normal 28 4" xfId="17694" xr:uid="{00000000-0005-0000-0000-000015450000}"/>
    <cellStyle name="Normal 28 4 10" xfId="17695" xr:uid="{00000000-0005-0000-0000-000016450000}"/>
    <cellStyle name="Normal 28 4 10 10" xfId="17696" xr:uid="{00000000-0005-0000-0000-000017450000}"/>
    <cellStyle name="Normal 28 4 10 10 2" xfId="17697" xr:uid="{00000000-0005-0000-0000-000018450000}"/>
    <cellStyle name="Normal 28 4 10 10 3" xfId="17698" xr:uid="{00000000-0005-0000-0000-000019450000}"/>
    <cellStyle name="Normal 28 4 10 11" xfId="17699" xr:uid="{00000000-0005-0000-0000-00001A450000}"/>
    <cellStyle name="Normal 28 4 10 11 2" xfId="17700" xr:uid="{00000000-0005-0000-0000-00001B450000}"/>
    <cellStyle name="Normal 28 4 10 11 3" xfId="17701" xr:uid="{00000000-0005-0000-0000-00001C450000}"/>
    <cellStyle name="Normal 28 4 10 12" xfId="17702" xr:uid="{00000000-0005-0000-0000-00001D450000}"/>
    <cellStyle name="Normal 28 4 10 12 2" xfId="17703" xr:uid="{00000000-0005-0000-0000-00001E450000}"/>
    <cellStyle name="Normal 28 4 10 12 3" xfId="17704" xr:uid="{00000000-0005-0000-0000-00001F450000}"/>
    <cellStyle name="Normal 28 4 10 13" xfId="17705" xr:uid="{00000000-0005-0000-0000-000020450000}"/>
    <cellStyle name="Normal 28 4 10 13 2" xfId="17706" xr:uid="{00000000-0005-0000-0000-000021450000}"/>
    <cellStyle name="Normal 28 4 10 13 3" xfId="17707" xr:uid="{00000000-0005-0000-0000-000022450000}"/>
    <cellStyle name="Normal 28 4 10 14" xfId="17708" xr:uid="{00000000-0005-0000-0000-000023450000}"/>
    <cellStyle name="Normal 28 4 10 14 2" xfId="17709" xr:uid="{00000000-0005-0000-0000-000024450000}"/>
    <cellStyle name="Normal 28 4 10 14 3" xfId="17710" xr:uid="{00000000-0005-0000-0000-000025450000}"/>
    <cellStyle name="Normal 28 4 10 15" xfId="17711" xr:uid="{00000000-0005-0000-0000-000026450000}"/>
    <cellStyle name="Normal 28 4 10 16" xfId="17712" xr:uid="{00000000-0005-0000-0000-000027450000}"/>
    <cellStyle name="Normal 28 4 10 2" xfId="17713" xr:uid="{00000000-0005-0000-0000-000028450000}"/>
    <cellStyle name="Normal 28 4 10 2 2" xfId="17714" xr:uid="{00000000-0005-0000-0000-000029450000}"/>
    <cellStyle name="Normal 28 4 10 2 3" xfId="17715" xr:uid="{00000000-0005-0000-0000-00002A450000}"/>
    <cellStyle name="Normal 28 4 10 3" xfId="17716" xr:uid="{00000000-0005-0000-0000-00002B450000}"/>
    <cellStyle name="Normal 28 4 10 3 2" xfId="17717" xr:uid="{00000000-0005-0000-0000-00002C450000}"/>
    <cellStyle name="Normal 28 4 10 3 3" xfId="17718" xr:uid="{00000000-0005-0000-0000-00002D450000}"/>
    <cellStyle name="Normal 28 4 10 4" xfId="17719" xr:uid="{00000000-0005-0000-0000-00002E450000}"/>
    <cellStyle name="Normal 28 4 10 4 2" xfId="17720" xr:uid="{00000000-0005-0000-0000-00002F450000}"/>
    <cellStyle name="Normal 28 4 10 4 3" xfId="17721" xr:uid="{00000000-0005-0000-0000-000030450000}"/>
    <cellStyle name="Normal 28 4 10 5" xfId="17722" xr:uid="{00000000-0005-0000-0000-000031450000}"/>
    <cellStyle name="Normal 28 4 10 5 2" xfId="17723" xr:uid="{00000000-0005-0000-0000-000032450000}"/>
    <cellStyle name="Normal 28 4 10 5 3" xfId="17724" xr:uid="{00000000-0005-0000-0000-000033450000}"/>
    <cellStyle name="Normal 28 4 10 6" xfId="17725" xr:uid="{00000000-0005-0000-0000-000034450000}"/>
    <cellStyle name="Normal 28 4 10 6 2" xfId="17726" xr:uid="{00000000-0005-0000-0000-000035450000}"/>
    <cellStyle name="Normal 28 4 10 6 3" xfId="17727" xr:uid="{00000000-0005-0000-0000-000036450000}"/>
    <cellStyle name="Normal 28 4 10 7" xfId="17728" xr:uid="{00000000-0005-0000-0000-000037450000}"/>
    <cellStyle name="Normal 28 4 10 7 2" xfId="17729" xr:uid="{00000000-0005-0000-0000-000038450000}"/>
    <cellStyle name="Normal 28 4 10 7 3" xfId="17730" xr:uid="{00000000-0005-0000-0000-000039450000}"/>
    <cellStyle name="Normal 28 4 10 8" xfId="17731" xr:uid="{00000000-0005-0000-0000-00003A450000}"/>
    <cellStyle name="Normal 28 4 10 8 2" xfId="17732" xr:uid="{00000000-0005-0000-0000-00003B450000}"/>
    <cellStyle name="Normal 28 4 10 8 3" xfId="17733" xr:uid="{00000000-0005-0000-0000-00003C450000}"/>
    <cellStyle name="Normal 28 4 10 9" xfId="17734" xr:uid="{00000000-0005-0000-0000-00003D450000}"/>
    <cellStyle name="Normal 28 4 10 9 2" xfId="17735" xr:uid="{00000000-0005-0000-0000-00003E450000}"/>
    <cellStyle name="Normal 28 4 10 9 3" xfId="17736" xr:uid="{00000000-0005-0000-0000-00003F450000}"/>
    <cellStyle name="Normal 28 4 11" xfId="17737" xr:uid="{00000000-0005-0000-0000-000040450000}"/>
    <cellStyle name="Normal 28 4 11 10" xfId="17738" xr:uid="{00000000-0005-0000-0000-000041450000}"/>
    <cellStyle name="Normal 28 4 11 10 2" xfId="17739" xr:uid="{00000000-0005-0000-0000-000042450000}"/>
    <cellStyle name="Normal 28 4 11 10 3" xfId="17740" xr:uid="{00000000-0005-0000-0000-000043450000}"/>
    <cellStyle name="Normal 28 4 11 11" xfId="17741" xr:uid="{00000000-0005-0000-0000-000044450000}"/>
    <cellStyle name="Normal 28 4 11 11 2" xfId="17742" xr:uid="{00000000-0005-0000-0000-000045450000}"/>
    <cellStyle name="Normal 28 4 11 11 3" xfId="17743" xr:uid="{00000000-0005-0000-0000-000046450000}"/>
    <cellStyle name="Normal 28 4 11 12" xfId="17744" xr:uid="{00000000-0005-0000-0000-000047450000}"/>
    <cellStyle name="Normal 28 4 11 12 2" xfId="17745" xr:uid="{00000000-0005-0000-0000-000048450000}"/>
    <cellStyle name="Normal 28 4 11 12 3" xfId="17746" xr:uid="{00000000-0005-0000-0000-000049450000}"/>
    <cellStyle name="Normal 28 4 11 13" xfId="17747" xr:uid="{00000000-0005-0000-0000-00004A450000}"/>
    <cellStyle name="Normal 28 4 11 13 2" xfId="17748" xr:uid="{00000000-0005-0000-0000-00004B450000}"/>
    <cellStyle name="Normal 28 4 11 13 3" xfId="17749" xr:uid="{00000000-0005-0000-0000-00004C450000}"/>
    <cellStyle name="Normal 28 4 11 14" xfId="17750" xr:uid="{00000000-0005-0000-0000-00004D450000}"/>
    <cellStyle name="Normal 28 4 11 14 2" xfId="17751" xr:uid="{00000000-0005-0000-0000-00004E450000}"/>
    <cellStyle name="Normal 28 4 11 14 3" xfId="17752" xr:uid="{00000000-0005-0000-0000-00004F450000}"/>
    <cellStyle name="Normal 28 4 11 15" xfId="17753" xr:uid="{00000000-0005-0000-0000-000050450000}"/>
    <cellStyle name="Normal 28 4 11 16" xfId="17754" xr:uid="{00000000-0005-0000-0000-000051450000}"/>
    <cellStyle name="Normal 28 4 11 2" xfId="17755" xr:uid="{00000000-0005-0000-0000-000052450000}"/>
    <cellStyle name="Normal 28 4 11 2 2" xfId="17756" xr:uid="{00000000-0005-0000-0000-000053450000}"/>
    <cellStyle name="Normal 28 4 11 2 3" xfId="17757" xr:uid="{00000000-0005-0000-0000-000054450000}"/>
    <cellStyle name="Normal 28 4 11 3" xfId="17758" xr:uid="{00000000-0005-0000-0000-000055450000}"/>
    <cellStyle name="Normal 28 4 11 3 2" xfId="17759" xr:uid="{00000000-0005-0000-0000-000056450000}"/>
    <cellStyle name="Normal 28 4 11 3 3" xfId="17760" xr:uid="{00000000-0005-0000-0000-000057450000}"/>
    <cellStyle name="Normal 28 4 11 4" xfId="17761" xr:uid="{00000000-0005-0000-0000-000058450000}"/>
    <cellStyle name="Normal 28 4 11 4 2" xfId="17762" xr:uid="{00000000-0005-0000-0000-000059450000}"/>
    <cellStyle name="Normal 28 4 11 4 3" xfId="17763" xr:uid="{00000000-0005-0000-0000-00005A450000}"/>
    <cellStyle name="Normal 28 4 11 5" xfId="17764" xr:uid="{00000000-0005-0000-0000-00005B450000}"/>
    <cellStyle name="Normal 28 4 11 5 2" xfId="17765" xr:uid="{00000000-0005-0000-0000-00005C450000}"/>
    <cellStyle name="Normal 28 4 11 5 3" xfId="17766" xr:uid="{00000000-0005-0000-0000-00005D450000}"/>
    <cellStyle name="Normal 28 4 11 6" xfId="17767" xr:uid="{00000000-0005-0000-0000-00005E450000}"/>
    <cellStyle name="Normal 28 4 11 6 2" xfId="17768" xr:uid="{00000000-0005-0000-0000-00005F450000}"/>
    <cellStyle name="Normal 28 4 11 6 3" xfId="17769" xr:uid="{00000000-0005-0000-0000-000060450000}"/>
    <cellStyle name="Normal 28 4 11 7" xfId="17770" xr:uid="{00000000-0005-0000-0000-000061450000}"/>
    <cellStyle name="Normal 28 4 11 7 2" xfId="17771" xr:uid="{00000000-0005-0000-0000-000062450000}"/>
    <cellStyle name="Normal 28 4 11 7 3" xfId="17772" xr:uid="{00000000-0005-0000-0000-000063450000}"/>
    <cellStyle name="Normal 28 4 11 8" xfId="17773" xr:uid="{00000000-0005-0000-0000-000064450000}"/>
    <cellStyle name="Normal 28 4 11 8 2" xfId="17774" xr:uid="{00000000-0005-0000-0000-000065450000}"/>
    <cellStyle name="Normal 28 4 11 8 3" xfId="17775" xr:uid="{00000000-0005-0000-0000-000066450000}"/>
    <cellStyle name="Normal 28 4 11 9" xfId="17776" xr:uid="{00000000-0005-0000-0000-000067450000}"/>
    <cellStyle name="Normal 28 4 11 9 2" xfId="17777" xr:uid="{00000000-0005-0000-0000-000068450000}"/>
    <cellStyle name="Normal 28 4 11 9 3" xfId="17778" xr:uid="{00000000-0005-0000-0000-000069450000}"/>
    <cellStyle name="Normal 28 4 12" xfId="17779" xr:uid="{00000000-0005-0000-0000-00006A450000}"/>
    <cellStyle name="Normal 28 4 12 10" xfId="17780" xr:uid="{00000000-0005-0000-0000-00006B450000}"/>
    <cellStyle name="Normal 28 4 12 10 2" xfId="17781" xr:uid="{00000000-0005-0000-0000-00006C450000}"/>
    <cellStyle name="Normal 28 4 12 10 3" xfId="17782" xr:uid="{00000000-0005-0000-0000-00006D450000}"/>
    <cellStyle name="Normal 28 4 12 11" xfId="17783" xr:uid="{00000000-0005-0000-0000-00006E450000}"/>
    <cellStyle name="Normal 28 4 12 11 2" xfId="17784" xr:uid="{00000000-0005-0000-0000-00006F450000}"/>
    <cellStyle name="Normal 28 4 12 11 3" xfId="17785" xr:uid="{00000000-0005-0000-0000-000070450000}"/>
    <cellStyle name="Normal 28 4 12 12" xfId="17786" xr:uid="{00000000-0005-0000-0000-000071450000}"/>
    <cellStyle name="Normal 28 4 12 12 2" xfId="17787" xr:uid="{00000000-0005-0000-0000-000072450000}"/>
    <cellStyle name="Normal 28 4 12 12 3" xfId="17788" xr:uid="{00000000-0005-0000-0000-000073450000}"/>
    <cellStyle name="Normal 28 4 12 13" xfId="17789" xr:uid="{00000000-0005-0000-0000-000074450000}"/>
    <cellStyle name="Normal 28 4 12 13 2" xfId="17790" xr:uid="{00000000-0005-0000-0000-000075450000}"/>
    <cellStyle name="Normal 28 4 12 13 3" xfId="17791" xr:uid="{00000000-0005-0000-0000-000076450000}"/>
    <cellStyle name="Normal 28 4 12 14" xfId="17792" xr:uid="{00000000-0005-0000-0000-000077450000}"/>
    <cellStyle name="Normal 28 4 12 14 2" xfId="17793" xr:uid="{00000000-0005-0000-0000-000078450000}"/>
    <cellStyle name="Normal 28 4 12 14 3" xfId="17794" xr:uid="{00000000-0005-0000-0000-000079450000}"/>
    <cellStyle name="Normal 28 4 12 15" xfId="17795" xr:uid="{00000000-0005-0000-0000-00007A450000}"/>
    <cellStyle name="Normal 28 4 12 16" xfId="17796" xr:uid="{00000000-0005-0000-0000-00007B450000}"/>
    <cellStyle name="Normal 28 4 12 2" xfId="17797" xr:uid="{00000000-0005-0000-0000-00007C450000}"/>
    <cellStyle name="Normal 28 4 12 2 2" xfId="17798" xr:uid="{00000000-0005-0000-0000-00007D450000}"/>
    <cellStyle name="Normal 28 4 12 2 3" xfId="17799" xr:uid="{00000000-0005-0000-0000-00007E450000}"/>
    <cellStyle name="Normal 28 4 12 3" xfId="17800" xr:uid="{00000000-0005-0000-0000-00007F450000}"/>
    <cellStyle name="Normal 28 4 12 3 2" xfId="17801" xr:uid="{00000000-0005-0000-0000-000080450000}"/>
    <cellStyle name="Normal 28 4 12 3 3" xfId="17802" xr:uid="{00000000-0005-0000-0000-000081450000}"/>
    <cellStyle name="Normal 28 4 12 4" xfId="17803" xr:uid="{00000000-0005-0000-0000-000082450000}"/>
    <cellStyle name="Normal 28 4 12 4 2" xfId="17804" xr:uid="{00000000-0005-0000-0000-000083450000}"/>
    <cellStyle name="Normal 28 4 12 4 3" xfId="17805" xr:uid="{00000000-0005-0000-0000-000084450000}"/>
    <cellStyle name="Normal 28 4 12 5" xfId="17806" xr:uid="{00000000-0005-0000-0000-000085450000}"/>
    <cellStyle name="Normal 28 4 12 5 2" xfId="17807" xr:uid="{00000000-0005-0000-0000-000086450000}"/>
    <cellStyle name="Normal 28 4 12 5 3" xfId="17808" xr:uid="{00000000-0005-0000-0000-000087450000}"/>
    <cellStyle name="Normal 28 4 12 6" xfId="17809" xr:uid="{00000000-0005-0000-0000-000088450000}"/>
    <cellStyle name="Normal 28 4 12 6 2" xfId="17810" xr:uid="{00000000-0005-0000-0000-000089450000}"/>
    <cellStyle name="Normal 28 4 12 6 3" xfId="17811" xr:uid="{00000000-0005-0000-0000-00008A450000}"/>
    <cellStyle name="Normal 28 4 12 7" xfId="17812" xr:uid="{00000000-0005-0000-0000-00008B450000}"/>
    <cellStyle name="Normal 28 4 12 7 2" xfId="17813" xr:uid="{00000000-0005-0000-0000-00008C450000}"/>
    <cellStyle name="Normal 28 4 12 7 3" xfId="17814" xr:uid="{00000000-0005-0000-0000-00008D450000}"/>
    <cellStyle name="Normal 28 4 12 8" xfId="17815" xr:uid="{00000000-0005-0000-0000-00008E450000}"/>
    <cellStyle name="Normal 28 4 12 8 2" xfId="17816" xr:uid="{00000000-0005-0000-0000-00008F450000}"/>
    <cellStyle name="Normal 28 4 12 8 3" xfId="17817" xr:uid="{00000000-0005-0000-0000-000090450000}"/>
    <cellStyle name="Normal 28 4 12 9" xfId="17818" xr:uid="{00000000-0005-0000-0000-000091450000}"/>
    <cellStyle name="Normal 28 4 12 9 2" xfId="17819" xr:uid="{00000000-0005-0000-0000-000092450000}"/>
    <cellStyle name="Normal 28 4 12 9 3" xfId="17820" xr:uid="{00000000-0005-0000-0000-000093450000}"/>
    <cellStyle name="Normal 28 4 13" xfId="17821" xr:uid="{00000000-0005-0000-0000-000094450000}"/>
    <cellStyle name="Normal 28 4 13 10" xfId="17822" xr:uid="{00000000-0005-0000-0000-000095450000}"/>
    <cellStyle name="Normal 28 4 13 10 2" xfId="17823" xr:uid="{00000000-0005-0000-0000-000096450000}"/>
    <cellStyle name="Normal 28 4 13 10 3" xfId="17824" xr:uid="{00000000-0005-0000-0000-000097450000}"/>
    <cellStyle name="Normal 28 4 13 11" xfId="17825" xr:uid="{00000000-0005-0000-0000-000098450000}"/>
    <cellStyle name="Normal 28 4 13 11 2" xfId="17826" xr:uid="{00000000-0005-0000-0000-000099450000}"/>
    <cellStyle name="Normal 28 4 13 11 3" xfId="17827" xr:uid="{00000000-0005-0000-0000-00009A450000}"/>
    <cellStyle name="Normal 28 4 13 12" xfId="17828" xr:uid="{00000000-0005-0000-0000-00009B450000}"/>
    <cellStyle name="Normal 28 4 13 12 2" xfId="17829" xr:uid="{00000000-0005-0000-0000-00009C450000}"/>
    <cellStyle name="Normal 28 4 13 12 3" xfId="17830" xr:uid="{00000000-0005-0000-0000-00009D450000}"/>
    <cellStyle name="Normal 28 4 13 13" xfId="17831" xr:uid="{00000000-0005-0000-0000-00009E450000}"/>
    <cellStyle name="Normal 28 4 13 13 2" xfId="17832" xr:uid="{00000000-0005-0000-0000-00009F450000}"/>
    <cellStyle name="Normal 28 4 13 13 3" xfId="17833" xr:uid="{00000000-0005-0000-0000-0000A0450000}"/>
    <cellStyle name="Normal 28 4 13 14" xfId="17834" xr:uid="{00000000-0005-0000-0000-0000A1450000}"/>
    <cellStyle name="Normal 28 4 13 14 2" xfId="17835" xr:uid="{00000000-0005-0000-0000-0000A2450000}"/>
    <cellStyle name="Normal 28 4 13 14 3" xfId="17836" xr:uid="{00000000-0005-0000-0000-0000A3450000}"/>
    <cellStyle name="Normal 28 4 13 15" xfId="17837" xr:uid="{00000000-0005-0000-0000-0000A4450000}"/>
    <cellStyle name="Normal 28 4 13 16" xfId="17838" xr:uid="{00000000-0005-0000-0000-0000A5450000}"/>
    <cellStyle name="Normal 28 4 13 2" xfId="17839" xr:uid="{00000000-0005-0000-0000-0000A6450000}"/>
    <cellStyle name="Normal 28 4 13 2 2" xfId="17840" xr:uid="{00000000-0005-0000-0000-0000A7450000}"/>
    <cellStyle name="Normal 28 4 13 2 3" xfId="17841" xr:uid="{00000000-0005-0000-0000-0000A8450000}"/>
    <cellStyle name="Normal 28 4 13 3" xfId="17842" xr:uid="{00000000-0005-0000-0000-0000A9450000}"/>
    <cellStyle name="Normal 28 4 13 3 2" xfId="17843" xr:uid="{00000000-0005-0000-0000-0000AA450000}"/>
    <cellStyle name="Normal 28 4 13 3 3" xfId="17844" xr:uid="{00000000-0005-0000-0000-0000AB450000}"/>
    <cellStyle name="Normal 28 4 13 4" xfId="17845" xr:uid="{00000000-0005-0000-0000-0000AC450000}"/>
    <cellStyle name="Normal 28 4 13 4 2" xfId="17846" xr:uid="{00000000-0005-0000-0000-0000AD450000}"/>
    <cellStyle name="Normal 28 4 13 4 3" xfId="17847" xr:uid="{00000000-0005-0000-0000-0000AE450000}"/>
    <cellStyle name="Normal 28 4 13 5" xfId="17848" xr:uid="{00000000-0005-0000-0000-0000AF450000}"/>
    <cellStyle name="Normal 28 4 13 5 2" xfId="17849" xr:uid="{00000000-0005-0000-0000-0000B0450000}"/>
    <cellStyle name="Normal 28 4 13 5 3" xfId="17850" xr:uid="{00000000-0005-0000-0000-0000B1450000}"/>
    <cellStyle name="Normal 28 4 13 6" xfId="17851" xr:uid="{00000000-0005-0000-0000-0000B2450000}"/>
    <cellStyle name="Normal 28 4 13 6 2" xfId="17852" xr:uid="{00000000-0005-0000-0000-0000B3450000}"/>
    <cellStyle name="Normal 28 4 13 6 3" xfId="17853" xr:uid="{00000000-0005-0000-0000-0000B4450000}"/>
    <cellStyle name="Normal 28 4 13 7" xfId="17854" xr:uid="{00000000-0005-0000-0000-0000B5450000}"/>
    <cellStyle name="Normal 28 4 13 7 2" xfId="17855" xr:uid="{00000000-0005-0000-0000-0000B6450000}"/>
    <cellStyle name="Normal 28 4 13 7 3" xfId="17856" xr:uid="{00000000-0005-0000-0000-0000B7450000}"/>
    <cellStyle name="Normal 28 4 13 8" xfId="17857" xr:uid="{00000000-0005-0000-0000-0000B8450000}"/>
    <cellStyle name="Normal 28 4 13 8 2" xfId="17858" xr:uid="{00000000-0005-0000-0000-0000B9450000}"/>
    <cellStyle name="Normal 28 4 13 8 3" xfId="17859" xr:uid="{00000000-0005-0000-0000-0000BA450000}"/>
    <cellStyle name="Normal 28 4 13 9" xfId="17860" xr:uid="{00000000-0005-0000-0000-0000BB450000}"/>
    <cellStyle name="Normal 28 4 13 9 2" xfId="17861" xr:uid="{00000000-0005-0000-0000-0000BC450000}"/>
    <cellStyle name="Normal 28 4 13 9 3" xfId="17862" xr:uid="{00000000-0005-0000-0000-0000BD450000}"/>
    <cellStyle name="Normal 28 4 14" xfId="17863" xr:uid="{00000000-0005-0000-0000-0000BE450000}"/>
    <cellStyle name="Normal 28 4 14 10" xfId="17864" xr:uid="{00000000-0005-0000-0000-0000BF450000}"/>
    <cellStyle name="Normal 28 4 14 10 2" xfId="17865" xr:uid="{00000000-0005-0000-0000-0000C0450000}"/>
    <cellStyle name="Normal 28 4 14 10 3" xfId="17866" xr:uid="{00000000-0005-0000-0000-0000C1450000}"/>
    <cellStyle name="Normal 28 4 14 11" xfId="17867" xr:uid="{00000000-0005-0000-0000-0000C2450000}"/>
    <cellStyle name="Normal 28 4 14 11 2" xfId="17868" xr:uid="{00000000-0005-0000-0000-0000C3450000}"/>
    <cellStyle name="Normal 28 4 14 11 3" xfId="17869" xr:uid="{00000000-0005-0000-0000-0000C4450000}"/>
    <cellStyle name="Normal 28 4 14 12" xfId="17870" xr:uid="{00000000-0005-0000-0000-0000C5450000}"/>
    <cellStyle name="Normal 28 4 14 12 2" xfId="17871" xr:uid="{00000000-0005-0000-0000-0000C6450000}"/>
    <cellStyle name="Normal 28 4 14 12 3" xfId="17872" xr:uid="{00000000-0005-0000-0000-0000C7450000}"/>
    <cellStyle name="Normal 28 4 14 13" xfId="17873" xr:uid="{00000000-0005-0000-0000-0000C8450000}"/>
    <cellStyle name="Normal 28 4 14 13 2" xfId="17874" xr:uid="{00000000-0005-0000-0000-0000C9450000}"/>
    <cellStyle name="Normal 28 4 14 13 3" xfId="17875" xr:uid="{00000000-0005-0000-0000-0000CA450000}"/>
    <cellStyle name="Normal 28 4 14 14" xfId="17876" xr:uid="{00000000-0005-0000-0000-0000CB450000}"/>
    <cellStyle name="Normal 28 4 14 14 2" xfId="17877" xr:uid="{00000000-0005-0000-0000-0000CC450000}"/>
    <cellStyle name="Normal 28 4 14 14 3" xfId="17878" xr:uid="{00000000-0005-0000-0000-0000CD450000}"/>
    <cellStyle name="Normal 28 4 14 15" xfId="17879" xr:uid="{00000000-0005-0000-0000-0000CE450000}"/>
    <cellStyle name="Normal 28 4 14 16" xfId="17880" xr:uid="{00000000-0005-0000-0000-0000CF450000}"/>
    <cellStyle name="Normal 28 4 14 2" xfId="17881" xr:uid="{00000000-0005-0000-0000-0000D0450000}"/>
    <cellStyle name="Normal 28 4 14 2 2" xfId="17882" xr:uid="{00000000-0005-0000-0000-0000D1450000}"/>
    <cellStyle name="Normal 28 4 14 2 3" xfId="17883" xr:uid="{00000000-0005-0000-0000-0000D2450000}"/>
    <cellStyle name="Normal 28 4 14 3" xfId="17884" xr:uid="{00000000-0005-0000-0000-0000D3450000}"/>
    <cellStyle name="Normal 28 4 14 3 2" xfId="17885" xr:uid="{00000000-0005-0000-0000-0000D4450000}"/>
    <cellStyle name="Normal 28 4 14 3 3" xfId="17886" xr:uid="{00000000-0005-0000-0000-0000D5450000}"/>
    <cellStyle name="Normal 28 4 14 4" xfId="17887" xr:uid="{00000000-0005-0000-0000-0000D6450000}"/>
    <cellStyle name="Normal 28 4 14 4 2" xfId="17888" xr:uid="{00000000-0005-0000-0000-0000D7450000}"/>
    <cellStyle name="Normal 28 4 14 4 3" xfId="17889" xr:uid="{00000000-0005-0000-0000-0000D8450000}"/>
    <cellStyle name="Normal 28 4 14 5" xfId="17890" xr:uid="{00000000-0005-0000-0000-0000D9450000}"/>
    <cellStyle name="Normal 28 4 14 5 2" xfId="17891" xr:uid="{00000000-0005-0000-0000-0000DA450000}"/>
    <cellStyle name="Normal 28 4 14 5 3" xfId="17892" xr:uid="{00000000-0005-0000-0000-0000DB450000}"/>
    <cellStyle name="Normal 28 4 14 6" xfId="17893" xr:uid="{00000000-0005-0000-0000-0000DC450000}"/>
    <cellStyle name="Normal 28 4 14 6 2" xfId="17894" xr:uid="{00000000-0005-0000-0000-0000DD450000}"/>
    <cellStyle name="Normal 28 4 14 6 3" xfId="17895" xr:uid="{00000000-0005-0000-0000-0000DE450000}"/>
    <cellStyle name="Normal 28 4 14 7" xfId="17896" xr:uid="{00000000-0005-0000-0000-0000DF450000}"/>
    <cellStyle name="Normal 28 4 14 7 2" xfId="17897" xr:uid="{00000000-0005-0000-0000-0000E0450000}"/>
    <cellStyle name="Normal 28 4 14 7 3" xfId="17898" xr:uid="{00000000-0005-0000-0000-0000E1450000}"/>
    <cellStyle name="Normal 28 4 14 8" xfId="17899" xr:uid="{00000000-0005-0000-0000-0000E2450000}"/>
    <cellStyle name="Normal 28 4 14 8 2" xfId="17900" xr:uid="{00000000-0005-0000-0000-0000E3450000}"/>
    <cellStyle name="Normal 28 4 14 8 3" xfId="17901" xr:uid="{00000000-0005-0000-0000-0000E4450000}"/>
    <cellStyle name="Normal 28 4 14 9" xfId="17902" xr:uid="{00000000-0005-0000-0000-0000E5450000}"/>
    <cellStyle name="Normal 28 4 14 9 2" xfId="17903" xr:uid="{00000000-0005-0000-0000-0000E6450000}"/>
    <cellStyle name="Normal 28 4 14 9 3" xfId="17904" xr:uid="{00000000-0005-0000-0000-0000E7450000}"/>
    <cellStyle name="Normal 28 4 15" xfId="17905" xr:uid="{00000000-0005-0000-0000-0000E8450000}"/>
    <cellStyle name="Normal 28 4 15 10" xfId="17906" xr:uid="{00000000-0005-0000-0000-0000E9450000}"/>
    <cellStyle name="Normal 28 4 15 10 2" xfId="17907" xr:uid="{00000000-0005-0000-0000-0000EA450000}"/>
    <cellStyle name="Normal 28 4 15 10 3" xfId="17908" xr:uid="{00000000-0005-0000-0000-0000EB450000}"/>
    <cellStyle name="Normal 28 4 15 11" xfId="17909" xr:uid="{00000000-0005-0000-0000-0000EC450000}"/>
    <cellStyle name="Normal 28 4 15 11 2" xfId="17910" xr:uid="{00000000-0005-0000-0000-0000ED450000}"/>
    <cellStyle name="Normal 28 4 15 11 3" xfId="17911" xr:uid="{00000000-0005-0000-0000-0000EE450000}"/>
    <cellStyle name="Normal 28 4 15 12" xfId="17912" xr:uid="{00000000-0005-0000-0000-0000EF450000}"/>
    <cellStyle name="Normal 28 4 15 12 2" xfId="17913" xr:uid="{00000000-0005-0000-0000-0000F0450000}"/>
    <cellStyle name="Normal 28 4 15 12 3" xfId="17914" xr:uid="{00000000-0005-0000-0000-0000F1450000}"/>
    <cellStyle name="Normal 28 4 15 13" xfId="17915" xr:uid="{00000000-0005-0000-0000-0000F2450000}"/>
    <cellStyle name="Normal 28 4 15 13 2" xfId="17916" xr:uid="{00000000-0005-0000-0000-0000F3450000}"/>
    <cellStyle name="Normal 28 4 15 13 3" xfId="17917" xr:uid="{00000000-0005-0000-0000-0000F4450000}"/>
    <cellStyle name="Normal 28 4 15 14" xfId="17918" xr:uid="{00000000-0005-0000-0000-0000F5450000}"/>
    <cellStyle name="Normal 28 4 15 14 2" xfId="17919" xr:uid="{00000000-0005-0000-0000-0000F6450000}"/>
    <cellStyle name="Normal 28 4 15 14 3" xfId="17920" xr:uid="{00000000-0005-0000-0000-0000F7450000}"/>
    <cellStyle name="Normal 28 4 15 15" xfId="17921" xr:uid="{00000000-0005-0000-0000-0000F8450000}"/>
    <cellStyle name="Normal 28 4 15 16" xfId="17922" xr:uid="{00000000-0005-0000-0000-0000F9450000}"/>
    <cellStyle name="Normal 28 4 15 2" xfId="17923" xr:uid="{00000000-0005-0000-0000-0000FA450000}"/>
    <cellStyle name="Normal 28 4 15 2 2" xfId="17924" xr:uid="{00000000-0005-0000-0000-0000FB450000}"/>
    <cellStyle name="Normal 28 4 15 2 3" xfId="17925" xr:uid="{00000000-0005-0000-0000-0000FC450000}"/>
    <cellStyle name="Normal 28 4 15 3" xfId="17926" xr:uid="{00000000-0005-0000-0000-0000FD450000}"/>
    <cellStyle name="Normal 28 4 15 3 2" xfId="17927" xr:uid="{00000000-0005-0000-0000-0000FE450000}"/>
    <cellStyle name="Normal 28 4 15 3 3" xfId="17928" xr:uid="{00000000-0005-0000-0000-0000FF450000}"/>
    <cellStyle name="Normal 28 4 15 4" xfId="17929" xr:uid="{00000000-0005-0000-0000-000000460000}"/>
    <cellStyle name="Normal 28 4 15 4 2" xfId="17930" xr:uid="{00000000-0005-0000-0000-000001460000}"/>
    <cellStyle name="Normal 28 4 15 4 3" xfId="17931" xr:uid="{00000000-0005-0000-0000-000002460000}"/>
    <cellStyle name="Normal 28 4 15 5" xfId="17932" xr:uid="{00000000-0005-0000-0000-000003460000}"/>
    <cellStyle name="Normal 28 4 15 5 2" xfId="17933" xr:uid="{00000000-0005-0000-0000-000004460000}"/>
    <cellStyle name="Normal 28 4 15 5 3" xfId="17934" xr:uid="{00000000-0005-0000-0000-000005460000}"/>
    <cellStyle name="Normal 28 4 15 6" xfId="17935" xr:uid="{00000000-0005-0000-0000-000006460000}"/>
    <cellStyle name="Normal 28 4 15 6 2" xfId="17936" xr:uid="{00000000-0005-0000-0000-000007460000}"/>
    <cellStyle name="Normal 28 4 15 6 3" xfId="17937" xr:uid="{00000000-0005-0000-0000-000008460000}"/>
    <cellStyle name="Normal 28 4 15 7" xfId="17938" xr:uid="{00000000-0005-0000-0000-000009460000}"/>
    <cellStyle name="Normal 28 4 15 7 2" xfId="17939" xr:uid="{00000000-0005-0000-0000-00000A460000}"/>
    <cellStyle name="Normal 28 4 15 7 3" xfId="17940" xr:uid="{00000000-0005-0000-0000-00000B460000}"/>
    <cellStyle name="Normal 28 4 15 8" xfId="17941" xr:uid="{00000000-0005-0000-0000-00000C460000}"/>
    <cellStyle name="Normal 28 4 15 8 2" xfId="17942" xr:uid="{00000000-0005-0000-0000-00000D460000}"/>
    <cellStyle name="Normal 28 4 15 8 3" xfId="17943" xr:uid="{00000000-0005-0000-0000-00000E460000}"/>
    <cellStyle name="Normal 28 4 15 9" xfId="17944" xr:uid="{00000000-0005-0000-0000-00000F460000}"/>
    <cellStyle name="Normal 28 4 15 9 2" xfId="17945" xr:uid="{00000000-0005-0000-0000-000010460000}"/>
    <cellStyle name="Normal 28 4 15 9 3" xfId="17946" xr:uid="{00000000-0005-0000-0000-000011460000}"/>
    <cellStyle name="Normal 28 4 16" xfId="17947" xr:uid="{00000000-0005-0000-0000-000012460000}"/>
    <cellStyle name="Normal 28 4 16 2" xfId="17948" xr:uid="{00000000-0005-0000-0000-000013460000}"/>
    <cellStyle name="Normal 28 4 16 3" xfId="17949" xr:uid="{00000000-0005-0000-0000-000014460000}"/>
    <cellStyle name="Normal 28 4 17" xfId="17950" xr:uid="{00000000-0005-0000-0000-000015460000}"/>
    <cellStyle name="Normal 28 4 17 2" xfId="17951" xr:uid="{00000000-0005-0000-0000-000016460000}"/>
    <cellStyle name="Normal 28 4 17 3" xfId="17952" xr:uid="{00000000-0005-0000-0000-000017460000}"/>
    <cellStyle name="Normal 28 4 18" xfId="17953" xr:uid="{00000000-0005-0000-0000-000018460000}"/>
    <cellStyle name="Normal 28 4 18 2" xfId="17954" xr:uid="{00000000-0005-0000-0000-000019460000}"/>
    <cellStyle name="Normal 28 4 18 3" xfId="17955" xr:uid="{00000000-0005-0000-0000-00001A460000}"/>
    <cellStyle name="Normal 28 4 19" xfId="17956" xr:uid="{00000000-0005-0000-0000-00001B460000}"/>
    <cellStyle name="Normal 28 4 19 2" xfId="17957" xr:uid="{00000000-0005-0000-0000-00001C460000}"/>
    <cellStyle name="Normal 28 4 19 3" xfId="17958" xr:uid="{00000000-0005-0000-0000-00001D460000}"/>
    <cellStyle name="Normal 28 4 2" xfId="17959" xr:uid="{00000000-0005-0000-0000-00001E460000}"/>
    <cellStyle name="Normal 28 4 2 10" xfId="17960" xr:uid="{00000000-0005-0000-0000-00001F460000}"/>
    <cellStyle name="Normal 28 4 2 10 2" xfId="17961" xr:uid="{00000000-0005-0000-0000-000020460000}"/>
    <cellStyle name="Normal 28 4 2 10 3" xfId="17962" xr:uid="{00000000-0005-0000-0000-000021460000}"/>
    <cellStyle name="Normal 28 4 2 11" xfId="17963" xr:uid="{00000000-0005-0000-0000-000022460000}"/>
    <cellStyle name="Normal 28 4 2 11 2" xfId="17964" xr:uid="{00000000-0005-0000-0000-000023460000}"/>
    <cellStyle name="Normal 28 4 2 11 3" xfId="17965" xr:uid="{00000000-0005-0000-0000-000024460000}"/>
    <cellStyle name="Normal 28 4 2 12" xfId="17966" xr:uid="{00000000-0005-0000-0000-000025460000}"/>
    <cellStyle name="Normal 28 4 2 12 2" xfId="17967" xr:uid="{00000000-0005-0000-0000-000026460000}"/>
    <cellStyle name="Normal 28 4 2 12 3" xfId="17968" xr:uid="{00000000-0005-0000-0000-000027460000}"/>
    <cellStyle name="Normal 28 4 2 13" xfId="17969" xr:uid="{00000000-0005-0000-0000-000028460000}"/>
    <cellStyle name="Normal 28 4 2 13 2" xfId="17970" xr:uid="{00000000-0005-0000-0000-000029460000}"/>
    <cellStyle name="Normal 28 4 2 13 3" xfId="17971" xr:uid="{00000000-0005-0000-0000-00002A460000}"/>
    <cellStyle name="Normal 28 4 2 14" xfId="17972" xr:uid="{00000000-0005-0000-0000-00002B460000}"/>
    <cellStyle name="Normal 28 4 2 14 2" xfId="17973" xr:uid="{00000000-0005-0000-0000-00002C460000}"/>
    <cellStyle name="Normal 28 4 2 14 3" xfId="17974" xr:uid="{00000000-0005-0000-0000-00002D460000}"/>
    <cellStyle name="Normal 28 4 2 15" xfId="17975" xr:uid="{00000000-0005-0000-0000-00002E460000}"/>
    <cellStyle name="Normal 28 4 2 15 2" xfId="17976" xr:uid="{00000000-0005-0000-0000-00002F460000}"/>
    <cellStyle name="Normal 28 4 2 15 3" xfId="17977" xr:uid="{00000000-0005-0000-0000-000030460000}"/>
    <cellStyle name="Normal 28 4 2 16" xfId="17978" xr:uid="{00000000-0005-0000-0000-000031460000}"/>
    <cellStyle name="Normal 28 4 2 17" xfId="17979" xr:uid="{00000000-0005-0000-0000-000032460000}"/>
    <cellStyle name="Normal 28 4 2 2" xfId="17980" xr:uid="{00000000-0005-0000-0000-000033460000}"/>
    <cellStyle name="Normal 28 4 2 2 10" xfId="17981" xr:uid="{00000000-0005-0000-0000-000034460000}"/>
    <cellStyle name="Normal 28 4 2 2 10 2" xfId="17982" xr:uid="{00000000-0005-0000-0000-000035460000}"/>
    <cellStyle name="Normal 28 4 2 2 10 3" xfId="17983" xr:uid="{00000000-0005-0000-0000-000036460000}"/>
    <cellStyle name="Normal 28 4 2 2 11" xfId="17984" xr:uid="{00000000-0005-0000-0000-000037460000}"/>
    <cellStyle name="Normal 28 4 2 2 11 2" xfId="17985" xr:uid="{00000000-0005-0000-0000-000038460000}"/>
    <cellStyle name="Normal 28 4 2 2 11 3" xfId="17986" xr:uid="{00000000-0005-0000-0000-000039460000}"/>
    <cellStyle name="Normal 28 4 2 2 12" xfId="17987" xr:uid="{00000000-0005-0000-0000-00003A460000}"/>
    <cellStyle name="Normal 28 4 2 2 12 2" xfId="17988" xr:uid="{00000000-0005-0000-0000-00003B460000}"/>
    <cellStyle name="Normal 28 4 2 2 12 3" xfId="17989" xr:uid="{00000000-0005-0000-0000-00003C460000}"/>
    <cellStyle name="Normal 28 4 2 2 13" xfId="17990" xr:uid="{00000000-0005-0000-0000-00003D460000}"/>
    <cellStyle name="Normal 28 4 2 2 13 2" xfId="17991" xr:uid="{00000000-0005-0000-0000-00003E460000}"/>
    <cellStyle name="Normal 28 4 2 2 13 3" xfId="17992" xr:uid="{00000000-0005-0000-0000-00003F460000}"/>
    <cellStyle name="Normal 28 4 2 2 14" xfId="17993" xr:uid="{00000000-0005-0000-0000-000040460000}"/>
    <cellStyle name="Normal 28 4 2 2 14 2" xfId="17994" xr:uid="{00000000-0005-0000-0000-000041460000}"/>
    <cellStyle name="Normal 28 4 2 2 14 3" xfId="17995" xr:uid="{00000000-0005-0000-0000-000042460000}"/>
    <cellStyle name="Normal 28 4 2 2 15" xfId="17996" xr:uid="{00000000-0005-0000-0000-000043460000}"/>
    <cellStyle name="Normal 28 4 2 2 16" xfId="17997" xr:uid="{00000000-0005-0000-0000-000044460000}"/>
    <cellStyle name="Normal 28 4 2 2 2" xfId="17998" xr:uid="{00000000-0005-0000-0000-000045460000}"/>
    <cellStyle name="Normal 28 4 2 2 2 2" xfId="17999" xr:uid="{00000000-0005-0000-0000-000046460000}"/>
    <cellStyle name="Normal 28 4 2 2 2 3" xfId="18000" xr:uid="{00000000-0005-0000-0000-000047460000}"/>
    <cellStyle name="Normal 28 4 2 2 3" xfId="18001" xr:uid="{00000000-0005-0000-0000-000048460000}"/>
    <cellStyle name="Normal 28 4 2 2 3 2" xfId="18002" xr:uid="{00000000-0005-0000-0000-000049460000}"/>
    <cellStyle name="Normal 28 4 2 2 3 3" xfId="18003" xr:uid="{00000000-0005-0000-0000-00004A460000}"/>
    <cellStyle name="Normal 28 4 2 2 4" xfId="18004" xr:uid="{00000000-0005-0000-0000-00004B460000}"/>
    <cellStyle name="Normal 28 4 2 2 4 2" xfId="18005" xr:uid="{00000000-0005-0000-0000-00004C460000}"/>
    <cellStyle name="Normal 28 4 2 2 4 3" xfId="18006" xr:uid="{00000000-0005-0000-0000-00004D460000}"/>
    <cellStyle name="Normal 28 4 2 2 5" xfId="18007" xr:uid="{00000000-0005-0000-0000-00004E460000}"/>
    <cellStyle name="Normal 28 4 2 2 5 2" xfId="18008" xr:uid="{00000000-0005-0000-0000-00004F460000}"/>
    <cellStyle name="Normal 28 4 2 2 5 3" xfId="18009" xr:uid="{00000000-0005-0000-0000-000050460000}"/>
    <cellStyle name="Normal 28 4 2 2 6" xfId="18010" xr:uid="{00000000-0005-0000-0000-000051460000}"/>
    <cellStyle name="Normal 28 4 2 2 6 2" xfId="18011" xr:uid="{00000000-0005-0000-0000-000052460000}"/>
    <cellStyle name="Normal 28 4 2 2 6 3" xfId="18012" xr:uid="{00000000-0005-0000-0000-000053460000}"/>
    <cellStyle name="Normal 28 4 2 2 7" xfId="18013" xr:uid="{00000000-0005-0000-0000-000054460000}"/>
    <cellStyle name="Normal 28 4 2 2 7 2" xfId="18014" xr:uid="{00000000-0005-0000-0000-000055460000}"/>
    <cellStyle name="Normal 28 4 2 2 7 3" xfId="18015" xr:uid="{00000000-0005-0000-0000-000056460000}"/>
    <cellStyle name="Normal 28 4 2 2 8" xfId="18016" xr:uid="{00000000-0005-0000-0000-000057460000}"/>
    <cellStyle name="Normal 28 4 2 2 8 2" xfId="18017" xr:uid="{00000000-0005-0000-0000-000058460000}"/>
    <cellStyle name="Normal 28 4 2 2 8 3" xfId="18018" xr:uid="{00000000-0005-0000-0000-000059460000}"/>
    <cellStyle name="Normal 28 4 2 2 9" xfId="18019" xr:uid="{00000000-0005-0000-0000-00005A460000}"/>
    <cellStyle name="Normal 28 4 2 2 9 2" xfId="18020" xr:uid="{00000000-0005-0000-0000-00005B460000}"/>
    <cellStyle name="Normal 28 4 2 2 9 3" xfId="18021" xr:uid="{00000000-0005-0000-0000-00005C460000}"/>
    <cellStyle name="Normal 28 4 2 3" xfId="18022" xr:uid="{00000000-0005-0000-0000-00005D460000}"/>
    <cellStyle name="Normal 28 4 2 3 2" xfId="18023" xr:uid="{00000000-0005-0000-0000-00005E460000}"/>
    <cellStyle name="Normal 28 4 2 3 3" xfId="18024" xr:uid="{00000000-0005-0000-0000-00005F460000}"/>
    <cellStyle name="Normal 28 4 2 4" xfId="18025" xr:uid="{00000000-0005-0000-0000-000060460000}"/>
    <cellStyle name="Normal 28 4 2 4 2" xfId="18026" xr:uid="{00000000-0005-0000-0000-000061460000}"/>
    <cellStyle name="Normal 28 4 2 4 3" xfId="18027" xr:uid="{00000000-0005-0000-0000-000062460000}"/>
    <cellStyle name="Normal 28 4 2 5" xfId="18028" xr:uid="{00000000-0005-0000-0000-000063460000}"/>
    <cellStyle name="Normal 28 4 2 5 2" xfId="18029" xr:uid="{00000000-0005-0000-0000-000064460000}"/>
    <cellStyle name="Normal 28 4 2 5 3" xfId="18030" xr:uid="{00000000-0005-0000-0000-000065460000}"/>
    <cellStyle name="Normal 28 4 2 6" xfId="18031" xr:uid="{00000000-0005-0000-0000-000066460000}"/>
    <cellStyle name="Normal 28 4 2 6 2" xfId="18032" xr:uid="{00000000-0005-0000-0000-000067460000}"/>
    <cellStyle name="Normal 28 4 2 6 3" xfId="18033" xr:uid="{00000000-0005-0000-0000-000068460000}"/>
    <cellStyle name="Normal 28 4 2 7" xfId="18034" xr:uid="{00000000-0005-0000-0000-000069460000}"/>
    <cellStyle name="Normal 28 4 2 7 2" xfId="18035" xr:uid="{00000000-0005-0000-0000-00006A460000}"/>
    <cellStyle name="Normal 28 4 2 7 3" xfId="18036" xr:uid="{00000000-0005-0000-0000-00006B460000}"/>
    <cellStyle name="Normal 28 4 2 8" xfId="18037" xr:uid="{00000000-0005-0000-0000-00006C460000}"/>
    <cellStyle name="Normal 28 4 2 8 2" xfId="18038" xr:uid="{00000000-0005-0000-0000-00006D460000}"/>
    <cellStyle name="Normal 28 4 2 8 3" xfId="18039" xr:uid="{00000000-0005-0000-0000-00006E460000}"/>
    <cellStyle name="Normal 28 4 2 9" xfId="18040" xr:uid="{00000000-0005-0000-0000-00006F460000}"/>
    <cellStyle name="Normal 28 4 2 9 2" xfId="18041" xr:uid="{00000000-0005-0000-0000-000070460000}"/>
    <cellStyle name="Normal 28 4 2 9 3" xfId="18042" xr:uid="{00000000-0005-0000-0000-000071460000}"/>
    <cellStyle name="Normal 28 4 20" xfId="18043" xr:uid="{00000000-0005-0000-0000-000072460000}"/>
    <cellStyle name="Normal 28 4 20 2" xfId="18044" xr:uid="{00000000-0005-0000-0000-000073460000}"/>
    <cellStyle name="Normal 28 4 20 3" xfId="18045" xr:uid="{00000000-0005-0000-0000-000074460000}"/>
    <cellStyle name="Normal 28 4 21" xfId="18046" xr:uid="{00000000-0005-0000-0000-000075460000}"/>
    <cellStyle name="Normal 28 4 21 2" xfId="18047" xr:uid="{00000000-0005-0000-0000-000076460000}"/>
    <cellStyle name="Normal 28 4 21 3" xfId="18048" xr:uid="{00000000-0005-0000-0000-000077460000}"/>
    <cellStyle name="Normal 28 4 22" xfId="18049" xr:uid="{00000000-0005-0000-0000-000078460000}"/>
    <cellStyle name="Normal 28 4 22 2" xfId="18050" xr:uid="{00000000-0005-0000-0000-000079460000}"/>
    <cellStyle name="Normal 28 4 22 3" xfId="18051" xr:uid="{00000000-0005-0000-0000-00007A460000}"/>
    <cellStyle name="Normal 28 4 23" xfId="18052" xr:uid="{00000000-0005-0000-0000-00007B460000}"/>
    <cellStyle name="Normal 28 4 23 2" xfId="18053" xr:uid="{00000000-0005-0000-0000-00007C460000}"/>
    <cellStyle name="Normal 28 4 23 3" xfId="18054" xr:uid="{00000000-0005-0000-0000-00007D460000}"/>
    <cellStyle name="Normal 28 4 24" xfId="18055" xr:uid="{00000000-0005-0000-0000-00007E460000}"/>
    <cellStyle name="Normal 28 4 24 2" xfId="18056" xr:uid="{00000000-0005-0000-0000-00007F460000}"/>
    <cellStyle name="Normal 28 4 24 3" xfId="18057" xr:uid="{00000000-0005-0000-0000-000080460000}"/>
    <cellStyle name="Normal 28 4 25" xfId="18058" xr:uid="{00000000-0005-0000-0000-000081460000}"/>
    <cellStyle name="Normal 28 4 25 2" xfId="18059" xr:uid="{00000000-0005-0000-0000-000082460000}"/>
    <cellStyle name="Normal 28 4 25 3" xfId="18060" xr:uid="{00000000-0005-0000-0000-000083460000}"/>
    <cellStyle name="Normal 28 4 26" xfId="18061" xr:uid="{00000000-0005-0000-0000-000084460000}"/>
    <cellStyle name="Normal 28 4 26 2" xfId="18062" xr:uid="{00000000-0005-0000-0000-000085460000}"/>
    <cellStyle name="Normal 28 4 26 3" xfId="18063" xr:uid="{00000000-0005-0000-0000-000086460000}"/>
    <cellStyle name="Normal 28 4 27" xfId="18064" xr:uid="{00000000-0005-0000-0000-000087460000}"/>
    <cellStyle name="Normal 28 4 27 2" xfId="18065" xr:uid="{00000000-0005-0000-0000-000088460000}"/>
    <cellStyle name="Normal 28 4 27 3" xfId="18066" xr:uid="{00000000-0005-0000-0000-000089460000}"/>
    <cellStyle name="Normal 28 4 28" xfId="18067" xr:uid="{00000000-0005-0000-0000-00008A460000}"/>
    <cellStyle name="Normal 28 4 28 2" xfId="18068" xr:uid="{00000000-0005-0000-0000-00008B460000}"/>
    <cellStyle name="Normal 28 4 28 3" xfId="18069" xr:uid="{00000000-0005-0000-0000-00008C460000}"/>
    <cellStyle name="Normal 28 4 29" xfId="18070" xr:uid="{00000000-0005-0000-0000-00008D460000}"/>
    <cellStyle name="Normal 28 4 3" xfId="18071" xr:uid="{00000000-0005-0000-0000-00008E460000}"/>
    <cellStyle name="Normal 28 4 3 10" xfId="18072" xr:uid="{00000000-0005-0000-0000-00008F460000}"/>
    <cellStyle name="Normal 28 4 3 10 2" xfId="18073" xr:uid="{00000000-0005-0000-0000-000090460000}"/>
    <cellStyle name="Normal 28 4 3 10 3" xfId="18074" xr:uid="{00000000-0005-0000-0000-000091460000}"/>
    <cellStyle name="Normal 28 4 3 11" xfId="18075" xr:uid="{00000000-0005-0000-0000-000092460000}"/>
    <cellStyle name="Normal 28 4 3 11 2" xfId="18076" xr:uid="{00000000-0005-0000-0000-000093460000}"/>
    <cellStyle name="Normal 28 4 3 11 3" xfId="18077" xr:uid="{00000000-0005-0000-0000-000094460000}"/>
    <cellStyle name="Normal 28 4 3 12" xfId="18078" xr:uid="{00000000-0005-0000-0000-000095460000}"/>
    <cellStyle name="Normal 28 4 3 12 2" xfId="18079" xr:uid="{00000000-0005-0000-0000-000096460000}"/>
    <cellStyle name="Normal 28 4 3 12 3" xfId="18080" xr:uid="{00000000-0005-0000-0000-000097460000}"/>
    <cellStyle name="Normal 28 4 3 13" xfId="18081" xr:uid="{00000000-0005-0000-0000-000098460000}"/>
    <cellStyle name="Normal 28 4 3 13 2" xfId="18082" xr:uid="{00000000-0005-0000-0000-000099460000}"/>
    <cellStyle name="Normal 28 4 3 13 3" xfId="18083" xr:uid="{00000000-0005-0000-0000-00009A460000}"/>
    <cellStyle name="Normal 28 4 3 14" xfId="18084" xr:uid="{00000000-0005-0000-0000-00009B460000}"/>
    <cellStyle name="Normal 28 4 3 14 2" xfId="18085" xr:uid="{00000000-0005-0000-0000-00009C460000}"/>
    <cellStyle name="Normal 28 4 3 14 3" xfId="18086" xr:uid="{00000000-0005-0000-0000-00009D460000}"/>
    <cellStyle name="Normal 28 4 3 15" xfId="18087" xr:uid="{00000000-0005-0000-0000-00009E460000}"/>
    <cellStyle name="Normal 28 4 3 15 2" xfId="18088" xr:uid="{00000000-0005-0000-0000-00009F460000}"/>
    <cellStyle name="Normal 28 4 3 15 3" xfId="18089" xr:uid="{00000000-0005-0000-0000-0000A0460000}"/>
    <cellStyle name="Normal 28 4 3 16" xfId="18090" xr:uid="{00000000-0005-0000-0000-0000A1460000}"/>
    <cellStyle name="Normal 28 4 3 17" xfId="18091" xr:uid="{00000000-0005-0000-0000-0000A2460000}"/>
    <cellStyle name="Normal 28 4 3 2" xfId="18092" xr:uid="{00000000-0005-0000-0000-0000A3460000}"/>
    <cellStyle name="Normal 28 4 3 2 10" xfId="18093" xr:uid="{00000000-0005-0000-0000-0000A4460000}"/>
    <cellStyle name="Normal 28 4 3 2 10 2" xfId="18094" xr:uid="{00000000-0005-0000-0000-0000A5460000}"/>
    <cellStyle name="Normal 28 4 3 2 10 3" xfId="18095" xr:uid="{00000000-0005-0000-0000-0000A6460000}"/>
    <cellStyle name="Normal 28 4 3 2 11" xfId="18096" xr:uid="{00000000-0005-0000-0000-0000A7460000}"/>
    <cellStyle name="Normal 28 4 3 2 11 2" xfId="18097" xr:uid="{00000000-0005-0000-0000-0000A8460000}"/>
    <cellStyle name="Normal 28 4 3 2 11 3" xfId="18098" xr:uid="{00000000-0005-0000-0000-0000A9460000}"/>
    <cellStyle name="Normal 28 4 3 2 12" xfId="18099" xr:uid="{00000000-0005-0000-0000-0000AA460000}"/>
    <cellStyle name="Normal 28 4 3 2 12 2" xfId="18100" xr:uid="{00000000-0005-0000-0000-0000AB460000}"/>
    <cellStyle name="Normal 28 4 3 2 12 3" xfId="18101" xr:uid="{00000000-0005-0000-0000-0000AC460000}"/>
    <cellStyle name="Normal 28 4 3 2 13" xfId="18102" xr:uid="{00000000-0005-0000-0000-0000AD460000}"/>
    <cellStyle name="Normal 28 4 3 2 13 2" xfId="18103" xr:uid="{00000000-0005-0000-0000-0000AE460000}"/>
    <cellStyle name="Normal 28 4 3 2 13 3" xfId="18104" xr:uid="{00000000-0005-0000-0000-0000AF460000}"/>
    <cellStyle name="Normal 28 4 3 2 14" xfId="18105" xr:uid="{00000000-0005-0000-0000-0000B0460000}"/>
    <cellStyle name="Normal 28 4 3 2 14 2" xfId="18106" xr:uid="{00000000-0005-0000-0000-0000B1460000}"/>
    <cellStyle name="Normal 28 4 3 2 14 3" xfId="18107" xr:uid="{00000000-0005-0000-0000-0000B2460000}"/>
    <cellStyle name="Normal 28 4 3 2 15" xfId="18108" xr:uid="{00000000-0005-0000-0000-0000B3460000}"/>
    <cellStyle name="Normal 28 4 3 2 16" xfId="18109" xr:uid="{00000000-0005-0000-0000-0000B4460000}"/>
    <cellStyle name="Normal 28 4 3 2 2" xfId="18110" xr:uid="{00000000-0005-0000-0000-0000B5460000}"/>
    <cellStyle name="Normal 28 4 3 2 2 2" xfId="18111" xr:uid="{00000000-0005-0000-0000-0000B6460000}"/>
    <cellStyle name="Normal 28 4 3 2 2 3" xfId="18112" xr:uid="{00000000-0005-0000-0000-0000B7460000}"/>
    <cellStyle name="Normal 28 4 3 2 3" xfId="18113" xr:uid="{00000000-0005-0000-0000-0000B8460000}"/>
    <cellStyle name="Normal 28 4 3 2 3 2" xfId="18114" xr:uid="{00000000-0005-0000-0000-0000B9460000}"/>
    <cellStyle name="Normal 28 4 3 2 3 3" xfId="18115" xr:uid="{00000000-0005-0000-0000-0000BA460000}"/>
    <cellStyle name="Normal 28 4 3 2 4" xfId="18116" xr:uid="{00000000-0005-0000-0000-0000BB460000}"/>
    <cellStyle name="Normal 28 4 3 2 4 2" xfId="18117" xr:uid="{00000000-0005-0000-0000-0000BC460000}"/>
    <cellStyle name="Normal 28 4 3 2 4 3" xfId="18118" xr:uid="{00000000-0005-0000-0000-0000BD460000}"/>
    <cellStyle name="Normal 28 4 3 2 5" xfId="18119" xr:uid="{00000000-0005-0000-0000-0000BE460000}"/>
    <cellStyle name="Normal 28 4 3 2 5 2" xfId="18120" xr:uid="{00000000-0005-0000-0000-0000BF460000}"/>
    <cellStyle name="Normal 28 4 3 2 5 3" xfId="18121" xr:uid="{00000000-0005-0000-0000-0000C0460000}"/>
    <cellStyle name="Normal 28 4 3 2 6" xfId="18122" xr:uid="{00000000-0005-0000-0000-0000C1460000}"/>
    <cellStyle name="Normal 28 4 3 2 6 2" xfId="18123" xr:uid="{00000000-0005-0000-0000-0000C2460000}"/>
    <cellStyle name="Normal 28 4 3 2 6 3" xfId="18124" xr:uid="{00000000-0005-0000-0000-0000C3460000}"/>
    <cellStyle name="Normal 28 4 3 2 7" xfId="18125" xr:uid="{00000000-0005-0000-0000-0000C4460000}"/>
    <cellStyle name="Normal 28 4 3 2 7 2" xfId="18126" xr:uid="{00000000-0005-0000-0000-0000C5460000}"/>
    <cellStyle name="Normal 28 4 3 2 7 3" xfId="18127" xr:uid="{00000000-0005-0000-0000-0000C6460000}"/>
    <cellStyle name="Normal 28 4 3 2 8" xfId="18128" xr:uid="{00000000-0005-0000-0000-0000C7460000}"/>
    <cellStyle name="Normal 28 4 3 2 8 2" xfId="18129" xr:uid="{00000000-0005-0000-0000-0000C8460000}"/>
    <cellStyle name="Normal 28 4 3 2 8 3" xfId="18130" xr:uid="{00000000-0005-0000-0000-0000C9460000}"/>
    <cellStyle name="Normal 28 4 3 2 9" xfId="18131" xr:uid="{00000000-0005-0000-0000-0000CA460000}"/>
    <cellStyle name="Normal 28 4 3 2 9 2" xfId="18132" xr:uid="{00000000-0005-0000-0000-0000CB460000}"/>
    <cellStyle name="Normal 28 4 3 2 9 3" xfId="18133" xr:uid="{00000000-0005-0000-0000-0000CC460000}"/>
    <cellStyle name="Normal 28 4 3 3" xfId="18134" xr:uid="{00000000-0005-0000-0000-0000CD460000}"/>
    <cellStyle name="Normal 28 4 3 3 2" xfId="18135" xr:uid="{00000000-0005-0000-0000-0000CE460000}"/>
    <cellStyle name="Normal 28 4 3 3 3" xfId="18136" xr:uid="{00000000-0005-0000-0000-0000CF460000}"/>
    <cellStyle name="Normal 28 4 3 4" xfId="18137" xr:uid="{00000000-0005-0000-0000-0000D0460000}"/>
    <cellStyle name="Normal 28 4 3 4 2" xfId="18138" xr:uid="{00000000-0005-0000-0000-0000D1460000}"/>
    <cellStyle name="Normal 28 4 3 4 3" xfId="18139" xr:uid="{00000000-0005-0000-0000-0000D2460000}"/>
    <cellStyle name="Normal 28 4 3 5" xfId="18140" xr:uid="{00000000-0005-0000-0000-0000D3460000}"/>
    <cellStyle name="Normal 28 4 3 5 2" xfId="18141" xr:uid="{00000000-0005-0000-0000-0000D4460000}"/>
    <cellStyle name="Normal 28 4 3 5 3" xfId="18142" xr:uid="{00000000-0005-0000-0000-0000D5460000}"/>
    <cellStyle name="Normal 28 4 3 6" xfId="18143" xr:uid="{00000000-0005-0000-0000-0000D6460000}"/>
    <cellStyle name="Normal 28 4 3 6 2" xfId="18144" xr:uid="{00000000-0005-0000-0000-0000D7460000}"/>
    <cellStyle name="Normal 28 4 3 6 3" xfId="18145" xr:uid="{00000000-0005-0000-0000-0000D8460000}"/>
    <cellStyle name="Normal 28 4 3 7" xfId="18146" xr:uid="{00000000-0005-0000-0000-0000D9460000}"/>
    <cellStyle name="Normal 28 4 3 7 2" xfId="18147" xr:uid="{00000000-0005-0000-0000-0000DA460000}"/>
    <cellStyle name="Normal 28 4 3 7 3" xfId="18148" xr:uid="{00000000-0005-0000-0000-0000DB460000}"/>
    <cellStyle name="Normal 28 4 3 8" xfId="18149" xr:uid="{00000000-0005-0000-0000-0000DC460000}"/>
    <cellStyle name="Normal 28 4 3 8 2" xfId="18150" xr:uid="{00000000-0005-0000-0000-0000DD460000}"/>
    <cellStyle name="Normal 28 4 3 8 3" xfId="18151" xr:uid="{00000000-0005-0000-0000-0000DE460000}"/>
    <cellStyle name="Normal 28 4 3 9" xfId="18152" xr:uid="{00000000-0005-0000-0000-0000DF460000}"/>
    <cellStyle name="Normal 28 4 3 9 2" xfId="18153" xr:uid="{00000000-0005-0000-0000-0000E0460000}"/>
    <cellStyle name="Normal 28 4 3 9 3" xfId="18154" xr:uid="{00000000-0005-0000-0000-0000E1460000}"/>
    <cellStyle name="Normal 28 4 30" xfId="18155" xr:uid="{00000000-0005-0000-0000-0000E2460000}"/>
    <cellStyle name="Normal 28 4 31" xfId="18156" xr:uid="{00000000-0005-0000-0000-0000E3460000}"/>
    <cellStyle name="Normal 28 4 32" xfId="18157" xr:uid="{00000000-0005-0000-0000-0000E4460000}"/>
    <cellStyle name="Normal 28 4 33" xfId="18158" xr:uid="{00000000-0005-0000-0000-0000E5460000}"/>
    <cellStyle name="Normal 28 4 34" xfId="18159" xr:uid="{00000000-0005-0000-0000-0000E6460000}"/>
    <cellStyle name="Normal 28 4 35" xfId="18160" xr:uid="{00000000-0005-0000-0000-0000E7460000}"/>
    <cellStyle name="Normal 28 4 36" xfId="18161" xr:uid="{00000000-0005-0000-0000-0000E8460000}"/>
    <cellStyle name="Normal 28 4 37" xfId="18162" xr:uid="{00000000-0005-0000-0000-0000E9460000}"/>
    <cellStyle name="Normal 28 4 38" xfId="18163" xr:uid="{00000000-0005-0000-0000-0000EA460000}"/>
    <cellStyle name="Normal 28 4 39" xfId="18164" xr:uid="{00000000-0005-0000-0000-0000EB460000}"/>
    <cellStyle name="Normal 28 4 4" xfId="18165" xr:uid="{00000000-0005-0000-0000-0000EC460000}"/>
    <cellStyle name="Normal 28 4 4 10" xfId="18166" xr:uid="{00000000-0005-0000-0000-0000ED460000}"/>
    <cellStyle name="Normal 28 4 4 10 2" xfId="18167" xr:uid="{00000000-0005-0000-0000-0000EE460000}"/>
    <cellStyle name="Normal 28 4 4 10 3" xfId="18168" xr:uid="{00000000-0005-0000-0000-0000EF460000}"/>
    <cellStyle name="Normal 28 4 4 11" xfId="18169" xr:uid="{00000000-0005-0000-0000-0000F0460000}"/>
    <cellStyle name="Normal 28 4 4 11 2" xfId="18170" xr:uid="{00000000-0005-0000-0000-0000F1460000}"/>
    <cellStyle name="Normal 28 4 4 11 3" xfId="18171" xr:uid="{00000000-0005-0000-0000-0000F2460000}"/>
    <cellStyle name="Normal 28 4 4 12" xfId="18172" xr:uid="{00000000-0005-0000-0000-0000F3460000}"/>
    <cellStyle name="Normal 28 4 4 12 2" xfId="18173" xr:uid="{00000000-0005-0000-0000-0000F4460000}"/>
    <cellStyle name="Normal 28 4 4 12 3" xfId="18174" xr:uid="{00000000-0005-0000-0000-0000F5460000}"/>
    <cellStyle name="Normal 28 4 4 13" xfId="18175" xr:uid="{00000000-0005-0000-0000-0000F6460000}"/>
    <cellStyle name="Normal 28 4 4 13 2" xfId="18176" xr:uid="{00000000-0005-0000-0000-0000F7460000}"/>
    <cellStyle name="Normal 28 4 4 13 3" xfId="18177" xr:uid="{00000000-0005-0000-0000-0000F8460000}"/>
    <cellStyle name="Normal 28 4 4 14" xfId="18178" xr:uid="{00000000-0005-0000-0000-0000F9460000}"/>
    <cellStyle name="Normal 28 4 4 14 2" xfId="18179" xr:uid="{00000000-0005-0000-0000-0000FA460000}"/>
    <cellStyle name="Normal 28 4 4 14 3" xfId="18180" xr:uid="{00000000-0005-0000-0000-0000FB460000}"/>
    <cellStyle name="Normal 28 4 4 15" xfId="18181" xr:uid="{00000000-0005-0000-0000-0000FC460000}"/>
    <cellStyle name="Normal 28 4 4 15 2" xfId="18182" xr:uid="{00000000-0005-0000-0000-0000FD460000}"/>
    <cellStyle name="Normal 28 4 4 15 3" xfId="18183" xr:uid="{00000000-0005-0000-0000-0000FE460000}"/>
    <cellStyle name="Normal 28 4 4 16" xfId="18184" xr:uid="{00000000-0005-0000-0000-0000FF460000}"/>
    <cellStyle name="Normal 28 4 4 17" xfId="18185" xr:uid="{00000000-0005-0000-0000-000000470000}"/>
    <cellStyle name="Normal 28 4 4 2" xfId="18186" xr:uid="{00000000-0005-0000-0000-000001470000}"/>
    <cellStyle name="Normal 28 4 4 2 10" xfId="18187" xr:uid="{00000000-0005-0000-0000-000002470000}"/>
    <cellStyle name="Normal 28 4 4 2 10 2" xfId="18188" xr:uid="{00000000-0005-0000-0000-000003470000}"/>
    <cellStyle name="Normal 28 4 4 2 10 3" xfId="18189" xr:uid="{00000000-0005-0000-0000-000004470000}"/>
    <cellStyle name="Normal 28 4 4 2 11" xfId="18190" xr:uid="{00000000-0005-0000-0000-000005470000}"/>
    <cellStyle name="Normal 28 4 4 2 11 2" xfId="18191" xr:uid="{00000000-0005-0000-0000-000006470000}"/>
    <cellStyle name="Normal 28 4 4 2 11 3" xfId="18192" xr:uid="{00000000-0005-0000-0000-000007470000}"/>
    <cellStyle name="Normal 28 4 4 2 12" xfId="18193" xr:uid="{00000000-0005-0000-0000-000008470000}"/>
    <cellStyle name="Normal 28 4 4 2 12 2" xfId="18194" xr:uid="{00000000-0005-0000-0000-000009470000}"/>
    <cellStyle name="Normal 28 4 4 2 12 3" xfId="18195" xr:uid="{00000000-0005-0000-0000-00000A470000}"/>
    <cellStyle name="Normal 28 4 4 2 13" xfId="18196" xr:uid="{00000000-0005-0000-0000-00000B470000}"/>
    <cellStyle name="Normal 28 4 4 2 13 2" xfId="18197" xr:uid="{00000000-0005-0000-0000-00000C470000}"/>
    <cellStyle name="Normal 28 4 4 2 13 3" xfId="18198" xr:uid="{00000000-0005-0000-0000-00000D470000}"/>
    <cellStyle name="Normal 28 4 4 2 14" xfId="18199" xr:uid="{00000000-0005-0000-0000-00000E470000}"/>
    <cellStyle name="Normal 28 4 4 2 14 2" xfId="18200" xr:uid="{00000000-0005-0000-0000-00000F470000}"/>
    <cellStyle name="Normal 28 4 4 2 14 3" xfId="18201" xr:uid="{00000000-0005-0000-0000-000010470000}"/>
    <cellStyle name="Normal 28 4 4 2 15" xfId="18202" xr:uid="{00000000-0005-0000-0000-000011470000}"/>
    <cellStyle name="Normal 28 4 4 2 16" xfId="18203" xr:uid="{00000000-0005-0000-0000-000012470000}"/>
    <cellStyle name="Normal 28 4 4 2 2" xfId="18204" xr:uid="{00000000-0005-0000-0000-000013470000}"/>
    <cellStyle name="Normal 28 4 4 2 2 2" xfId="18205" xr:uid="{00000000-0005-0000-0000-000014470000}"/>
    <cellStyle name="Normal 28 4 4 2 2 3" xfId="18206" xr:uid="{00000000-0005-0000-0000-000015470000}"/>
    <cellStyle name="Normal 28 4 4 2 3" xfId="18207" xr:uid="{00000000-0005-0000-0000-000016470000}"/>
    <cellStyle name="Normal 28 4 4 2 3 2" xfId="18208" xr:uid="{00000000-0005-0000-0000-000017470000}"/>
    <cellStyle name="Normal 28 4 4 2 3 3" xfId="18209" xr:uid="{00000000-0005-0000-0000-000018470000}"/>
    <cellStyle name="Normal 28 4 4 2 4" xfId="18210" xr:uid="{00000000-0005-0000-0000-000019470000}"/>
    <cellStyle name="Normal 28 4 4 2 4 2" xfId="18211" xr:uid="{00000000-0005-0000-0000-00001A470000}"/>
    <cellStyle name="Normal 28 4 4 2 4 3" xfId="18212" xr:uid="{00000000-0005-0000-0000-00001B470000}"/>
    <cellStyle name="Normal 28 4 4 2 5" xfId="18213" xr:uid="{00000000-0005-0000-0000-00001C470000}"/>
    <cellStyle name="Normal 28 4 4 2 5 2" xfId="18214" xr:uid="{00000000-0005-0000-0000-00001D470000}"/>
    <cellStyle name="Normal 28 4 4 2 5 3" xfId="18215" xr:uid="{00000000-0005-0000-0000-00001E470000}"/>
    <cellStyle name="Normal 28 4 4 2 6" xfId="18216" xr:uid="{00000000-0005-0000-0000-00001F470000}"/>
    <cellStyle name="Normal 28 4 4 2 6 2" xfId="18217" xr:uid="{00000000-0005-0000-0000-000020470000}"/>
    <cellStyle name="Normal 28 4 4 2 6 3" xfId="18218" xr:uid="{00000000-0005-0000-0000-000021470000}"/>
    <cellStyle name="Normal 28 4 4 2 7" xfId="18219" xr:uid="{00000000-0005-0000-0000-000022470000}"/>
    <cellStyle name="Normal 28 4 4 2 7 2" xfId="18220" xr:uid="{00000000-0005-0000-0000-000023470000}"/>
    <cellStyle name="Normal 28 4 4 2 7 3" xfId="18221" xr:uid="{00000000-0005-0000-0000-000024470000}"/>
    <cellStyle name="Normal 28 4 4 2 8" xfId="18222" xr:uid="{00000000-0005-0000-0000-000025470000}"/>
    <cellStyle name="Normal 28 4 4 2 8 2" xfId="18223" xr:uid="{00000000-0005-0000-0000-000026470000}"/>
    <cellStyle name="Normal 28 4 4 2 8 3" xfId="18224" xr:uid="{00000000-0005-0000-0000-000027470000}"/>
    <cellStyle name="Normal 28 4 4 2 9" xfId="18225" xr:uid="{00000000-0005-0000-0000-000028470000}"/>
    <cellStyle name="Normal 28 4 4 2 9 2" xfId="18226" xr:uid="{00000000-0005-0000-0000-000029470000}"/>
    <cellStyle name="Normal 28 4 4 2 9 3" xfId="18227" xr:uid="{00000000-0005-0000-0000-00002A470000}"/>
    <cellStyle name="Normal 28 4 4 3" xfId="18228" xr:uid="{00000000-0005-0000-0000-00002B470000}"/>
    <cellStyle name="Normal 28 4 4 3 2" xfId="18229" xr:uid="{00000000-0005-0000-0000-00002C470000}"/>
    <cellStyle name="Normal 28 4 4 3 3" xfId="18230" xr:uid="{00000000-0005-0000-0000-00002D470000}"/>
    <cellStyle name="Normal 28 4 4 4" xfId="18231" xr:uid="{00000000-0005-0000-0000-00002E470000}"/>
    <cellStyle name="Normal 28 4 4 4 2" xfId="18232" xr:uid="{00000000-0005-0000-0000-00002F470000}"/>
    <cellStyle name="Normal 28 4 4 4 3" xfId="18233" xr:uid="{00000000-0005-0000-0000-000030470000}"/>
    <cellStyle name="Normal 28 4 4 5" xfId="18234" xr:uid="{00000000-0005-0000-0000-000031470000}"/>
    <cellStyle name="Normal 28 4 4 5 2" xfId="18235" xr:uid="{00000000-0005-0000-0000-000032470000}"/>
    <cellStyle name="Normal 28 4 4 5 3" xfId="18236" xr:uid="{00000000-0005-0000-0000-000033470000}"/>
    <cellStyle name="Normal 28 4 4 6" xfId="18237" xr:uid="{00000000-0005-0000-0000-000034470000}"/>
    <cellStyle name="Normal 28 4 4 6 2" xfId="18238" xr:uid="{00000000-0005-0000-0000-000035470000}"/>
    <cellStyle name="Normal 28 4 4 6 3" xfId="18239" xr:uid="{00000000-0005-0000-0000-000036470000}"/>
    <cellStyle name="Normal 28 4 4 7" xfId="18240" xr:uid="{00000000-0005-0000-0000-000037470000}"/>
    <cellStyle name="Normal 28 4 4 7 2" xfId="18241" xr:uid="{00000000-0005-0000-0000-000038470000}"/>
    <cellStyle name="Normal 28 4 4 7 3" xfId="18242" xr:uid="{00000000-0005-0000-0000-000039470000}"/>
    <cellStyle name="Normal 28 4 4 8" xfId="18243" xr:uid="{00000000-0005-0000-0000-00003A470000}"/>
    <cellStyle name="Normal 28 4 4 8 2" xfId="18244" xr:uid="{00000000-0005-0000-0000-00003B470000}"/>
    <cellStyle name="Normal 28 4 4 8 3" xfId="18245" xr:uid="{00000000-0005-0000-0000-00003C470000}"/>
    <cellStyle name="Normal 28 4 4 9" xfId="18246" xr:uid="{00000000-0005-0000-0000-00003D470000}"/>
    <cellStyle name="Normal 28 4 4 9 2" xfId="18247" xr:uid="{00000000-0005-0000-0000-00003E470000}"/>
    <cellStyle name="Normal 28 4 4 9 3" xfId="18248" xr:uid="{00000000-0005-0000-0000-00003F470000}"/>
    <cellStyle name="Normal 28 4 40" xfId="18249" xr:uid="{00000000-0005-0000-0000-000040470000}"/>
    <cellStyle name="Normal 28 4 41" xfId="18250" xr:uid="{00000000-0005-0000-0000-000041470000}"/>
    <cellStyle name="Normal 28 4 5" xfId="18251" xr:uid="{00000000-0005-0000-0000-000042470000}"/>
    <cellStyle name="Normal 28 4 5 10" xfId="18252" xr:uid="{00000000-0005-0000-0000-000043470000}"/>
    <cellStyle name="Normal 28 4 5 10 2" xfId="18253" xr:uid="{00000000-0005-0000-0000-000044470000}"/>
    <cellStyle name="Normal 28 4 5 10 3" xfId="18254" xr:uid="{00000000-0005-0000-0000-000045470000}"/>
    <cellStyle name="Normal 28 4 5 11" xfId="18255" xr:uid="{00000000-0005-0000-0000-000046470000}"/>
    <cellStyle name="Normal 28 4 5 11 2" xfId="18256" xr:uid="{00000000-0005-0000-0000-000047470000}"/>
    <cellStyle name="Normal 28 4 5 11 3" xfId="18257" xr:uid="{00000000-0005-0000-0000-000048470000}"/>
    <cellStyle name="Normal 28 4 5 12" xfId="18258" xr:uid="{00000000-0005-0000-0000-000049470000}"/>
    <cellStyle name="Normal 28 4 5 12 2" xfId="18259" xr:uid="{00000000-0005-0000-0000-00004A470000}"/>
    <cellStyle name="Normal 28 4 5 12 3" xfId="18260" xr:uid="{00000000-0005-0000-0000-00004B470000}"/>
    <cellStyle name="Normal 28 4 5 13" xfId="18261" xr:uid="{00000000-0005-0000-0000-00004C470000}"/>
    <cellStyle name="Normal 28 4 5 13 2" xfId="18262" xr:uid="{00000000-0005-0000-0000-00004D470000}"/>
    <cellStyle name="Normal 28 4 5 13 3" xfId="18263" xr:uid="{00000000-0005-0000-0000-00004E470000}"/>
    <cellStyle name="Normal 28 4 5 14" xfId="18264" xr:uid="{00000000-0005-0000-0000-00004F470000}"/>
    <cellStyle name="Normal 28 4 5 14 2" xfId="18265" xr:uid="{00000000-0005-0000-0000-000050470000}"/>
    <cellStyle name="Normal 28 4 5 14 3" xfId="18266" xr:uid="{00000000-0005-0000-0000-000051470000}"/>
    <cellStyle name="Normal 28 4 5 15" xfId="18267" xr:uid="{00000000-0005-0000-0000-000052470000}"/>
    <cellStyle name="Normal 28 4 5 16" xfId="18268" xr:uid="{00000000-0005-0000-0000-000053470000}"/>
    <cellStyle name="Normal 28 4 5 2" xfId="18269" xr:uid="{00000000-0005-0000-0000-000054470000}"/>
    <cellStyle name="Normal 28 4 5 2 2" xfId="18270" xr:uid="{00000000-0005-0000-0000-000055470000}"/>
    <cellStyle name="Normal 28 4 5 2 3" xfId="18271" xr:uid="{00000000-0005-0000-0000-000056470000}"/>
    <cellStyle name="Normal 28 4 5 3" xfId="18272" xr:uid="{00000000-0005-0000-0000-000057470000}"/>
    <cellStyle name="Normal 28 4 5 3 2" xfId="18273" xr:uid="{00000000-0005-0000-0000-000058470000}"/>
    <cellStyle name="Normal 28 4 5 3 3" xfId="18274" xr:uid="{00000000-0005-0000-0000-000059470000}"/>
    <cellStyle name="Normal 28 4 5 4" xfId="18275" xr:uid="{00000000-0005-0000-0000-00005A470000}"/>
    <cellStyle name="Normal 28 4 5 4 2" xfId="18276" xr:uid="{00000000-0005-0000-0000-00005B470000}"/>
    <cellStyle name="Normal 28 4 5 4 3" xfId="18277" xr:uid="{00000000-0005-0000-0000-00005C470000}"/>
    <cellStyle name="Normal 28 4 5 5" xfId="18278" xr:uid="{00000000-0005-0000-0000-00005D470000}"/>
    <cellStyle name="Normal 28 4 5 5 2" xfId="18279" xr:uid="{00000000-0005-0000-0000-00005E470000}"/>
    <cellStyle name="Normal 28 4 5 5 3" xfId="18280" xr:uid="{00000000-0005-0000-0000-00005F470000}"/>
    <cellStyle name="Normal 28 4 5 6" xfId="18281" xr:uid="{00000000-0005-0000-0000-000060470000}"/>
    <cellStyle name="Normal 28 4 5 6 2" xfId="18282" xr:uid="{00000000-0005-0000-0000-000061470000}"/>
    <cellStyle name="Normal 28 4 5 6 3" xfId="18283" xr:uid="{00000000-0005-0000-0000-000062470000}"/>
    <cellStyle name="Normal 28 4 5 7" xfId="18284" xr:uid="{00000000-0005-0000-0000-000063470000}"/>
    <cellStyle name="Normal 28 4 5 7 2" xfId="18285" xr:uid="{00000000-0005-0000-0000-000064470000}"/>
    <cellStyle name="Normal 28 4 5 7 3" xfId="18286" xr:uid="{00000000-0005-0000-0000-000065470000}"/>
    <cellStyle name="Normal 28 4 5 8" xfId="18287" xr:uid="{00000000-0005-0000-0000-000066470000}"/>
    <cellStyle name="Normal 28 4 5 8 2" xfId="18288" xr:uid="{00000000-0005-0000-0000-000067470000}"/>
    <cellStyle name="Normal 28 4 5 8 3" xfId="18289" xr:uid="{00000000-0005-0000-0000-000068470000}"/>
    <cellStyle name="Normal 28 4 5 9" xfId="18290" xr:uid="{00000000-0005-0000-0000-000069470000}"/>
    <cellStyle name="Normal 28 4 5 9 2" xfId="18291" xr:uid="{00000000-0005-0000-0000-00006A470000}"/>
    <cellStyle name="Normal 28 4 5 9 3" xfId="18292" xr:uid="{00000000-0005-0000-0000-00006B470000}"/>
    <cellStyle name="Normal 28 4 6" xfId="18293" xr:uid="{00000000-0005-0000-0000-00006C470000}"/>
    <cellStyle name="Normal 28 4 6 10" xfId="18294" xr:uid="{00000000-0005-0000-0000-00006D470000}"/>
    <cellStyle name="Normal 28 4 6 10 2" xfId="18295" xr:uid="{00000000-0005-0000-0000-00006E470000}"/>
    <cellStyle name="Normal 28 4 6 10 3" xfId="18296" xr:uid="{00000000-0005-0000-0000-00006F470000}"/>
    <cellStyle name="Normal 28 4 6 11" xfId="18297" xr:uid="{00000000-0005-0000-0000-000070470000}"/>
    <cellStyle name="Normal 28 4 6 11 2" xfId="18298" xr:uid="{00000000-0005-0000-0000-000071470000}"/>
    <cellStyle name="Normal 28 4 6 11 3" xfId="18299" xr:uid="{00000000-0005-0000-0000-000072470000}"/>
    <cellStyle name="Normal 28 4 6 12" xfId="18300" xr:uid="{00000000-0005-0000-0000-000073470000}"/>
    <cellStyle name="Normal 28 4 6 12 2" xfId="18301" xr:uid="{00000000-0005-0000-0000-000074470000}"/>
    <cellStyle name="Normal 28 4 6 12 3" xfId="18302" xr:uid="{00000000-0005-0000-0000-000075470000}"/>
    <cellStyle name="Normal 28 4 6 13" xfId="18303" xr:uid="{00000000-0005-0000-0000-000076470000}"/>
    <cellStyle name="Normal 28 4 6 13 2" xfId="18304" xr:uid="{00000000-0005-0000-0000-000077470000}"/>
    <cellStyle name="Normal 28 4 6 13 3" xfId="18305" xr:uid="{00000000-0005-0000-0000-000078470000}"/>
    <cellStyle name="Normal 28 4 6 14" xfId="18306" xr:uid="{00000000-0005-0000-0000-000079470000}"/>
    <cellStyle name="Normal 28 4 6 14 2" xfId="18307" xr:uid="{00000000-0005-0000-0000-00007A470000}"/>
    <cellStyle name="Normal 28 4 6 14 3" xfId="18308" xr:uid="{00000000-0005-0000-0000-00007B470000}"/>
    <cellStyle name="Normal 28 4 6 15" xfId="18309" xr:uid="{00000000-0005-0000-0000-00007C470000}"/>
    <cellStyle name="Normal 28 4 6 16" xfId="18310" xr:uid="{00000000-0005-0000-0000-00007D470000}"/>
    <cellStyle name="Normal 28 4 6 2" xfId="18311" xr:uid="{00000000-0005-0000-0000-00007E470000}"/>
    <cellStyle name="Normal 28 4 6 2 2" xfId="18312" xr:uid="{00000000-0005-0000-0000-00007F470000}"/>
    <cellStyle name="Normal 28 4 6 2 3" xfId="18313" xr:uid="{00000000-0005-0000-0000-000080470000}"/>
    <cellStyle name="Normal 28 4 6 3" xfId="18314" xr:uid="{00000000-0005-0000-0000-000081470000}"/>
    <cellStyle name="Normal 28 4 6 3 2" xfId="18315" xr:uid="{00000000-0005-0000-0000-000082470000}"/>
    <cellStyle name="Normal 28 4 6 3 3" xfId="18316" xr:uid="{00000000-0005-0000-0000-000083470000}"/>
    <cellStyle name="Normal 28 4 6 4" xfId="18317" xr:uid="{00000000-0005-0000-0000-000084470000}"/>
    <cellStyle name="Normal 28 4 6 4 2" xfId="18318" xr:uid="{00000000-0005-0000-0000-000085470000}"/>
    <cellStyle name="Normal 28 4 6 4 3" xfId="18319" xr:uid="{00000000-0005-0000-0000-000086470000}"/>
    <cellStyle name="Normal 28 4 6 5" xfId="18320" xr:uid="{00000000-0005-0000-0000-000087470000}"/>
    <cellStyle name="Normal 28 4 6 5 2" xfId="18321" xr:uid="{00000000-0005-0000-0000-000088470000}"/>
    <cellStyle name="Normal 28 4 6 5 3" xfId="18322" xr:uid="{00000000-0005-0000-0000-000089470000}"/>
    <cellStyle name="Normal 28 4 6 6" xfId="18323" xr:uid="{00000000-0005-0000-0000-00008A470000}"/>
    <cellStyle name="Normal 28 4 6 6 2" xfId="18324" xr:uid="{00000000-0005-0000-0000-00008B470000}"/>
    <cellStyle name="Normal 28 4 6 6 3" xfId="18325" xr:uid="{00000000-0005-0000-0000-00008C470000}"/>
    <cellStyle name="Normal 28 4 6 7" xfId="18326" xr:uid="{00000000-0005-0000-0000-00008D470000}"/>
    <cellStyle name="Normal 28 4 6 7 2" xfId="18327" xr:uid="{00000000-0005-0000-0000-00008E470000}"/>
    <cellStyle name="Normal 28 4 6 7 3" xfId="18328" xr:uid="{00000000-0005-0000-0000-00008F470000}"/>
    <cellStyle name="Normal 28 4 6 8" xfId="18329" xr:uid="{00000000-0005-0000-0000-000090470000}"/>
    <cellStyle name="Normal 28 4 6 8 2" xfId="18330" xr:uid="{00000000-0005-0000-0000-000091470000}"/>
    <cellStyle name="Normal 28 4 6 8 3" xfId="18331" xr:uid="{00000000-0005-0000-0000-000092470000}"/>
    <cellStyle name="Normal 28 4 6 9" xfId="18332" xr:uid="{00000000-0005-0000-0000-000093470000}"/>
    <cellStyle name="Normal 28 4 6 9 2" xfId="18333" xr:uid="{00000000-0005-0000-0000-000094470000}"/>
    <cellStyle name="Normal 28 4 6 9 3" xfId="18334" xr:uid="{00000000-0005-0000-0000-000095470000}"/>
    <cellStyle name="Normal 28 4 7" xfId="18335" xr:uid="{00000000-0005-0000-0000-000096470000}"/>
    <cellStyle name="Normal 28 4 7 10" xfId="18336" xr:uid="{00000000-0005-0000-0000-000097470000}"/>
    <cellStyle name="Normal 28 4 7 10 2" xfId="18337" xr:uid="{00000000-0005-0000-0000-000098470000}"/>
    <cellStyle name="Normal 28 4 7 10 3" xfId="18338" xr:uid="{00000000-0005-0000-0000-000099470000}"/>
    <cellStyle name="Normal 28 4 7 11" xfId="18339" xr:uid="{00000000-0005-0000-0000-00009A470000}"/>
    <cellStyle name="Normal 28 4 7 11 2" xfId="18340" xr:uid="{00000000-0005-0000-0000-00009B470000}"/>
    <cellStyle name="Normal 28 4 7 11 3" xfId="18341" xr:uid="{00000000-0005-0000-0000-00009C470000}"/>
    <cellStyle name="Normal 28 4 7 12" xfId="18342" xr:uid="{00000000-0005-0000-0000-00009D470000}"/>
    <cellStyle name="Normal 28 4 7 12 2" xfId="18343" xr:uid="{00000000-0005-0000-0000-00009E470000}"/>
    <cellStyle name="Normal 28 4 7 12 3" xfId="18344" xr:uid="{00000000-0005-0000-0000-00009F470000}"/>
    <cellStyle name="Normal 28 4 7 13" xfId="18345" xr:uid="{00000000-0005-0000-0000-0000A0470000}"/>
    <cellStyle name="Normal 28 4 7 13 2" xfId="18346" xr:uid="{00000000-0005-0000-0000-0000A1470000}"/>
    <cellStyle name="Normal 28 4 7 13 3" xfId="18347" xr:uid="{00000000-0005-0000-0000-0000A2470000}"/>
    <cellStyle name="Normal 28 4 7 14" xfId="18348" xr:uid="{00000000-0005-0000-0000-0000A3470000}"/>
    <cellStyle name="Normal 28 4 7 14 2" xfId="18349" xr:uid="{00000000-0005-0000-0000-0000A4470000}"/>
    <cellStyle name="Normal 28 4 7 14 3" xfId="18350" xr:uid="{00000000-0005-0000-0000-0000A5470000}"/>
    <cellStyle name="Normal 28 4 7 15" xfId="18351" xr:uid="{00000000-0005-0000-0000-0000A6470000}"/>
    <cellStyle name="Normal 28 4 7 16" xfId="18352" xr:uid="{00000000-0005-0000-0000-0000A7470000}"/>
    <cellStyle name="Normal 28 4 7 2" xfId="18353" xr:uid="{00000000-0005-0000-0000-0000A8470000}"/>
    <cellStyle name="Normal 28 4 7 2 2" xfId="18354" xr:uid="{00000000-0005-0000-0000-0000A9470000}"/>
    <cellStyle name="Normal 28 4 7 2 3" xfId="18355" xr:uid="{00000000-0005-0000-0000-0000AA470000}"/>
    <cellStyle name="Normal 28 4 7 3" xfId="18356" xr:uid="{00000000-0005-0000-0000-0000AB470000}"/>
    <cellStyle name="Normal 28 4 7 3 2" xfId="18357" xr:uid="{00000000-0005-0000-0000-0000AC470000}"/>
    <cellStyle name="Normal 28 4 7 3 3" xfId="18358" xr:uid="{00000000-0005-0000-0000-0000AD470000}"/>
    <cellStyle name="Normal 28 4 7 4" xfId="18359" xr:uid="{00000000-0005-0000-0000-0000AE470000}"/>
    <cellStyle name="Normal 28 4 7 4 2" xfId="18360" xr:uid="{00000000-0005-0000-0000-0000AF470000}"/>
    <cellStyle name="Normal 28 4 7 4 3" xfId="18361" xr:uid="{00000000-0005-0000-0000-0000B0470000}"/>
    <cellStyle name="Normal 28 4 7 5" xfId="18362" xr:uid="{00000000-0005-0000-0000-0000B1470000}"/>
    <cellStyle name="Normal 28 4 7 5 2" xfId="18363" xr:uid="{00000000-0005-0000-0000-0000B2470000}"/>
    <cellStyle name="Normal 28 4 7 5 3" xfId="18364" xr:uid="{00000000-0005-0000-0000-0000B3470000}"/>
    <cellStyle name="Normal 28 4 7 6" xfId="18365" xr:uid="{00000000-0005-0000-0000-0000B4470000}"/>
    <cellStyle name="Normal 28 4 7 6 2" xfId="18366" xr:uid="{00000000-0005-0000-0000-0000B5470000}"/>
    <cellStyle name="Normal 28 4 7 6 3" xfId="18367" xr:uid="{00000000-0005-0000-0000-0000B6470000}"/>
    <cellStyle name="Normal 28 4 7 7" xfId="18368" xr:uid="{00000000-0005-0000-0000-0000B7470000}"/>
    <cellStyle name="Normal 28 4 7 7 2" xfId="18369" xr:uid="{00000000-0005-0000-0000-0000B8470000}"/>
    <cellStyle name="Normal 28 4 7 7 3" xfId="18370" xr:uid="{00000000-0005-0000-0000-0000B9470000}"/>
    <cellStyle name="Normal 28 4 7 8" xfId="18371" xr:uid="{00000000-0005-0000-0000-0000BA470000}"/>
    <cellStyle name="Normal 28 4 7 8 2" xfId="18372" xr:uid="{00000000-0005-0000-0000-0000BB470000}"/>
    <cellStyle name="Normal 28 4 7 8 3" xfId="18373" xr:uid="{00000000-0005-0000-0000-0000BC470000}"/>
    <cellStyle name="Normal 28 4 7 9" xfId="18374" xr:uid="{00000000-0005-0000-0000-0000BD470000}"/>
    <cellStyle name="Normal 28 4 7 9 2" xfId="18375" xr:uid="{00000000-0005-0000-0000-0000BE470000}"/>
    <cellStyle name="Normal 28 4 7 9 3" xfId="18376" xr:uid="{00000000-0005-0000-0000-0000BF470000}"/>
    <cellStyle name="Normal 28 4 8" xfId="18377" xr:uid="{00000000-0005-0000-0000-0000C0470000}"/>
    <cellStyle name="Normal 28 4 8 10" xfId="18378" xr:uid="{00000000-0005-0000-0000-0000C1470000}"/>
    <cellStyle name="Normal 28 4 8 10 2" xfId="18379" xr:uid="{00000000-0005-0000-0000-0000C2470000}"/>
    <cellStyle name="Normal 28 4 8 10 3" xfId="18380" xr:uid="{00000000-0005-0000-0000-0000C3470000}"/>
    <cellStyle name="Normal 28 4 8 11" xfId="18381" xr:uid="{00000000-0005-0000-0000-0000C4470000}"/>
    <cellStyle name="Normal 28 4 8 11 2" xfId="18382" xr:uid="{00000000-0005-0000-0000-0000C5470000}"/>
    <cellStyle name="Normal 28 4 8 11 3" xfId="18383" xr:uid="{00000000-0005-0000-0000-0000C6470000}"/>
    <cellStyle name="Normal 28 4 8 12" xfId="18384" xr:uid="{00000000-0005-0000-0000-0000C7470000}"/>
    <cellStyle name="Normal 28 4 8 12 2" xfId="18385" xr:uid="{00000000-0005-0000-0000-0000C8470000}"/>
    <cellStyle name="Normal 28 4 8 12 3" xfId="18386" xr:uid="{00000000-0005-0000-0000-0000C9470000}"/>
    <cellStyle name="Normal 28 4 8 13" xfId="18387" xr:uid="{00000000-0005-0000-0000-0000CA470000}"/>
    <cellStyle name="Normal 28 4 8 13 2" xfId="18388" xr:uid="{00000000-0005-0000-0000-0000CB470000}"/>
    <cellStyle name="Normal 28 4 8 13 3" xfId="18389" xr:uid="{00000000-0005-0000-0000-0000CC470000}"/>
    <cellStyle name="Normal 28 4 8 14" xfId="18390" xr:uid="{00000000-0005-0000-0000-0000CD470000}"/>
    <cellStyle name="Normal 28 4 8 14 2" xfId="18391" xr:uid="{00000000-0005-0000-0000-0000CE470000}"/>
    <cellStyle name="Normal 28 4 8 14 3" xfId="18392" xr:uid="{00000000-0005-0000-0000-0000CF470000}"/>
    <cellStyle name="Normal 28 4 8 15" xfId="18393" xr:uid="{00000000-0005-0000-0000-0000D0470000}"/>
    <cellStyle name="Normal 28 4 8 16" xfId="18394" xr:uid="{00000000-0005-0000-0000-0000D1470000}"/>
    <cellStyle name="Normal 28 4 8 2" xfId="18395" xr:uid="{00000000-0005-0000-0000-0000D2470000}"/>
    <cellStyle name="Normal 28 4 8 2 2" xfId="18396" xr:uid="{00000000-0005-0000-0000-0000D3470000}"/>
    <cellStyle name="Normal 28 4 8 2 3" xfId="18397" xr:uid="{00000000-0005-0000-0000-0000D4470000}"/>
    <cellStyle name="Normal 28 4 8 3" xfId="18398" xr:uid="{00000000-0005-0000-0000-0000D5470000}"/>
    <cellStyle name="Normal 28 4 8 3 2" xfId="18399" xr:uid="{00000000-0005-0000-0000-0000D6470000}"/>
    <cellStyle name="Normal 28 4 8 3 3" xfId="18400" xr:uid="{00000000-0005-0000-0000-0000D7470000}"/>
    <cellStyle name="Normal 28 4 8 4" xfId="18401" xr:uid="{00000000-0005-0000-0000-0000D8470000}"/>
    <cellStyle name="Normal 28 4 8 4 2" xfId="18402" xr:uid="{00000000-0005-0000-0000-0000D9470000}"/>
    <cellStyle name="Normal 28 4 8 4 3" xfId="18403" xr:uid="{00000000-0005-0000-0000-0000DA470000}"/>
    <cellStyle name="Normal 28 4 8 5" xfId="18404" xr:uid="{00000000-0005-0000-0000-0000DB470000}"/>
    <cellStyle name="Normal 28 4 8 5 2" xfId="18405" xr:uid="{00000000-0005-0000-0000-0000DC470000}"/>
    <cellStyle name="Normal 28 4 8 5 3" xfId="18406" xr:uid="{00000000-0005-0000-0000-0000DD470000}"/>
    <cellStyle name="Normal 28 4 8 6" xfId="18407" xr:uid="{00000000-0005-0000-0000-0000DE470000}"/>
    <cellStyle name="Normal 28 4 8 6 2" xfId="18408" xr:uid="{00000000-0005-0000-0000-0000DF470000}"/>
    <cellStyle name="Normal 28 4 8 6 3" xfId="18409" xr:uid="{00000000-0005-0000-0000-0000E0470000}"/>
    <cellStyle name="Normal 28 4 8 7" xfId="18410" xr:uid="{00000000-0005-0000-0000-0000E1470000}"/>
    <cellStyle name="Normal 28 4 8 7 2" xfId="18411" xr:uid="{00000000-0005-0000-0000-0000E2470000}"/>
    <cellStyle name="Normal 28 4 8 7 3" xfId="18412" xr:uid="{00000000-0005-0000-0000-0000E3470000}"/>
    <cellStyle name="Normal 28 4 8 8" xfId="18413" xr:uid="{00000000-0005-0000-0000-0000E4470000}"/>
    <cellStyle name="Normal 28 4 8 8 2" xfId="18414" xr:uid="{00000000-0005-0000-0000-0000E5470000}"/>
    <cellStyle name="Normal 28 4 8 8 3" xfId="18415" xr:uid="{00000000-0005-0000-0000-0000E6470000}"/>
    <cellStyle name="Normal 28 4 8 9" xfId="18416" xr:uid="{00000000-0005-0000-0000-0000E7470000}"/>
    <cellStyle name="Normal 28 4 8 9 2" xfId="18417" xr:uid="{00000000-0005-0000-0000-0000E8470000}"/>
    <cellStyle name="Normal 28 4 8 9 3" xfId="18418" xr:uid="{00000000-0005-0000-0000-0000E9470000}"/>
    <cellStyle name="Normal 28 4 9" xfId="18419" xr:uid="{00000000-0005-0000-0000-0000EA470000}"/>
    <cellStyle name="Normal 28 4 9 10" xfId="18420" xr:uid="{00000000-0005-0000-0000-0000EB470000}"/>
    <cellStyle name="Normal 28 4 9 10 2" xfId="18421" xr:uid="{00000000-0005-0000-0000-0000EC470000}"/>
    <cellStyle name="Normal 28 4 9 10 3" xfId="18422" xr:uid="{00000000-0005-0000-0000-0000ED470000}"/>
    <cellStyle name="Normal 28 4 9 11" xfId="18423" xr:uid="{00000000-0005-0000-0000-0000EE470000}"/>
    <cellStyle name="Normal 28 4 9 11 2" xfId="18424" xr:uid="{00000000-0005-0000-0000-0000EF470000}"/>
    <cellStyle name="Normal 28 4 9 11 3" xfId="18425" xr:uid="{00000000-0005-0000-0000-0000F0470000}"/>
    <cellStyle name="Normal 28 4 9 12" xfId="18426" xr:uid="{00000000-0005-0000-0000-0000F1470000}"/>
    <cellStyle name="Normal 28 4 9 12 2" xfId="18427" xr:uid="{00000000-0005-0000-0000-0000F2470000}"/>
    <cellStyle name="Normal 28 4 9 12 3" xfId="18428" xr:uid="{00000000-0005-0000-0000-0000F3470000}"/>
    <cellStyle name="Normal 28 4 9 13" xfId="18429" xr:uid="{00000000-0005-0000-0000-0000F4470000}"/>
    <cellStyle name="Normal 28 4 9 13 2" xfId="18430" xr:uid="{00000000-0005-0000-0000-0000F5470000}"/>
    <cellStyle name="Normal 28 4 9 13 3" xfId="18431" xr:uid="{00000000-0005-0000-0000-0000F6470000}"/>
    <cellStyle name="Normal 28 4 9 14" xfId="18432" xr:uid="{00000000-0005-0000-0000-0000F7470000}"/>
    <cellStyle name="Normal 28 4 9 14 2" xfId="18433" xr:uid="{00000000-0005-0000-0000-0000F8470000}"/>
    <cellStyle name="Normal 28 4 9 14 3" xfId="18434" xr:uid="{00000000-0005-0000-0000-0000F9470000}"/>
    <cellStyle name="Normal 28 4 9 15" xfId="18435" xr:uid="{00000000-0005-0000-0000-0000FA470000}"/>
    <cellStyle name="Normal 28 4 9 16" xfId="18436" xr:uid="{00000000-0005-0000-0000-0000FB470000}"/>
    <cellStyle name="Normal 28 4 9 2" xfId="18437" xr:uid="{00000000-0005-0000-0000-0000FC470000}"/>
    <cellStyle name="Normal 28 4 9 2 2" xfId="18438" xr:uid="{00000000-0005-0000-0000-0000FD470000}"/>
    <cellStyle name="Normal 28 4 9 2 3" xfId="18439" xr:uid="{00000000-0005-0000-0000-0000FE470000}"/>
    <cellStyle name="Normal 28 4 9 3" xfId="18440" xr:uid="{00000000-0005-0000-0000-0000FF470000}"/>
    <cellStyle name="Normal 28 4 9 3 2" xfId="18441" xr:uid="{00000000-0005-0000-0000-000000480000}"/>
    <cellStyle name="Normal 28 4 9 3 3" xfId="18442" xr:uid="{00000000-0005-0000-0000-000001480000}"/>
    <cellStyle name="Normal 28 4 9 4" xfId="18443" xr:uid="{00000000-0005-0000-0000-000002480000}"/>
    <cellStyle name="Normal 28 4 9 4 2" xfId="18444" xr:uid="{00000000-0005-0000-0000-000003480000}"/>
    <cellStyle name="Normal 28 4 9 4 3" xfId="18445" xr:uid="{00000000-0005-0000-0000-000004480000}"/>
    <cellStyle name="Normal 28 4 9 5" xfId="18446" xr:uid="{00000000-0005-0000-0000-000005480000}"/>
    <cellStyle name="Normal 28 4 9 5 2" xfId="18447" xr:uid="{00000000-0005-0000-0000-000006480000}"/>
    <cellStyle name="Normal 28 4 9 5 3" xfId="18448" xr:uid="{00000000-0005-0000-0000-000007480000}"/>
    <cellStyle name="Normal 28 4 9 6" xfId="18449" xr:uid="{00000000-0005-0000-0000-000008480000}"/>
    <cellStyle name="Normal 28 4 9 6 2" xfId="18450" xr:uid="{00000000-0005-0000-0000-000009480000}"/>
    <cellStyle name="Normal 28 4 9 6 3" xfId="18451" xr:uid="{00000000-0005-0000-0000-00000A480000}"/>
    <cellStyle name="Normal 28 4 9 7" xfId="18452" xr:uid="{00000000-0005-0000-0000-00000B480000}"/>
    <cellStyle name="Normal 28 4 9 7 2" xfId="18453" xr:uid="{00000000-0005-0000-0000-00000C480000}"/>
    <cellStyle name="Normal 28 4 9 7 3" xfId="18454" xr:uid="{00000000-0005-0000-0000-00000D480000}"/>
    <cellStyle name="Normal 28 4 9 8" xfId="18455" xr:uid="{00000000-0005-0000-0000-00000E480000}"/>
    <cellStyle name="Normal 28 4 9 8 2" xfId="18456" xr:uid="{00000000-0005-0000-0000-00000F480000}"/>
    <cellStyle name="Normal 28 4 9 8 3" xfId="18457" xr:uid="{00000000-0005-0000-0000-000010480000}"/>
    <cellStyle name="Normal 28 4 9 9" xfId="18458" xr:uid="{00000000-0005-0000-0000-000011480000}"/>
    <cellStyle name="Normal 28 4 9 9 2" xfId="18459" xr:uid="{00000000-0005-0000-0000-000012480000}"/>
    <cellStyle name="Normal 28 4 9 9 3" xfId="18460" xr:uid="{00000000-0005-0000-0000-000013480000}"/>
    <cellStyle name="Normal 28 5" xfId="18461" xr:uid="{00000000-0005-0000-0000-000014480000}"/>
    <cellStyle name="Normal 28 6" xfId="18462" xr:uid="{00000000-0005-0000-0000-000015480000}"/>
    <cellStyle name="Normal 28 7" xfId="18463" xr:uid="{00000000-0005-0000-0000-000016480000}"/>
    <cellStyle name="Normal 29" xfId="18464" xr:uid="{00000000-0005-0000-0000-000017480000}"/>
    <cellStyle name="Normal 29 2" xfId="18465" xr:uid="{00000000-0005-0000-0000-000018480000}"/>
    <cellStyle name="Normal 29 3" xfId="18466" xr:uid="{00000000-0005-0000-0000-000019480000}"/>
    <cellStyle name="Normal 3" xfId="9" xr:uid="{00000000-0005-0000-0000-00001A480000}"/>
    <cellStyle name="Normal 3 10" xfId="18468" xr:uid="{00000000-0005-0000-0000-00001B480000}"/>
    <cellStyle name="Normal 3 10 10" xfId="18469" xr:uid="{00000000-0005-0000-0000-00001C480000}"/>
    <cellStyle name="Normal 3 10 11" xfId="18470" xr:uid="{00000000-0005-0000-0000-00001D480000}"/>
    <cellStyle name="Normal 3 10 11 10" xfId="18471" xr:uid="{00000000-0005-0000-0000-00001E480000}"/>
    <cellStyle name="Normal 3 10 11 10 2" xfId="18472" xr:uid="{00000000-0005-0000-0000-00001F480000}"/>
    <cellStyle name="Normal 3 10 11 10 3" xfId="18473" xr:uid="{00000000-0005-0000-0000-000020480000}"/>
    <cellStyle name="Normal 3 10 11 11" xfId="18474" xr:uid="{00000000-0005-0000-0000-000021480000}"/>
    <cellStyle name="Normal 3 10 11 11 2" xfId="18475" xr:uid="{00000000-0005-0000-0000-000022480000}"/>
    <cellStyle name="Normal 3 10 11 11 3" xfId="18476" xr:uid="{00000000-0005-0000-0000-000023480000}"/>
    <cellStyle name="Normal 3 10 11 12" xfId="18477" xr:uid="{00000000-0005-0000-0000-000024480000}"/>
    <cellStyle name="Normal 3 10 11 12 2" xfId="18478" xr:uid="{00000000-0005-0000-0000-000025480000}"/>
    <cellStyle name="Normal 3 10 11 12 3" xfId="18479" xr:uid="{00000000-0005-0000-0000-000026480000}"/>
    <cellStyle name="Normal 3 10 11 13" xfId="18480" xr:uid="{00000000-0005-0000-0000-000027480000}"/>
    <cellStyle name="Normal 3 10 11 13 2" xfId="18481" xr:uid="{00000000-0005-0000-0000-000028480000}"/>
    <cellStyle name="Normal 3 10 11 13 3" xfId="18482" xr:uid="{00000000-0005-0000-0000-000029480000}"/>
    <cellStyle name="Normal 3 10 11 14" xfId="18483" xr:uid="{00000000-0005-0000-0000-00002A480000}"/>
    <cellStyle name="Normal 3 10 11 14 2" xfId="18484" xr:uid="{00000000-0005-0000-0000-00002B480000}"/>
    <cellStyle name="Normal 3 10 11 14 3" xfId="18485" xr:uid="{00000000-0005-0000-0000-00002C480000}"/>
    <cellStyle name="Normal 3 10 11 15" xfId="18486" xr:uid="{00000000-0005-0000-0000-00002D480000}"/>
    <cellStyle name="Normal 3 10 11 15 2" xfId="18487" xr:uid="{00000000-0005-0000-0000-00002E480000}"/>
    <cellStyle name="Normal 3 10 11 15 3" xfId="18488" xr:uid="{00000000-0005-0000-0000-00002F480000}"/>
    <cellStyle name="Normal 3 10 11 16" xfId="18489" xr:uid="{00000000-0005-0000-0000-000030480000}"/>
    <cellStyle name="Normal 3 10 11 16 2" xfId="18490" xr:uid="{00000000-0005-0000-0000-000031480000}"/>
    <cellStyle name="Normal 3 10 11 16 3" xfId="18491" xr:uid="{00000000-0005-0000-0000-000032480000}"/>
    <cellStyle name="Normal 3 10 11 17" xfId="18492" xr:uid="{00000000-0005-0000-0000-000033480000}"/>
    <cellStyle name="Normal 3 10 11 17 2" xfId="18493" xr:uid="{00000000-0005-0000-0000-000034480000}"/>
    <cellStyle name="Normal 3 10 11 17 3" xfId="18494" xr:uid="{00000000-0005-0000-0000-000035480000}"/>
    <cellStyle name="Normal 3 10 11 18" xfId="18495" xr:uid="{00000000-0005-0000-0000-000036480000}"/>
    <cellStyle name="Normal 3 10 11 19" xfId="18496" xr:uid="{00000000-0005-0000-0000-000037480000}"/>
    <cellStyle name="Normal 3 10 11 2" xfId="18497" xr:uid="{00000000-0005-0000-0000-000038480000}"/>
    <cellStyle name="Normal 3 10 11 3" xfId="18498" xr:uid="{00000000-0005-0000-0000-000039480000}"/>
    <cellStyle name="Normal 3 10 11 4" xfId="18499" xr:uid="{00000000-0005-0000-0000-00003A480000}"/>
    <cellStyle name="Normal 3 10 11 5" xfId="18500" xr:uid="{00000000-0005-0000-0000-00003B480000}"/>
    <cellStyle name="Normal 3 10 11 5 2" xfId="18501" xr:uid="{00000000-0005-0000-0000-00003C480000}"/>
    <cellStyle name="Normal 3 10 11 5 3" xfId="18502" xr:uid="{00000000-0005-0000-0000-00003D480000}"/>
    <cellStyle name="Normal 3 10 11 6" xfId="18503" xr:uid="{00000000-0005-0000-0000-00003E480000}"/>
    <cellStyle name="Normal 3 10 11 6 2" xfId="18504" xr:uid="{00000000-0005-0000-0000-00003F480000}"/>
    <cellStyle name="Normal 3 10 11 6 3" xfId="18505" xr:uid="{00000000-0005-0000-0000-000040480000}"/>
    <cellStyle name="Normal 3 10 11 7" xfId="18506" xr:uid="{00000000-0005-0000-0000-000041480000}"/>
    <cellStyle name="Normal 3 10 11 7 2" xfId="18507" xr:uid="{00000000-0005-0000-0000-000042480000}"/>
    <cellStyle name="Normal 3 10 11 7 3" xfId="18508" xr:uid="{00000000-0005-0000-0000-000043480000}"/>
    <cellStyle name="Normal 3 10 11 8" xfId="18509" xr:uid="{00000000-0005-0000-0000-000044480000}"/>
    <cellStyle name="Normal 3 10 11 8 2" xfId="18510" xr:uid="{00000000-0005-0000-0000-000045480000}"/>
    <cellStyle name="Normal 3 10 11 8 3" xfId="18511" xr:uid="{00000000-0005-0000-0000-000046480000}"/>
    <cellStyle name="Normal 3 10 11 9" xfId="18512" xr:uid="{00000000-0005-0000-0000-000047480000}"/>
    <cellStyle name="Normal 3 10 11 9 2" xfId="18513" xr:uid="{00000000-0005-0000-0000-000048480000}"/>
    <cellStyle name="Normal 3 10 11 9 3" xfId="18514" xr:uid="{00000000-0005-0000-0000-000049480000}"/>
    <cellStyle name="Normal 3 10 12" xfId="18515" xr:uid="{00000000-0005-0000-0000-00004A480000}"/>
    <cellStyle name="Normal 3 10 13" xfId="18516" xr:uid="{00000000-0005-0000-0000-00004B480000}"/>
    <cellStyle name="Normal 3 10 14" xfId="18517" xr:uid="{00000000-0005-0000-0000-00004C480000}"/>
    <cellStyle name="Normal 3 10 14 10" xfId="18518" xr:uid="{00000000-0005-0000-0000-00004D480000}"/>
    <cellStyle name="Normal 3 10 14 10 2" xfId="18519" xr:uid="{00000000-0005-0000-0000-00004E480000}"/>
    <cellStyle name="Normal 3 10 14 10 3" xfId="18520" xr:uid="{00000000-0005-0000-0000-00004F480000}"/>
    <cellStyle name="Normal 3 10 14 11" xfId="18521" xr:uid="{00000000-0005-0000-0000-000050480000}"/>
    <cellStyle name="Normal 3 10 14 11 2" xfId="18522" xr:uid="{00000000-0005-0000-0000-000051480000}"/>
    <cellStyle name="Normal 3 10 14 11 3" xfId="18523" xr:uid="{00000000-0005-0000-0000-000052480000}"/>
    <cellStyle name="Normal 3 10 14 12" xfId="18524" xr:uid="{00000000-0005-0000-0000-000053480000}"/>
    <cellStyle name="Normal 3 10 14 12 2" xfId="18525" xr:uid="{00000000-0005-0000-0000-000054480000}"/>
    <cellStyle name="Normal 3 10 14 12 3" xfId="18526" xr:uid="{00000000-0005-0000-0000-000055480000}"/>
    <cellStyle name="Normal 3 10 14 13" xfId="18527" xr:uid="{00000000-0005-0000-0000-000056480000}"/>
    <cellStyle name="Normal 3 10 14 13 2" xfId="18528" xr:uid="{00000000-0005-0000-0000-000057480000}"/>
    <cellStyle name="Normal 3 10 14 13 3" xfId="18529" xr:uid="{00000000-0005-0000-0000-000058480000}"/>
    <cellStyle name="Normal 3 10 14 14" xfId="18530" xr:uid="{00000000-0005-0000-0000-000059480000}"/>
    <cellStyle name="Normal 3 10 14 14 2" xfId="18531" xr:uid="{00000000-0005-0000-0000-00005A480000}"/>
    <cellStyle name="Normal 3 10 14 14 3" xfId="18532" xr:uid="{00000000-0005-0000-0000-00005B480000}"/>
    <cellStyle name="Normal 3 10 14 15" xfId="18533" xr:uid="{00000000-0005-0000-0000-00005C480000}"/>
    <cellStyle name="Normal 3 10 14 15 2" xfId="18534" xr:uid="{00000000-0005-0000-0000-00005D480000}"/>
    <cellStyle name="Normal 3 10 14 15 3" xfId="18535" xr:uid="{00000000-0005-0000-0000-00005E480000}"/>
    <cellStyle name="Normal 3 10 14 16" xfId="18536" xr:uid="{00000000-0005-0000-0000-00005F480000}"/>
    <cellStyle name="Normal 3 10 14 17" xfId="18537" xr:uid="{00000000-0005-0000-0000-000060480000}"/>
    <cellStyle name="Normal 3 10 14 2" xfId="18538" xr:uid="{00000000-0005-0000-0000-000061480000}"/>
    <cellStyle name="Normal 3 10 14 2 10" xfId="18539" xr:uid="{00000000-0005-0000-0000-000062480000}"/>
    <cellStyle name="Normal 3 10 14 2 10 2" xfId="18540" xr:uid="{00000000-0005-0000-0000-000063480000}"/>
    <cellStyle name="Normal 3 10 14 2 10 3" xfId="18541" xr:uid="{00000000-0005-0000-0000-000064480000}"/>
    <cellStyle name="Normal 3 10 14 2 11" xfId="18542" xr:uid="{00000000-0005-0000-0000-000065480000}"/>
    <cellStyle name="Normal 3 10 14 2 11 2" xfId="18543" xr:uid="{00000000-0005-0000-0000-000066480000}"/>
    <cellStyle name="Normal 3 10 14 2 11 3" xfId="18544" xr:uid="{00000000-0005-0000-0000-000067480000}"/>
    <cellStyle name="Normal 3 10 14 2 12" xfId="18545" xr:uid="{00000000-0005-0000-0000-000068480000}"/>
    <cellStyle name="Normal 3 10 14 2 12 2" xfId="18546" xr:uid="{00000000-0005-0000-0000-000069480000}"/>
    <cellStyle name="Normal 3 10 14 2 12 3" xfId="18547" xr:uid="{00000000-0005-0000-0000-00006A480000}"/>
    <cellStyle name="Normal 3 10 14 2 13" xfId="18548" xr:uid="{00000000-0005-0000-0000-00006B480000}"/>
    <cellStyle name="Normal 3 10 14 2 13 2" xfId="18549" xr:uid="{00000000-0005-0000-0000-00006C480000}"/>
    <cellStyle name="Normal 3 10 14 2 13 3" xfId="18550" xr:uid="{00000000-0005-0000-0000-00006D480000}"/>
    <cellStyle name="Normal 3 10 14 2 14" xfId="18551" xr:uid="{00000000-0005-0000-0000-00006E480000}"/>
    <cellStyle name="Normal 3 10 14 2 14 2" xfId="18552" xr:uid="{00000000-0005-0000-0000-00006F480000}"/>
    <cellStyle name="Normal 3 10 14 2 14 3" xfId="18553" xr:uid="{00000000-0005-0000-0000-000070480000}"/>
    <cellStyle name="Normal 3 10 14 2 15" xfId="18554" xr:uid="{00000000-0005-0000-0000-000071480000}"/>
    <cellStyle name="Normal 3 10 14 2 16" xfId="18555" xr:uid="{00000000-0005-0000-0000-000072480000}"/>
    <cellStyle name="Normal 3 10 14 2 2" xfId="18556" xr:uid="{00000000-0005-0000-0000-000073480000}"/>
    <cellStyle name="Normal 3 10 14 2 2 2" xfId="18557" xr:uid="{00000000-0005-0000-0000-000074480000}"/>
    <cellStyle name="Normal 3 10 14 2 2 3" xfId="18558" xr:uid="{00000000-0005-0000-0000-000075480000}"/>
    <cellStyle name="Normal 3 10 14 2 3" xfId="18559" xr:uid="{00000000-0005-0000-0000-000076480000}"/>
    <cellStyle name="Normal 3 10 14 2 3 2" xfId="18560" xr:uid="{00000000-0005-0000-0000-000077480000}"/>
    <cellStyle name="Normal 3 10 14 2 3 3" xfId="18561" xr:uid="{00000000-0005-0000-0000-000078480000}"/>
    <cellStyle name="Normal 3 10 14 2 4" xfId="18562" xr:uid="{00000000-0005-0000-0000-000079480000}"/>
    <cellStyle name="Normal 3 10 14 2 4 2" xfId="18563" xr:uid="{00000000-0005-0000-0000-00007A480000}"/>
    <cellStyle name="Normal 3 10 14 2 4 3" xfId="18564" xr:uid="{00000000-0005-0000-0000-00007B480000}"/>
    <cellStyle name="Normal 3 10 14 2 5" xfId="18565" xr:uid="{00000000-0005-0000-0000-00007C480000}"/>
    <cellStyle name="Normal 3 10 14 2 5 2" xfId="18566" xr:uid="{00000000-0005-0000-0000-00007D480000}"/>
    <cellStyle name="Normal 3 10 14 2 5 3" xfId="18567" xr:uid="{00000000-0005-0000-0000-00007E480000}"/>
    <cellStyle name="Normal 3 10 14 2 6" xfId="18568" xr:uid="{00000000-0005-0000-0000-00007F480000}"/>
    <cellStyle name="Normal 3 10 14 2 6 2" xfId="18569" xr:uid="{00000000-0005-0000-0000-000080480000}"/>
    <cellStyle name="Normal 3 10 14 2 6 3" xfId="18570" xr:uid="{00000000-0005-0000-0000-000081480000}"/>
    <cellStyle name="Normal 3 10 14 2 7" xfId="18571" xr:uid="{00000000-0005-0000-0000-000082480000}"/>
    <cellStyle name="Normal 3 10 14 2 7 2" xfId="18572" xr:uid="{00000000-0005-0000-0000-000083480000}"/>
    <cellStyle name="Normal 3 10 14 2 7 3" xfId="18573" xr:uid="{00000000-0005-0000-0000-000084480000}"/>
    <cellStyle name="Normal 3 10 14 2 8" xfId="18574" xr:uid="{00000000-0005-0000-0000-000085480000}"/>
    <cellStyle name="Normal 3 10 14 2 8 2" xfId="18575" xr:uid="{00000000-0005-0000-0000-000086480000}"/>
    <cellStyle name="Normal 3 10 14 2 8 3" xfId="18576" xr:uid="{00000000-0005-0000-0000-000087480000}"/>
    <cellStyle name="Normal 3 10 14 2 9" xfId="18577" xr:uid="{00000000-0005-0000-0000-000088480000}"/>
    <cellStyle name="Normal 3 10 14 2 9 2" xfId="18578" xr:uid="{00000000-0005-0000-0000-000089480000}"/>
    <cellStyle name="Normal 3 10 14 2 9 3" xfId="18579" xr:uid="{00000000-0005-0000-0000-00008A480000}"/>
    <cellStyle name="Normal 3 10 14 3" xfId="18580" xr:uid="{00000000-0005-0000-0000-00008B480000}"/>
    <cellStyle name="Normal 3 10 14 3 2" xfId="18581" xr:uid="{00000000-0005-0000-0000-00008C480000}"/>
    <cellStyle name="Normal 3 10 14 3 3" xfId="18582" xr:uid="{00000000-0005-0000-0000-00008D480000}"/>
    <cellStyle name="Normal 3 10 14 4" xfId="18583" xr:uid="{00000000-0005-0000-0000-00008E480000}"/>
    <cellStyle name="Normal 3 10 14 4 2" xfId="18584" xr:uid="{00000000-0005-0000-0000-00008F480000}"/>
    <cellStyle name="Normal 3 10 14 4 3" xfId="18585" xr:uid="{00000000-0005-0000-0000-000090480000}"/>
    <cellStyle name="Normal 3 10 14 5" xfId="18586" xr:uid="{00000000-0005-0000-0000-000091480000}"/>
    <cellStyle name="Normal 3 10 14 5 2" xfId="18587" xr:uid="{00000000-0005-0000-0000-000092480000}"/>
    <cellStyle name="Normal 3 10 14 5 3" xfId="18588" xr:uid="{00000000-0005-0000-0000-000093480000}"/>
    <cellStyle name="Normal 3 10 14 6" xfId="18589" xr:uid="{00000000-0005-0000-0000-000094480000}"/>
    <cellStyle name="Normal 3 10 14 6 2" xfId="18590" xr:uid="{00000000-0005-0000-0000-000095480000}"/>
    <cellStyle name="Normal 3 10 14 6 3" xfId="18591" xr:uid="{00000000-0005-0000-0000-000096480000}"/>
    <cellStyle name="Normal 3 10 14 7" xfId="18592" xr:uid="{00000000-0005-0000-0000-000097480000}"/>
    <cellStyle name="Normal 3 10 14 7 2" xfId="18593" xr:uid="{00000000-0005-0000-0000-000098480000}"/>
    <cellStyle name="Normal 3 10 14 7 3" xfId="18594" xr:uid="{00000000-0005-0000-0000-000099480000}"/>
    <cellStyle name="Normal 3 10 14 8" xfId="18595" xr:uid="{00000000-0005-0000-0000-00009A480000}"/>
    <cellStyle name="Normal 3 10 14 8 2" xfId="18596" xr:uid="{00000000-0005-0000-0000-00009B480000}"/>
    <cellStyle name="Normal 3 10 14 8 3" xfId="18597" xr:uid="{00000000-0005-0000-0000-00009C480000}"/>
    <cellStyle name="Normal 3 10 14 9" xfId="18598" xr:uid="{00000000-0005-0000-0000-00009D480000}"/>
    <cellStyle name="Normal 3 10 14 9 2" xfId="18599" xr:uid="{00000000-0005-0000-0000-00009E480000}"/>
    <cellStyle name="Normal 3 10 14 9 3" xfId="18600" xr:uid="{00000000-0005-0000-0000-00009F480000}"/>
    <cellStyle name="Normal 3 10 15" xfId="18601" xr:uid="{00000000-0005-0000-0000-0000A0480000}"/>
    <cellStyle name="Normal 3 10 15 10" xfId="18602" xr:uid="{00000000-0005-0000-0000-0000A1480000}"/>
    <cellStyle name="Normal 3 10 15 10 2" xfId="18603" xr:uid="{00000000-0005-0000-0000-0000A2480000}"/>
    <cellStyle name="Normal 3 10 15 10 3" xfId="18604" xr:uid="{00000000-0005-0000-0000-0000A3480000}"/>
    <cellStyle name="Normal 3 10 15 11" xfId="18605" xr:uid="{00000000-0005-0000-0000-0000A4480000}"/>
    <cellStyle name="Normal 3 10 15 11 2" xfId="18606" xr:uid="{00000000-0005-0000-0000-0000A5480000}"/>
    <cellStyle name="Normal 3 10 15 11 3" xfId="18607" xr:uid="{00000000-0005-0000-0000-0000A6480000}"/>
    <cellStyle name="Normal 3 10 15 12" xfId="18608" xr:uid="{00000000-0005-0000-0000-0000A7480000}"/>
    <cellStyle name="Normal 3 10 15 12 2" xfId="18609" xr:uid="{00000000-0005-0000-0000-0000A8480000}"/>
    <cellStyle name="Normal 3 10 15 12 3" xfId="18610" xr:uid="{00000000-0005-0000-0000-0000A9480000}"/>
    <cellStyle name="Normal 3 10 15 13" xfId="18611" xr:uid="{00000000-0005-0000-0000-0000AA480000}"/>
    <cellStyle name="Normal 3 10 15 13 2" xfId="18612" xr:uid="{00000000-0005-0000-0000-0000AB480000}"/>
    <cellStyle name="Normal 3 10 15 13 3" xfId="18613" xr:uid="{00000000-0005-0000-0000-0000AC480000}"/>
    <cellStyle name="Normal 3 10 15 14" xfId="18614" xr:uid="{00000000-0005-0000-0000-0000AD480000}"/>
    <cellStyle name="Normal 3 10 15 14 2" xfId="18615" xr:uid="{00000000-0005-0000-0000-0000AE480000}"/>
    <cellStyle name="Normal 3 10 15 14 3" xfId="18616" xr:uid="{00000000-0005-0000-0000-0000AF480000}"/>
    <cellStyle name="Normal 3 10 15 15" xfId="18617" xr:uid="{00000000-0005-0000-0000-0000B0480000}"/>
    <cellStyle name="Normal 3 10 15 15 2" xfId="18618" xr:uid="{00000000-0005-0000-0000-0000B1480000}"/>
    <cellStyle name="Normal 3 10 15 15 3" xfId="18619" xr:uid="{00000000-0005-0000-0000-0000B2480000}"/>
    <cellStyle name="Normal 3 10 15 16" xfId="18620" xr:uid="{00000000-0005-0000-0000-0000B3480000}"/>
    <cellStyle name="Normal 3 10 15 17" xfId="18621" xr:uid="{00000000-0005-0000-0000-0000B4480000}"/>
    <cellStyle name="Normal 3 10 15 2" xfId="18622" xr:uid="{00000000-0005-0000-0000-0000B5480000}"/>
    <cellStyle name="Normal 3 10 15 2 10" xfId="18623" xr:uid="{00000000-0005-0000-0000-0000B6480000}"/>
    <cellStyle name="Normal 3 10 15 2 10 2" xfId="18624" xr:uid="{00000000-0005-0000-0000-0000B7480000}"/>
    <cellStyle name="Normal 3 10 15 2 10 3" xfId="18625" xr:uid="{00000000-0005-0000-0000-0000B8480000}"/>
    <cellStyle name="Normal 3 10 15 2 11" xfId="18626" xr:uid="{00000000-0005-0000-0000-0000B9480000}"/>
    <cellStyle name="Normal 3 10 15 2 11 2" xfId="18627" xr:uid="{00000000-0005-0000-0000-0000BA480000}"/>
    <cellStyle name="Normal 3 10 15 2 11 3" xfId="18628" xr:uid="{00000000-0005-0000-0000-0000BB480000}"/>
    <cellStyle name="Normal 3 10 15 2 12" xfId="18629" xr:uid="{00000000-0005-0000-0000-0000BC480000}"/>
    <cellStyle name="Normal 3 10 15 2 12 2" xfId="18630" xr:uid="{00000000-0005-0000-0000-0000BD480000}"/>
    <cellStyle name="Normal 3 10 15 2 12 3" xfId="18631" xr:uid="{00000000-0005-0000-0000-0000BE480000}"/>
    <cellStyle name="Normal 3 10 15 2 13" xfId="18632" xr:uid="{00000000-0005-0000-0000-0000BF480000}"/>
    <cellStyle name="Normal 3 10 15 2 13 2" xfId="18633" xr:uid="{00000000-0005-0000-0000-0000C0480000}"/>
    <cellStyle name="Normal 3 10 15 2 13 3" xfId="18634" xr:uid="{00000000-0005-0000-0000-0000C1480000}"/>
    <cellStyle name="Normal 3 10 15 2 14" xfId="18635" xr:uid="{00000000-0005-0000-0000-0000C2480000}"/>
    <cellStyle name="Normal 3 10 15 2 14 2" xfId="18636" xr:uid="{00000000-0005-0000-0000-0000C3480000}"/>
    <cellStyle name="Normal 3 10 15 2 14 3" xfId="18637" xr:uid="{00000000-0005-0000-0000-0000C4480000}"/>
    <cellStyle name="Normal 3 10 15 2 15" xfId="18638" xr:uid="{00000000-0005-0000-0000-0000C5480000}"/>
    <cellStyle name="Normal 3 10 15 2 16" xfId="18639" xr:uid="{00000000-0005-0000-0000-0000C6480000}"/>
    <cellStyle name="Normal 3 10 15 2 2" xfId="18640" xr:uid="{00000000-0005-0000-0000-0000C7480000}"/>
    <cellStyle name="Normal 3 10 15 2 2 2" xfId="18641" xr:uid="{00000000-0005-0000-0000-0000C8480000}"/>
    <cellStyle name="Normal 3 10 15 2 2 3" xfId="18642" xr:uid="{00000000-0005-0000-0000-0000C9480000}"/>
    <cellStyle name="Normal 3 10 15 2 3" xfId="18643" xr:uid="{00000000-0005-0000-0000-0000CA480000}"/>
    <cellStyle name="Normal 3 10 15 2 3 2" xfId="18644" xr:uid="{00000000-0005-0000-0000-0000CB480000}"/>
    <cellStyle name="Normal 3 10 15 2 3 3" xfId="18645" xr:uid="{00000000-0005-0000-0000-0000CC480000}"/>
    <cellStyle name="Normal 3 10 15 2 4" xfId="18646" xr:uid="{00000000-0005-0000-0000-0000CD480000}"/>
    <cellStyle name="Normal 3 10 15 2 4 2" xfId="18647" xr:uid="{00000000-0005-0000-0000-0000CE480000}"/>
    <cellStyle name="Normal 3 10 15 2 4 3" xfId="18648" xr:uid="{00000000-0005-0000-0000-0000CF480000}"/>
    <cellStyle name="Normal 3 10 15 2 5" xfId="18649" xr:uid="{00000000-0005-0000-0000-0000D0480000}"/>
    <cellStyle name="Normal 3 10 15 2 5 2" xfId="18650" xr:uid="{00000000-0005-0000-0000-0000D1480000}"/>
    <cellStyle name="Normal 3 10 15 2 5 3" xfId="18651" xr:uid="{00000000-0005-0000-0000-0000D2480000}"/>
    <cellStyle name="Normal 3 10 15 2 6" xfId="18652" xr:uid="{00000000-0005-0000-0000-0000D3480000}"/>
    <cellStyle name="Normal 3 10 15 2 6 2" xfId="18653" xr:uid="{00000000-0005-0000-0000-0000D4480000}"/>
    <cellStyle name="Normal 3 10 15 2 6 3" xfId="18654" xr:uid="{00000000-0005-0000-0000-0000D5480000}"/>
    <cellStyle name="Normal 3 10 15 2 7" xfId="18655" xr:uid="{00000000-0005-0000-0000-0000D6480000}"/>
    <cellStyle name="Normal 3 10 15 2 7 2" xfId="18656" xr:uid="{00000000-0005-0000-0000-0000D7480000}"/>
    <cellStyle name="Normal 3 10 15 2 7 3" xfId="18657" xr:uid="{00000000-0005-0000-0000-0000D8480000}"/>
    <cellStyle name="Normal 3 10 15 2 8" xfId="18658" xr:uid="{00000000-0005-0000-0000-0000D9480000}"/>
    <cellStyle name="Normal 3 10 15 2 8 2" xfId="18659" xr:uid="{00000000-0005-0000-0000-0000DA480000}"/>
    <cellStyle name="Normal 3 10 15 2 8 3" xfId="18660" xr:uid="{00000000-0005-0000-0000-0000DB480000}"/>
    <cellStyle name="Normal 3 10 15 2 9" xfId="18661" xr:uid="{00000000-0005-0000-0000-0000DC480000}"/>
    <cellStyle name="Normal 3 10 15 2 9 2" xfId="18662" xr:uid="{00000000-0005-0000-0000-0000DD480000}"/>
    <cellStyle name="Normal 3 10 15 2 9 3" xfId="18663" xr:uid="{00000000-0005-0000-0000-0000DE480000}"/>
    <cellStyle name="Normal 3 10 15 3" xfId="18664" xr:uid="{00000000-0005-0000-0000-0000DF480000}"/>
    <cellStyle name="Normal 3 10 15 3 2" xfId="18665" xr:uid="{00000000-0005-0000-0000-0000E0480000}"/>
    <cellStyle name="Normal 3 10 15 3 3" xfId="18666" xr:uid="{00000000-0005-0000-0000-0000E1480000}"/>
    <cellStyle name="Normal 3 10 15 4" xfId="18667" xr:uid="{00000000-0005-0000-0000-0000E2480000}"/>
    <cellStyle name="Normal 3 10 15 4 2" xfId="18668" xr:uid="{00000000-0005-0000-0000-0000E3480000}"/>
    <cellStyle name="Normal 3 10 15 4 3" xfId="18669" xr:uid="{00000000-0005-0000-0000-0000E4480000}"/>
    <cellStyle name="Normal 3 10 15 5" xfId="18670" xr:uid="{00000000-0005-0000-0000-0000E5480000}"/>
    <cellStyle name="Normal 3 10 15 5 2" xfId="18671" xr:uid="{00000000-0005-0000-0000-0000E6480000}"/>
    <cellStyle name="Normal 3 10 15 5 3" xfId="18672" xr:uid="{00000000-0005-0000-0000-0000E7480000}"/>
    <cellStyle name="Normal 3 10 15 6" xfId="18673" xr:uid="{00000000-0005-0000-0000-0000E8480000}"/>
    <cellStyle name="Normal 3 10 15 6 2" xfId="18674" xr:uid="{00000000-0005-0000-0000-0000E9480000}"/>
    <cellStyle name="Normal 3 10 15 6 3" xfId="18675" xr:uid="{00000000-0005-0000-0000-0000EA480000}"/>
    <cellStyle name="Normal 3 10 15 7" xfId="18676" xr:uid="{00000000-0005-0000-0000-0000EB480000}"/>
    <cellStyle name="Normal 3 10 15 7 2" xfId="18677" xr:uid="{00000000-0005-0000-0000-0000EC480000}"/>
    <cellStyle name="Normal 3 10 15 7 3" xfId="18678" xr:uid="{00000000-0005-0000-0000-0000ED480000}"/>
    <cellStyle name="Normal 3 10 15 8" xfId="18679" xr:uid="{00000000-0005-0000-0000-0000EE480000}"/>
    <cellStyle name="Normal 3 10 15 8 2" xfId="18680" xr:uid="{00000000-0005-0000-0000-0000EF480000}"/>
    <cellStyle name="Normal 3 10 15 8 3" xfId="18681" xr:uid="{00000000-0005-0000-0000-0000F0480000}"/>
    <cellStyle name="Normal 3 10 15 9" xfId="18682" xr:uid="{00000000-0005-0000-0000-0000F1480000}"/>
    <cellStyle name="Normal 3 10 15 9 2" xfId="18683" xr:uid="{00000000-0005-0000-0000-0000F2480000}"/>
    <cellStyle name="Normal 3 10 15 9 3" xfId="18684" xr:uid="{00000000-0005-0000-0000-0000F3480000}"/>
    <cellStyle name="Normal 3 10 16" xfId="18685" xr:uid="{00000000-0005-0000-0000-0000F4480000}"/>
    <cellStyle name="Normal 3 10 16 10" xfId="18686" xr:uid="{00000000-0005-0000-0000-0000F5480000}"/>
    <cellStyle name="Normal 3 10 16 10 2" xfId="18687" xr:uid="{00000000-0005-0000-0000-0000F6480000}"/>
    <cellStyle name="Normal 3 10 16 10 3" xfId="18688" xr:uid="{00000000-0005-0000-0000-0000F7480000}"/>
    <cellStyle name="Normal 3 10 16 11" xfId="18689" xr:uid="{00000000-0005-0000-0000-0000F8480000}"/>
    <cellStyle name="Normal 3 10 16 11 2" xfId="18690" xr:uid="{00000000-0005-0000-0000-0000F9480000}"/>
    <cellStyle name="Normal 3 10 16 11 3" xfId="18691" xr:uid="{00000000-0005-0000-0000-0000FA480000}"/>
    <cellStyle name="Normal 3 10 16 12" xfId="18692" xr:uid="{00000000-0005-0000-0000-0000FB480000}"/>
    <cellStyle name="Normal 3 10 16 12 2" xfId="18693" xr:uid="{00000000-0005-0000-0000-0000FC480000}"/>
    <cellStyle name="Normal 3 10 16 12 3" xfId="18694" xr:uid="{00000000-0005-0000-0000-0000FD480000}"/>
    <cellStyle name="Normal 3 10 16 13" xfId="18695" xr:uid="{00000000-0005-0000-0000-0000FE480000}"/>
    <cellStyle name="Normal 3 10 16 13 2" xfId="18696" xr:uid="{00000000-0005-0000-0000-0000FF480000}"/>
    <cellStyle name="Normal 3 10 16 13 3" xfId="18697" xr:uid="{00000000-0005-0000-0000-000000490000}"/>
    <cellStyle name="Normal 3 10 16 14" xfId="18698" xr:uid="{00000000-0005-0000-0000-000001490000}"/>
    <cellStyle name="Normal 3 10 16 14 2" xfId="18699" xr:uid="{00000000-0005-0000-0000-000002490000}"/>
    <cellStyle name="Normal 3 10 16 14 3" xfId="18700" xr:uid="{00000000-0005-0000-0000-000003490000}"/>
    <cellStyle name="Normal 3 10 16 15" xfId="18701" xr:uid="{00000000-0005-0000-0000-000004490000}"/>
    <cellStyle name="Normal 3 10 16 15 2" xfId="18702" xr:uid="{00000000-0005-0000-0000-000005490000}"/>
    <cellStyle name="Normal 3 10 16 15 3" xfId="18703" xr:uid="{00000000-0005-0000-0000-000006490000}"/>
    <cellStyle name="Normal 3 10 16 16" xfId="18704" xr:uid="{00000000-0005-0000-0000-000007490000}"/>
    <cellStyle name="Normal 3 10 16 17" xfId="18705" xr:uid="{00000000-0005-0000-0000-000008490000}"/>
    <cellStyle name="Normal 3 10 16 2" xfId="18706" xr:uid="{00000000-0005-0000-0000-000009490000}"/>
    <cellStyle name="Normal 3 10 16 2 10" xfId="18707" xr:uid="{00000000-0005-0000-0000-00000A490000}"/>
    <cellStyle name="Normal 3 10 16 2 10 2" xfId="18708" xr:uid="{00000000-0005-0000-0000-00000B490000}"/>
    <cellStyle name="Normal 3 10 16 2 10 3" xfId="18709" xr:uid="{00000000-0005-0000-0000-00000C490000}"/>
    <cellStyle name="Normal 3 10 16 2 11" xfId="18710" xr:uid="{00000000-0005-0000-0000-00000D490000}"/>
    <cellStyle name="Normal 3 10 16 2 11 2" xfId="18711" xr:uid="{00000000-0005-0000-0000-00000E490000}"/>
    <cellStyle name="Normal 3 10 16 2 11 3" xfId="18712" xr:uid="{00000000-0005-0000-0000-00000F490000}"/>
    <cellStyle name="Normal 3 10 16 2 12" xfId="18713" xr:uid="{00000000-0005-0000-0000-000010490000}"/>
    <cellStyle name="Normal 3 10 16 2 12 2" xfId="18714" xr:uid="{00000000-0005-0000-0000-000011490000}"/>
    <cellStyle name="Normal 3 10 16 2 12 3" xfId="18715" xr:uid="{00000000-0005-0000-0000-000012490000}"/>
    <cellStyle name="Normal 3 10 16 2 13" xfId="18716" xr:uid="{00000000-0005-0000-0000-000013490000}"/>
    <cellStyle name="Normal 3 10 16 2 13 2" xfId="18717" xr:uid="{00000000-0005-0000-0000-000014490000}"/>
    <cellStyle name="Normal 3 10 16 2 13 3" xfId="18718" xr:uid="{00000000-0005-0000-0000-000015490000}"/>
    <cellStyle name="Normal 3 10 16 2 14" xfId="18719" xr:uid="{00000000-0005-0000-0000-000016490000}"/>
    <cellStyle name="Normal 3 10 16 2 14 2" xfId="18720" xr:uid="{00000000-0005-0000-0000-000017490000}"/>
    <cellStyle name="Normal 3 10 16 2 14 3" xfId="18721" xr:uid="{00000000-0005-0000-0000-000018490000}"/>
    <cellStyle name="Normal 3 10 16 2 15" xfId="18722" xr:uid="{00000000-0005-0000-0000-000019490000}"/>
    <cellStyle name="Normal 3 10 16 2 16" xfId="18723" xr:uid="{00000000-0005-0000-0000-00001A490000}"/>
    <cellStyle name="Normal 3 10 16 2 2" xfId="18724" xr:uid="{00000000-0005-0000-0000-00001B490000}"/>
    <cellStyle name="Normal 3 10 16 2 2 2" xfId="18725" xr:uid="{00000000-0005-0000-0000-00001C490000}"/>
    <cellStyle name="Normal 3 10 16 2 2 3" xfId="18726" xr:uid="{00000000-0005-0000-0000-00001D490000}"/>
    <cellStyle name="Normal 3 10 16 2 3" xfId="18727" xr:uid="{00000000-0005-0000-0000-00001E490000}"/>
    <cellStyle name="Normal 3 10 16 2 3 2" xfId="18728" xr:uid="{00000000-0005-0000-0000-00001F490000}"/>
    <cellStyle name="Normal 3 10 16 2 3 3" xfId="18729" xr:uid="{00000000-0005-0000-0000-000020490000}"/>
    <cellStyle name="Normal 3 10 16 2 4" xfId="18730" xr:uid="{00000000-0005-0000-0000-000021490000}"/>
    <cellStyle name="Normal 3 10 16 2 4 2" xfId="18731" xr:uid="{00000000-0005-0000-0000-000022490000}"/>
    <cellStyle name="Normal 3 10 16 2 4 3" xfId="18732" xr:uid="{00000000-0005-0000-0000-000023490000}"/>
    <cellStyle name="Normal 3 10 16 2 5" xfId="18733" xr:uid="{00000000-0005-0000-0000-000024490000}"/>
    <cellStyle name="Normal 3 10 16 2 5 2" xfId="18734" xr:uid="{00000000-0005-0000-0000-000025490000}"/>
    <cellStyle name="Normal 3 10 16 2 5 3" xfId="18735" xr:uid="{00000000-0005-0000-0000-000026490000}"/>
    <cellStyle name="Normal 3 10 16 2 6" xfId="18736" xr:uid="{00000000-0005-0000-0000-000027490000}"/>
    <cellStyle name="Normal 3 10 16 2 6 2" xfId="18737" xr:uid="{00000000-0005-0000-0000-000028490000}"/>
    <cellStyle name="Normal 3 10 16 2 6 3" xfId="18738" xr:uid="{00000000-0005-0000-0000-000029490000}"/>
    <cellStyle name="Normal 3 10 16 2 7" xfId="18739" xr:uid="{00000000-0005-0000-0000-00002A490000}"/>
    <cellStyle name="Normal 3 10 16 2 7 2" xfId="18740" xr:uid="{00000000-0005-0000-0000-00002B490000}"/>
    <cellStyle name="Normal 3 10 16 2 7 3" xfId="18741" xr:uid="{00000000-0005-0000-0000-00002C490000}"/>
    <cellStyle name="Normal 3 10 16 2 8" xfId="18742" xr:uid="{00000000-0005-0000-0000-00002D490000}"/>
    <cellStyle name="Normal 3 10 16 2 8 2" xfId="18743" xr:uid="{00000000-0005-0000-0000-00002E490000}"/>
    <cellStyle name="Normal 3 10 16 2 8 3" xfId="18744" xr:uid="{00000000-0005-0000-0000-00002F490000}"/>
    <cellStyle name="Normal 3 10 16 2 9" xfId="18745" xr:uid="{00000000-0005-0000-0000-000030490000}"/>
    <cellStyle name="Normal 3 10 16 2 9 2" xfId="18746" xr:uid="{00000000-0005-0000-0000-000031490000}"/>
    <cellStyle name="Normal 3 10 16 2 9 3" xfId="18747" xr:uid="{00000000-0005-0000-0000-000032490000}"/>
    <cellStyle name="Normal 3 10 16 3" xfId="18748" xr:uid="{00000000-0005-0000-0000-000033490000}"/>
    <cellStyle name="Normal 3 10 16 3 2" xfId="18749" xr:uid="{00000000-0005-0000-0000-000034490000}"/>
    <cellStyle name="Normal 3 10 16 3 3" xfId="18750" xr:uid="{00000000-0005-0000-0000-000035490000}"/>
    <cellStyle name="Normal 3 10 16 4" xfId="18751" xr:uid="{00000000-0005-0000-0000-000036490000}"/>
    <cellStyle name="Normal 3 10 16 4 2" xfId="18752" xr:uid="{00000000-0005-0000-0000-000037490000}"/>
    <cellStyle name="Normal 3 10 16 4 3" xfId="18753" xr:uid="{00000000-0005-0000-0000-000038490000}"/>
    <cellStyle name="Normal 3 10 16 5" xfId="18754" xr:uid="{00000000-0005-0000-0000-000039490000}"/>
    <cellStyle name="Normal 3 10 16 5 2" xfId="18755" xr:uid="{00000000-0005-0000-0000-00003A490000}"/>
    <cellStyle name="Normal 3 10 16 5 3" xfId="18756" xr:uid="{00000000-0005-0000-0000-00003B490000}"/>
    <cellStyle name="Normal 3 10 16 6" xfId="18757" xr:uid="{00000000-0005-0000-0000-00003C490000}"/>
    <cellStyle name="Normal 3 10 16 6 2" xfId="18758" xr:uid="{00000000-0005-0000-0000-00003D490000}"/>
    <cellStyle name="Normal 3 10 16 6 3" xfId="18759" xr:uid="{00000000-0005-0000-0000-00003E490000}"/>
    <cellStyle name="Normal 3 10 16 7" xfId="18760" xr:uid="{00000000-0005-0000-0000-00003F490000}"/>
    <cellStyle name="Normal 3 10 16 7 2" xfId="18761" xr:uid="{00000000-0005-0000-0000-000040490000}"/>
    <cellStyle name="Normal 3 10 16 7 3" xfId="18762" xr:uid="{00000000-0005-0000-0000-000041490000}"/>
    <cellStyle name="Normal 3 10 16 8" xfId="18763" xr:uid="{00000000-0005-0000-0000-000042490000}"/>
    <cellStyle name="Normal 3 10 16 8 2" xfId="18764" xr:uid="{00000000-0005-0000-0000-000043490000}"/>
    <cellStyle name="Normal 3 10 16 8 3" xfId="18765" xr:uid="{00000000-0005-0000-0000-000044490000}"/>
    <cellStyle name="Normal 3 10 16 9" xfId="18766" xr:uid="{00000000-0005-0000-0000-000045490000}"/>
    <cellStyle name="Normal 3 10 16 9 2" xfId="18767" xr:uid="{00000000-0005-0000-0000-000046490000}"/>
    <cellStyle name="Normal 3 10 16 9 3" xfId="18768" xr:uid="{00000000-0005-0000-0000-000047490000}"/>
    <cellStyle name="Normal 3 10 17" xfId="18769" xr:uid="{00000000-0005-0000-0000-000048490000}"/>
    <cellStyle name="Normal 3 10 17 10" xfId="18770" xr:uid="{00000000-0005-0000-0000-000049490000}"/>
    <cellStyle name="Normal 3 10 17 10 2" xfId="18771" xr:uid="{00000000-0005-0000-0000-00004A490000}"/>
    <cellStyle name="Normal 3 10 17 10 3" xfId="18772" xr:uid="{00000000-0005-0000-0000-00004B490000}"/>
    <cellStyle name="Normal 3 10 17 11" xfId="18773" xr:uid="{00000000-0005-0000-0000-00004C490000}"/>
    <cellStyle name="Normal 3 10 17 11 2" xfId="18774" xr:uid="{00000000-0005-0000-0000-00004D490000}"/>
    <cellStyle name="Normal 3 10 17 11 3" xfId="18775" xr:uid="{00000000-0005-0000-0000-00004E490000}"/>
    <cellStyle name="Normal 3 10 17 12" xfId="18776" xr:uid="{00000000-0005-0000-0000-00004F490000}"/>
    <cellStyle name="Normal 3 10 17 12 2" xfId="18777" xr:uid="{00000000-0005-0000-0000-000050490000}"/>
    <cellStyle name="Normal 3 10 17 12 3" xfId="18778" xr:uid="{00000000-0005-0000-0000-000051490000}"/>
    <cellStyle name="Normal 3 10 17 13" xfId="18779" xr:uid="{00000000-0005-0000-0000-000052490000}"/>
    <cellStyle name="Normal 3 10 17 13 2" xfId="18780" xr:uid="{00000000-0005-0000-0000-000053490000}"/>
    <cellStyle name="Normal 3 10 17 13 3" xfId="18781" xr:uid="{00000000-0005-0000-0000-000054490000}"/>
    <cellStyle name="Normal 3 10 17 14" xfId="18782" xr:uid="{00000000-0005-0000-0000-000055490000}"/>
    <cellStyle name="Normal 3 10 17 14 2" xfId="18783" xr:uid="{00000000-0005-0000-0000-000056490000}"/>
    <cellStyle name="Normal 3 10 17 14 3" xfId="18784" xr:uid="{00000000-0005-0000-0000-000057490000}"/>
    <cellStyle name="Normal 3 10 17 15" xfId="18785" xr:uid="{00000000-0005-0000-0000-000058490000}"/>
    <cellStyle name="Normal 3 10 17 16" xfId="18786" xr:uid="{00000000-0005-0000-0000-000059490000}"/>
    <cellStyle name="Normal 3 10 17 2" xfId="18787" xr:uid="{00000000-0005-0000-0000-00005A490000}"/>
    <cellStyle name="Normal 3 10 17 2 2" xfId="18788" xr:uid="{00000000-0005-0000-0000-00005B490000}"/>
    <cellStyle name="Normal 3 10 17 2 3" xfId="18789" xr:uid="{00000000-0005-0000-0000-00005C490000}"/>
    <cellStyle name="Normal 3 10 17 3" xfId="18790" xr:uid="{00000000-0005-0000-0000-00005D490000}"/>
    <cellStyle name="Normal 3 10 17 3 2" xfId="18791" xr:uid="{00000000-0005-0000-0000-00005E490000}"/>
    <cellStyle name="Normal 3 10 17 3 3" xfId="18792" xr:uid="{00000000-0005-0000-0000-00005F490000}"/>
    <cellStyle name="Normal 3 10 17 4" xfId="18793" xr:uid="{00000000-0005-0000-0000-000060490000}"/>
    <cellStyle name="Normal 3 10 17 4 2" xfId="18794" xr:uid="{00000000-0005-0000-0000-000061490000}"/>
    <cellStyle name="Normal 3 10 17 4 3" xfId="18795" xr:uid="{00000000-0005-0000-0000-000062490000}"/>
    <cellStyle name="Normal 3 10 17 5" xfId="18796" xr:uid="{00000000-0005-0000-0000-000063490000}"/>
    <cellStyle name="Normal 3 10 17 5 2" xfId="18797" xr:uid="{00000000-0005-0000-0000-000064490000}"/>
    <cellStyle name="Normal 3 10 17 5 3" xfId="18798" xr:uid="{00000000-0005-0000-0000-000065490000}"/>
    <cellStyle name="Normal 3 10 17 6" xfId="18799" xr:uid="{00000000-0005-0000-0000-000066490000}"/>
    <cellStyle name="Normal 3 10 17 6 2" xfId="18800" xr:uid="{00000000-0005-0000-0000-000067490000}"/>
    <cellStyle name="Normal 3 10 17 6 3" xfId="18801" xr:uid="{00000000-0005-0000-0000-000068490000}"/>
    <cellStyle name="Normal 3 10 17 7" xfId="18802" xr:uid="{00000000-0005-0000-0000-000069490000}"/>
    <cellStyle name="Normal 3 10 17 7 2" xfId="18803" xr:uid="{00000000-0005-0000-0000-00006A490000}"/>
    <cellStyle name="Normal 3 10 17 7 3" xfId="18804" xr:uid="{00000000-0005-0000-0000-00006B490000}"/>
    <cellStyle name="Normal 3 10 17 8" xfId="18805" xr:uid="{00000000-0005-0000-0000-00006C490000}"/>
    <cellStyle name="Normal 3 10 17 8 2" xfId="18806" xr:uid="{00000000-0005-0000-0000-00006D490000}"/>
    <cellStyle name="Normal 3 10 17 8 3" xfId="18807" xr:uid="{00000000-0005-0000-0000-00006E490000}"/>
    <cellStyle name="Normal 3 10 17 9" xfId="18808" xr:uid="{00000000-0005-0000-0000-00006F490000}"/>
    <cellStyle name="Normal 3 10 17 9 2" xfId="18809" xr:uid="{00000000-0005-0000-0000-000070490000}"/>
    <cellStyle name="Normal 3 10 17 9 3" xfId="18810" xr:uid="{00000000-0005-0000-0000-000071490000}"/>
    <cellStyle name="Normal 3 10 18" xfId="18811" xr:uid="{00000000-0005-0000-0000-000072490000}"/>
    <cellStyle name="Normal 3 10 18 10" xfId="18812" xr:uid="{00000000-0005-0000-0000-000073490000}"/>
    <cellStyle name="Normal 3 10 18 10 2" xfId="18813" xr:uid="{00000000-0005-0000-0000-000074490000}"/>
    <cellStyle name="Normal 3 10 18 10 3" xfId="18814" xr:uid="{00000000-0005-0000-0000-000075490000}"/>
    <cellStyle name="Normal 3 10 18 11" xfId="18815" xr:uid="{00000000-0005-0000-0000-000076490000}"/>
    <cellStyle name="Normal 3 10 18 11 2" xfId="18816" xr:uid="{00000000-0005-0000-0000-000077490000}"/>
    <cellStyle name="Normal 3 10 18 11 3" xfId="18817" xr:uid="{00000000-0005-0000-0000-000078490000}"/>
    <cellStyle name="Normal 3 10 18 12" xfId="18818" xr:uid="{00000000-0005-0000-0000-000079490000}"/>
    <cellStyle name="Normal 3 10 18 12 2" xfId="18819" xr:uid="{00000000-0005-0000-0000-00007A490000}"/>
    <cellStyle name="Normal 3 10 18 12 3" xfId="18820" xr:uid="{00000000-0005-0000-0000-00007B490000}"/>
    <cellStyle name="Normal 3 10 18 13" xfId="18821" xr:uid="{00000000-0005-0000-0000-00007C490000}"/>
    <cellStyle name="Normal 3 10 18 13 2" xfId="18822" xr:uid="{00000000-0005-0000-0000-00007D490000}"/>
    <cellStyle name="Normal 3 10 18 13 3" xfId="18823" xr:uid="{00000000-0005-0000-0000-00007E490000}"/>
    <cellStyle name="Normal 3 10 18 14" xfId="18824" xr:uid="{00000000-0005-0000-0000-00007F490000}"/>
    <cellStyle name="Normal 3 10 18 14 2" xfId="18825" xr:uid="{00000000-0005-0000-0000-000080490000}"/>
    <cellStyle name="Normal 3 10 18 14 3" xfId="18826" xr:uid="{00000000-0005-0000-0000-000081490000}"/>
    <cellStyle name="Normal 3 10 18 15" xfId="18827" xr:uid="{00000000-0005-0000-0000-000082490000}"/>
    <cellStyle name="Normal 3 10 18 16" xfId="18828" xr:uid="{00000000-0005-0000-0000-000083490000}"/>
    <cellStyle name="Normal 3 10 18 2" xfId="18829" xr:uid="{00000000-0005-0000-0000-000084490000}"/>
    <cellStyle name="Normal 3 10 18 2 2" xfId="18830" xr:uid="{00000000-0005-0000-0000-000085490000}"/>
    <cellStyle name="Normal 3 10 18 2 3" xfId="18831" xr:uid="{00000000-0005-0000-0000-000086490000}"/>
    <cellStyle name="Normal 3 10 18 3" xfId="18832" xr:uid="{00000000-0005-0000-0000-000087490000}"/>
    <cellStyle name="Normal 3 10 18 3 2" xfId="18833" xr:uid="{00000000-0005-0000-0000-000088490000}"/>
    <cellStyle name="Normal 3 10 18 3 3" xfId="18834" xr:uid="{00000000-0005-0000-0000-000089490000}"/>
    <cellStyle name="Normal 3 10 18 4" xfId="18835" xr:uid="{00000000-0005-0000-0000-00008A490000}"/>
    <cellStyle name="Normal 3 10 18 4 2" xfId="18836" xr:uid="{00000000-0005-0000-0000-00008B490000}"/>
    <cellStyle name="Normal 3 10 18 4 3" xfId="18837" xr:uid="{00000000-0005-0000-0000-00008C490000}"/>
    <cellStyle name="Normal 3 10 18 5" xfId="18838" xr:uid="{00000000-0005-0000-0000-00008D490000}"/>
    <cellStyle name="Normal 3 10 18 5 2" xfId="18839" xr:uid="{00000000-0005-0000-0000-00008E490000}"/>
    <cellStyle name="Normal 3 10 18 5 3" xfId="18840" xr:uid="{00000000-0005-0000-0000-00008F490000}"/>
    <cellStyle name="Normal 3 10 18 6" xfId="18841" xr:uid="{00000000-0005-0000-0000-000090490000}"/>
    <cellStyle name="Normal 3 10 18 6 2" xfId="18842" xr:uid="{00000000-0005-0000-0000-000091490000}"/>
    <cellStyle name="Normal 3 10 18 6 3" xfId="18843" xr:uid="{00000000-0005-0000-0000-000092490000}"/>
    <cellStyle name="Normal 3 10 18 7" xfId="18844" xr:uid="{00000000-0005-0000-0000-000093490000}"/>
    <cellStyle name="Normal 3 10 18 7 2" xfId="18845" xr:uid="{00000000-0005-0000-0000-000094490000}"/>
    <cellStyle name="Normal 3 10 18 7 3" xfId="18846" xr:uid="{00000000-0005-0000-0000-000095490000}"/>
    <cellStyle name="Normal 3 10 18 8" xfId="18847" xr:uid="{00000000-0005-0000-0000-000096490000}"/>
    <cellStyle name="Normal 3 10 18 8 2" xfId="18848" xr:uid="{00000000-0005-0000-0000-000097490000}"/>
    <cellStyle name="Normal 3 10 18 8 3" xfId="18849" xr:uid="{00000000-0005-0000-0000-000098490000}"/>
    <cellStyle name="Normal 3 10 18 9" xfId="18850" xr:uid="{00000000-0005-0000-0000-000099490000}"/>
    <cellStyle name="Normal 3 10 18 9 2" xfId="18851" xr:uid="{00000000-0005-0000-0000-00009A490000}"/>
    <cellStyle name="Normal 3 10 18 9 3" xfId="18852" xr:uid="{00000000-0005-0000-0000-00009B490000}"/>
    <cellStyle name="Normal 3 10 19" xfId="18853" xr:uid="{00000000-0005-0000-0000-00009C490000}"/>
    <cellStyle name="Normal 3 10 19 10" xfId="18854" xr:uid="{00000000-0005-0000-0000-00009D490000}"/>
    <cellStyle name="Normal 3 10 19 10 2" xfId="18855" xr:uid="{00000000-0005-0000-0000-00009E490000}"/>
    <cellStyle name="Normal 3 10 19 10 3" xfId="18856" xr:uid="{00000000-0005-0000-0000-00009F490000}"/>
    <cellStyle name="Normal 3 10 19 11" xfId="18857" xr:uid="{00000000-0005-0000-0000-0000A0490000}"/>
    <cellStyle name="Normal 3 10 19 11 2" xfId="18858" xr:uid="{00000000-0005-0000-0000-0000A1490000}"/>
    <cellStyle name="Normal 3 10 19 11 3" xfId="18859" xr:uid="{00000000-0005-0000-0000-0000A2490000}"/>
    <cellStyle name="Normal 3 10 19 12" xfId="18860" xr:uid="{00000000-0005-0000-0000-0000A3490000}"/>
    <cellStyle name="Normal 3 10 19 12 2" xfId="18861" xr:uid="{00000000-0005-0000-0000-0000A4490000}"/>
    <cellStyle name="Normal 3 10 19 12 3" xfId="18862" xr:uid="{00000000-0005-0000-0000-0000A5490000}"/>
    <cellStyle name="Normal 3 10 19 13" xfId="18863" xr:uid="{00000000-0005-0000-0000-0000A6490000}"/>
    <cellStyle name="Normal 3 10 19 13 2" xfId="18864" xr:uid="{00000000-0005-0000-0000-0000A7490000}"/>
    <cellStyle name="Normal 3 10 19 13 3" xfId="18865" xr:uid="{00000000-0005-0000-0000-0000A8490000}"/>
    <cellStyle name="Normal 3 10 19 14" xfId="18866" xr:uid="{00000000-0005-0000-0000-0000A9490000}"/>
    <cellStyle name="Normal 3 10 19 14 2" xfId="18867" xr:uid="{00000000-0005-0000-0000-0000AA490000}"/>
    <cellStyle name="Normal 3 10 19 14 3" xfId="18868" xr:uid="{00000000-0005-0000-0000-0000AB490000}"/>
    <cellStyle name="Normal 3 10 19 15" xfId="18869" xr:uid="{00000000-0005-0000-0000-0000AC490000}"/>
    <cellStyle name="Normal 3 10 19 16" xfId="18870" xr:uid="{00000000-0005-0000-0000-0000AD490000}"/>
    <cellStyle name="Normal 3 10 19 2" xfId="18871" xr:uid="{00000000-0005-0000-0000-0000AE490000}"/>
    <cellStyle name="Normal 3 10 19 2 2" xfId="18872" xr:uid="{00000000-0005-0000-0000-0000AF490000}"/>
    <cellStyle name="Normal 3 10 19 2 3" xfId="18873" xr:uid="{00000000-0005-0000-0000-0000B0490000}"/>
    <cellStyle name="Normal 3 10 19 3" xfId="18874" xr:uid="{00000000-0005-0000-0000-0000B1490000}"/>
    <cellStyle name="Normal 3 10 19 3 2" xfId="18875" xr:uid="{00000000-0005-0000-0000-0000B2490000}"/>
    <cellStyle name="Normal 3 10 19 3 3" xfId="18876" xr:uid="{00000000-0005-0000-0000-0000B3490000}"/>
    <cellStyle name="Normal 3 10 19 4" xfId="18877" xr:uid="{00000000-0005-0000-0000-0000B4490000}"/>
    <cellStyle name="Normal 3 10 19 4 2" xfId="18878" xr:uid="{00000000-0005-0000-0000-0000B5490000}"/>
    <cellStyle name="Normal 3 10 19 4 3" xfId="18879" xr:uid="{00000000-0005-0000-0000-0000B6490000}"/>
    <cellStyle name="Normal 3 10 19 5" xfId="18880" xr:uid="{00000000-0005-0000-0000-0000B7490000}"/>
    <cellStyle name="Normal 3 10 19 5 2" xfId="18881" xr:uid="{00000000-0005-0000-0000-0000B8490000}"/>
    <cellStyle name="Normal 3 10 19 5 3" xfId="18882" xr:uid="{00000000-0005-0000-0000-0000B9490000}"/>
    <cellStyle name="Normal 3 10 19 6" xfId="18883" xr:uid="{00000000-0005-0000-0000-0000BA490000}"/>
    <cellStyle name="Normal 3 10 19 6 2" xfId="18884" xr:uid="{00000000-0005-0000-0000-0000BB490000}"/>
    <cellStyle name="Normal 3 10 19 6 3" xfId="18885" xr:uid="{00000000-0005-0000-0000-0000BC490000}"/>
    <cellStyle name="Normal 3 10 19 7" xfId="18886" xr:uid="{00000000-0005-0000-0000-0000BD490000}"/>
    <cellStyle name="Normal 3 10 19 7 2" xfId="18887" xr:uid="{00000000-0005-0000-0000-0000BE490000}"/>
    <cellStyle name="Normal 3 10 19 7 3" xfId="18888" xr:uid="{00000000-0005-0000-0000-0000BF490000}"/>
    <cellStyle name="Normal 3 10 19 8" xfId="18889" xr:uid="{00000000-0005-0000-0000-0000C0490000}"/>
    <cellStyle name="Normal 3 10 19 8 2" xfId="18890" xr:uid="{00000000-0005-0000-0000-0000C1490000}"/>
    <cellStyle name="Normal 3 10 19 8 3" xfId="18891" xr:uid="{00000000-0005-0000-0000-0000C2490000}"/>
    <cellStyle name="Normal 3 10 19 9" xfId="18892" xr:uid="{00000000-0005-0000-0000-0000C3490000}"/>
    <cellStyle name="Normal 3 10 19 9 2" xfId="18893" xr:uid="{00000000-0005-0000-0000-0000C4490000}"/>
    <cellStyle name="Normal 3 10 19 9 3" xfId="18894" xr:uid="{00000000-0005-0000-0000-0000C5490000}"/>
    <cellStyle name="Normal 3 10 2" xfId="18895" xr:uid="{00000000-0005-0000-0000-0000C6490000}"/>
    <cellStyle name="Normal 3 10 20" xfId="18896" xr:uid="{00000000-0005-0000-0000-0000C7490000}"/>
    <cellStyle name="Normal 3 10 20 10" xfId="18897" xr:uid="{00000000-0005-0000-0000-0000C8490000}"/>
    <cellStyle name="Normal 3 10 20 10 2" xfId="18898" xr:uid="{00000000-0005-0000-0000-0000C9490000}"/>
    <cellStyle name="Normal 3 10 20 10 3" xfId="18899" xr:uid="{00000000-0005-0000-0000-0000CA490000}"/>
    <cellStyle name="Normal 3 10 20 11" xfId="18900" xr:uid="{00000000-0005-0000-0000-0000CB490000}"/>
    <cellStyle name="Normal 3 10 20 11 2" xfId="18901" xr:uid="{00000000-0005-0000-0000-0000CC490000}"/>
    <cellStyle name="Normal 3 10 20 11 3" xfId="18902" xr:uid="{00000000-0005-0000-0000-0000CD490000}"/>
    <cellStyle name="Normal 3 10 20 12" xfId="18903" xr:uid="{00000000-0005-0000-0000-0000CE490000}"/>
    <cellStyle name="Normal 3 10 20 12 2" xfId="18904" xr:uid="{00000000-0005-0000-0000-0000CF490000}"/>
    <cellStyle name="Normal 3 10 20 12 3" xfId="18905" xr:uid="{00000000-0005-0000-0000-0000D0490000}"/>
    <cellStyle name="Normal 3 10 20 13" xfId="18906" xr:uid="{00000000-0005-0000-0000-0000D1490000}"/>
    <cellStyle name="Normal 3 10 20 13 2" xfId="18907" xr:uid="{00000000-0005-0000-0000-0000D2490000}"/>
    <cellStyle name="Normal 3 10 20 13 3" xfId="18908" xr:uid="{00000000-0005-0000-0000-0000D3490000}"/>
    <cellStyle name="Normal 3 10 20 14" xfId="18909" xr:uid="{00000000-0005-0000-0000-0000D4490000}"/>
    <cellStyle name="Normal 3 10 20 14 2" xfId="18910" xr:uid="{00000000-0005-0000-0000-0000D5490000}"/>
    <cellStyle name="Normal 3 10 20 14 3" xfId="18911" xr:uid="{00000000-0005-0000-0000-0000D6490000}"/>
    <cellStyle name="Normal 3 10 20 15" xfId="18912" xr:uid="{00000000-0005-0000-0000-0000D7490000}"/>
    <cellStyle name="Normal 3 10 20 16" xfId="18913" xr:uid="{00000000-0005-0000-0000-0000D8490000}"/>
    <cellStyle name="Normal 3 10 20 2" xfId="18914" xr:uid="{00000000-0005-0000-0000-0000D9490000}"/>
    <cellStyle name="Normal 3 10 20 2 2" xfId="18915" xr:uid="{00000000-0005-0000-0000-0000DA490000}"/>
    <cellStyle name="Normal 3 10 20 2 3" xfId="18916" xr:uid="{00000000-0005-0000-0000-0000DB490000}"/>
    <cellStyle name="Normal 3 10 20 3" xfId="18917" xr:uid="{00000000-0005-0000-0000-0000DC490000}"/>
    <cellStyle name="Normal 3 10 20 3 2" xfId="18918" xr:uid="{00000000-0005-0000-0000-0000DD490000}"/>
    <cellStyle name="Normal 3 10 20 3 3" xfId="18919" xr:uid="{00000000-0005-0000-0000-0000DE490000}"/>
    <cellStyle name="Normal 3 10 20 4" xfId="18920" xr:uid="{00000000-0005-0000-0000-0000DF490000}"/>
    <cellStyle name="Normal 3 10 20 4 2" xfId="18921" xr:uid="{00000000-0005-0000-0000-0000E0490000}"/>
    <cellStyle name="Normal 3 10 20 4 3" xfId="18922" xr:uid="{00000000-0005-0000-0000-0000E1490000}"/>
    <cellStyle name="Normal 3 10 20 5" xfId="18923" xr:uid="{00000000-0005-0000-0000-0000E2490000}"/>
    <cellStyle name="Normal 3 10 20 5 2" xfId="18924" xr:uid="{00000000-0005-0000-0000-0000E3490000}"/>
    <cellStyle name="Normal 3 10 20 5 3" xfId="18925" xr:uid="{00000000-0005-0000-0000-0000E4490000}"/>
    <cellStyle name="Normal 3 10 20 6" xfId="18926" xr:uid="{00000000-0005-0000-0000-0000E5490000}"/>
    <cellStyle name="Normal 3 10 20 6 2" xfId="18927" xr:uid="{00000000-0005-0000-0000-0000E6490000}"/>
    <cellStyle name="Normal 3 10 20 6 3" xfId="18928" xr:uid="{00000000-0005-0000-0000-0000E7490000}"/>
    <cellStyle name="Normal 3 10 20 7" xfId="18929" xr:uid="{00000000-0005-0000-0000-0000E8490000}"/>
    <cellStyle name="Normal 3 10 20 7 2" xfId="18930" xr:uid="{00000000-0005-0000-0000-0000E9490000}"/>
    <cellStyle name="Normal 3 10 20 7 3" xfId="18931" xr:uid="{00000000-0005-0000-0000-0000EA490000}"/>
    <cellStyle name="Normal 3 10 20 8" xfId="18932" xr:uid="{00000000-0005-0000-0000-0000EB490000}"/>
    <cellStyle name="Normal 3 10 20 8 2" xfId="18933" xr:uid="{00000000-0005-0000-0000-0000EC490000}"/>
    <cellStyle name="Normal 3 10 20 8 3" xfId="18934" xr:uid="{00000000-0005-0000-0000-0000ED490000}"/>
    <cellStyle name="Normal 3 10 20 9" xfId="18935" xr:uid="{00000000-0005-0000-0000-0000EE490000}"/>
    <cellStyle name="Normal 3 10 20 9 2" xfId="18936" xr:uid="{00000000-0005-0000-0000-0000EF490000}"/>
    <cellStyle name="Normal 3 10 20 9 3" xfId="18937" xr:uid="{00000000-0005-0000-0000-0000F0490000}"/>
    <cellStyle name="Normal 3 10 21" xfId="18938" xr:uid="{00000000-0005-0000-0000-0000F1490000}"/>
    <cellStyle name="Normal 3 10 21 10" xfId="18939" xr:uid="{00000000-0005-0000-0000-0000F2490000}"/>
    <cellStyle name="Normal 3 10 21 10 2" xfId="18940" xr:uid="{00000000-0005-0000-0000-0000F3490000}"/>
    <cellStyle name="Normal 3 10 21 10 3" xfId="18941" xr:uid="{00000000-0005-0000-0000-0000F4490000}"/>
    <cellStyle name="Normal 3 10 21 11" xfId="18942" xr:uid="{00000000-0005-0000-0000-0000F5490000}"/>
    <cellStyle name="Normal 3 10 21 11 2" xfId="18943" xr:uid="{00000000-0005-0000-0000-0000F6490000}"/>
    <cellStyle name="Normal 3 10 21 11 3" xfId="18944" xr:uid="{00000000-0005-0000-0000-0000F7490000}"/>
    <cellStyle name="Normal 3 10 21 12" xfId="18945" xr:uid="{00000000-0005-0000-0000-0000F8490000}"/>
    <cellStyle name="Normal 3 10 21 12 2" xfId="18946" xr:uid="{00000000-0005-0000-0000-0000F9490000}"/>
    <cellStyle name="Normal 3 10 21 12 3" xfId="18947" xr:uid="{00000000-0005-0000-0000-0000FA490000}"/>
    <cellStyle name="Normal 3 10 21 13" xfId="18948" xr:uid="{00000000-0005-0000-0000-0000FB490000}"/>
    <cellStyle name="Normal 3 10 21 13 2" xfId="18949" xr:uid="{00000000-0005-0000-0000-0000FC490000}"/>
    <cellStyle name="Normal 3 10 21 13 3" xfId="18950" xr:uid="{00000000-0005-0000-0000-0000FD490000}"/>
    <cellStyle name="Normal 3 10 21 14" xfId="18951" xr:uid="{00000000-0005-0000-0000-0000FE490000}"/>
    <cellStyle name="Normal 3 10 21 14 2" xfId="18952" xr:uid="{00000000-0005-0000-0000-0000FF490000}"/>
    <cellStyle name="Normal 3 10 21 14 3" xfId="18953" xr:uid="{00000000-0005-0000-0000-0000004A0000}"/>
    <cellStyle name="Normal 3 10 21 15" xfId="18954" xr:uid="{00000000-0005-0000-0000-0000014A0000}"/>
    <cellStyle name="Normal 3 10 21 16" xfId="18955" xr:uid="{00000000-0005-0000-0000-0000024A0000}"/>
    <cellStyle name="Normal 3 10 21 2" xfId="18956" xr:uid="{00000000-0005-0000-0000-0000034A0000}"/>
    <cellStyle name="Normal 3 10 21 2 2" xfId="18957" xr:uid="{00000000-0005-0000-0000-0000044A0000}"/>
    <cellStyle name="Normal 3 10 21 2 3" xfId="18958" xr:uid="{00000000-0005-0000-0000-0000054A0000}"/>
    <cellStyle name="Normal 3 10 21 3" xfId="18959" xr:uid="{00000000-0005-0000-0000-0000064A0000}"/>
    <cellStyle name="Normal 3 10 21 3 2" xfId="18960" xr:uid="{00000000-0005-0000-0000-0000074A0000}"/>
    <cellStyle name="Normal 3 10 21 3 3" xfId="18961" xr:uid="{00000000-0005-0000-0000-0000084A0000}"/>
    <cellStyle name="Normal 3 10 21 4" xfId="18962" xr:uid="{00000000-0005-0000-0000-0000094A0000}"/>
    <cellStyle name="Normal 3 10 21 4 2" xfId="18963" xr:uid="{00000000-0005-0000-0000-00000A4A0000}"/>
    <cellStyle name="Normal 3 10 21 4 3" xfId="18964" xr:uid="{00000000-0005-0000-0000-00000B4A0000}"/>
    <cellStyle name="Normal 3 10 21 5" xfId="18965" xr:uid="{00000000-0005-0000-0000-00000C4A0000}"/>
    <cellStyle name="Normal 3 10 21 5 2" xfId="18966" xr:uid="{00000000-0005-0000-0000-00000D4A0000}"/>
    <cellStyle name="Normal 3 10 21 5 3" xfId="18967" xr:uid="{00000000-0005-0000-0000-00000E4A0000}"/>
    <cellStyle name="Normal 3 10 21 6" xfId="18968" xr:uid="{00000000-0005-0000-0000-00000F4A0000}"/>
    <cellStyle name="Normal 3 10 21 6 2" xfId="18969" xr:uid="{00000000-0005-0000-0000-0000104A0000}"/>
    <cellStyle name="Normal 3 10 21 6 3" xfId="18970" xr:uid="{00000000-0005-0000-0000-0000114A0000}"/>
    <cellStyle name="Normal 3 10 21 7" xfId="18971" xr:uid="{00000000-0005-0000-0000-0000124A0000}"/>
    <cellStyle name="Normal 3 10 21 7 2" xfId="18972" xr:uid="{00000000-0005-0000-0000-0000134A0000}"/>
    <cellStyle name="Normal 3 10 21 7 3" xfId="18973" xr:uid="{00000000-0005-0000-0000-0000144A0000}"/>
    <cellStyle name="Normal 3 10 21 8" xfId="18974" xr:uid="{00000000-0005-0000-0000-0000154A0000}"/>
    <cellStyle name="Normal 3 10 21 8 2" xfId="18975" xr:uid="{00000000-0005-0000-0000-0000164A0000}"/>
    <cellStyle name="Normal 3 10 21 8 3" xfId="18976" xr:uid="{00000000-0005-0000-0000-0000174A0000}"/>
    <cellStyle name="Normal 3 10 21 9" xfId="18977" xr:uid="{00000000-0005-0000-0000-0000184A0000}"/>
    <cellStyle name="Normal 3 10 21 9 2" xfId="18978" xr:uid="{00000000-0005-0000-0000-0000194A0000}"/>
    <cellStyle name="Normal 3 10 21 9 3" xfId="18979" xr:uid="{00000000-0005-0000-0000-00001A4A0000}"/>
    <cellStyle name="Normal 3 10 22" xfId="18980" xr:uid="{00000000-0005-0000-0000-00001B4A0000}"/>
    <cellStyle name="Normal 3 10 22 10" xfId="18981" xr:uid="{00000000-0005-0000-0000-00001C4A0000}"/>
    <cellStyle name="Normal 3 10 22 10 2" xfId="18982" xr:uid="{00000000-0005-0000-0000-00001D4A0000}"/>
    <cellStyle name="Normal 3 10 22 10 3" xfId="18983" xr:uid="{00000000-0005-0000-0000-00001E4A0000}"/>
    <cellStyle name="Normal 3 10 22 11" xfId="18984" xr:uid="{00000000-0005-0000-0000-00001F4A0000}"/>
    <cellStyle name="Normal 3 10 22 11 2" xfId="18985" xr:uid="{00000000-0005-0000-0000-0000204A0000}"/>
    <cellStyle name="Normal 3 10 22 11 3" xfId="18986" xr:uid="{00000000-0005-0000-0000-0000214A0000}"/>
    <cellStyle name="Normal 3 10 22 12" xfId="18987" xr:uid="{00000000-0005-0000-0000-0000224A0000}"/>
    <cellStyle name="Normal 3 10 22 12 2" xfId="18988" xr:uid="{00000000-0005-0000-0000-0000234A0000}"/>
    <cellStyle name="Normal 3 10 22 12 3" xfId="18989" xr:uid="{00000000-0005-0000-0000-0000244A0000}"/>
    <cellStyle name="Normal 3 10 22 13" xfId="18990" xr:uid="{00000000-0005-0000-0000-0000254A0000}"/>
    <cellStyle name="Normal 3 10 22 13 2" xfId="18991" xr:uid="{00000000-0005-0000-0000-0000264A0000}"/>
    <cellStyle name="Normal 3 10 22 13 3" xfId="18992" xr:uid="{00000000-0005-0000-0000-0000274A0000}"/>
    <cellStyle name="Normal 3 10 22 14" xfId="18993" xr:uid="{00000000-0005-0000-0000-0000284A0000}"/>
    <cellStyle name="Normal 3 10 22 14 2" xfId="18994" xr:uid="{00000000-0005-0000-0000-0000294A0000}"/>
    <cellStyle name="Normal 3 10 22 14 3" xfId="18995" xr:uid="{00000000-0005-0000-0000-00002A4A0000}"/>
    <cellStyle name="Normal 3 10 22 15" xfId="18996" xr:uid="{00000000-0005-0000-0000-00002B4A0000}"/>
    <cellStyle name="Normal 3 10 22 16" xfId="18997" xr:uid="{00000000-0005-0000-0000-00002C4A0000}"/>
    <cellStyle name="Normal 3 10 22 2" xfId="18998" xr:uid="{00000000-0005-0000-0000-00002D4A0000}"/>
    <cellStyle name="Normal 3 10 22 2 2" xfId="18999" xr:uid="{00000000-0005-0000-0000-00002E4A0000}"/>
    <cellStyle name="Normal 3 10 22 2 3" xfId="19000" xr:uid="{00000000-0005-0000-0000-00002F4A0000}"/>
    <cellStyle name="Normal 3 10 22 3" xfId="19001" xr:uid="{00000000-0005-0000-0000-0000304A0000}"/>
    <cellStyle name="Normal 3 10 22 3 2" xfId="19002" xr:uid="{00000000-0005-0000-0000-0000314A0000}"/>
    <cellStyle name="Normal 3 10 22 3 3" xfId="19003" xr:uid="{00000000-0005-0000-0000-0000324A0000}"/>
    <cellStyle name="Normal 3 10 22 4" xfId="19004" xr:uid="{00000000-0005-0000-0000-0000334A0000}"/>
    <cellStyle name="Normal 3 10 22 4 2" xfId="19005" xr:uid="{00000000-0005-0000-0000-0000344A0000}"/>
    <cellStyle name="Normal 3 10 22 4 3" xfId="19006" xr:uid="{00000000-0005-0000-0000-0000354A0000}"/>
    <cellStyle name="Normal 3 10 22 5" xfId="19007" xr:uid="{00000000-0005-0000-0000-0000364A0000}"/>
    <cellStyle name="Normal 3 10 22 5 2" xfId="19008" xr:uid="{00000000-0005-0000-0000-0000374A0000}"/>
    <cellStyle name="Normal 3 10 22 5 3" xfId="19009" xr:uid="{00000000-0005-0000-0000-0000384A0000}"/>
    <cellStyle name="Normal 3 10 22 6" xfId="19010" xr:uid="{00000000-0005-0000-0000-0000394A0000}"/>
    <cellStyle name="Normal 3 10 22 6 2" xfId="19011" xr:uid="{00000000-0005-0000-0000-00003A4A0000}"/>
    <cellStyle name="Normal 3 10 22 6 3" xfId="19012" xr:uid="{00000000-0005-0000-0000-00003B4A0000}"/>
    <cellStyle name="Normal 3 10 22 7" xfId="19013" xr:uid="{00000000-0005-0000-0000-00003C4A0000}"/>
    <cellStyle name="Normal 3 10 22 7 2" xfId="19014" xr:uid="{00000000-0005-0000-0000-00003D4A0000}"/>
    <cellStyle name="Normal 3 10 22 7 3" xfId="19015" xr:uid="{00000000-0005-0000-0000-00003E4A0000}"/>
    <cellStyle name="Normal 3 10 22 8" xfId="19016" xr:uid="{00000000-0005-0000-0000-00003F4A0000}"/>
    <cellStyle name="Normal 3 10 22 8 2" xfId="19017" xr:uid="{00000000-0005-0000-0000-0000404A0000}"/>
    <cellStyle name="Normal 3 10 22 8 3" xfId="19018" xr:uid="{00000000-0005-0000-0000-0000414A0000}"/>
    <cellStyle name="Normal 3 10 22 9" xfId="19019" xr:uid="{00000000-0005-0000-0000-0000424A0000}"/>
    <cellStyle name="Normal 3 10 22 9 2" xfId="19020" xr:uid="{00000000-0005-0000-0000-0000434A0000}"/>
    <cellStyle name="Normal 3 10 22 9 3" xfId="19021" xr:uid="{00000000-0005-0000-0000-0000444A0000}"/>
    <cellStyle name="Normal 3 10 23" xfId="19022" xr:uid="{00000000-0005-0000-0000-0000454A0000}"/>
    <cellStyle name="Normal 3 10 24" xfId="19023" xr:uid="{00000000-0005-0000-0000-0000464A0000}"/>
    <cellStyle name="Normal 3 10 25" xfId="19024" xr:uid="{00000000-0005-0000-0000-0000474A0000}"/>
    <cellStyle name="Normal 3 10 25 10" xfId="19025" xr:uid="{00000000-0005-0000-0000-0000484A0000}"/>
    <cellStyle name="Normal 3 10 25 10 2" xfId="19026" xr:uid="{00000000-0005-0000-0000-0000494A0000}"/>
    <cellStyle name="Normal 3 10 25 10 3" xfId="19027" xr:uid="{00000000-0005-0000-0000-00004A4A0000}"/>
    <cellStyle name="Normal 3 10 25 11" xfId="19028" xr:uid="{00000000-0005-0000-0000-00004B4A0000}"/>
    <cellStyle name="Normal 3 10 25 11 2" xfId="19029" xr:uid="{00000000-0005-0000-0000-00004C4A0000}"/>
    <cellStyle name="Normal 3 10 25 11 3" xfId="19030" xr:uid="{00000000-0005-0000-0000-00004D4A0000}"/>
    <cellStyle name="Normal 3 10 25 12" xfId="19031" xr:uid="{00000000-0005-0000-0000-00004E4A0000}"/>
    <cellStyle name="Normal 3 10 25 12 2" xfId="19032" xr:uid="{00000000-0005-0000-0000-00004F4A0000}"/>
    <cellStyle name="Normal 3 10 25 12 3" xfId="19033" xr:uid="{00000000-0005-0000-0000-0000504A0000}"/>
    <cellStyle name="Normal 3 10 25 13" xfId="19034" xr:uid="{00000000-0005-0000-0000-0000514A0000}"/>
    <cellStyle name="Normal 3 10 25 13 2" xfId="19035" xr:uid="{00000000-0005-0000-0000-0000524A0000}"/>
    <cellStyle name="Normal 3 10 25 13 3" xfId="19036" xr:uid="{00000000-0005-0000-0000-0000534A0000}"/>
    <cellStyle name="Normal 3 10 25 14" xfId="19037" xr:uid="{00000000-0005-0000-0000-0000544A0000}"/>
    <cellStyle name="Normal 3 10 25 14 2" xfId="19038" xr:uid="{00000000-0005-0000-0000-0000554A0000}"/>
    <cellStyle name="Normal 3 10 25 14 3" xfId="19039" xr:uid="{00000000-0005-0000-0000-0000564A0000}"/>
    <cellStyle name="Normal 3 10 25 15" xfId="19040" xr:uid="{00000000-0005-0000-0000-0000574A0000}"/>
    <cellStyle name="Normal 3 10 25 16" xfId="19041" xr:uid="{00000000-0005-0000-0000-0000584A0000}"/>
    <cellStyle name="Normal 3 10 25 2" xfId="19042" xr:uid="{00000000-0005-0000-0000-0000594A0000}"/>
    <cellStyle name="Normal 3 10 25 2 2" xfId="19043" xr:uid="{00000000-0005-0000-0000-00005A4A0000}"/>
    <cellStyle name="Normal 3 10 25 2 3" xfId="19044" xr:uid="{00000000-0005-0000-0000-00005B4A0000}"/>
    <cellStyle name="Normal 3 10 25 3" xfId="19045" xr:uid="{00000000-0005-0000-0000-00005C4A0000}"/>
    <cellStyle name="Normal 3 10 25 3 2" xfId="19046" xr:uid="{00000000-0005-0000-0000-00005D4A0000}"/>
    <cellStyle name="Normal 3 10 25 3 3" xfId="19047" xr:uid="{00000000-0005-0000-0000-00005E4A0000}"/>
    <cellStyle name="Normal 3 10 25 4" xfId="19048" xr:uid="{00000000-0005-0000-0000-00005F4A0000}"/>
    <cellStyle name="Normal 3 10 25 4 2" xfId="19049" xr:uid="{00000000-0005-0000-0000-0000604A0000}"/>
    <cellStyle name="Normal 3 10 25 4 3" xfId="19050" xr:uid="{00000000-0005-0000-0000-0000614A0000}"/>
    <cellStyle name="Normal 3 10 25 5" xfId="19051" xr:uid="{00000000-0005-0000-0000-0000624A0000}"/>
    <cellStyle name="Normal 3 10 25 5 2" xfId="19052" xr:uid="{00000000-0005-0000-0000-0000634A0000}"/>
    <cellStyle name="Normal 3 10 25 5 3" xfId="19053" xr:uid="{00000000-0005-0000-0000-0000644A0000}"/>
    <cellStyle name="Normal 3 10 25 6" xfId="19054" xr:uid="{00000000-0005-0000-0000-0000654A0000}"/>
    <cellStyle name="Normal 3 10 25 6 2" xfId="19055" xr:uid="{00000000-0005-0000-0000-0000664A0000}"/>
    <cellStyle name="Normal 3 10 25 6 3" xfId="19056" xr:uid="{00000000-0005-0000-0000-0000674A0000}"/>
    <cellStyle name="Normal 3 10 25 7" xfId="19057" xr:uid="{00000000-0005-0000-0000-0000684A0000}"/>
    <cellStyle name="Normal 3 10 25 7 2" xfId="19058" xr:uid="{00000000-0005-0000-0000-0000694A0000}"/>
    <cellStyle name="Normal 3 10 25 7 3" xfId="19059" xr:uid="{00000000-0005-0000-0000-00006A4A0000}"/>
    <cellStyle name="Normal 3 10 25 8" xfId="19060" xr:uid="{00000000-0005-0000-0000-00006B4A0000}"/>
    <cellStyle name="Normal 3 10 25 8 2" xfId="19061" xr:uid="{00000000-0005-0000-0000-00006C4A0000}"/>
    <cellStyle name="Normal 3 10 25 8 3" xfId="19062" xr:uid="{00000000-0005-0000-0000-00006D4A0000}"/>
    <cellStyle name="Normal 3 10 25 9" xfId="19063" xr:uid="{00000000-0005-0000-0000-00006E4A0000}"/>
    <cellStyle name="Normal 3 10 25 9 2" xfId="19064" xr:uid="{00000000-0005-0000-0000-00006F4A0000}"/>
    <cellStyle name="Normal 3 10 25 9 3" xfId="19065" xr:uid="{00000000-0005-0000-0000-0000704A0000}"/>
    <cellStyle name="Normal 3 10 26" xfId="19066" xr:uid="{00000000-0005-0000-0000-0000714A0000}"/>
    <cellStyle name="Normal 3 10 26 10" xfId="19067" xr:uid="{00000000-0005-0000-0000-0000724A0000}"/>
    <cellStyle name="Normal 3 10 26 10 2" xfId="19068" xr:uid="{00000000-0005-0000-0000-0000734A0000}"/>
    <cellStyle name="Normal 3 10 26 10 3" xfId="19069" xr:uid="{00000000-0005-0000-0000-0000744A0000}"/>
    <cellStyle name="Normal 3 10 26 11" xfId="19070" xr:uid="{00000000-0005-0000-0000-0000754A0000}"/>
    <cellStyle name="Normal 3 10 26 11 2" xfId="19071" xr:uid="{00000000-0005-0000-0000-0000764A0000}"/>
    <cellStyle name="Normal 3 10 26 11 3" xfId="19072" xr:uid="{00000000-0005-0000-0000-0000774A0000}"/>
    <cellStyle name="Normal 3 10 26 12" xfId="19073" xr:uid="{00000000-0005-0000-0000-0000784A0000}"/>
    <cellStyle name="Normal 3 10 26 12 2" xfId="19074" xr:uid="{00000000-0005-0000-0000-0000794A0000}"/>
    <cellStyle name="Normal 3 10 26 12 3" xfId="19075" xr:uid="{00000000-0005-0000-0000-00007A4A0000}"/>
    <cellStyle name="Normal 3 10 26 13" xfId="19076" xr:uid="{00000000-0005-0000-0000-00007B4A0000}"/>
    <cellStyle name="Normal 3 10 26 13 2" xfId="19077" xr:uid="{00000000-0005-0000-0000-00007C4A0000}"/>
    <cellStyle name="Normal 3 10 26 13 3" xfId="19078" xr:uid="{00000000-0005-0000-0000-00007D4A0000}"/>
    <cellStyle name="Normal 3 10 26 14" xfId="19079" xr:uid="{00000000-0005-0000-0000-00007E4A0000}"/>
    <cellStyle name="Normal 3 10 26 14 2" xfId="19080" xr:uid="{00000000-0005-0000-0000-00007F4A0000}"/>
    <cellStyle name="Normal 3 10 26 14 3" xfId="19081" xr:uid="{00000000-0005-0000-0000-0000804A0000}"/>
    <cellStyle name="Normal 3 10 26 15" xfId="19082" xr:uid="{00000000-0005-0000-0000-0000814A0000}"/>
    <cellStyle name="Normal 3 10 26 16" xfId="19083" xr:uid="{00000000-0005-0000-0000-0000824A0000}"/>
    <cellStyle name="Normal 3 10 26 2" xfId="19084" xr:uid="{00000000-0005-0000-0000-0000834A0000}"/>
    <cellStyle name="Normal 3 10 26 2 2" xfId="19085" xr:uid="{00000000-0005-0000-0000-0000844A0000}"/>
    <cellStyle name="Normal 3 10 26 2 3" xfId="19086" xr:uid="{00000000-0005-0000-0000-0000854A0000}"/>
    <cellStyle name="Normal 3 10 26 3" xfId="19087" xr:uid="{00000000-0005-0000-0000-0000864A0000}"/>
    <cellStyle name="Normal 3 10 26 3 2" xfId="19088" xr:uid="{00000000-0005-0000-0000-0000874A0000}"/>
    <cellStyle name="Normal 3 10 26 3 3" xfId="19089" xr:uid="{00000000-0005-0000-0000-0000884A0000}"/>
    <cellStyle name="Normal 3 10 26 4" xfId="19090" xr:uid="{00000000-0005-0000-0000-0000894A0000}"/>
    <cellStyle name="Normal 3 10 26 4 2" xfId="19091" xr:uid="{00000000-0005-0000-0000-00008A4A0000}"/>
    <cellStyle name="Normal 3 10 26 4 3" xfId="19092" xr:uid="{00000000-0005-0000-0000-00008B4A0000}"/>
    <cellStyle name="Normal 3 10 26 5" xfId="19093" xr:uid="{00000000-0005-0000-0000-00008C4A0000}"/>
    <cellStyle name="Normal 3 10 26 5 2" xfId="19094" xr:uid="{00000000-0005-0000-0000-00008D4A0000}"/>
    <cellStyle name="Normal 3 10 26 5 3" xfId="19095" xr:uid="{00000000-0005-0000-0000-00008E4A0000}"/>
    <cellStyle name="Normal 3 10 26 6" xfId="19096" xr:uid="{00000000-0005-0000-0000-00008F4A0000}"/>
    <cellStyle name="Normal 3 10 26 6 2" xfId="19097" xr:uid="{00000000-0005-0000-0000-0000904A0000}"/>
    <cellStyle name="Normal 3 10 26 6 3" xfId="19098" xr:uid="{00000000-0005-0000-0000-0000914A0000}"/>
    <cellStyle name="Normal 3 10 26 7" xfId="19099" xr:uid="{00000000-0005-0000-0000-0000924A0000}"/>
    <cellStyle name="Normal 3 10 26 7 2" xfId="19100" xr:uid="{00000000-0005-0000-0000-0000934A0000}"/>
    <cellStyle name="Normal 3 10 26 7 3" xfId="19101" xr:uid="{00000000-0005-0000-0000-0000944A0000}"/>
    <cellStyle name="Normal 3 10 26 8" xfId="19102" xr:uid="{00000000-0005-0000-0000-0000954A0000}"/>
    <cellStyle name="Normal 3 10 26 8 2" xfId="19103" xr:uid="{00000000-0005-0000-0000-0000964A0000}"/>
    <cellStyle name="Normal 3 10 26 8 3" xfId="19104" xr:uid="{00000000-0005-0000-0000-0000974A0000}"/>
    <cellStyle name="Normal 3 10 26 9" xfId="19105" xr:uid="{00000000-0005-0000-0000-0000984A0000}"/>
    <cellStyle name="Normal 3 10 26 9 2" xfId="19106" xr:uid="{00000000-0005-0000-0000-0000994A0000}"/>
    <cellStyle name="Normal 3 10 26 9 3" xfId="19107" xr:uid="{00000000-0005-0000-0000-00009A4A0000}"/>
    <cellStyle name="Normal 3 10 3" xfId="19108" xr:uid="{00000000-0005-0000-0000-00009B4A0000}"/>
    <cellStyle name="Normal 3 10 4" xfId="19109" xr:uid="{00000000-0005-0000-0000-00009C4A0000}"/>
    <cellStyle name="Normal 3 10 5" xfId="19110" xr:uid="{00000000-0005-0000-0000-00009D4A0000}"/>
    <cellStyle name="Normal 3 10 6" xfId="19111" xr:uid="{00000000-0005-0000-0000-00009E4A0000}"/>
    <cellStyle name="Normal 3 10 7" xfId="19112" xr:uid="{00000000-0005-0000-0000-00009F4A0000}"/>
    <cellStyle name="Normal 3 10 8" xfId="19113" xr:uid="{00000000-0005-0000-0000-0000A04A0000}"/>
    <cellStyle name="Normal 3 10 9" xfId="19114" xr:uid="{00000000-0005-0000-0000-0000A14A0000}"/>
    <cellStyle name="Normal 3 10_End-use Summary" xfId="19115" xr:uid="{00000000-0005-0000-0000-0000A24A0000}"/>
    <cellStyle name="Normal 3 11" xfId="19116" xr:uid="{00000000-0005-0000-0000-0000A34A0000}"/>
    <cellStyle name="Normal 3 11 10" xfId="19117" xr:uid="{00000000-0005-0000-0000-0000A44A0000}"/>
    <cellStyle name="Normal 3 11 11" xfId="19118" xr:uid="{00000000-0005-0000-0000-0000A54A0000}"/>
    <cellStyle name="Normal 3 11 11 10" xfId="19119" xr:uid="{00000000-0005-0000-0000-0000A64A0000}"/>
    <cellStyle name="Normal 3 11 11 10 2" xfId="19120" xr:uid="{00000000-0005-0000-0000-0000A74A0000}"/>
    <cellStyle name="Normal 3 11 11 10 3" xfId="19121" xr:uid="{00000000-0005-0000-0000-0000A84A0000}"/>
    <cellStyle name="Normal 3 11 11 11" xfId="19122" xr:uid="{00000000-0005-0000-0000-0000A94A0000}"/>
    <cellStyle name="Normal 3 11 11 11 2" xfId="19123" xr:uid="{00000000-0005-0000-0000-0000AA4A0000}"/>
    <cellStyle name="Normal 3 11 11 11 3" xfId="19124" xr:uid="{00000000-0005-0000-0000-0000AB4A0000}"/>
    <cellStyle name="Normal 3 11 11 12" xfId="19125" xr:uid="{00000000-0005-0000-0000-0000AC4A0000}"/>
    <cellStyle name="Normal 3 11 11 12 2" xfId="19126" xr:uid="{00000000-0005-0000-0000-0000AD4A0000}"/>
    <cellStyle name="Normal 3 11 11 12 3" xfId="19127" xr:uid="{00000000-0005-0000-0000-0000AE4A0000}"/>
    <cellStyle name="Normal 3 11 11 13" xfId="19128" xr:uid="{00000000-0005-0000-0000-0000AF4A0000}"/>
    <cellStyle name="Normal 3 11 11 13 2" xfId="19129" xr:uid="{00000000-0005-0000-0000-0000B04A0000}"/>
    <cellStyle name="Normal 3 11 11 13 3" xfId="19130" xr:uid="{00000000-0005-0000-0000-0000B14A0000}"/>
    <cellStyle name="Normal 3 11 11 14" xfId="19131" xr:uid="{00000000-0005-0000-0000-0000B24A0000}"/>
    <cellStyle name="Normal 3 11 11 14 2" xfId="19132" xr:uid="{00000000-0005-0000-0000-0000B34A0000}"/>
    <cellStyle name="Normal 3 11 11 14 3" xfId="19133" xr:uid="{00000000-0005-0000-0000-0000B44A0000}"/>
    <cellStyle name="Normal 3 11 11 15" xfId="19134" xr:uid="{00000000-0005-0000-0000-0000B54A0000}"/>
    <cellStyle name="Normal 3 11 11 15 2" xfId="19135" xr:uid="{00000000-0005-0000-0000-0000B64A0000}"/>
    <cellStyle name="Normal 3 11 11 15 3" xfId="19136" xr:uid="{00000000-0005-0000-0000-0000B74A0000}"/>
    <cellStyle name="Normal 3 11 11 16" xfId="19137" xr:uid="{00000000-0005-0000-0000-0000B84A0000}"/>
    <cellStyle name="Normal 3 11 11 16 2" xfId="19138" xr:uid="{00000000-0005-0000-0000-0000B94A0000}"/>
    <cellStyle name="Normal 3 11 11 16 3" xfId="19139" xr:uid="{00000000-0005-0000-0000-0000BA4A0000}"/>
    <cellStyle name="Normal 3 11 11 17" xfId="19140" xr:uid="{00000000-0005-0000-0000-0000BB4A0000}"/>
    <cellStyle name="Normal 3 11 11 17 2" xfId="19141" xr:uid="{00000000-0005-0000-0000-0000BC4A0000}"/>
    <cellStyle name="Normal 3 11 11 17 3" xfId="19142" xr:uid="{00000000-0005-0000-0000-0000BD4A0000}"/>
    <cellStyle name="Normal 3 11 11 18" xfId="19143" xr:uid="{00000000-0005-0000-0000-0000BE4A0000}"/>
    <cellStyle name="Normal 3 11 11 19" xfId="19144" xr:uid="{00000000-0005-0000-0000-0000BF4A0000}"/>
    <cellStyle name="Normal 3 11 11 2" xfId="19145" xr:uid="{00000000-0005-0000-0000-0000C04A0000}"/>
    <cellStyle name="Normal 3 11 11 3" xfId="19146" xr:uid="{00000000-0005-0000-0000-0000C14A0000}"/>
    <cellStyle name="Normal 3 11 11 4" xfId="19147" xr:uid="{00000000-0005-0000-0000-0000C24A0000}"/>
    <cellStyle name="Normal 3 11 11 5" xfId="19148" xr:uid="{00000000-0005-0000-0000-0000C34A0000}"/>
    <cellStyle name="Normal 3 11 11 5 2" xfId="19149" xr:uid="{00000000-0005-0000-0000-0000C44A0000}"/>
    <cellStyle name="Normal 3 11 11 5 3" xfId="19150" xr:uid="{00000000-0005-0000-0000-0000C54A0000}"/>
    <cellStyle name="Normal 3 11 11 6" xfId="19151" xr:uid="{00000000-0005-0000-0000-0000C64A0000}"/>
    <cellStyle name="Normal 3 11 11 6 2" xfId="19152" xr:uid="{00000000-0005-0000-0000-0000C74A0000}"/>
    <cellStyle name="Normal 3 11 11 6 3" xfId="19153" xr:uid="{00000000-0005-0000-0000-0000C84A0000}"/>
    <cellStyle name="Normal 3 11 11 7" xfId="19154" xr:uid="{00000000-0005-0000-0000-0000C94A0000}"/>
    <cellStyle name="Normal 3 11 11 7 2" xfId="19155" xr:uid="{00000000-0005-0000-0000-0000CA4A0000}"/>
    <cellStyle name="Normal 3 11 11 7 3" xfId="19156" xr:uid="{00000000-0005-0000-0000-0000CB4A0000}"/>
    <cellStyle name="Normal 3 11 11 8" xfId="19157" xr:uid="{00000000-0005-0000-0000-0000CC4A0000}"/>
    <cellStyle name="Normal 3 11 11 8 2" xfId="19158" xr:uid="{00000000-0005-0000-0000-0000CD4A0000}"/>
    <cellStyle name="Normal 3 11 11 8 3" xfId="19159" xr:uid="{00000000-0005-0000-0000-0000CE4A0000}"/>
    <cellStyle name="Normal 3 11 11 9" xfId="19160" xr:uid="{00000000-0005-0000-0000-0000CF4A0000}"/>
    <cellStyle name="Normal 3 11 11 9 2" xfId="19161" xr:uid="{00000000-0005-0000-0000-0000D04A0000}"/>
    <cellStyle name="Normal 3 11 11 9 3" xfId="19162" xr:uid="{00000000-0005-0000-0000-0000D14A0000}"/>
    <cellStyle name="Normal 3 11 12" xfId="19163" xr:uid="{00000000-0005-0000-0000-0000D24A0000}"/>
    <cellStyle name="Normal 3 11 13" xfId="19164" xr:uid="{00000000-0005-0000-0000-0000D34A0000}"/>
    <cellStyle name="Normal 3 11 14" xfId="19165" xr:uid="{00000000-0005-0000-0000-0000D44A0000}"/>
    <cellStyle name="Normal 3 11 14 10" xfId="19166" xr:uid="{00000000-0005-0000-0000-0000D54A0000}"/>
    <cellStyle name="Normal 3 11 14 10 2" xfId="19167" xr:uid="{00000000-0005-0000-0000-0000D64A0000}"/>
    <cellStyle name="Normal 3 11 14 10 3" xfId="19168" xr:uid="{00000000-0005-0000-0000-0000D74A0000}"/>
    <cellStyle name="Normal 3 11 14 11" xfId="19169" xr:uid="{00000000-0005-0000-0000-0000D84A0000}"/>
    <cellStyle name="Normal 3 11 14 11 2" xfId="19170" xr:uid="{00000000-0005-0000-0000-0000D94A0000}"/>
    <cellStyle name="Normal 3 11 14 11 3" xfId="19171" xr:uid="{00000000-0005-0000-0000-0000DA4A0000}"/>
    <cellStyle name="Normal 3 11 14 12" xfId="19172" xr:uid="{00000000-0005-0000-0000-0000DB4A0000}"/>
    <cellStyle name="Normal 3 11 14 12 2" xfId="19173" xr:uid="{00000000-0005-0000-0000-0000DC4A0000}"/>
    <cellStyle name="Normal 3 11 14 12 3" xfId="19174" xr:uid="{00000000-0005-0000-0000-0000DD4A0000}"/>
    <cellStyle name="Normal 3 11 14 13" xfId="19175" xr:uid="{00000000-0005-0000-0000-0000DE4A0000}"/>
    <cellStyle name="Normal 3 11 14 13 2" xfId="19176" xr:uid="{00000000-0005-0000-0000-0000DF4A0000}"/>
    <cellStyle name="Normal 3 11 14 13 3" xfId="19177" xr:uid="{00000000-0005-0000-0000-0000E04A0000}"/>
    <cellStyle name="Normal 3 11 14 14" xfId="19178" xr:uid="{00000000-0005-0000-0000-0000E14A0000}"/>
    <cellStyle name="Normal 3 11 14 14 2" xfId="19179" xr:uid="{00000000-0005-0000-0000-0000E24A0000}"/>
    <cellStyle name="Normal 3 11 14 14 3" xfId="19180" xr:uid="{00000000-0005-0000-0000-0000E34A0000}"/>
    <cellStyle name="Normal 3 11 14 15" xfId="19181" xr:uid="{00000000-0005-0000-0000-0000E44A0000}"/>
    <cellStyle name="Normal 3 11 14 15 2" xfId="19182" xr:uid="{00000000-0005-0000-0000-0000E54A0000}"/>
    <cellStyle name="Normal 3 11 14 15 3" xfId="19183" xr:uid="{00000000-0005-0000-0000-0000E64A0000}"/>
    <cellStyle name="Normal 3 11 14 16" xfId="19184" xr:uid="{00000000-0005-0000-0000-0000E74A0000}"/>
    <cellStyle name="Normal 3 11 14 17" xfId="19185" xr:uid="{00000000-0005-0000-0000-0000E84A0000}"/>
    <cellStyle name="Normal 3 11 14 2" xfId="19186" xr:uid="{00000000-0005-0000-0000-0000E94A0000}"/>
    <cellStyle name="Normal 3 11 14 2 10" xfId="19187" xr:uid="{00000000-0005-0000-0000-0000EA4A0000}"/>
    <cellStyle name="Normal 3 11 14 2 10 2" xfId="19188" xr:uid="{00000000-0005-0000-0000-0000EB4A0000}"/>
    <cellStyle name="Normal 3 11 14 2 10 3" xfId="19189" xr:uid="{00000000-0005-0000-0000-0000EC4A0000}"/>
    <cellStyle name="Normal 3 11 14 2 11" xfId="19190" xr:uid="{00000000-0005-0000-0000-0000ED4A0000}"/>
    <cellStyle name="Normal 3 11 14 2 11 2" xfId="19191" xr:uid="{00000000-0005-0000-0000-0000EE4A0000}"/>
    <cellStyle name="Normal 3 11 14 2 11 3" xfId="19192" xr:uid="{00000000-0005-0000-0000-0000EF4A0000}"/>
    <cellStyle name="Normal 3 11 14 2 12" xfId="19193" xr:uid="{00000000-0005-0000-0000-0000F04A0000}"/>
    <cellStyle name="Normal 3 11 14 2 12 2" xfId="19194" xr:uid="{00000000-0005-0000-0000-0000F14A0000}"/>
    <cellStyle name="Normal 3 11 14 2 12 3" xfId="19195" xr:uid="{00000000-0005-0000-0000-0000F24A0000}"/>
    <cellStyle name="Normal 3 11 14 2 13" xfId="19196" xr:uid="{00000000-0005-0000-0000-0000F34A0000}"/>
    <cellStyle name="Normal 3 11 14 2 13 2" xfId="19197" xr:uid="{00000000-0005-0000-0000-0000F44A0000}"/>
    <cellStyle name="Normal 3 11 14 2 13 3" xfId="19198" xr:uid="{00000000-0005-0000-0000-0000F54A0000}"/>
    <cellStyle name="Normal 3 11 14 2 14" xfId="19199" xr:uid="{00000000-0005-0000-0000-0000F64A0000}"/>
    <cellStyle name="Normal 3 11 14 2 14 2" xfId="19200" xr:uid="{00000000-0005-0000-0000-0000F74A0000}"/>
    <cellStyle name="Normal 3 11 14 2 14 3" xfId="19201" xr:uid="{00000000-0005-0000-0000-0000F84A0000}"/>
    <cellStyle name="Normal 3 11 14 2 15" xfId="19202" xr:uid="{00000000-0005-0000-0000-0000F94A0000}"/>
    <cellStyle name="Normal 3 11 14 2 16" xfId="19203" xr:uid="{00000000-0005-0000-0000-0000FA4A0000}"/>
    <cellStyle name="Normal 3 11 14 2 2" xfId="19204" xr:uid="{00000000-0005-0000-0000-0000FB4A0000}"/>
    <cellStyle name="Normal 3 11 14 2 2 2" xfId="19205" xr:uid="{00000000-0005-0000-0000-0000FC4A0000}"/>
    <cellStyle name="Normal 3 11 14 2 2 3" xfId="19206" xr:uid="{00000000-0005-0000-0000-0000FD4A0000}"/>
    <cellStyle name="Normal 3 11 14 2 3" xfId="19207" xr:uid="{00000000-0005-0000-0000-0000FE4A0000}"/>
    <cellStyle name="Normal 3 11 14 2 3 2" xfId="19208" xr:uid="{00000000-0005-0000-0000-0000FF4A0000}"/>
    <cellStyle name="Normal 3 11 14 2 3 3" xfId="19209" xr:uid="{00000000-0005-0000-0000-0000004B0000}"/>
    <cellStyle name="Normal 3 11 14 2 4" xfId="19210" xr:uid="{00000000-0005-0000-0000-0000014B0000}"/>
    <cellStyle name="Normal 3 11 14 2 4 2" xfId="19211" xr:uid="{00000000-0005-0000-0000-0000024B0000}"/>
    <cellStyle name="Normal 3 11 14 2 4 3" xfId="19212" xr:uid="{00000000-0005-0000-0000-0000034B0000}"/>
    <cellStyle name="Normal 3 11 14 2 5" xfId="19213" xr:uid="{00000000-0005-0000-0000-0000044B0000}"/>
    <cellStyle name="Normal 3 11 14 2 5 2" xfId="19214" xr:uid="{00000000-0005-0000-0000-0000054B0000}"/>
    <cellStyle name="Normal 3 11 14 2 5 3" xfId="19215" xr:uid="{00000000-0005-0000-0000-0000064B0000}"/>
    <cellStyle name="Normal 3 11 14 2 6" xfId="19216" xr:uid="{00000000-0005-0000-0000-0000074B0000}"/>
    <cellStyle name="Normal 3 11 14 2 6 2" xfId="19217" xr:uid="{00000000-0005-0000-0000-0000084B0000}"/>
    <cellStyle name="Normal 3 11 14 2 6 3" xfId="19218" xr:uid="{00000000-0005-0000-0000-0000094B0000}"/>
    <cellStyle name="Normal 3 11 14 2 7" xfId="19219" xr:uid="{00000000-0005-0000-0000-00000A4B0000}"/>
    <cellStyle name="Normal 3 11 14 2 7 2" xfId="19220" xr:uid="{00000000-0005-0000-0000-00000B4B0000}"/>
    <cellStyle name="Normal 3 11 14 2 7 3" xfId="19221" xr:uid="{00000000-0005-0000-0000-00000C4B0000}"/>
    <cellStyle name="Normal 3 11 14 2 8" xfId="19222" xr:uid="{00000000-0005-0000-0000-00000D4B0000}"/>
    <cellStyle name="Normal 3 11 14 2 8 2" xfId="19223" xr:uid="{00000000-0005-0000-0000-00000E4B0000}"/>
    <cellStyle name="Normal 3 11 14 2 8 3" xfId="19224" xr:uid="{00000000-0005-0000-0000-00000F4B0000}"/>
    <cellStyle name="Normal 3 11 14 2 9" xfId="19225" xr:uid="{00000000-0005-0000-0000-0000104B0000}"/>
    <cellStyle name="Normal 3 11 14 2 9 2" xfId="19226" xr:uid="{00000000-0005-0000-0000-0000114B0000}"/>
    <cellStyle name="Normal 3 11 14 2 9 3" xfId="19227" xr:uid="{00000000-0005-0000-0000-0000124B0000}"/>
    <cellStyle name="Normal 3 11 14 3" xfId="19228" xr:uid="{00000000-0005-0000-0000-0000134B0000}"/>
    <cellStyle name="Normal 3 11 14 3 2" xfId="19229" xr:uid="{00000000-0005-0000-0000-0000144B0000}"/>
    <cellStyle name="Normal 3 11 14 3 3" xfId="19230" xr:uid="{00000000-0005-0000-0000-0000154B0000}"/>
    <cellStyle name="Normal 3 11 14 4" xfId="19231" xr:uid="{00000000-0005-0000-0000-0000164B0000}"/>
    <cellStyle name="Normal 3 11 14 4 2" xfId="19232" xr:uid="{00000000-0005-0000-0000-0000174B0000}"/>
    <cellStyle name="Normal 3 11 14 4 3" xfId="19233" xr:uid="{00000000-0005-0000-0000-0000184B0000}"/>
    <cellStyle name="Normal 3 11 14 5" xfId="19234" xr:uid="{00000000-0005-0000-0000-0000194B0000}"/>
    <cellStyle name="Normal 3 11 14 5 2" xfId="19235" xr:uid="{00000000-0005-0000-0000-00001A4B0000}"/>
    <cellStyle name="Normal 3 11 14 5 3" xfId="19236" xr:uid="{00000000-0005-0000-0000-00001B4B0000}"/>
    <cellStyle name="Normal 3 11 14 6" xfId="19237" xr:uid="{00000000-0005-0000-0000-00001C4B0000}"/>
    <cellStyle name="Normal 3 11 14 6 2" xfId="19238" xr:uid="{00000000-0005-0000-0000-00001D4B0000}"/>
    <cellStyle name="Normal 3 11 14 6 3" xfId="19239" xr:uid="{00000000-0005-0000-0000-00001E4B0000}"/>
    <cellStyle name="Normal 3 11 14 7" xfId="19240" xr:uid="{00000000-0005-0000-0000-00001F4B0000}"/>
    <cellStyle name="Normal 3 11 14 7 2" xfId="19241" xr:uid="{00000000-0005-0000-0000-0000204B0000}"/>
    <cellStyle name="Normal 3 11 14 7 3" xfId="19242" xr:uid="{00000000-0005-0000-0000-0000214B0000}"/>
    <cellStyle name="Normal 3 11 14 8" xfId="19243" xr:uid="{00000000-0005-0000-0000-0000224B0000}"/>
    <cellStyle name="Normal 3 11 14 8 2" xfId="19244" xr:uid="{00000000-0005-0000-0000-0000234B0000}"/>
    <cellStyle name="Normal 3 11 14 8 3" xfId="19245" xr:uid="{00000000-0005-0000-0000-0000244B0000}"/>
    <cellStyle name="Normal 3 11 14 9" xfId="19246" xr:uid="{00000000-0005-0000-0000-0000254B0000}"/>
    <cellStyle name="Normal 3 11 14 9 2" xfId="19247" xr:uid="{00000000-0005-0000-0000-0000264B0000}"/>
    <cellStyle name="Normal 3 11 14 9 3" xfId="19248" xr:uid="{00000000-0005-0000-0000-0000274B0000}"/>
    <cellStyle name="Normal 3 11 15" xfId="19249" xr:uid="{00000000-0005-0000-0000-0000284B0000}"/>
    <cellStyle name="Normal 3 11 15 10" xfId="19250" xr:uid="{00000000-0005-0000-0000-0000294B0000}"/>
    <cellStyle name="Normal 3 11 15 10 2" xfId="19251" xr:uid="{00000000-0005-0000-0000-00002A4B0000}"/>
    <cellStyle name="Normal 3 11 15 10 3" xfId="19252" xr:uid="{00000000-0005-0000-0000-00002B4B0000}"/>
    <cellStyle name="Normal 3 11 15 11" xfId="19253" xr:uid="{00000000-0005-0000-0000-00002C4B0000}"/>
    <cellStyle name="Normal 3 11 15 11 2" xfId="19254" xr:uid="{00000000-0005-0000-0000-00002D4B0000}"/>
    <cellStyle name="Normal 3 11 15 11 3" xfId="19255" xr:uid="{00000000-0005-0000-0000-00002E4B0000}"/>
    <cellStyle name="Normal 3 11 15 12" xfId="19256" xr:uid="{00000000-0005-0000-0000-00002F4B0000}"/>
    <cellStyle name="Normal 3 11 15 12 2" xfId="19257" xr:uid="{00000000-0005-0000-0000-0000304B0000}"/>
    <cellStyle name="Normal 3 11 15 12 3" xfId="19258" xr:uid="{00000000-0005-0000-0000-0000314B0000}"/>
    <cellStyle name="Normal 3 11 15 13" xfId="19259" xr:uid="{00000000-0005-0000-0000-0000324B0000}"/>
    <cellStyle name="Normal 3 11 15 13 2" xfId="19260" xr:uid="{00000000-0005-0000-0000-0000334B0000}"/>
    <cellStyle name="Normal 3 11 15 13 3" xfId="19261" xr:uid="{00000000-0005-0000-0000-0000344B0000}"/>
    <cellStyle name="Normal 3 11 15 14" xfId="19262" xr:uid="{00000000-0005-0000-0000-0000354B0000}"/>
    <cellStyle name="Normal 3 11 15 14 2" xfId="19263" xr:uid="{00000000-0005-0000-0000-0000364B0000}"/>
    <cellStyle name="Normal 3 11 15 14 3" xfId="19264" xr:uid="{00000000-0005-0000-0000-0000374B0000}"/>
    <cellStyle name="Normal 3 11 15 15" xfId="19265" xr:uid="{00000000-0005-0000-0000-0000384B0000}"/>
    <cellStyle name="Normal 3 11 15 15 2" xfId="19266" xr:uid="{00000000-0005-0000-0000-0000394B0000}"/>
    <cellStyle name="Normal 3 11 15 15 3" xfId="19267" xr:uid="{00000000-0005-0000-0000-00003A4B0000}"/>
    <cellStyle name="Normal 3 11 15 16" xfId="19268" xr:uid="{00000000-0005-0000-0000-00003B4B0000}"/>
    <cellStyle name="Normal 3 11 15 17" xfId="19269" xr:uid="{00000000-0005-0000-0000-00003C4B0000}"/>
    <cellStyle name="Normal 3 11 15 2" xfId="19270" xr:uid="{00000000-0005-0000-0000-00003D4B0000}"/>
    <cellStyle name="Normal 3 11 15 2 10" xfId="19271" xr:uid="{00000000-0005-0000-0000-00003E4B0000}"/>
    <cellStyle name="Normal 3 11 15 2 10 2" xfId="19272" xr:uid="{00000000-0005-0000-0000-00003F4B0000}"/>
    <cellStyle name="Normal 3 11 15 2 10 3" xfId="19273" xr:uid="{00000000-0005-0000-0000-0000404B0000}"/>
    <cellStyle name="Normal 3 11 15 2 11" xfId="19274" xr:uid="{00000000-0005-0000-0000-0000414B0000}"/>
    <cellStyle name="Normal 3 11 15 2 11 2" xfId="19275" xr:uid="{00000000-0005-0000-0000-0000424B0000}"/>
    <cellStyle name="Normal 3 11 15 2 11 3" xfId="19276" xr:uid="{00000000-0005-0000-0000-0000434B0000}"/>
    <cellStyle name="Normal 3 11 15 2 12" xfId="19277" xr:uid="{00000000-0005-0000-0000-0000444B0000}"/>
    <cellStyle name="Normal 3 11 15 2 12 2" xfId="19278" xr:uid="{00000000-0005-0000-0000-0000454B0000}"/>
    <cellStyle name="Normal 3 11 15 2 12 3" xfId="19279" xr:uid="{00000000-0005-0000-0000-0000464B0000}"/>
    <cellStyle name="Normal 3 11 15 2 13" xfId="19280" xr:uid="{00000000-0005-0000-0000-0000474B0000}"/>
    <cellStyle name="Normal 3 11 15 2 13 2" xfId="19281" xr:uid="{00000000-0005-0000-0000-0000484B0000}"/>
    <cellStyle name="Normal 3 11 15 2 13 3" xfId="19282" xr:uid="{00000000-0005-0000-0000-0000494B0000}"/>
    <cellStyle name="Normal 3 11 15 2 14" xfId="19283" xr:uid="{00000000-0005-0000-0000-00004A4B0000}"/>
    <cellStyle name="Normal 3 11 15 2 14 2" xfId="19284" xr:uid="{00000000-0005-0000-0000-00004B4B0000}"/>
    <cellStyle name="Normal 3 11 15 2 14 3" xfId="19285" xr:uid="{00000000-0005-0000-0000-00004C4B0000}"/>
    <cellStyle name="Normal 3 11 15 2 15" xfId="19286" xr:uid="{00000000-0005-0000-0000-00004D4B0000}"/>
    <cellStyle name="Normal 3 11 15 2 16" xfId="19287" xr:uid="{00000000-0005-0000-0000-00004E4B0000}"/>
    <cellStyle name="Normal 3 11 15 2 2" xfId="19288" xr:uid="{00000000-0005-0000-0000-00004F4B0000}"/>
    <cellStyle name="Normal 3 11 15 2 2 2" xfId="19289" xr:uid="{00000000-0005-0000-0000-0000504B0000}"/>
    <cellStyle name="Normal 3 11 15 2 2 3" xfId="19290" xr:uid="{00000000-0005-0000-0000-0000514B0000}"/>
    <cellStyle name="Normal 3 11 15 2 3" xfId="19291" xr:uid="{00000000-0005-0000-0000-0000524B0000}"/>
    <cellStyle name="Normal 3 11 15 2 3 2" xfId="19292" xr:uid="{00000000-0005-0000-0000-0000534B0000}"/>
    <cellStyle name="Normal 3 11 15 2 3 3" xfId="19293" xr:uid="{00000000-0005-0000-0000-0000544B0000}"/>
    <cellStyle name="Normal 3 11 15 2 4" xfId="19294" xr:uid="{00000000-0005-0000-0000-0000554B0000}"/>
    <cellStyle name="Normal 3 11 15 2 4 2" xfId="19295" xr:uid="{00000000-0005-0000-0000-0000564B0000}"/>
    <cellStyle name="Normal 3 11 15 2 4 3" xfId="19296" xr:uid="{00000000-0005-0000-0000-0000574B0000}"/>
    <cellStyle name="Normal 3 11 15 2 5" xfId="19297" xr:uid="{00000000-0005-0000-0000-0000584B0000}"/>
    <cellStyle name="Normal 3 11 15 2 5 2" xfId="19298" xr:uid="{00000000-0005-0000-0000-0000594B0000}"/>
    <cellStyle name="Normal 3 11 15 2 5 3" xfId="19299" xr:uid="{00000000-0005-0000-0000-00005A4B0000}"/>
    <cellStyle name="Normal 3 11 15 2 6" xfId="19300" xr:uid="{00000000-0005-0000-0000-00005B4B0000}"/>
    <cellStyle name="Normal 3 11 15 2 6 2" xfId="19301" xr:uid="{00000000-0005-0000-0000-00005C4B0000}"/>
    <cellStyle name="Normal 3 11 15 2 6 3" xfId="19302" xr:uid="{00000000-0005-0000-0000-00005D4B0000}"/>
    <cellStyle name="Normal 3 11 15 2 7" xfId="19303" xr:uid="{00000000-0005-0000-0000-00005E4B0000}"/>
    <cellStyle name="Normal 3 11 15 2 7 2" xfId="19304" xr:uid="{00000000-0005-0000-0000-00005F4B0000}"/>
    <cellStyle name="Normal 3 11 15 2 7 3" xfId="19305" xr:uid="{00000000-0005-0000-0000-0000604B0000}"/>
    <cellStyle name="Normal 3 11 15 2 8" xfId="19306" xr:uid="{00000000-0005-0000-0000-0000614B0000}"/>
    <cellStyle name="Normal 3 11 15 2 8 2" xfId="19307" xr:uid="{00000000-0005-0000-0000-0000624B0000}"/>
    <cellStyle name="Normal 3 11 15 2 8 3" xfId="19308" xr:uid="{00000000-0005-0000-0000-0000634B0000}"/>
    <cellStyle name="Normal 3 11 15 2 9" xfId="19309" xr:uid="{00000000-0005-0000-0000-0000644B0000}"/>
    <cellStyle name="Normal 3 11 15 2 9 2" xfId="19310" xr:uid="{00000000-0005-0000-0000-0000654B0000}"/>
    <cellStyle name="Normal 3 11 15 2 9 3" xfId="19311" xr:uid="{00000000-0005-0000-0000-0000664B0000}"/>
    <cellStyle name="Normal 3 11 15 3" xfId="19312" xr:uid="{00000000-0005-0000-0000-0000674B0000}"/>
    <cellStyle name="Normal 3 11 15 3 2" xfId="19313" xr:uid="{00000000-0005-0000-0000-0000684B0000}"/>
    <cellStyle name="Normal 3 11 15 3 3" xfId="19314" xr:uid="{00000000-0005-0000-0000-0000694B0000}"/>
    <cellStyle name="Normal 3 11 15 4" xfId="19315" xr:uid="{00000000-0005-0000-0000-00006A4B0000}"/>
    <cellStyle name="Normal 3 11 15 4 2" xfId="19316" xr:uid="{00000000-0005-0000-0000-00006B4B0000}"/>
    <cellStyle name="Normal 3 11 15 4 3" xfId="19317" xr:uid="{00000000-0005-0000-0000-00006C4B0000}"/>
    <cellStyle name="Normal 3 11 15 5" xfId="19318" xr:uid="{00000000-0005-0000-0000-00006D4B0000}"/>
    <cellStyle name="Normal 3 11 15 5 2" xfId="19319" xr:uid="{00000000-0005-0000-0000-00006E4B0000}"/>
    <cellStyle name="Normal 3 11 15 5 3" xfId="19320" xr:uid="{00000000-0005-0000-0000-00006F4B0000}"/>
    <cellStyle name="Normal 3 11 15 6" xfId="19321" xr:uid="{00000000-0005-0000-0000-0000704B0000}"/>
    <cellStyle name="Normal 3 11 15 6 2" xfId="19322" xr:uid="{00000000-0005-0000-0000-0000714B0000}"/>
    <cellStyle name="Normal 3 11 15 6 3" xfId="19323" xr:uid="{00000000-0005-0000-0000-0000724B0000}"/>
    <cellStyle name="Normal 3 11 15 7" xfId="19324" xr:uid="{00000000-0005-0000-0000-0000734B0000}"/>
    <cellStyle name="Normal 3 11 15 7 2" xfId="19325" xr:uid="{00000000-0005-0000-0000-0000744B0000}"/>
    <cellStyle name="Normal 3 11 15 7 3" xfId="19326" xr:uid="{00000000-0005-0000-0000-0000754B0000}"/>
    <cellStyle name="Normal 3 11 15 8" xfId="19327" xr:uid="{00000000-0005-0000-0000-0000764B0000}"/>
    <cellStyle name="Normal 3 11 15 8 2" xfId="19328" xr:uid="{00000000-0005-0000-0000-0000774B0000}"/>
    <cellStyle name="Normal 3 11 15 8 3" xfId="19329" xr:uid="{00000000-0005-0000-0000-0000784B0000}"/>
    <cellStyle name="Normal 3 11 15 9" xfId="19330" xr:uid="{00000000-0005-0000-0000-0000794B0000}"/>
    <cellStyle name="Normal 3 11 15 9 2" xfId="19331" xr:uid="{00000000-0005-0000-0000-00007A4B0000}"/>
    <cellStyle name="Normal 3 11 15 9 3" xfId="19332" xr:uid="{00000000-0005-0000-0000-00007B4B0000}"/>
    <cellStyle name="Normal 3 11 16" xfId="19333" xr:uid="{00000000-0005-0000-0000-00007C4B0000}"/>
    <cellStyle name="Normal 3 11 16 10" xfId="19334" xr:uid="{00000000-0005-0000-0000-00007D4B0000}"/>
    <cellStyle name="Normal 3 11 16 10 2" xfId="19335" xr:uid="{00000000-0005-0000-0000-00007E4B0000}"/>
    <cellStyle name="Normal 3 11 16 10 3" xfId="19336" xr:uid="{00000000-0005-0000-0000-00007F4B0000}"/>
    <cellStyle name="Normal 3 11 16 11" xfId="19337" xr:uid="{00000000-0005-0000-0000-0000804B0000}"/>
    <cellStyle name="Normal 3 11 16 11 2" xfId="19338" xr:uid="{00000000-0005-0000-0000-0000814B0000}"/>
    <cellStyle name="Normal 3 11 16 11 3" xfId="19339" xr:uid="{00000000-0005-0000-0000-0000824B0000}"/>
    <cellStyle name="Normal 3 11 16 12" xfId="19340" xr:uid="{00000000-0005-0000-0000-0000834B0000}"/>
    <cellStyle name="Normal 3 11 16 12 2" xfId="19341" xr:uid="{00000000-0005-0000-0000-0000844B0000}"/>
    <cellStyle name="Normal 3 11 16 12 3" xfId="19342" xr:uid="{00000000-0005-0000-0000-0000854B0000}"/>
    <cellStyle name="Normal 3 11 16 13" xfId="19343" xr:uid="{00000000-0005-0000-0000-0000864B0000}"/>
    <cellStyle name="Normal 3 11 16 13 2" xfId="19344" xr:uid="{00000000-0005-0000-0000-0000874B0000}"/>
    <cellStyle name="Normal 3 11 16 13 3" xfId="19345" xr:uid="{00000000-0005-0000-0000-0000884B0000}"/>
    <cellStyle name="Normal 3 11 16 14" xfId="19346" xr:uid="{00000000-0005-0000-0000-0000894B0000}"/>
    <cellStyle name="Normal 3 11 16 14 2" xfId="19347" xr:uid="{00000000-0005-0000-0000-00008A4B0000}"/>
    <cellStyle name="Normal 3 11 16 14 3" xfId="19348" xr:uid="{00000000-0005-0000-0000-00008B4B0000}"/>
    <cellStyle name="Normal 3 11 16 15" xfId="19349" xr:uid="{00000000-0005-0000-0000-00008C4B0000}"/>
    <cellStyle name="Normal 3 11 16 15 2" xfId="19350" xr:uid="{00000000-0005-0000-0000-00008D4B0000}"/>
    <cellStyle name="Normal 3 11 16 15 3" xfId="19351" xr:uid="{00000000-0005-0000-0000-00008E4B0000}"/>
    <cellStyle name="Normal 3 11 16 16" xfId="19352" xr:uid="{00000000-0005-0000-0000-00008F4B0000}"/>
    <cellStyle name="Normal 3 11 16 17" xfId="19353" xr:uid="{00000000-0005-0000-0000-0000904B0000}"/>
    <cellStyle name="Normal 3 11 16 2" xfId="19354" xr:uid="{00000000-0005-0000-0000-0000914B0000}"/>
    <cellStyle name="Normal 3 11 16 2 10" xfId="19355" xr:uid="{00000000-0005-0000-0000-0000924B0000}"/>
    <cellStyle name="Normal 3 11 16 2 10 2" xfId="19356" xr:uid="{00000000-0005-0000-0000-0000934B0000}"/>
    <cellStyle name="Normal 3 11 16 2 10 3" xfId="19357" xr:uid="{00000000-0005-0000-0000-0000944B0000}"/>
    <cellStyle name="Normal 3 11 16 2 11" xfId="19358" xr:uid="{00000000-0005-0000-0000-0000954B0000}"/>
    <cellStyle name="Normal 3 11 16 2 11 2" xfId="19359" xr:uid="{00000000-0005-0000-0000-0000964B0000}"/>
    <cellStyle name="Normal 3 11 16 2 11 3" xfId="19360" xr:uid="{00000000-0005-0000-0000-0000974B0000}"/>
    <cellStyle name="Normal 3 11 16 2 12" xfId="19361" xr:uid="{00000000-0005-0000-0000-0000984B0000}"/>
    <cellStyle name="Normal 3 11 16 2 12 2" xfId="19362" xr:uid="{00000000-0005-0000-0000-0000994B0000}"/>
    <cellStyle name="Normal 3 11 16 2 12 3" xfId="19363" xr:uid="{00000000-0005-0000-0000-00009A4B0000}"/>
    <cellStyle name="Normal 3 11 16 2 13" xfId="19364" xr:uid="{00000000-0005-0000-0000-00009B4B0000}"/>
    <cellStyle name="Normal 3 11 16 2 13 2" xfId="19365" xr:uid="{00000000-0005-0000-0000-00009C4B0000}"/>
    <cellStyle name="Normal 3 11 16 2 13 3" xfId="19366" xr:uid="{00000000-0005-0000-0000-00009D4B0000}"/>
    <cellStyle name="Normal 3 11 16 2 14" xfId="19367" xr:uid="{00000000-0005-0000-0000-00009E4B0000}"/>
    <cellStyle name="Normal 3 11 16 2 14 2" xfId="19368" xr:uid="{00000000-0005-0000-0000-00009F4B0000}"/>
    <cellStyle name="Normal 3 11 16 2 14 3" xfId="19369" xr:uid="{00000000-0005-0000-0000-0000A04B0000}"/>
    <cellStyle name="Normal 3 11 16 2 15" xfId="19370" xr:uid="{00000000-0005-0000-0000-0000A14B0000}"/>
    <cellStyle name="Normal 3 11 16 2 16" xfId="19371" xr:uid="{00000000-0005-0000-0000-0000A24B0000}"/>
    <cellStyle name="Normal 3 11 16 2 2" xfId="19372" xr:uid="{00000000-0005-0000-0000-0000A34B0000}"/>
    <cellStyle name="Normal 3 11 16 2 2 2" xfId="19373" xr:uid="{00000000-0005-0000-0000-0000A44B0000}"/>
    <cellStyle name="Normal 3 11 16 2 2 3" xfId="19374" xr:uid="{00000000-0005-0000-0000-0000A54B0000}"/>
    <cellStyle name="Normal 3 11 16 2 3" xfId="19375" xr:uid="{00000000-0005-0000-0000-0000A64B0000}"/>
    <cellStyle name="Normal 3 11 16 2 3 2" xfId="19376" xr:uid="{00000000-0005-0000-0000-0000A74B0000}"/>
    <cellStyle name="Normal 3 11 16 2 3 3" xfId="19377" xr:uid="{00000000-0005-0000-0000-0000A84B0000}"/>
    <cellStyle name="Normal 3 11 16 2 4" xfId="19378" xr:uid="{00000000-0005-0000-0000-0000A94B0000}"/>
    <cellStyle name="Normal 3 11 16 2 4 2" xfId="19379" xr:uid="{00000000-0005-0000-0000-0000AA4B0000}"/>
    <cellStyle name="Normal 3 11 16 2 4 3" xfId="19380" xr:uid="{00000000-0005-0000-0000-0000AB4B0000}"/>
    <cellStyle name="Normal 3 11 16 2 5" xfId="19381" xr:uid="{00000000-0005-0000-0000-0000AC4B0000}"/>
    <cellStyle name="Normal 3 11 16 2 5 2" xfId="19382" xr:uid="{00000000-0005-0000-0000-0000AD4B0000}"/>
    <cellStyle name="Normal 3 11 16 2 5 3" xfId="19383" xr:uid="{00000000-0005-0000-0000-0000AE4B0000}"/>
    <cellStyle name="Normal 3 11 16 2 6" xfId="19384" xr:uid="{00000000-0005-0000-0000-0000AF4B0000}"/>
    <cellStyle name="Normal 3 11 16 2 6 2" xfId="19385" xr:uid="{00000000-0005-0000-0000-0000B04B0000}"/>
    <cellStyle name="Normal 3 11 16 2 6 3" xfId="19386" xr:uid="{00000000-0005-0000-0000-0000B14B0000}"/>
    <cellStyle name="Normal 3 11 16 2 7" xfId="19387" xr:uid="{00000000-0005-0000-0000-0000B24B0000}"/>
    <cellStyle name="Normal 3 11 16 2 7 2" xfId="19388" xr:uid="{00000000-0005-0000-0000-0000B34B0000}"/>
    <cellStyle name="Normal 3 11 16 2 7 3" xfId="19389" xr:uid="{00000000-0005-0000-0000-0000B44B0000}"/>
    <cellStyle name="Normal 3 11 16 2 8" xfId="19390" xr:uid="{00000000-0005-0000-0000-0000B54B0000}"/>
    <cellStyle name="Normal 3 11 16 2 8 2" xfId="19391" xr:uid="{00000000-0005-0000-0000-0000B64B0000}"/>
    <cellStyle name="Normal 3 11 16 2 8 3" xfId="19392" xr:uid="{00000000-0005-0000-0000-0000B74B0000}"/>
    <cellStyle name="Normal 3 11 16 2 9" xfId="19393" xr:uid="{00000000-0005-0000-0000-0000B84B0000}"/>
    <cellStyle name="Normal 3 11 16 2 9 2" xfId="19394" xr:uid="{00000000-0005-0000-0000-0000B94B0000}"/>
    <cellStyle name="Normal 3 11 16 2 9 3" xfId="19395" xr:uid="{00000000-0005-0000-0000-0000BA4B0000}"/>
    <cellStyle name="Normal 3 11 16 3" xfId="19396" xr:uid="{00000000-0005-0000-0000-0000BB4B0000}"/>
    <cellStyle name="Normal 3 11 16 3 2" xfId="19397" xr:uid="{00000000-0005-0000-0000-0000BC4B0000}"/>
    <cellStyle name="Normal 3 11 16 3 3" xfId="19398" xr:uid="{00000000-0005-0000-0000-0000BD4B0000}"/>
    <cellStyle name="Normal 3 11 16 4" xfId="19399" xr:uid="{00000000-0005-0000-0000-0000BE4B0000}"/>
    <cellStyle name="Normal 3 11 16 4 2" xfId="19400" xr:uid="{00000000-0005-0000-0000-0000BF4B0000}"/>
    <cellStyle name="Normal 3 11 16 4 3" xfId="19401" xr:uid="{00000000-0005-0000-0000-0000C04B0000}"/>
    <cellStyle name="Normal 3 11 16 5" xfId="19402" xr:uid="{00000000-0005-0000-0000-0000C14B0000}"/>
    <cellStyle name="Normal 3 11 16 5 2" xfId="19403" xr:uid="{00000000-0005-0000-0000-0000C24B0000}"/>
    <cellStyle name="Normal 3 11 16 5 3" xfId="19404" xr:uid="{00000000-0005-0000-0000-0000C34B0000}"/>
    <cellStyle name="Normal 3 11 16 6" xfId="19405" xr:uid="{00000000-0005-0000-0000-0000C44B0000}"/>
    <cellStyle name="Normal 3 11 16 6 2" xfId="19406" xr:uid="{00000000-0005-0000-0000-0000C54B0000}"/>
    <cellStyle name="Normal 3 11 16 6 3" xfId="19407" xr:uid="{00000000-0005-0000-0000-0000C64B0000}"/>
    <cellStyle name="Normal 3 11 16 7" xfId="19408" xr:uid="{00000000-0005-0000-0000-0000C74B0000}"/>
    <cellStyle name="Normal 3 11 16 7 2" xfId="19409" xr:uid="{00000000-0005-0000-0000-0000C84B0000}"/>
    <cellStyle name="Normal 3 11 16 7 3" xfId="19410" xr:uid="{00000000-0005-0000-0000-0000C94B0000}"/>
    <cellStyle name="Normal 3 11 16 8" xfId="19411" xr:uid="{00000000-0005-0000-0000-0000CA4B0000}"/>
    <cellStyle name="Normal 3 11 16 8 2" xfId="19412" xr:uid="{00000000-0005-0000-0000-0000CB4B0000}"/>
    <cellStyle name="Normal 3 11 16 8 3" xfId="19413" xr:uid="{00000000-0005-0000-0000-0000CC4B0000}"/>
    <cellStyle name="Normal 3 11 16 9" xfId="19414" xr:uid="{00000000-0005-0000-0000-0000CD4B0000}"/>
    <cellStyle name="Normal 3 11 16 9 2" xfId="19415" xr:uid="{00000000-0005-0000-0000-0000CE4B0000}"/>
    <cellStyle name="Normal 3 11 16 9 3" xfId="19416" xr:uid="{00000000-0005-0000-0000-0000CF4B0000}"/>
    <cellStyle name="Normal 3 11 17" xfId="19417" xr:uid="{00000000-0005-0000-0000-0000D04B0000}"/>
    <cellStyle name="Normal 3 11 17 10" xfId="19418" xr:uid="{00000000-0005-0000-0000-0000D14B0000}"/>
    <cellStyle name="Normal 3 11 17 10 2" xfId="19419" xr:uid="{00000000-0005-0000-0000-0000D24B0000}"/>
    <cellStyle name="Normal 3 11 17 10 3" xfId="19420" xr:uid="{00000000-0005-0000-0000-0000D34B0000}"/>
    <cellStyle name="Normal 3 11 17 11" xfId="19421" xr:uid="{00000000-0005-0000-0000-0000D44B0000}"/>
    <cellStyle name="Normal 3 11 17 11 2" xfId="19422" xr:uid="{00000000-0005-0000-0000-0000D54B0000}"/>
    <cellStyle name="Normal 3 11 17 11 3" xfId="19423" xr:uid="{00000000-0005-0000-0000-0000D64B0000}"/>
    <cellStyle name="Normal 3 11 17 12" xfId="19424" xr:uid="{00000000-0005-0000-0000-0000D74B0000}"/>
    <cellStyle name="Normal 3 11 17 12 2" xfId="19425" xr:uid="{00000000-0005-0000-0000-0000D84B0000}"/>
    <cellStyle name="Normal 3 11 17 12 3" xfId="19426" xr:uid="{00000000-0005-0000-0000-0000D94B0000}"/>
    <cellStyle name="Normal 3 11 17 13" xfId="19427" xr:uid="{00000000-0005-0000-0000-0000DA4B0000}"/>
    <cellStyle name="Normal 3 11 17 13 2" xfId="19428" xr:uid="{00000000-0005-0000-0000-0000DB4B0000}"/>
    <cellStyle name="Normal 3 11 17 13 3" xfId="19429" xr:uid="{00000000-0005-0000-0000-0000DC4B0000}"/>
    <cellStyle name="Normal 3 11 17 14" xfId="19430" xr:uid="{00000000-0005-0000-0000-0000DD4B0000}"/>
    <cellStyle name="Normal 3 11 17 14 2" xfId="19431" xr:uid="{00000000-0005-0000-0000-0000DE4B0000}"/>
    <cellStyle name="Normal 3 11 17 14 3" xfId="19432" xr:uid="{00000000-0005-0000-0000-0000DF4B0000}"/>
    <cellStyle name="Normal 3 11 17 15" xfId="19433" xr:uid="{00000000-0005-0000-0000-0000E04B0000}"/>
    <cellStyle name="Normal 3 11 17 16" xfId="19434" xr:uid="{00000000-0005-0000-0000-0000E14B0000}"/>
    <cellStyle name="Normal 3 11 17 2" xfId="19435" xr:uid="{00000000-0005-0000-0000-0000E24B0000}"/>
    <cellStyle name="Normal 3 11 17 2 2" xfId="19436" xr:uid="{00000000-0005-0000-0000-0000E34B0000}"/>
    <cellStyle name="Normal 3 11 17 2 3" xfId="19437" xr:uid="{00000000-0005-0000-0000-0000E44B0000}"/>
    <cellStyle name="Normal 3 11 17 3" xfId="19438" xr:uid="{00000000-0005-0000-0000-0000E54B0000}"/>
    <cellStyle name="Normal 3 11 17 3 2" xfId="19439" xr:uid="{00000000-0005-0000-0000-0000E64B0000}"/>
    <cellStyle name="Normal 3 11 17 3 3" xfId="19440" xr:uid="{00000000-0005-0000-0000-0000E74B0000}"/>
    <cellStyle name="Normal 3 11 17 4" xfId="19441" xr:uid="{00000000-0005-0000-0000-0000E84B0000}"/>
    <cellStyle name="Normal 3 11 17 4 2" xfId="19442" xr:uid="{00000000-0005-0000-0000-0000E94B0000}"/>
    <cellStyle name="Normal 3 11 17 4 3" xfId="19443" xr:uid="{00000000-0005-0000-0000-0000EA4B0000}"/>
    <cellStyle name="Normal 3 11 17 5" xfId="19444" xr:uid="{00000000-0005-0000-0000-0000EB4B0000}"/>
    <cellStyle name="Normal 3 11 17 5 2" xfId="19445" xr:uid="{00000000-0005-0000-0000-0000EC4B0000}"/>
    <cellStyle name="Normal 3 11 17 5 3" xfId="19446" xr:uid="{00000000-0005-0000-0000-0000ED4B0000}"/>
    <cellStyle name="Normal 3 11 17 6" xfId="19447" xr:uid="{00000000-0005-0000-0000-0000EE4B0000}"/>
    <cellStyle name="Normal 3 11 17 6 2" xfId="19448" xr:uid="{00000000-0005-0000-0000-0000EF4B0000}"/>
    <cellStyle name="Normal 3 11 17 6 3" xfId="19449" xr:uid="{00000000-0005-0000-0000-0000F04B0000}"/>
    <cellStyle name="Normal 3 11 17 7" xfId="19450" xr:uid="{00000000-0005-0000-0000-0000F14B0000}"/>
    <cellStyle name="Normal 3 11 17 7 2" xfId="19451" xr:uid="{00000000-0005-0000-0000-0000F24B0000}"/>
    <cellStyle name="Normal 3 11 17 7 3" xfId="19452" xr:uid="{00000000-0005-0000-0000-0000F34B0000}"/>
    <cellStyle name="Normal 3 11 17 8" xfId="19453" xr:uid="{00000000-0005-0000-0000-0000F44B0000}"/>
    <cellStyle name="Normal 3 11 17 8 2" xfId="19454" xr:uid="{00000000-0005-0000-0000-0000F54B0000}"/>
    <cellStyle name="Normal 3 11 17 8 3" xfId="19455" xr:uid="{00000000-0005-0000-0000-0000F64B0000}"/>
    <cellStyle name="Normal 3 11 17 9" xfId="19456" xr:uid="{00000000-0005-0000-0000-0000F74B0000}"/>
    <cellStyle name="Normal 3 11 17 9 2" xfId="19457" xr:uid="{00000000-0005-0000-0000-0000F84B0000}"/>
    <cellStyle name="Normal 3 11 17 9 3" xfId="19458" xr:uid="{00000000-0005-0000-0000-0000F94B0000}"/>
    <cellStyle name="Normal 3 11 18" xfId="19459" xr:uid="{00000000-0005-0000-0000-0000FA4B0000}"/>
    <cellStyle name="Normal 3 11 18 10" xfId="19460" xr:uid="{00000000-0005-0000-0000-0000FB4B0000}"/>
    <cellStyle name="Normal 3 11 18 10 2" xfId="19461" xr:uid="{00000000-0005-0000-0000-0000FC4B0000}"/>
    <cellStyle name="Normal 3 11 18 10 3" xfId="19462" xr:uid="{00000000-0005-0000-0000-0000FD4B0000}"/>
    <cellStyle name="Normal 3 11 18 11" xfId="19463" xr:uid="{00000000-0005-0000-0000-0000FE4B0000}"/>
    <cellStyle name="Normal 3 11 18 11 2" xfId="19464" xr:uid="{00000000-0005-0000-0000-0000FF4B0000}"/>
    <cellStyle name="Normal 3 11 18 11 3" xfId="19465" xr:uid="{00000000-0005-0000-0000-0000004C0000}"/>
    <cellStyle name="Normal 3 11 18 12" xfId="19466" xr:uid="{00000000-0005-0000-0000-0000014C0000}"/>
    <cellStyle name="Normal 3 11 18 12 2" xfId="19467" xr:uid="{00000000-0005-0000-0000-0000024C0000}"/>
    <cellStyle name="Normal 3 11 18 12 3" xfId="19468" xr:uid="{00000000-0005-0000-0000-0000034C0000}"/>
    <cellStyle name="Normal 3 11 18 13" xfId="19469" xr:uid="{00000000-0005-0000-0000-0000044C0000}"/>
    <cellStyle name="Normal 3 11 18 13 2" xfId="19470" xr:uid="{00000000-0005-0000-0000-0000054C0000}"/>
    <cellStyle name="Normal 3 11 18 13 3" xfId="19471" xr:uid="{00000000-0005-0000-0000-0000064C0000}"/>
    <cellStyle name="Normal 3 11 18 14" xfId="19472" xr:uid="{00000000-0005-0000-0000-0000074C0000}"/>
    <cellStyle name="Normal 3 11 18 14 2" xfId="19473" xr:uid="{00000000-0005-0000-0000-0000084C0000}"/>
    <cellStyle name="Normal 3 11 18 14 3" xfId="19474" xr:uid="{00000000-0005-0000-0000-0000094C0000}"/>
    <cellStyle name="Normal 3 11 18 15" xfId="19475" xr:uid="{00000000-0005-0000-0000-00000A4C0000}"/>
    <cellStyle name="Normal 3 11 18 16" xfId="19476" xr:uid="{00000000-0005-0000-0000-00000B4C0000}"/>
    <cellStyle name="Normal 3 11 18 2" xfId="19477" xr:uid="{00000000-0005-0000-0000-00000C4C0000}"/>
    <cellStyle name="Normal 3 11 18 2 2" xfId="19478" xr:uid="{00000000-0005-0000-0000-00000D4C0000}"/>
    <cellStyle name="Normal 3 11 18 2 3" xfId="19479" xr:uid="{00000000-0005-0000-0000-00000E4C0000}"/>
    <cellStyle name="Normal 3 11 18 3" xfId="19480" xr:uid="{00000000-0005-0000-0000-00000F4C0000}"/>
    <cellStyle name="Normal 3 11 18 3 2" xfId="19481" xr:uid="{00000000-0005-0000-0000-0000104C0000}"/>
    <cellStyle name="Normal 3 11 18 3 3" xfId="19482" xr:uid="{00000000-0005-0000-0000-0000114C0000}"/>
    <cellStyle name="Normal 3 11 18 4" xfId="19483" xr:uid="{00000000-0005-0000-0000-0000124C0000}"/>
    <cellStyle name="Normal 3 11 18 4 2" xfId="19484" xr:uid="{00000000-0005-0000-0000-0000134C0000}"/>
    <cellStyle name="Normal 3 11 18 4 3" xfId="19485" xr:uid="{00000000-0005-0000-0000-0000144C0000}"/>
    <cellStyle name="Normal 3 11 18 5" xfId="19486" xr:uid="{00000000-0005-0000-0000-0000154C0000}"/>
    <cellStyle name="Normal 3 11 18 5 2" xfId="19487" xr:uid="{00000000-0005-0000-0000-0000164C0000}"/>
    <cellStyle name="Normal 3 11 18 5 3" xfId="19488" xr:uid="{00000000-0005-0000-0000-0000174C0000}"/>
    <cellStyle name="Normal 3 11 18 6" xfId="19489" xr:uid="{00000000-0005-0000-0000-0000184C0000}"/>
    <cellStyle name="Normal 3 11 18 6 2" xfId="19490" xr:uid="{00000000-0005-0000-0000-0000194C0000}"/>
    <cellStyle name="Normal 3 11 18 6 3" xfId="19491" xr:uid="{00000000-0005-0000-0000-00001A4C0000}"/>
    <cellStyle name="Normal 3 11 18 7" xfId="19492" xr:uid="{00000000-0005-0000-0000-00001B4C0000}"/>
    <cellStyle name="Normal 3 11 18 7 2" xfId="19493" xr:uid="{00000000-0005-0000-0000-00001C4C0000}"/>
    <cellStyle name="Normal 3 11 18 7 3" xfId="19494" xr:uid="{00000000-0005-0000-0000-00001D4C0000}"/>
    <cellStyle name="Normal 3 11 18 8" xfId="19495" xr:uid="{00000000-0005-0000-0000-00001E4C0000}"/>
    <cellStyle name="Normal 3 11 18 8 2" xfId="19496" xr:uid="{00000000-0005-0000-0000-00001F4C0000}"/>
    <cellStyle name="Normal 3 11 18 8 3" xfId="19497" xr:uid="{00000000-0005-0000-0000-0000204C0000}"/>
    <cellStyle name="Normal 3 11 18 9" xfId="19498" xr:uid="{00000000-0005-0000-0000-0000214C0000}"/>
    <cellStyle name="Normal 3 11 18 9 2" xfId="19499" xr:uid="{00000000-0005-0000-0000-0000224C0000}"/>
    <cellStyle name="Normal 3 11 18 9 3" xfId="19500" xr:uid="{00000000-0005-0000-0000-0000234C0000}"/>
    <cellStyle name="Normal 3 11 19" xfId="19501" xr:uid="{00000000-0005-0000-0000-0000244C0000}"/>
    <cellStyle name="Normal 3 11 19 10" xfId="19502" xr:uid="{00000000-0005-0000-0000-0000254C0000}"/>
    <cellStyle name="Normal 3 11 19 10 2" xfId="19503" xr:uid="{00000000-0005-0000-0000-0000264C0000}"/>
    <cellStyle name="Normal 3 11 19 10 3" xfId="19504" xr:uid="{00000000-0005-0000-0000-0000274C0000}"/>
    <cellStyle name="Normal 3 11 19 11" xfId="19505" xr:uid="{00000000-0005-0000-0000-0000284C0000}"/>
    <cellStyle name="Normal 3 11 19 11 2" xfId="19506" xr:uid="{00000000-0005-0000-0000-0000294C0000}"/>
    <cellStyle name="Normal 3 11 19 11 3" xfId="19507" xr:uid="{00000000-0005-0000-0000-00002A4C0000}"/>
    <cellStyle name="Normal 3 11 19 12" xfId="19508" xr:uid="{00000000-0005-0000-0000-00002B4C0000}"/>
    <cellStyle name="Normal 3 11 19 12 2" xfId="19509" xr:uid="{00000000-0005-0000-0000-00002C4C0000}"/>
    <cellStyle name="Normal 3 11 19 12 3" xfId="19510" xr:uid="{00000000-0005-0000-0000-00002D4C0000}"/>
    <cellStyle name="Normal 3 11 19 13" xfId="19511" xr:uid="{00000000-0005-0000-0000-00002E4C0000}"/>
    <cellStyle name="Normal 3 11 19 13 2" xfId="19512" xr:uid="{00000000-0005-0000-0000-00002F4C0000}"/>
    <cellStyle name="Normal 3 11 19 13 3" xfId="19513" xr:uid="{00000000-0005-0000-0000-0000304C0000}"/>
    <cellStyle name="Normal 3 11 19 14" xfId="19514" xr:uid="{00000000-0005-0000-0000-0000314C0000}"/>
    <cellStyle name="Normal 3 11 19 14 2" xfId="19515" xr:uid="{00000000-0005-0000-0000-0000324C0000}"/>
    <cellStyle name="Normal 3 11 19 14 3" xfId="19516" xr:uid="{00000000-0005-0000-0000-0000334C0000}"/>
    <cellStyle name="Normal 3 11 19 15" xfId="19517" xr:uid="{00000000-0005-0000-0000-0000344C0000}"/>
    <cellStyle name="Normal 3 11 19 16" xfId="19518" xr:uid="{00000000-0005-0000-0000-0000354C0000}"/>
    <cellStyle name="Normal 3 11 19 2" xfId="19519" xr:uid="{00000000-0005-0000-0000-0000364C0000}"/>
    <cellStyle name="Normal 3 11 19 2 2" xfId="19520" xr:uid="{00000000-0005-0000-0000-0000374C0000}"/>
    <cellStyle name="Normal 3 11 19 2 3" xfId="19521" xr:uid="{00000000-0005-0000-0000-0000384C0000}"/>
    <cellStyle name="Normal 3 11 19 3" xfId="19522" xr:uid="{00000000-0005-0000-0000-0000394C0000}"/>
    <cellStyle name="Normal 3 11 19 3 2" xfId="19523" xr:uid="{00000000-0005-0000-0000-00003A4C0000}"/>
    <cellStyle name="Normal 3 11 19 3 3" xfId="19524" xr:uid="{00000000-0005-0000-0000-00003B4C0000}"/>
    <cellStyle name="Normal 3 11 19 4" xfId="19525" xr:uid="{00000000-0005-0000-0000-00003C4C0000}"/>
    <cellStyle name="Normal 3 11 19 4 2" xfId="19526" xr:uid="{00000000-0005-0000-0000-00003D4C0000}"/>
    <cellStyle name="Normal 3 11 19 4 3" xfId="19527" xr:uid="{00000000-0005-0000-0000-00003E4C0000}"/>
    <cellStyle name="Normal 3 11 19 5" xfId="19528" xr:uid="{00000000-0005-0000-0000-00003F4C0000}"/>
    <cellStyle name="Normal 3 11 19 5 2" xfId="19529" xr:uid="{00000000-0005-0000-0000-0000404C0000}"/>
    <cellStyle name="Normal 3 11 19 5 3" xfId="19530" xr:uid="{00000000-0005-0000-0000-0000414C0000}"/>
    <cellStyle name="Normal 3 11 19 6" xfId="19531" xr:uid="{00000000-0005-0000-0000-0000424C0000}"/>
    <cellStyle name="Normal 3 11 19 6 2" xfId="19532" xr:uid="{00000000-0005-0000-0000-0000434C0000}"/>
    <cellStyle name="Normal 3 11 19 6 3" xfId="19533" xr:uid="{00000000-0005-0000-0000-0000444C0000}"/>
    <cellStyle name="Normal 3 11 19 7" xfId="19534" xr:uid="{00000000-0005-0000-0000-0000454C0000}"/>
    <cellStyle name="Normal 3 11 19 7 2" xfId="19535" xr:uid="{00000000-0005-0000-0000-0000464C0000}"/>
    <cellStyle name="Normal 3 11 19 7 3" xfId="19536" xr:uid="{00000000-0005-0000-0000-0000474C0000}"/>
    <cellStyle name="Normal 3 11 19 8" xfId="19537" xr:uid="{00000000-0005-0000-0000-0000484C0000}"/>
    <cellStyle name="Normal 3 11 19 8 2" xfId="19538" xr:uid="{00000000-0005-0000-0000-0000494C0000}"/>
    <cellStyle name="Normal 3 11 19 8 3" xfId="19539" xr:uid="{00000000-0005-0000-0000-00004A4C0000}"/>
    <cellStyle name="Normal 3 11 19 9" xfId="19540" xr:uid="{00000000-0005-0000-0000-00004B4C0000}"/>
    <cellStyle name="Normal 3 11 19 9 2" xfId="19541" xr:uid="{00000000-0005-0000-0000-00004C4C0000}"/>
    <cellStyle name="Normal 3 11 19 9 3" xfId="19542" xr:uid="{00000000-0005-0000-0000-00004D4C0000}"/>
    <cellStyle name="Normal 3 11 2" xfId="19543" xr:uid="{00000000-0005-0000-0000-00004E4C0000}"/>
    <cellStyle name="Normal 3 11 20" xfId="19544" xr:uid="{00000000-0005-0000-0000-00004F4C0000}"/>
    <cellStyle name="Normal 3 11 20 10" xfId="19545" xr:uid="{00000000-0005-0000-0000-0000504C0000}"/>
    <cellStyle name="Normal 3 11 20 10 2" xfId="19546" xr:uid="{00000000-0005-0000-0000-0000514C0000}"/>
    <cellStyle name="Normal 3 11 20 10 3" xfId="19547" xr:uid="{00000000-0005-0000-0000-0000524C0000}"/>
    <cellStyle name="Normal 3 11 20 11" xfId="19548" xr:uid="{00000000-0005-0000-0000-0000534C0000}"/>
    <cellStyle name="Normal 3 11 20 11 2" xfId="19549" xr:uid="{00000000-0005-0000-0000-0000544C0000}"/>
    <cellStyle name="Normal 3 11 20 11 3" xfId="19550" xr:uid="{00000000-0005-0000-0000-0000554C0000}"/>
    <cellStyle name="Normal 3 11 20 12" xfId="19551" xr:uid="{00000000-0005-0000-0000-0000564C0000}"/>
    <cellStyle name="Normal 3 11 20 12 2" xfId="19552" xr:uid="{00000000-0005-0000-0000-0000574C0000}"/>
    <cellStyle name="Normal 3 11 20 12 3" xfId="19553" xr:uid="{00000000-0005-0000-0000-0000584C0000}"/>
    <cellStyle name="Normal 3 11 20 13" xfId="19554" xr:uid="{00000000-0005-0000-0000-0000594C0000}"/>
    <cellStyle name="Normal 3 11 20 13 2" xfId="19555" xr:uid="{00000000-0005-0000-0000-00005A4C0000}"/>
    <cellStyle name="Normal 3 11 20 13 3" xfId="19556" xr:uid="{00000000-0005-0000-0000-00005B4C0000}"/>
    <cellStyle name="Normal 3 11 20 14" xfId="19557" xr:uid="{00000000-0005-0000-0000-00005C4C0000}"/>
    <cellStyle name="Normal 3 11 20 14 2" xfId="19558" xr:uid="{00000000-0005-0000-0000-00005D4C0000}"/>
    <cellStyle name="Normal 3 11 20 14 3" xfId="19559" xr:uid="{00000000-0005-0000-0000-00005E4C0000}"/>
    <cellStyle name="Normal 3 11 20 15" xfId="19560" xr:uid="{00000000-0005-0000-0000-00005F4C0000}"/>
    <cellStyle name="Normal 3 11 20 16" xfId="19561" xr:uid="{00000000-0005-0000-0000-0000604C0000}"/>
    <cellStyle name="Normal 3 11 20 2" xfId="19562" xr:uid="{00000000-0005-0000-0000-0000614C0000}"/>
    <cellStyle name="Normal 3 11 20 2 2" xfId="19563" xr:uid="{00000000-0005-0000-0000-0000624C0000}"/>
    <cellStyle name="Normal 3 11 20 2 3" xfId="19564" xr:uid="{00000000-0005-0000-0000-0000634C0000}"/>
    <cellStyle name="Normal 3 11 20 3" xfId="19565" xr:uid="{00000000-0005-0000-0000-0000644C0000}"/>
    <cellStyle name="Normal 3 11 20 3 2" xfId="19566" xr:uid="{00000000-0005-0000-0000-0000654C0000}"/>
    <cellStyle name="Normal 3 11 20 3 3" xfId="19567" xr:uid="{00000000-0005-0000-0000-0000664C0000}"/>
    <cellStyle name="Normal 3 11 20 4" xfId="19568" xr:uid="{00000000-0005-0000-0000-0000674C0000}"/>
    <cellStyle name="Normal 3 11 20 4 2" xfId="19569" xr:uid="{00000000-0005-0000-0000-0000684C0000}"/>
    <cellStyle name="Normal 3 11 20 4 3" xfId="19570" xr:uid="{00000000-0005-0000-0000-0000694C0000}"/>
    <cellStyle name="Normal 3 11 20 5" xfId="19571" xr:uid="{00000000-0005-0000-0000-00006A4C0000}"/>
    <cellStyle name="Normal 3 11 20 5 2" xfId="19572" xr:uid="{00000000-0005-0000-0000-00006B4C0000}"/>
    <cellStyle name="Normal 3 11 20 5 3" xfId="19573" xr:uid="{00000000-0005-0000-0000-00006C4C0000}"/>
    <cellStyle name="Normal 3 11 20 6" xfId="19574" xr:uid="{00000000-0005-0000-0000-00006D4C0000}"/>
    <cellStyle name="Normal 3 11 20 6 2" xfId="19575" xr:uid="{00000000-0005-0000-0000-00006E4C0000}"/>
    <cellStyle name="Normal 3 11 20 6 3" xfId="19576" xr:uid="{00000000-0005-0000-0000-00006F4C0000}"/>
    <cellStyle name="Normal 3 11 20 7" xfId="19577" xr:uid="{00000000-0005-0000-0000-0000704C0000}"/>
    <cellStyle name="Normal 3 11 20 7 2" xfId="19578" xr:uid="{00000000-0005-0000-0000-0000714C0000}"/>
    <cellStyle name="Normal 3 11 20 7 3" xfId="19579" xr:uid="{00000000-0005-0000-0000-0000724C0000}"/>
    <cellStyle name="Normal 3 11 20 8" xfId="19580" xr:uid="{00000000-0005-0000-0000-0000734C0000}"/>
    <cellStyle name="Normal 3 11 20 8 2" xfId="19581" xr:uid="{00000000-0005-0000-0000-0000744C0000}"/>
    <cellStyle name="Normal 3 11 20 8 3" xfId="19582" xr:uid="{00000000-0005-0000-0000-0000754C0000}"/>
    <cellStyle name="Normal 3 11 20 9" xfId="19583" xr:uid="{00000000-0005-0000-0000-0000764C0000}"/>
    <cellStyle name="Normal 3 11 20 9 2" xfId="19584" xr:uid="{00000000-0005-0000-0000-0000774C0000}"/>
    <cellStyle name="Normal 3 11 20 9 3" xfId="19585" xr:uid="{00000000-0005-0000-0000-0000784C0000}"/>
    <cellStyle name="Normal 3 11 21" xfId="19586" xr:uid="{00000000-0005-0000-0000-0000794C0000}"/>
    <cellStyle name="Normal 3 11 21 10" xfId="19587" xr:uid="{00000000-0005-0000-0000-00007A4C0000}"/>
    <cellStyle name="Normal 3 11 21 10 2" xfId="19588" xr:uid="{00000000-0005-0000-0000-00007B4C0000}"/>
    <cellStyle name="Normal 3 11 21 10 3" xfId="19589" xr:uid="{00000000-0005-0000-0000-00007C4C0000}"/>
    <cellStyle name="Normal 3 11 21 11" xfId="19590" xr:uid="{00000000-0005-0000-0000-00007D4C0000}"/>
    <cellStyle name="Normal 3 11 21 11 2" xfId="19591" xr:uid="{00000000-0005-0000-0000-00007E4C0000}"/>
    <cellStyle name="Normal 3 11 21 11 3" xfId="19592" xr:uid="{00000000-0005-0000-0000-00007F4C0000}"/>
    <cellStyle name="Normal 3 11 21 12" xfId="19593" xr:uid="{00000000-0005-0000-0000-0000804C0000}"/>
    <cellStyle name="Normal 3 11 21 12 2" xfId="19594" xr:uid="{00000000-0005-0000-0000-0000814C0000}"/>
    <cellStyle name="Normal 3 11 21 12 3" xfId="19595" xr:uid="{00000000-0005-0000-0000-0000824C0000}"/>
    <cellStyle name="Normal 3 11 21 13" xfId="19596" xr:uid="{00000000-0005-0000-0000-0000834C0000}"/>
    <cellStyle name="Normal 3 11 21 13 2" xfId="19597" xr:uid="{00000000-0005-0000-0000-0000844C0000}"/>
    <cellStyle name="Normal 3 11 21 13 3" xfId="19598" xr:uid="{00000000-0005-0000-0000-0000854C0000}"/>
    <cellStyle name="Normal 3 11 21 14" xfId="19599" xr:uid="{00000000-0005-0000-0000-0000864C0000}"/>
    <cellStyle name="Normal 3 11 21 14 2" xfId="19600" xr:uid="{00000000-0005-0000-0000-0000874C0000}"/>
    <cellStyle name="Normal 3 11 21 14 3" xfId="19601" xr:uid="{00000000-0005-0000-0000-0000884C0000}"/>
    <cellStyle name="Normal 3 11 21 15" xfId="19602" xr:uid="{00000000-0005-0000-0000-0000894C0000}"/>
    <cellStyle name="Normal 3 11 21 16" xfId="19603" xr:uid="{00000000-0005-0000-0000-00008A4C0000}"/>
    <cellStyle name="Normal 3 11 21 2" xfId="19604" xr:uid="{00000000-0005-0000-0000-00008B4C0000}"/>
    <cellStyle name="Normal 3 11 21 2 2" xfId="19605" xr:uid="{00000000-0005-0000-0000-00008C4C0000}"/>
    <cellStyle name="Normal 3 11 21 2 3" xfId="19606" xr:uid="{00000000-0005-0000-0000-00008D4C0000}"/>
    <cellStyle name="Normal 3 11 21 3" xfId="19607" xr:uid="{00000000-0005-0000-0000-00008E4C0000}"/>
    <cellStyle name="Normal 3 11 21 3 2" xfId="19608" xr:uid="{00000000-0005-0000-0000-00008F4C0000}"/>
    <cellStyle name="Normal 3 11 21 3 3" xfId="19609" xr:uid="{00000000-0005-0000-0000-0000904C0000}"/>
    <cellStyle name="Normal 3 11 21 4" xfId="19610" xr:uid="{00000000-0005-0000-0000-0000914C0000}"/>
    <cellStyle name="Normal 3 11 21 4 2" xfId="19611" xr:uid="{00000000-0005-0000-0000-0000924C0000}"/>
    <cellStyle name="Normal 3 11 21 4 3" xfId="19612" xr:uid="{00000000-0005-0000-0000-0000934C0000}"/>
    <cellStyle name="Normal 3 11 21 5" xfId="19613" xr:uid="{00000000-0005-0000-0000-0000944C0000}"/>
    <cellStyle name="Normal 3 11 21 5 2" xfId="19614" xr:uid="{00000000-0005-0000-0000-0000954C0000}"/>
    <cellStyle name="Normal 3 11 21 5 3" xfId="19615" xr:uid="{00000000-0005-0000-0000-0000964C0000}"/>
    <cellStyle name="Normal 3 11 21 6" xfId="19616" xr:uid="{00000000-0005-0000-0000-0000974C0000}"/>
    <cellStyle name="Normal 3 11 21 6 2" xfId="19617" xr:uid="{00000000-0005-0000-0000-0000984C0000}"/>
    <cellStyle name="Normal 3 11 21 6 3" xfId="19618" xr:uid="{00000000-0005-0000-0000-0000994C0000}"/>
    <cellStyle name="Normal 3 11 21 7" xfId="19619" xr:uid="{00000000-0005-0000-0000-00009A4C0000}"/>
    <cellStyle name="Normal 3 11 21 7 2" xfId="19620" xr:uid="{00000000-0005-0000-0000-00009B4C0000}"/>
    <cellStyle name="Normal 3 11 21 7 3" xfId="19621" xr:uid="{00000000-0005-0000-0000-00009C4C0000}"/>
    <cellStyle name="Normal 3 11 21 8" xfId="19622" xr:uid="{00000000-0005-0000-0000-00009D4C0000}"/>
    <cellStyle name="Normal 3 11 21 8 2" xfId="19623" xr:uid="{00000000-0005-0000-0000-00009E4C0000}"/>
    <cellStyle name="Normal 3 11 21 8 3" xfId="19624" xr:uid="{00000000-0005-0000-0000-00009F4C0000}"/>
    <cellStyle name="Normal 3 11 21 9" xfId="19625" xr:uid="{00000000-0005-0000-0000-0000A04C0000}"/>
    <cellStyle name="Normal 3 11 21 9 2" xfId="19626" xr:uid="{00000000-0005-0000-0000-0000A14C0000}"/>
    <cellStyle name="Normal 3 11 21 9 3" xfId="19627" xr:uid="{00000000-0005-0000-0000-0000A24C0000}"/>
    <cellStyle name="Normal 3 11 22" xfId="19628" xr:uid="{00000000-0005-0000-0000-0000A34C0000}"/>
    <cellStyle name="Normal 3 11 22 10" xfId="19629" xr:uid="{00000000-0005-0000-0000-0000A44C0000}"/>
    <cellStyle name="Normal 3 11 22 10 2" xfId="19630" xr:uid="{00000000-0005-0000-0000-0000A54C0000}"/>
    <cellStyle name="Normal 3 11 22 10 3" xfId="19631" xr:uid="{00000000-0005-0000-0000-0000A64C0000}"/>
    <cellStyle name="Normal 3 11 22 11" xfId="19632" xr:uid="{00000000-0005-0000-0000-0000A74C0000}"/>
    <cellStyle name="Normal 3 11 22 11 2" xfId="19633" xr:uid="{00000000-0005-0000-0000-0000A84C0000}"/>
    <cellStyle name="Normal 3 11 22 11 3" xfId="19634" xr:uid="{00000000-0005-0000-0000-0000A94C0000}"/>
    <cellStyle name="Normal 3 11 22 12" xfId="19635" xr:uid="{00000000-0005-0000-0000-0000AA4C0000}"/>
    <cellStyle name="Normal 3 11 22 12 2" xfId="19636" xr:uid="{00000000-0005-0000-0000-0000AB4C0000}"/>
    <cellStyle name="Normal 3 11 22 12 3" xfId="19637" xr:uid="{00000000-0005-0000-0000-0000AC4C0000}"/>
    <cellStyle name="Normal 3 11 22 13" xfId="19638" xr:uid="{00000000-0005-0000-0000-0000AD4C0000}"/>
    <cellStyle name="Normal 3 11 22 13 2" xfId="19639" xr:uid="{00000000-0005-0000-0000-0000AE4C0000}"/>
    <cellStyle name="Normal 3 11 22 13 3" xfId="19640" xr:uid="{00000000-0005-0000-0000-0000AF4C0000}"/>
    <cellStyle name="Normal 3 11 22 14" xfId="19641" xr:uid="{00000000-0005-0000-0000-0000B04C0000}"/>
    <cellStyle name="Normal 3 11 22 14 2" xfId="19642" xr:uid="{00000000-0005-0000-0000-0000B14C0000}"/>
    <cellStyle name="Normal 3 11 22 14 3" xfId="19643" xr:uid="{00000000-0005-0000-0000-0000B24C0000}"/>
    <cellStyle name="Normal 3 11 22 15" xfId="19644" xr:uid="{00000000-0005-0000-0000-0000B34C0000}"/>
    <cellStyle name="Normal 3 11 22 16" xfId="19645" xr:uid="{00000000-0005-0000-0000-0000B44C0000}"/>
    <cellStyle name="Normal 3 11 22 2" xfId="19646" xr:uid="{00000000-0005-0000-0000-0000B54C0000}"/>
    <cellStyle name="Normal 3 11 22 2 2" xfId="19647" xr:uid="{00000000-0005-0000-0000-0000B64C0000}"/>
    <cellStyle name="Normal 3 11 22 2 3" xfId="19648" xr:uid="{00000000-0005-0000-0000-0000B74C0000}"/>
    <cellStyle name="Normal 3 11 22 3" xfId="19649" xr:uid="{00000000-0005-0000-0000-0000B84C0000}"/>
    <cellStyle name="Normal 3 11 22 3 2" xfId="19650" xr:uid="{00000000-0005-0000-0000-0000B94C0000}"/>
    <cellStyle name="Normal 3 11 22 3 3" xfId="19651" xr:uid="{00000000-0005-0000-0000-0000BA4C0000}"/>
    <cellStyle name="Normal 3 11 22 4" xfId="19652" xr:uid="{00000000-0005-0000-0000-0000BB4C0000}"/>
    <cellStyle name="Normal 3 11 22 4 2" xfId="19653" xr:uid="{00000000-0005-0000-0000-0000BC4C0000}"/>
    <cellStyle name="Normal 3 11 22 4 3" xfId="19654" xr:uid="{00000000-0005-0000-0000-0000BD4C0000}"/>
    <cellStyle name="Normal 3 11 22 5" xfId="19655" xr:uid="{00000000-0005-0000-0000-0000BE4C0000}"/>
    <cellStyle name="Normal 3 11 22 5 2" xfId="19656" xr:uid="{00000000-0005-0000-0000-0000BF4C0000}"/>
    <cellStyle name="Normal 3 11 22 5 3" xfId="19657" xr:uid="{00000000-0005-0000-0000-0000C04C0000}"/>
    <cellStyle name="Normal 3 11 22 6" xfId="19658" xr:uid="{00000000-0005-0000-0000-0000C14C0000}"/>
    <cellStyle name="Normal 3 11 22 6 2" xfId="19659" xr:uid="{00000000-0005-0000-0000-0000C24C0000}"/>
    <cellStyle name="Normal 3 11 22 6 3" xfId="19660" xr:uid="{00000000-0005-0000-0000-0000C34C0000}"/>
    <cellStyle name="Normal 3 11 22 7" xfId="19661" xr:uid="{00000000-0005-0000-0000-0000C44C0000}"/>
    <cellStyle name="Normal 3 11 22 7 2" xfId="19662" xr:uid="{00000000-0005-0000-0000-0000C54C0000}"/>
    <cellStyle name="Normal 3 11 22 7 3" xfId="19663" xr:uid="{00000000-0005-0000-0000-0000C64C0000}"/>
    <cellStyle name="Normal 3 11 22 8" xfId="19664" xr:uid="{00000000-0005-0000-0000-0000C74C0000}"/>
    <cellStyle name="Normal 3 11 22 8 2" xfId="19665" xr:uid="{00000000-0005-0000-0000-0000C84C0000}"/>
    <cellStyle name="Normal 3 11 22 8 3" xfId="19666" xr:uid="{00000000-0005-0000-0000-0000C94C0000}"/>
    <cellStyle name="Normal 3 11 22 9" xfId="19667" xr:uid="{00000000-0005-0000-0000-0000CA4C0000}"/>
    <cellStyle name="Normal 3 11 22 9 2" xfId="19668" xr:uid="{00000000-0005-0000-0000-0000CB4C0000}"/>
    <cellStyle name="Normal 3 11 22 9 3" xfId="19669" xr:uid="{00000000-0005-0000-0000-0000CC4C0000}"/>
    <cellStyle name="Normal 3 11 23" xfId="19670" xr:uid="{00000000-0005-0000-0000-0000CD4C0000}"/>
    <cellStyle name="Normal 3 11 24" xfId="19671" xr:uid="{00000000-0005-0000-0000-0000CE4C0000}"/>
    <cellStyle name="Normal 3 11 25" xfId="19672" xr:uid="{00000000-0005-0000-0000-0000CF4C0000}"/>
    <cellStyle name="Normal 3 11 25 10" xfId="19673" xr:uid="{00000000-0005-0000-0000-0000D04C0000}"/>
    <cellStyle name="Normal 3 11 25 10 2" xfId="19674" xr:uid="{00000000-0005-0000-0000-0000D14C0000}"/>
    <cellStyle name="Normal 3 11 25 10 3" xfId="19675" xr:uid="{00000000-0005-0000-0000-0000D24C0000}"/>
    <cellStyle name="Normal 3 11 25 11" xfId="19676" xr:uid="{00000000-0005-0000-0000-0000D34C0000}"/>
    <cellStyle name="Normal 3 11 25 11 2" xfId="19677" xr:uid="{00000000-0005-0000-0000-0000D44C0000}"/>
    <cellStyle name="Normal 3 11 25 11 3" xfId="19678" xr:uid="{00000000-0005-0000-0000-0000D54C0000}"/>
    <cellStyle name="Normal 3 11 25 12" xfId="19679" xr:uid="{00000000-0005-0000-0000-0000D64C0000}"/>
    <cellStyle name="Normal 3 11 25 12 2" xfId="19680" xr:uid="{00000000-0005-0000-0000-0000D74C0000}"/>
    <cellStyle name="Normal 3 11 25 12 3" xfId="19681" xr:uid="{00000000-0005-0000-0000-0000D84C0000}"/>
    <cellStyle name="Normal 3 11 25 13" xfId="19682" xr:uid="{00000000-0005-0000-0000-0000D94C0000}"/>
    <cellStyle name="Normal 3 11 25 13 2" xfId="19683" xr:uid="{00000000-0005-0000-0000-0000DA4C0000}"/>
    <cellStyle name="Normal 3 11 25 13 3" xfId="19684" xr:uid="{00000000-0005-0000-0000-0000DB4C0000}"/>
    <cellStyle name="Normal 3 11 25 14" xfId="19685" xr:uid="{00000000-0005-0000-0000-0000DC4C0000}"/>
    <cellStyle name="Normal 3 11 25 14 2" xfId="19686" xr:uid="{00000000-0005-0000-0000-0000DD4C0000}"/>
    <cellStyle name="Normal 3 11 25 14 3" xfId="19687" xr:uid="{00000000-0005-0000-0000-0000DE4C0000}"/>
    <cellStyle name="Normal 3 11 25 15" xfId="19688" xr:uid="{00000000-0005-0000-0000-0000DF4C0000}"/>
    <cellStyle name="Normal 3 11 25 16" xfId="19689" xr:uid="{00000000-0005-0000-0000-0000E04C0000}"/>
    <cellStyle name="Normal 3 11 25 2" xfId="19690" xr:uid="{00000000-0005-0000-0000-0000E14C0000}"/>
    <cellStyle name="Normal 3 11 25 2 2" xfId="19691" xr:uid="{00000000-0005-0000-0000-0000E24C0000}"/>
    <cellStyle name="Normal 3 11 25 2 3" xfId="19692" xr:uid="{00000000-0005-0000-0000-0000E34C0000}"/>
    <cellStyle name="Normal 3 11 25 3" xfId="19693" xr:uid="{00000000-0005-0000-0000-0000E44C0000}"/>
    <cellStyle name="Normal 3 11 25 3 2" xfId="19694" xr:uid="{00000000-0005-0000-0000-0000E54C0000}"/>
    <cellStyle name="Normal 3 11 25 3 3" xfId="19695" xr:uid="{00000000-0005-0000-0000-0000E64C0000}"/>
    <cellStyle name="Normal 3 11 25 4" xfId="19696" xr:uid="{00000000-0005-0000-0000-0000E74C0000}"/>
    <cellStyle name="Normal 3 11 25 4 2" xfId="19697" xr:uid="{00000000-0005-0000-0000-0000E84C0000}"/>
    <cellStyle name="Normal 3 11 25 4 3" xfId="19698" xr:uid="{00000000-0005-0000-0000-0000E94C0000}"/>
    <cellStyle name="Normal 3 11 25 5" xfId="19699" xr:uid="{00000000-0005-0000-0000-0000EA4C0000}"/>
    <cellStyle name="Normal 3 11 25 5 2" xfId="19700" xr:uid="{00000000-0005-0000-0000-0000EB4C0000}"/>
    <cellStyle name="Normal 3 11 25 5 3" xfId="19701" xr:uid="{00000000-0005-0000-0000-0000EC4C0000}"/>
    <cellStyle name="Normal 3 11 25 6" xfId="19702" xr:uid="{00000000-0005-0000-0000-0000ED4C0000}"/>
    <cellStyle name="Normal 3 11 25 6 2" xfId="19703" xr:uid="{00000000-0005-0000-0000-0000EE4C0000}"/>
    <cellStyle name="Normal 3 11 25 6 3" xfId="19704" xr:uid="{00000000-0005-0000-0000-0000EF4C0000}"/>
    <cellStyle name="Normal 3 11 25 7" xfId="19705" xr:uid="{00000000-0005-0000-0000-0000F04C0000}"/>
    <cellStyle name="Normal 3 11 25 7 2" xfId="19706" xr:uid="{00000000-0005-0000-0000-0000F14C0000}"/>
    <cellStyle name="Normal 3 11 25 7 3" xfId="19707" xr:uid="{00000000-0005-0000-0000-0000F24C0000}"/>
    <cellStyle name="Normal 3 11 25 8" xfId="19708" xr:uid="{00000000-0005-0000-0000-0000F34C0000}"/>
    <cellStyle name="Normal 3 11 25 8 2" xfId="19709" xr:uid="{00000000-0005-0000-0000-0000F44C0000}"/>
    <cellStyle name="Normal 3 11 25 8 3" xfId="19710" xr:uid="{00000000-0005-0000-0000-0000F54C0000}"/>
    <cellStyle name="Normal 3 11 25 9" xfId="19711" xr:uid="{00000000-0005-0000-0000-0000F64C0000}"/>
    <cellStyle name="Normal 3 11 25 9 2" xfId="19712" xr:uid="{00000000-0005-0000-0000-0000F74C0000}"/>
    <cellStyle name="Normal 3 11 25 9 3" xfId="19713" xr:uid="{00000000-0005-0000-0000-0000F84C0000}"/>
    <cellStyle name="Normal 3 11 26" xfId="19714" xr:uid="{00000000-0005-0000-0000-0000F94C0000}"/>
    <cellStyle name="Normal 3 11 26 10" xfId="19715" xr:uid="{00000000-0005-0000-0000-0000FA4C0000}"/>
    <cellStyle name="Normal 3 11 26 10 2" xfId="19716" xr:uid="{00000000-0005-0000-0000-0000FB4C0000}"/>
    <cellStyle name="Normal 3 11 26 10 3" xfId="19717" xr:uid="{00000000-0005-0000-0000-0000FC4C0000}"/>
    <cellStyle name="Normal 3 11 26 11" xfId="19718" xr:uid="{00000000-0005-0000-0000-0000FD4C0000}"/>
    <cellStyle name="Normal 3 11 26 11 2" xfId="19719" xr:uid="{00000000-0005-0000-0000-0000FE4C0000}"/>
    <cellStyle name="Normal 3 11 26 11 3" xfId="19720" xr:uid="{00000000-0005-0000-0000-0000FF4C0000}"/>
    <cellStyle name="Normal 3 11 26 12" xfId="19721" xr:uid="{00000000-0005-0000-0000-0000004D0000}"/>
    <cellStyle name="Normal 3 11 26 12 2" xfId="19722" xr:uid="{00000000-0005-0000-0000-0000014D0000}"/>
    <cellStyle name="Normal 3 11 26 12 3" xfId="19723" xr:uid="{00000000-0005-0000-0000-0000024D0000}"/>
    <cellStyle name="Normal 3 11 26 13" xfId="19724" xr:uid="{00000000-0005-0000-0000-0000034D0000}"/>
    <cellStyle name="Normal 3 11 26 13 2" xfId="19725" xr:uid="{00000000-0005-0000-0000-0000044D0000}"/>
    <cellStyle name="Normal 3 11 26 13 3" xfId="19726" xr:uid="{00000000-0005-0000-0000-0000054D0000}"/>
    <cellStyle name="Normal 3 11 26 14" xfId="19727" xr:uid="{00000000-0005-0000-0000-0000064D0000}"/>
    <cellStyle name="Normal 3 11 26 14 2" xfId="19728" xr:uid="{00000000-0005-0000-0000-0000074D0000}"/>
    <cellStyle name="Normal 3 11 26 14 3" xfId="19729" xr:uid="{00000000-0005-0000-0000-0000084D0000}"/>
    <cellStyle name="Normal 3 11 26 15" xfId="19730" xr:uid="{00000000-0005-0000-0000-0000094D0000}"/>
    <cellStyle name="Normal 3 11 26 16" xfId="19731" xr:uid="{00000000-0005-0000-0000-00000A4D0000}"/>
    <cellStyle name="Normal 3 11 26 2" xfId="19732" xr:uid="{00000000-0005-0000-0000-00000B4D0000}"/>
    <cellStyle name="Normal 3 11 26 2 2" xfId="19733" xr:uid="{00000000-0005-0000-0000-00000C4D0000}"/>
    <cellStyle name="Normal 3 11 26 2 3" xfId="19734" xr:uid="{00000000-0005-0000-0000-00000D4D0000}"/>
    <cellStyle name="Normal 3 11 26 3" xfId="19735" xr:uid="{00000000-0005-0000-0000-00000E4D0000}"/>
    <cellStyle name="Normal 3 11 26 3 2" xfId="19736" xr:uid="{00000000-0005-0000-0000-00000F4D0000}"/>
    <cellStyle name="Normal 3 11 26 3 3" xfId="19737" xr:uid="{00000000-0005-0000-0000-0000104D0000}"/>
    <cellStyle name="Normal 3 11 26 4" xfId="19738" xr:uid="{00000000-0005-0000-0000-0000114D0000}"/>
    <cellStyle name="Normal 3 11 26 4 2" xfId="19739" xr:uid="{00000000-0005-0000-0000-0000124D0000}"/>
    <cellStyle name="Normal 3 11 26 4 3" xfId="19740" xr:uid="{00000000-0005-0000-0000-0000134D0000}"/>
    <cellStyle name="Normal 3 11 26 5" xfId="19741" xr:uid="{00000000-0005-0000-0000-0000144D0000}"/>
    <cellStyle name="Normal 3 11 26 5 2" xfId="19742" xr:uid="{00000000-0005-0000-0000-0000154D0000}"/>
    <cellStyle name="Normal 3 11 26 5 3" xfId="19743" xr:uid="{00000000-0005-0000-0000-0000164D0000}"/>
    <cellStyle name="Normal 3 11 26 6" xfId="19744" xr:uid="{00000000-0005-0000-0000-0000174D0000}"/>
    <cellStyle name="Normal 3 11 26 6 2" xfId="19745" xr:uid="{00000000-0005-0000-0000-0000184D0000}"/>
    <cellStyle name="Normal 3 11 26 6 3" xfId="19746" xr:uid="{00000000-0005-0000-0000-0000194D0000}"/>
    <cellStyle name="Normal 3 11 26 7" xfId="19747" xr:uid="{00000000-0005-0000-0000-00001A4D0000}"/>
    <cellStyle name="Normal 3 11 26 7 2" xfId="19748" xr:uid="{00000000-0005-0000-0000-00001B4D0000}"/>
    <cellStyle name="Normal 3 11 26 7 3" xfId="19749" xr:uid="{00000000-0005-0000-0000-00001C4D0000}"/>
    <cellStyle name="Normal 3 11 26 8" xfId="19750" xr:uid="{00000000-0005-0000-0000-00001D4D0000}"/>
    <cellStyle name="Normal 3 11 26 8 2" xfId="19751" xr:uid="{00000000-0005-0000-0000-00001E4D0000}"/>
    <cellStyle name="Normal 3 11 26 8 3" xfId="19752" xr:uid="{00000000-0005-0000-0000-00001F4D0000}"/>
    <cellStyle name="Normal 3 11 26 9" xfId="19753" xr:uid="{00000000-0005-0000-0000-0000204D0000}"/>
    <cellStyle name="Normal 3 11 26 9 2" xfId="19754" xr:uid="{00000000-0005-0000-0000-0000214D0000}"/>
    <cellStyle name="Normal 3 11 26 9 3" xfId="19755" xr:uid="{00000000-0005-0000-0000-0000224D0000}"/>
    <cellStyle name="Normal 3 11 3" xfId="19756" xr:uid="{00000000-0005-0000-0000-0000234D0000}"/>
    <cellStyle name="Normal 3 11 4" xfId="19757" xr:uid="{00000000-0005-0000-0000-0000244D0000}"/>
    <cellStyle name="Normal 3 11 5" xfId="19758" xr:uid="{00000000-0005-0000-0000-0000254D0000}"/>
    <cellStyle name="Normal 3 11 6" xfId="19759" xr:uid="{00000000-0005-0000-0000-0000264D0000}"/>
    <cellStyle name="Normal 3 11 7" xfId="19760" xr:uid="{00000000-0005-0000-0000-0000274D0000}"/>
    <cellStyle name="Normal 3 11 8" xfId="19761" xr:uid="{00000000-0005-0000-0000-0000284D0000}"/>
    <cellStyle name="Normal 3 11 9" xfId="19762" xr:uid="{00000000-0005-0000-0000-0000294D0000}"/>
    <cellStyle name="Normal 3 11_End-use Summary" xfId="19763" xr:uid="{00000000-0005-0000-0000-00002A4D0000}"/>
    <cellStyle name="Normal 3 12" xfId="19764" xr:uid="{00000000-0005-0000-0000-00002B4D0000}"/>
    <cellStyle name="Normal 3 12 10" xfId="19765" xr:uid="{00000000-0005-0000-0000-00002C4D0000}"/>
    <cellStyle name="Normal 3 12 10 10" xfId="19766" xr:uid="{00000000-0005-0000-0000-00002D4D0000}"/>
    <cellStyle name="Normal 3 12 10 10 2" xfId="19767" xr:uid="{00000000-0005-0000-0000-00002E4D0000}"/>
    <cellStyle name="Normal 3 12 10 10 3" xfId="19768" xr:uid="{00000000-0005-0000-0000-00002F4D0000}"/>
    <cellStyle name="Normal 3 12 10 11" xfId="19769" xr:uid="{00000000-0005-0000-0000-0000304D0000}"/>
    <cellStyle name="Normal 3 12 10 11 2" xfId="19770" xr:uid="{00000000-0005-0000-0000-0000314D0000}"/>
    <cellStyle name="Normal 3 12 10 11 3" xfId="19771" xr:uid="{00000000-0005-0000-0000-0000324D0000}"/>
    <cellStyle name="Normal 3 12 10 12" xfId="19772" xr:uid="{00000000-0005-0000-0000-0000334D0000}"/>
    <cellStyle name="Normal 3 12 10 12 2" xfId="19773" xr:uid="{00000000-0005-0000-0000-0000344D0000}"/>
    <cellStyle name="Normal 3 12 10 12 3" xfId="19774" xr:uid="{00000000-0005-0000-0000-0000354D0000}"/>
    <cellStyle name="Normal 3 12 10 13" xfId="19775" xr:uid="{00000000-0005-0000-0000-0000364D0000}"/>
    <cellStyle name="Normal 3 12 10 13 2" xfId="19776" xr:uid="{00000000-0005-0000-0000-0000374D0000}"/>
    <cellStyle name="Normal 3 12 10 13 3" xfId="19777" xr:uid="{00000000-0005-0000-0000-0000384D0000}"/>
    <cellStyle name="Normal 3 12 10 14" xfId="19778" xr:uid="{00000000-0005-0000-0000-0000394D0000}"/>
    <cellStyle name="Normal 3 12 10 14 2" xfId="19779" xr:uid="{00000000-0005-0000-0000-00003A4D0000}"/>
    <cellStyle name="Normal 3 12 10 14 3" xfId="19780" xr:uid="{00000000-0005-0000-0000-00003B4D0000}"/>
    <cellStyle name="Normal 3 12 10 15" xfId="19781" xr:uid="{00000000-0005-0000-0000-00003C4D0000}"/>
    <cellStyle name="Normal 3 12 10 16" xfId="19782" xr:uid="{00000000-0005-0000-0000-00003D4D0000}"/>
    <cellStyle name="Normal 3 12 10 2" xfId="19783" xr:uid="{00000000-0005-0000-0000-00003E4D0000}"/>
    <cellStyle name="Normal 3 12 10 2 2" xfId="19784" xr:uid="{00000000-0005-0000-0000-00003F4D0000}"/>
    <cellStyle name="Normal 3 12 10 2 3" xfId="19785" xr:uid="{00000000-0005-0000-0000-0000404D0000}"/>
    <cellStyle name="Normal 3 12 10 3" xfId="19786" xr:uid="{00000000-0005-0000-0000-0000414D0000}"/>
    <cellStyle name="Normal 3 12 10 3 2" xfId="19787" xr:uid="{00000000-0005-0000-0000-0000424D0000}"/>
    <cellStyle name="Normal 3 12 10 3 3" xfId="19788" xr:uid="{00000000-0005-0000-0000-0000434D0000}"/>
    <cellStyle name="Normal 3 12 10 4" xfId="19789" xr:uid="{00000000-0005-0000-0000-0000444D0000}"/>
    <cellStyle name="Normal 3 12 10 4 2" xfId="19790" xr:uid="{00000000-0005-0000-0000-0000454D0000}"/>
    <cellStyle name="Normal 3 12 10 4 3" xfId="19791" xr:uid="{00000000-0005-0000-0000-0000464D0000}"/>
    <cellStyle name="Normal 3 12 10 5" xfId="19792" xr:uid="{00000000-0005-0000-0000-0000474D0000}"/>
    <cellStyle name="Normal 3 12 10 5 2" xfId="19793" xr:uid="{00000000-0005-0000-0000-0000484D0000}"/>
    <cellStyle name="Normal 3 12 10 5 3" xfId="19794" xr:uid="{00000000-0005-0000-0000-0000494D0000}"/>
    <cellStyle name="Normal 3 12 10 6" xfId="19795" xr:uid="{00000000-0005-0000-0000-00004A4D0000}"/>
    <cellStyle name="Normal 3 12 10 6 2" xfId="19796" xr:uid="{00000000-0005-0000-0000-00004B4D0000}"/>
    <cellStyle name="Normal 3 12 10 6 3" xfId="19797" xr:uid="{00000000-0005-0000-0000-00004C4D0000}"/>
    <cellStyle name="Normal 3 12 10 7" xfId="19798" xr:uid="{00000000-0005-0000-0000-00004D4D0000}"/>
    <cellStyle name="Normal 3 12 10 7 2" xfId="19799" xr:uid="{00000000-0005-0000-0000-00004E4D0000}"/>
    <cellStyle name="Normal 3 12 10 7 3" xfId="19800" xr:uid="{00000000-0005-0000-0000-00004F4D0000}"/>
    <cellStyle name="Normal 3 12 10 8" xfId="19801" xr:uid="{00000000-0005-0000-0000-0000504D0000}"/>
    <cellStyle name="Normal 3 12 10 8 2" xfId="19802" xr:uid="{00000000-0005-0000-0000-0000514D0000}"/>
    <cellStyle name="Normal 3 12 10 8 3" xfId="19803" xr:uid="{00000000-0005-0000-0000-0000524D0000}"/>
    <cellStyle name="Normal 3 12 10 9" xfId="19804" xr:uid="{00000000-0005-0000-0000-0000534D0000}"/>
    <cellStyle name="Normal 3 12 10 9 2" xfId="19805" xr:uid="{00000000-0005-0000-0000-0000544D0000}"/>
    <cellStyle name="Normal 3 12 10 9 3" xfId="19806" xr:uid="{00000000-0005-0000-0000-0000554D0000}"/>
    <cellStyle name="Normal 3 12 11" xfId="19807" xr:uid="{00000000-0005-0000-0000-0000564D0000}"/>
    <cellStyle name="Normal 3 12 11 10" xfId="19808" xr:uid="{00000000-0005-0000-0000-0000574D0000}"/>
    <cellStyle name="Normal 3 12 11 10 2" xfId="19809" xr:uid="{00000000-0005-0000-0000-0000584D0000}"/>
    <cellStyle name="Normal 3 12 11 10 3" xfId="19810" xr:uid="{00000000-0005-0000-0000-0000594D0000}"/>
    <cellStyle name="Normal 3 12 11 11" xfId="19811" xr:uid="{00000000-0005-0000-0000-00005A4D0000}"/>
    <cellStyle name="Normal 3 12 11 11 2" xfId="19812" xr:uid="{00000000-0005-0000-0000-00005B4D0000}"/>
    <cellStyle name="Normal 3 12 11 11 3" xfId="19813" xr:uid="{00000000-0005-0000-0000-00005C4D0000}"/>
    <cellStyle name="Normal 3 12 11 12" xfId="19814" xr:uid="{00000000-0005-0000-0000-00005D4D0000}"/>
    <cellStyle name="Normal 3 12 11 12 2" xfId="19815" xr:uid="{00000000-0005-0000-0000-00005E4D0000}"/>
    <cellStyle name="Normal 3 12 11 12 3" xfId="19816" xr:uid="{00000000-0005-0000-0000-00005F4D0000}"/>
    <cellStyle name="Normal 3 12 11 13" xfId="19817" xr:uid="{00000000-0005-0000-0000-0000604D0000}"/>
    <cellStyle name="Normal 3 12 11 13 2" xfId="19818" xr:uid="{00000000-0005-0000-0000-0000614D0000}"/>
    <cellStyle name="Normal 3 12 11 13 3" xfId="19819" xr:uid="{00000000-0005-0000-0000-0000624D0000}"/>
    <cellStyle name="Normal 3 12 11 14" xfId="19820" xr:uid="{00000000-0005-0000-0000-0000634D0000}"/>
    <cellStyle name="Normal 3 12 11 14 2" xfId="19821" xr:uid="{00000000-0005-0000-0000-0000644D0000}"/>
    <cellStyle name="Normal 3 12 11 14 3" xfId="19822" xr:uid="{00000000-0005-0000-0000-0000654D0000}"/>
    <cellStyle name="Normal 3 12 11 15" xfId="19823" xr:uid="{00000000-0005-0000-0000-0000664D0000}"/>
    <cellStyle name="Normal 3 12 11 16" xfId="19824" xr:uid="{00000000-0005-0000-0000-0000674D0000}"/>
    <cellStyle name="Normal 3 12 11 2" xfId="19825" xr:uid="{00000000-0005-0000-0000-0000684D0000}"/>
    <cellStyle name="Normal 3 12 11 2 2" xfId="19826" xr:uid="{00000000-0005-0000-0000-0000694D0000}"/>
    <cellStyle name="Normal 3 12 11 2 3" xfId="19827" xr:uid="{00000000-0005-0000-0000-00006A4D0000}"/>
    <cellStyle name="Normal 3 12 11 3" xfId="19828" xr:uid="{00000000-0005-0000-0000-00006B4D0000}"/>
    <cellStyle name="Normal 3 12 11 3 2" xfId="19829" xr:uid="{00000000-0005-0000-0000-00006C4D0000}"/>
    <cellStyle name="Normal 3 12 11 3 3" xfId="19830" xr:uid="{00000000-0005-0000-0000-00006D4D0000}"/>
    <cellStyle name="Normal 3 12 11 4" xfId="19831" xr:uid="{00000000-0005-0000-0000-00006E4D0000}"/>
    <cellStyle name="Normal 3 12 11 4 2" xfId="19832" xr:uid="{00000000-0005-0000-0000-00006F4D0000}"/>
    <cellStyle name="Normal 3 12 11 4 3" xfId="19833" xr:uid="{00000000-0005-0000-0000-0000704D0000}"/>
    <cellStyle name="Normal 3 12 11 5" xfId="19834" xr:uid="{00000000-0005-0000-0000-0000714D0000}"/>
    <cellStyle name="Normal 3 12 11 5 2" xfId="19835" xr:uid="{00000000-0005-0000-0000-0000724D0000}"/>
    <cellStyle name="Normal 3 12 11 5 3" xfId="19836" xr:uid="{00000000-0005-0000-0000-0000734D0000}"/>
    <cellStyle name="Normal 3 12 11 6" xfId="19837" xr:uid="{00000000-0005-0000-0000-0000744D0000}"/>
    <cellStyle name="Normal 3 12 11 6 2" xfId="19838" xr:uid="{00000000-0005-0000-0000-0000754D0000}"/>
    <cellStyle name="Normal 3 12 11 6 3" xfId="19839" xr:uid="{00000000-0005-0000-0000-0000764D0000}"/>
    <cellStyle name="Normal 3 12 11 7" xfId="19840" xr:uid="{00000000-0005-0000-0000-0000774D0000}"/>
    <cellStyle name="Normal 3 12 11 7 2" xfId="19841" xr:uid="{00000000-0005-0000-0000-0000784D0000}"/>
    <cellStyle name="Normal 3 12 11 7 3" xfId="19842" xr:uid="{00000000-0005-0000-0000-0000794D0000}"/>
    <cellStyle name="Normal 3 12 11 8" xfId="19843" xr:uid="{00000000-0005-0000-0000-00007A4D0000}"/>
    <cellStyle name="Normal 3 12 11 8 2" xfId="19844" xr:uid="{00000000-0005-0000-0000-00007B4D0000}"/>
    <cellStyle name="Normal 3 12 11 8 3" xfId="19845" xr:uid="{00000000-0005-0000-0000-00007C4D0000}"/>
    <cellStyle name="Normal 3 12 11 9" xfId="19846" xr:uid="{00000000-0005-0000-0000-00007D4D0000}"/>
    <cellStyle name="Normal 3 12 11 9 2" xfId="19847" xr:uid="{00000000-0005-0000-0000-00007E4D0000}"/>
    <cellStyle name="Normal 3 12 11 9 3" xfId="19848" xr:uid="{00000000-0005-0000-0000-00007F4D0000}"/>
    <cellStyle name="Normal 3 12 12" xfId="19849" xr:uid="{00000000-0005-0000-0000-0000804D0000}"/>
    <cellStyle name="Normal 3 12 12 10" xfId="19850" xr:uid="{00000000-0005-0000-0000-0000814D0000}"/>
    <cellStyle name="Normal 3 12 12 10 2" xfId="19851" xr:uid="{00000000-0005-0000-0000-0000824D0000}"/>
    <cellStyle name="Normal 3 12 12 10 3" xfId="19852" xr:uid="{00000000-0005-0000-0000-0000834D0000}"/>
    <cellStyle name="Normal 3 12 12 11" xfId="19853" xr:uid="{00000000-0005-0000-0000-0000844D0000}"/>
    <cellStyle name="Normal 3 12 12 11 2" xfId="19854" xr:uid="{00000000-0005-0000-0000-0000854D0000}"/>
    <cellStyle name="Normal 3 12 12 11 3" xfId="19855" xr:uid="{00000000-0005-0000-0000-0000864D0000}"/>
    <cellStyle name="Normal 3 12 12 12" xfId="19856" xr:uid="{00000000-0005-0000-0000-0000874D0000}"/>
    <cellStyle name="Normal 3 12 12 12 2" xfId="19857" xr:uid="{00000000-0005-0000-0000-0000884D0000}"/>
    <cellStyle name="Normal 3 12 12 12 3" xfId="19858" xr:uid="{00000000-0005-0000-0000-0000894D0000}"/>
    <cellStyle name="Normal 3 12 12 13" xfId="19859" xr:uid="{00000000-0005-0000-0000-00008A4D0000}"/>
    <cellStyle name="Normal 3 12 12 13 2" xfId="19860" xr:uid="{00000000-0005-0000-0000-00008B4D0000}"/>
    <cellStyle name="Normal 3 12 12 13 3" xfId="19861" xr:uid="{00000000-0005-0000-0000-00008C4D0000}"/>
    <cellStyle name="Normal 3 12 12 14" xfId="19862" xr:uid="{00000000-0005-0000-0000-00008D4D0000}"/>
    <cellStyle name="Normal 3 12 12 14 2" xfId="19863" xr:uid="{00000000-0005-0000-0000-00008E4D0000}"/>
    <cellStyle name="Normal 3 12 12 14 3" xfId="19864" xr:uid="{00000000-0005-0000-0000-00008F4D0000}"/>
    <cellStyle name="Normal 3 12 12 15" xfId="19865" xr:uid="{00000000-0005-0000-0000-0000904D0000}"/>
    <cellStyle name="Normal 3 12 12 16" xfId="19866" xr:uid="{00000000-0005-0000-0000-0000914D0000}"/>
    <cellStyle name="Normal 3 12 12 2" xfId="19867" xr:uid="{00000000-0005-0000-0000-0000924D0000}"/>
    <cellStyle name="Normal 3 12 12 2 2" xfId="19868" xr:uid="{00000000-0005-0000-0000-0000934D0000}"/>
    <cellStyle name="Normal 3 12 12 2 3" xfId="19869" xr:uid="{00000000-0005-0000-0000-0000944D0000}"/>
    <cellStyle name="Normal 3 12 12 3" xfId="19870" xr:uid="{00000000-0005-0000-0000-0000954D0000}"/>
    <cellStyle name="Normal 3 12 12 3 2" xfId="19871" xr:uid="{00000000-0005-0000-0000-0000964D0000}"/>
    <cellStyle name="Normal 3 12 12 3 3" xfId="19872" xr:uid="{00000000-0005-0000-0000-0000974D0000}"/>
    <cellStyle name="Normal 3 12 12 4" xfId="19873" xr:uid="{00000000-0005-0000-0000-0000984D0000}"/>
    <cellStyle name="Normal 3 12 12 4 2" xfId="19874" xr:uid="{00000000-0005-0000-0000-0000994D0000}"/>
    <cellStyle name="Normal 3 12 12 4 3" xfId="19875" xr:uid="{00000000-0005-0000-0000-00009A4D0000}"/>
    <cellStyle name="Normal 3 12 12 5" xfId="19876" xr:uid="{00000000-0005-0000-0000-00009B4D0000}"/>
    <cellStyle name="Normal 3 12 12 5 2" xfId="19877" xr:uid="{00000000-0005-0000-0000-00009C4D0000}"/>
    <cellStyle name="Normal 3 12 12 5 3" xfId="19878" xr:uid="{00000000-0005-0000-0000-00009D4D0000}"/>
    <cellStyle name="Normal 3 12 12 6" xfId="19879" xr:uid="{00000000-0005-0000-0000-00009E4D0000}"/>
    <cellStyle name="Normal 3 12 12 6 2" xfId="19880" xr:uid="{00000000-0005-0000-0000-00009F4D0000}"/>
    <cellStyle name="Normal 3 12 12 6 3" xfId="19881" xr:uid="{00000000-0005-0000-0000-0000A04D0000}"/>
    <cellStyle name="Normal 3 12 12 7" xfId="19882" xr:uid="{00000000-0005-0000-0000-0000A14D0000}"/>
    <cellStyle name="Normal 3 12 12 7 2" xfId="19883" xr:uid="{00000000-0005-0000-0000-0000A24D0000}"/>
    <cellStyle name="Normal 3 12 12 7 3" xfId="19884" xr:uid="{00000000-0005-0000-0000-0000A34D0000}"/>
    <cellStyle name="Normal 3 12 12 8" xfId="19885" xr:uid="{00000000-0005-0000-0000-0000A44D0000}"/>
    <cellStyle name="Normal 3 12 12 8 2" xfId="19886" xr:uid="{00000000-0005-0000-0000-0000A54D0000}"/>
    <cellStyle name="Normal 3 12 12 8 3" xfId="19887" xr:uid="{00000000-0005-0000-0000-0000A64D0000}"/>
    <cellStyle name="Normal 3 12 12 9" xfId="19888" xr:uid="{00000000-0005-0000-0000-0000A74D0000}"/>
    <cellStyle name="Normal 3 12 12 9 2" xfId="19889" xr:uid="{00000000-0005-0000-0000-0000A84D0000}"/>
    <cellStyle name="Normal 3 12 12 9 3" xfId="19890" xr:uid="{00000000-0005-0000-0000-0000A94D0000}"/>
    <cellStyle name="Normal 3 12 13" xfId="19891" xr:uid="{00000000-0005-0000-0000-0000AA4D0000}"/>
    <cellStyle name="Normal 3 12 13 10" xfId="19892" xr:uid="{00000000-0005-0000-0000-0000AB4D0000}"/>
    <cellStyle name="Normal 3 12 13 10 2" xfId="19893" xr:uid="{00000000-0005-0000-0000-0000AC4D0000}"/>
    <cellStyle name="Normal 3 12 13 10 3" xfId="19894" xr:uid="{00000000-0005-0000-0000-0000AD4D0000}"/>
    <cellStyle name="Normal 3 12 13 11" xfId="19895" xr:uid="{00000000-0005-0000-0000-0000AE4D0000}"/>
    <cellStyle name="Normal 3 12 13 11 2" xfId="19896" xr:uid="{00000000-0005-0000-0000-0000AF4D0000}"/>
    <cellStyle name="Normal 3 12 13 11 3" xfId="19897" xr:uid="{00000000-0005-0000-0000-0000B04D0000}"/>
    <cellStyle name="Normal 3 12 13 12" xfId="19898" xr:uid="{00000000-0005-0000-0000-0000B14D0000}"/>
    <cellStyle name="Normal 3 12 13 12 2" xfId="19899" xr:uid="{00000000-0005-0000-0000-0000B24D0000}"/>
    <cellStyle name="Normal 3 12 13 12 3" xfId="19900" xr:uid="{00000000-0005-0000-0000-0000B34D0000}"/>
    <cellStyle name="Normal 3 12 13 13" xfId="19901" xr:uid="{00000000-0005-0000-0000-0000B44D0000}"/>
    <cellStyle name="Normal 3 12 13 13 2" xfId="19902" xr:uid="{00000000-0005-0000-0000-0000B54D0000}"/>
    <cellStyle name="Normal 3 12 13 13 3" xfId="19903" xr:uid="{00000000-0005-0000-0000-0000B64D0000}"/>
    <cellStyle name="Normal 3 12 13 14" xfId="19904" xr:uid="{00000000-0005-0000-0000-0000B74D0000}"/>
    <cellStyle name="Normal 3 12 13 14 2" xfId="19905" xr:uid="{00000000-0005-0000-0000-0000B84D0000}"/>
    <cellStyle name="Normal 3 12 13 14 3" xfId="19906" xr:uid="{00000000-0005-0000-0000-0000B94D0000}"/>
    <cellStyle name="Normal 3 12 13 15" xfId="19907" xr:uid="{00000000-0005-0000-0000-0000BA4D0000}"/>
    <cellStyle name="Normal 3 12 13 16" xfId="19908" xr:uid="{00000000-0005-0000-0000-0000BB4D0000}"/>
    <cellStyle name="Normal 3 12 13 2" xfId="19909" xr:uid="{00000000-0005-0000-0000-0000BC4D0000}"/>
    <cellStyle name="Normal 3 12 13 2 2" xfId="19910" xr:uid="{00000000-0005-0000-0000-0000BD4D0000}"/>
    <cellStyle name="Normal 3 12 13 2 3" xfId="19911" xr:uid="{00000000-0005-0000-0000-0000BE4D0000}"/>
    <cellStyle name="Normal 3 12 13 3" xfId="19912" xr:uid="{00000000-0005-0000-0000-0000BF4D0000}"/>
    <cellStyle name="Normal 3 12 13 3 2" xfId="19913" xr:uid="{00000000-0005-0000-0000-0000C04D0000}"/>
    <cellStyle name="Normal 3 12 13 3 3" xfId="19914" xr:uid="{00000000-0005-0000-0000-0000C14D0000}"/>
    <cellStyle name="Normal 3 12 13 4" xfId="19915" xr:uid="{00000000-0005-0000-0000-0000C24D0000}"/>
    <cellStyle name="Normal 3 12 13 4 2" xfId="19916" xr:uid="{00000000-0005-0000-0000-0000C34D0000}"/>
    <cellStyle name="Normal 3 12 13 4 3" xfId="19917" xr:uid="{00000000-0005-0000-0000-0000C44D0000}"/>
    <cellStyle name="Normal 3 12 13 5" xfId="19918" xr:uid="{00000000-0005-0000-0000-0000C54D0000}"/>
    <cellStyle name="Normal 3 12 13 5 2" xfId="19919" xr:uid="{00000000-0005-0000-0000-0000C64D0000}"/>
    <cellStyle name="Normal 3 12 13 5 3" xfId="19920" xr:uid="{00000000-0005-0000-0000-0000C74D0000}"/>
    <cellStyle name="Normal 3 12 13 6" xfId="19921" xr:uid="{00000000-0005-0000-0000-0000C84D0000}"/>
    <cellStyle name="Normal 3 12 13 6 2" xfId="19922" xr:uid="{00000000-0005-0000-0000-0000C94D0000}"/>
    <cellStyle name="Normal 3 12 13 6 3" xfId="19923" xr:uid="{00000000-0005-0000-0000-0000CA4D0000}"/>
    <cellStyle name="Normal 3 12 13 7" xfId="19924" xr:uid="{00000000-0005-0000-0000-0000CB4D0000}"/>
    <cellStyle name="Normal 3 12 13 7 2" xfId="19925" xr:uid="{00000000-0005-0000-0000-0000CC4D0000}"/>
    <cellStyle name="Normal 3 12 13 7 3" xfId="19926" xr:uid="{00000000-0005-0000-0000-0000CD4D0000}"/>
    <cellStyle name="Normal 3 12 13 8" xfId="19927" xr:uid="{00000000-0005-0000-0000-0000CE4D0000}"/>
    <cellStyle name="Normal 3 12 13 8 2" xfId="19928" xr:uid="{00000000-0005-0000-0000-0000CF4D0000}"/>
    <cellStyle name="Normal 3 12 13 8 3" xfId="19929" xr:uid="{00000000-0005-0000-0000-0000D04D0000}"/>
    <cellStyle name="Normal 3 12 13 9" xfId="19930" xr:uid="{00000000-0005-0000-0000-0000D14D0000}"/>
    <cellStyle name="Normal 3 12 13 9 2" xfId="19931" xr:uid="{00000000-0005-0000-0000-0000D24D0000}"/>
    <cellStyle name="Normal 3 12 13 9 3" xfId="19932" xr:uid="{00000000-0005-0000-0000-0000D34D0000}"/>
    <cellStyle name="Normal 3 12 14" xfId="19933" xr:uid="{00000000-0005-0000-0000-0000D44D0000}"/>
    <cellStyle name="Normal 3 12 14 10" xfId="19934" xr:uid="{00000000-0005-0000-0000-0000D54D0000}"/>
    <cellStyle name="Normal 3 12 14 10 2" xfId="19935" xr:uid="{00000000-0005-0000-0000-0000D64D0000}"/>
    <cellStyle name="Normal 3 12 14 10 3" xfId="19936" xr:uid="{00000000-0005-0000-0000-0000D74D0000}"/>
    <cellStyle name="Normal 3 12 14 11" xfId="19937" xr:uid="{00000000-0005-0000-0000-0000D84D0000}"/>
    <cellStyle name="Normal 3 12 14 11 2" xfId="19938" xr:uid="{00000000-0005-0000-0000-0000D94D0000}"/>
    <cellStyle name="Normal 3 12 14 11 3" xfId="19939" xr:uid="{00000000-0005-0000-0000-0000DA4D0000}"/>
    <cellStyle name="Normal 3 12 14 12" xfId="19940" xr:uid="{00000000-0005-0000-0000-0000DB4D0000}"/>
    <cellStyle name="Normal 3 12 14 12 2" xfId="19941" xr:uid="{00000000-0005-0000-0000-0000DC4D0000}"/>
    <cellStyle name="Normal 3 12 14 12 3" xfId="19942" xr:uid="{00000000-0005-0000-0000-0000DD4D0000}"/>
    <cellStyle name="Normal 3 12 14 13" xfId="19943" xr:uid="{00000000-0005-0000-0000-0000DE4D0000}"/>
    <cellStyle name="Normal 3 12 14 13 2" xfId="19944" xr:uid="{00000000-0005-0000-0000-0000DF4D0000}"/>
    <cellStyle name="Normal 3 12 14 13 3" xfId="19945" xr:uid="{00000000-0005-0000-0000-0000E04D0000}"/>
    <cellStyle name="Normal 3 12 14 14" xfId="19946" xr:uid="{00000000-0005-0000-0000-0000E14D0000}"/>
    <cellStyle name="Normal 3 12 14 14 2" xfId="19947" xr:uid="{00000000-0005-0000-0000-0000E24D0000}"/>
    <cellStyle name="Normal 3 12 14 14 3" xfId="19948" xr:uid="{00000000-0005-0000-0000-0000E34D0000}"/>
    <cellStyle name="Normal 3 12 14 15" xfId="19949" xr:uid="{00000000-0005-0000-0000-0000E44D0000}"/>
    <cellStyle name="Normal 3 12 14 16" xfId="19950" xr:uid="{00000000-0005-0000-0000-0000E54D0000}"/>
    <cellStyle name="Normal 3 12 14 2" xfId="19951" xr:uid="{00000000-0005-0000-0000-0000E64D0000}"/>
    <cellStyle name="Normal 3 12 14 2 2" xfId="19952" xr:uid="{00000000-0005-0000-0000-0000E74D0000}"/>
    <cellStyle name="Normal 3 12 14 2 3" xfId="19953" xr:uid="{00000000-0005-0000-0000-0000E84D0000}"/>
    <cellStyle name="Normal 3 12 14 3" xfId="19954" xr:uid="{00000000-0005-0000-0000-0000E94D0000}"/>
    <cellStyle name="Normal 3 12 14 3 2" xfId="19955" xr:uid="{00000000-0005-0000-0000-0000EA4D0000}"/>
    <cellStyle name="Normal 3 12 14 3 3" xfId="19956" xr:uid="{00000000-0005-0000-0000-0000EB4D0000}"/>
    <cellStyle name="Normal 3 12 14 4" xfId="19957" xr:uid="{00000000-0005-0000-0000-0000EC4D0000}"/>
    <cellStyle name="Normal 3 12 14 4 2" xfId="19958" xr:uid="{00000000-0005-0000-0000-0000ED4D0000}"/>
    <cellStyle name="Normal 3 12 14 4 3" xfId="19959" xr:uid="{00000000-0005-0000-0000-0000EE4D0000}"/>
    <cellStyle name="Normal 3 12 14 5" xfId="19960" xr:uid="{00000000-0005-0000-0000-0000EF4D0000}"/>
    <cellStyle name="Normal 3 12 14 5 2" xfId="19961" xr:uid="{00000000-0005-0000-0000-0000F04D0000}"/>
    <cellStyle name="Normal 3 12 14 5 3" xfId="19962" xr:uid="{00000000-0005-0000-0000-0000F14D0000}"/>
    <cellStyle name="Normal 3 12 14 6" xfId="19963" xr:uid="{00000000-0005-0000-0000-0000F24D0000}"/>
    <cellStyle name="Normal 3 12 14 6 2" xfId="19964" xr:uid="{00000000-0005-0000-0000-0000F34D0000}"/>
    <cellStyle name="Normal 3 12 14 6 3" xfId="19965" xr:uid="{00000000-0005-0000-0000-0000F44D0000}"/>
    <cellStyle name="Normal 3 12 14 7" xfId="19966" xr:uid="{00000000-0005-0000-0000-0000F54D0000}"/>
    <cellStyle name="Normal 3 12 14 7 2" xfId="19967" xr:uid="{00000000-0005-0000-0000-0000F64D0000}"/>
    <cellStyle name="Normal 3 12 14 7 3" xfId="19968" xr:uid="{00000000-0005-0000-0000-0000F74D0000}"/>
    <cellStyle name="Normal 3 12 14 8" xfId="19969" xr:uid="{00000000-0005-0000-0000-0000F84D0000}"/>
    <cellStyle name="Normal 3 12 14 8 2" xfId="19970" xr:uid="{00000000-0005-0000-0000-0000F94D0000}"/>
    <cellStyle name="Normal 3 12 14 8 3" xfId="19971" xr:uid="{00000000-0005-0000-0000-0000FA4D0000}"/>
    <cellStyle name="Normal 3 12 14 9" xfId="19972" xr:uid="{00000000-0005-0000-0000-0000FB4D0000}"/>
    <cellStyle name="Normal 3 12 14 9 2" xfId="19973" xr:uid="{00000000-0005-0000-0000-0000FC4D0000}"/>
    <cellStyle name="Normal 3 12 14 9 3" xfId="19974" xr:uid="{00000000-0005-0000-0000-0000FD4D0000}"/>
    <cellStyle name="Normal 3 12 15" xfId="19975" xr:uid="{00000000-0005-0000-0000-0000FE4D0000}"/>
    <cellStyle name="Normal 3 12 16" xfId="19976" xr:uid="{00000000-0005-0000-0000-0000FF4D0000}"/>
    <cellStyle name="Normal 3 12 17" xfId="19977" xr:uid="{00000000-0005-0000-0000-0000004E0000}"/>
    <cellStyle name="Normal 3 12 17 10" xfId="19978" xr:uid="{00000000-0005-0000-0000-0000014E0000}"/>
    <cellStyle name="Normal 3 12 17 10 2" xfId="19979" xr:uid="{00000000-0005-0000-0000-0000024E0000}"/>
    <cellStyle name="Normal 3 12 17 10 3" xfId="19980" xr:uid="{00000000-0005-0000-0000-0000034E0000}"/>
    <cellStyle name="Normal 3 12 17 11" xfId="19981" xr:uid="{00000000-0005-0000-0000-0000044E0000}"/>
    <cellStyle name="Normal 3 12 17 11 2" xfId="19982" xr:uid="{00000000-0005-0000-0000-0000054E0000}"/>
    <cellStyle name="Normal 3 12 17 11 3" xfId="19983" xr:uid="{00000000-0005-0000-0000-0000064E0000}"/>
    <cellStyle name="Normal 3 12 17 12" xfId="19984" xr:uid="{00000000-0005-0000-0000-0000074E0000}"/>
    <cellStyle name="Normal 3 12 17 12 2" xfId="19985" xr:uid="{00000000-0005-0000-0000-0000084E0000}"/>
    <cellStyle name="Normal 3 12 17 12 3" xfId="19986" xr:uid="{00000000-0005-0000-0000-0000094E0000}"/>
    <cellStyle name="Normal 3 12 17 13" xfId="19987" xr:uid="{00000000-0005-0000-0000-00000A4E0000}"/>
    <cellStyle name="Normal 3 12 17 13 2" xfId="19988" xr:uid="{00000000-0005-0000-0000-00000B4E0000}"/>
    <cellStyle name="Normal 3 12 17 13 3" xfId="19989" xr:uid="{00000000-0005-0000-0000-00000C4E0000}"/>
    <cellStyle name="Normal 3 12 17 14" xfId="19990" xr:uid="{00000000-0005-0000-0000-00000D4E0000}"/>
    <cellStyle name="Normal 3 12 17 14 2" xfId="19991" xr:uid="{00000000-0005-0000-0000-00000E4E0000}"/>
    <cellStyle name="Normal 3 12 17 14 3" xfId="19992" xr:uid="{00000000-0005-0000-0000-00000F4E0000}"/>
    <cellStyle name="Normal 3 12 17 15" xfId="19993" xr:uid="{00000000-0005-0000-0000-0000104E0000}"/>
    <cellStyle name="Normal 3 12 17 16" xfId="19994" xr:uid="{00000000-0005-0000-0000-0000114E0000}"/>
    <cellStyle name="Normal 3 12 17 2" xfId="19995" xr:uid="{00000000-0005-0000-0000-0000124E0000}"/>
    <cellStyle name="Normal 3 12 17 2 2" xfId="19996" xr:uid="{00000000-0005-0000-0000-0000134E0000}"/>
    <cellStyle name="Normal 3 12 17 2 3" xfId="19997" xr:uid="{00000000-0005-0000-0000-0000144E0000}"/>
    <cellStyle name="Normal 3 12 17 3" xfId="19998" xr:uid="{00000000-0005-0000-0000-0000154E0000}"/>
    <cellStyle name="Normal 3 12 17 3 2" xfId="19999" xr:uid="{00000000-0005-0000-0000-0000164E0000}"/>
    <cellStyle name="Normal 3 12 17 3 3" xfId="20000" xr:uid="{00000000-0005-0000-0000-0000174E0000}"/>
    <cellStyle name="Normal 3 12 17 4" xfId="20001" xr:uid="{00000000-0005-0000-0000-0000184E0000}"/>
    <cellStyle name="Normal 3 12 17 4 2" xfId="20002" xr:uid="{00000000-0005-0000-0000-0000194E0000}"/>
    <cellStyle name="Normal 3 12 17 4 3" xfId="20003" xr:uid="{00000000-0005-0000-0000-00001A4E0000}"/>
    <cellStyle name="Normal 3 12 17 5" xfId="20004" xr:uid="{00000000-0005-0000-0000-00001B4E0000}"/>
    <cellStyle name="Normal 3 12 17 5 2" xfId="20005" xr:uid="{00000000-0005-0000-0000-00001C4E0000}"/>
    <cellStyle name="Normal 3 12 17 5 3" xfId="20006" xr:uid="{00000000-0005-0000-0000-00001D4E0000}"/>
    <cellStyle name="Normal 3 12 17 6" xfId="20007" xr:uid="{00000000-0005-0000-0000-00001E4E0000}"/>
    <cellStyle name="Normal 3 12 17 6 2" xfId="20008" xr:uid="{00000000-0005-0000-0000-00001F4E0000}"/>
    <cellStyle name="Normal 3 12 17 6 3" xfId="20009" xr:uid="{00000000-0005-0000-0000-0000204E0000}"/>
    <cellStyle name="Normal 3 12 17 7" xfId="20010" xr:uid="{00000000-0005-0000-0000-0000214E0000}"/>
    <cellStyle name="Normal 3 12 17 7 2" xfId="20011" xr:uid="{00000000-0005-0000-0000-0000224E0000}"/>
    <cellStyle name="Normal 3 12 17 7 3" xfId="20012" xr:uid="{00000000-0005-0000-0000-0000234E0000}"/>
    <cellStyle name="Normal 3 12 17 8" xfId="20013" xr:uid="{00000000-0005-0000-0000-0000244E0000}"/>
    <cellStyle name="Normal 3 12 17 8 2" xfId="20014" xr:uid="{00000000-0005-0000-0000-0000254E0000}"/>
    <cellStyle name="Normal 3 12 17 8 3" xfId="20015" xr:uid="{00000000-0005-0000-0000-0000264E0000}"/>
    <cellStyle name="Normal 3 12 17 9" xfId="20016" xr:uid="{00000000-0005-0000-0000-0000274E0000}"/>
    <cellStyle name="Normal 3 12 17 9 2" xfId="20017" xr:uid="{00000000-0005-0000-0000-0000284E0000}"/>
    <cellStyle name="Normal 3 12 17 9 3" xfId="20018" xr:uid="{00000000-0005-0000-0000-0000294E0000}"/>
    <cellStyle name="Normal 3 12 18" xfId="20019" xr:uid="{00000000-0005-0000-0000-00002A4E0000}"/>
    <cellStyle name="Normal 3 12 18 10" xfId="20020" xr:uid="{00000000-0005-0000-0000-00002B4E0000}"/>
    <cellStyle name="Normal 3 12 18 10 2" xfId="20021" xr:uid="{00000000-0005-0000-0000-00002C4E0000}"/>
    <cellStyle name="Normal 3 12 18 10 3" xfId="20022" xr:uid="{00000000-0005-0000-0000-00002D4E0000}"/>
    <cellStyle name="Normal 3 12 18 11" xfId="20023" xr:uid="{00000000-0005-0000-0000-00002E4E0000}"/>
    <cellStyle name="Normal 3 12 18 11 2" xfId="20024" xr:uid="{00000000-0005-0000-0000-00002F4E0000}"/>
    <cellStyle name="Normal 3 12 18 11 3" xfId="20025" xr:uid="{00000000-0005-0000-0000-0000304E0000}"/>
    <cellStyle name="Normal 3 12 18 12" xfId="20026" xr:uid="{00000000-0005-0000-0000-0000314E0000}"/>
    <cellStyle name="Normal 3 12 18 12 2" xfId="20027" xr:uid="{00000000-0005-0000-0000-0000324E0000}"/>
    <cellStyle name="Normal 3 12 18 12 3" xfId="20028" xr:uid="{00000000-0005-0000-0000-0000334E0000}"/>
    <cellStyle name="Normal 3 12 18 13" xfId="20029" xr:uid="{00000000-0005-0000-0000-0000344E0000}"/>
    <cellStyle name="Normal 3 12 18 13 2" xfId="20030" xr:uid="{00000000-0005-0000-0000-0000354E0000}"/>
    <cellStyle name="Normal 3 12 18 13 3" xfId="20031" xr:uid="{00000000-0005-0000-0000-0000364E0000}"/>
    <cellStyle name="Normal 3 12 18 14" xfId="20032" xr:uid="{00000000-0005-0000-0000-0000374E0000}"/>
    <cellStyle name="Normal 3 12 18 14 2" xfId="20033" xr:uid="{00000000-0005-0000-0000-0000384E0000}"/>
    <cellStyle name="Normal 3 12 18 14 3" xfId="20034" xr:uid="{00000000-0005-0000-0000-0000394E0000}"/>
    <cellStyle name="Normal 3 12 18 15" xfId="20035" xr:uid="{00000000-0005-0000-0000-00003A4E0000}"/>
    <cellStyle name="Normal 3 12 18 16" xfId="20036" xr:uid="{00000000-0005-0000-0000-00003B4E0000}"/>
    <cellStyle name="Normal 3 12 18 2" xfId="20037" xr:uid="{00000000-0005-0000-0000-00003C4E0000}"/>
    <cellStyle name="Normal 3 12 18 2 2" xfId="20038" xr:uid="{00000000-0005-0000-0000-00003D4E0000}"/>
    <cellStyle name="Normal 3 12 18 2 3" xfId="20039" xr:uid="{00000000-0005-0000-0000-00003E4E0000}"/>
    <cellStyle name="Normal 3 12 18 3" xfId="20040" xr:uid="{00000000-0005-0000-0000-00003F4E0000}"/>
    <cellStyle name="Normal 3 12 18 3 2" xfId="20041" xr:uid="{00000000-0005-0000-0000-0000404E0000}"/>
    <cellStyle name="Normal 3 12 18 3 3" xfId="20042" xr:uid="{00000000-0005-0000-0000-0000414E0000}"/>
    <cellStyle name="Normal 3 12 18 4" xfId="20043" xr:uid="{00000000-0005-0000-0000-0000424E0000}"/>
    <cellStyle name="Normal 3 12 18 4 2" xfId="20044" xr:uid="{00000000-0005-0000-0000-0000434E0000}"/>
    <cellStyle name="Normal 3 12 18 4 3" xfId="20045" xr:uid="{00000000-0005-0000-0000-0000444E0000}"/>
    <cellStyle name="Normal 3 12 18 5" xfId="20046" xr:uid="{00000000-0005-0000-0000-0000454E0000}"/>
    <cellStyle name="Normal 3 12 18 5 2" xfId="20047" xr:uid="{00000000-0005-0000-0000-0000464E0000}"/>
    <cellStyle name="Normal 3 12 18 5 3" xfId="20048" xr:uid="{00000000-0005-0000-0000-0000474E0000}"/>
    <cellStyle name="Normal 3 12 18 6" xfId="20049" xr:uid="{00000000-0005-0000-0000-0000484E0000}"/>
    <cellStyle name="Normal 3 12 18 6 2" xfId="20050" xr:uid="{00000000-0005-0000-0000-0000494E0000}"/>
    <cellStyle name="Normal 3 12 18 6 3" xfId="20051" xr:uid="{00000000-0005-0000-0000-00004A4E0000}"/>
    <cellStyle name="Normal 3 12 18 7" xfId="20052" xr:uid="{00000000-0005-0000-0000-00004B4E0000}"/>
    <cellStyle name="Normal 3 12 18 7 2" xfId="20053" xr:uid="{00000000-0005-0000-0000-00004C4E0000}"/>
    <cellStyle name="Normal 3 12 18 7 3" xfId="20054" xr:uid="{00000000-0005-0000-0000-00004D4E0000}"/>
    <cellStyle name="Normal 3 12 18 8" xfId="20055" xr:uid="{00000000-0005-0000-0000-00004E4E0000}"/>
    <cellStyle name="Normal 3 12 18 8 2" xfId="20056" xr:uid="{00000000-0005-0000-0000-00004F4E0000}"/>
    <cellStyle name="Normal 3 12 18 8 3" xfId="20057" xr:uid="{00000000-0005-0000-0000-0000504E0000}"/>
    <cellStyle name="Normal 3 12 18 9" xfId="20058" xr:uid="{00000000-0005-0000-0000-0000514E0000}"/>
    <cellStyle name="Normal 3 12 18 9 2" xfId="20059" xr:uid="{00000000-0005-0000-0000-0000524E0000}"/>
    <cellStyle name="Normal 3 12 18 9 3" xfId="20060" xr:uid="{00000000-0005-0000-0000-0000534E0000}"/>
    <cellStyle name="Normal 3 12 2" xfId="20061" xr:uid="{00000000-0005-0000-0000-0000544E0000}"/>
    <cellStyle name="Normal 3 12 2 10" xfId="20062" xr:uid="{00000000-0005-0000-0000-0000554E0000}"/>
    <cellStyle name="Normal 3 12 2 10 2" xfId="20063" xr:uid="{00000000-0005-0000-0000-0000564E0000}"/>
    <cellStyle name="Normal 3 12 2 10 3" xfId="20064" xr:uid="{00000000-0005-0000-0000-0000574E0000}"/>
    <cellStyle name="Normal 3 12 2 11" xfId="20065" xr:uid="{00000000-0005-0000-0000-0000584E0000}"/>
    <cellStyle name="Normal 3 12 2 11 2" xfId="20066" xr:uid="{00000000-0005-0000-0000-0000594E0000}"/>
    <cellStyle name="Normal 3 12 2 11 3" xfId="20067" xr:uid="{00000000-0005-0000-0000-00005A4E0000}"/>
    <cellStyle name="Normal 3 12 2 12" xfId="20068" xr:uid="{00000000-0005-0000-0000-00005B4E0000}"/>
    <cellStyle name="Normal 3 12 2 12 2" xfId="20069" xr:uid="{00000000-0005-0000-0000-00005C4E0000}"/>
    <cellStyle name="Normal 3 12 2 12 3" xfId="20070" xr:uid="{00000000-0005-0000-0000-00005D4E0000}"/>
    <cellStyle name="Normal 3 12 2 13" xfId="20071" xr:uid="{00000000-0005-0000-0000-00005E4E0000}"/>
    <cellStyle name="Normal 3 12 2 13 2" xfId="20072" xr:uid="{00000000-0005-0000-0000-00005F4E0000}"/>
    <cellStyle name="Normal 3 12 2 13 3" xfId="20073" xr:uid="{00000000-0005-0000-0000-0000604E0000}"/>
    <cellStyle name="Normal 3 12 2 14" xfId="20074" xr:uid="{00000000-0005-0000-0000-0000614E0000}"/>
    <cellStyle name="Normal 3 12 2 14 2" xfId="20075" xr:uid="{00000000-0005-0000-0000-0000624E0000}"/>
    <cellStyle name="Normal 3 12 2 14 3" xfId="20076" xr:uid="{00000000-0005-0000-0000-0000634E0000}"/>
    <cellStyle name="Normal 3 12 2 15" xfId="20077" xr:uid="{00000000-0005-0000-0000-0000644E0000}"/>
    <cellStyle name="Normal 3 12 2 15 2" xfId="20078" xr:uid="{00000000-0005-0000-0000-0000654E0000}"/>
    <cellStyle name="Normal 3 12 2 15 3" xfId="20079" xr:uid="{00000000-0005-0000-0000-0000664E0000}"/>
    <cellStyle name="Normal 3 12 2 16" xfId="20080" xr:uid="{00000000-0005-0000-0000-0000674E0000}"/>
    <cellStyle name="Normal 3 12 2 16 2" xfId="20081" xr:uid="{00000000-0005-0000-0000-0000684E0000}"/>
    <cellStyle name="Normal 3 12 2 16 3" xfId="20082" xr:uid="{00000000-0005-0000-0000-0000694E0000}"/>
    <cellStyle name="Normal 3 12 2 17" xfId="20083" xr:uid="{00000000-0005-0000-0000-00006A4E0000}"/>
    <cellStyle name="Normal 3 12 2 17 2" xfId="20084" xr:uid="{00000000-0005-0000-0000-00006B4E0000}"/>
    <cellStyle name="Normal 3 12 2 17 3" xfId="20085" xr:uid="{00000000-0005-0000-0000-00006C4E0000}"/>
    <cellStyle name="Normal 3 12 2 18" xfId="20086" xr:uid="{00000000-0005-0000-0000-00006D4E0000}"/>
    <cellStyle name="Normal 3 12 2 19" xfId="20087" xr:uid="{00000000-0005-0000-0000-00006E4E0000}"/>
    <cellStyle name="Normal 3 12 2 2" xfId="20088" xr:uid="{00000000-0005-0000-0000-00006F4E0000}"/>
    <cellStyle name="Normal 3 12 2 3" xfId="20089" xr:uid="{00000000-0005-0000-0000-0000704E0000}"/>
    <cellStyle name="Normal 3 12 2 4" xfId="20090" xr:uid="{00000000-0005-0000-0000-0000714E0000}"/>
    <cellStyle name="Normal 3 12 2 5" xfId="20091" xr:uid="{00000000-0005-0000-0000-0000724E0000}"/>
    <cellStyle name="Normal 3 12 2 5 2" xfId="20092" xr:uid="{00000000-0005-0000-0000-0000734E0000}"/>
    <cellStyle name="Normal 3 12 2 5 3" xfId="20093" xr:uid="{00000000-0005-0000-0000-0000744E0000}"/>
    <cellStyle name="Normal 3 12 2 6" xfId="20094" xr:uid="{00000000-0005-0000-0000-0000754E0000}"/>
    <cellStyle name="Normal 3 12 2 6 2" xfId="20095" xr:uid="{00000000-0005-0000-0000-0000764E0000}"/>
    <cellStyle name="Normal 3 12 2 6 3" xfId="20096" xr:uid="{00000000-0005-0000-0000-0000774E0000}"/>
    <cellStyle name="Normal 3 12 2 7" xfId="20097" xr:uid="{00000000-0005-0000-0000-0000784E0000}"/>
    <cellStyle name="Normal 3 12 2 7 2" xfId="20098" xr:uid="{00000000-0005-0000-0000-0000794E0000}"/>
    <cellStyle name="Normal 3 12 2 7 3" xfId="20099" xr:uid="{00000000-0005-0000-0000-00007A4E0000}"/>
    <cellStyle name="Normal 3 12 2 8" xfId="20100" xr:uid="{00000000-0005-0000-0000-00007B4E0000}"/>
    <cellStyle name="Normal 3 12 2 8 2" xfId="20101" xr:uid="{00000000-0005-0000-0000-00007C4E0000}"/>
    <cellStyle name="Normal 3 12 2 8 3" xfId="20102" xr:uid="{00000000-0005-0000-0000-00007D4E0000}"/>
    <cellStyle name="Normal 3 12 2 9" xfId="20103" xr:uid="{00000000-0005-0000-0000-00007E4E0000}"/>
    <cellStyle name="Normal 3 12 2 9 2" xfId="20104" xr:uid="{00000000-0005-0000-0000-00007F4E0000}"/>
    <cellStyle name="Normal 3 12 2 9 3" xfId="20105" xr:uid="{00000000-0005-0000-0000-0000804E0000}"/>
    <cellStyle name="Normal 3 12 3" xfId="20106" xr:uid="{00000000-0005-0000-0000-0000814E0000}"/>
    <cellStyle name="Normal 3 12 4" xfId="20107" xr:uid="{00000000-0005-0000-0000-0000824E0000}"/>
    <cellStyle name="Normal 3 12 5" xfId="20108" xr:uid="{00000000-0005-0000-0000-0000834E0000}"/>
    <cellStyle name="Normal 3 12 6" xfId="20109" xr:uid="{00000000-0005-0000-0000-0000844E0000}"/>
    <cellStyle name="Normal 3 12 6 10" xfId="20110" xr:uid="{00000000-0005-0000-0000-0000854E0000}"/>
    <cellStyle name="Normal 3 12 6 10 2" xfId="20111" xr:uid="{00000000-0005-0000-0000-0000864E0000}"/>
    <cellStyle name="Normal 3 12 6 10 3" xfId="20112" xr:uid="{00000000-0005-0000-0000-0000874E0000}"/>
    <cellStyle name="Normal 3 12 6 11" xfId="20113" xr:uid="{00000000-0005-0000-0000-0000884E0000}"/>
    <cellStyle name="Normal 3 12 6 11 2" xfId="20114" xr:uid="{00000000-0005-0000-0000-0000894E0000}"/>
    <cellStyle name="Normal 3 12 6 11 3" xfId="20115" xr:uid="{00000000-0005-0000-0000-00008A4E0000}"/>
    <cellStyle name="Normal 3 12 6 12" xfId="20116" xr:uid="{00000000-0005-0000-0000-00008B4E0000}"/>
    <cellStyle name="Normal 3 12 6 12 2" xfId="20117" xr:uid="{00000000-0005-0000-0000-00008C4E0000}"/>
    <cellStyle name="Normal 3 12 6 12 3" xfId="20118" xr:uid="{00000000-0005-0000-0000-00008D4E0000}"/>
    <cellStyle name="Normal 3 12 6 13" xfId="20119" xr:uid="{00000000-0005-0000-0000-00008E4E0000}"/>
    <cellStyle name="Normal 3 12 6 13 2" xfId="20120" xr:uid="{00000000-0005-0000-0000-00008F4E0000}"/>
    <cellStyle name="Normal 3 12 6 13 3" xfId="20121" xr:uid="{00000000-0005-0000-0000-0000904E0000}"/>
    <cellStyle name="Normal 3 12 6 14" xfId="20122" xr:uid="{00000000-0005-0000-0000-0000914E0000}"/>
    <cellStyle name="Normal 3 12 6 14 2" xfId="20123" xr:uid="{00000000-0005-0000-0000-0000924E0000}"/>
    <cellStyle name="Normal 3 12 6 14 3" xfId="20124" xr:uid="{00000000-0005-0000-0000-0000934E0000}"/>
    <cellStyle name="Normal 3 12 6 15" xfId="20125" xr:uid="{00000000-0005-0000-0000-0000944E0000}"/>
    <cellStyle name="Normal 3 12 6 15 2" xfId="20126" xr:uid="{00000000-0005-0000-0000-0000954E0000}"/>
    <cellStyle name="Normal 3 12 6 15 3" xfId="20127" xr:uid="{00000000-0005-0000-0000-0000964E0000}"/>
    <cellStyle name="Normal 3 12 6 16" xfId="20128" xr:uid="{00000000-0005-0000-0000-0000974E0000}"/>
    <cellStyle name="Normal 3 12 6 17" xfId="20129" xr:uid="{00000000-0005-0000-0000-0000984E0000}"/>
    <cellStyle name="Normal 3 12 6 2" xfId="20130" xr:uid="{00000000-0005-0000-0000-0000994E0000}"/>
    <cellStyle name="Normal 3 12 6 2 10" xfId="20131" xr:uid="{00000000-0005-0000-0000-00009A4E0000}"/>
    <cellStyle name="Normal 3 12 6 2 10 2" xfId="20132" xr:uid="{00000000-0005-0000-0000-00009B4E0000}"/>
    <cellStyle name="Normal 3 12 6 2 10 3" xfId="20133" xr:uid="{00000000-0005-0000-0000-00009C4E0000}"/>
    <cellStyle name="Normal 3 12 6 2 11" xfId="20134" xr:uid="{00000000-0005-0000-0000-00009D4E0000}"/>
    <cellStyle name="Normal 3 12 6 2 11 2" xfId="20135" xr:uid="{00000000-0005-0000-0000-00009E4E0000}"/>
    <cellStyle name="Normal 3 12 6 2 11 3" xfId="20136" xr:uid="{00000000-0005-0000-0000-00009F4E0000}"/>
    <cellStyle name="Normal 3 12 6 2 12" xfId="20137" xr:uid="{00000000-0005-0000-0000-0000A04E0000}"/>
    <cellStyle name="Normal 3 12 6 2 12 2" xfId="20138" xr:uid="{00000000-0005-0000-0000-0000A14E0000}"/>
    <cellStyle name="Normal 3 12 6 2 12 3" xfId="20139" xr:uid="{00000000-0005-0000-0000-0000A24E0000}"/>
    <cellStyle name="Normal 3 12 6 2 13" xfId="20140" xr:uid="{00000000-0005-0000-0000-0000A34E0000}"/>
    <cellStyle name="Normal 3 12 6 2 13 2" xfId="20141" xr:uid="{00000000-0005-0000-0000-0000A44E0000}"/>
    <cellStyle name="Normal 3 12 6 2 13 3" xfId="20142" xr:uid="{00000000-0005-0000-0000-0000A54E0000}"/>
    <cellStyle name="Normal 3 12 6 2 14" xfId="20143" xr:uid="{00000000-0005-0000-0000-0000A64E0000}"/>
    <cellStyle name="Normal 3 12 6 2 14 2" xfId="20144" xr:uid="{00000000-0005-0000-0000-0000A74E0000}"/>
    <cellStyle name="Normal 3 12 6 2 14 3" xfId="20145" xr:uid="{00000000-0005-0000-0000-0000A84E0000}"/>
    <cellStyle name="Normal 3 12 6 2 15" xfId="20146" xr:uid="{00000000-0005-0000-0000-0000A94E0000}"/>
    <cellStyle name="Normal 3 12 6 2 16" xfId="20147" xr:uid="{00000000-0005-0000-0000-0000AA4E0000}"/>
    <cellStyle name="Normal 3 12 6 2 2" xfId="20148" xr:uid="{00000000-0005-0000-0000-0000AB4E0000}"/>
    <cellStyle name="Normal 3 12 6 2 2 2" xfId="20149" xr:uid="{00000000-0005-0000-0000-0000AC4E0000}"/>
    <cellStyle name="Normal 3 12 6 2 2 3" xfId="20150" xr:uid="{00000000-0005-0000-0000-0000AD4E0000}"/>
    <cellStyle name="Normal 3 12 6 2 3" xfId="20151" xr:uid="{00000000-0005-0000-0000-0000AE4E0000}"/>
    <cellStyle name="Normal 3 12 6 2 3 2" xfId="20152" xr:uid="{00000000-0005-0000-0000-0000AF4E0000}"/>
    <cellStyle name="Normal 3 12 6 2 3 3" xfId="20153" xr:uid="{00000000-0005-0000-0000-0000B04E0000}"/>
    <cellStyle name="Normal 3 12 6 2 4" xfId="20154" xr:uid="{00000000-0005-0000-0000-0000B14E0000}"/>
    <cellStyle name="Normal 3 12 6 2 4 2" xfId="20155" xr:uid="{00000000-0005-0000-0000-0000B24E0000}"/>
    <cellStyle name="Normal 3 12 6 2 4 3" xfId="20156" xr:uid="{00000000-0005-0000-0000-0000B34E0000}"/>
    <cellStyle name="Normal 3 12 6 2 5" xfId="20157" xr:uid="{00000000-0005-0000-0000-0000B44E0000}"/>
    <cellStyle name="Normal 3 12 6 2 5 2" xfId="20158" xr:uid="{00000000-0005-0000-0000-0000B54E0000}"/>
    <cellStyle name="Normal 3 12 6 2 5 3" xfId="20159" xr:uid="{00000000-0005-0000-0000-0000B64E0000}"/>
    <cellStyle name="Normal 3 12 6 2 6" xfId="20160" xr:uid="{00000000-0005-0000-0000-0000B74E0000}"/>
    <cellStyle name="Normal 3 12 6 2 6 2" xfId="20161" xr:uid="{00000000-0005-0000-0000-0000B84E0000}"/>
    <cellStyle name="Normal 3 12 6 2 6 3" xfId="20162" xr:uid="{00000000-0005-0000-0000-0000B94E0000}"/>
    <cellStyle name="Normal 3 12 6 2 7" xfId="20163" xr:uid="{00000000-0005-0000-0000-0000BA4E0000}"/>
    <cellStyle name="Normal 3 12 6 2 7 2" xfId="20164" xr:uid="{00000000-0005-0000-0000-0000BB4E0000}"/>
    <cellStyle name="Normal 3 12 6 2 7 3" xfId="20165" xr:uid="{00000000-0005-0000-0000-0000BC4E0000}"/>
    <cellStyle name="Normal 3 12 6 2 8" xfId="20166" xr:uid="{00000000-0005-0000-0000-0000BD4E0000}"/>
    <cellStyle name="Normal 3 12 6 2 8 2" xfId="20167" xr:uid="{00000000-0005-0000-0000-0000BE4E0000}"/>
    <cellStyle name="Normal 3 12 6 2 8 3" xfId="20168" xr:uid="{00000000-0005-0000-0000-0000BF4E0000}"/>
    <cellStyle name="Normal 3 12 6 2 9" xfId="20169" xr:uid="{00000000-0005-0000-0000-0000C04E0000}"/>
    <cellStyle name="Normal 3 12 6 2 9 2" xfId="20170" xr:uid="{00000000-0005-0000-0000-0000C14E0000}"/>
    <cellStyle name="Normal 3 12 6 2 9 3" xfId="20171" xr:uid="{00000000-0005-0000-0000-0000C24E0000}"/>
    <cellStyle name="Normal 3 12 6 3" xfId="20172" xr:uid="{00000000-0005-0000-0000-0000C34E0000}"/>
    <cellStyle name="Normal 3 12 6 3 2" xfId="20173" xr:uid="{00000000-0005-0000-0000-0000C44E0000}"/>
    <cellStyle name="Normal 3 12 6 3 3" xfId="20174" xr:uid="{00000000-0005-0000-0000-0000C54E0000}"/>
    <cellStyle name="Normal 3 12 6 4" xfId="20175" xr:uid="{00000000-0005-0000-0000-0000C64E0000}"/>
    <cellStyle name="Normal 3 12 6 4 2" xfId="20176" xr:uid="{00000000-0005-0000-0000-0000C74E0000}"/>
    <cellStyle name="Normal 3 12 6 4 3" xfId="20177" xr:uid="{00000000-0005-0000-0000-0000C84E0000}"/>
    <cellStyle name="Normal 3 12 6 5" xfId="20178" xr:uid="{00000000-0005-0000-0000-0000C94E0000}"/>
    <cellStyle name="Normal 3 12 6 5 2" xfId="20179" xr:uid="{00000000-0005-0000-0000-0000CA4E0000}"/>
    <cellStyle name="Normal 3 12 6 5 3" xfId="20180" xr:uid="{00000000-0005-0000-0000-0000CB4E0000}"/>
    <cellStyle name="Normal 3 12 6 6" xfId="20181" xr:uid="{00000000-0005-0000-0000-0000CC4E0000}"/>
    <cellStyle name="Normal 3 12 6 6 2" xfId="20182" xr:uid="{00000000-0005-0000-0000-0000CD4E0000}"/>
    <cellStyle name="Normal 3 12 6 6 3" xfId="20183" xr:uid="{00000000-0005-0000-0000-0000CE4E0000}"/>
    <cellStyle name="Normal 3 12 6 7" xfId="20184" xr:uid="{00000000-0005-0000-0000-0000CF4E0000}"/>
    <cellStyle name="Normal 3 12 6 7 2" xfId="20185" xr:uid="{00000000-0005-0000-0000-0000D04E0000}"/>
    <cellStyle name="Normal 3 12 6 7 3" xfId="20186" xr:uid="{00000000-0005-0000-0000-0000D14E0000}"/>
    <cellStyle name="Normal 3 12 6 8" xfId="20187" xr:uid="{00000000-0005-0000-0000-0000D24E0000}"/>
    <cellStyle name="Normal 3 12 6 8 2" xfId="20188" xr:uid="{00000000-0005-0000-0000-0000D34E0000}"/>
    <cellStyle name="Normal 3 12 6 8 3" xfId="20189" xr:uid="{00000000-0005-0000-0000-0000D44E0000}"/>
    <cellStyle name="Normal 3 12 6 9" xfId="20190" xr:uid="{00000000-0005-0000-0000-0000D54E0000}"/>
    <cellStyle name="Normal 3 12 6 9 2" xfId="20191" xr:uid="{00000000-0005-0000-0000-0000D64E0000}"/>
    <cellStyle name="Normal 3 12 6 9 3" xfId="20192" xr:uid="{00000000-0005-0000-0000-0000D74E0000}"/>
    <cellStyle name="Normal 3 12 7" xfId="20193" xr:uid="{00000000-0005-0000-0000-0000D84E0000}"/>
    <cellStyle name="Normal 3 12 7 10" xfId="20194" xr:uid="{00000000-0005-0000-0000-0000D94E0000}"/>
    <cellStyle name="Normal 3 12 7 10 2" xfId="20195" xr:uid="{00000000-0005-0000-0000-0000DA4E0000}"/>
    <cellStyle name="Normal 3 12 7 10 3" xfId="20196" xr:uid="{00000000-0005-0000-0000-0000DB4E0000}"/>
    <cellStyle name="Normal 3 12 7 11" xfId="20197" xr:uid="{00000000-0005-0000-0000-0000DC4E0000}"/>
    <cellStyle name="Normal 3 12 7 11 2" xfId="20198" xr:uid="{00000000-0005-0000-0000-0000DD4E0000}"/>
    <cellStyle name="Normal 3 12 7 11 3" xfId="20199" xr:uid="{00000000-0005-0000-0000-0000DE4E0000}"/>
    <cellStyle name="Normal 3 12 7 12" xfId="20200" xr:uid="{00000000-0005-0000-0000-0000DF4E0000}"/>
    <cellStyle name="Normal 3 12 7 12 2" xfId="20201" xr:uid="{00000000-0005-0000-0000-0000E04E0000}"/>
    <cellStyle name="Normal 3 12 7 12 3" xfId="20202" xr:uid="{00000000-0005-0000-0000-0000E14E0000}"/>
    <cellStyle name="Normal 3 12 7 13" xfId="20203" xr:uid="{00000000-0005-0000-0000-0000E24E0000}"/>
    <cellStyle name="Normal 3 12 7 13 2" xfId="20204" xr:uid="{00000000-0005-0000-0000-0000E34E0000}"/>
    <cellStyle name="Normal 3 12 7 13 3" xfId="20205" xr:uid="{00000000-0005-0000-0000-0000E44E0000}"/>
    <cellStyle name="Normal 3 12 7 14" xfId="20206" xr:uid="{00000000-0005-0000-0000-0000E54E0000}"/>
    <cellStyle name="Normal 3 12 7 14 2" xfId="20207" xr:uid="{00000000-0005-0000-0000-0000E64E0000}"/>
    <cellStyle name="Normal 3 12 7 14 3" xfId="20208" xr:uid="{00000000-0005-0000-0000-0000E74E0000}"/>
    <cellStyle name="Normal 3 12 7 15" xfId="20209" xr:uid="{00000000-0005-0000-0000-0000E84E0000}"/>
    <cellStyle name="Normal 3 12 7 15 2" xfId="20210" xr:uid="{00000000-0005-0000-0000-0000E94E0000}"/>
    <cellStyle name="Normal 3 12 7 15 3" xfId="20211" xr:uid="{00000000-0005-0000-0000-0000EA4E0000}"/>
    <cellStyle name="Normal 3 12 7 16" xfId="20212" xr:uid="{00000000-0005-0000-0000-0000EB4E0000}"/>
    <cellStyle name="Normal 3 12 7 17" xfId="20213" xr:uid="{00000000-0005-0000-0000-0000EC4E0000}"/>
    <cellStyle name="Normal 3 12 7 2" xfId="20214" xr:uid="{00000000-0005-0000-0000-0000ED4E0000}"/>
    <cellStyle name="Normal 3 12 7 2 10" xfId="20215" xr:uid="{00000000-0005-0000-0000-0000EE4E0000}"/>
    <cellStyle name="Normal 3 12 7 2 10 2" xfId="20216" xr:uid="{00000000-0005-0000-0000-0000EF4E0000}"/>
    <cellStyle name="Normal 3 12 7 2 10 3" xfId="20217" xr:uid="{00000000-0005-0000-0000-0000F04E0000}"/>
    <cellStyle name="Normal 3 12 7 2 11" xfId="20218" xr:uid="{00000000-0005-0000-0000-0000F14E0000}"/>
    <cellStyle name="Normal 3 12 7 2 11 2" xfId="20219" xr:uid="{00000000-0005-0000-0000-0000F24E0000}"/>
    <cellStyle name="Normal 3 12 7 2 11 3" xfId="20220" xr:uid="{00000000-0005-0000-0000-0000F34E0000}"/>
    <cellStyle name="Normal 3 12 7 2 12" xfId="20221" xr:uid="{00000000-0005-0000-0000-0000F44E0000}"/>
    <cellStyle name="Normal 3 12 7 2 12 2" xfId="20222" xr:uid="{00000000-0005-0000-0000-0000F54E0000}"/>
    <cellStyle name="Normal 3 12 7 2 12 3" xfId="20223" xr:uid="{00000000-0005-0000-0000-0000F64E0000}"/>
    <cellStyle name="Normal 3 12 7 2 13" xfId="20224" xr:uid="{00000000-0005-0000-0000-0000F74E0000}"/>
    <cellStyle name="Normal 3 12 7 2 13 2" xfId="20225" xr:uid="{00000000-0005-0000-0000-0000F84E0000}"/>
    <cellStyle name="Normal 3 12 7 2 13 3" xfId="20226" xr:uid="{00000000-0005-0000-0000-0000F94E0000}"/>
    <cellStyle name="Normal 3 12 7 2 14" xfId="20227" xr:uid="{00000000-0005-0000-0000-0000FA4E0000}"/>
    <cellStyle name="Normal 3 12 7 2 14 2" xfId="20228" xr:uid="{00000000-0005-0000-0000-0000FB4E0000}"/>
    <cellStyle name="Normal 3 12 7 2 14 3" xfId="20229" xr:uid="{00000000-0005-0000-0000-0000FC4E0000}"/>
    <cellStyle name="Normal 3 12 7 2 15" xfId="20230" xr:uid="{00000000-0005-0000-0000-0000FD4E0000}"/>
    <cellStyle name="Normal 3 12 7 2 16" xfId="20231" xr:uid="{00000000-0005-0000-0000-0000FE4E0000}"/>
    <cellStyle name="Normal 3 12 7 2 2" xfId="20232" xr:uid="{00000000-0005-0000-0000-0000FF4E0000}"/>
    <cellStyle name="Normal 3 12 7 2 2 2" xfId="20233" xr:uid="{00000000-0005-0000-0000-0000004F0000}"/>
    <cellStyle name="Normal 3 12 7 2 2 3" xfId="20234" xr:uid="{00000000-0005-0000-0000-0000014F0000}"/>
    <cellStyle name="Normal 3 12 7 2 3" xfId="20235" xr:uid="{00000000-0005-0000-0000-0000024F0000}"/>
    <cellStyle name="Normal 3 12 7 2 3 2" xfId="20236" xr:uid="{00000000-0005-0000-0000-0000034F0000}"/>
    <cellStyle name="Normal 3 12 7 2 3 3" xfId="20237" xr:uid="{00000000-0005-0000-0000-0000044F0000}"/>
    <cellStyle name="Normal 3 12 7 2 4" xfId="20238" xr:uid="{00000000-0005-0000-0000-0000054F0000}"/>
    <cellStyle name="Normal 3 12 7 2 4 2" xfId="20239" xr:uid="{00000000-0005-0000-0000-0000064F0000}"/>
    <cellStyle name="Normal 3 12 7 2 4 3" xfId="20240" xr:uid="{00000000-0005-0000-0000-0000074F0000}"/>
    <cellStyle name="Normal 3 12 7 2 5" xfId="20241" xr:uid="{00000000-0005-0000-0000-0000084F0000}"/>
    <cellStyle name="Normal 3 12 7 2 5 2" xfId="20242" xr:uid="{00000000-0005-0000-0000-0000094F0000}"/>
    <cellStyle name="Normal 3 12 7 2 5 3" xfId="20243" xr:uid="{00000000-0005-0000-0000-00000A4F0000}"/>
    <cellStyle name="Normal 3 12 7 2 6" xfId="20244" xr:uid="{00000000-0005-0000-0000-00000B4F0000}"/>
    <cellStyle name="Normal 3 12 7 2 6 2" xfId="20245" xr:uid="{00000000-0005-0000-0000-00000C4F0000}"/>
    <cellStyle name="Normal 3 12 7 2 6 3" xfId="20246" xr:uid="{00000000-0005-0000-0000-00000D4F0000}"/>
    <cellStyle name="Normal 3 12 7 2 7" xfId="20247" xr:uid="{00000000-0005-0000-0000-00000E4F0000}"/>
    <cellStyle name="Normal 3 12 7 2 7 2" xfId="20248" xr:uid="{00000000-0005-0000-0000-00000F4F0000}"/>
    <cellStyle name="Normal 3 12 7 2 7 3" xfId="20249" xr:uid="{00000000-0005-0000-0000-0000104F0000}"/>
    <cellStyle name="Normal 3 12 7 2 8" xfId="20250" xr:uid="{00000000-0005-0000-0000-0000114F0000}"/>
    <cellStyle name="Normal 3 12 7 2 8 2" xfId="20251" xr:uid="{00000000-0005-0000-0000-0000124F0000}"/>
    <cellStyle name="Normal 3 12 7 2 8 3" xfId="20252" xr:uid="{00000000-0005-0000-0000-0000134F0000}"/>
    <cellStyle name="Normal 3 12 7 2 9" xfId="20253" xr:uid="{00000000-0005-0000-0000-0000144F0000}"/>
    <cellStyle name="Normal 3 12 7 2 9 2" xfId="20254" xr:uid="{00000000-0005-0000-0000-0000154F0000}"/>
    <cellStyle name="Normal 3 12 7 2 9 3" xfId="20255" xr:uid="{00000000-0005-0000-0000-0000164F0000}"/>
    <cellStyle name="Normal 3 12 7 3" xfId="20256" xr:uid="{00000000-0005-0000-0000-0000174F0000}"/>
    <cellStyle name="Normal 3 12 7 3 2" xfId="20257" xr:uid="{00000000-0005-0000-0000-0000184F0000}"/>
    <cellStyle name="Normal 3 12 7 3 3" xfId="20258" xr:uid="{00000000-0005-0000-0000-0000194F0000}"/>
    <cellStyle name="Normal 3 12 7 4" xfId="20259" xr:uid="{00000000-0005-0000-0000-00001A4F0000}"/>
    <cellStyle name="Normal 3 12 7 4 2" xfId="20260" xr:uid="{00000000-0005-0000-0000-00001B4F0000}"/>
    <cellStyle name="Normal 3 12 7 4 3" xfId="20261" xr:uid="{00000000-0005-0000-0000-00001C4F0000}"/>
    <cellStyle name="Normal 3 12 7 5" xfId="20262" xr:uid="{00000000-0005-0000-0000-00001D4F0000}"/>
    <cellStyle name="Normal 3 12 7 5 2" xfId="20263" xr:uid="{00000000-0005-0000-0000-00001E4F0000}"/>
    <cellStyle name="Normal 3 12 7 5 3" xfId="20264" xr:uid="{00000000-0005-0000-0000-00001F4F0000}"/>
    <cellStyle name="Normal 3 12 7 6" xfId="20265" xr:uid="{00000000-0005-0000-0000-0000204F0000}"/>
    <cellStyle name="Normal 3 12 7 6 2" xfId="20266" xr:uid="{00000000-0005-0000-0000-0000214F0000}"/>
    <cellStyle name="Normal 3 12 7 6 3" xfId="20267" xr:uid="{00000000-0005-0000-0000-0000224F0000}"/>
    <cellStyle name="Normal 3 12 7 7" xfId="20268" xr:uid="{00000000-0005-0000-0000-0000234F0000}"/>
    <cellStyle name="Normal 3 12 7 7 2" xfId="20269" xr:uid="{00000000-0005-0000-0000-0000244F0000}"/>
    <cellStyle name="Normal 3 12 7 7 3" xfId="20270" xr:uid="{00000000-0005-0000-0000-0000254F0000}"/>
    <cellStyle name="Normal 3 12 7 8" xfId="20271" xr:uid="{00000000-0005-0000-0000-0000264F0000}"/>
    <cellStyle name="Normal 3 12 7 8 2" xfId="20272" xr:uid="{00000000-0005-0000-0000-0000274F0000}"/>
    <cellStyle name="Normal 3 12 7 8 3" xfId="20273" xr:uid="{00000000-0005-0000-0000-0000284F0000}"/>
    <cellStyle name="Normal 3 12 7 9" xfId="20274" xr:uid="{00000000-0005-0000-0000-0000294F0000}"/>
    <cellStyle name="Normal 3 12 7 9 2" xfId="20275" xr:uid="{00000000-0005-0000-0000-00002A4F0000}"/>
    <cellStyle name="Normal 3 12 7 9 3" xfId="20276" xr:uid="{00000000-0005-0000-0000-00002B4F0000}"/>
    <cellStyle name="Normal 3 12 8" xfId="20277" xr:uid="{00000000-0005-0000-0000-00002C4F0000}"/>
    <cellStyle name="Normal 3 12 8 10" xfId="20278" xr:uid="{00000000-0005-0000-0000-00002D4F0000}"/>
    <cellStyle name="Normal 3 12 8 10 2" xfId="20279" xr:uid="{00000000-0005-0000-0000-00002E4F0000}"/>
    <cellStyle name="Normal 3 12 8 10 3" xfId="20280" xr:uid="{00000000-0005-0000-0000-00002F4F0000}"/>
    <cellStyle name="Normal 3 12 8 11" xfId="20281" xr:uid="{00000000-0005-0000-0000-0000304F0000}"/>
    <cellStyle name="Normal 3 12 8 11 2" xfId="20282" xr:uid="{00000000-0005-0000-0000-0000314F0000}"/>
    <cellStyle name="Normal 3 12 8 11 3" xfId="20283" xr:uid="{00000000-0005-0000-0000-0000324F0000}"/>
    <cellStyle name="Normal 3 12 8 12" xfId="20284" xr:uid="{00000000-0005-0000-0000-0000334F0000}"/>
    <cellStyle name="Normal 3 12 8 12 2" xfId="20285" xr:uid="{00000000-0005-0000-0000-0000344F0000}"/>
    <cellStyle name="Normal 3 12 8 12 3" xfId="20286" xr:uid="{00000000-0005-0000-0000-0000354F0000}"/>
    <cellStyle name="Normal 3 12 8 13" xfId="20287" xr:uid="{00000000-0005-0000-0000-0000364F0000}"/>
    <cellStyle name="Normal 3 12 8 13 2" xfId="20288" xr:uid="{00000000-0005-0000-0000-0000374F0000}"/>
    <cellStyle name="Normal 3 12 8 13 3" xfId="20289" xr:uid="{00000000-0005-0000-0000-0000384F0000}"/>
    <cellStyle name="Normal 3 12 8 14" xfId="20290" xr:uid="{00000000-0005-0000-0000-0000394F0000}"/>
    <cellStyle name="Normal 3 12 8 14 2" xfId="20291" xr:uid="{00000000-0005-0000-0000-00003A4F0000}"/>
    <cellStyle name="Normal 3 12 8 14 3" xfId="20292" xr:uid="{00000000-0005-0000-0000-00003B4F0000}"/>
    <cellStyle name="Normal 3 12 8 15" xfId="20293" xr:uid="{00000000-0005-0000-0000-00003C4F0000}"/>
    <cellStyle name="Normal 3 12 8 15 2" xfId="20294" xr:uid="{00000000-0005-0000-0000-00003D4F0000}"/>
    <cellStyle name="Normal 3 12 8 15 3" xfId="20295" xr:uid="{00000000-0005-0000-0000-00003E4F0000}"/>
    <cellStyle name="Normal 3 12 8 16" xfId="20296" xr:uid="{00000000-0005-0000-0000-00003F4F0000}"/>
    <cellStyle name="Normal 3 12 8 17" xfId="20297" xr:uid="{00000000-0005-0000-0000-0000404F0000}"/>
    <cellStyle name="Normal 3 12 8 2" xfId="20298" xr:uid="{00000000-0005-0000-0000-0000414F0000}"/>
    <cellStyle name="Normal 3 12 8 2 10" xfId="20299" xr:uid="{00000000-0005-0000-0000-0000424F0000}"/>
    <cellStyle name="Normal 3 12 8 2 10 2" xfId="20300" xr:uid="{00000000-0005-0000-0000-0000434F0000}"/>
    <cellStyle name="Normal 3 12 8 2 10 3" xfId="20301" xr:uid="{00000000-0005-0000-0000-0000444F0000}"/>
    <cellStyle name="Normal 3 12 8 2 11" xfId="20302" xr:uid="{00000000-0005-0000-0000-0000454F0000}"/>
    <cellStyle name="Normal 3 12 8 2 11 2" xfId="20303" xr:uid="{00000000-0005-0000-0000-0000464F0000}"/>
    <cellStyle name="Normal 3 12 8 2 11 3" xfId="20304" xr:uid="{00000000-0005-0000-0000-0000474F0000}"/>
    <cellStyle name="Normal 3 12 8 2 12" xfId="20305" xr:uid="{00000000-0005-0000-0000-0000484F0000}"/>
    <cellStyle name="Normal 3 12 8 2 12 2" xfId="20306" xr:uid="{00000000-0005-0000-0000-0000494F0000}"/>
    <cellStyle name="Normal 3 12 8 2 12 3" xfId="20307" xr:uid="{00000000-0005-0000-0000-00004A4F0000}"/>
    <cellStyle name="Normal 3 12 8 2 13" xfId="20308" xr:uid="{00000000-0005-0000-0000-00004B4F0000}"/>
    <cellStyle name="Normal 3 12 8 2 13 2" xfId="20309" xr:uid="{00000000-0005-0000-0000-00004C4F0000}"/>
    <cellStyle name="Normal 3 12 8 2 13 3" xfId="20310" xr:uid="{00000000-0005-0000-0000-00004D4F0000}"/>
    <cellStyle name="Normal 3 12 8 2 14" xfId="20311" xr:uid="{00000000-0005-0000-0000-00004E4F0000}"/>
    <cellStyle name="Normal 3 12 8 2 14 2" xfId="20312" xr:uid="{00000000-0005-0000-0000-00004F4F0000}"/>
    <cellStyle name="Normal 3 12 8 2 14 3" xfId="20313" xr:uid="{00000000-0005-0000-0000-0000504F0000}"/>
    <cellStyle name="Normal 3 12 8 2 15" xfId="20314" xr:uid="{00000000-0005-0000-0000-0000514F0000}"/>
    <cellStyle name="Normal 3 12 8 2 16" xfId="20315" xr:uid="{00000000-0005-0000-0000-0000524F0000}"/>
    <cellStyle name="Normal 3 12 8 2 2" xfId="20316" xr:uid="{00000000-0005-0000-0000-0000534F0000}"/>
    <cellStyle name="Normal 3 12 8 2 2 2" xfId="20317" xr:uid="{00000000-0005-0000-0000-0000544F0000}"/>
    <cellStyle name="Normal 3 12 8 2 2 3" xfId="20318" xr:uid="{00000000-0005-0000-0000-0000554F0000}"/>
    <cellStyle name="Normal 3 12 8 2 3" xfId="20319" xr:uid="{00000000-0005-0000-0000-0000564F0000}"/>
    <cellStyle name="Normal 3 12 8 2 3 2" xfId="20320" xr:uid="{00000000-0005-0000-0000-0000574F0000}"/>
    <cellStyle name="Normal 3 12 8 2 3 3" xfId="20321" xr:uid="{00000000-0005-0000-0000-0000584F0000}"/>
    <cellStyle name="Normal 3 12 8 2 4" xfId="20322" xr:uid="{00000000-0005-0000-0000-0000594F0000}"/>
    <cellStyle name="Normal 3 12 8 2 4 2" xfId="20323" xr:uid="{00000000-0005-0000-0000-00005A4F0000}"/>
    <cellStyle name="Normal 3 12 8 2 4 3" xfId="20324" xr:uid="{00000000-0005-0000-0000-00005B4F0000}"/>
    <cellStyle name="Normal 3 12 8 2 5" xfId="20325" xr:uid="{00000000-0005-0000-0000-00005C4F0000}"/>
    <cellStyle name="Normal 3 12 8 2 5 2" xfId="20326" xr:uid="{00000000-0005-0000-0000-00005D4F0000}"/>
    <cellStyle name="Normal 3 12 8 2 5 3" xfId="20327" xr:uid="{00000000-0005-0000-0000-00005E4F0000}"/>
    <cellStyle name="Normal 3 12 8 2 6" xfId="20328" xr:uid="{00000000-0005-0000-0000-00005F4F0000}"/>
    <cellStyle name="Normal 3 12 8 2 6 2" xfId="20329" xr:uid="{00000000-0005-0000-0000-0000604F0000}"/>
    <cellStyle name="Normal 3 12 8 2 6 3" xfId="20330" xr:uid="{00000000-0005-0000-0000-0000614F0000}"/>
    <cellStyle name="Normal 3 12 8 2 7" xfId="20331" xr:uid="{00000000-0005-0000-0000-0000624F0000}"/>
    <cellStyle name="Normal 3 12 8 2 7 2" xfId="20332" xr:uid="{00000000-0005-0000-0000-0000634F0000}"/>
    <cellStyle name="Normal 3 12 8 2 7 3" xfId="20333" xr:uid="{00000000-0005-0000-0000-0000644F0000}"/>
    <cellStyle name="Normal 3 12 8 2 8" xfId="20334" xr:uid="{00000000-0005-0000-0000-0000654F0000}"/>
    <cellStyle name="Normal 3 12 8 2 8 2" xfId="20335" xr:uid="{00000000-0005-0000-0000-0000664F0000}"/>
    <cellStyle name="Normal 3 12 8 2 8 3" xfId="20336" xr:uid="{00000000-0005-0000-0000-0000674F0000}"/>
    <cellStyle name="Normal 3 12 8 2 9" xfId="20337" xr:uid="{00000000-0005-0000-0000-0000684F0000}"/>
    <cellStyle name="Normal 3 12 8 2 9 2" xfId="20338" xr:uid="{00000000-0005-0000-0000-0000694F0000}"/>
    <cellStyle name="Normal 3 12 8 2 9 3" xfId="20339" xr:uid="{00000000-0005-0000-0000-00006A4F0000}"/>
    <cellStyle name="Normal 3 12 8 3" xfId="20340" xr:uid="{00000000-0005-0000-0000-00006B4F0000}"/>
    <cellStyle name="Normal 3 12 8 3 2" xfId="20341" xr:uid="{00000000-0005-0000-0000-00006C4F0000}"/>
    <cellStyle name="Normal 3 12 8 3 3" xfId="20342" xr:uid="{00000000-0005-0000-0000-00006D4F0000}"/>
    <cellStyle name="Normal 3 12 8 4" xfId="20343" xr:uid="{00000000-0005-0000-0000-00006E4F0000}"/>
    <cellStyle name="Normal 3 12 8 4 2" xfId="20344" xr:uid="{00000000-0005-0000-0000-00006F4F0000}"/>
    <cellStyle name="Normal 3 12 8 4 3" xfId="20345" xr:uid="{00000000-0005-0000-0000-0000704F0000}"/>
    <cellStyle name="Normal 3 12 8 5" xfId="20346" xr:uid="{00000000-0005-0000-0000-0000714F0000}"/>
    <cellStyle name="Normal 3 12 8 5 2" xfId="20347" xr:uid="{00000000-0005-0000-0000-0000724F0000}"/>
    <cellStyle name="Normal 3 12 8 5 3" xfId="20348" xr:uid="{00000000-0005-0000-0000-0000734F0000}"/>
    <cellStyle name="Normal 3 12 8 6" xfId="20349" xr:uid="{00000000-0005-0000-0000-0000744F0000}"/>
    <cellStyle name="Normal 3 12 8 6 2" xfId="20350" xr:uid="{00000000-0005-0000-0000-0000754F0000}"/>
    <cellStyle name="Normal 3 12 8 6 3" xfId="20351" xr:uid="{00000000-0005-0000-0000-0000764F0000}"/>
    <cellStyle name="Normal 3 12 8 7" xfId="20352" xr:uid="{00000000-0005-0000-0000-0000774F0000}"/>
    <cellStyle name="Normal 3 12 8 7 2" xfId="20353" xr:uid="{00000000-0005-0000-0000-0000784F0000}"/>
    <cellStyle name="Normal 3 12 8 7 3" xfId="20354" xr:uid="{00000000-0005-0000-0000-0000794F0000}"/>
    <cellStyle name="Normal 3 12 8 8" xfId="20355" xr:uid="{00000000-0005-0000-0000-00007A4F0000}"/>
    <cellStyle name="Normal 3 12 8 8 2" xfId="20356" xr:uid="{00000000-0005-0000-0000-00007B4F0000}"/>
    <cellStyle name="Normal 3 12 8 8 3" xfId="20357" xr:uid="{00000000-0005-0000-0000-00007C4F0000}"/>
    <cellStyle name="Normal 3 12 8 9" xfId="20358" xr:uid="{00000000-0005-0000-0000-00007D4F0000}"/>
    <cellStyle name="Normal 3 12 8 9 2" xfId="20359" xr:uid="{00000000-0005-0000-0000-00007E4F0000}"/>
    <cellStyle name="Normal 3 12 8 9 3" xfId="20360" xr:uid="{00000000-0005-0000-0000-00007F4F0000}"/>
    <cellStyle name="Normal 3 12 9" xfId="20361" xr:uid="{00000000-0005-0000-0000-0000804F0000}"/>
    <cellStyle name="Normal 3 12 9 10" xfId="20362" xr:uid="{00000000-0005-0000-0000-0000814F0000}"/>
    <cellStyle name="Normal 3 12 9 10 2" xfId="20363" xr:uid="{00000000-0005-0000-0000-0000824F0000}"/>
    <cellStyle name="Normal 3 12 9 10 3" xfId="20364" xr:uid="{00000000-0005-0000-0000-0000834F0000}"/>
    <cellStyle name="Normal 3 12 9 11" xfId="20365" xr:uid="{00000000-0005-0000-0000-0000844F0000}"/>
    <cellStyle name="Normal 3 12 9 11 2" xfId="20366" xr:uid="{00000000-0005-0000-0000-0000854F0000}"/>
    <cellStyle name="Normal 3 12 9 11 3" xfId="20367" xr:uid="{00000000-0005-0000-0000-0000864F0000}"/>
    <cellStyle name="Normal 3 12 9 12" xfId="20368" xr:uid="{00000000-0005-0000-0000-0000874F0000}"/>
    <cellStyle name="Normal 3 12 9 12 2" xfId="20369" xr:uid="{00000000-0005-0000-0000-0000884F0000}"/>
    <cellStyle name="Normal 3 12 9 12 3" xfId="20370" xr:uid="{00000000-0005-0000-0000-0000894F0000}"/>
    <cellStyle name="Normal 3 12 9 13" xfId="20371" xr:uid="{00000000-0005-0000-0000-00008A4F0000}"/>
    <cellStyle name="Normal 3 12 9 13 2" xfId="20372" xr:uid="{00000000-0005-0000-0000-00008B4F0000}"/>
    <cellStyle name="Normal 3 12 9 13 3" xfId="20373" xr:uid="{00000000-0005-0000-0000-00008C4F0000}"/>
    <cellStyle name="Normal 3 12 9 14" xfId="20374" xr:uid="{00000000-0005-0000-0000-00008D4F0000}"/>
    <cellStyle name="Normal 3 12 9 14 2" xfId="20375" xr:uid="{00000000-0005-0000-0000-00008E4F0000}"/>
    <cellStyle name="Normal 3 12 9 14 3" xfId="20376" xr:uid="{00000000-0005-0000-0000-00008F4F0000}"/>
    <cellStyle name="Normal 3 12 9 15" xfId="20377" xr:uid="{00000000-0005-0000-0000-0000904F0000}"/>
    <cellStyle name="Normal 3 12 9 16" xfId="20378" xr:uid="{00000000-0005-0000-0000-0000914F0000}"/>
    <cellStyle name="Normal 3 12 9 2" xfId="20379" xr:uid="{00000000-0005-0000-0000-0000924F0000}"/>
    <cellStyle name="Normal 3 12 9 2 2" xfId="20380" xr:uid="{00000000-0005-0000-0000-0000934F0000}"/>
    <cellStyle name="Normal 3 12 9 2 3" xfId="20381" xr:uid="{00000000-0005-0000-0000-0000944F0000}"/>
    <cellStyle name="Normal 3 12 9 3" xfId="20382" xr:uid="{00000000-0005-0000-0000-0000954F0000}"/>
    <cellStyle name="Normal 3 12 9 3 2" xfId="20383" xr:uid="{00000000-0005-0000-0000-0000964F0000}"/>
    <cellStyle name="Normal 3 12 9 3 3" xfId="20384" xr:uid="{00000000-0005-0000-0000-0000974F0000}"/>
    <cellStyle name="Normal 3 12 9 4" xfId="20385" xr:uid="{00000000-0005-0000-0000-0000984F0000}"/>
    <cellStyle name="Normal 3 12 9 4 2" xfId="20386" xr:uid="{00000000-0005-0000-0000-0000994F0000}"/>
    <cellStyle name="Normal 3 12 9 4 3" xfId="20387" xr:uid="{00000000-0005-0000-0000-00009A4F0000}"/>
    <cellStyle name="Normal 3 12 9 5" xfId="20388" xr:uid="{00000000-0005-0000-0000-00009B4F0000}"/>
    <cellStyle name="Normal 3 12 9 5 2" xfId="20389" xr:uid="{00000000-0005-0000-0000-00009C4F0000}"/>
    <cellStyle name="Normal 3 12 9 5 3" xfId="20390" xr:uid="{00000000-0005-0000-0000-00009D4F0000}"/>
    <cellStyle name="Normal 3 12 9 6" xfId="20391" xr:uid="{00000000-0005-0000-0000-00009E4F0000}"/>
    <cellStyle name="Normal 3 12 9 6 2" xfId="20392" xr:uid="{00000000-0005-0000-0000-00009F4F0000}"/>
    <cellStyle name="Normal 3 12 9 6 3" xfId="20393" xr:uid="{00000000-0005-0000-0000-0000A04F0000}"/>
    <cellStyle name="Normal 3 12 9 7" xfId="20394" xr:uid="{00000000-0005-0000-0000-0000A14F0000}"/>
    <cellStyle name="Normal 3 12 9 7 2" xfId="20395" xr:uid="{00000000-0005-0000-0000-0000A24F0000}"/>
    <cellStyle name="Normal 3 12 9 7 3" xfId="20396" xr:uid="{00000000-0005-0000-0000-0000A34F0000}"/>
    <cellStyle name="Normal 3 12 9 8" xfId="20397" xr:uid="{00000000-0005-0000-0000-0000A44F0000}"/>
    <cellStyle name="Normal 3 12 9 8 2" xfId="20398" xr:uid="{00000000-0005-0000-0000-0000A54F0000}"/>
    <cellStyle name="Normal 3 12 9 8 3" xfId="20399" xr:uid="{00000000-0005-0000-0000-0000A64F0000}"/>
    <cellStyle name="Normal 3 12 9 9" xfId="20400" xr:uid="{00000000-0005-0000-0000-0000A74F0000}"/>
    <cellStyle name="Normal 3 12 9 9 2" xfId="20401" xr:uid="{00000000-0005-0000-0000-0000A84F0000}"/>
    <cellStyle name="Normal 3 12 9 9 3" xfId="20402" xr:uid="{00000000-0005-0000-0000-0000A94F0000}"/>
    <cellStyle name="Normal 3 13" xfId="20403" xr:uid="{00000000-0005-0000-0000-0000AA4F0000}"/>
    <cellStyle name="Normal 3 13 10" xfId="20404" xr:uid="{00000000-0005-0000-0000-0000AB4F0000}"/>
    <cellStyle name="Normal 3 13 10 10" xfId="20405" xr:uid="{00000000-0005-0000-0000-0000AC4F0000}"/>
    <cellStyle name="Normal 3 13 10 10 2" xfId="20406" xr:uid="{00000000-0005-0000-0000-0000AD4F0000}"/>
    <cellStyle name="Normal 3 13 10 10 3" xfId="20407" xr:uid="{00000000-0005-0000-0000-0000AE4F0000}"/>
    <cellStyle name="Normal 3 13 10 11" xfId="20408" xr:uid="{00000000-0005-0000-0000-0000AF4F0000}"/>
    <cellStyle name="Normal 3 13 10 11 2" xfId="20409" xr:uid="{00000000-0005-0000-0000-0000B04F0000}"/>
    <cellStyle name="Normal 3 13 10 11 3" xfId="20410" xr:uid="{00000000-0005-0000-0000-0000B14F0000}"/>
    <cellStyle name="Normal 3 13 10 12" xfId="20411" xr:uid="{00000000-0005-0000-0000-0000B24F0000}"/>
    <cellStyle name="Normal 3 13 10 12 2" xfId="20412" xr:uid="{00000000-0005-0000-0000-0000B34F0000}"/>
    <cellStyle name="Normal 3 13 10 12 3" xfId="20413" xr:uid="{00000000-0005-0000-0000-0000B44F0000}"/>
    <cellStyle name="Normal 3 13 10 13" xfId="20414" xr:uid="{00000000-0005-0000-0000-0000B54F0000}"/>
    <cellStyle name="Normal 3 13 10 13 2" xfId="20415" xr:uid="{00000000-0005-0000-0000-0000B64F0000}"/>
    <cellStyle name="Normal 3 13 10 13 3" xfId="20416" xr:uid="{00000000-0005-0000-0000-0000B74F0000}"/>
    <cellStyle name="Normal 3 13 10 14" xfId="20417" xr:uid="{00000000-0005-0000-0000-0000B84F0000}"/>
    <cellStyle name="Normal 3 13 10 14 2" xfId="20418" xr:uid="{00000000-0005-0000-0000-0000B94F0000}"/>
    <cellStyle name="Normal 3 13 10 14 3" xfId="20419" xr:uid="{00000000-0005-0000-0000-0000BA4F0000}"/>
    <cellStyle name="Normal 3 13 10 15" xfId="20420" xr:uid="{00000000-0005-0000-0000-0000BB4F0000}"/>
    <cellStyle name="Normal 3 13 10 16" xfId="20421" xr:uid="{00000000-0005-0000-0000-0000BC4F0000}"/>
    <cellStyle name="Normal 3 13 10 2" xfId="20422" xr:uid="{00000000-0005-0000-0000-0000BD4F0000}"/>
    <cellStyle name="Normal 3 13 10 2 2" xfId="20423" xr:uid="{00000000-0005-0000-0000-0000BE4F0000}"/>
    <cellStyle name="Normal 3 13 10 2 3" xfId="20424" xr:uid="{00000000-0005-0000-0000-0000BF4F0000}"/>
    <cellStyle name="Normal 3 13 10 3" xfId="20425" xr:uid="{00000000-0005-0000-0000-0000C04F0000}"/>
    <cellStyle name="Normal 3 13 10 3 2" xfId="20426" xr:uid="{00000000-0005-0000-0000-0000C14F0000}"/>
    <cellStyle name="Normal 3 13 10 3 3" xfId="20427" xr:uid="{00000000-0005-0000-0000-0000C24F0000}"/>
    <cellStyle name="Normal 3 13 10 4" xfId="20428" xr:uid="{00000000-0005-0000-0000-0000C34F0000}"/>
    <cellStyle name="Normal 3 13 10 4 2" xfId="20429" xr:uid="{00000000-0005-0000-0000-0000C44F0000}"/>
    <cellStyle name="Normal 3 13 10 4 3" xfId="20430" xr:uid="{00000000-0005-0000-0000-0000C54F0000}"/>
    <cellStyle name="Normal 3 13 10 5" xfId="20431" xr:uid="{00000000-0005-0000-0000-0000C64F0000}"/>
    <cellStyle name="Normal 3 13 10 5 2" xfId="20432" xr:uid="{00000000-0005-0000-0000-0000C74F0000}"/>
    <cellStyle name="Normal 3 13 10 5 3" xfId="20433" xr:uid="{00000000-0005-0000-0000-0000C84F0000}"/>
    <cellStyle name="Normal 3 13 10 6" xfId="20434" xr:uid="{00000000-0005-0000-0000-0000C94F0000}"/>
    <cellStyle name="Normal 3 13 10 6 2" xfId="20435" xr:uid="{00000000-0005-0000-0000-0000CA4F0000}"/>
    <cellStyle name="Normal 3 13 10 6 3" xfId="20436" xr:uid="{00000000-0005-0000-0000-0000CB4F0000}"/>
    <cellStyle name="Normal 3 13 10 7" xfId="20437" xr:uid="{00000000-0005-0000-0000-0000CC4F0000}"/>
    <cellStyle name="Normal 3 13 10 7 2" xfId="20438" xr:uid="{00000000-0005-0000-0000-0000CD4F0000}"/>
    <cellStyle name="Normal 3 13 10 7 3" xfId="20439" xr:uid="{00000000-0005-0000-0000-0000CE4F0000}"/>
    <cellStyle name="Normal 3 13 10 8" xfId="20440" xr:uid="{00000000-0005-0000-0000-0000CF4F0000}"/>
    <cellStyle name="Normal 3 13 10 8 2" xfId="20441" xr:uid="{00000000-0005-0000-0000-0000D04F0000}"/>
    <cellStyle name="Normal 3 13 10 8 3" xfId="20442" xr:uid="{00000000-0005-0000-0000-0000D14F0000}"/>
    <cellStyle name="Normal 3 13 10 9" xfId="20443" xr:uid="{00000000-0005-0000-0000-0000D24F0000}"/>
    <cellStyle name="Normal 3 13 10 9 2" xfId="20444" xr:uid="{00000000-0005-0000-0000-0000D34F0000}"/>
    <cellStyle name="Normal 3 13 10 9 3" xfId="20445" xr:uid="{00000000-0005-0000-0000-0000D44F0000}"/>
    <cellStyle name="Normal 3 13 11" xfId="20446" xr:uid="{00000000-0005-0000-0000-0000D54F0000}"/>
    <cellStyle name="Normal 3 13 11 10" xfId="20447" xr:uid="{00000000-0005-0000-0000-0000D64F0000}"/>
    <cellStyle name="Normal 3 13 11 10 2" xfId="20448" xr:uid="{00000000-0005-0000-0000-0000D74F0000}"/>
    <cellStyle name="Normal 3 13 11 10 3" xfId="20449" xr:uid="{00000000-0005-0000-0000-0000D84F0000}"/>
    <cellStyle name="Normal 3 13 11 11" xfId="20450" xr:uid="{00000000-0005-0000-0000-0000D94F0000}"/>
    <cellStyle name="Normal 3 13 11 11 2" xfId="20451" xr:uid="{00000000-0005-0000-0000-0000DA4F0000}"/>
    <cellStyle name="Normal 3 13 11 11 3" xfId="20452" xr:uid="{00000000-0005-0000-0000-0000DB4F0000}"/>
    <cellStyle name="Normal 3 13 11 12" xfId="20453" xr:uid="{00000000-0005-0000-0000-0000DC4F0000}"/>
    <cellStyle name="Normal 3 13 11 12 2" xfId="20454" xr:uid="{00000000-0005-0000-0000-0000DD4F0000}"/>
    <cellStyle name="Normal 3 13 11 12 3" xfId="20455" xr:uid="{00000000-0005-0000-0000-0000DE4F0000}"/>
    <cellStyle name="Normal 3 13 11 13" xfId="20456" xr:uid="{00000000-0005-0000-0000-0000DF4F0000}"/>
    <cellStyle name="Normal 3 13 11 13 2" xfId="20457" xr:uid="{00000000-0005-0000-0000-0000E04F0000}"/>
    <cellStyle name="Normal 3 13 11 13 3" xfId="20458" xr:uid="{00000000-0005-0000-0000-0000E14F0000}"/>
    <cellStyle name="Normal 3 13 11 14" xfId="20459" xr:uid="{00000000-0005-0000-0000-0000E24F0000}"/>
    <cellStyle name="Normal 3 13 11 14 2" xfId="20460" xr:uid="{00000000-0005-0000-0000-0000E34F0000}"/>
    <cellStyle name="Normal 3 13 11 14 3" xfId="20461" xr:uid="{00000000-0005-0000-0000-0000E44F0000}"/>
    <cellStyle name="Normal 3 13 11 15" xfId="20462" xr:uid="{00000000-0005-0000-0000-0000E54F0000}"/>
    <cellStyle name="Normal 3 13 11 16" xfId="20463" xr:uid="{00000000-0005-0000-0000-0000E64F0000}"/>
    <cellStyle name="Normal 3 13 11 2" xfId="20464" xr:uid="{00000000-0005-0000-0000-0000E74F0000}"/>
    <cellStyle name="Normal 3 13 11 2 2" xfId="20465" xr:uid="{00000000-0005-0000-0000-0000E84F0000}"/>
    <cellStyle name="Normal 3 13 11 2 3" xfId="20466" xr:uid="{00000000-0005-0000-0000-0000E94F0000}"/>
    <cellStyle name="Normal 3 13 11 3" xfId="20467" xr:uid="{00000000-0005-0000-0000-0000EA4F0000}"/>
    <cellStyle name="Normal 3 13 11 3 2" xfId="20468" xr:uid="{00000000-0005-0000-0000-0000EB4F0000}"/>
    <cellStyle name="Normal 3 13 11 3 3" xfId="20469" xr:uid="{00000000-0005-0000-0000-0000EC4F0000}"/>
    <cellStyle name="Normal 3 13 11 4" xfId="20470" xr:uid="{00000000-0005-0000-0000-0000ED4F0000}"/>
    <cellStyle name="Normal 3 13 11 4 2" xfId="20471" xr:uid="{00000000-0005-0000-0000-0000EE4F0000}"/>
    <cellStyle name="Normal 3 13 11 4 3" xfId="20472" xr:uid="{00000000-0005-0000-0000-0000EF4F0000}"/>
    <cellStyle name="Normal 3 13 11 5" xfId="20473" xr:uid="{00000000-0005-0000-0000-0000F04F0000}"/>
    <cellStyle name="Normal 3 13 11 5 2" xfId="20474" xr:uid="{00000000-0005-0000-0000-0000F14F0000}"/>
    <cellStyle name="Normal 3 13 11 5 3" xfId="20475" xr:uid="{00000000-0005-0000-0000-0000F24F0000}"/>
    <cellStyle name="Normal 3 13 11 6" xfId="20476" xr:uid="{00000000-0005-0000-0000-0000F34F0000}"/>
    <cellStyle name="Normal 3 13 11 6 2" xfId="20477" xr:uid="{00000000-0005-0000-0000-0000F44F0000}"/>
    <cellStyle name="Normal 3 13 11 6 3" xfId="20478" xr:uid="{00000000-0005-0000-0000-0000F54F0000}"/>
    <cellStyle name="Normal 3 13 11 7" xfId="20479" xr:uid="{00000000-0005-0000-0000-0000F64F0000}"/>
    <cellStyle name="Normal 3 13 11 7 2" xfId="20480" xr:uid="{00000000-0005-0000-0000-0000F74F0000}"/>
    <cellStyle name="Normal 3 13 11 7 3" xfId="20481" xr:uid="{00000000-0005-0000-0000-0000F84F0000}"/>
    <cellStyle name="Normal 3 13 11 8" xfId="20482" xr:uid="{00000000-0005-0000-0000-0000F94F0000}"/>
    <cellStyle name="Normal 3 13 11 8 2" xfId="20483" xr:uid="{00000000-0005-0000-0000-0000FA4F0000}"/>
    <cellStyle name="Normal 3 13 11 8 3" xfId="20484" xr:uid="{00000000-0005-0000-0000-0000FB4F0000}"/>
    <cellStyle name="Normal 3 13 11 9" xfId="20485" xr:uid="{00000000-0005-0000-0000-0000FC4F0000}"/>
    <cellStyle name="Normal 3 13 11 9 2" xfId="20486" xr:uid="{00000000-0005-0000-0000-0000FD4F0000}"/>
    <cellStyle name="Normal 3 13 11 9 3" xfId="20487" xr:uid="{00000000-0005-0000-0000-0000FE4F0000}"/>
    <cellStyle name="Normal 3 13 12" xfId="20488" xr:uid="{00000000-0005-0000-0000-0000FF4F0000}"/>
    <cellStyle name="Normal 3 13 12 10" xfId="20489" xr:uid="{00000000-0005-0000-0000-000000500000}"/>
    <cellStyle name="Normal 3 13 12 10 2" xfId="20490" xr:uid="{00000000-0005-0000-0000-000001500000}"/>
    <cellStyle name="Normal 3 13 12 10 3" xfId="20491" xr:uid="{00000000-0005-0000-0000-000002500000}"/>
    <cellStyle name="Normal 3 13 12 11" xfId="20492" xr:uid="{00000000-0005-0000-0000-000003500000}"/>
    <cellStyle name="Normal 3 13 12 11 2" xfId="20493" xr:uid="{00000000-0005-0000-0000-000004500000}"/>
    <cellStyle name="Normal 3 13 12 11 3" xfId="20494" xr:uid="{00000000-0005-0000-0000-000005500000}"/>
    <cellStyle name="Normal 3 13 12 12" xfId="20495" xr:uid="{00000000-0005-0000-0000-000006500000}"/>
    <cellStyle name="Normal 3 13 12 12 2" xfId="20496" xr:uid="{00000000-0005-0000-0000-000007500000}"/>
    <cellStyle name="Normal 3 13 12 12 3" xfId="20497" xr:uid="{00000000-0005-0000-0000-000008500000}"/>
    <cellStyle name="Normal 3 13 12 13" xfId="20498" xr:uid="{00000000-0005-0000-0000-000009500000}"/>
    <cellStyle name="Normal 3 13 12 13 2" xfId="20499" xr:uid="{00000000-0005-0000-0000-00000A500000}"/>
    <cellStyle name="Normal 3 13 12 13 3" xfId="20500" xr:uid="{00000000-0005-0000-0000-00000B500000}"/>
    <cellStyle name="Normal 3 13 12 14" xfId="20501" xr:uid="{00000000-0005-0000-0000-00000C500000}"/>
    <cellStyle name="Normal 3 13 12 14 2" xfId="20502" xr:uid="{00000000-0005-0000-0000-00000D500000}"/>
    <cellStyle name="Normal 3 13 12 14 3" xfId="20503" xr:uid="{00000000-0005-0000-0000-00000E500000}"/>
    <cellStyle name="Normal 3 13 12 15" xfId="20504" xr:uid="{00000000-0005-0000-0000-00000F500000}"/>
    <cellStyle name="Normal 3 13 12 16" xfId="20505" xr:uid="{00000000-0005-0000-0000-000010500000}"/>
    <cellStyle name="Normal 3 13 12 2" xfId="20506" xr:uid="{00000000-0005-0000-0000-000011500000}"/>
    <cellStyle name="Normal 3 13 12 2 2" xfId="20507" xr:uid="{00000000-0005-0000-0000-000012500000}"/>
    <cellStyle name="Normal 3 13 12 2 3" xfId="20508" xr:uid="{00000000-0005-0000-0000-000013500000}"/>
    <cellStyle name="Normal 3 13 12 3" xfId="20509" xr:uid="{00000000-0005-0000-0000-000014500000}"/>
    <cellStyle name="Normal 3 13 12 3 2" xfId="20510" xr:uid="{00000000-0005-0000-0000-000015500000}"/>
    <cellStyle name="Normal 3 13 12 3 3" xfId="20511" xr:uid="{00000000-0005-0000-0000-000016500000}"/>
    <cellStyle name="Normal 3 13 12 4" xfId="20512" xr:uid="{00000000-0005-0000-0000-000017500000}"/>
    <cellStyle name="Normal 3 13 12 4 2" xfId="20513" xr:uid="{00000000-0005-0000-0000-000018500000}"/>
    <cellStyle name="Normal 3 13 12 4 3" xfId="20514" xr:uid="{00000000-0005-0000-0000-000019500000}"/>
    <cellStyle name="Normal 3 13 12 5" xfId="20515" xr:uid="{00000000-0005-0000-0000-00001A500000}"/>
    <cellStyle name="Normal 3 13 12 5 2" xfId="20516" xr:uid="{00000000-0005-0000-0000-00001B500000}"/>
    <cellStyle name="Normal 3 13 12 5 3" xfId="20517" xr:uid="{00000000-0005-0000-0000-00001C500000}"/>
    <cellStyle name="Normal 3 13 12 6" xfId="20518" xr:uid="{00000000-0005-0000-0000-00001D500000}"/>
    <cellStyle name="Normal 3 13 12 6 2" xfId="20519" xr:uid="{00000000-0005-0000-0000-00001E500000}"/>
    <cellStyle name="Normal 3 13 12 6 3" xfId="20520" xr:uid="{00000000-0005-0000-0000-00001F500000}"/>
    <cellStyle name="Normal 3 13 12 7" xfId="20521" xr:uid="{00000000-0005-0000-0000-000020500000}"/>
    <cellStyle name="Normal 3 13 12 7 2" xfId="20522" xr:uid="{00000000-0005-0000-0000-000021500000}"/>
    <cellStyle name="Normal 3 13 12 7 3" xfId="20523" xr:uid="{00000000-0005-0000-0000-000022500000}"/>
    <cellStyle name="Normal 3 13 12 8" xfId="20524" xr:uid="{00000000-0005-0000-0000-000023500000}"/>
    <cellStyle name="Normal 3 13 12 8 2" xfId="20525" xr:uid="{00000000-0005-0000-0000-000024500000}"/>
    <cellStyle name="Normal 3 13 12 8 3" xfId="20526" xr:uid="{00000000-0005-0000-0000-000025500000}"/>
    <cellStyle name="Normal 3 13 12 9" xfId="20527" xr:uid="{00000000-0005-0000-0000-000026500000}"/>
    <cellStyle name="Normal 3 13 12 9 2" xfId="20528" xr:uid="{00000000-0005-0000-0000-000027500000}"/>
    <cellStyle name="Normal 3 13 12 9 3" xfId="20529" xr:uid="{00000000-0005-0000-0000-000028500000}"/>
    <cellStyle name="Normal 3 13 13" xfId="20530" xr:uid="{00000000-0005-0000-0000-000029500000}"/>
    <cellStyle name="Normal 3 13 13 10" xfId="20531" xr:uid="{00000000-0005-0000-0000-00002A500000}"/>
    <cellStyle name="Normal 3 13 13 10 2" xfId="20532" xr:uid="{00000000-0005-0000-0000-00002B500000}"/>
    <cellStyle name="Normal 3 13 13 10 3" xfId="20533" xr:uid="{00000000-0005-0000-0000-00002C500000}"/>
    <cellStyle name="Normal 3 13 13 11" xfId="20534" xr:uid="{00000000-0005-0000-0000-00002D500000}"/>
    <cellStyle name="Normal 3 13 13 11 2" xfId="20535" xr:uid="{00000000-0005-0000-0000-00002E500000}"/>
    <cellStyle name="Normal 3 13 13 11 3" xfId="20536" xr:uid="{00000000-0005-0000-0000-00002F500000}"/>
    <cellStyle name="Normal 3 13 13 12" xfId="20537" xr:uid="{00000000-0005-0000-0000-000030500000}"/>
    <cellStyle name="Normal 3 13 13 12 2" xfId="20538" xr:uid="{00000000-0005-0000-0000-000031500000}"/>
    <cellStyle name="Normal 3 13 13 12 3" xfId="20539" xr:uid="{00000000-0005-0000-0000-000032500000}"/>
    <cellStyle name="Normal 3 13 13 13" xfId="20540" xr:uid="{00000000-0005-0000-0000-000033500000}"/>
    <cellStyle name="Normal 3 13 13 13 2" xfId="20541" xr:uid="{00000000-0005-0000-0000-000034500000}"/>
    <cellStyle name="Normal 3 13 13 13 3" xfId="20542" xr:uid="{00000000-0005-0000-0000-000035500000}"/>
    <cellStyle name="Normal 3 13 13 14" xfId="20543" xr:uid="{00000000-0005-0000-0000-000036500000}"/>
    <cellStyle name="Normal 3 13 13 14 2" xfId="20544" xr:uid="{00000000-0005-0000-0000-000037500000}"/>
    <cellStyle name="Normal 3 13 13 14 3" xfId="20545" xr:uid="{00000000-0005-0000-0000-000038500000}"/>
    <cellStyle name="Normal 3 13 13 15" xfId="20546" xr:uid="{00000000-0005-0000-0000-000039500000}"/>
    <cellStyle name="Normal 3 13 13 16" xfId="20547" xr:uid="{00000000-0005-0000-0000-00003A500000}"/>
    <cellStyle name="Normal 3 13 13 2" xfId="20548" xr:uid="{00000000-0005-0000-0000-00003B500000}"/>
    <cellStyle name="Normal 3 13 13 2 2" xfId="20549" xr:uid="{00000000-0005-0000-0000-00003C500000}"/>
    <cellStyle name="Normal 3 13 13 2 3" xfId="20550" xr:uid="{00000000-0005-0000-0000-00003D500000}"/>
    <cellStyle name="Normal 3 13 13 3" xfId="20551" xr:uid="{00000000-0005-0000-0000-00003E500000}"/>
    <cellStyle name="Normal 3 13 13 3 2" xfId="20552" xr:uid="{00000000-0005-0000-0000-00003F500000}"/>
    <cellStyle name="Normal 3 13 13 3 3" xfId="20553" xr:uid="{00000000-0005-0000-0000-000040500000}"/>
    <cellStyle name="Normal 3 13 13 4" xfId="20554" xr:uid="{00000000-0005-0000-0000-000041500000}"/>
    <cellStyle name="Normal 3 13 13 4 2" xfId="20555" xr:uid="{00000000-0005-0000-0000-000042500000}"/>
    <cellStyle name="Normal 3 13 13 4 3" xfId="20556" xr:uid="{00000000-0005-0000-0000-000043500000}"/>
    <cellStyle name="Normal 3 13 13 5" xfId="20557" xr:uid="{00000000-0005-0000-0000-000044500000}"/>
    <cellStyle name="Normal 3 13 13 5 2" xfId="20558" xr:uid="{00000000-0005-0000-0000-000045500000}"/>
    <cellStyle name="Normal 3 13 13 5 3" xfId="20559" xr:uid="{00000000-0005-0000-0000-000046500000}"/>
    <cellStyle name="Normal 3 13 13 6" xfId="20560" xr:uid="{00000000-0005-0000-0000-000047500000}"/>
    <cellStyle name="Normal 3 13 13 6 2" xfId="20561" xr:uid="{00000000-0005-0000-0000-000048500000}"/>
    <cellStyle name="Normal 3 13 13 6 3" xfId="20562" xr:uid="{00000000-0005-0000-0000-000049500000}"/>
    <cellStyle name="Normal 3 13 13 7" xfId="20563" xr:uid="{00000000-0005-0000-0000-00004A500000}"/>
    <cellStyle name="Normal 3 13 13 7 2" xfId="20564" xr:uid="{00000000-0005-0000-0000-00004B500000}"/>
    <cellStyle name="Normal 3 13 13 7 3" xfId="20565" xr:uid="{00000000-0005-0000-0000-00004C500000}"/>
    <cellStyle name="Normal 3 13 13 8" xfId="20566" xr:uid="{00000000-0005-0000-0000-00004D500000}"/>
    <cellStyle name="Normal 3 13 13 8 2" xfId="20567" xr:uid="{00000000-0005-0000-0000-00004E500000}"/>
    <cellStyle name="Normal 3 13 13 8 3" xfId="20568" xr:uid="{00000000-0005-0000-0000-00004F500000}"/>
    <cellStyle name="Normal 3 13 13 9" xfId="20569" xr:uid="{00000000-0005-0000-0000-000050500000}"/>
    <cellStyle name="Normal 3 13 13 9 2" xfId="20570" xr:uid="{00000000-0005-0000-0000-000051500000}"/>
    <cellStyle name="Normal 3 13 13 9 3" xfId="20571" xr:uid="{00000000-0005-0000-0000-000052500000}"/>
    <cellStyle name="Normal 3 13 14" xfId="20572" xr:uid="{00000000-0005-0000-0000-000053500000}"/>
    <cellStyle name="Normal 3 13 14 10" xfId="20573" xr:uid="{00000000-0005-0000-0000-000054500000}"/>
    <cellStyle name="Normal 3 13 14 10 2" xfId="20574" xr:uid="{00000000-0005-0000-0000-000055500000}"/>
    <cellStyle name="Normal 3 13 14 10 3" xfId="20575" xr:uid="{00000000-0005-0000-0000-000056500000}"/>
    <cellStyle name="Normal 3 13 14 11" xfId="20576" xr:uid="{00000000-0005-0000-0000-000057500000}"/>
    <cellStyle name="Normal 3 13 14 11 2" xfId="20577" xr:uid="{00000000-0005-0000-0000-000058500000}"/>
    <cellStyle name="Normal 3 13 14 11 3" xfId="20578" xr:uid="{00000000-0005-0000-0000-000059500000}"/>
    <cellStyle name="Normal 3 13 14 12" xfId="20579" xr:uid="{00000000-0005-0000-0000-00005A500000}"/>
    <cellStyle name="Normal 3 13 14 12 2" xfId="20580" xr:uid="{00000000-0005-0000-0000-00005B500000}"/>
    <cellStyle name="Normal 3 13 14 12 3" xfId="20581" xr:uid="{00000000-0005-0000-0000-00005C500000}"/>
    <cellStyle name="Normal 3 13 14 13" xfId="20582" xr:uid="{00000000-0005-0000-0000-00005D500000}"/>
    <cellStyle name="Normal 3 13 14 13 2" xfId="20583" xr:uid="{00000000-0005-0000-0000-00005E500000}"/>
    <cellStyle name="Normal 3 13 14 13 3" xfId="20584" xr:uid="{00000000-0005-0000-0000-00005F500000}"/>
    <cellStyle name="Normal 3 13 14 14" xfId="20585" xr:uid="{00000000-0005-0000-0000-000060500000}"/>
    <cellStyle name="Normal 3 13 14 14 2" xfId="20586" xr:uid="{00000000-0005-0000-0000-000061500000}"/>
    <cellStyle name="Normal 3 13 14 14 3" xfId="20587" xr:uid="{00000000-0005-0000-0000-000062500000}"/>
    <cellStyle name="Normal 3 13 14 15" xfId="20588" xr:uid="{00000000-0005-0000-0000-000063500000}"/>
    <cellStyle name="Normal 3 13 14 16" xfId="20589" xr:uid="{00000000-0005-0000-0000-000064500000}"/>
    <cellStyle name="Normal 3 13 14 2" xfId="20590" xr:uid="{00000000-0005-0000-0000-000065500000}"/>
    <cellStyle name="Normal 3 13 14 2 2" xfId="20591" xr:uid="{00000000-0005-0000-0000-000066500000}"/>
    <cellStyle name="Normal 3 13 14 2 3" xfId="20592" xr:uid="{00000000-0005-0000-0000-000067500000}"/>
    <cellStyle name="Normal 3 13 14 3" xfId="20593" xr:uid="{00000000-0005-0000-0000-000068500000}"/>
    <cellStyle name="Normal 3 13 14 3 2" xfId="20594" xr:uid="{00000000-0005-0000-0000-000069500000}"/>
    <cellStyle name="Normal 3 13 14 3 3" xfId="20595" xr:uid="{00000000-0005-0000-0000-00006A500000}"/>
    <cellStyle name="Normal 3 13 14 4" xfId="20596" xr:uid="{00000000-0005-0000-0000-00006B500000}"/>
    <cellStyle name="Normal 3 13 14 4 2" xfId="20597" xr:uid="{00000000-0005-0000-0000-00006C500000}"/>
    <cellStyle name="Normal 3 13 14 4 3" xfId="20598" xr:uid="{00000000-0005-0000-0000-00006D500000}"/>
    <cellStyle name="Normal 3 13 14 5" xfId="20599" xr:uid="{00000000-0005-0000-0000-00006E500000}"/>
    <cellStyle name="Normal 3 13 14 5 2" xfId="20600" xr:uid="{00000000-0005-0000-0000-00006F500000}"/>
    <cellStyle name="Normal 3 13 14 5 3" xfId="20601" xr:uid="{00000000-0005-0000-0000-000070500000}"/>
    <cellStyle name="Normal 3 13 14 6" xfId="20602" xr:uid="{00000000-0005-0000-0000-000071500000}"/>
    <cellStyle name="Normal 3 13 14 6 2" xfId="20603" xr:uid="{00000000-0005-0000-0000-000072500000}"/>
    <cellStyle name="Normal 3 13 14 6 3" xfId="20604" xr:uid="{00000000-0005-0000-0000-000073500000}"/>
    <cellStyle name="Normal 3 13 14 7" xfId="20605" xr:uid="{00000000-0005-0000-0000-000074500000}"/>
    <cellStyle name="Normal 3 13 14 7 2" xfId="20606" xr:uid="{00000000-0005-0000-0000-000075500000}"/>
    <cellStyle name="Normal 3 13 14 7 3" xfId="20607" xr:uid="{00000000-0005-0000-0000-000076500000}"/>
    <cellStyle name="Normal 3 13 14 8" xfId="20608" xr:uid="{00000000-0005-0000-0000-000077500000}"/>
    <cellStyle name="Normal 3 13 14 8 2" xfId="20609" xr:uid="{00000000-0005-0000-0000-000078500000}"/>
    <cellStyle name="Normal 3 13 14 8 3" xfId="20610" xr:uid="{00000000-0005-0000-0000-000079500000}"/>
    <cellStyle name="Normal 3 13 14 9" xfId="20611" xr:uid="{00000000-0005-0000-0000-00007A500000}"/>
    <cellStyle name="Normal 3 13 14 9 2" xfId="20612" xr:uid="{00000000-0005-0000-0000-00007B500000}"/>
    <cellStyle name="Normal 3 13 14 9 3" xfId="20613" xr:uid="{00000000-0005-0000-0000-00007C500000}"/>
    <cellStyle name="Normal 3 13 15" xfId="20614" xr:uid="{00000000-0005-0000-0000-00007D500000}"/>
    <cellStyle name="Normal 3 13 16" xfId="20615" xr:uid="{00000000-0005-0000-0000-00007E500000}"/>
    <cellStyle name="Normal 3 13 17" xfId="20616" xr:uid="{00000000-0005-0000-0000-00007F500000}"/>
    <cellStyle name="Normal 3 13 17 10" xfId="20617" xr:uid="{00000000-0005-0000-0000-000080500000}"/>
    <cellStyle name="Normal 3 13 17 10 2" xfId="20618" xr:uid="{00000000-0005-0000-0000-000081500000}"/>
    <cellStyle name="Normal 3 13 17 10 3" xfId="20619" xr:uid="{00000000-0005-0000-0000-000082500000}"/>
    <cellStyle name="Normal 3 13 17 11" xfId="20620" xr:uid="{00000000-0005-0000-0000-000083500000}"/>
    <cellStyle name="Normal 3 13 17 11 2" xfId="20621" xr:uid="{00000000-0005-0000-0000-000084500000}"/>
    <cellStyle name="Normal 3 13 17 11 3" xfId="20622" xr:uid="{00000000-0005-0000-0000-000085500000}"/>
    <cellStyle name="Normal 3 13 17 12" xfId="20623" xr:uid="{00000000-0005-0000-0000-000086500000}"/>
    <cellStyle name="Normal 3 13 17 12 2" xfId="20624" xr:uid="{00000000-0005-0000-0000-000087500000}"/>
    <cellStyle name="Normal 3 13 17 12 3" xfId="20625" xr:uid="{00000000-0005-0000-0000-000088500000}"/>
    <cellStyle name="Normal 3 13 17 13" xfId="20626" xr:uid="{00000000-0005-0000-0000-000089500000}"/>
    <cellStyle name="Normal 3 13 17 13 2" xfId="20627" xr:uid="{00000000-0005-0000-0000-00008A500000}"/>
    <cellStyle name="Normal 3 13 17 13 3" xfId="20628" xr:uid="{00000000-0005-0000-0000-00008B500000}"/>
    <cellStyle name="Normal 3 13 17 14" xfId="20629" xr:uid="{00000000-0005-0000-0000-00008C500000}"/>
    <cellStyle name="Normal 3 13 17 14 2" xfId="20630" xr:uid="{00000000-0005-0000-0000-00008D500000}"/>
    <cellStyle name="Normal 3 13 17 14 3" xfId="20631" xr:uid="{00000000-0005-0000-0000-00008E500000}"/>
    <cellStyle name="Normal 3 13 17 15" xfId="20632" xr:uid="{00000000-0005-0000-0000-00008F500000}"/>
    <cellStyle name="Normal 3 13 17 16" xfId="20633" xr:uid="{00000000-0005-0000-0000-000090500000}"/>
    <cellStyle name="Normal 3 13 17 2" xfId="20634" xr:uid="{00000000-0005-0000-0000-000091500000}"/>
    <cellStyle name="Normal 3 13 17 2 2" xfId="20635" xr:uid="{00000000-0005-0000-0000-000092500000}"/>
    <cellStyle name="Normal 3 13 17 2 3" xfId="20636" xr:uid="{00000000-0005-0000-0000-000093500000}"/>
    <cellStyle name="Normal 3 13 17 3" xfId="20637" xr:uid="{00000000-0005-0000-0000-000094500000}"/>
    <cellStyle name="Normal 3 13 17 3 2" xfId="20638" xr:uid="{00000000-0005-0000-0000-000095500000}"/>
    <cellStyle name="Normal 3 13 17 3 3" xfId="20639" xr:uid="{00000000-0005-0000-0000-000096500000}"/>
    <cellStyle name="Normal 3 13 17 4" xfId="20640" xr:uid="{00000000-0005-0000-0000-000097500000}"/>
    <cellStyle name="Normal 3 13 17 4 2" xfId="20641" xr:uid="{00000000-0005-0000-0000-000098500000}"/>
    <cellStyle name="Normal 3 13 17 4 3" xfId="20642" xr:uid="{00000000-0005-0000-0000-000099500000}"/>
    <cellStyle name="Normal 3 13 17 5" xfId="20643" xr:uid="{00000000-0005-0000-0000-00009A500000}"/>
    <cellStyle name="Normal 3 13 17 5 2" xfId="20644" xr:uid="{00000000-0005-0000-0000-00009B500000}"/>
    <cellStyle name="Normal 3 13 17 5 3" xfId="20645" xr:uid="{00000000-0005-0000-0000-00009C500000}"/>
    <cellStyle name="Normal 3 13 17 6" xfId="20646" xr:uid="{00000000-0005-0000-0000-00009D500000}"/>
    <cellStyle name="Normal 3 13 17 6 2" xfId="20647" xr:uid="{00000000-0005-0000-0000-00009E500000}"/>
    <cellStyle name="Normal 3 13 17 6 3" xfId="20648" xr:uid="{00000000-0005-0000-0000-00009F500000}"/>
    <cellStyle name="Normal 3 13 17 7" xfId="20649" xr:uid="{00000000-0005-0000-0000-0000A0500000}"/>
    <cellStyle name="Normal 3 13 17 7 2" xfId="20650" xr:uid="{00000000-0005-0000-0000-0000A1500000}"/>
    <cellStyle name="Normal 3 13 17 7 3" xfId="20651" xr:uid="{00000000-0005-0000-0000-0000A2500000}"/>
    <cellStyle name="Normal 3 13 17 8" xfId="20652" xr:uid="{00000000-0005-0000-0000-0000A3500000}"/>
    <cellStyle name="Normal 3 13 17 8 2" xfId="20653" xr:uid="{00000000-0005-0000-0000-0000A4500000}"/>
    <cellStyle name="Normal 3 13 17 8 3" xfId="20654" xr:uid="{00000000-0005-0000-0000-0000A5500000}"/>
    <cellStyle name="Normal 3 13 17 9" xfId="20655" xr:uid="{00000000-0005-0000-0000-0000A6500000}"/>
    <cellStyle name="Normal 3 13 17 9 2" xfId="20656" xr:uid="{00000000-0005-0000-0000-0000A7500000}"/>
    <cellStyle name="Normal 3 13 17 9 3" xfId="20657" xr:uid="{00000000-0005-0000-0000-0000A8500000}"/>
    <cellStyle name="Normal 3 13 18" xfId="20658" xr:uid="{00000000-0005-0000-0000-0000A9500000}"/>
    <cellStyle name="Normal 3 13 18 10" xfId="20659" xr:uid="{00000000-0005-0000-0000-0000AA500000}"/>
    <cellStyle name="Normal 3 13 18 10 2" xfId="20660" xr:uid="{00000000-0005-0000-0000-0000AB500000}"/>
    <cellStyle name="Normal 3 13 18 10 3" xfId="20661" xr:uid="{00000000-0005-0000-0000-0000AC500000}"/>
    <cellStyle name="Normal 3 13 18 11" xfId="20662" xr:uid="{00000000-0005-0000-0000-0000AD500000}"/>
    <cellStyle name="Normal 3 13 18 11 2" xfId="20663" xr:uid="{00000000-0005-0000-0000-0000AE500000}"/>
    <cellStyle name="Normal 3 13 18 11 3" xfId="20664" xr:uid="{00000000-0005-0000-0000-0000AF500000}"/>
    <cellStyle name="Normal 3 13 18 12" xfId="20665" xr:uid="{00000000-0005-0000-0000-0000B0500000}"/>
    <cellStyle name="Normal 3 13 18 12 2" xfId="20666" xr:uid="{00000000-0005-0000-0000-0000B1500000}"/>
    <cellStyle name="Normal 3 13 18 12 3" xfId="20667" xr:uid="{00000000-0005-0000-0000-0000B2500000}"/>
    <cellStyle name="Normal 3 13 18 13" xfId="20668" xr:uid="{00000000-0005-0000-0000-0000B3500000}"/>
    <cellStyle name="Normal 3 13 18 13 2" xfId="20669" xr:uid="{00000000-0005-0000-0000-0000B4500000}"/>
    <cellStyle name="Normal 3 13 18 13 3" xfId="20670" xr:uid="{00000000-0005-0000-0000-0000B5500000}"/>
    <cellStyle name="Normal 3 13 18 14" xfId="20671" xr:uid="{00000000-0005-0000-0000-0000B6500000}"/>
    <cellStyle name="Normal 3 13 18 14 2" xfId="20672" xr:uid="{00000000-0005-0000-0000-0000B7500000}"/>
    <cellStyle name="Normal 3 13 18 14 3" xfId="20673" xr:uid="{00000000-0005-0000-0000-0000B8500000}"/>
    <cellStyle name="Normal 3 13 18 15" xfId="20674" xr:uid="{00000000-0005-0000-0000-0000B9500000}"/>
    <cellStyle name="Normal 3 13 18 16" xfId="20675" xr:uid="{00000000-0005-0000-0000-0000BA500000}"/>
    <cellStyle name="Normal 3 13 18 2" xfId="20676" xr:uid="{00000000-0005-0000-0000-0000BB500000}"/>
    <cellStyle name="Normal 3 13 18 2 2" xfId="20677" xr:uid="{00000000-0005-0000-0000-0000BC500000}"/>
    <cellStyle name="Normal 3 13 18 2 3" xfId="20678" xr:uid="{00000000-0005-0000-0000-0000BD500000}"/>
    <cellStyle name="Normal 3 13 18 3" xfId="20679" xr:uid="{00000000-0005-0000-0000-0000BE500000}"/>
    <cellStyle name="Normal 3 13 18 3 2" xfId="20680" xr:uid="{00000000-0005-0000-0000-0000BF500000}"/>
    <cellStyle name="Normal 3 13 18 3 3" xfId="20681" xr:uid="{00000000-0005-0000-0000-0000C0500000}"/>
    <cellStyle name="Normal 3 13 18 4" xfId="20682" xr:uid="{00000000-0005-0000-0000-0000C1500000}"/>
    <cellStyle name="Normal 3 13 18 4 2" xfId="20683" xr:uid="{00000000-0005-0000-0000-0000C2500000}"/>
    <cellStyle name="Normal 3 13 18 4 3" xfId="20684" xr:uid="{00000000-0005-0000-0000-0000C3500000}"/>
    <cellStyle name="Normal 3 13 18 5" xfId="20685" xr:uid="{00000000-0005-0000-0000-0000C4500000}"/>
    <cellStyle name="Normal 3 13 18 5 2" xfId="20686" xr:uid="{00000000-0005-0000-0000-0000C5500000}"/>
    <cellStyle name="Normal 3 13 18 5 3" xfId="20687" xr:uid="{00000000-0005-0000-0000-0000C6500000}"/>
    <cellStyle name="Normal 3 13 18 6" xfId="20688" xr:uid="{00000000-0005-0000-0000-0000C7500000}"/>
    <cellStyle name="Normal 3 13 18 6 2" xfId="20689" xr:uid="{00000000-0005-0000-0000-0000C8500000}"/>
    <cellStyle name="Normal 3 13 18 6 3" xfId="20690" xr:uid="{00000000-0005-0000-0000-0000C9500000}"/>
    <cellStyle name="Normal 3 13 18 7" xfId="20691" xr:uid="{00000000-0005-0000-0000-0000CA500000}"/>
    <cellStyle name="Normal 3 13 18 7 2" xfId="20692" xr:uid="{00000000-0005-0000-0000-0000CB500000}"/>
    <cellStyle name="Normal 3 13 18 7 3" xfId="20693" xr:uid="{00000000-0005-0000-0000-0000CC500000}"/>
    <cellStyle name="Normal 3 13 18 8" xfId="20694" xr:uid="{00000000-0005-0000-0000-0000CD500000}"/>
    <cellStyle name="Normal 3 13 18 8 2" xfId="20695" xr:uid="{00000000-0005-0000-0000-0000CE500000}"/>
    <cellStyle name="Normal 3 13 18 8 3" xfId="20696" xr:uid="{00000000-0005-0000-0000-0000CF500000}"/>
    <cellStyle name="Normal 3 13 18 9" xfId="20697" xr:uid="{00000000-0005-0000-0000-0000D0500000}"/>
    <cellStyle name="Normal 3 13 18 9 2" xfId="20698" xr:uid="{00000000-0005-0000-0000-0000D1500000}"/>
    <cellStyle name="Normal 3 13 18 9 3" xfId="20699" xr:uid="{00000000-0005-0000-0000-0000D2500000}"/>
    <cellStyle name="Normal 3 13 2" xfId="20700" xr:uid="{00000000-0005-0000-0000-0000D3500000}"/>
    <cellStyle name="Normal 3 13 2 10" xfId="20701" xr:uid="{00000000-0005-0000-0000-0000D4500000}"/>
    <cellStyle name="Normal 3 13 2 10 2" xfId="20702" xr:uid="{00000000-0005-0000-0000-0000D5500000}"/>
    <cellStyle name="Normal 3 13 2 10 3" xfId="20703" xr:uid="{00000000-0005-0000-0000-0000D6500000}"/>
    <cellStyle name="Normal 3 13 2 11" xfId="20704" xr:uid="{00000000-0005-0000-0000-0000D7500000}"/>
    <cellStyle name="Normal 3 13 2 11 2" xfId="20705" xr:uid="{00000000-0005-0000-0000-0000D8500000}"/>
    <cellStyle name="Normal 3 13 2 11 3" xfId="20706" xr:uid="{00000000-0005-0000-0000-0000D9500000}"/>
    <cellStyle name="Normal 3 13 2 12" xfId="20707" xr:uid="{00000000-0005-0000-0000-0000DA500000}"/>
    <cellStyle name="Normal 3 13 2 12 2" xfId="20708" xr:uid="{00000000-0005-0000-0000-0000DB500000}"/>
    <cellStyle name="Normal 3 13 2 12 3" xfId="20709" xr:uid="{00000000-0005-0000-0000-0000DC500000}"/>
    <cellStyle name="Normal 3 13 2 13" xfId="20710" xr:uid="{00000000-0005-0000-0000-0000DD500000}"/>
    <cellStyle name="Normal 3 13 2 13 2" xfId="20711" xr:uid="{00000000-0005-0000-0000-0000DE500000}"/>
    <cellStyle name="Normal 3 13 2 13 3" xfId="20712" xr:uid="{00000000-0005-0000-0000-0000DF500000}"/>
    <cellStyle name="Normal 3 13 2 14" xfId="20713" xr:uid="{00000000-0005-0000-0000-0000E0500000}"/>
    <cellStyle name="Normal 3 13 2 14 2" xfId="20714" xr:uid="{00000000-0005-0000-0000-0000E1500000}"/>
    <cellStyle name="Normal 3 13 2 14 3" xfId="20715" xr:uid="{00000000-0005-0000-0000-0000E2500000}"/>
    <cellStyle name="Normal 3 13 2 15" xfId="20716" xr:uid="{00000000-0005-0000-0000-0000E3500000}"/>
    <cellStyle name="Normal 3 13 2 15 2" xfId="20717" xr:uid="{00000000-0005-0000-0000-0000E4500000}"/>
    <cellStyle name="Normal 3 13 2 15 3" xfId="20718" xr:uid="{00000000-0005-0000-0000-0000E5500000}"/>
    <cellStyle name="Normal 3 13 2 16" xfId="20719" xr:uid="{00000000-0005-0000-0000-0000E6500000}"/>
    <cellStyle name="Normal 3 13 2 16 2" xfId="20720" xr:uid="{00000000-0005-0000-0000-0000E7500000}"/>
    <cellStyle name="Normal 3 13 2 16 3" xfId="20721" xr:uid="{00000000-0005-0000-0000-0000E8500000}"/>
    <cellStyle name="Normal 3 13 2 17" xfId="20722" xr:uid="{00000000-0005-0000-0000-0000E9500000}"/>
    <cellStyle name="Normal 3 13 2 17 2" xfId="20723" xr:uid="{00000000-0005-0000-0000-0000EA500000}"/>
    <cellStyle name="Normal 3 13 2 17 3" xfId="20724" xr:uid="{00000000-0005-0000-0000-0000EB500000}"/>
    <cellStyle name="Normal 3 13 2 18" xfId="20725" xr:uid="{00000000-0005-0000-0000-0000EC500000}"/>
    <cellStyle name="Normal 3 13 2 19" xfId="20726" xr:uid="{00000000-0005-0000-0000-0000ED500000}"/>
    <cellStyle name="Normal 3 13 2 2" xfId="20727" xr:uid="{00000000-0005-0000-0000-0000EE500000}"/>
    <cellStyle name="Normal 3 13 2 3" xfId="20728" xr:uid="{00000000-0005-0000-0000-0000EF500000}"/>
    <cellStyle name="Normal 3 13 2 4" xfId="20729" xr:uid="{00000000-0005-0000-0000-0000F0500000}"/>
    <cellStyle name="Normal 3 13 2 5" xfId="20730" xr:uid="{00000000-0005-0000-0000-0000F1500000}"/>
    <cellStyle name="Normal 3 13 2 5 2" xfId="20731" xr:uid="{00000000-0005-0000-0000-0000F2500000}"/>
    <cellStyle name="Normal 3 13 2 5 3" xfId="20732" xr:uid="{00000000-0005-0000-0000-0000F3500000}"/>
    <cellStyle name="Normal 3 13 2 6" xfId="20733" xr:uid="{00000000-0005-0000-0000-0000F4500000}"/>
    <cellStyle name="Normal 3 13 2 6 2" xfId="20734" xr:uid="{00000000-0005-0000-0000-0000F5500000}"/>
    <cellStyle name="Normal 3 13 2 6 3" xfId="20735" xr:uid="{00000000-0005-0000-0000-0000F6500000}"/>
    <cellStyle name="Normal 3 13 2 7" xfId="20736" xr:uid="{00000000-0005-0000-0000-0000F7500000}"/>
    <cellStyle name="Normal 3 13 2 7 2" xfId="20737" xr:uid="{00000000-0005-0000-0000-0000F8500000}"/>
    <cellStyle name="Normal 3 13 2 7 3" xfId="20738" xr:uid="{00000000-0005-0000-0000-0000F9500000}"/>
    <cellStyle name="Normal 3 13 2 8" xfId="20739" xr:uid="{00000000-0005-0000-0000-0000FA500000}"/>
    <cellStyle name="Normal 3 13 2 8 2" xfId="20740" xr:uid="{00000000-0005-0000-0000-0000FB500000}"/>
    <cellStyle name="Normal 3 13 2 8 3" xfId="20741" xr:uid="{00000000-0005-0000-0000-0000FC500000}"/>
    <cellStyle name="Normal 3 13 2 9" xfId="20742" xr:uid="{00000000-0005-0000-0000-0000FD500000}"/>
    <cellStyle name="Normal 3 13 2 9 2" xfId="20743" xr:uid="{00000000-0005-0000-0000-0000FE500000}"/>
    <cellStyle name="Normal 3 13 2 9 3" xfId="20744" xr:uid="{00000000-0005-0000-0000-0000FF500000}"/>
    <cellStyle name="Normal 3 13 3" xfId="20745" xr:uid="{00000000-0005-0000-0000-000000510000}"/>
    <cellStyle name="Normal 3 13 4" xfId="20746" xr:uid="{00000000-0005-0000-0000-000001510000}"/>
    <cellStyle name="Normal 3 13 5" xfId="20747" xr:uid="{00000000-0005-0000-0000-000002510000}"/>
    <cellStyle name="Normal 3 13 6" xfId="20748" xr:uid="{00000000-0005-0000-0000-000003510000}"/>
    <cellStyle name="Normal 3 13 6 10" xfId="20749" xr:uid="{00000000-0005-0000-0000-000004510000}"/>
    <cellStyle name="Normal 3 13 6 10 2" xfId="20750" xr:uid="{00000000-0005-0000-0000-000005510000}"/>
    <cellStyle name="Normal 3 13 6 10 3" xfId="20751" xr:uid="{00000000-0005-0000-0000-000006510000}"/>
    <cellStyle name="Normal 3 13 6 11" xfId="20752" xr:uid="{00000000-0005-0000-0000-000007510000}"/>
    <cellStyle name="Normal 3 13 6 11 2" xfId="20753" xr:uid="{00000000-0005-0000-0000-000008510000}"/>
    <cellStyle name="Normal 3 13 6 11 3" xfId="20754" xr:uid="{00000000-0005-0000-0000-000009510000}"/>
    <cellStyle name="Normal 3 13 6 12" xfId="20755" xr:uid="{00000000-0005-0000-0000-00000A510000}"/>
    <cellStyle name="Normal 3 13 6 12 2" xfId="20756" xr:uid="{00000000-0005-0000-0000-00000B510000}"/>
    <cellStyle name="Normal 3 13 6 12 3" xfId="20757" xr:uid="{00000000-0005-0000-0000-00000C510000}"/>
    <cellStyle name="Normal 3 13 6 13" xfId="20758" xr:uid="{00000000-0005-0000-0000-00000D510000}"/>
    <cellStyle name="Normal 3 13 6 13 2" xfId="20759" xr:uid="{00000000-0005-0000-0000-00000E510000}"/>
    <cellStyle name="Normal 3 13 6 13 3" xfId="20760" xr:uid="{00000000-0005-0000-0000-00000F510000}"/>
    <cellStyle name="Normal 3 13 6 14" xfId="20761" xr:uid="{00000000-0005-0000-0000-000010510000}"/>
    <cellStyle name="Normal 3 13 6 14 2" xfId="20762" xr:uid="{00000000-0005-0000-0000-000011510000}"/>
    <cellStyle name="Normal 3 13 6 14 3" xfId="20763" xr:uid="{00000000-0005-0000-0000-000012510000}"/>
    <cellStyle name="Normal 3 13 6 15" xfId="20764" xr:uid="{00000000-0005-0000-0000-000013510000}"/>
    <cellStyle name="Normal 3 13 6 15 2" xfId="20765" xr:uid="{00000000-0005-0000-0000-000014510000}"/>
    <cellStyle name="Normal 3 13 6 15 3" xfId="20766" xr:uid="{00000000-0005-0000-0000-000015510000}"/>
    <cellStyle name="Normal 3 13 6 16" xfId="20767" xr:uid="{00000000-0005-0000-0000-000016510000}"/>
    <cellStyle name="Normal 3 13 6 17" xfId="20768" xr:uid="{00000000-0005-0000-0000-000017510000}"/>
    <cellStyle name="Normal 3 13 6 2" xfId="20769" xr:uid="{00000000-0005-0000-0000-000018510000}"/>
    <cellStyle name="Normal 3 13 6 2 10" xfId="20770" xr:uid="{00000000-0005-0000-0000-000019510000}"/>
    <cellStyle name="Normal 3 13 6 2 10 2" xfId="20771" xr:uid="{00000000-0005-0000-0000-00001A510000}"/>
    <cellStyle name="Normal 3 13 6 2 10 3" xfId="20772" xr:uid="{00000000-0005-0000-0000-00001B510000}"/>
    <cellStyle name="Normal 3 13 6 2 11" xfId="20773" xr:uid="{00000000-0005-0000-0000-00001C510000}"/>
    <cellStyle name="Normal 3 13 6 2 11 2" xfId="20774" xr:uid="{00000000-0005-0000-0000-00001D510000}"/>
    <cellStyle name="Normal 3 13 6 2 11 3" xfId="20775" xr:uid="{00000000-0005-0000-0000-00001E510000}"/>
    <cellStyle name="Normal 3 13 6 2 12" xfId="20776" xr:uid="{00000000-0005-0000-0000-00001F510000}"/>
    <cellStyle name="Normal 3 13 6 2 12 2" xfId="20777" xr:uid="{00000000-0005-0000-0000-000020510000}"/>
    <cellStyle name="Normal 3 13 6 2 12 3" xfId="20778" xr:uid="{00000000-0005-0000-0000-000021510000}"/>
    <cellStyle name="Normal 3 13 6 2 13" xfId="20779" xr:uid="{00000000-0005-0000-0000-000022510000}"/>
    <cellStyle name="Normal 3 13 6 2 13 2" xfId="20780" xr:uid="{00000000-0005-0000-0000-000023510000}"/>
    <cellStyle name="Normal 3 13 6 2 13 3" xfId="20781" xr:uid="{00000000-0005-0000-0000-000024510000}"/>
    <cellStyle name="Normal 3 13 6 2 14" xfId="20782" xr:uid="{00000000-0005-0000-0000-000025510000}"/>
    <cellStyle name="Normal 3 13 6 2 14 2" xfId="20783" xr:uid="{00000000-0005-0000-0000-000026510000}"/>
    <cellStyle name="Normal 3 13 6 2 14 3" xfId="20784" xr:uid="{00000000-0005-0000-0000-000027510000}"/>
    <cellStyle name="Normal 3 13 6 2 15" xfId="20785" xr:uid="{00000000-0005-0000-0000-000028510000}"/>
    <cellStyle name="Normal 3 13 6 2 16" xfId="20786" xr:uid="{00000000-0005-0000-0000-000029510000}"/>
    <cellStyle name="Normal 3 13 6 2 2" xfId="20787" xr:uid="{00000000-0005-0000-0000-00002A510000}"/>
    <cellStyle name="Normal 3 13 6 2 2 2" xfId="20788" xr:uid="{00000000-0005-0000-0000-00002B510000}"/>
    <cellStyle name="Normal 3 13 6 2 2 3" xfId="20789" xr:uid="{00000000-0005-0000-0000-00002C510000}"/>
    <cellStyle name="Normal 3 13 6 2 3" xfId="20790" xr:uid="{00000000-0005-0000-0000-00002D510000}"/>
    <cellStyle name="Normal 3 13 6 2 3 2" xfId="20791" xr:uid="{00000000-0005-0000-0000-00002E510000}"/>
    <cellStyle name="Normal 3 13 6 2 3 3" xfId="20792" xr:uid="{00000000-0005-0000-0000-00002F510000}"/>
    <cellStyle name="Normal 3 13 6 2 4" xfId="20793" xr:uid="{00000000-0005-0000-0000-000030510000}"/>
    <cellStyle name="Normal 3 13 6 2 4 2" xfId="20794" xr:uid="{00000000-0005-0000-0000-000031510000}"/>
    <cellStyle name="Normal 3 13 6 2 4 3" xfId="20795" xr:uid="{00000000-0005-0000-0000-000032510000}"/>
    <cellStyle name="Normal 3 13 6 2 5" xfId="20796" xr:uid="{00000000-0005-0000-0000-000033510000}"/>
    <cellStyle name="Normal 3 13 6 2 5 2" xfId="20797" xr:uid="{00000000-0005-0000-0000-000034510000}"/>
    <cellStyle name="Normal 3 13 6 2 5 3" xfId="20798" xr:uid="{00000000-0005-0000-0000-000035510000}"/>
    <cellStyle name="Normal 3 13 6 2 6" xfId="20799" xr:uid="{00000000-0005-0000-0000-000036510000}"/>
    <cellStyle name="Normal 3 13 6 2 6 2" xfId="20800" xr:uid="{00000000-0005-0000-0000-000037510000}"/>
    <cellStyle name="Normal 3 13 6 2 6 3" xfId="20801" xr:uid="{00000000-0005-0000-0000-000038510000}"/>
    <cellStyle name="Normal 3 13 6 2 7" xfId="20802" xr:uid="{00000000-0005-0000-0000-000039510000}"/>
    <cellStyle name="Normal 3 13 6 2 7 2" xfId="20803" xr:uid="{00000000-0005-0000-0000-00003A510000}"/>
    <cellStyle name="Normal 3 13 6 2 7 3" xfId="20804" xr:uid="{00000000-0005-0000-0000-00003B510000}"/>
    <cellStyle name="Normal 3 13 6 2 8" xfId="20805" xr:uid="{00000000-0005-0000-0000-00003C510000}"/>
    <cellStyle name="Normal 3 13 6 2 8 2" xfId="20806" xr:uid="{00000000-0005-0000-0000-00003D510000}"/>
    <cellStyle name="Normal 3 13 6 2 8 3" xfId="20807" xr:uid="{00000000-0005-0000-0000-00003E510000}"/>
    <cellStyle name="Normal 3 13 6 2 9" xfId="20808" xr:uid="{00000000-0005-0000-0000-00003F510000}"/>
    <cellStyle name="Normal 3 13 6 2 9 2" xfId="20809" xr:uid="{00000000-0005-0000-0000-000040510000}"/>
    <cellStyle name="Normal 3 13 6 2 9 3" xfId="20810" xr:uid="{00000000-0005-0000-0000-000041510000}"/>
    <cellStyle name="Normal 3 13 6 3" xfId="20811" xr:uid="{00000000-0005-0000-0000-000042510000}"/>
    <cellStyle name="Normal 3 13 6 3 2" xfId="20812" xr:uid="{00000000-0005-0000-0000-000043510000}"/>
    <cellStyle name="Normal 3 13 6 3 3" xfId="20813" xr:uid="{00000000-0005-0000-0000-000044510000}"/>
    <cellStyle name="Normal 3 13 6 4" xfId="20814" xr:uid="{00000000-0005-0000-0000-000045510000}"/>
    <cellStyle name="Normal 3 13 6 4 2" xfId="20815" xr:uid="{00000000-0005-0000-0000-000046510000}"/>
    <cellStyle name="Normal 3 13 6 4 3" xfId="20816" xr:uid="{00000000-0005-0000-0000-000047510000}"/>
    <cellStyle name="Normal 3 13 6 5" xfId="20817" xr:uid="{00000000-0005-0000-0000-000048510000}"/>
    <cellStyle name="Normal 3 13 6 5 2" xfId="20818" xr:uid="{00000000-0005-0000-0000-000049510000}"/>
    <cellStyle name="Normal 3 13 6 5 3" xfId="20819" xr:uid="{00000000-0005-0000-0000-00004A510000}"/>
    <cellStyle name="Normal 3 13 6 6" xfId="20820" xr:uid="{00000000-0005-0000-0000-00004B510000}"/>
    <cellStyle name="Normal 3 13 6 6 2" xfId="20821" xr:uid="{00000000-0005-0000-0000-00004C510000}"/>
    <cellStyle name="Normal 3 13 6 6 3" xfId="20822" xr:uid="{00000000-0005-0000-0000-00004D510000}"/>
    <cellStyle name="Normal 3 13 6 7" xfId="20823" xr:uid="{00000000-0005-0000-0000-00004E510000}"/>
    <cellStyle name="Normal 3 13 6 7 2" xfId="20824" xr:uid="{00000000-0005-0000-0000-00004F510000}"/>
    <cellStyle name="Normal 3 13 6 7 3" xfId="20825" xr:uid="{00000000-0005-0000-0000-000050510000}"/>
    <cellStyle name="Normal 3 13 6 8" xfId="20826" xr:uid="{00000000-0005-0000-0000-000051510000}"/>
    <cellStyle name="Normal 3 13 6 8 2" xfId="20827" xr:uid="{00000000-0005-0000-0000-000052510000}"/>
    <cellStyle name="Normal 3 13 6 8 3" xfId="20828" xr:uid="{00000000-0005-0000-0000-000053510000}"/>
    <cellStyle name="Normal 3 13 6 9" xfId="20829" xr:uid="{00000000-0005-0000-0000-000054510000}"/>
    <cellStyle name="Normal 3 13 6 9 2" xfId="20830" xr:uid="{00000000-0005-0000-0000-000055510000}"/>
    <cellStyle name="Normal 3 13 6 9 3" xfId="20831" xr:uid="{00000000-0005-0000-0000-000056510000}"/>
    <cellStyle name="Normal 3 13 7" xfId="20832" xr:uid="{00000000-0005-0000-0000-000057510000}"/>
    <cellStyle name="Normal 3 13 7 10" xfId="20833" xr:uid="{00000000-0005-0000-0000-000058510000}"/>
    <cellStyle name="Normal 3 13 7 10 2" xfId="20834" xr:uid="{00000000-0005-0000-0000-000059510000}"/>
    <cellStyle name="Normal 3 13 7 10 3" xfId="20835" xr:uid="{00000000-0005-0000-0000-00005A510000}"/>
    <cellStyle name="Normal 3 13 7 11" xfId="20836" xr:uid="{00000000-0005-0000-0000-00005B510000}"/>
    <cellStyle name="Normal 3 13 7 11 2" xfId="20837" xr:uid="{00000000-0005-0000-0000-00005C510000}"/>
    <cellStyle name="Normal 3 13 7 11 3" xfId="20838" xr:uid="{00000000-0005-0000-0000-00005D510000}"/>
    <cellStyle name="Normal 3 13 7 12" xfId="20839" xr:uid="{00000000-0005-0000-0000-00005E510000}"/>
    <cellStyle name="Normal 3 13 7 12 2" xfId="20840" xr:uid="{00000000-0005-0000-0000-00005F510000}"/>
    <cellStyle name="Normal 3 13 7 12 3" xfId="20841" xr:uid="{00000000-0005-0000-0000-000060510000}"/>
    <cellStyle name="Normal 3 13 7 13" xfId="20842" xr:uid="{00000000-0005-0000-0000-000061510000}"/>
    <cellStyle name="Normal 3 13 7 13 2" xfId="20843" xr:uid="{00000000-0005-0000-0000-000062510000}"/>
    <cellStyle name="Normal 3 13 7 13 3" xfId="20844" xr:uid="{00000000-0005-0000-0000-000063510000}"/>
    <cellStyle name="Normal 3 13 7 14" xfId="20845" xr:uid="{00000000-0005-0000-0000-000064510000}"/>
    <cellStyle name="Normal 3 13 7 14 2" xfId="20846" xr:uid="{00000000-0005-0000-0000-000065510000}"/>
    <cellStyle name="Normal 3 13 7 14 3" xfId="20847" xr:uid="{00000000-0005-0000-0000-000066510000}"/>
    <cellStyle name="Normal 3 13 7 15" xfId="20848" xr:uid="{00000000-0005-0000-0000-000067510000}"/>
    <cellStyle name="Normal 3 13 7 15 2" xfId="20849" xr:uid="{00000000-0005-0000-0000-000068510000}"/>
    <cellStyle name="Normal 3 13 7 15 3" xfId="20850" xr:uid="{00000000-0005-0000-0000-000069510000}"/>
    <cellStyle name="Normal 3 13 7 16" xfId="20851" xr:uid="{00000000-0005-0000-0000-00006A510000}"/>
    <cellStyle name="Normal 3 13 7 17" xfId="20852" xr:uid="{00000000-0005-0000-0000-00006B510000}"/>
    <cellStyle name="Normal 3 13 7 2" xfId="20853" xr:uid="{00000000-0005-0000-0000-00006C510000}"/>
    <cellStyle name="Normal 3 13 7 2 10" xfId="20854" xr:uid="{00000000-0005-0000-0000-00006D510000}"/>
    <cellStyle name="Normal 3 13 7 2 10 2" xfId="20855" xr:uid="{00000000-0005-0000-0000-00006E510000}"/>
    <cellStyle name="Normal 3 13 7 2 10 3" xfId="20856" xr:uid="{00000000-0005-0000-0000-00006F510000}"/>
    <cellStyle name="Normal 3 13 7 2 11" xfId="20857" xr:uid="{00000000-0005-0000-0000-000070510000}"/>
    <cellStyle name="Normal 3 13 7 2 11 2" xfId="20858" xr:uid="{00000000-0005-0000-0000-000071510000}"/>
    <cellStyle name="Normal 3 13 7 2 11 3" xfId="20859" xr:uid="{00000000-0005-0000-0000-000072510000}"/>
    <cellStyle name="Normal 3 13 7 2 12" xfId="20860" xr:uid="{00000000-0005-0000-0000-000073510000}"/>
    <cellStyle name="Normal 3 13 7 2 12 2" xfId="20861" xr:uid="{00000000-0005-0000-0000-000074510000}"/>
    <cellStyle name="Normal 3 13 7 2 12 3" xfId="20862" xr:uid="{00000000-0005-0000-0000-000075510000}"/>
    <cellStyle name="Normal 3 13 7 2 13" xfId="20863" xr:uid="{00000000-0005-0000-0000-000076510000}"/>
    <cellStyle name="Normal 3 13 7 2 13 2" xfId="20864" xr:uid="{00000000-0005-0000-0000-000077510000}"/>
    <cellStyle name="Normal 3 13 7 2 13 3" xfId="20865" xr:uid="{00000000-0005-0000-0000-000078510000}"/>
    <cellStyle name="Normal 3 13 7 2 14" xfId="20866" xr:uid="{00000000-0005-0000-0000-000079510000}"/>
    <cellStyle name="Normal 3 13 7 2 14 2" xfId="20867" xr:uid="{00000000-0005-0000-0000-00007A510000}"/>
    <cellStyle name="Normal 3 13 7 2 14 3" xfId="20868" xr:uid="{00000000-0005-0000-0000-00007B510000}"/>
    <cellStyle name="Normal 3 13 7 2 15" xfId="20869" xr:uid="{00000000-0005-0000-0000-00007C510000}"/>
    <cellStyle name="Normal 3 13 7 2 16" xfId="20870" xr:uid="{00000000-0005-0000-0000-00007D510000}"/>
    <cellStyle name="Normal 3 13 7 2 2" xfId="20871" xr:uid="{00000000-0005-0000-0000-00007E510000}"/>
    <cellStyle name="Normal 3 13 7 2 2 2" xfId="20872" xr:uid="{00000000-0005-0000-0000-00007F510000}"/>
    <cellStyle name="Normal 3 13 7 2 2 3" xfId="20873" xr:uid="{00000000-0005-0000-0000-000080510000}"/>
    <cellStyle name="Normal 3 13 7 2 3" xfId="20874" xr:uid="{00000000-0005-0000-0000-000081510000}"/>
    <cellStyle name="Normal 3 13 7 2 3 2" xfId="20875" xr:uid="{00000000-0005-0000-0000-000082510000}"/>
    <cellStyle name="Normal 3 13 7 2 3 3" xfId="20876" xr:uid="{00000000-0005-0000-0000-000083510000}"/>
    <cellStyle name="Normal 3 13 7 2 4" xfId="20877" xr:uid="{00000000-0005-0000-0000-000084510000}"/>
    <cellStyle name="Normal 3 13 7 2 4 2" xfId="20878" xr:uid="{00000000-0005-0000-0000-000085510000}"/>
    <cellStyle name="Normal 3 13 7 2 4 3" xfId="20879" xr:uid="{00000000-0005-0000-0000-000086510000}"/>
    <cellStyle name="Normal 3 13 7 2 5" xfId="20880" xr:uid="{00000000-0005-0000-0000-000087510000}"/>
    <cellStyle name="Normal 3 13 7 2 5 2" xfId="20881" xr:uid="{00000000-0005-0000-0000-000088510000}"/>
    <cellStyle name="Normal 3 13 7 2 5 3" xfId="20882" xr:uid="{00000000-0005-0000-0000-000089510000}"/>
    <cellStyle name="Normal 3 13 7 2 6" xfId="20883" xr:uid="{00000000-0005-0000-0000-00008A510000}"/>
    <cellStyle name="Normal 3 13 7 2 6 2" xfId="20884" xr:uid="{00000000-0005-0000-0000-00008B510000}"/>
    <cellStyle name="Normal 3 13 7 2 6 3" xfId="20885" xr:uid="{00000000-0005-0000-0000-00008C510000}"/>
    <cellStyle name="Normal 3 13 7 2 7" xfId="20886" xr:uid="{00000000-0005-0000-0000-00008D510000}"/>
    <cellStyle name="Normal 3 13 7 2 7 2" xfId="20887" xr:uid="{00000000-0005-0000-0000-00008E510000}"/>
    <cellStyle name="Normal 3 13 7 2 7 3" xfId="20888" xr:uid="{00000000-0005-0000-0000-00008F510000}"/>
    <cellStyle name="Normal 3 13 7 2 8" xfId="20889" xr:uid="{00000000-0005-0000-0000-000090510000}"/>
    <cellStyle name="Normal 3 13 7 2 8 2" xfId="20890" xr:uid="{00000000-0005-0000-0000-000091510000}"/>
    <cellStyle name="Normal 3 13 7 2 8 3" xfId="20891" xr:uid="{00000000-0005-0000-0000-000092510000}"/>
    <cellStyle name="Normal 3 13 7 2 9" xfId="20892" xr:uid="{00000000-0005-0000-0000-000093510000}"/>
    <cellStyle name="Normal 3 13 7 2 9 2" xfId="20893" xr:uid="{00000000-0005-0000-0000-000094510000}"/>
    <cellStyle name="Normal 3 13 7 2 9 3" xfId="20894" xr:uid="{00000000-0005-0000-0000-000095510000}"/>
    <cellStyle name="Normal 3 13 7 3" xfId="20895" xr:uid="{00000000-0005-0000-0000-000096510000}"/>
    <cellStyle name="Normal 3 13 7 3 2" xfId="20896" xr:uid="{00000000-0005-0000-0000-000097510000}"/>
    <cellStyle name="Normal 3 13 7 3 3" xfId="20897" xr:uid="{00000000-0005-0000-0000-000098510000}"/>
    <cellStyle name="Normal 3 13 7 4" xfId="20898" xr:uid="{00000000-0005-0000-0000-000099510000}"/>
    <cellStyle name="Normal 3 13 7 4 2" xfId="20899" xr:uid="{00000000-0005-0000-0000-00009A510000}"/>
    <cellStyle name="Normal 3 13 7 4 3" xfId="20900" xr:uid="{00000000-0005-0000-0000-00009B510000}"/>
    <cellStyle name="Normal 3 13 7 5" xfId="20901" xr:uid="{00000000-0005-0000-0000-00009C510000}"/>
    <cellStyle name="Normal 3 13 7 5 2" xfId="20902" xr:uid="{00000000-0005-0000-0000-00009D510000}"/>
    <cellStyle name="Normal 3 13 7 5 3" xfId="20903" xr:uid="{00000000-0005-0000-0000-00009E510000}"/>
    <cellStyle name="Normal 3 13 7 6" xfId="20904" xr:uid="{00000000-0005-0000-0000-00009F510000}"/>
    <cellStyle name="Normal 3 13 7 6 2" xfId="20905" xr:uid="{00000000-0005-0000-0000-0000A0510000}"/>
    <cellStyle name="Normal 3 13 7 6 3" xfId="20906" xr:uid="{00000000-0005-0000-0000-0000A1510000}"/>
    <cellStyle name="Normal 3 13 7 7" xfId="20907" xr:uid="{00000000-0005-0000-0000-0000A2510000}"/>
    <cellStyle name="Normal 3 13 7 7 2" xfId="20908" xr:uid="{00000000-0005-0000-0000-0000A3510000}"/>
    <cellStyle name="Normal 3 13 7 7 3" xfId="20909" xr:uid="{00000000-0005-0000-0000-0000A4510000}"/>
    <cellStyle name="Normal 3 13 7 8" xfId="20910" xr:uid="{00000000-0005-0000-0000-0000A5510000}"/>
    <cellStyle name="Normal 3 13 7 8 2" xfId="20911" xr:uid="{00000000-0005-0000-0000-0000A6510000}"/>
    <cellStyle name="Normal 3 13 7 8 3" xfId="20912" xr:uid="{00000000-0005-0000-0000-0000A7510000}"/>
    <cellStyle name="Normal 3 13 7 9" xfId="20913" xr:uid="{00000000-0005-0000-0000-0000A8510000}"/>
    <cellStyle name="Normal 3 13 7 9 2" xfId="20914" xr:uid="{00000000-0005-0000-0000-0000A9510000}"/>
    <cellStyle name="Normal 3 13 7 9 3" xfId="20915" xr:uid="{00000000-0005-0000-0000-0000AA510000}"/>
    <cellStyle name="Normal 3 13 8" xfId="20916" xr:uid="{00000000-0005-0000-0000-0000AB510000}"/>
    <cellStyle name="Normal 3 13 8 10" xfId="20917" xr:uid="{00000000-0005-0000-0000-0000AC510000}"/>
    <cellStyle name="Normal 3 13 8 10 2" xfId="20918" xr:uid="{00000000-0005-0000-0000-0000AD510000}"/>
    <cellStyle name="Normal 3 13 8 10 3" xfId="20919" xr:uid="{00000000-0005-0000-0000-0000AE510000}"/>
    <cellStyle name="Normal 3 13 8 11" xfId="20920" xr:uid="{00000000-0005-0000-0000-0000AF510000}"/>
    <cellStyle name="Normal 3 13 8 11 2" xfId="20921" xr:uid="{00000000-0005-0000-0000-0000B0510000}"/>
    <cellStyle name="Normal 3 13 8 11 3" xfId="20922" xr:uid="{00000000-0005-0000-0000-0000B1510000}"/>
    <cellStyle name="Normal 3 13 8 12" xfId="20923" xr:uid="{00000000-0005-0000-0000-0000B2510000}"/>
    <cellStyle name="Normal 3 13 8 12 2" xfId="20924" xr:uid="{00000000-0005-0000-0000-0000B3510000}"/>
    <cellStyle name="Normal 3 13 8 12 3" xfId="20925" xr:uid="{00000000-0005-0000-0000-0000B4510000}"/>
    <cellStyle name="Normal 3 13 8 13" xfId="20926" xr:uid="{00000000-0005-0000-0000-0000B5510000}"/>
    <cellStyle name="Normal 3 13 8 13 2" xfId="20927" xr:uid="{00000000-0005-0000-0000-0000B6510000}"/>
    <cellStyle name="Normal 3 13 8 13 3" xfId="20928" xr:uid="{00000000-0005-0000-0000-0000B7510000}"/>
    <cellStyle name="Normal 3 13 8 14" xfId="20929" xr:uid="{00000000-0005-0000-0000-0000B8510000}"/>
    <cellStyle name="Normal 3 13 8 14 2" xfId="20930" xr:uid="{00000000-0005-0000-0000-0000B9510000}"/>
    <cellStyle name="Normal 3 13 8 14 3" xfId="20931" xr:uid="{00000000-0005-0000-0000-0000BA510000}"/>
    <cellStyle name="Normal 3 13 8 15" xfId="20932" xr:uid="{00000000-0005-0000-0000-0000BB510000}"/>
    <cellStyle name="Normal 3 13 8 15 2" xfId="20933" xr:uid="{00000000-0005-0000-0000-0000BC510000}"/>
    <cellStyle name="Normal 3 13 8 15 3" xfId="20934" xr:uid="{00000000-0005-0000-0000-0000BD510000}"/>
    <cellStyle name="Normal 3 13 8 16" xfId="20935" xr:uid="{00000000-0005-0000-0000-0000BE510000}"/>
    <cellStyle name="Normal 3 13 8 17" xfId="20936" xr:uid="{00000000-0005-0000-0000-0000BF510000}"/>
    <cellStyle name="Normal 3 13 8 2" xfId="20937" xr:uid="{00000000-0005-0000-0000-0000C0510000}"/>
    <cellStyle name="Normal 3 13 8 2 10" xfId="20938" xr:uid="{00000000-0005-0000-0000-0000C1510000}"/>
    <cellStyle name="Normal 3 13 8 2 10 2" xfId="20939" xr:uid="{00000000-0005-0000-0000-0000C2510000}"/>
    <cellStyle name="Normal 3 13 8 2 10 3" xfId="20940" xr:uid="{00000000-0005-0000-0000-0000C3510000}"/>
    <cellStyle name="Normal 3 13 8 2 11" xfId="20941" xr:uid="{00000000-0005-0000-0000-0000C4510000}"/>
    <cellStyle name="Normal 3 13 8 2 11 2" xfId="20942" xr:uid="{00000000-0005-0000-0000-0000C5510000}"/>
    <cellStyle name="Normal 3 13 8 2 11 3" xfId="20943" xr:uid="{00000000-0005-0000-0000-0000C6510000}"/>
    <cellStyle name="Normal 3 13 8 2 12" xfId="20944" xr:uid="{00000000-0005-0000-0000-0000C7510000}"/>
    <cellStyle name="Normal 3 13 8 2 12 2" xfId="20945" xr:uid="{00000000-0005-0000-0000-0000C8510000}"/>
    <cellStyle name="Normal 3 13 8 2 12 3" xfId="20946" xr:uid="{00000000-0005-0000-0000-0000C9510000}"/>
    <cellStyle name="Normal 3 13 8 2 13" xfId="20947" xr:uid="{00000000-0005-0000-0000-0000CA510000}"/>
    <cellStyle name="Normal 3 13 8 2 13 2" xfId="20948" xr:uid="{00000000-0005-0000-0000-0000CB510000}"/>
    <cellStyle name="Normal 3 13 8 2 13 3" xfId="20949" xr:uid="{00000000-0005-0000-0000-0000CC510000}"/>
    <cellStyle name="Normal 3 13 8 2 14" xfId="20950" xr:uid="{00000000-0005-0000-0000-0000CD510000}"/>
    <cellStyle name="Normal 3 13 8 2 14 2" xfId="20951" xr:uid="{00000000-0005-0000-0000-0000CE510000}"/>
    <cellStyle name="Normal 3 13 8 2 14 3" xfId="20952" xr:uid="{00000000-0005-0000-0000-0000CF510000}"/>
    <cellStyle name="Normal 3 13 8 2 15" xfId="20953" xr:uid="{00000000-0005-0000-0000-0000D0510000}"/>
    <cellStyle name="Normal 3 13 8 2 16" xfId="20954" xr:uid="{00000000-0005-0000-0000-0000D1510000}"/>
    <cellStyle name="Normal 3 13 8 2 2" xfId="20955" xr:uid="{00000000-0005-0000-0000-0000D2510000}"/>
    <cellStyle name="Normal 3 13 8 2 2 2" xfId="20956" xr:uid="{00000000-0005-0000-0000-0000D3510000}"/>
    <cellStyle name="Normal 3 13 8 2 2 3" xfId="20957" xr:uid="{00000000-0005-0000-0000-0000D4510000}"/>
    <cellStyle name="Normal 3 13 8 2 3" xfId="20958" xr:uid="{00000000-0005-0000-0000-0000D5510000}"/>
    <cellStyle name="Normal 3 13 8 2 3 2" xfId="20959" xr:uid="{00000000-0005-0000-0000-0000D6510000}"/>
    <cellStyle name="Normal 3 13 8 2 3 3" xfId="20960" xr:uid="{00000000-0005-0000-0000-0000D7510000}"/>
    <cellStyle name="Normal 3 13 8 2 4" xfId="20961" xr:uid="{00000000-0005-0000-0000-0000D8510000}"/>
    <cellStyle name="Normal 3 13 8 2 4 2" xfId="20962" xr:uid="{00000000-0005-0000-0000-0000D9510000}"/>
    <cellStyle name="Normal 3 13 8 2 4 3" xfId="20963" xr:uid="{00000000-0005-0000-0000-0000DA510000}"/>
    <cellStyle name="Normal 3 13 8 2 5" xfId="20964" xr:uid="{00000000-0005-0000-0000-0000DB510000}"/>
    <cellStyle name="Normal 3 13 8 2 5 2" xfId="20965" xr:uid="{00000000-0005-0000-0000-0000DC510000}"/>
    <cellStyle name="Normal 3 13 8 2 5 3" xfId="20966" xr:uid="{00000000-0005-0000-0000-0000DD510000}"/>
    <cellStyle name="Normal 3 13 8 2 6" xfId="20967" xr:uid="{00000000-0005-0000-0000-0000DE510000}"/>
    <cellStyle name="Normal 3 13 8 2 6 2" xfId="20968" xr:uid="{00000000-0005-0000-0000-0000DF510000}"/>
    <cellStyle name="Normal 3 13 8 2 6 3" xfId="20969" xr:uid="{00000000-0005-0000-0000-0000E0510000}"/>
    <cellStyle name="Normal 3 13 8 2 7" xfId="20970" xr:uid="{00000000-0005-0000-0000-0000E1510000}"/>
    <cellStyle name="Normal 3 13 8 2 7 2" xfId="20971" xr:uid="{00000000-0005-0000-0000-0000E2510000}"/>
    <cellStyle name="Normal 3 13 8 2 7 3" xfId="20972" xr:uid="{00000000-0005-0000-0000-0000E3510000}"/>
    <cellStyle name="Normal 3 13 8 2 8" xfId="20973" xr:uid="{00000000-0005-0000-0000-0000E4510000}"/>
    <cellStyle name="Normal 3 13 8 2 8 2" xfId="20974" xr:uid="{00000000-0005-0000-0000-0000E5510000}"/>
    <cellStyle name="Normal 3 13 8 2 8 3" xfId="20975" xr:uid="{00000000-0005-0000-0000-0000E6510000}"/>
    <cellStyle name="Normal 3 13 8 2 9" xfId="20976" xr:uid="{00000000-0005-0000-0000-0000E7510000}"/>
    <cellStyle name="Normal 3 13 8 2 9 2" xfId="20977" xr:uid="{00000000-0005-0000-0000-0000E8510000}"/>
    <cellStyle name="Normal 3 13 8 2 9 3" xfId="20978" xr:uid="{00000000-0005-0000-0000-0000E9510000}"/>
    <cellStyle name="Normal 3 13 8 3" xfId="20979" xr:uid="{00000000-0005-0000-0000-0000EA510000}"/>
    <cellStyle name="Normal 3 13 8 3 2" xfId="20980" xr:uid="{00000000-0005-0000-0000-0000EB510000}"/>
    <cellStyle name="Normal 3 13 8 3 3" xfId="20981" xr:uid="{00000000-0005-0000-0000-0000EC510000}"/>
    <cellStyle name="Normal 3 13 8 4" xfId="20982" xr:uid="{00000000-0005-0000-0000-0000ED510000}"/>
    <cellStyle name="Normal 3 13 8 4 2" xfId="20983" xr:uid="{00000000-0005-0000-0000-0000EE510000}"/>
    <cellStyle name="Normal 3 13 8 4 3" xfId="20984" xr:uid="{00000000-0005-0000-0000-0000EF510000}"/>
    <cellStyle name="Normal 3 13 8 5" xfId="20985" xr:uid="{00000000-0005-0000-0000-0000F0510000}"/>
    <cellStyle name="Normal 3 13 8 5 2" xfId="20986" xr:uid="{00000000-0005-0000-0000-0000F1510000}"/>
    <cellStyle name="Normal 3 13 8 5 3" xfId="20987" xr:uid="{00000000-0005-0000-0000-0000F2510000}"/>
    <cellStyle name="Normal 3 13 8 6" xfId="20988" xr:uid="{00000000-0005-0000-0000-0000F3510000}"/>
    <cellStyle name="Normal 3 13 8 6 2" xfId="20989" xr:uid="{00000000-0005-0000-0000-0000F4510000}"/>
    <cellStyle name="Normal 3 13 8 6 3" xfId="20990" xr:uid="{00000000-0005-0000-0000-0000F5510000}"/>
    <cellStyle name="Normal 3 13 8 7" xfId="20991" xr:uid="{00000000-0005-0000-0000-0000F6510000}"/>
    <cellStyle name="Normal 3 13 8 7 2" xfId="20992" xr:uid="{00000000-0005-0000-0000-0000F7510000}"/>
    <cellStyle name="Normal 3 13 8 7 3" xfId="20993" xr:uid="{00000000-0005-0000-0000-0000F8510000}"/>
    <cellStyle name="Normal 3 13 8 8" xfId="20994" xr:uid="{00000000-0005-0000-0000-0000F9510000}"/>
    <cellStyle name="Normal 3 13 8 8 2" xfId="20995" xr:uid="{00000000-0005-0000-0000-0000FA510000}"/>
    <cellStyle name="Normal 3 13 8 8 3" xfId="20996" xr:uid="{00000000-0005-0000-0000-0000FB510000}"/>
    <cellStyle name="Normal 3 13 8 9" xfId="20997" xr:uid="{00000000-0005-0000-0000-0000FC510000}"/>
    <cellStyle name="Normal 3 13 8 9 2" xfId="20998" xr:uid="{00000000-0005-0000-0000-0000FD510000}"/>
    <cellStyle name="Normal 3 13 8 9 3" xfId="20999" xr:uid="{00000000-0005-0000-0000-0000FE510000}"/>
    <cellStyle name="Normal 3 13 9" xfId="21000" xr:uid="{00000000-0005-0000-0000-0000FF510000}"/>
    <cellStyle name="Normal 3 13 9 10" xfId="21001" xr:uid="{00000000-0005-0000-0000-000000520000}"/>
    <cellStyle name="Normal 3 13 9 10 2" xfId="21002" xr:uid="{00000000-0005-0000-0000-000001520000}"/>
    <cellStyle name="Normal 3 13 9 10 3" xfId="21003" xr:uid="{00000000-0005-0000-0000-000002520000}"/>
    <cellStyle name="Normal 3 13 9 11" xfId="21004" xr:uid="{00000000-0005-0000-0000-000003520000}"/>
    <cellStyle name="Normal 3 13 9 11 2" xfId="21005" xr:uid="{00000000-0005-0000-0000-000004520000}"/>
    <cellStyle name="Normal 3 13 9 11 3" xfId="21006" xr:uid="{00000000-0005-0000-0000-000005520000}"/>
    <cellStyle name="Normal 3 13 9 12" xfId="21007" xr:uid="{00000000-0005-0000-0000-000006520000}"/>
    <cellStyle name="Normal 3 13 9 12 2" xfId="21008" xr:uid="{00000000-0005-0000-0000-000007520000}"/>
    <cellStyle name="Normal 3 13 9 12 3" xfId="21009" xr:uid="{00000000-0005-0000-0000-000008520000}"/>
    <cellStyle name="Normal 3 13 9 13" xfId="21010" xr:uid="{00000000-0005-0000-0000-000009520000}"/>
    <cellStyle name="Normal 3 13 9 13 2" xfId="21011" xr:uid="{00000000-0005-0000-0000-00000A520000}"/>
    <cellStyle name="Normal 3 13 9 13 3" xfId="21012" xr:uid="{00000000-0005-0000-0000-00000B520000}"/>
    <cellStyle name="Normal 3 13 9 14" xfId="21013" xr:uid="{00000000-0005-0000-0000-00000C520000}"/>
    <cellStyle name="Normal 3 13 9 14 2" xfId="21014" xr:uid="{00000000-0005-0000-0000-00000D520000}"/>
    <cellStyle name="Normal 3 13 9 14 3" xfId="21015" xr:uid="{00000000-0005-0000-0000-00000E520000}"/>
    <cellStyle name="Normal 3 13 9 15" xfId="21016" xr:uid="{00000000-0005-0000-0000-00000F520000}"/>
    <cellStyle name="Normal 3 13 9 16" xfId="21017" xr:uid="{00000000-0005-0000-0000-000010520000}"/>
    <cellStyle name="Normal 3 13 9 2" xfId="21018" xr:uid="{00000000-0005-0000-0000-000011520000}"/>
    <cellStyle name="Normal 3 13 9 2 2" xfId="21019" xr:uid="{00000000-0005-0000-0000-000012520000}"/>
    <cellStyle name="Normal 3 13 9 2 3" xfId="21020" xr:uid="{00000000-0005-0000-0000-000013520000}"/>
    <cellStyle name="Normal 3 13 9 3" xfId="21021" xr:uid="{00000000-0005-0000-0000-000014520000}"/>
    <cellStyle name="Normal 3 13 9 3 2" xfId="21022" xr:uid="{00000000-0005-0000-0000-000015520000}"/>
    <cellStyle name="Normal 3 13 9 3 3" xfId="21023" xr:uid="{00000000-0005-0000-0000-000016520000}"/>
    <cellStyle name="Normal 3 13 9 4" xfId="21024" xr:uid="{00000000-0005-0000-0000-000017520000}"/>
    <cellStyle name="Normal 3 13 9 4 2" xfId="21025" xr:uid="{00000000-0005-0000-0000-000018520000}"/>
    <cellStyle name="Normal 3 13 9 4 3" xfId="21026" xr:uid="{00000000-0005-0000-0000-000019520000}"/>
    <cellStyle name="Normal 3 13 9 5" xfId="21027" xr:uid="{00000000-0005-0000-0000-00001A520000}"/>
    <cellStyle name="Normal 3 13 9 5 2" xfId="21028" xr:uid="{00000000-0005-0000-0000-00001B520000}"/>
    <cellStyle name="Normal 3 13 9 5 3" xfId="21029" xr:uid="{00000000-0005-0000-0000-00001C520000}"/>
    <cellStyle name="Normal 3 13 9 6" xfId="21030" xr:uid="{00000000-0005-0000-0000-00001D520000}"/>
    <cellStyle name="Normal 3 13 9 6 2" xfId="21031" xr:uid="{00000000-0005-0000-0000-00001E520000}"/>
    <cellStyle name="Normal 3 13 9 6 3" xfId="21032" xr:uid="{00000000-0005-0000-0000-00001F520000}"/>
    <cellStyle name="Normal 3 13 9 7" xfId="21033" xr:uid="{00000000-0005-0000-0000-000020520000}"/>
    <cellStyle name="Normal 3 13 9 7 2" xfId="21034" xr:uid="{00000000-0005-0000-0000-000021520000}"/>
    <cellStyle name="Normal 3 13 9 7 3" xfId="21035" xr:uid="{00000000-0005-0000-0000-000022520000}"/>
    <cellStyle name="Normal 3 13 9 8" xfId="21036" xr:uid="{00000000-0005-0000-0000-000023520000}"/>
    <cellStyle name="Normal 3 13 9 8 2" xfId="21037" xr:uid="{00000000-0005-0000-0000-000024520000}"/>
    <cellStyle name="Normal 3 13 9 8 3" xfId="21038" xr:uid="{00000000-0005-0000-0000-000025520000}"/>
    <cellStyle name="Normal 3 13 9 9" xfId="21039" xr:uid="{00000000-0005-0000-0000-000026520000}"/>
    <cellStyle name="Normal 3 13 9 9 2" xfId="21040" xr:uid="{00000000-0005-0000-0000-000027520000}"/>
    <cellStyle name="Normal 3 13 9 9 3" xfId="21041" xr:uid="{00000000-0005-0000-0000-000028520000}"/>
    <cellStyle name="Normal 3 14" xfId="21042" xr:uid="{00000000-0005-0000-0000-000029520000}"/>
    <cellStyle name="Normal 3 14 10" xfId="21043" xr:uid="{00000000-0005-0000-0000-00002A520000}"/>
    <cellStyle name="Normal 3 14 10 10" xfId="21044" xr:uid="{00000000-0005-0000-0000-00002B520000}"/>
    <cellStyle name="Normal 3 14 10 10 2" xfId="21045" xr:uid="{00000000-0005-0000-0000-00002C520000}"/>
    <cellStyle name="Normal 3 14 10 10 3" xfId="21046" xr:uid="{00000000-0005-0000-0000-00002D520000}"/>
    <cellStyle name="Normal 3 14 10 11" xfId="21047" xr:uid="{00000000-0005-0000-0000-00002E520000}"/>
    <cellStyle name="Normal 3 14 10 11 2" xfId="21048" xr:uid="{00000000-0005-0000-0000-00002F520000}"/>
    <cellStyle name="Normal 3 14 10 11 3" xfId="21049" xr:uid="{00000000-0005-0000-0000-000030520000}"/>
    <cellStyle name="Normal 3 14 10 12" xfId="21050" xr:uid="{00000000-0005-0000-0000-000031520000}"/>
    <cellStyle name="Normal 3 14 10 12 2" xfId="21051" xr:uid="{00000000-0005-0000-0000-000032520000}"/>
    <cellStyle name="Normal 3 14 10 12 3" xfId="21052" xr:uid="{00000000-0005-0000-0000-000033520000}"/>
    <cellStyle name="Normal 3 14 10 13" xfId="21053" xr:uid="{00000000-0005-0000-0000-000034520000}"/>
    <cellStyle name="Normal 3 14 10 13 2" xfId="21054" xr:uid="{00000000-0005-0000-0000-000035520000}"/>
    <cellStyle name="Normal 3 14 10 13 3" xfId="21055" xr:uid="{00000000-0005-0000-0000-000036520000}"/>
    <cellStyle name="Normal 3 14 10 14" xfId="21056" xr:uid="{00000000-0005-0000-0000-000037520000}"/>
    <cellStyle name="Normal 3 14 10 14 2" xfId="21057" xr:uid="{00000000-0005-0000-0000-000038520000}"/>
    <cellStyle name="Normal 3 14 10 14 3" xfId="21058" xr:uid="{00000000-0005-0000-0000-000039520000}"/>
    <cellStyle name="Normal 3 14 10 15" xfId="21059" xr:uid="{00000000-0005-0000-0000-00003A520000}"/>
    <cellStyle name="Normal 3 14 10 16" xfId="21060" xr:uid="{00000000-0005-0000-0000-00003B520000}"/>
    <cellStyle name="Normal 3 14 10 2" xfId="21061" xr:uid="{00000000-0005-0000-0000-00003C520000}"/>
    <cellStyle name="Normal 3 14 10 2 2" xfId="21062" xr:uid="{00000000-0005-0000-0000-00003D520000}"/>
    <cellStyle name="Normal 3 14 10 2 3" xfId="21063" xr:uid="{00000000-0005-0000-0000-00003E520000}"/>
    <cellStyle name="Normal 3 14 10 3" xfId="21064" xr:uid="{00000000-0005-0000-0000-00003F520000}"/>
    <cellStyle name="Normal 3 14 10 3 2" xfId="21065" xr:uid="{00000000-0005-0000-0000-000040520000}"/>
    <cellStyle name="Normal 3 14 10 3 3" xfId="21066" xr:uid="{00000000-0005-0000-0000-000041520000}"/>
    <cellStyle name="Normal 3 14 10 4" xfId="21067" xr:uid="{00000000-0005-0000-0000-000042520000}"/>
    <cellStyle name="Normal 3 14 10 4 2" xfId="21068" xr:uid="{00000000-0005-0000-0000-000043520000}"/>
    <cellStyle name="Normal 3 14 10 4 3" xfId="21069" xr:uid="{00000000-0005-0000-0000-000044520000}"/>
    <cellStyle name="Normal 3 14 10 5" xfId="21070" xr:uid="{00000000-0005-0000-0000-000045520000}"/>
    <cellStyle name="Normal 3 14 10 5 2" xfId="21071" xr:uid="{00000000-0005-0000-0000-000046520000}"/>
    <cellStyle name="Normal 3 14 10 5 3" xfId="21072" xr:uid="{00000000-0005-0000-0000-000047520000}"/>
    <cellStyle name="Normal 3 14 10 6" xfId="21073" xr:uid="{00000000-0005-0000-0000-000048520000}"/>
    <cellStyle name="Normal 3 14 10 6 2" xfId="21074" xr:uid="{00000000-0005-0000-0000-000049520000}"/>
    <cellStyle name="Normal 3 14 10 6 3" xfId="21075" xr:uid="{00000000-0005-0000-0000-00004A520000}"/>
    <cellStyle name="Normal 3 14 10 7" xfId="21076" xr:uid="{00000000-0005-0000-0000-00004B520000}"/>
    <cellStyle name="Normal 3 14 10 7 2" xfId="21077" xr:uid="{00000000-0005-0000-0000-00004C520000}"/>
    <cellStyle name="Normal 3 14 10 7 3" xfId="21078" xr:uid="{00000000-0005-0000-0000-00004D520000}"/>
    <cellStyle name="Normal 3 14 10 8" xfId="21079" xr:uid="{00000000-0005-0000-0000-00004E520000}"/>
    <cellStyle name="Normal 3 14 10 8 2" xfId="21080" xr:uid="{00000000-0005-0000-0000-00004F520000}"/>
    <cellStyle name="Normal 3 14 10 8 3" xfId="21081" xr:uid="{00000000-0005-0000-0000-000050520000}"/>
    <cellStyle name="Normal 3 14 10 9" xfId="21082" xr:uid="{00000000-0005-0000-0000-000051520000}"/>
    <cellStyle name="Normal 3 14 10 9 2" xfId="21083" xr:uid="{00000000-0005-0000-0000-000052520000}"/>
    <cellStyle name="Normal 3 14 10 9 3" xfId="21084" xr:uid="{00000000-0005-0000-0000-000053520000}"/>
    <cellStyle name="Normal 3 14 11" xfId="21085" xr:uid="{00000000-0005-0000-0000-000054520000}"/>
    <cellStyle name="Normal 3 14 11 10" xfId="21086" xr:uid="{00000000-0005-0000-0000-000055520000}"/>
    <cellStyle name="Normal 3 14 11 10 2" xfId="21087" xr:uid="{00000000-0005-0000-0000-000056520000}"/>
    <cellStyle name="Normal 3 14 11 10 3" xfId="21088" xr:uid="{00000000-0005-0000-0000-000057520000}"/>
    <cellStyle name="Normal 3 14 11 11" xfId="21089" xr:uid="{00000000-0005-0000-0000-000058520000}"/>
    <cellStyle name="Normal 3 14 11 11 2" xfId="21090" xr:uid="{00000000-0005-0000-0000-000059520000}"/>
    <cellStyle name="Normal 3 14 11 11 3" xfId="21091" xr:uid="{00000000-0005-0000-0000-00005A520000}"/>
    <cellStyle name="Normal 3 14 11 12" xfId="21092" xr:uid="{00000000-0005-0000-0000-00005B520000}"/>
    <cellStyle name="Normal 3 14 11 12 2" xfId="21093" xr:uid="{00000000-0005-0000-0000-00005C520000}"/>
    <cellStyle name="Normal 3 14 11 12 3" xfId="21094" xr:uid="{00000000-0005-0000-0000-00005D520000}"/>
    <cellStyle name="Normal 3 14 11 13" xfId="21095" xr:uid="{00000000-0005-0000-0000-00005E520000}"/>
    <cellStyle name="Normal 3 14 11 13 2" xfId="21096" xr:uid="{00000000-0005-0000-0000-00005F520000}"/>
    <cellStyle name="Normal 3 14 11 13 3" xfId="21097" xr:uid="{00000000-0005-0000-0000-000060520000}"/>
    <cellStyle name="Normal 3 14 11 14" xfId="21098" xr:uid="{00000000-0005-0000-0000-000061520000}"/>
    <cellStyle name="Normal 3 14 11 14 2" xfId="21099" xr:uid="{00000000-0005-0000-0000-000062520000}"/>
    <cellStyle name="Normal 3 14 11 14 3" xfId="21100" xr:uid="{00000000-0005-0000-0000-000063520000}"/>
    <cellStyle name="Normal 3 14 11 15" xfId="21101" xr:uid="{00000000-0005-0000-0000-000064520000}"/>
    <cellStyle name="Normal 3 14 11 16" xfId="21102" xr:uid="{00000000-0005-0000-0000-000065520000}"/>
    <cellStyle name="Normal 3 14 11 2" xfId="21103" xr:uid="{00000000-0005-0000-0000-000066520000}"/>
    <cellStyle name="Normal 3 14 11 2 2" xfId="21104" xr:uid="{00000000-0005-0000-0000-000067520000}"/>
    <cellStyle name="Normal 3 14 11 2 3" xfId="21105" xr:uid="{00000000-0005-0000-0000-000068520000}"/>
    <cellStyle name="Normal 3 14 11 3" xfId="21106" xr:uid="{00000000-0005-0000-0000-000069520000}"/>
    <cellStyle name="Normal 3 14 11 3 2" xfId="21107" xr:uid="{00000000-0005-0000-0000-00006A520000}"/>
    <cellStyle name="Normal 3 14 11 3 3" xfId="21108" xr:uid="{00000000-0005-0000-0000-00006B520000}"/>
    <cellStyle name="Normal 3 14 11 4" xfId="21109" xr:uid="{00000000-0005-0000-0000-00006C520000}"/>
    <cellStyle name="Normal 3 14 11 4 2" xfId="21110" xr:uid="{00000000-0005-0000-0000-00006D520000}"/>
    <cellStyle name="Normal 3 14 11 4 3" xfId="21111" xr:uid="{00000000-0005-0000-0000-00006E520000}"/>
    <cellStyle name="Normal 3 14 11 5" xfId="21112" xr:uid="{00000000-0005-0000-0000-00006F520000}"/>
    <cellStyle name="Normal 3 14 11 5 2" xfId="21113" xr:uid="{00000000-0005-0000-0000-000070520000}"/>
    <cellStyle name="Normal 3 14 11 5 3" xfId="21114" xr:uid="{00000000-0005-0000-0000-000071520000}"/>
    <cellStyle name="Normal 3 14 11 6" xfId="21115" xr:uid="{00000000-0005-0000-0000-000072520000}"/>
    <cellStyle name="Normal 3 14 11 6 2" xfId="21116" xr:uid="{00000000-0005-0000-0000-000073520000}"/>
    <cellStyle name="Normal 3 14 11 6 3" xfId="21117" xr:uid="{00000000-0005-0000-0000-000074520000}"/>
    <cellStyle name="Normal 3 14 11 7" xfId="21118" xr:uid="{00000000-0005-0000-0000-000075520000}"/>
    <cellStyle name="Normal 3 14 11 7 2" xfId="21119" xr:uid="{00000000-0005-0000-0000-000076520000}"/>
    <cellStyle name="Normal 3 14 11 7 3" xfId="21120" xr:uid="{00000000-0005-0000-0000-000077520000}"/>
    <cellStyle name="Normal 3 14 11 8" xfId="21121" xr:uid="{00000000-0005-0000-0000-000078520000}"/>
    <cellStyle name="Normal 3 14 11 8 2" xfId="21122" xr:uid="{00000000-0005-0000-0000-000079520000}"/>
    <cellStyle name="Normal 3 14 11 8 3" xfId="21123" xr:uid="{00000000-0005-0000-0000-00007A520000}"/>
    <cellStyle name="Normal 3 14 11 9" xfId="21124" xr:uid="{00000000-0005-0000-0000-00007B520000}"/>
    <cellStyle name="Normal 3 14 11 9 2" xfId="21125" xr:uid="{00000000-0005-0000-0000-00007C520000}"/>
    <cellStyle name="Normal 3 14 11 9 3" xfId="21126" xr:uid="{00000000-0005-0000-0000-00007D520000}"/>
    <cellStyle name="Normal 3 14 12" xfId="21127" xr:uid="{00000000-0005-0000-0000-00007E520000}"/>
    <cellStyle name="Normal 3 14 12 10" xfId="21128" xr:uid="{00000000-0005-0000-0000-00007F520000}"/>
    <cellStyle name="Normal 3 14 12 10 2" xfId="21129" xr:uid="{00000000-0005-0000-0000-000080520000}"/>
    <cellStyle name="Normal 3 14 12 10 3" xfId="21130" xr:uid="{00000000-0005-0000-0000-000081520000}"/>
    <cellStyle name="Normal 3 14 12 11" xfId="21131" xr:uid="{00000000-0005-0000-0000-000082520000}"/>
    <cellStyle name="Normal 3 14 12 11 2" xfId="21132" xr:uid="{00000000-0005-0000-0000-000083520000}"/>
    <cellStyle name="Normal 3 14 12 11 3" xfId="21133" xr:uid="{00000000-0005-0000-0000-000084520000}"/>
    <cellStyle name="Normal 3 14 12 12" xfId="21134" xr:uid="{00000000-0005-0000-0000-000085520000}"/>
    <cellStyle name="Normal 3 14 12 12 2" xfId="21135" xr:uid="{00000000-0005-0000-0000-000086520000}"/>
    <cellStyle name="Normal 3 14 12 12 3" xfId="21136" xr:uid="{00000000-0005-0000-0000-000087520000}"/>
    <cellStyle name="Normal 3 14 12 13" xfId="21137" xr:uid="{00000000-0005-0000-0000-000088520000}"/>
    <cellStyle name="Normal 3 14 12 13 2" xfId="21138" xr:uid="{00000000-0005-0000-0000-000089520000}"/>
    <cellStyle name="Normal 3 14 12 13 3" xfId="21139" xr:uid="{00000000-0005-0000-0000-00008A520000}"/>
    <cellStyle name="Normal 3 14 12 14" xfId="21140" xr:uid="{00000000-0005-0000-0000-00008B520000}"/>
    <cellStyle name="Normal 3 14 12 14 2" xfId="21141" xr:uid="{00000000-0005-0000-0000-00008C520000}"/>
    <cellStyle name="Normal 3 14 12 14 3" xfId="21142" xr:uid="{00000000-0005-0000-0000-00008D520000}"/>
    <cellStyle name="Normal 3 14 12 15" xfId="21143" xr:uid="{00000000-0005-0000-0000-00008E520000}"/>
    <cellStyle name="Normal 3 14 12 16" xfId="21144" xr:uid="{00000000-0005-0000-0000-00008F520000}"/>
    <cellStyle name="Normal 3 14 12 2" xfId="21145" xr:uid="{00000000-0005-0000-0000-000090520000}"/>
    <cellStyle name="Normal 3 14 12 2 2" xfId="21146" xr:uid="{00000000-0005-0000-0000-000091520000}"/>
    <cellStyle name="Normal 3 14 12 2 3" xfId="21147" xr:uid="{00000000-0005-0000-0000-000092520000}"/>
    <cellStyle name="Normal 3 14 12 3" xfId="21148" xr:uid="{00000000-0005-0000-0000-000093520000}"/>
    <cellStyle name="Normal 3 14 12 3 2" xfId="21149" xr:uid="{00000000-0005-0000-0000-000094520000}"/>
    <cellStyle name="Normal 3 14 12 3 3" xfId="21150" xr:uid="{00000000-0005-0000-0000-000095520000}"/>
    <cellStyle name="Normal 3 14 12 4" xfId="21151" xr:uid="{00000000-0005-0000-0000-000096520000}"/>
    <cellStyle name="Normal 3 14 12 4 2" xfId="21152" xr:uid="{00000000-0005-0000-0000-000097520000}"/>
    <cellStyle name="Normal 3 14 12 4 3" xfId="21153" xr:uid="{00000000-0005-0000-0000-000098520000}"/>
    <cellStyle name="Normal 3 14 12 5" xfId="21154" xr:uid="{00000000-0005-0000-0000-000099520000}"/>
    <cellStyle name="Normal 3 14 12 5 2" xfId="21155" xr:uid="{00000000-0005-0000-0000-00009A520000}"/>
    <cellStyle name="Normal 3 14 12 5 3" xfId="21156" xr:uid="{00000000-0005-0000-0000-00009B520000}"/>
    <cellStyle name="Normal 3 14 12 6" xfId="21157" xr:uid="{00000000-0005-0000-0000-00009C520000}"/>
    <cellStyle name="Normal 3 14 12 6 2" xfId="21158" xr:uid="{00000000-0005-0000-0000-00009D520000}"/>
    <cellStyle name="Normal 3 14 12 6 3" xfId="21159" xr:uid="{00000000-0005-0000-0000-00009E520000}"/>
    <cellStyle name="Normal 3 14 12 7" xfId="21160" xr:uid="{00000000-0005-0000-0000-00009F520000}"/>
    <cellStyle name="Normal 3 14 12 7 2" xfId="21161" xr:uid="{00000000-0005-0000-0000-0000A0520000}"/>
    <cellStyle name="Normal 3 14 12 7 3" xfId="21162" xr:uid="{00000000-0005-0000-0000-0000A1520000}"/>
    <cellStyle name="Normal 3 14 12 8" xfId="21163" xr:uid="{00000000-0005-0000-0000-0000A2520000}"/>
    <cellStyle name="Normal 3 14 12 8 2" xfId="21164" xr:uid="{00000000-0005-0000-0000-0000A3520000}"/>
    <cellStyle name="Normal 3 14 12 8 3" xfId="21165" xr:uid="{00000000-0005-0000-0000-0000A4520000}"/>
    <cellStyle name="Normal 3 14 12 9" xfId="21166" xr:uid="{00000000-0005-0000-0000-0000A5520000}"/>
    <cellStyle name="Normal 3 14 12 9 2" xfId="21167" xr:uid="{00000000-0005-0000-0000-0000A6520000}"/>
    <cellStyle name="Normal 3 14 12 9 3" xfId="21168" xr:uid="{00000000-0005-0000-0000-0000A7520000}"/>
    <cellStyle name="Normal 3 14 13" xfId="21169" xr:uid="{00000000-0005-0000-0000-0000A8520000}"/>
    <cellStyle name="Normal 3 14 13 10" xfId="21170" xr:uid="{00000000-0005-0000-0000-0000A9520000}"/>
    <cellStyle name="Normal 3 14 13 10 2" xfId="21171" xr:uid="{00000000-0005-0000-0000-0000AA520000}"/>
    <cellStyle name="Normal 3 14 13 10 3" xfId="21172" xr:uid="{00000000-0005-0000-0000-0000AB520000}"/>
    <cellStyle name="Normal 3 14 13 11" xfId="21173" xr:uid="{00000000-0005-0000-0000-0000AC520000}"/>
    <cellStyle name="Normal 3 14 13 11 2" xfId="21174" xr:uid="{00000000-0005-0000-0000-0000AD520000}"/>
    <cellStyle name="Normal 3 14 13 11 3" xfId="21175" xr:uid="{00000000-0005-0000-0000-0000AE520000}"/>
    <cellStyle name="Normal 3 14 13 12" xfId="21176" xr:uid="{00000000-0005-0000-0000-0000AF520000}"/>
    <cellStyle name="Normal 3 14 13 12 2" xfId="21177" xr:uid="{00000000-0005-0000-0000-0000B0520000}"/>
    <cellStyle name="Normal 3 14 13 12 3" xfId="21178" xr:uid="{00000000-0005-0000-0000-0000B1520000}"/>
    <cellStyle name="Normal 3 14 13 13" xfId="21179" xr:uid="{00000000-0005-0000-0000-0000B2520000}"/>
    <cellStyle name="Normal 3 14 13 13 2" xfId="21180" xr:uid="{00000000-0005-0000-0000-0000B3520000}"/>
    <cellStyle name="Normal 3 14 13 13 3" xfId="21181" xr:uid="{00000000-0005-0000-0000-0000B4520000}"/>
    <cellStyle name="Normal 3 14 13 14" xfId="21182" xr:uid="{00000000-0005-0000-0000-0000B5520000}"/>
    <cellStyle name="Normal 3 14 13 14 2" xfId="21183" xr:uid="{00000000-0005-0000-0000-0000B6520000}"/>
    <cellStyle name="Normal 3 14 13 14 3" xfId="21184" xr:uid="{00000000-0005-0000-0000-0000B7520000}"/>
    <cellStyle name="Normal 3 14 13 15" xfId="21185" xr:uid="{00000000-0005-0000-0000-0000B8520000}"/>
    <cellStyle name="Normal 3 14 13 16" xfId="21186" xr:uid="{00000000-0005-0000-0000-0000B9520000}"/>
    <cellStyle name="Normal 3 14 13 2" xfId="21187" xr:uid="{00000000-0005-0000-0000-0000BA520000}"/>
    <cellStyle name="Normal 3 14 13 2 2" xfId="21188" xr:uid="{00000000-0005-0000-0000-0000BB520000}"/>
    <cellStyle name="Normal 3 14 13 2 3" xfId="21189" xr:uid="{00000000-0005-0000-0000-0000BC520000}"/>
    <cellStyle name="Normal 3 14 13 3" xfId="21190" xr:uid="{00000000-0005-0000-0000-0000BD520000}"/>
    <cellStyle name="Normal 3 14 13 3 2" xfId="21191" xr:uid="{00000000-0005-0000-0000-0000BE520000}"/>
    <cellStyle name="Normal 3 14 13 3 3" xfId="21192" xr:uid="{00000000-0005-0000-0000-0000BF520000}"/>
    <cellStyle name="Normal 3 14 13 4" xfId="21193" xr:uid="{00000000-0005-0000-0000-0000C0520000}"/>
    <cellStyle name="Normal 3 14 13 4 2" xfId="21194" xr:uid="{00000000-0005-0000-0000-0000C1520000}"/>
    <cellStyle name="Normal 3 14 13 4 3" xfId="21195" xr:uid="{00000000-0005-0000-0000-0000C2520000}"/>
    <cellStyle name="Normal 3 14 13 5" xfId="21196" xr:uid="{00000000-0005-0000-0000-0000C3520000}"/>
    <cellStyle name="Normal 3 14 13 5 2" xfId="21197" xr:uid="{00000000-0005-0000-0000-0000C4520000}"/>
    <cellStyle name="Normal 3 14 13 5 3" xfId="21198" xr:uid="{00000000-0005-0000-0000-0000C5520000}"/>
    <cellStyle name="Normal 3 14 13 6" xfId="21199" xr:uid="{00000000-0005-0000-0000-0000C6520000}"/>
    <cellStyle name="Normal 3 14 13 6 2" xfId="21200" xr:uid="{00000000-0005-0000-0000-0000C7520000}"/>
    <cellStyle name="Normal 3 14 13 6 3" xfId="21201" xr:uid="{00000000-0005-0000-0000-0000C8520000}"/>
    <cellStyle name="Normal 3 14 13 7" xfId="21202" xr:uid="{00000000-0005-0000-0000-0000C9520000}"/>
    <cellStyle name="Normal 3 14 13 7 2" xfId="21203" xr:uid="{00000000-0005-0000-0000-0000CA520000}"/>
    <cellStyle name="Normal 3 14 13 7 3" xfId="21204" xr:uid="{00000000-0005-0000-0000-0000CB520000}"/>
    <cellStyle name="Normal 3 14 13 8" xfId="21205" xr:uid="{00000000-0005-0000-0000-0000CC520000}"/>
    <cellStyle name="Normal 3 14 13 8 2" xfId="21206" xr:uid="{00000000-0005-0000-0000-0000CD520000}"/>
    <cellStyle name="Normal 3 14 13 8 3" xfId="21207" xr:uid="{00000000-0005-0000-0000-0000CE520000}"/>
    <cellStyle name="Normal 3 14 13 9" xfId="21208" xr:uid="{00000000-0005-0000-0000-0000CF520000}"/>
    <cellStyle name="Normal 3 14 13 9 2" xfId="21209" xr:uid="{00000000-0005-0000-0000-0000D0520000}"/>
    <cellStyle name="Normal 3 14 13 9 3" xfId="21210" xr:uid="{00000000-0005-0000-0000-0000D1520000}"/>
    <cellStyle name="Normal 3 14 14" xfId="21211" xr:uid="{00000000-0005-0000-0000-0000D2520000}"/>
    <cellStyle name="Normal 3 14 14 10" xfId="21212" xr:uid="{00000000-0005-0000-0000-0000D3520000}"/>
    <cellStyle name="Normal 3 14 14 10 2" xfId="21213" xr:uid="{00000000-0005-0000-0000-0000D4520000}"/>
    <cellStyle name="Normal 3 14 14 10 3" xfId="21214" xr:uid="{00000000-0005-0000-0000-0000D5520000}"/>
    <cellStyle name="Normal 3 14 14 11" xfId="21215" xr:uid="{00000000-0005-0000-0000-0000D6520000}"/>
    <cellStyle name="Normal 3 14 14 11 2" xfId="21216" xr:uid="{00000000-0005-0000-0000-0000D7520000}"/>
    <cellStyle name="Normal 3 14 14 11 3" xfId="21217" xr:uid="{00000000-0005-0000-0000-0000D8520000}"/>
    <cellStyle name="Normal 3 14 14 12" xfId="21218" xr:uid="{00000000-0005-0000-0000-0000D9520000}"/>
    <cellStyle name="Normal 3 14 14 12 2" xfId="21219" xr:uid="{00000000-0005-0000-0000-0000DA520000}"/>
    <cellStyle name="Normal 3 14 14 12 3" xfId="21220" xr:uid="{00000000-0005-0000-0000-0000DB520000}"/>
    <cellStyle name="Normal 3 14 14 13" xfId="21221" xr:uid="{00000000-0005-0000-0000-0000DC520000}"/>
    <cellStyle name="Normal 3 14 14 13 2" xfId="21222" xr:uid="{00000000-0005-0000-0000-0000DD520000}"/>
    <cellStyle name="Normal 3 14 14 13 3" xfId="21223" xr:uid="{00000000-0005-0000-0000-0000DE520000}"/>
    <cellStyle name="Normal 3 14 14 14" xfId="21224" xr:uid="{00000000-0005-0000-0000-0000DF520000}"/>
    <cellStyle name="Normal 3 14 14 14 2" xfId="21225" xr:uid="{00000000-0005-0000-0000-0000E0520000}"/>
    <cellStyle name="Normal 3 14 14 14 3" xfId="21226" xr:uid="{00000000-0005-0000-0000-0000E1520000}"/>
    <cellStyle name="Normal 3 14 14 15" xfId="21227" xr:uid="{00000000-0005-0000-0000-0000E2520000}"/>
    <cellStyle name="Normal 3 14 14 16" xfId="21228" xr:uid="{00000000-0005-0000-0000-0000E3520000}"/>
    <cellStyle name="Normal 3 14 14 2" xfId="21229" xr:uid="{00000000-0005-0000-0000-0000E4520000}"/>
    <cellStyle name="Normal 3 14 14 2 2" xfId="21230" xr:uid="{00000000-0005-0000-0000-0000E5520000}"/>
    <cellStyle name="Normal 3 14 14 2 3" xfId="21231" xr:uid="{00000000-0005-0000-0000-0000E6520000}"/>
    <cellStyle name="Normal 3 14 14 3" xfId="21232" xr:uid="{00000000-0005-0000-0000-0000E7520000}"/>
    <cellStyle name="Normal 3 14 14 3 2" xfId="21233" xr:uid="{00000000-0005-0000-0000-0000E8520000}"/>
    <cellStyle name="Normal 3 14 14 3 3" xfId="21234" xr:uid="{00000000-0005-0000-0000-0000E9520000}"/>
    <cellStyle name="Normal 3 14 14 4" xfId="21235" xr:uid="{00000000-0005-0000-0000-0000EA520000}"/>
    <cellStyle name="Normal 3 14 14 4 2" xfId="21236" xr:uid="{00000000-0005-0000-0000-0000EB520000}"/>
    <cellStyle name="Normal 3 14 14 4 3" xfId="21237" xr:uid="{00000000-0005-0000-0000-0000EC520000}"/>
    <cellStyle name="Normal 3 14 14 5" xfId="21238" xr:uid="{00000000-0005-0000-0000-0000ED520000}"/>
    <cellStyle name="Normal 3 14 14 5 2" xfId="21239" xr:uid="{00000000-0005-0000-0000-0000EE520000}"/>
    <cellStyle name="Normal 3 14 14 5 3" xfId="21240" xr:uid="{00000000-0005-0000-0000-0000EF520000}"/>
    <cellStyle name="Normal 3 14 14 6" xfId="21241" xr:uid="{00000000-0005-0000-0000-0000F0520000}"/>
    <cellStyle name="Normal 3 14 14 6 2" xfId="21242" xr:uid="{00000000-0005-0000-0000-0000F1520000}"/>
    <cellStyle name="Normal 3 14 14 6 3" xfId="21243" xr:uid="{00000000-0005-0000-0000-0000F2520000}"/>
    <cellStyle name="Normal 3 14 14 7" xfId="21244" xr:uid="{00000000-0005-0000-0000-0000F3520000}"/>
    <cellStyle name="Normal 3 14 14 7 2" xfId="21245" xr:uid="{00000000-0005-0000-0000-0000F4520000}"/>
    <cellStyle name="Normal 3 14 14 7 3" xfId="21246" xr:uid="{00000000-0005-0000-0000-0000F5520000}"/>
    <cellStyle name="Normal 3 14 14 8" xfId="21247" xr:uid="{00000000-0005-0000-0000-0000F6520000}"/>
    <cellStyle name="Normal 3 14 14 8 2" xfId="21248" xr:uid="{00000000-0005-0000-0000-0000F7520000}"/>
    <cellStyle name="Normal 3 14 14 8 3" xfId="21249" xr:uid="{00000000-0005-0000-0000-0000F8520000}"/>
    <cellStyle name="Normal 3 14 14 9" xfId="21250" xr:uid="{00000000-0005-0000-0000-0000F9520000}"/>
    <cellStyle name="Normal 3 14 14 9 2" xfId="21251" xr:uid="{00000000-0005-0000-0000-0000FA520000}"/>
    <cellStyle name="Normal 3 14 14 9 3" xfId="21252" xr:uid="{00000000-0005-0000-0000-0000FB520000}"/>
    <cellStyle name="Normal 3 14 15" xfId="21253" xr:uid="{00000000-0005-0000-0000-0000FC520000}"/>
    <cellStyle name="Normal 3 14 16" xfId="21254" xr:uid="{00000000-0005-0000-0000-0000FD520000}"/>
    <cellStyle name="Normal 3 14 17" xfId="21255" xr:uid="{00000000-0005-0000-0000-0000FE520000}"/>
    <cellStyle name="Normal 3 14 17 10" xfId="21256" xr:uid="{00000000-0005-0000-0000-0000FF520000}"/>
    <cellStyle name="Normal 3 14 17 10 2" xfId="21257" xr:uid="{00000000-0005-0000-0000-000000530000}"/>
    <cellStyle name="Normal 3 14 17 10 3" xfId="21258" xr:uid="{00000000-0005-0000-0000-000001530000}"/>
    <cellStyle name="Normal 3 14 17 11" xfId="21259" xr:uid="{00000000-0005-0000-0000-000002530000}"/>
    <cellStyle name="Normal 3 14 17 11 2" xfId="21260" xr:uid="{00000000-0005-0000-0000-000003530000}"/>
    <cellStyle name="Normal 3 14 17 11 3" xfId="21261" xr:uid="{00000000-0005-0000-0000-000004530000}"/>
    <cellStyle name="Normal 3 14 17 12" xfId="21262" xr:uid="{00000000-0005-0000-0000-000005530000}"/>
    <cellStyle name="Normal 3 14 17 12 2" xfId="21263" xr:uid="{00000000-0005-0000-0000-000006530000}"/>
    <cellStyle name="Normal 3 14 17 12 3" xfId="21264" xr:uid="{00000000-0005-0000-0000-000007530000}"/>
    <cellStyle name="Normal 3 14 17 13" xfId="21265" xr:uid="{00000000-0005-0000-0000-000008530000}"/>
    <cellStyle name="Normal 3 14 17 13 2" xfId="21266" xr:uid="{00000000-0005-0000-0000-000009530000}"/>
    <cellStyle name="Normal 3 14 17 13 3" xfId="21267" xr:uid="{00000000-0005-0000-0000-00000A530000}"/>
    <cellStyle name="Normal 3 14 17 14" xfId="21268" xr:uid="{00000000-0005-0000-0000-00000B530000}"/>
    <cellStyle name="Normal 3 14 17 14 2" xfId="21269" xr:uid="{00000000-0005-0000-0000-00000C530000}"/>
    <cellStyle name="Normal 3 14 17 14 3" xfId="21270" xr:uid="{00000000-0005-0000-0000-00000D530000}"/>
    <cellStyle name="Normal 3 14 17 15" xfId="21271" xr:uid="{00000000-0005-0000-0000-00000E530000}"/>
    <cellStyle name="Normal 3 14 17 16" xfId="21272" xr:uid="{00000000-0005-0000-0000-00000F530000}"/>
    <cellStyle name="Normal 3 14 17 2" xfId="21273" xr:uid="{00000000-0005-0000-0000-000010530000}"/>
    <cellStyle name="Normal 3 14 17 2 2" xfId="21274" xr:uid="{00000000-0005-0000-0000-000011530000}"/>
    <cellStyle name="Normal 3 14 17 2 3" xfId="21275" xr:uid="{00000000-0005-0000-0000-000012530000}"/>
    <cellStyle name="Normal 3 14 17 3" xfId="21276" xr:uid="{00000000-0005-0000-0000-000013530000}"/>
    <cellStyle name="Normal 3 14 17 3 2" xfId="21277" xr:uid="{00000000-0005-0000-0000-000014530000}"/>
    <cellStyle name="Normal 3 14 17 3 3" xfId="21278" xr:uid="{00000000-0005-0000-0000-000015530000}"/>
    <cellStyle name="Normal 3 14 17 4" xfId="21279" xr:uid="{00000000-0005-0000-0000-000016530000}"/>
    <cellStyle name="Normal 3 14 17 4 2" xfId="21280" xr:uid="{00000000-0005-0000-0000-000017530000}"/>
    <cellStyle name="Normal 3 14 17 4 3" xfId="21281" xr:uid="{00000000-0005-0000-0000-000018530000}"/>
    <cellStyle name="Normal 3 14 17 5" xfId="21282" xr:uid="{00000000-0005-0000-0000-000019530000}"/>
    <cellStyle name="Normal 3 14 17 5 2" xfId="21283" xr:uid="{00000000-0005-0000-0000-00001A530000}"/>
    <cellStyle name="Normal 3 14 17 5 3" xfId="21284" xr:uid="{00000000-0005-0000-0000-00001B530000}"/>
    <cellStyle name="Normal 3 14 17 6" xfId="21285" xr:uid="{00000000-0005-0000-0000-00001C530000}"/>
    <cellStyle name="Normal 3 14 17 6 2" xfId="21286" xr:uid="{00000000-0005-0000-0000-00001D530000}"/>
    <cellStyle name="Normal 3 14 17 6 3" xfId="21287" xr:uid="{00000000-0005-0000-0000-00001E530000}"/>
    <cellStyle name="Normal 3 14 17 7" xfId="21288" xr:uid="{00000000-0005-0000-0000-00001F530000}"/>
    <cellStyle name="Normal 3 14 17 7 2" xfId="21289" xr:uid="{00000000-0005-0000-0000-000020530000}"/>
    <cellStyle name="Normal 3 14 17 7 3" xfId="21290" xr:uid="{00000000-0005-0000-0000-000021530000}"/>
    <cellStyle name="Normal 3 14 17 8" xfId="21291" xr:uid="{00000000-0005-0000-0000-000022530000}"/>
    <cellStyle name="Normal 3 14 17 8 2" xfId="21292" xr:uid="{00000000-0005-0000-0000-000023530000}"/>
    <cellStyle name="Normal 3 14 17 8 3" xfId="21293" xr:uid="{00000000-0005-0000-0000-000024530000}"/>
    <cellStyle name="Normal 3 14 17 9" xfId="21294" xr:uid="{00000000-0005-0000-0000-000025530000}"/>
    <cellStyle name="Normal 3 14 17 9 2" xfId="21295" xr:uid="{00000000-0005-0000-0000-000026530000}"/>
    <cellStyle name="Normal 3 14 17 9 3" xfId="21296" xr:uid="{00000000-0005-0000-0000-000027530000}"/>
    <cellStyle name="Normal 3 14 18" xfId="21297" xr:uid="{00000000-0005-0000-0000-000028530000}"/>
    <cellStyle name="Normal 3 14 18 10" xfId="21298" xr:uid="{00000000-0005-0000-0000-000029530000}"/>
    <cellStyle name="Normal 3 14 18 10 2" xfId="21299" xr:uid="{00000000-0005-0000-0000-00002A530000}"/>
    <cellStyle name="Normal 3 14 18 10 3" xfId="21300" xr:uid="{00000000-0005-0000-0000-00002B530000}"/>
    <cellStyle name="Normal 3 14 18 11" xfId="21301" xr:uid="{00000000-0005-0000-0000-00002C530000}"/>
    <cellStyle name="Normal 3 14 18 11 2" xfId="21302" xr:uid="{00000000-0005-0000-0000-00002D530000}"/>
    <cellStyle name="Normal 3 14 18 11 3" xfId="21303" xr:uid="{00000000-0005-0000-0000-00002E530000}"/>
    <cellStyle name="Normal 3 14 18 12" xfId="21304" xr:uid="{00000000-0005-0000-0000-00002F530000}"/>
    <cellStyle name="Normal 3 14 18 12 2" xfId="21305" xr:uid="{00000000-0005-0000-0000-000030530000}"/>
    <cellStyle name="Normal 3 14 18 12 3" xfId="21306" xr:uid="{00000000-0005-0000-0000-000031530000}"/>
    <cellStyle name="Normal 3 14 18 13" xfId="21307" xr:uid="{00000000-0005-0000-0000-000032530000}"/>
    <cellStyle name="Normal 3 14 18 13 2" xfId="21308" xr:uid="{00000000-0005-0000-0000-000033530000}"/>
    <cellStyle name="Normal 3 14 18 13 3" xfId="21309" xr:uid="{00000000-0005-0000-0000-000034530000}"/>
    <cellStyle name="Normal 3 14 18 14" xfId="21310" xr:uid="{00000000-0005-0000-0000-000035530000}"/>
    <cellStyle name="Normal 3 14 18 14 2" xfId="21311" xr:uid="{00000000-0005-0000-0000-000036530000}"/>
    <cellStyle name="Normal 3 14 18 14 3" xfId="21312" xr:uid="{00000000-0005-0000-0000-000037530000}"/>
    <cellStyle name="Normal 3 14 18 15" xfId="21313" xr:uid="{00000000-0005-0000-0000-000038530000}"/>
    <cellStyle name="Normal 3 14 18 16" xfId="21314" xr:uid="{00000000-0005-0000-0000-000039530000}"/>
    <cellStyle name="Normal 3 14 18 2" xfId="21315" xr:uid="{00000000-0005-0000-0000-00003A530000}"/>
    <cellStyle name="Normal 3 14 18 2 2" xfId="21316" xr:uid="{00000000-0005-0000-0000-00003B530000}"/>
    <cellStyle name="Normal 3 14 18 2 3" xfId="21317" xr:uid="{00000000-0005-0000-0000-00003C530000}"/>
    <cellStyle name="Normal 3 14 18 3" xfId="21318" xr:uid="{00000000-0005-0000-0000-00003D530000}"/>
    <cellStyle name="Normal 3 14 18 3 2" xfId="21319" xr:uid="{00000000-0005-0000-0000-00003E530000}"/>
    <cellStyle name="Normal 3 14 18 3 3" xfId="21320" xr:uid="{00000000-0005-0000-0000-00003F530000}"/>
    <cellStyle name="Normal 3 14 18 4" xfId="21321" xr:uid="{00000000-0005-0000-0000-000040530000}"/>
    <cellStyle name="Normal 3 14 18 4 2" xfId="21322" xr:uid="{00000000-0005-0000-0000-000041530000}"/>
    <cellStyle name="Normal 3 14 18 4 3" xfId="21323" xr:uid="{00000000-0005-0000-0000-000042530000}"/>
    <cellStyle name="Normal 3 14 18 5" xfId="21324" xr:uid="{00000000-0005-0000-0000-000043530000}"/>
    <cellStyle name="Normal 3 14 18 5 2" xfId="21325" xr:uid="{00000000-0005-0000-0000-000044530000}"/>
    <cellStyle name="Normal 3 14 18 5 3" xfId="21326" xr:uid="{00000000-0005-0000-0000-000045530000}"/>
    <cellStyle name="Normal 3 14 18 6" xfId="21327" xr:uid="{00000000-0005-0000-0000-000046530000}"/>
    <cellStyle name="Normal 3 14 18 6 2" xfId="21328" xr:uid="{00000000-0005-0000-0000-000047530000}"/>
    <cellStyle name="Normal 3 14 18 6 3" xfId="21329" xr:uid="{00000000-0005-0000-0000-000048530000}"/>
    <cellStyle name="Normal 3 14 18 7" xfId="21330" xr:uid="{00000000-0005-0000-0000-000049530000}"/>
    <cellStyle name="Normal 3 14 18 7 2" xfId="21331" xr:uid="{00000000-0005-0000-0000-00004A530000}"/>
    <cellStyle name="Normal 3 14 18 7 3" xfId="21332" xr:uid="{00000000-0005-0000-0000-00004B530000}"/>
    <cellStyle name="Normal 3 14 18 8" xfId="21333" xr:uid="{00000000-0005-0000-0000-00004C530000}"/>
    <cellStyle name="Normal 3 14 18 8 2" xfId="21334" xr:uid="{00000000-0005-0000-0000-00004D530000}"/>
    <cellStyle name="Normal 3 14 18 8 3" xfId="21335" xr:uid="{00000000-0005-0000-0000-00004E530000}"/>
    <cellStyle name="Normal 3 14 18 9" xfId="21336" xr:uid="{00000000-0005-0000-0000-00004F530000}"/>
    <cellStyle name="Normal 3 14 18 9 2" xfId="21337" xr:uid="{00000000-0005-0000-0000-000050530000}"/>
    <cellStyle name="Normal 3 14 18 9 3" xfId="21338" xr:uid="{00000000-0005-0000-0000-000051530000}"/>
    <cellStyle name="Normal 3 14 2" xfId="21339" xr:uid="{00000000-0005-0000-0000-000052530000}"/>
    <cellStyle name="Normal 3 14 2 10" xfId="21340" xr:uid="{00000000-0005-0000-0000-000053530000}"/>
    <cellStyle name="Normal 3 14 2 10 2" xfId="21341" xr:uid="{00000000-0005-0000-0000-000054530000}"/>
    <cellStyle name="Normal 3 14 2 10 3" xfId="21342" xr:uid="{00000000-0005-0000-0000-000055530000}"/>
    <cellStyle name="Normal 3 14 2 11" xfId="21343" xr:uid="{00000000-0005-0000-0000-000056530000}"/>
    <cellStyle name="Normal 3 14 2 11 2" xfId="21344" xr:uid="{00000000-0005-0000-0000-000057530000}"/>
    <cellStyle name="Normal 3 14 2 11 3" xfId="21345" xr:uid="{00000000-0005-0000-0000-000058530000}"/>
    <cellStyle name="Normal 3 14 2 12" xfId="21346" xr:uid="{00000000-0005-0000-0000-000059530000}"/>
    <cellStyle name="Normal 3 14 2 12 2" xfId="21347" xr:uid="{00000000-0005-0000-0000-00005A530000}"/>
    <cellStyle name="Normal 3 14 2 12 3" xfId="21348" xr:uid="{00000000-0005-0000-0000-00005B530000}"/>
    <cellStyle name="Normal 3 14 2 13" xfId="21349" xr:uid="{00000000-0005-0000-0000-00005C530000}"/>
    <cellStyle name="Normal 3 14 2 13 2" xfId="21350" xr:uid="{00000000-0005-0000-0000-00005D530000}"/>
    <cellStyle name="Normal 3 14 2 13 3" xfId="21351" xr:uid="{00000000-0005-0000-0000-00005E530000}"/>
    <cellStyle name="Normal 3 14 2 14" xfId="21352" xr:uid="{00000000-0005-0000-0000-00005F530000}"/>
    <cellStyle name="Normal 3 14 2 14 2" xfId="21353" xr:uid="{00000000-0005-0000-0000-000060530000}"/>
    <cellStyle name="Normal 3 14 2 14 3" xfId="21354" xr:uid="{00000000-0005-0000-0000-000061530000}"/>
    <cellStyle name="Normal 3 14 2 15" xfId="21355" xr:uid="{00000000-0005-0000-0000-000062530000}"/>
    <cellStyle name="Normal 3 14 2 15 2" xfId="21356" xr:uid="{00000000-0005-0000-0000-000063530000}"/>
    <cellStyle name="Normal 3 14 2 15 3" xfId="21357" xr:uid="{00000000-0005-0000-0000-000064530000}"/>
    <cellStyle name="Normal 3 14 2 16" xfId="21358" xr:uid="{00000000-0005-0000-0000-000065530000}"/>
    <cellStyle name="Normal 3 14 2 16 2" xfId="21359" xr:uid="{00000000-0005-0000-0000-000066530000}"/>
    <cellStyle name="Normal 3 14 2 16 3" xfId="21360" xr:uid="{00000000-0005-0000-0000-000067530000}"/>
    <cellStyle name="Normal 3 14 2 17" xfId="21361" xr:uid="{00000000-0005-0000-0000-000068530000}"/>
    <cellStyle name="Normal 3 14 2 17 2" xfId="21362" xr:uid="{00000000-0005-0000-0000-000069530000}"/>
    <cellStyle name="Normal 3 14 2 17 3" xfId="21363" xr:uid="{00000000-0005-0000-0000-00006A530000}"/>
    <cellStyle name="Normal 3 14 2 18" xfId="21364" xr:uid="{00000000-0005-0000-0000-00006B530000}"/>
    <cellStyle name="Normal 3 14 2 19" xfId="21365" xr:uid="{00000000-0005-0000-0000-00006C530000}"/>
    <cellStyle name="Normal 3 14 2 2" xfId="21366" xr:uid="{00000000-0005-0000-0000-00006D530000}"/>
    <cellStyle name="Normal 3 14 2 3" xfId="21367" xr:uid="{00000000-0005-0000-0000-00006E530000}"/>
    <cellStyle name="Normal 3 14 2 4" xfId="21368" xr:uid="{00000000-0005-0000-0000-00006F530000}"/>
    <cellStyle name="Normal 3 14 2 5" xfId="21369" xr:uid="{00000000-0005-0000-0000-000070530000}"/>
    <cellStyle name="Normal 3 14 2 5 2" xfId="21370" xr:uid="{00000000-0005-0000-0000-000071530000}"/>
    <cellStyle name="Normal 3 14 2 5 3" xfId="21371" xr:uid="{00000000-0005-0000-0000-000072530000}"/>
    <cellStyle name="Normal 3 14 2 6" xfId="21372" xr:uid="{00000000-0005-0000-0000-000073530000}"/>
    <cellStyle name="Normal 3 14 2 6 2" xfId="21373" xr:uid="{00000000-0005-0000-0000-000074530000}"/>
    <cellStyle name="Normal 3 14 2 6 3" xfId="21374" xr:uid="{00000000-0005-0000-0000-000075530000}"/>
    <cellStyle name="Normal 3 14 2 7" xfId="21375" xr:uid="{00000000-0005-0000-0000-000076530000}"/>
    <cellStyle name="Normal 3 14 2 7 2" xfId="21376" xr:uid="{00000000-0005-0000-0000-000077530000}"/>
    <cellStyle name="Normal 3 14 2 7 3" xfId="21377" xr:uid="{00000000-0005-0000-0000-000078530000}"/>
    <cellStyle name="Normal 3 14 2 8" xfId="21378" xr:uid="{00000000-0005-0000-0000-000079530000}"/>
    <cellStyle name="Normal 3 14 2 8 2" xfId="21379" xr:uid="{00000000-0005-0000-0000-00007A530000}"/>
    <cellStyle name="Normal 3 14 2 8 3" xfId="21380" xr:uid="{00000000-0005-0000-0000-00007B530000}"/>
    <cellStyle name="Normal 3 14 2 9" xfId="21381" xr:uid="{00000000-0005-0000-0000-00007C530000}"/>
    <cellStyle name="Normal 3 14 2 9 2" xfId="21382" xr:uid="{00000000-0005-0000-0000-00007D530000}"/>
    <cellStyle name="Normal 3 14 2 9 3" xfId="21383" xr:uid="{00000000-0005-0000-0000-00007E530000}"/>
    <cellStyle name="Normal 3 14 3" xfId="21384" xr:uid="{00000000-0005-0000-0000-00007F530000}"/>
    <cellStyle name="Normal 3 14 4" xfId="21385" xr:uid="{00000000-0005-0000-0000-000080530000}"/>
    <cellStyle name="Normal 3 14 5" xfId="21386" xr:uid="{00000000-0005-0000-0000-000081530000}"/>
    <cellStyle name="Normal 3 14 6" xfId="21387" xr:uid="{00000000-0005-0000-0000-000082530000}"/>
    <cellStyle name="Normal 3 14 6 10" xfId="21388" xr:uid="{00000000-0005-0000-0000-000083530000}"/>
    <cellStyle name="Normal 3 14 6 10 2" xfId="21389" xr:uid="{00000000-0005-0000-0000-000084530000}"/>
    <cellStyle name="Normal 3 14 6 10 3" xfId="21390" xr:uid="{00000000-0005-0000-0000-000085530000}"/>
    <cellStyle name="Normal 3 14 6 11" xfId="21391" xr:uid="{00000000-0005-0000-0000-000086530000}"/>
    <cellStyle name="Normal 3 14 6 11 2" xfId="21392" xr:uid="{00000000-0005-0000-0000-000087530000}"/>
    <cellStyle name="Normal 3 14 6 11 3" xfId="21393" xr:uid="{00000000-0005-0000-0000-000088530000}"/>
    <cellStyle name="Normal 3 14 6 12" xfId="21394" xr:uid="{00000000-0005-0000-0000-000089530000}"/>
    <cellStyle name="Normal 3 14 6 12 2" xfId="21395" xr:uid="{00000000-0005-0000-0000-00008A530000}"/>
    <cellStyle name="Normal 3 14 6 12 3" xfId="21396" xr:uid="{00000000-0005-0000-0000-00008B530000}"/>
    <cellStyle name="Normal 3 14 6 13" xfId="21397" xr:uid="{00000000-0005-0000-0000-00008C530000}"/>
    <cellStyle name="Normal 3 14 6 13 2" xfId="21398" xr:uid="{00000000-0005-0000-0000-00008D530000}"/>
    <cellStyle name="Normal 3 14 6 13 3" xfId="21399" xr:uid="{00000000-0005-0000-0000-00008E530000}"/>
    <cellStyle name="Normal 3 14 6 14" xfId="21400" xr:uid="{00000000-0005-0000-0000-00008F530000}"/>
    <cellStyle name="Normal 3 14 6 14 2" xfId="21401" xr:uid="{00000000-0005-0000-0000-000090530000}"/>
    <cellStyle name="Normal 3 14 6 14 3" xfId="21402" xr:uid="{00000000-0005-0000-0000-000091530000}"/>
    <cellStyle name="Normal 3 14 6 15" xfId="21403" xr:uid="{00000000-0005-0000-0000-000092530000}"/>
    <cellStyle name="Normal 3 14 6 15 2" xfId="21404" xr:uid="{00000000-0005-0000-0000-000093530000}"/>
    <cellStyle name="Normal 3 14 6 15 3" xfId="21405" xr:uid="{00000000-0005-0000-0000-000094530000}"/>
    <cellStyle name="Normal 3 14 6 16" xfId="21406" xr:uid="{00000000-0005-0000-0000-000095530000}"/>
    <cellStyle name="Normal 3 14 6 17" xfId="21407" xr:uid="{00000000-0005-0000-0000-000096530000}"/>
    <cellStyle name="Normal 3 14 6 2" xfId="21408" xr:uid="{00000000-0005-0000-0000-000097530000}"/>
    <cellStyle name="Normal 3 14 6 2 10" xfId="21409" xr:uid="{00000000-0005-0000-0000-000098530000}"/>
    <cellStyle name="Normal 3 14 6 2 10 2" xfId="21410" xr:uid="{00000000-0005-0000-0000-000099530000}"/>
    <cellStyle name="Normal 3 14 6 2 10 3" xfId="21411" xr:uid="{00000000-0005-0000-0000-00009A530000}"/>
    <cellStyle name="Normal 3 14 6 2 11" xfId="21412" xr:uid="{00000000-0005-0000-0000-00009B530000}"/>
    <cellStyle name="Normal 3 14 6 2 11 2" xfId="21413" xr:uid="{00000000-0005-0000-0000-00009C530000}"/>
    <cellStyle name="Normal 3 14 6 2 11 3" xfId="21414" xr:uid="{00000000-0005-0000-0000-00009D530000}"/>
    <cellStyle name="Normal 3 14 6 2 12" xfId="21415" xr:uid="{00000000-0005-0000-0000-00009E530000}"/>
    <cellStyle name="Normal 3 14 6 2 12 2" xfId="21416" xr:uid="{00000000-0005-0000-0000-00009F530000}"/>
    <cellStyle name="Normal 3 14 6 2 12 3" xfId="21417" xr:uid="{00000000-0005-0000-0000-0000A0530000}"/>
    <cellStyle name="Normal 3 14 6 2 13" xfId="21418" xr:uid="{00000000-0005-0000-0000-0000A1530000}"/>
    <cellStyle name="Normal 3 14 6 2 13 2" xfId="21419" xr:uid="{00000000-0005-0000-0000-0000A2530000}"/>
    <cellStyle name="Normal 3 14 6 2 13 3" xfId="21420" xr:uid="{00000000-0005-0000-0000-0000A3530000}"/>
    <cellStyle name="Normal 3 14 6 2 14" xfId="21421" xr:uid="{00000000-0005-0000-0000-0000A4530000}"/>
    <cellStyle name="Normal 3 14 6 2 14 2" xfId="21422" xr:uid="{00000000-0005-0000-0000-0000A5530000}"/>
    <cellStyle name="Normal 3 14 6 2 14 3" xfId="21423" xr:uid="{00000000-0005-0000-0000-0000A6530000}"/>
    <cellStyle name="Normal 3 14 6 2 15" xfId="21424" xr:uid="{00000000-0005-0000-0000-0000A7530000}"/>
    <cellStyle name="Normal 3 14 6 2 16" xfId="21425" xr:uid="{00000000-0005-0000-0000-0000A8530000}"/>
    <cellStyle name="Normal 3 14 6 2 2" xfId="21426" xr:uid="{00000000-0005-0000-0000-0000A9530000}"/>
    <cellStyle name="Normal 3 14 6 2 2 2" xfId="21427" xr:uid="{00000000-0005-0000-0000-0000AA530000}"/>
    <cellStyle name="Normal 3 14 6 2 2 3" xfId="21428" xr:uid="{00000000-0005-0000-0000-0000AB530000}"/>
    <cellStyle name="Normal 3 14 6 2 3" xfId="21429" xr:uid="{00000000-0005-0000-0000-0000AC530000}"/>
    <cellStyle name="Normal 3 14 6 2 3 2" xfId="21430" xr:uid="{00000000-0005-0000-0000-0000AD530000}"/>
    <cellStyle name="Normal 3 14 6 2 3 3" xfId="21431" xr:uid="{00000000-0005-0000-0000-0000AE530000}"/>
    <cellStyle name="Normal 3 14 6 2 4" xfId="21432" xr:uid="{00000000-0005-0000-0000-0000AF530000}"/>
    <cellStyle name="Normal 3 14 6 2 4 2" xfId="21433" xr:uid="{00000000-0005-0000-0000-0000B0530000}"/>
    <cellStyle name="Normal 3 14 6 2 4 3" xfId="21434" xr:uid="{00000000-0005-0000-0000-0000B1530000}"/>
    <cellStyle name="Normal 3 14 6 2 5" xfId="21435" xr:uid="{00000000-0005-0000-0000-0000B2530000}"/>
    <cellStyle name="Normal 3 14 6 2 5 2" xfId="21436" xr:uid="{00000000-0005-0000-0000-0000B3530000}"/>
    <cellStyle name="Normal 3 14 6 2 5 3" xfId="21437" xr:uid="{00000000-0005-0000-0000-0000B4530000}"/>
    <cellStyle name="Normal 3 14 6 2 6" xfId="21438" xr:uid="{00000000-0005-0000-0000-0000B5530000}"/>
    <cellStyle name="Normal 3 14 6 2 6 2" xfId="21439" xr:uid="{00000000-0005-0000-0000-0000B6530000}"/>
    <cellStyle name="Normal 3 14 6 2 6 3" xfId="21440" xr:uid="{00000000-0005-0000-0000-0000B7530000}"/>
    <cellStyle name="Normal 3 14 6 2 7" xfId="21441" xr:uid="{00000000-0005-0000-0000-0000B8530000}"/>
    <cellStyle name="Normal 3 14 6 2 7 2" xfId="21442" xr:uid="{00000000-0005-0000-0000-0000B9530000}"/>
    <cellStyle name="Normal 3 14 6 2 7 3" xfId="21443" xr:uid="{00000000-0005-0000-0000-0000BA530000}"/>
    <cellStyle name="Normal 3 14 6 2 8" xfId="21444" xr:uid="{00000000-0005-0000-0000-0000BB530000}"/>
    <cellStyle name="Normal 3 14 6 2 8 2" xfId="21445" xr:uid="{00000000-0005-0000-0000-0000BC530000}"/>
    <cellStyle name="Normal 3 14 6 2 8 3" xfId="21446" xr:uid="{00000000-0005-0000-0000-0000BD530000}"/>
    <cellStyle name="Normal 3 14 6 2 9" xfId="21447" xr:uid="{00000000-0005-0000-0000-0000BE530000}"/>
    <cellStyle name="Normal 3 14 6 2 9 2" xfId="21448" xr:uid="{00000000-0005-0000-0000-0000BF530000}"/>
    <cellStyle name="Normal 3 14 6 2 9 3" xfId="21449" xr:uid="{00000000-0005-0000-0000-0000C0530000}"/>
    <cellStyle name="Normal 3 14 6 3" xfId="21450" xr:uid="{00000000-0005-0000-0000-0000C1530000}"/>
    <cellStyle name="Normal 3 14 6 3 2" xfId="21451" xr:uid="{00000000-0005-0000-0000-0000C2530000}"/>
    <cellStyle name="Normal 3 14 6 3 3" xfId="21452" xr:uid="{00000000-0005-0000-0000-0000C3530000}"/>
    <cellStyle name="Normal 3 14 6 4" xfId="21453" xr:uid="{00000000-0005-0000-0000-0000C4530000}"/>
    <cellStyle name="Normal 3 14 6 4 2" xfId="21454" xr:uid="{00000000-0005-0000-0000-0000C5530000}"/>
    <cellStyle name="Normal 3 14 6 4 3" xfId="21455" xr:uid="{00000000-0005-0000-0000-0000C6530000}"/>
    <cellStyle name="Normal 3 14 6 5" xfId="21456" xr:uid="{00000000-0005-0000-0000-0000C7530000}"/>
    <cellStyle name="Normal 3 14 6 5 2" xfId="21457" xr:uid="{00000000-0005-0000-0000-0000C8530000}"/>
    <cellStyle name="Normal 3 14 6 5 3" xfId="21458" xr:uid="{00000000-0005-0000-0000-0000C9530000}"/>
    <cellStyle name="Normal 3 14 6 6" xfId="21459" xr:uid="{00000000-0005-0000-0000-0000CA530000}"/>
    <cellStyle name="Normal 3 14 6 6 2" xfId="21460" xr:uid="{00000000-0005-0000-0000-0000CB530000}"/>
    <cellStyle name="Normal 3 14 6 6 3" xfId="21461" xr:uid="{00000000-0005-0000-0000-0000CC530000}"/>
    <cellStyle name="Normal 3 14 6 7" xfId="21462" xr:uid="{00000000-0005-0000-0000-0000CD530000}"/>
    <cellStyle name="Normal 3 14 6 7 2" xfId="21463" xr:uid="{00000000-0005-0000-0000-0000CE530000}"/>
    <cellStyle name="Normal 3 14 6 7 3" xfId="21464" xr:uid="{00000000-0005-0000-0000-0000CF530000}"/>
    <cellStyle name="Normal 3 14 6 8" xfId="21465" xr:uid="{00000000-0005-0000-0000-0000D0530000}"/>
    <cellStyle name="Normal 3 14 6 8 2" xfId="21466" xr:uid="{00000000-0005-0000-0000-0000D1530000}"/>
    <cellStyle name="Normal 3 14 6 8 3" xfId="21467" xr:uid="{00000000-0005-0000-0000-0000D2530000}"/>
    <cellStyle name="Normal 3 14 6 9" xfId="21468" xr:uid="{00000000-0005-0000-0000-0000D3530000}"/>
    <cellStyle name="Normal 3 14 6 9 2" xfId="21469" xr:uid="{00000000-0005-0000-0000-0000D4530000}"/>
    <cellStyle name="Normal 3 14 6 9 3" xfId="21470" xr:uid="{00000000-0005-0000-0000-0000D5530000}"/>
    <cellStyle name="Normal 3 14 7" xfId="21471" xr:uid="{00000000-0005-0000-0000-0000D6530000}"/>
    <cellStyle name="Normal 3 14 7 10" xfId="21472" xr:uid="{00000000-0005-0000-0000-0000D7530000}"/>
    <cellStyle name="Normal 3 14 7 10 2" xfId="21473" xr:uid="{00000000-0005-0000-0000-0000D8530000}"/>
    <cellStyle name="Normal 3 14 7 10 3" xfId="21474" xr:uid="{00000000-0005-0000-0000-0000D9530000}"/>
    <cellStyle name="Normal 3 14 7 11" xfId="21475" xr:uid="{00000000-0005-0000-0000-0000DA530000}"/>
    <cellStyle name="Normal 3 14 7 11 2" xfId="21476" xr:uid="{00000000-0005-0000-0000-0000DB530000}"/>
    <cellStyle name="Normal 3 14 7 11 3" xfId="21477" xr:uid="{00000000-0005-0000-0000-0000DC530000}"/>
    <cellStyle name="Normal 3 14 7 12" xfId="21478" xr:uid="{00000000-0005-0000-0000-0000DD530000}"/>
    <cellStyle name="Normal 3 14 7 12 2" xfId="21479" xr:uid="{00000000-0005-0000-0000-0000DE530000}"/>
    <cellStyle name="Normal 3 14 7 12 3" xfId="21480" xr:uid="{00000000-0005-0000-0000-0000DF530000}"/>
    <cellStyle name="Normal 3 14 7 13" xfId="21481" xr:uid="{00000000-0005-0000-0000-0000E0530000}"/>
    <cellStyle name="Normal 3 14 7 13 2" xfId="21482" xr:uid="{00000000-0005-0000-0000-0000E1530000}"/>
    <cellStyle name="Normal 3 14 7 13 3" xfId="21483" xr:uid="{00000000-0005-0000-0000-0000E2530000}"/>
    <cellStyle name="Normal 3 14 7 14" xfId="21484" xr:uid="{00000000-0005-0000-0000-0000E3530000}"/>
    <cellStyle name="Normal 3 14 7 14 2" xfId="21485" xr:uid="{00000000-0005-0000-0000-0000E4530000}"/>
    <cellStyle name="Normal 3 14 7 14 3" xfId="21486" xr:uid="{00000000-0005-0000-0000-0000E5530000}"/>
    <cellStyle name="Normal 3 14 7 15" xfId="21487" xr:uid="{00000000-0005-0000-0000-0000E6530000}"/>
    <cellStyle name="Normal 3 14 7 15 2" xfId="21488" xr:uid="{00000000-0005-0000-0000-0000E7530000}"/>
    <cellStyle name="Normal 3 14 7 15 3" xfId="21489" xr:uid="{00000000-0005-0000-0000-0000E8530000}"/>
    <cellStyle name="Normal 3 14 7 16" xfId="21490" xr:uid="{00000000-0005-0000-0000-0000E9530000}"/>
    <cellStyle name="Normal 3 14 7 17" xfId="21491" xr:uid="{00000000-0005-0000-0000-0000EA530000}"/>
    <cellStyle name="Normal 3 14 7 2" xfId="21492" xr:uid="{00000000-0005-0000-0000-0000EB530000}"/>
    <cellStyle name="Normal 3 14 7 2 10" xfId="21493" xr:uid="{00000000-0005-0000-0000-0000EC530000}"/>
    <cellStyle name="Normal 3 14 7 2 10 2" xfId="21494" xr:uid="{00000000-0005-0000-0000-0000ED530000}"/>
    <cellStyle name="Normal 3 14 7 2 10 3" xfId="21495" xr:uid="{00000000-0005-0000-0000-0000EE530000}"/>
    <cellStyle name="Normal 3 14 7 2 11" xfId="21496" xr:uid="{00000000-0005-0000-0000-0000EF530000}"/>
    <cellStyle name="Normal 3 14 7 2 11 2" xfId="21497" xr:uid="{00000000-0005-0000-0000-0000F0530000}"/>
    <cellStyle name="Normal 3 14 7 2 11 3" xfId="21498" xr:uid="{00000000-0005-0000-0000-0000F1530000}"/>
    <cellStyle name="Normal 3 14 7 2 12" xfId="21499" xr:uid="{00000000-0005-0000-0000-0000F2530000}"/>
    <cellStyle name="Normal 3 14 7 2 12 2" xfId="21500" xr:uid="{00000000-0005-0000-0000-0000F3530000}"/>
    <cellStyle name="Normal 3 14 7 2 12 3" xfId="21501" xr:uid="{00000000-0005-0000-0000-0000F4530000}"/>
    <cellStyle name="Normal 3 14 7 2 13" xfId="21502" xr:uid="{00000000-0005-0000-0000-0000F5530000}"/>
    <cellStyle name="Normal 3 14 7 2 13 2" xfId="21503" xr:uid="{00000000-0005-0000-0000-0000F6530000}"/>
    <cellStyle name="Normal 3 14 7 2 13 3" xfId="21504" xr:uid="{00000000-0005-0000-0000-0000F7530000}"/>
    <cellStyle name="Normal 3 14 7 2 14" xfId="21505" xr:uid="{00000000-0005-0000-0000-0000F8530000}"/>
    <cellStyle name="Normal 3 14 7 2 14 2" xfId="21506" xr:uid="{00000000-0005-0000-0000-0000F9530000}"/>
    <cellStyle name="Normal 3 14 7 2 14 3" xfId="21507" xr:uid="{00000000-0005-0000-0000-0000FA530000}"/>
    <cellStyle name="Normal 3 14 7 2 15" xfId="21508" xr:uid="{00000000-0005-0000-0000-0000FB530000}"/>
    <cellStyle name="Normal 3 14 7 2 16" xfId="21509" xr:uid="{00000000-0005-0000-0000-0000FC530000}"/>
    <cellStyle name="Normal 3 14 7 2 2" xfId="21510" xr:uid="{00000000-0005-0000-0000-0000FD530000}"/>
    <cellStyle name="Normal 3 14 7 2 2 2" xfId="21511" xr:uid="{00000000-0005-0000-0000-0000FE530000}"/>
    <cellStyle name="Normal 3 14 7 2 2 3" xfId="21512" xr:uid="{00000000-0005-0000-0000-0000FF530000}"/>
    <cellStyle name="Normal 3 14 7 2 3" xfId="21513" xr:uid="{00000000-0005-0000-0000-000000540000}"/>
    <cellStyle name="Normal 3 14 7 2 3 2" xfId="21514" xr:uid="{00000000-0005-0000-0000-000001540000}"/>
    <cellStyle name="Normal 3 14 7 2 3 3" xfId="21515" xr:uid="{00000000-0005-0000-0000-000002540000}"/>
    <cellStyle name="Normal 3 14 7 2 4" xfId="21516" xr:uid="{00000000-0005-0000-0000-000003540000}"/>
    <cellStyle name="Normal 3 14 7 2 4 2" xfId="21517" xr:uid="{00000000-0005-0000-0000-000004540000}"/>
    <cellStyle name="Normal 3 14 7 2 4 3" xfId="21518" xr:uid="{00000000-0005-0000-0000-000005540000}"/>
    <cellStyle name="Normal 3 14 7 2 5" xfId="21519" xr:uid="{00000000-0005-0000-0000-000006540000}"/>
    <cellStyle name="Normal 3 14 7 2 5 2" xfId="21520" xr:uid="{00000000-0005-0000-0000-000007540000}"/>
    <cellStyle name="Normal 3 14 7 2 5 3" xfId="21521" xr:uid="{00000000-0005-0000-0000-000008540000}"/>
    <cellStyle name="Normal 3 14 7 2 6" xfId="21522" xr:uid="{00000000-0005-0000-0000-000009540000}"/>
    <cellStyle name="Normal 3 14 7 2 6 2" xfId="21523" xr:uid="{00000000-0005-0000-0000-00000A540000}"/>
    <cellStyle name="Normal 3 14 7 2 6 3" xfId="21524" xr:uid="{00000000-0005-0000-0000-00000B540000}"/>
    <cellStyle name="Normal 3 14 7 2 7" xfId="21525" xr:uid="{00000000-0005-0000-0000-00000C540000}"/>
    <cellStyle name="Normal 3 14 7 2 7 2" xfId="21526" xr:uid="{00000000-0005-0000-0000-00000D540000}"/>
    <cellStyle name="Normal 3 14 7 2 7 3" xfId="21527" xr:uid="{00000000-0005-0000-0000-00000E540000}"/>
    <cellStyle name="Normal 3 14 7 2 8" xfId="21528" xr:uid="{00000000-0005-0000-0000-00000F540000}"/>
    <cellStyle name="Normal 3 14 7 2 8 2" xfId="21529" xr:uid="{00000000-0005-0000-0000-000010540000}"/>
    <cellStyle name="Normal 3 14 7 2 8 3" xfId="21530" xr:uid="{00000000-0005-0000-0000-000011540000}"/>
    <cellStyle name="Normal 3 14 7 2 9" xfId="21531" xr:uid="{00000000-0005-0000-0000-000012540000}"/>
    <cellStyle name="Normal 3 14 7 2 9 2" xfId="21532" xr:uid="{00000000-0005-0000-0000-000013540000}"/>
    <cellStyle name="Normal 3 14 7 2 9 3" xfId="21533" xr:uid="{00000000-0005-0000-0000-000014540000}"/>
    <cellStyle name="Normal 3 14 7 3" xfId="21534" xr:uid="{00000000-0005-0000-0000-000015540000}"/>
    <cellStyle name="Normal 3 14 7 3 2" xfId="21535" xr:uid="{00000000-0005-0000-0000-000016540000}"/>
    <cellStyle name="Normal 3 14 7 3 3" xfId="21536" xr:uid="{00000000-0005-0000-0000-000017540000}"/>
    <cellStyle name="Normal 3 14 7 4" xfId="21537" xr:uid="{00000000-0005-0000-0000-000018540000}"/>
    <cellStyle name="Normal 3 14 7 4 2" xfId="21538" xr:uid="{00000000-0005-0000-0000-000019540000}"/>
    <cellStyle name="Normal 3 14 7 4 3" xfId="21539" xr:uid="{00000000-0005-0000-0000-00001A540000}"/>
    <cellStyle name="Normal 3 14 7 5" xfId="21540" xr:uid="{00000000-0005-0000-0000-00001B540000}"/>
    <cellStyle name="Normal 3 14 7 5 2" xfId="21541" xr:uid="{00000000-0005-0000-0000-00001C540000}"/>
    <cellStyle name="Normal 3 14 7 5 3" xfId="21542" xr:uid="{00000000-0005-0000-0000-00001D540000}"/>
    <cellStyle name="Normal 3 14 7 6" xfId="21543" xr:uid="{00000000-0005-0000-0000-00001E540000}"/>
    <cellStyle name="Normal 3 14 7 6 2" xfId="21544" xr:uid="{00000000-0005-0000-0000-00001F540000}"/>
    <cellStyle name="Normal 3 14 7 6 3" xfId="21545" xr:uid="{00000000-0005-0000-0000-000020540000}"/>
    <cellStyle name="Normal 3 14 7 7" xfId="21546" xr:uid="{00000000-0005-0000-0000-000021540000}"/>
    <cellStyle name="Normal 3 14 7 7 2" xfId="21547" xr:uid="{00000000-0005-0000-0000-000022540000}"/>
    <cellStyle name="Normal 3 14 7 7 3" xfId="21548" xr:uid="{00000000-0005-0000-0000-000023540000}"/>
    <cellStyle name="Normal 3 14 7 8" xfId="21549" xr:uid="{00000000-0005-0000-0000-000024540000}"/>
    <cellStyle name="Normal 3 14 7 8 2" xfId="21550" xr:uid="{00000000-0005-0000-0000-000025540000}"/>
    <cellStyle name="Normal 3 14 7 8 3" xfId="21551" xr:uid="{00000000-0005-0000-0000-000026540000}"/>
    <cellStyle name="Normal 3 14 7 9" xfId="21552" xr:uid="{00000000-0005-0000-0000-000027540000}"/>
    <cellStyle name="Normal 3 14 7 9 2" xfId="21553" xr:uid="{00000000-0005-0000-0000-000028540000}"/>
    <cellStyle name="Normal 3 14 7 9 3" xfId="21554" xr:uid="{00000000-0005-0000-0000-000029540000}"/>
    <cellStyle name="Normal 3 14 8" xfId="21555" xr:uid="{00000000-0005-0000-0000-00002A540000}"/>
    <cellStyle name="Normal 3 14 8 10" xfId="21556" xr:uid="{00000000-0005-0000-0000-00002B540000}"/>
    <cellStyle name="Normal 3 14 8 10 2" xfId="21557" xr:uid="{00000000-0005-0000-0000-00002C540000}"/>
    <cellStyle name="Normal 3 14 8 10 3" xfId="21558" xr:uid="{00000000-0005-0000-0000-00002D540000}"/>
    <cellStyle name="Normal 3 14 8 11" xfId="21559" xr:uid="{00000000-0005-0000-0000-00002E540000}"/>
    <cellStyle name="Normal 3 14 8 11 2" xfId="21560" xr:uid="{00000000-0005-0000-0000-00002F540000}"/>
    <cellStyle name="Normal 3 14 8 11 3" xfId="21561" xr:uid="{00000000-0005-0000-0000-000030540000}"/>
    <cellStyle name="Normal 3 14 8 12" xfId="21562" xr:uid="{00000000-0005-0000-0000-000031540000}"/>
    <cellStyle name="Normal 3 14 8 12 2" xfId="21563" xr:uid="{00000000-0005-0000-0000-000032540000}"/>
    <cellStyle name="Normal 3 14 8 12 3" xfId="21564" xr:uid="{00000000-0005-0000-0000-000033540000}"/>
    <cellStyle name="Normal 3 14 8 13" xfId="21565" xr:uid="{00000000-0005-0000-0000-000034540000}"/>
    <cellStyle name="Normal 3 14 8 13 2" xfId="21566" xr:uid="{00000000-0005-0000-0000-000035540000}"/>
    <cellStyle name="Normal 3 14 8 13 3" xfId="21567" xr:uid="{00000000-0005-0000-0000-000036540000}"/>
    <cellStyle name="Normal 3 14 8 14" xfId="21568" xr:uid="{00000000-0005-0000-0000-000037540000}"/>
    <cellStyle name="Normal 3 14 8 14 2" xfId="21569" xr:uid="{00000000-0005-0000-0000-000038540000}"/>
    <cellStyle name="Normal 3 14 8 14 3" xfId="21570" xr:uid="{00000000-0005-0000-0000-000039540000}"/>
    <cellStyle name="Normal 3 14 8 15" xfId="21571" xr:uid="{00000000-0005-0000-0000-00003A540000}"/>
    <cellStyle name="Normal 3 14 8 15 2" xfId="21572" xr:uid="{00000000-0005-0000-0000-00003B540000}"/>
    <cellStyle name="Normal 3 14 8 15 3" xfId="21573" xr:uid="{00000000-0005-0000-0000-00003C540000}"/>
    <cellStyle name="Normal 3 14 8 16" xfId="21574" xr:uid="{00000000-0005-0000-0000-00003D540000}"/>
    <cellStyle name="Normal 3 14 8 17" xfId="21575" xr:uid="{00000000-0005-0000-0000-00003E540000}"/>
    <cellStyle name="Normal 3 14 8 2" xfId="21576" xr:uid="{00000000-0005-0000-0000-00003F540000}"/>
    <cellStyle name="Normal 3 14 8 2 10" xfId="21577" xr:uid="{00000000-0005-0000-0000-000040540000}"/>
    <cellStyle name="Normal 3 14 8 2 10 2" xfId="21578" xr:uid="{00000000-0005-0000-0000-000041540000}"/>
    <cellStyle name="Normal 3 14 8 2 10 3" xfId="21579" xr:uid="{00000000-0005-0000-0000-000042540000}"/>
    <cellStyle name="Normal 3 14 8 2 11" xfId="21580" xr:uid="{00000000-0005-0000-0000-000043540000}"/>
    <cellStyle name="Normal 3 14 8 2 11 2" xfId="21581" xr:uid="{00000000-0005-0000-0000-000044540000}"/>
    <cellStyle name="Normal 3 14 8 2 11 3" xfId="21582" xr:uid="{00000000-0005-0000-0000-000045540000}"/>
    <cellStyle name="Normal 3 14 8 2 12" xfId="21583" xr:uid="{00000000-0005-0000-0000-000046540000}"/>
    <cellStyle name="Normal 3 14 8 2 12 2" xfId="21584" xr:uid="{00000000-0005-0000-0000-000047540000}"/>
    <cellStyle name="Normal 3 14 8 2 12 3" xfId="21585" xr:uid="{00000000-0005-0000-0000-000048540000}"/>
    <cellStyle name="Normal 3 14 8 2 13" xfId="21586" xr:uid="{00000000-0005-0000-0000-000049540000}"/>
    <cellStyle name="Normal 3 14 8 2 13 2" xfId="21587" xr:uid="{00000000-0005-0000-0000-00004A540000}"/>
    <cellStyle name="Normal 3 14 8 2 13 3" xfId="21588" xr:uid="{00000000-0005-0000-0000-00004B540000}"/>
    <cellStyle name="Normal 3 14 8 2 14" xfId="21589" xr:uid="{00000000-0005-0000-0000-00004C540000}"/>
    <cellStyle name="Normal 3 14 8 2 14 2" xfId="21590" xr:uid="{00000000-0005-0000-0000-00004D540000}"/>
    <cellStyle name="Normal 3 14 8 2 14 3" xfId="21591" xr:uid="{00000000-0005-0000-0000-00004E540000}"/>
    <cellStyle name="Normal 3 14 8 2 15" xfId="21592" xr:uid="{00000000-0005-0000-0000-00004F540000}"/>
    <cellStyle name="Normal 3 14 8 2 16" xfId="21593" xr:uid="{00000000-0005-0000-0000-000050540000}"/>
    <cellStyle name="Normal 3 14 8 2 2" xfId="21594" xr:uid="{00000000-0005-0000-0000-000051540000}"/>
    <cellStyle name="Normal 3 14 8 2 2 2" xfId="21595" xr:uid="{00000000-0005-0000-0000-000052540000}"/>
    <cellStyle name="Normal 3 14 8 2 2 3" xfId="21596" xr:uid="{00000000-0005-0000-0000-000053540000}"/>
    <cellStyle name="Normal 3 14 8 2 3" xfId="21597" xr:uid="{00000000-0005-0000-0000-000054540000}"/>
    <cellStyle name="Normal 3 14 8 2 3 2" xfId="21598" xr:uid="{00000000-0005-0000-0000-000055540000}"/>
    <cellStyle name="Normal 3 14 8 2 3 3" xfId="21599" xr:uid="{00000000-0005-0000-0000-000056540000}"/>
    <cellStyle name="Normal 3 14 8 2 4" xfId="21600" xr:uid="{00000000-0005-0000-0000-000057540000}"/>
    <cellStyle name="Normal 3 14 8 2 4 2" xfId="21601" xr:uid="{00000000-0005-0000-0000-000058540000}"/>
    <cellStyle name="Normal 3 14 8 2 4 3" xfId="21602" xr:uid="{00000000-0005-0000-0000-000059540000}"/>
    <cellStyle name="Normal 3 14 8 2 5" xfId="21603" xr:uid="{00000000-0005-0000-0000-00005A540000}"/>
    <cellStyle name="Normal 3 14 8 2 5 2" xfId="21604" xr:uid="{00000000-0005-0000-0000-00005B540000}"/>
    <cellStyle name="Normal 3 14 8 2 5 3" xfId="21605" xr:uid="{00000000-0005-0000-0000-00005C540000}"/>
    <cellStyle name="Normal 3 14 8 2 6" xfId="21606" xr:uid="{00000000-0005-0000-0000-00005D540000}"/>
    <cellStyle name="Normal 3 14 8 2 6 2" xfId="21607" xr:uid="{00000000-0005-0000-0000-00005E540000}"/>
    <cellStyle name="Normal 3 14 8 2 6 3" xfId="21608" xr:uid="{00000000-0005-0000-0000-00005F540000}"/>
    <cellStyle name="Normal 3 14 8 2 7" xfId="21609" xr:uid="{00000000-0005-0000-0000-000060540000}"/>
    <cellStyle name="Normal 3 14 8 2 7 2" xfId="21610" xr:uid="{00000000-0005-0000-0000-000061540000}"/>
    <cellStyle name="Normal 3 14 8 2 7 3" xfId="21611" xr:uid="{00000000-0005-0000-0000-000062540000}"/>
    <cellStyle name="Normal 3 14 8 2 8" xfId="21612" xr:uid="{00000000-0005-0000-0000-000063540000}"/>
    <cellStyle name="Normal 3 14 8 2 8 2" xfId="21613" xr:uid="{00000000-0005-0000-0000-000064540000}"/>
    <cellStyle name="Normal 3 14 8 2 8 3" xfId="21614" xr:uid="{00000000-0005-0000-0000-000065540000}"/>
    <cellStyle name="Normal 3 14 8 2 9" xfId="21615" xr:uid="{00000000-0005-0000-0000-000066540000}"/>
    <cellStyle name="Normal 3 14 8 2 9 2" xfId="21616" xr:uid="{00000000-0005-0000-0000-000067540000}"/>
    <cellStyle name="Normal 3 14 8 2 9 3" xfId="21617" xr:uid="{00000000-0005-0000-0000-000068540000}"/>
    <cellStyle name="Normal 3 14 8 3" xfId="21618" xr:uid="{00000000-0005-0000-0000-000069540000}"/>
    <cellStyle name="Normal 3 14 8 3 2" xfId="21619" xr:uid="{00000000-0005-0000-0000-00006A540000}"/>
    <cellStyle name="Normal 3 14 8 3 3" xfId="21620" xr:uid="{00000000-0005-0000-0000-00006B540000}"/>
    <cellStyle name="Normal 3 14 8 4" xfId="21621" xr:uid="{00000000-0005-0000-0000-00006C540000}"/>
    <cellStyle name="Normal 3 14 8 4 2" xfId="21622" xr:uid="{00000000-0005-0000-0000-00006D540000}"/>
    <cellStyle name="Normal 3 14 8 4 3" xfId="21623" xr:uid="{00000000-0005-0000-0000-00006E540000}"/>
    <cellStyle name="Normal 3 14 8 5" xfId="21624" xr:uid="{00000000-0005-0000-0000-00006F540000}"/>
    <cellStyle name="Normal 3 14 8 5 2" xfId="21625" xr:uid="{00000000-0005-0000-0000-000070540000}"/>
    <cellStyle name="Normal 3 14 8 5 3" xfId="21626" xr:uid="{00000000-0005-0000-0000-000071540000}"/>
    <cellStyle name="Normal 3 14 8 6" xfId="21627" xr:uid="{00000000-0005-0000-0000-000072540000}"/>
    <cellStyle name="Normal 3 14 8 6 2" xfId="21628" xr:uid="{00000000-0005-0000-0000-000073540000}"/>
    <cellStyle name="Normal 3 14 8 6 3" xfId="21629" xr:uid="{00000000-0005-0000-0000-000074540000}"/>
    <cellStyle name="Normal 3 14 8 7" xfId="21630" xr:uid="{00000000-0005-0000-0000-000075540000}"/>
    <cellStyle name="Normal 3 14 8 7 2" xfId="21631" xr:uid="{00000000-0005-0000-0000-000076540000}"/>
    <cellStyle name="Normal 3 14 8 7 3" xfId="21632" xr:uid="{00000000-0005-0000-0000-000077540000}"/>
    <cellStyle name="Normal 3 14 8 8" xfId="21633" xr:uid="{00000000-0005-0000-0000-000078540000}"/>
    <cellStyle name="Normal 3 14 8 8 2" xfId="21634" xr:uid="{00000000-0005-0000-0000-000079540000}"/>
    <cellStyle name="Normal 3 14 8 8 3" xfId="21635" xr:uid="{00000000-0005-0000-0000-00007A540000}"/>
    <cellStyle name="Normal 3 14 8 9" xfId="21636" xr:uid="{00000000-0005-0000-0000-00007B540000}"/>
    <cellStyle name="Normal 3 14 8 9 2" xfId="21637" xr:uid="{00000000-0005-0000-0000-00007C540000}"/>
    <cellStyle name="Normal 3 14 8 9 3" xfId="21638" xr:uid="{00000000-0005-0000-0000-00007D540000}"/>
    <cellStyle name="Normal 3 14 9" xfId="21639" xr:uid="{00000000-0005-0000-0000-00007E540000}"/>
    <cellStyle name="Normal 3 14 9 10" xfId="21640" xr:uid="{00000000-0005-0000-0000-00007F540000}"/>
    <cellStyle name="Normal 3 14 9 10 2" xfId="21641" xr:uid="{00000000-0005-0000-0000-000080540000}"/>
    <cellStyle name="Normal 3 14 9 10 3" xfId="21642" xr:uid="{00000000-0005-0000-0000-000081540000}"/>
    <cellStyle name="Normal 3 14 9 11" xfId="21643" xr:uid="{00000000-0005-0000-0000-000082540000}"/>
    <cellStyle name="Normal 3 14 9 11 2" xfId="21644" xr:uid="{00000000-0005-0000-0000-000083540000}"/>
    <cellStyle name="Normal 3 14 9 11 3" xfId="21645" xr:uid="{00000000-0005-0000-0000-000084540000}"/>
    <cellStyle name="Normal 3 14 9 12" xfId="21646" xr:uid="{00000000-0005-0000-0000-000085540000}"/>
    <cellStyle name="Normal 3 14 9 12 2" xfId="21647" xr:uid="{00000000-0005-0000-0000-000086540000}"/>
    <cellStyle name="Normal 3 14 9 12 3" xfId="21648" xr:uid="{00000000-0005-0000-0000-000087540000}"/>
    <cellStyle name="Normal 3 14 9 13" xfId="21649" xr:uid="{00000000-0005-0000-0000-000088540000}"/>
    <cellStyle name="Normal 3 14 9 13 2" xfId="21650" xr:uid="{00000000-0005-0000-0000-000089540000}"/>
    <cellStyle name="Normal 3 14 9 13 3" xfId="21651" xr:uid="{00000000-0005-0000-0000-00008A540000}"/>
    <cellStyle name="Normal 3 14 9 14" xfId="21652" xr:uid="{00000000-0005-0000-0000-00008B540000}"/>
    <cellStyle name="Normal 3 14 9 14 2" xfId="21653" xr:uid="{00000000-0005-0000-0000-00008C540000}"/>
    <cellStyle name="Normal 3 14 9 14 3" xfId="21654" xr:uid="{00000000-0005-0000-0000-00008D540000}"/>
    <cellStyle name="Normal 3 14 9 15" xfId="21655" xr:uid="{00000000-0005-0000-0000-00008E540000}"/>
    <cellStyle name="Normal 3 14 9 16" xfId="21656" xr:uid="{00000000-0005-0000-0000-00008F540000}"/>
    <cellStyle name="Normal 3 14 9 2" xfId="21657" xr:uid="{00000000-0005-0000-0000-000090540000}"/>
    <cellStyle name="Normal 3 14 9 2 2" xfId="21658" xr:uid="{00000000-0005-0000-0000-000091540000}"/>
    <cellStyle name="Normal 3 14 9 2 3" xfId="21659" xr:uid="{00000000-0005-0000-0000-000092540000}"/>
    <cellStyle name="Normal 3 14 9 3" xfId="21660" xr:uid="{00000000-0005-0000-0000-000093540000}"/>
    <cellStyle name="Normal 3 14 9 3 2" xfId="21661" xr:uid="{00000000-0005-0000-0000-000094540000}"/>
    <cellStyle name="Normal 3 14 9 3 3" xfId="21662" xr:uid="{00000000-0005-0000-0000-000095540000}"/>
    <cellStyle name="Normal 3 14 9 4" xfId="21663" xr:uid="{00000000-0005-0000-0000-000096540000}"/>
    <cellStyle name="Normal 3 14 9 4 2" xfId="21664" xr:uid="{00000000-0005-0000-0000-000097540000}"/>
    <cellStyle name="Normal 3 14 9 4 3" xfId="21665" xr:uid="{00000000-0005-0000-0000-000098540000}"/>
    <cellStyle name="Normal 3 14 9 5" xfId="21666" xr:uid="{00000000-0005-0000-0000-000099540000}"/>
    <cellStyle name="Normal 3 14 9 5 2" xfId="21667" xr:uid="{00000000-0005-0000-0000-00009A540000}"/>
    <cellStyle name="Normal 3 14 9 5 3" xfId="21668" xr:uid="{00000000-0005-0000-0000-00009B540000}"/>
    <cellStyle name="Normal 3 14 9 6" xfId="21669" xr:uid="{00000000-0005-0000-0000-00009C540000}"/>
    <cellStyle name="Normal 3 14 9 6 2" xfId="21670" xr:uid="{00000000-0005-0000-0000-00009D540000}"/>
    <cellStyle name="Normal 3 14 9 6 3" xfId="21671" xr:uid="{00000000-0005-0000-0000-00009E540000}"/>
    <cellStyle name="Normal 3 14 9 7" xfId="21672" xr:uid="{00000000-0005-0000-0000-00009F540000}"/>
    <cellStyle name="Normal 3 14 9 7 2" xfId="21673" xr:uid="{00000000-0005-0000-0000-0000A0540000}"/>
    <cellStyle name="Normal 3 14 9 7 3" xfId="21674" xr:uid="{00000000-0005-0000-0000-0000A1540000}"/>
    <cellStyle name="Normal 3 14 9 8" xfId="21675" xr:uid="{00000000-0005-0000-0000-0000A2540000}"/>
    <cellStyle name="Normal 3 14 9 8 2" xfId="21676" xr:uid="{00000000-0005-0000-0000-0000A3540000}"/>
    <cellStyle name="Normal 3 14 9 8 3" xfId="21677" xr:uid="{00000000-0005-0000-0000-0000A4540000}"/>
    <cellStyle name="Normal 3 14 9 9" xfId="21678" xr:uid="{00000000-0005-0000-0000-0000A5540000}"/>
    <cellStyle name="Normal 3 14 9 9 2" xfId="21679" xr:uid="{00000000-0005-0000-0000-0000A6540000}"/>
    <cellStyle name="Normal 3 14 9 9 3" xfId="21680" xr:uid="{00000000-0005-0000-0000-0000A7540000}"/>
    <cellStyle name="Normal 3 15" xfId="21681" xr:uid="{00000000-0005-0000-0000-0000A8540000}"/>
    <cellStyle name="Normal 3 15 10" xfId="21682" xr:uid="{00000000-0005-0000-0000-0000A9540000}"/>
    <cellStyle name="Normal 3 15 10 10" xfId="21683" xr:uid="{00000000-0005-0000-0000-0000AA540000}"/>
    <cellStyle name="Normal 3 15 10 10 2" xfId="21684" xr:uid="{00000000-0005-0000-0000-0000AB540000}"/>
    <cellStyle name="Normal 3 15 10 10 3" xfId="21685" xr:uid="{00000000-0005-0000-0000-0000AC540000}"/>
    <cellStyle name="Normal 3 15 10 11" xfId="21686" xr:uid="{00000000-0005-0000-0000-0000AD540000}"/>
    <cellStyle name="Normal 3 15 10 11 2" xfId="21687" xr:uid="{00000000-0005-0000-0000-0000AE540000}"/>
    <cellStyle name="Normal 3 15 10 11 3" xfId="21688" xr:uid="{00000000-0005-0000-0000-0000AF540000}"/>
    <cellStyle name="Normal 3 15 10 12" xfId="21689" xr:uid="{00000000-0005-0000-0000-0000B0540000}"/>
    <cellStyle name="Normal 3 15 10 12 2" xfId="21690" xr:uid="{00000000-0005-0000-0000-0000B1540000}"/>
    <cellStyle name="Normal 3 15 10 12 3" xfId="21691" xr:uid="{00000000-0005-0000-0000-0000B2540000}"/>
    <cellStyle name="Normal 3 15 10 13" xfId="21692" xr:uid="{00000000-0005-0000-0000-0000B3540000}"/>
    <cellStyle name="Normal 3 15 10 13 2" xfId="21693" xr:uid="{00000000-0005-0000-0000-0000B4540000}"/>
    <cellStyle name="Normal 3 15 10 13 3" xfId="21694" xr:uid="{00000000-0005-0000-0000-0000B5540000}"/>
    <cellStyle name="Normal 3 15 10 14" xfId="21695" xr:uid="{00000000-0005-0000-0000-0000B6540000}"/>
    <cellStyle name="Normal 3 15 10 14 2" xfId="21696" xr:uid="{00000000-0005-0000-0000-0000B7540000}"/>
    <cellStyle name="Normal 3 15 10 14 3" xfId="21697" xr:uid="{00000000-0005-0000-0000-0000B8540000}"/>
    <cellStyle name="Normal 3 15 10 15" xfId="21698" xr:uid="{00000000-0005-0000-0000-0000B9540000}"/>
    <cellStyle name="Normal 3 15 10 16" xfId="21699" xr:uid="{00000000-0005-0000-0000-0000BA540000}"/>
    <cellStyle name="Normal 3 15 10 2" xfId="21700" xr:uid="{00000000-0005-0000-0000-0000BB540000}"/>
    <cellStyle name="Normal 3 15 10 2 2" xfId="21701" xr:uid="{00000000-0005-0000-0000-0000BC540000}"/>
    <cellStyle name="Normal 3 15 10 2 3" xfId="21702" xr:uid="{00000000-0005-0000-0000-0000BD540000}"/>
    <cellStyle name="Normal 3 15 10 3" xfId="21703" xr:uid="{00000000-0005-0000-0000-0000BE540000}"/>
    <cellStyle name="Normal 3 15 10 3 2" xfId="21704" xr:uid="{00000000-0005-0000-0000-0000BF540000}"/>
    <cellStyle name="Normal 3 15 10 3 3" xfId="21705" xr:uid="{00000000-0005-0000-0000-0000C0540000}"/>
    <cellStyle name="Normal 3 15 10 4" xfId="21706" xr:uid="{00000000-0005-0000-0000-0000C1540000}"/>
    <cellStyle name="Normal 3 15 10 4 2" xfId="21707" xr:uid="{00000000-0005-0000-0000-0000C2540000}"/>
    <cellStyle name="Normal 3 15 10 4 3" xfId="21708" xr:uid="{00000000-0005-0000-0000-0000C3540000}"/>
    <cellStyle name="Normal 3 15 10 5" xfId="21709" xr:uid="{00000000-0005-0000-0000-0000C4540000}"/>
    <cellStyle name="Normal 3 15 10 5 2" xfId="21710" xr:uid="{00000000-0005-0000-0000-0000C5540000}"/>
    <cellStyle name="Normal 3 15 10 5 3" xfId="21711" xr:uid="{00000000-0005-0000-0000-0000C6540000}"/>
    <cellStyle name="Normal 3 15 10 6" xfId="21712" xr:uid="{00000000-0005-0000-0000-0000C7540000}"/>
    <cellStyle name="Normal 3 15 10 6 2" xfId="21713" xr:uid="{00000000-0005-0000-0000-0000C8540000}"/>
    <cellStyle name="Normal 3 15 10 6 3" xfId="21714" xr:uid="{00000000-0005-0000-0000-0000C9540000}"/>
    <cellStyle name="Normal 3 15 10 7" xfId="21715" xr:uid="{00000000-0005-0000-0000-0000CA540000}"/>
    <cellStyle name="Normal 3 15 10 7 2" xfId="21716" xr:uid="{00000000-0005-0000-0000-0000CB540000}"/>
    <cellStyle name="Normal 3 15 10 7 3" xfId="21717" xr:uid="{00000000-0005-0000-0000-0000CC540000}"/>
    <cellStyle name="Normal 3 15 10 8" xfId="21718" xr:uid="{00000000-0005-0000-0000-0000CD540000}"/>
    <cellStyle name="Normal 3 15 10 8 2" xfId="21719" xr:uid="{00000000-0005-0000-0000-0000CE540000}"/>
    <cellStyle name="Normal 3 15 10 8 3" xfId="21720" xr:uid="{00000000-0005-0000-0000-0000CF540000}"/>
    <cellStyle name="Normal 3 15 10 9" xfId="21721" xr:uid="{00000000-0005-0000-0000-0000D0540000}"/>
    <cellStyle name="Normal 3 15 10 9 2" xfId="21722" xr:uid="{00000000-0005-0000-0000-0000D1540000}"/>
    <cellStyle name="Normal 3 15 10 9 3" xfId="21723" xr:uid="{00000000-0005-0000-0000-0000D2540000}"/>
    <cellStyle name="Normal 3 15 11" xfId="21724" xr:uid="{00000000-0005-0000-0000-0000D3540000}"/>
    <cellStyle name="Normal 3 15 11 10" xfId="21725" xr:uid="{00000000-0005-0000-0000-0000D4540000}"/>
    <cellStyle name="Normal 3 15 11 10 2" xfId="21726" xr:uid="{00000000-0005-0000-0000-0000D5540000}"/>
    <cellStyle name="Normal 3 15 11 10 3" xfId="21727" xr:uid="{00000000-0005-0000-0000-0000D6540000}"/>
    <cellStyle name="Normal 3 15 11 11" xfId="21728" xr:uid="{00000000-0005-0000-0000-0000D7540000}"/>
    <cellStyle name="Normal 3 15 11 11 2" xfId="21729" xr:uid="{00000000-0005-0000-0000-0000D8540000}"/>
    <cellStyle name="Normal 3 15 11 11 3" xfId="21730" xr:uid="{00000000-0005-0000-0000-0000D9540000}"/>
    <cellStyle name="Normal 3 15 11 12" xfId="21731" xr:uid="{00000000-0005-0000-0000-0000DA540000}"/>
    <cellStyle name="Normal 3 15 11 12 2" xfId="21732" xr:uid="{00000000-0005-0000-0000-0000DB540000}"/>
    <cellStyle name="Normal 3 15 11 12 3" xfId="21733" xr:uid="{00000000-0005-0000-0000-0000DC540000}"/>
    <cellStyle name="Normal 3 15 11 13" xfId="21734" xr:uid="{00000000-0005-0000-0000-0000DD540000}"/>
    <cellStyle name="Normal 3 15 11 13 2" xfId="21735" xr:uid="{00000000-0005-0000-0000-0000DE540000}"/>
    <cellStyle name="Normal 3 15 11 13 3" xfId="21736" xr:uid="{00000000-0005-0000-0000-0000DF540000}"/>
    <cellStyle name="Normal 3 15 11 14" xfId="21737" xr:uid="{00000000-0005-0000-0000-0000E0540000}"/>
    <cellStyle name="Normal 3 15 11 14 2" xfId="21738" xr:uid="{00000000-0005-0000-0000-0000E1540000}"/>
    <cellStyle name="Normal 3 15 11 14 3" xfId="21739" xr:uid="{00000000-0005-0000-0000-0000E2540000}"/>
    <cellStyle name="Normal 3 15 11 15" xfId="21740" xr:uid="{00000000-0005-0000-0000-0000E3540000}"/>
    <cellStyle name="Normal 3 15 11 16" xfId="21741" xr:uid="{00000000-0005-0000-0000-0000E4540000}"/>
    <cellStyle name="Normal 3 15 11 2" xfId="21742" xr:uid="{00000000-0005-0000-0000-0000E5540000}"/>
    <cellStyle name="Normal 3 15 11 2 2" xfId="21743" xr:uid="{00000000-0005-0000-0000-0000E6540000}"/>
    <cellStyle name="Normal 3 15 11 2 3" xfId="21744" xr:uid="{00000000-0005-0000-0000-0000E7540000}"/>
    <cellStyle name="Normal 3 15 11 3" xfId="21745" xr:uid="{00000000-0005-0000-0000-0000E8540000}"/>
    <cellStyle name="Normal 3 15 11 3 2" xfId="21746" xr:uid="{00000000-0005-0000-0000-0000E9540000}"/>
    <cellStyle name="Normal 3 15 11 3 3" xfId="21747" xr:uid="{00000000-0005-0000-0000-0000EA540000}"/>
    <cellStyle name="Normal 3 15 11 4" xfId="21748" xr:uid="{00000000-0005-0000-0000-0000EB540000}"/>
    <cellStyle name="Normal 3 15 11 4 2" xfId="21749" xr:uid="{00000000-0005-0000-0000-0000EC540000}"/>
    <cellStyle name="Normal 3 15 11 4 3" xfId="21750" xr:uid="{00000000-0005-0000-0000-0000ED540000}"/>
    <cellStyle name="Normal 3 15 11 5" xfId="21751" xr:uid="{00000000-0005-0000-0000-0000EE540000}"/>
    <cellStyle name="Normal 3 15 11 5 2" xfId="21752" xr:uid="{00000000-0005-0000-0000-0000EF540000}"/>
    <cellStyle name="Normal 3 15 11 5 3" xfId="21753" xr:uid="{00000000-0005-0000-0000-0000F0540000}"/>
    <cellStyle name="Normal 3 15 11 6" xfId="21754" xr:uid="{00000000-0005-0000-0000-0000F1540000}"/>
    <cellStyle name="Normal 3 15 11 6 2" xfId="21755" xr:uid="{00000000-0005-0000-0000-0000F2540000}"/>
    <cellStyle name="Normal 3 15 11 6 3" xfId="21756" xr:uid="{00000000-0005-0000-0000-0000F3540000}"/>
    <cellStyle name="Normal 3 15 11 7" xfId="21757" xr:uid="{00000000-0005-0000-0000-0000F4540000}"/>
    <cellStyle name="Normal 3 15 11 7 2" xfId="21758" xr:uid="{00000000-0005-0000-0000-0000F5540000}"/>
    <cellStyle name="Normal 3 15 11 7 3" xfId="21759" xr:uid="{00000000-0005-0000-0000-0000F6540000}"/>
    <cellStyle name="Normal 3 15 11 8" xfId="21760" xr:uid="{00000000-0005-0000-0000-0000F7540000}"/>
    <cellStyle name="Normal 3 15 11 8 2" xfId="21761" xr:uid="{00000000-0005-0000-0000-0000F8540000}"/>
    <cellStyle name="Normal 3 15 11 8 3" xfId="21762" xr:uid="{00000000-0005-0000-0000-0000F9540000}"/>
    <cellStyle name="Normal 3 15 11 9" xfId="21763" xr:uid="{00000000-0005-0000-0000-0000FA540000}"/>
    <cellStyle name="Normal 3 15 11 9 2" xfId="21764" xr:uid="{00000000-0005-0000-0000-0000FB540000}"/>
    <cellStyle name="Normal 3 15 11 9 3" xfId="21765" xr:uid="{00000000-0005-0000-0000-0000FC540000}"/>
    <cellStyle name="Normal 3 15 12" xfId="21766" xr:uid="{00000000-0005-0000-0000-0000FD540000}"/>
    <cellStyle name="Normal 3 15 12 10" xfId="21767" xr:uid="{00000000-0005-0000-0000-0000FE540000}"/>
    <cellStyle name="Normal 3 15 12 10 2" xfId="21768" xr:uid="{00000000-0005-0000-0000-0000FF540000}"/>
    <cellStyle name="Normal 3 15 12 10 3" xfId="21769" xr:uid="{00000000-0005-0000-0000-000000550000}"/>
    <cellStyle name="Normal 3 15 12 11" xfId="21770" xr:uid="{00000000-0005-0000-0000-000001550000}"/>
    <cellStyle name="Normal 3 15 12 11 2" xfId="21771" xr:uid="{00000000-0005-0000-0000-000002550000}"/>
    <cellStyle name="Normal 3 15 12 11 3" xfId="21772" xr:uid="{00000000-0005-0000-0000-000003550000}"/>
    <cellStyle name="Normal 3 15 12 12" xfId="21773" xr:uid="{00000000-0005-0000-0000-000004550000}"/>
    <cellStyle name="Normal 3 15 12 12 2" xfId="21774" xr:uid="{00000000-0005-0000-0000-000005550000}"/>
    <cellStyle name="Normal 3 15 12 12 3" xfId="21775" xr:uid="{00000000-0005-0000-0000-000006550000}"/>
    <cellStyle name="Normal 3 15 12 13" xfId="21776" xr:uid="{00000000-0005-0000-0000-000007550000}"/>
    <cellStyle name="Normal 3 15 12 13 2" xfId="21777" xr:uid="{00000000-0005-0000-0000-000008550000}"/>
    <cellStyle name="Normal 3 15 12 13 3" xfId="21778" xr:uid="{00000000-0005-0000-0000-000009550000}"/>
    <cellStyle name="Normal 3 15 12 14" xfId="21779" xr:uid="{00000000-0005-0000-0000-00000A550000}"/>
    <cellStyle name="Normal 3 15 12 14 2" xfId="21780" xr:uid="{00000000-0005-0000-0000-00000B550000}"/>
    <cellStyle name="Normal 3 15 12 14 3" xfId="21781" xr:uid="{00000000-0005-0000-0000-00000C550000}"/>
    <cellStyle name="Normal 3 15 12 15" xfId="21782" xr:uid="{00000000-0005-0000-0000-00000D550000}"/>
    <cellStyle name="Normal 3 15 12 16" xfId="21783" xr:uid="{00000000-0005-0000-0000-00000E550000}"/>
    <cellStyle name="Normal 3 15 12 2" xfId="21784" xr:uid="{00000000-0005-0000-0000-00000F550000}"/>
    <cellStyle name="Normal 3 15 12 2 2" xfId="21785" xr:uid="{00000000-0005-0000-0000-000010550000}"/>
    <cellStyle name="Normal 3 15 12 2 3" xfId="21786" xr:uid="{00000000-0005-0000-0000-000011550000}"/>
    <cellStyle name="Normal 3 15 12 3" xfId="21787" xr:uid="{00000000-0005-0000-0000-000012550000}"/>
    <cellStyle name="Normal 3 15 12 3 2" xfId="21788" xr:uid="{00000000-0005-0000-0000-000013550000}"/>
    <cellStyle name="Normal 3 15 12 3 3" xfId="21789" xr:uid="{00000000-0005-0000-0000-000014550000}"/>
    <cellStyle name="Normal 3 15 12 4" xfId="21790" xr:uid="{00000000-0005-0000-0000-000015550000}"/>
    <cellStyle name="Normal 3 15 12 4 2" xfId="21791" xr:uid="{00000000-0005-0000-0000-000016550000}"/>
    <cellStyle name="Normal 3 15 12 4 3" xfId="21792" xr:uid="{00000000-0005-0000-0000-000017550000}"/>
    <cellStyle name="Normal 3 15 12 5" xfId="21793" xr:uid="{00000000-0005-0000-0000-000018550000}"/>
    <cellStyle name="Normal 3 15 12 5 2" xfId="21794" xr:uid="{00000000-0005-0000-0000-000019550000}"/>
    <cellStyle name="Normal 3 15 12 5 3" xfId="21795" xr:uid="{00000000-0005-0000-0000-00001A550000}"/>
    <cellStyle name="Normal 3 15 12 6" xfId="21796" xr:uid="{00000000-0005-0000-0000-00001B550000}"/>
    <cellStyle name="Normal 3 15 12 6 2" xfId="21797" xr:uid="{00000000-0005-0000-0000-00001C550000}"/>
    <cellStyle name="Normal 3 15 12 6 3" xfId="21798" xr:uid="{00000000-0005-0000-0000-00001D550000}"/>
    <cellStyle name="Normal 3 15 12 7" xfId="21799" xr:uid="{00000000-0005-0000-0000-00001E550000}"/>
    <cellStyle name="Normal 3 15 12 7 2" xfId="21800" xr:uid="{00000000-0005-0000-0000-00001F550000}"/>
    <cellStyle name="Normal 3 15 12 7 3" xfId="21801" xr:uid="{00000000-0005-0000-0000-000020550000}"/>
    <cellStyle name="Normal 3 15 12 8" xfId="21802" xr:uid="{00000000-0005-0000-0000-000021550000}"/>
    <cellStyle name="Normal 3 15 12 8 2" xfId="21803" xr:uid="{00000000-0005-0000-0000-000022550000}"/>
    <cellStyle name="Normal 3 15 12 8 3" xfId="21804" xr:uid="{00000000-0005-0000-0000-000023550000}"/>
    <cellStyle name="Normal 3 15 12 9" xfId="21805" xr:uid="{00000000-0005-0000-0000-000024550000}"/>
    <cellStyle name="Normal 3 15 12 9 2" xfId="21806" xr:uid="{00000000-0005-0000-0000-000025550000}"/>
    <cellStyle name="Normal 3 15 12 9 3" xfId="21807" xr:uid="{00000000-0005-0000-0000-000026550000}"/>
    <cellStyle name="Normal 3 15 13" xfId="21808" xr:uid="{00000000-0005-0000-0000-000027550000}"/>
    <cellStyle name="Normal 3 15 13 10" xfId="21809" xr:uid="{00000000-0005-0000-0000-000028550000}"/>
    <cellStyle name="Normal 3 15 13 10 2" xfId="21810" xr:uid="{00000000-0005-0000-0000-000029550000}"/>
    <cellStyle name="Normal 3 15 13 10 3" xfId="21811" xr:uid="{00000000-0005-0000-0000-00002A550000}"/>
    <cellStyle name="Normal 3 15 13 11" xfId="21812" xr:uid="{00000000-0005-0000-0000-00002B550000}"/>
    <cellStyle name="Normal 3 15 13 11 2" xfId="21813" xr:uid="{00000000-0005-0000-0000-00002C550000}"/>
    <cellStyle name="Normal 3 15 13 11 3" xfId="21814" xr:uid="{00000000-0005-0000-0000-00002D550000}"/>
    <cellStyle name="Normal 3 15 13 12" xfId="21815" xr:uid="{00000000-0005-0000-0000-00002E550000}"/>
    <cellStyle name="Normal 3 15 13 12 2" xfId="21816" xr:uid="{00000000-0005-0000-0000-00002F550000}"/>
    <cellStyle name="Normal 3 15 13 12 3" xfId="21817" xr:uid="{00000000-0005-0000-0000-000030550000}"/>
    <cellStyle name="Normal 3 15 13 13" xfId="21818" xr:uid="{00000000-0005-0000-0000-000031550000}"/>
    <cellStyle name="Normal 3 15 13 13 2" xfId="21819" xr:uid="{00000000-0005-0000-0000-000032550000}"/>
    <cellStyle name="Normal 3 15 13 13 3" xfId="21820" xr:uid="{00000000-0005-0000-0000-000033550000}"/>
    <cellStyle name="Normal 3 15 13 14" xfId="21821" xr:uid="{00000000-0005-0000-0000-000034550000}"/>
    <cellStyle name="Normal 3 15 13 14 2" xfId="21822" xr:uid="{00000000-0005-0000-0000-000035550000}"/>
    <cellStyle name="Normal 3 15 13 14 3" xfId="21823" xr:uid="{00000000-0005-0000-0000-000036550000}"/>
    <cellStyle name="Normal 3 15 13 15" xfId="21824" xr:uid="{00000000-0005-0000-0000-000037550000}"/>
    <cellStyle name="Normal 3 15 13 16" xfId="21825" xr:uid="{00000000-0005-0000-0000-000038550000}"/>
    <cellStyle name="Normal 3 15 13 2" xfId="21826" xr:uid="{00000000-0005-0000-0000-000039550000}"/>
    <cellStyle name="Normal 3 15 13 2 2" xfId="21827" xr:uid="{00000000-0005-0000-0000-00003A550000}"/>
    <cellStyle name="Normal 3 15 13 2 3" xfId="21828" xr:uid="{00000000-0005-0000-0000-00003B550000}"/>
    <cellStyle name="Normal 3 15 13 3" xfId="21829" xr:uid="{00000000-0005-0000-0000-00003C550000}"/>
    <cellStyle name="Normal 3 15 13 3 2" xfId="21830" xr:uid="{00000000-0005-0000-0000-00003D550000}"/>
    <cellStyle name="Normal 3 15 13 3 3" xfId="21831" xr:uid="{00000000-0005-0000-0000-00003E550000}"/>
    <cellStyle name="Normal 3 15 13 4" xfId="21832" xr:uid="{00000000-0005-0000-0000-00003F550000}"/>
    <cellStyle name="Normal 3 15 13 4 2" xfId="21833" xr:uid="{00000000-0005-0000-0000-000040550000}"/>
    <cellStyle name="Normal 3 15 13 4 3" xfId="21834" xr:uid="{00000000-0005-0000-0000-000041550000}"/>
    <cellStyle name="Normal 3 15 13 5" xfId="21835" xr:uid="{00000000-0005-0000-0000-000042550000}"/>
    <cellStyle name="Normal 3 15 13 5 2" xfId="21836" xr:uid="{00000000-0005-0000-0000-000043550000}"/>
    <cellStyle name="Normal 3 15 13 5 3" xfId="21837" xr:uid="{00000000-0005-0000-0000-000044550000}"/>
    <cellStyle name="Normal 3 15 13 6" xfId="21838" xr:uid="{00000000-0005-0000-0000-000045550000}"/>
    <cellStyle name="Normal 3 15 13 6 2" xfId="21839" xr:uid="{00000000-0005-0000-0000-000046550000}"/>
    <cellStyle name="Normal 3 15 13 6 3" xfId="21840" xr:uid="{00000000-0005-0000-0000-000047550000}"/>
    <cellStyle name="Normal 3 15 13 7" xfId="21841" xr:uid="{00000000-0005-0000-0000-000048550000}"/>
    <cellStyle name="Normal 3 15 13 7 2" xfId="21842" xr:uid="{00000000-0005-0000-0000-000049550000}"/>
    <cellStyle name="Normal 3 15 13 7 3" xfId="21843" xr:uid="{00000000-0005-0000-0000-00004A550000}"/>
    <cellStyle name="Normal 3 15 13 8" xfId="21844" xr:uid="{00000000-0005-0000-0000-00004B550000}"/>
    <cellStyle name="Normal 3 15 13 8 2" xfId="21845" xr:uid="{00000000-0005-0000-0000-00004C550000}"/>
    <cellStyle name="Normal 3 15 13 8 3" xfId="21846" xr:uid="{00000000-0005-0000-0000-00004D550000}"/>
    <cellStyle name="Normal 3 15 13 9" xfId="21847" xr:uid="{00000000-0005-0000-0000-00004E550000}"/>
    <cellStyle name="Normal 3 15 13 9 2" xfId="21848" xr:uid="{00000000-0005-0000-0000-00004F550000}"/>
    <cellStyle name="Normal 3 15 13 9 3" xfId="21849" xr:uid="{00000000-0005-0000-0000-000050550000}"/>
    <cellStyle name="Normal 3 15 14" xfId="21850" xr:uid="{00000000-0005-0000-0000-000051550000}"/>
    <cellStyle name="Normal 3 15 14 10" xfId="21851" xr:uid="{00000000-0005-0000-0000-000052550000}"/>
    <cellStyle name="Normal 3 15 14 10 2" xfId="21852" xr:uid="{00000000-0005-0000-0000-000053550000}"/>
    <cellStyle name="Normal 3 15 14 10 3" xfId="21853" xr:uid="{00000000-0005-0000-0000-000054550000}"/>
    <cellStyle name="Normal 3 15 14 11" xfId="21854" xr:uid="{00000000-0005-0000-0000-000055550000}"/>
    <cellStyle name="Normal 3 15 14 11 2" xfId="21855" xr:uid="{00000000-0005-0000-0000-000056550000}"/>
    <cellStyle name="Normal 3 15 14 11 3" xfId="21856" xr:uid="{00000000-0005-0000-0000-000057550000}"/>
    <cellStyle name="Normal 3 15 14 12" xfId="21857" xr:uid="{00000000-0005-0000-0000-000058550000}"/>
    <cellStyle name="Normal 3 15 14 12 2" xfId="21858" xr:uid="{00000000-0005-0000-0000-000059550000}"/>
    <cellStyle name="Normal 3 15 14 12 3" xfId="21859" xr:uid="{00000000-0005-0000-0000-00005A550000}"/>
    <cellStyle name="Normal 3 15 14 13" xfId="21860" xr:uid="{00000000-0005-0000-0000-00005B550000}"/>
    <cellStyle name="Normal 3 15 14 13 2" xfId="21861" xr:uid="{00000000-0005-0000-0000-00005C550000}"/>
    <cellStyle name="Normal 3 15 14 13 3" xfId="21862" xr:uid="{00000000-0005-0000-0000-00005D550000}"/>
    <cellStyle name="Normal 3 15 14 14" xfId="21863" xr:uid="{00000000-0005-0000-0000-00005E550000}"/>
    <cellStyle name="Normal 3 15 14 14 2" xfId="21864" xr:uid="{00000000-0005-0000-0000-00005F550000}"/>
    <cellStyle name="Normal 3 15 14 14 3" xfId="21865" xr:uid="{00000000-0005-0000-0000-000060550000}"/>
    <cellStyle name="Normal 3 15 14 15" xfId="21866" xr:uid="{00000000-0005-0000-0000-000061550000}"/>
    <cellStyle name="Normal 3 15 14 16" xfId="21867" xr:uid="{00000000-0005-0000-0000-000062550000}"/>
    <cellStyle name="Normal 3 15 14 2" xfId="21868" xr:uid="{00000000-0005-0000-0000-000063550000}"/>
    <cellStyle name="Normal 3 15 14 2 2" xfId="21869" xr:uid="{00000000-0005-0000-0000-000064550000}"/>
    <cellStyle name="Normal 3 15 14 2 3" xfId="21870" xr:uid="{00000000-0005-0000-0000-000065550000}"/>
    <cellStyle name="Normal 3 15 14 3" xfId="21871" xr:uid="{00000000-0005-0000-0000-000066550000}"/>
    <cellStyle name="Normal 3 15 14 3 2" xfId="21872" xr:uid="{00000000-0005-0000-0000-000067550000}"/>
    <cellStyle name="Normal 3 15 14 3 3" xfId="21873" xr:uid="{00000000-0005-0000-0000-000068550000}"/>
    <cellStyle name="Normal 3 15 14 4" xfId="21874" xr:uid="{00000000-0005-0000-0000-000069550000}"/>
    <cellStyle name="Normal 3 15 14 4 2" xfId="21875" xr:uid="{00000000-0005-0000-0000-00006A550000}"/>
    <cellStyle name="Normal 3 15 14 4 3" xfId="21876" xr:uid="{00000000-0005-0000-0000-00006B550000}"/>
    <cellStyle name="Normal 3 15 14 5" xfId="21877" xr:uid="{00000000-0005-0000-0000-00006C550000}"/>
    <cellStyle name="Normal 3 15 14 5 2" xfId="21878" xr:uid="{00000000-0005-0000-0000-00006D550000}"/>
    <cellStyle name="Normal 3 15 14 5 3" xfId="21879" xr:uid="{00000000-0005-0000-0000-00006E550000}"/>
    <cellStyle name="Normal 3 15 14 6" xfId="21880" xr:uid="{00000000-0005-0000-0000-00006F550000}"/>
    <cellStyle name="Normal 3 15 14 6 2" xfId="21881" xr:uid="{00000000-0005-0000-0000-000070550000}"/>
    <cellStyle name="Normal 3 15 14 6 3" xfId="21882" xr:uid="{00000000-0005-0000-0000-000071550000}"/>
    <cellStyle name="Normal 3 15 14 7" xfId="21883" xr:uid="{00000000-0005-0000-0000-000072550000}"/>
    <cellStyle name="Normal 3 15 14 7 2" xfId="21884" xr:uid="{00000000-0005-0000-0000-000073550000}"/>
    <cellStyle name="Normal 3 15 14 7 3" xfId="21885" xr:uid="{00000000-0005-0000-0000-000074550000}"/>
    <cellStyle name="Normal 3 15 14 8" xfId="21886" xr:uid="{00000000-0005-0000-0000-000075550000}"/>
    <cellStyle name="Normal 3 15 14 8 2" xfId="21887" xr:uid="{00000000-0005-0000-0000-000076550000}"/>
    <cellStyle name="Normal 3 15 14 8 3" xfId="21888" xr:uid="{00000000-0005-0000-0000-000077550000}"/>
    <cellStyle name="Normal 3 15 14 9" xfId="21889" xr:uid="{00000000-0005-0000-0000-000078550000}"/>
    <cellStyle name="Normal 3 15 14 9 2" xfId="21890" xr:uid="{00000000-0005-0000-0000-000079550000}"/>
    <cellStyle name="Normal 3 15 14 9 3" xfId="21891" xr:uid="{00000000-0005-0000-0000-00007A550000}"/>
    <cellStyle name="Normal 3 15 15" xfId="21892" xr:uid="{00000000-0005-0000-0000-00007B550000}"/>
    <cellStyle name="Normal 3 15 16" xfId="21893" xr:uid="{00000000-0005-0000-0000-00007C550000}"/>
    <cellStyle name="Normal 3 15 17" xfId="21894" xr:uid="{00000000-0005-0000-0000-00007D550000}"/>
    <cellStyle name="Normal 3 15 17 10" xfId="21895" xr:uid="{00000000-0005-0000-0000-00007E550000}"/>
    <cellStyle name="Normal 3 15 17 10 2" xfId="21896" xr:uid="{00000000-0005-0000-0000-00007F550000}"/>
    <cellStyle name="Normal 3 15 17 10 3" xfId="21897" xr:uid="{00000000-0005-0000-0000-000080550000}"/>
    <cellStyle name="Normal 3 15 17 11" xfId="21898" xr:uid="{00000000-0005-0000-0000-000081550000}"/>
    <cellStyle name="Normal 3 15 17 11 2" xfId="21899" xr:uid="{00000000-0005-0000-0000-000082550000}"/>
    <cellStyle name="Normal 3 15 17 11 3" xfId="21900" xr:uid="{00000000-0005-0000-0000-000083550000}"/>
    <cellStyle name="Normal 3 15 17 12" xfId="21901" xr:uid="{00000000-0005-0000-0000-000084550000}"/>
    <cellStyle name="Normal 3 15 17 12 2" xfId="21902" xr:uid="{00000000-0005-0000-0000-000085550000}"/>
    <cellStyle name="Normal 3 15 17 12 3" xfId="21903" xr:uid="{00000000-0005-0000-0000-000086550000}"/>
    <cellStyle name="Normal 3 15 17 13" xfId="21904" xr:uid="{00000000-0005-0000-0000-000087550000}"/>
    <cellStyle name="Normal 3 15 17 13 2" xfId="21905" xr:uid="{00000000-0005-0000-0000-000088550000}"/>
    <cellStyle name="Normal 3 15 17 13 3" xfId="21906" xr:uid="{00000000-0005-0000-0000-000089550000}"/>
    <cellStyle name="Normal 3 15 17 14" xfId="21907" xr:uid="{00000000-0005-0000-0000-00008A550000}"/>
    <cellStyle name="Normal 3 15 17 14 2" xfId="21908" xr:uid="{00000000-0005-0000-0000-00008B550000}"/>
    <cellStyle name="Normal 3 15 17 14 3" xfId="21909" xr:uid="{00000000-0005-0000-0000-00008C550000}"/>
    <cellStyle name="Normal 3 15 17 15" xfId="21910" xr:uid="{00000000-0005-0000-0000-00008D550000}"/>
    <cellStyle name="Normal 3 15 17 16" xfId="21911" xr:uid="{00000000-0005-0000-0000-00008E550000}"/>
    <cellStyle name="Normal 3 15 17 2" xfId="21912" xr:uid="{00000000-0005-0000-0000-00008F550000}"/>
    <cellStyle name="Normal 3 15 17 2 2" xfId="21913" xr:uid="{00000000-0005-0000-0000-000090550000}"/>
    <cellStyle name="Normal 3 15 17 2 3" xfId="21914" xr:uid="{00000000-0005-0000-0000-000091550000}"/>
    <cellStyle name="Normal 3 15 17 3" xfId="21915" xr:uid="{00000000-0005-0000-0000-000092550000}"/>
    <cellStyle name="Normal 3 15 17 3 2" xfId="21916" xr:uid="{00000000-0005-0000-0000-000093550000}"/>
    <cellStyle name="Normal 3 15 17 3 3" xfId="21917" xr:uid="{00000000-0005-0000-0000-000094550000}"/>
    <cellStyle name="Normal 3 15 17 4" xfId="21918" xr:uid="{00000000-0005-0000-0000-000095550000}"/>
    <cellStyle name="Normal 3 15 17 4 2" xfId="21919" xr:uid="{00000000-0005-0000-0000-000096550000}"/>
    <cellStyle name="Normal 3 15 17 4 3" xfId="21920" xr:uid="{00000000-0005-0000-0000-000097550000}"/>
    <cellStyle name="Normal 3 15 17 5" xfId="21921" xr:uid="{00000000-0005-0000-0000-000098550000}"/>
    <cellStyle name="Normal 3 15 17 5 2" xfId="21922" xr:uid="{00000000-0005-0000-0000-000099550000}"/>
    <cellStyle name="Normal 3 15 17 5 3" xfId="21923" xr:uid="{00000000-0005-0000-0000-00009A550000}"/>
    <cellStyle name="Normal 3 15 17 6" xfId="21924" xr:uid="{00000000-0005-0000-0000-00009B550000}"/>
    <cellStyle name="Normal 3 15 17 6 2" xfId="21925" xr:uid="{00000000-0005-0000-0000-00009C550000}"/>
    <cellStyle name="Normal 3 15 17 6 3" xfId="21926" xr:uid="{00000000-0005-0000-0000-00009D550000}"/>
    <cellStyle name="Normal 3 15 17 7" xfId="21927" xr:uid="{00000000-0005-0000-0000-00009E550000}"/>
    <cellStyle name="Normal 3 15 17 7 2" xfId="21928" xr:uid="{00000000-0005-0000-0000-00009F550000}"/>
    <cellStyle name="Normal 3 15 17 7 3" xfId="21929" xr:uid="{00000000-0005-0000-0000-0000A0550000}"/>
    <cellStyle name="Normal 3 15 17 8" xfId="21930" xr:uid="{00000000-0005-0000-0000-0000A1550000}"/>
    <cellStyle name="Normal 3 15 17 8 2" xfId="21931" xr:uid="{00000000-0005-0000-0000-0000A2550000}"/>
    <cellStyle name="Normal 3 15 17 8 3" xfId="21932" xr:uid="{00000000-0005-0000-0000-0000A3550000}"/>
    <cellStyle name="Normal 3 15 17 9" xfId="21933" xr:uid="{00000000-0005-0000-0000-0000A4550000}"/>
    <cellStyle name="Normal 3 15 17 9 2" xfId="21934" xr:uid="{00000000-0005-0000-0000-0000A5550000}"/>
    <cellStyle name="Normal 3 15 17 9 3" xfId="21935" xr:uid="{00000000-0005-0000-0000-0000A6550000}"/>
    <cellStyle name="Normal 3 15 18" xfId="21936" xr:uid="{00000000-0005-0000-0000-0000A7550000}"/>
    <cellStyle name="Normal 3 15 18 10" xfId="21937" xr:uid="{00000000-0005-0000-0000-0000A8550000}"/>
    <cellStyle name="Normal 3 15 18 10 2" xfId="21938" xr:uid="{00000000-0005-0000-0000-0000A9550000}"/>
    <cellStyle name="Normal 3 15 18 10 3" xfId="21939" xr:uid="{00000000-0005-0000-0000-0000AA550000}"/>
    <cellStyle name="Normal 3 15 18 11" xfId="21940" xr:uid="{00000000-0005-0000-0000-0000AB550000}"/>
    <cellStyle name="Normal 3 15 18 11 2" xfId="21941" xr:uid="{00000000-0005-0000-0000-0000AC550000}"/>
    <cellStyle name="Normal 3 15 18 11 3" xfId="21942" xr:uid="{00000000-0005-0000-0000-0000AD550000}"/>
    <cellStyle name="Normal 3 15 18 12" xfId="21943" xr:uid="{00000000-0005-0000-0000-0000AE550000}"/>
    <cellStyle name="Normal 3 15 18 12 2" xfId="21944" xr:uid="{00000000-0005-0000-0000-0000AF550000}"/>
    <cellStyle name="Normal 3 15 18 12 3" xfId="21945" xr:uid="{00000000-0005-0000-0000-0000B0550000}"/>
    <cellStyle name="Normal 3 15 18 13" xfId="21946" xr:uid="{00000000-0005-0000-0000-0000B1550000}"/>
    <cellStyle name="Normal 3 15 18 13 2" xfId="21947" xr:uid="{00000000-0005-0000-0000-0000B2550000}"/>
    <cellStyle name="Normal 3 15 18 13 3" xfId="21948" xr:uid="{00000000-0005-0000-0000-0000B3550000}"/>
    <cellStyle name="Normal 3 15 18 14" xfId="21949" xr:uid="{00000000-0005-0000-0000-0000B4550000}"/>
    <cellStyle name="Normal 3 15 18 14 2" xfId="21950" xr:uid="{00000000-0005-0000-0000-0000B5550000}"/>
    <cellStyle name="Normal 3 15 18 14 3" xfId="21951" xr:uid="{00000000-0005-0000-0000-0000B6550000}"/>
    <cellStyle name="Normal 3 15 18 15" xfId="21952" xr:uid="{00000000-0005-0000-0000-0000B7550000}"/>
    <cellStyle name="Normal 3 15 18 16" xfId="21953" xr:uid="{00000000-0005-0000-0000-0000B8550000}"/>
    <cellStyle name="Normal 3 15 18 2" xfId="21954" xr:uid="{00000000-0005-0000-0000-0000B9550000}"/>
    <cellStyle name="Normal 3 15 18 2 2" xfId="21955" xr:uid="{00000000-0005-0000-0000-0000BA550000}"/>
    <cellStyle name="Normal 3 15 18 2 3" xfId="21956" xr:uid="{00000000-0005-0000-0000-0000BB550000}"/>
    <cellStyle name="Normal 3 15 18 3" xfId="21957" xr:uid="{00000000-0005-0000-0000-0000BC550000}"/>
    <cellStyle name="Normal 3 15 18 3 2" xfId="21958" xr:uid="{00000000-0005-0000-0000-0000BD550000}"/>
    <cellStyle name="Normal 3 15 18 3 3" xfId="21959" xr:uid="{00000000-0005-0000-0000-0000BE550000}"/>
    <cellStyle name="Normal 3 15 18 4" xfId="21960" xr:uid="{00000000-0005-0000-0000-0000BF550000}"/>
    <cellStyle name="Normal 3 15 18 4 2" xfId="21961" xr:uid="{00000000-0005-0000-0000-0000C0550000}"/>
    <cellStyle name="Normal 3 15 18 4 3" xfId="21962" xr:uid="{00000000-0005-0000-0000-0000C1550000}"/>
    <cellStyle name="Normal 3 15 18 5" xfId="21963" xr:uid="{00000000-0005-0000-0000-0000C2550000}"/>
    <cellStyle name="Normal 3 15 18 5 2" xfId="21964" xr:uid="{00000000-0005-0000-0000-0000C3550000}"/>
    <cellStyle name="Normal 3 15 18 5 3" xfId="21965" xr:uid="{00000000-0005-0000-0000-0000C4550000}"/>
    <cellStyle name="Normal 3 15 18 6" xfId="21966" xr:uid="{00000000-0005-0000-0000-0000C5550000}"/>
    <cellStyle name="Normal 3 15 18 6 2" xfId="21967" xr:uid="{00000000-0005-0000-0000-0000C6550000}"/>
    <cellStyle name="Normal 3 15 18 6 3" xfId="21968" xr:uid="{00000000-0005-0000-0000-0000C7550000}"/>
    <cellStyle name="Normal 3 15 18 7" xfId="21969" xr:uid="{00000000-0005-0000-0000-0000C8550000}"/>
    <cellStyle name="Normal 3 15 18 7 2" xfId="21970" xr:uid="{00000000-0005-0000-0000-0000C9550000}"/>
    <cellStyle name="Normal 3 15 18 7 3" xfId="21971" xr:uid="{00000000-0005-0000-0000-0000CA550000}"/>
    <cellStyle name="Normal 3 15 18 8" xfId="21972" xr:uid="{00000000-0005-0000-0000-0000CB550000}"/>
    <cellStyle name="Normal 3 15 18 8 2" xfId="21973" xr:uid="{00000000-0005-0000-0000-0000CC550000}"/>
    <cellStyle name="Normal 3 15 18 8 3" xfId="21974" xr:uid="{00000000-0005-0000-0000-0000CD550000}"/>
    <cellStyle name="Normal 3 15 18 9" xfId="21975" xr:uid="{00000000-0005-0000-0000-0000CE550000}"/>
    <cellStyle name="Normal 3 15 18 9 2" xfId="21976" xr:uid="{00000000-0005-0000-0000-0000CF550000}"/>
    <cellStyle name="Normal 3 15 18 9 3" xfId="21977" xr:uid="{00000000-0005-0000-0000-0000D0550000}"/>
    <cellStyle name="Normal 3 15 2" xfId="21978" xr:uid="{00000000-0005-0000-0000-0000D1550000}"/>
    <cellStyle name="Normal 3 15 2 10" xfId="21979" xr:uid="{00000000-0005-0000-0000-0000D2550000}"/>
    <cellStyle name="Normal 3 15 2 10 2" xfId="21980" xr:uid="{00000000-0005-0000-0000-0000D3550000}"/>
    <cellStyle name="Normal 3 15 2 10 3" xfId="21981" xr:uid="{00000000-0005-0000-0000-0000D4550000}"/>
    <cellStyle name="Normal 3 15 2 11" xfId="21982" xr:uid="{00000000-0005-0000-0000-0000D5550000}"/>
    <cellStyle name="Normal 3 15 2 11 2" xfId="21983" xr:uid="{00000000-0005-0000-0000-0000D6550000}"/>
    <cellStyle name="Normal 3 15 2 11 3" xfId="21984" xr:uid="{00000000-0005-0000-0000-0000D7550000}"/>
    <cellStyle name="Normal 3 15 2 12" xfId="21985" xr:uid="{00000000-0005-0000-0000-0000D8550000}"/>
    <cellStyle name="Normal 3 15 2 12 2" xfId="21986" xr:uid="{00000000-0005-0000-0000-0000D9550000}"/>
    <cellStyle name="Normal 3 15 2 12 3" xfId="21987" xr:uid="{00000000-0005-0000-0000-0000DA550000}"/>
    <cellStyle name="Normal 3 15 2 13" xfId="21988" xr:uid="{00000000-0005-0000-0000-0000DB550000}"/>
    <cellStyle name="Normal 3 15 2 13 2" xfId="21989" xr:uid="{00000000-0005-0000-0000-0000DC550000}"/>
    <cellStyle name="Normal 3 15 2 13 3" xfId="21990" xr:uid="{00000000-0005-0000-0000-0000DD550000}"/>
    <cellStyle name="Normal 3 15 2 14" xfId="21991" xr:uid="{00000000-0005-0000-0000-0000DE550000}"/>
    <cellStyle name="Normal 3 15 2 14 2" xfId="21992" xr:uid="{00000000-0005-0000-0000-0000DF550000}"/>
    <cellStyle name="Normal 3 15 2 14 3" xfId="21993" xr:uid="{00000000-0005-0000-0000-0000E0550000}"/>
    <cellStyle name="Normal 3 15 2 15" xfId="21994" xr:uid="{00000000-0005-0000-0000-0000E1550000}"/>
    <cellStyle name="Normal 3 15 2 15 2" xfId="21995" xr:uid="{00000000-0005-0000-0000-0000E2550000}"/>
    <cellStyle name="Normal 3 15 2 15 3" xfId="21996" xr:uid="{00000000-0005-0000-0000-0000E3550000}"/>
    <cellStyle name="Normal 3 15 2 16" xfId="21997" xr:uid="{00000000-0005-0000-0000-0000E4550000}"/>
    <cellStyle name="Normal 3 15 2 16 2" xfId="21998" xr:uid="{00000000-0005-0000-0000-0000E5550000}"/>
    <cellStyle name="Normal 3 15 2 16 3" xfId="21999" xr:uid="{00000000-0005-0000-0000-0000E6550000}"/>
    <cellStyle name="Normal 3 15 2 17" xfId="22000" xr:uid="{00000000-0005-0000-0000-0000E7550000}"/>
    <cellStyle name="Normal 3 15 2 17 2" xfId="22001" xr:uid="{00000000-0005-0000-0000-0000E8550000}"/>
    <cellStyle name="Normal 3 15 2 17 3" xfId="22002" xr:uid="{00000000-0005-0000-0000-0000E9550000}"/>
    <cellStyle name="Normal 3 15 2 18" xfId="22003" xr:uid="{00000000-0005-0000-0000-0000EA550000}"/>
    <cellStyle name="Normal 3 15 2 19" xfId="22004" xr:uid="{00000000-0005-0000-0000-0000EB550000}"/>
    <cellStyle name="Normal 3 15 2 2" xfId="22005" xr:uid="{00000000-0005-0000-0000-0000EC550000}"/>
    <cellStyle name="Normal 3 15 2 3" xfId="22006" xr:uid="{00000000-0005-0000-0000-0000ED550000}"/>
    <cellStyle name="Normal 3 15 2 4" xfId="22007" xr:uid="{00000000-0005-0000-0000-0000EE550000}"/>
    <cellStyle name="Normal 3 15 2 5" xfId="22008" xr:uid="{00000000-0005-0000-0000-0000EF550000}"/>
    <cellStyle name="Normal 3 15 2 5 2" xfId="22009" xr:uid="{00000000-0005-0000-0000-0000F0550000}"/>
    <cellStyle name="Normal 3 15 2 5 3" xfId="22010" xr:uid="{00000000-0005-0000-0000-0000F1550000}"/>
    <cellStyle name="Normal 3 15 2 6" xfId="22011" xr:uid="{00000000-0005-0000-0000-0000F2550000}"/>
    <cellStyle name="Normal 3 15 2 6 2" xfId="22012" xr:uid="{00000000-0005-0000-0000-0000F3550000}"/>
    <cellStyle name="Normal 3 15 2 6 3" xfId="22013" xr:uid="{00000000-0005-0000-0000-0000F4550000}"/>
    <cellStyle name="Normal 3 15 2 7" xfId="22014" xr:uid="{00000000-0005-0000-0000-0000F5550000}"/>
    <cellStyle name="Normal 3 15 2 7 2" xfId="22015" xr:uid="{00000000-0005-0000-0000-0000F6550000}"/>
    <cellStyle name="Normal 3 15 2 7 3" xfId="22016" xr:uid="{00000000-0005-0000-0000-0000F7550000}"/>
    <cellStyle name="Normal 3 15 2 8" xfId="22017" xr:uid="{00000000-0005-0000-0000-0000F8550000}"/>
    <cellStyle name="Normal 3 15 2 8 2" xfId="22018" xr:uid="{00000000-0005-0000-0000-0000F9550000}"/>
    <cellStyle name="Normal 3 15 2 8 3" xfId="22019" xr:uid="{00000000-0005-0000-0000-0000FA550000}"/>
    <cellStyle name="Normal 3 15 2 9" xfId="22020" xr:uid="{00000000-0005-0000-0000-0000FB550000}"/>
    <cellStyle name="Normal 3 15 2 9 2" xfId="22021" xr:uid="{00000000-0005-0000-0000-0000FC550000}"/>
    <cellStyle name="Normal 3 15 2 9 3" xfId="22022" xr:uid="{00000000-0005-0000-0000-0000FD550000}"/>
    <cellStyle name="Normal 3 15 3" xfId="22023" xr:uid="{00000000-0005-0000-0000-0000FE550000}"/>
    <cellStyle name="Normal 3 15 4" xfId="22024" xr:uid="{00000000-0005-0000-0000-0000FF550000}"/>
    <cellStyle name="Normal 3 15 5" xfId="22025" xr:uid="{00000000-0005-0000-0000-000000560000}"/>
    <cellStyle name="Normal 3 15 6" xfId="22026" xr:uid="{00000000-0005-0000-0000-000001560000}"/>
    <cellStyle name="Normal 3 15 6 10" xfId="22027" xr:uid="{00000000-0005-0000-0000-000002560000}"/>
    <cellStyle name="Normal 3 15 6 10 2" xfId="22028" xr:uid="{00000000-0005-0000-0000-000003560000}"/>
    <cellStyle name="Normal 3 15 6 10 3" xfId="22029" xr:uid="{00000000-0005-0000-0000-000004560000}"/>
    <cellStyle name="Normal 3 15 6 11" xfId="22030" xr:uid="{00000000-0005-0000-0000-000005560000}"/>
    <cellStyle name="Normal 3 15 6 11 2" xfId="22031" xr:uid="{00000000-0005-0000-0000-000006560000}"/>
    <cellStyle name="Normal 3 15 6 11 3" xfId="22032" xr:uid="{00000000-0005-0000-0000-000007560000}"/>
    <cellStyle name="Normal 3 15 6 12" xfId="22033" xr:uid="{00000000-0005-0000-0000-000008560000}"/>
    <cellStyle name="Normal 3 15 6 12 2" xfId="22034" xr:uid="{00000000-0005-0000-0000-000009560000}"/>
    <cellStyle name="Normal 3 15 6 12 3" xfId="22035" xr:uid="{00000000-0005-0000-0000-00000A560000}"/>
    <cellStyle name="Normal 3 15 6 13" xfId="22036" xr:uid="{00000000-0005-0000-0000-00000B560000}"/>
    <cellStyle name="Normal 3 15 6 13 2" xfId="22037" xr:uid="{00000000-0005-0000-0000-00000C560000}"/>
    <cellStyle name="Normal 3 15 6 13 3" xfId="22038" xr:uid="{00000000-0005-0000-0000-00000D560000}"/>
    <cellStyle name="Normal 3 15 6 14" xfId="22039" xr:uid="{00000000-0005-0000-0000-00000E560000}"/>
    <cellStyle name="Normal 3 15 6 14 2" xfId="22040" xr:uid="{00000000-0005-0000-0000-00000F560000}"/>
    <cellStyle name="Normal 3 15 6 14 3" xfId="22041" xr:uid="{00000000-0005-0000-0000-000010560000}"/>
    <cellStyle name="Normal 3 15 6 15" xfId="22042" xr:uid="{00000000-0005-0000-0000-000011560000}"/>
    <cellStyle name="Normal 3 15 6 15 2" xfId="22043" xr:uid="{00000000-0005-0000-0000-000012560000}"/>
    <cellStyle name="Normal 3 15 6 15 3" xfId="22044" xr:uid="{00000000-0005-0000-0000-000013560000}"/>
    <cellStyle name="Normal 3 15 6 16" xfId="22045" xr:uid="{00000000-0005-0000-0000-000014560000}"/>
    <cellStyle name="Normal 3 15 6 17" xfId="22046" xr:uid="{00000000-0005-0000-0000-000015560000}"/>
    <cellStyle name="Normal 3 15 6 2" xfId="22047" xr:uid="{00000000-0005-0000-0000-000016560000}"/>
    <cellStyle name="Normal 3 15 6 2 10" xfId="22048" xr:uid="{00000000-0005-0000-0000-000017560000}"/>
    <cellStyle name="Normal 3 15 6 2 10 2" xfId="22049" xr:uid="{00000000-0005-0000-0000-000018560000}"/>
    <cellStyle name="Normal 3 15 6 2 10 3" xfId="22050" xr:uid="{00000000-0005-0000-0000-000019560000}"/>
    <cellStyle name="Normal 3 15 6 2 11" xfId="22051" xr:uid="{00000000-0005-0000-0000-00001A560000}"/>
    <cellStyle name="Normal 3 15 6 2 11 2" xfId="22052" xr:uid="{00000000-0005-0000-0000-00001B560000}"/>
    <cellStyle name="Normal 3 15 6 2 11 3" xfId="22053" xr:uid="{00000000-0005-0000-0000-00001C560000}"/>
    <cellStyle name="Normal 3 15 6 2 12" xfId="22054" xr:uid="{00000000-0005-0000-0000-00001D560000}"/>
    <cellStyle name="Normal 3 15 6 2 12 2" xfId="22055" xr:uid="{00000000-0005-0000-0000-00001E560000}"/>
    <cellStyle name="Normal 3 15 6 2 12 3" xfId="22056" xr:uid="{00000000-0005-0000-0000-00001F560000}"/>
    <cellStyle name="Normal 3 15 6 2 13" xfId="22057" xr:uid="{00000000-0005-0000-0000-000020560000}"/>
    <cellStyle name="Normal 3 15 6 2 13 2" xfId="22058" xr:uid="{00000000-0005-0000-0000-000021560000}"/>
    <cellStyle name="Normal 3 15 6 2 13 3" xfId="22059" xr:uid="{00000000-0005-0000-0000-000022560000}"/>
    <cellStyle name="Normal 3 15 6 2 14" xfId="22060" xr:uid="{00000000-0005-0000-0000-000023560000}"/>
    <cellStyle name="Normal 3 15 6 2 14 2" xfId="22061" xr:uid="{00000000-0005-0000-0000-000024560000}"/>
    <cellStyle name="Normal 3 15 6 2 14 3" xfId="22062" xr:uid="{00000000-0005-0000-0000-000025560000}"/>
    <cellStyle name="Normal 3 15 6 2 15" xfId="22063" xr:uid="{00000000-0005-0000-0000-000026560000}"/>
    <cellStyle name="Normal 3 15 6 2 16" xfId="22064" xr:uid="{00000000-0005-0000-0000-000027560000}"/>
    <cellStyle name="Normal 3 15 6 2 2" xfId="22065" xr:uid="{00000000-0005-0000-0000-000028560000}"/>
    <cellStyle name="Normal 3 15 6 2 2 2" xfId="22066" xr:uid="{00000000-0005-0000-0000-000029560000}"/>
    <cellStyle name="Normal 3 15 6 2 2 3" xfId="22067" xr:uid="{00000000-0005-0000-0000-00002A560000}"/>
    <cellStyle name="Normal 3 15 6 2 3" xfId="22068" xr:uid="{00000000-0005-0000-0000-00002B560000}"/>
    <cellStyle name="Normal 3 15 6 2 3 2" xfId="22069" xr:uid="{00000000-0005-0000-0000-00002C560000}"/>
    <cellStyle name="Normal 3 15 6 2 3 3" xfId="22070" xr:uid="{00000000-0005-0000-0000-00002D560000}"/>
    <cellStyle name="Normal 3 15 6 2 4" xfId="22071" xr:uid="{00000000-0005-0000-0000-00002E560000}"/>
    <cellStyle name="Normal 3 15 6 2 4 2" xfId="22072" xr:uid="{00000000-0005-0000-0000-00002F560000}"/>
    <cellStyle name="Normal 3 15 6 2 4 3" xfId="22073" xr:uid="{00000000-0005-0000-0000-000030560000}"/>
    <cellStyle name="Normal 3 15 6 2 5" xfId="22074" xr:uid="{00000000-0005-0000-0000-000031560000}"/>
    <cellStyle name="Normal 3 15 6 2 5 2" xfId="22075" xr:uid="{00000000-0005-0000-0000-000032560000}"/>
    <cellStyle name="Normal 3 15 6 2 5 3" xfId="22076" xr:uid="{00000000-0005-0000-0000-000033560000}"/>
    <cellStyle name="Normal 3 15 6 2 6" xfId="22077" xr:uid="{00000000-0005-0000-0000-000034560000}"/>
    <cellStyle name="Normal 3 15 6 2 6 2" xfId="22078" xr:uid="{00000000-0005-0000-0000-000035560000}"/>
    <cellStyle name="Normal 3 15 6 2 6 3" xfId="22079" xr:uid="{00000000-0005-0000-0000-000036560000}"/>
    <cellStyle name="Normal 3 15 6 2 7" xfId="22080" xr:uid="{00000000-0005-0000-0000-000037560000}"/>
    <cellStyle name="Normal 3 15 6 2 7 2" xfId="22081" xr:uid="{00000000-0005-0000-0000-000038560000}"/>
    <cellStyle name="Normal 3 15 6 2 7 3" xfId="22082" xr:uid="{00000000-0005-0000-0000-000039560000}"/>
    <cellStyle name="Normal 3 15 6 2 8" xfId="22083" xr:uid="{00000000-0005-0000-0000-00003A560000}"/>
    <cellStyle name="Normal 3 15 6 2 8 2" xfId="22084" xr:uid="{00000000-0005-0000-0000-00003B560000}"/>
    <cellStyle name="Normal 3 15 6 2 8 3" xfId="22085" xr:uid="{00000000-0005-0000-0000-00003C560000}"/>
    <cellStyle name="Normal 3 15 6 2 9" xfId="22086" xr:uid="{00000000-0005-0000-0000-00003D560000}"/>
    <cellStyle name="Normal 3 15 6 2 9 2" xfId="22087" xr:uid="{00000000-0005-0000-0000-00003E560000}"/>
    <cellStyle name="Normal 3 15 6 2 9 3" xfId="22088" xr:uid="{00000000-0005-0000-0000-00003F560000}"/>
    <cellStyle name="Normal 3 15 6 3" xfId="22089" xr:uid="{00000000-0005-0000-0000-000040560000}"/>
    <cellStyle name="Normal 3 15 6 3 2" xfId="22090" xr:uid="{00000000-0005-0000-0000-000041560000}"/>
    <cellStyle name="Normal 3 15 6 3 3" xfId="22091" xr:uid="{00000000-0005-0000-0000-000042560000}"/>
    <cellStyle name="Normal 3 15 6 4" xfId="22092" xr:uid="{00000000-0005-0000-0000-000043560000}"/>
    <cellStyle name="Normal 3 15 6 4 2" xfId="22093" xr:uid="{00000000-0005-0000-0000-000044560000}"/>
    <cellStyle name="Normal 3 15 6 4 3" xfId="22094" xr:uid="{00000000-0005-0000-0000-000045560000}"/>
    <cellStyle name="Normal 3 15 6 5" xfId="22095" xr:uid="{00000000-0005-0000-0000-000046560000}"/>
    <cellStyle name="Normal 3 15 6 5 2" xfId="22096" xr:uid="{00000000-0005-0000-0000-000047560000}"/>
    <cellStyle name="Normal 3 15 6 5 3" xfId="22097" xr:uid="{00000000-0005-0000-0000-000048560000}"/>
    <cellStyle name="Normal 3 15 6 6" xfId="22098" xr:uid="{00000000-0005-0000-0000-000049560000}"/>
    <cellStyle name="Normal 3 15 6 6 2" xfId="22099" xr:uid="{00000000-0005-0000-0000-00004A560000}"/>
    <cellStyle name="Normal 3 15 6 6 3" xfId="22100" xr:uid="{00000000-0005-0000-0000-00004B560000}"/>
    <cellStyle name="Normal 3 15 6 7" xfId="22101" xr:uid="{00000000-0005-0000-0000-00004C560000}"/>
    <cellStyle name="Normal 3 15 6 7 2" xfId="22102" xr:uid="{00000000-0005-0000-0000-00004D560000}"/>
    <cellStyle name="Normal 3 15 6 7 3" xfId="22103" xr:uid="{00000000-0005-0000-0000-00004E560000}"/>
    <cellStyle name="Normal 3 15 6 8" xfId="22104" xr:uid="{00000000-0005-0000-0000-00004F560000}"/>
    <cellStyle name="Normal 3 15 6 8 2" xfId="22105" xr:uid="{00000000-0005-0000-0000-000050560000}"/>
    <cellStyle name="Normal 3 15 6 8 3" xfId="22106" xr:uid="{00000000-0005-0000-0000-000051560000}"/>
    <cellStyle name="Normal 3 15 6 9" xfId="22107" xr:uid="{00000000-0005-0000-0000-000052560000}"/>
    <cellStyle name="Normal 3 15 6 9 2" xfId="22108" xr:uid="{00000000-0005-0000-0000-000053560000}"/>
    <cellStyle name="Normal 3 15 6 9 3" xfId="22109" xr:uid="{00000000-0005-0000-0000-000054560000}"/>
    <cellStyle name="Normal 3 15 7" xfId="22110" xr:uid="{00000000-0005-0000-0000-000055560000}"/>
    <cellStyle name="Normal 3 15 7 10" xfId="22111" xr:uid="{00000000-0005-0000-0000-000056560000}"/>
    <cellStyle name="Normal 3 15 7 10 2" xfId="22112" xr:uid="{00000000-0005-0000-0000-000057560000}"/>
    <cellStyle name="Normal 3 15 7 10 3" xfId="22113" xr:uid="{00000000-0005-0000-0000-000058560000}"/>
    <cellStyle name="Normal 3 15 7 11" xfId="22114" xr:uid="{00000000-0005-0000-0000-000059560000}"/>
    <cellStyle name="Normal 3 15 7 11 2" xfId="22115" xr:uid="{00000000-0005-0000-0000-00005A560000}"/>
    <cellStyle name="Normal 3 15 7 11 3" xfId="22116" xr:uid="{00000000-0005-0000-0000-00005B560000}"/>
    <cellStyle name="Normal 3 15 7 12" xfId="22117" xr:uid="{00000000-0005-0000-0000-00005C560000}"/>
    <cellStyle name="Normal 3 15 7 12 2" xfId="22118" xr:uid="{00000000-0005-0000-0000-00005D560000}"/>
    <cellStyle name="Normal 3 15 7 12 3" xfId="22119" xr:uid="{00000000-0005-0000-0000-00005E560000}"/>
    <cellStyle name="Normal 3 15 7 13" xfId="22120" xr:uid="{00000000-0005-0000-0000-00005F560000}"/>
    <cellStyle name="Normal 3 15 7 13 2" xfId="22121" xr:uid="{00000000-0005-0000-0000-000060560000}"/>
    <cellStyle name="Normal 3 15 7 13 3" xfId="22122" xr:uid="{00000000-0005-0000-0000-000061560000}"/>
    <cellStyle name="Normal 3 15 7 14" xfId="22123" xr:uid="{00000000-0005-0000-0000-000062560000}"/>
    <cellStyle name="Normal 3 15 7 14 2" xfId="22124" xr:uid="{00000000-0005-0000-0000-000063560000}"/>
    <cellStyle name="Normal 3 15 7 14 3" xfId="22125" xr:uid="{00000000-0005-0000-0000-000064560000}"/>
    <cellStyle name="Normal 3 15 7 15" xfId="22126" xr:uid="{00000000-0005-0000-0000-000065560000}"/>
    <cellStyle name="Normal 3 15 7 15 2" xfId="22127" xr:uid="{00000000-0005-0000-0000-000066560000}"/>
    <cellStyle name="Normal 3 15 7 15 3" xfId="22128" xr:uid="{00000000-0005-0000-0000-000067560000}"/>
    <cellStyle name="Normal 3 15 7 16" xfId="22129" xr:uid="{00000000-0005-0000-0000-000068560000}"/>
    <cellStyle name="Normal 3 15 7 17" xfId="22130" xr:uid="{00000000-0005-0000-0000-000069560000}"/>
    <cellStyle name="Normal 3 15 7 2" xfId="22131" xr:uid="{00000000-0005-0000-0000-00006A560000}"/>
    <cellStyle name="Normal 3 15 7 2 10" xfId="22132" xr:uid="{00000000-0005-0000-0000-00006B560000}"/>
    <cellStyle name="Normal 3 15 7 2 10 2" xfId="22133" xr:uid="{00000000-0005-0000-0000-00006C560000}"/>
    <cellStyle name="Normal 3 15 7 2 10 3" xfId="22134" xr:uid="{00000000-0005-0000-0000-00006D560000}"/>
    <cellStyle name="Normal 3 15 7 2 11" xfId="22135" xr:uid="{00000000-0005-0000-0000-00006E560000}"/>
    <cellStyle name="Normal 3 15 7 2 11 2" xfId="22136" xr:uid="{00000000-0005-0000-0000-00006F560000}"/>
    <cellStyle name="Normal 3 15 7 2 11 3" xfId="22137" xr:uid="{00000000-0005-0000-0000-000070560000}"/>
    <cellStyle name="Normal 3 15 7 2 12" xfId="22138" xr:uid="{00000000-0005-0000-0000-000071560000}"/>
    <cellStyle name="Normal 3 15 7 2 12 2" xfId="22139" xr:uid="{00000000-0005-0000-0000-000072560000}"/>
    <cellStyle name="Normal 3 15 7 2 12 3" xfId="22140" xr:uid="{00000000-0005-0000-0000-000073560000}"/>
    <cellStyle name="Normal 3 15 7 2 13" xfId="22141" xr:uid="{00000000-0005-0000-0000-000074560000}"/>
    <cellStyle name="Normal 3 15 7 2 13 2" xfId="22142" xr:uid="{00000000-0005-0000-0000-000075560000}"/>
    <cellStyle name="Normal 3 15 7 2 13 3" xfId="22143" xr:uid="{00000000-0005-0000-0000-000076560000}"/>
    <cellStyle name="Normal 3 15 7 2 14" xfId="22144" xr:uid="{00000000-0005-0000-0000-000077560000}"/>
    <cellStyle name="Normal 3 15 7 2 14 2" xfId="22145" xr:uid="{00000000-0005-0000-0000-000078560000}"/>
    <cellStyle name="Normal 3 15 7 2 14 3" xfId="22146" xr:uid="{00000000-0005-0000-0000-000079560000}"/>
    <cellStyle name="Normal 3 15 7 2 15" xfId="22147" xr:uid="{00000000-0005-0000-0000-00007A560000}"/>
    <cellStyle name="Normal 3 15 7 2 16" xfId="22148" xr:uid="{00000000-0005-0000-0000-00007B560000}"/>
    <cellStyle name="Normal 3 15 7 2 2" xfId="22149" xr:uid="{00000000-0005-0000-0000-00007C560000}"/>
    <cellStyle name="Normal 3 15 7 2 2 2" xfId="22150" xr:uid="{00000000-0005-0000-0000-00007D560000}"/>
    <cellStyle name="Normal 3 15 7 2 2 3" xfId="22151" xr:uid="{00000000-0005-0000-0000-00007E560000}"/>
    <cellStyle name="Normal 3 15 7 2 3" xfId="22152" xr:uid="{00000000-0005-0000-0000-00007F560000}"/>
    <cellStyle name="Normal 3 15 7 2 3 2" xfId="22153" xr:uid="{00000000-0005-0000-0000-000080560000}"/>
    <cellStyle name="Normal 3 15 7 2 3 3" xfId="22154" xr:uid="{00000000-0005-0000-0000-000081560000}"/>
    <cellStyle name="Normal 3 15 7 2 4" xfId="22155" xr:uid="{00000000-0005-0000-0000-000082560000}"/>
    <cellStyle name="Normal 3 15 7 2 4 2" xfId="22156" xr:uid="{00000000-0005-0000-0000-000083560000}"/>
    <cellStyle name="Normal 3 15 7 2 4 3" xfId="22157" xr:uid="{00000000-0005-0000-0000-000084560000}"/>
    <cellStyle name="Normal 3 15 7 2 5" xfId="22158" xr:uid="{00000000-0005-0000-0000-000085560000}"/>
    <cellStyle name="Normal 3 15 7 2 5 2" xfId="22159" xr:uid="{00000000-0005-0000-0000-000086560000}"/>
    <cellStyle name="Normal 3 15 7 2 5 3" xfId="22160" xr:uid="{00000000-0005-0000-0000-000087560000}"/>
    <cellStyle name="Normal 3 15 7 2 6" xfId="22161" xr:uid="{00000000-0005-0000-0000-000088560000}"/>
    <cellStyle name="Normal 3 15 7 2 6 2" xfId="22162" xr:uid="{00000000-0005-0000-0000-000089560000}"/>
    <cellStyle name="Normal 3 15 7 2 6 3" xfId="22163" xr:uid="{00000000-0005-0000-0000-00008A560000}"/>
    <cellStyle name="Normal 3 15 7 2 7" xfId="22164" xr:uid="{00000000-0005-0000-0000-00008B560000}"/>
    <cellStyle name="Normal 3 15 7 2 7 2" xfId="22165" xr:uid="{00000000-0005-0000-0000-00008C560000}"/>
    <cellStyle name="Normal 3 15 7 2 7 3" xfId="22166" xr:uid="{00000000-0005-0000-0000-00008D560000}"/>
    <cellStyle name="Normal 3 15 7 2 8" xfId="22167" xr:uid="{00000000-0005-0000-0000-00008E560000}"/>
    <cellStyle name="Normal 3 15 7 2 8 2" xfId="22168" xr:uid="{00000000-0005-0000-0000-00008F560000}"/>
    <cellStyle name="Normal 3 15 7 2 8 3" xfId="22169" xr:uid="{00000000-0005-0000-0000-000090560000}"/>
    <cellStyle name="Normal 3 15 7 2 9" xfId="22170" xr:uid="{00000000-0005-0000-0000-000091560000}"/>
    <cellStyle name="Normal 3 15 7 2 9 2" xfId="22171" xr:uid="{00000000-0005-0000-0000-000092560000}"/>
    <cellStyle name="Normal 3 15 7 2 9 3" xfId="22172" xr:uid="{00000000-0005-0000-0000-000093560000}"/>
    <cellStyle name="Normal 3 15 7 3" xfId="22173" xr:uid="{00000000-0005-0000-0000-000094560000}"/>
    <cellStyle name="Normal 3 15 7 3 2" xfId="22174" xr:uid="{00000000-0005-0000-0000-000095560000}"/>
    <cellStyle name="Normal 3 15 7 3 3" xfId="22175" xr:uid="{00000000-0005-0000-0000-000096560000}"/>
    <cellStyle name="Normal 3 15 7 4" xfId="22176" xr:uid="{00000000-0005-0000-0000-000097560000}"/>
    <cellStyle name="Normal 3 15 7 4 2" xfId="22177" xr:uid="{00000000-0005-0000-0000-000098560000}"/>
    <cellStyle name="Normal 3 15 7 4 3" xfId="22178" xr:uid="{00000000-0005-0000-0000-000099560000}"/>
    <cellStyle name="Normal 3 15 7 5" xfId="22179" xr:uid="{00000000-0005-0000-0000-00009A560000}"/>
    <cellStyle name="Normal 3 15 7 5 2" xfId="22180" xr:uid="{00000000-0005-0000-0000-00009B560000}"/>
    <cellStyle name="Normal 3 15 7 5 3" xfId="22181" xr:uid="{00000000-0005-0000-0000-00009C560000}"/>
    <cellStyle name="Normal 3 15 7 6" xfId="22182" xr:uid="{00000000-0005-0000-0000-00009D560000}"/>
    <cellStyle name="Normal 3 15 7 6 2" xfId="22183" xr:uid="{00000000-0005-0000-0000-00009E560000}"/>
    <cellStyle name="Normal 3 15 7 6 3" xfId="22184" xr:uid="{00000000-0005-0000-0000-00009F560000}"/>
    <cellStyle name="Normal 3 15 7 7" xfId="22185" xr:uid="{00000000-0005-0000-0000-0000A0560000}"/>
    <cellStyle name="Normal 3 15 7 7 2" xfId="22186" xr:uid="{00000000-0005-0000-0000-0000A1560000}"/>
    <cellStyle name="Normal 3 15 7 7 3" xfId="22187" xr:uid="{00000000-0005-0000-0000-0000A2560000}"/>
    <cellStyle name="Normal 3 15 7 8" xfId="22188" xr:uid="{00000000-0005-0000-0000-0000A3560000}"/>
    <cellStyle name="Normal 3 15 7 8 2" xfId="22189" xr:uid="{00000000-0005-0000-0000-0000A4560000}"/>
    <cellStyle name="Normal 3 15 7 8 3" xfId="22190" xr:uid="{00000000-0005-0000-0000-0000A5560000}"/>
    <cellStyle name="Normal 3 15 7 9" xfId="22191" xr:uid="{00000000-0005-0000-0000-0000A6560000}"/>
    <cellStyle name="Normal 3 15 7 9 2" xfId="22192" xr:uid="{00000000-0005-0000-0000-0000A7560000}"/>
    <cellStyle name="Normal 3 15 7 9 3" xfId="22193" xr:uid="{00000000-0005-0000-0000-0000A8560000}"/>
    <cellStyle name="Normal 3 15 8" xfId="22194" xr:uid="{00000000-0005-0000-0000-0000A9560000}"/>
    <cellStyle name="Normal 3 15 8 10" xfId="22195" xr:uid="{00000000-0005-0000-0000-0000AA560000}"/>
    <cellStyle name="Normal 3 15 8 10 2" xfId="22196" xr:uid="{00000000-0005-0000-0000-0000AB560000}"/>
    <cellStyle name="Normal 3 15 8 10 3" xfId="22197" xr:uid="{00000000-0005-0000-0000-0000AC560000}"/>
    <cellStyle name="Normal 3 15 8 11" xfId="22198" xr:uid="{00000000-0005-0000-0000-0000AD560000}"/>
    <cellStyle name="Normal 3 15 8 11 2" xfId="22199" xr:uid="{00000000-0005-0000-0000-0000AE560000}"/>
    <cellStyle name="Normal 3 15 8 11 3" xfId="22200" xr:uid="{00000000-0005-0000-0000-0000AF560000}"/>
    <cellStyle name="Normal 3 15 8 12" xfId="22201" xr:uid="{00000000-0005-0000-0000-0000B0560000}"/>
    <cellStyle name="Normal 3 15 8 12 2" xfId="22202" xr:uid="{00000000-0005-0000-0000-0000B1560000}"/>
    <cellStyle name="Normal 3 15 8 12 3" xfId="22203" xr:uid="{00000000-0005-0000-0000-0000B2560000}"/>
    <cellStyle name="Normal 3 15 8 13" xfId="22204" xr:uid="{00000000-0005-0000-0000-0000B3560000}"/>
    <cellStyle name="Normal 3 15 8 13 2" xfId="22205" xr:uid="{00000000-0005-0000-0000-0000B4560000}"/>
    <cellStyle name="Normal 3 15 8 13 3" xfId="22206" xr:uid="{00000000-0005-0000-0000-0000B5560000}"/>
    <cellStyle name="Normal 3 15 8 14" xfId="22207" xr:uid="{00000000-0005-0000-0000-0000B6560000}"/>
    <cellStyle name="Normal 3 15 8 14 2" xfId="22208" xr:uid="{00000000-0005-0000-0000-0000B7560000}"/>
    <cellStyle name="Normal 3 15 8 14 3" xfId="22209" xr:uid="{00000000-0005-0000-0000-0000B8560000}"/>
    <cellStyle name="Normal 3 15 8 15" xfId="22210" xr:uid="{00000000-0005-0000-0000-0000B9560000}"/>
    <cellStyle name="Normal 3 15 8 15 2" xfId="22211" xr:uid="{00000000-0005-0000-0000-0000BA560000}"/>
    <cellStyle name="Normal 3 15 8 15 3" xfId="22212" xr:uid="{00000000-0005-0000-0000-0000BB560000}"/>
    <cellStyle name="Normal 3 15 8 16" xfId="22213" xr:uid="{00000000-0005-0000-0000-0000BC560000}"/>
    <cellStyle name="Normal 3 15 8 17" xfId="22214" xr:uid="{00000000-0005-0000-0000-0000BD560000}"/>
    <cellStyle name="Normal 3 15 8 2" xfId="22215" xr:uid="{00000000-0005-0000-0000-0000BE560000}"/>
    <cellStyle name="Normal 3 15 8 2 10" xfId="22216" xr:uid="{00000000-0005-0000-0000-0000BF560000}"/>
    <cellStyle name="Normal 3 15 8 2 10 2" xfId="22217" xr:uid="{00000000-0005-0000-0000-0000C0560000}"/>
    <cellStyle name="Normal 3 15 8 2 10 3" xfId="22218" xr:uid="{00000000-0005-0000-0000-0000C1560000}"/>
    <cellStyle name="Normal 3 15 8 2 11" xfId="22219" xr:uid="{00000000-0005-0000-0000-0000C2560000}"/>
    <cellStyle name="Normal 3 15 8 2 11 2" xfId="22220" xr:uid="{00000000-0005-0000-0000-0000C3560000}"/>
    <cellStyle name="Normal 3 15 8 2 11 3" xfId="22221" xr:uid="{00000000-0005-0000-0000-0000C4560000}"/>
    <cellStyle name="Normal 3 15 8 2 12" xfId="22222" xr:uid="{00000000-0005-0000-0000-0000C5560000}"/>
    <cellStyle name="Normal 3 15 8 2 12 2" xfId="22223" xr:uid="{00000000-0005-0000-0000-0000C6560000}"/>
    <cellStyle name="Normal 3 15 8 2 12 3" xfId="22224" xr:uid="{00000000-0005-0000-0000-0000C7560000}"/>
    <cellStyle name="Normal 3 15 8 2 13" xfId="22225" xr:uid="{00000000-0005-0000-0000-0000C8560000}"/>
    <cellStyle name="Normal 3 15 8 2 13 2" xfId="22226" xr:uid="{00000000-0005-0000-0000-0000C9560000}"/>
    <cellStyle name="Normal 3 15 8 2 13 3" xfId="22227" xr:uid="{00000000-0005-0000-0000-0000CA560000}"/>
    <cellStyle name="Normal 3 15 8 2 14" xfId="22228" xr:uid="{00000000-0005-0000-0000-0000CB560000}"/>
    <cellStyle name="Normal 3 15 8 2 14 2" xfId="22229" xr:uid="{00000000-0005-0000-0000-0000CC560000}"/>
    <cellStyle name="Normal 3 15 8 2 14 3" xfId="22230" xr:uid="{00000000-0005-0000-0000-0000CD560000}"/>
    <cellStyle name="Normal 3 15 8 2 15" xfId="22231" xr:uid="{00000000-0005-0000-0000-0000CE560000}"/>
    <cellStyle name="Normal 3 15 8 2 16" xfId="22232" xr:uid="{00000000-0005-0000-0000-0000CF560000}"/>
    <cellStyle name="Normal 3 15 8 2 2" xfId="22233" xr:uid="{00000000-0005-0000-0000-0000D0560000}"/>
    <cellStyle name="Normal 3 15 8 2 2 2" xfId="22234" xr:uid="{00000000-0005-0000-0000-0000D1560000}"/>
    <cellStyle name="Normal 3 15 8 2 2 3" xfId="22235" xr:uid="{00000000-0005-0000-0000-0000D2560000}"/>
    <cellStyle name="Normal 3 15 8 2 3" xfId="22236" xr:uid="{00000000-0005-0000-0000-0000D3560000}"/>
    <cellStyle name="Normal 3 15 8 2 3 2" xfId="22237" xr:uid="{00000000-0005-0000-0000-0000D4560000}"/>
    <cellStyle name="Normal 3 15 8 2 3 3" xfId="22238" xr:uid="{00000000-0005-0000-0000-0000D5560000}"/>
    <cellStyle name="Normal 3 15 8 2 4" xfId="22239" xr:uid="{00000000-0005-0000-0000-0000D6560000}"/>
    <cellStyle name="Normal 3 15 8 2 4 2" xfId="22240" xr:uid="{00000000-0005-0000-0000-0000D7560000}"/>
    <cellStyle name="Normal 3 15 8 2 4 3" xfId="22241" xr:uid="{00000000-0005-0000-0000-0000D8560000}"/>
    <cellStyle name="Normal 3 15 8 2 5" xfId="22242" xr:uid="{00000000-0005-0000-0000-0000D9560000}"/>
    <cellStyle name="Normal 3 15 8 2 5 2" xfId="22243" xr:uid="{00000000-0005-0000-0000-0000DA560000}"/>
    <cellStyle name="Normal 3 15 8 2 5 3" xfId="22244" xr:uid="{00000000-0005-0000-0000-0000DB560000}"/>
    <cellStyle name="Normal 3 15 8 2 6" xfId="22245" xr:uid="{00000000-0005-0000-0000-0000DC560000}"/>
    <cellStyle name="Normal 3 15 8 2 6 2" xfId="22246" xr:uid="{00000000-0005-0000-0000-0000DD560000}"/>
    <cellStyle name="Normal 3 15 8 2 6 3" xfId="22247" xr:uid="{00000000-0005-0000-0000-0000DE560000}"/>
    <cellStyle name="Normal 3 15 8 2 7" xfId="22248" xr:uid="{00000000-0005-0000-0000-0000DF560000}"/>
    <cellStyle name="Normal 3 15 8 2 7 2" xfId="22249" xr:uid="{00000000-0005-0000-0000-0000E0560000}"/>
    <cellStyle name="Normal 3 15 8 2 7 3" xfId="22250" xr:uid="{00000000-0005-0000-0000-0000E1560000}"/>
    <cellStyle name="Normal 3 15 8 2 8" xfId="22251" xr:uid="{00000000-0005-0000-0000-0000E2560000}"/>
    <cellStyle name="Normal 3 15 8 2 8 2" xfId="22252" xr:uid="{00000000-0005-0000-0000-0000E3560000}"/>
    <cellStyle name="Normal 3 15 8 2 8 3" xfId="22253" xr:uid="{00000000-0005-0000-0000-0000E4560000}"/>
    <cellStyle name="Normal 3 15 8 2 9" xfId="22254" xr:uid="{00000000-0005-0000-0000-0000E5560000}"/>
    <cellStyle name="Normal 3 15 8 2 9 2" xfId="22255" xr:uid="{00000000-0005-0000-0000-0000E6560000}"/>
    <cellStyle name="Normal 3 15 8 2 9 3" xfId="22256" xr:uid="{00000000-0005-0000-0000-0000E7560000}"/>
    <cellStyle name="Normal 3 15 8 3" xfId="22257" xr:uid="{00000000-0005-0000-0000-0000E8560000}"/>
    <cellStyle name="Normal 3 15 8 3 2" xfId="22258" xr:uid="{00000000-0005-0000-0000-0000E9560000}"/>
    <cellStyle name="Normal 3 15 8 3 3" xfId="22259" xr:uid="{00000000-0005-0000-0000-0000EA560000}"/>
    <cellStyle name="Normal 3 15 8 4" xfId="22260" xr:uid="{00000000-0005-0000-0000-0000EB560000}"/>
    <cellStyle name="Normal 3 15 8 4 2" xfId="22261" xr:uid="{00000000-0005-0000-0000-0000EC560000}"/>
    <cellStyle name="Normal 3 15 8 4 3" xfId="22262" xr:uid="{00000000-0005-0000-0000-0000ED560000}"/>
    <cellStyle name="Normal 3 15 8 5" xfId="22263" xr:uid="{00000000-0005-0000-0000-0000EE560000}"/>
    <cellStyle name="Normal 3 15 8 5 2" xfId="22264" xr:uid="{00000000-0005-0000-0000-0000EF560000}"/>
    <cellStyle name="Normal 3 15 8 5 3" xfId="22265" xr:uid="{00000000-0005-0000-0000-0000F0560000}"/>
    <cellStyle name="Normal 3 15 8 6" xfId="22266" xr:uid="{00000000-0005-0000-0000-0000F1560000}"/>
    <cellStyle name="Normal 3 15 8 6 2" xfId="22267" xr:uid="{00000000-0005-0000-0000-0000F2560000}"/>
    <cellStyle name="Normal 3 15 8 6 3" xfId="22268" xr:uid="{00000000-0005-0000-0000-0000F3560000}"/>
    <cellStyle name="Normal 3 15 8 7" xfId="22269" xr:uid="{00000000-0005-0000-0000-0000F4560000}"/>
    <cellStyle name="Normal 3 15 8 7 2" xfId="22270" xr:uid="{00000000-0005-0000-0000-0000F5560000}"/>
    <cellStyle name="Normal 3 15 8 7 3" xfId="22271" xr:uid="{00000000-0005-0000-0000-0000F6560000}"/>
    <cellStyle name="Normal 3 15 8 8" xfId="22272" xr:uid="{00000000-0005-0000-0000-0000F7560000}"/>
    <cellStyle name="Normal 3 15 8 8 2" xfId="22273" xr:uid="{00000000-0005-0000-0000-0000F8560000}"/>
    <cellStyle name="Normal 3 15 8 8 3" xfId="22274" xr:uid="{00000000-0005-0000-0000-0000F9560000}"/>
    <cellStyle name="Normal 3 15 8 9" xfId="22275" xr:uid="{00000000-0005-0000-0000-0000FA560000}"/>
    <cellStyle name="Normal 3 15 8 9 2" xfId="22276" xr:uid="{00000000-0005-0000-0000-0000FB560000}"/>
    <cellStyle name="Normal 3 15 8 9 3" xfId="22277" xr:uid="{00000000-0005-0000-0000-0000FC560000}"/>
    <cellStyle name="Normal 3 15 9" xfId="22278" xr:uid="{00000000-0005-0000-0000-0000FD560000}"/>
    <cellStyle name="Normal 3 15 9 10" xfId="22279" xr:uid="{00000000-0005-0000-0000-0000FE560000}"/>
    <cellStyle name="Normal 3 15 9 10 2" xfId="22280" xr:uid="{00000000-0005-0000-0000-0000FF560000}"/>
    <cellStyle name="Normal 3 15 9 10 3" xfId="22281" xr:uid="{00000000-0005-0000-0000-000000570000}"/>
    <cellStyle name="Normal 3 15 9 11" xfId="22282" xr:uid="{00000000-0005-0000-0000-000001570000}"/>
    <cellStyle name="Normal 3 15 9 11 2" xfId="22283" xr:uid="{00000000-0005-0000-0000-000002570000}"/>
    <cellStyle name="Normal 3 15 9 11 3" xfId="22284" xr:uid="{00000000-0005-0000-0000-000003570000}"/>
    <cellStyle name="Normal 3 15 9 12" xfId="22285" xr:uid="{00000000-0005-0000-0000-000004570000}"/>
    <cellStyle name="Normal 3 15 9 12 2" xfId="22286" xr:uid="{00000000-0005-0000-0000-000005570000}"/>
    <cellStyle name="Normal 3 15 9 12 3" xfId="22287" xr:uid="{00000000-0005-0000-0000-000006570000}"/>
    <cellStyle name="Normal 3 15 9 13" xfId="22288" xr:uid="{00000000-0005-0000-0000-000007570000}"/>
    <cellStyle name="Normal 3 15 9 13 2" xfId="22289" xr:uid="{00000000-0005-0000-0000-000008570000}"/>
    <cellStyle name="Normal 3 15 9 13 3" xfId="22290" xr:uid="{00000000-0005-0000-0000-000009570000}"/>
    <cellStyle name="Normal 3 15 9 14" xfId="22291" xr:uid="{00000000-0005-0000-0000-00000A570000}"/>
    <cellStyle name="Normal 3 15 9 14 2" xfId="22292" xr:uid="{00000000-0005-0000-0000-00000B570000}"/>
    <cellStyle name="Normal 3 15 9 14 3" xfId="22293" xr:uid="{00000000-0005-0000-0000-00000C570000}"/>
    <cellStyle name="Normal 3 15 9 15" xfId="22294" xr:uid="{00000000-0005-0000-0000-00000D570000}"/>
    <cellStyle name="Normal 3 15 9 16" xfId="22295" xr:uid="{00000000-0005-0000-0000-00000E570000}"/>
    <cellStyle name="Normal 3 15 9 2" xfId="22296" xr:uid="{00000000-0005-0000-0000-00000F570000}"/>
    <cellStyle name="Normal 3 15 9 2 2" xfId="22297" xr:uid="{00000000-0005-0000-0000-000010570000}"/>
    <cellStyle name="Normal 3 15 9 2 3" xfId="22298" xr:uid="{00000000-0005-0000-0000-000011570000}"/>
    <cellStyle name="Normal 3 15 9 3" xfId="22299" xr:uid="{00000000-0005-0000-0000-000012570000}"/>
    <cellStyle name="Normal 3 15 9 3 2" xfId="22300" xr:uid="{00000000-0005-0000-0000-000013570000}"/>
    <cellStyle name="Normal 3 15 9 3 3" xfId="22301" xr:uid="{00000000-0005-0000-0000-000014570000}"/>
    <cellStyle name="Normal 3 15 9 4" xfId="22302" xr:uid="{00000000-0005-0000-0000-000015570000}"/>
    <cellStyle name="Normal 3 15 9 4 2" xfId="22303" xr:uid="{00000000-0005-0000-0000-000016570000}"/>
    <cellStyle name="Normal 3 15 9 4 3" xfId="22304" xr:uid="{00000000-0005-0000-0000-000017570000}"/>
    <cellStyle name="Normal 3 15 9 5" xfId="22305" xr:uid="{00000000-0005-0000-0000-000018570000}"/>
    <cellStyle name="Normal 3 15 9 5 2" xfId="22306" xr:uid="{00000000-0005-0000-0000-000019570000}"/>
    <cellStyle name="Normal 3 15 9 5 3" xfId="22307" xr:uid="{00000000-0005-0000-0000-00001A570000}"/>
    <cellStyle name="Normal 3 15 9 6" xfId="22308" xr:uid="{00000000-0005-0000-0000-00001B570000}"/>
    <cellStyle name="Normal 3 15 9 6 2" xfId="22309" xr:uid="{00000000-0005-0000-0000-00001C570000}"/>
    <cellStyle name="Normal 3 15 9 6 3" xfId="22310" xr:uid="{00000000-0005-0000-0000-00001D570000}"/>
    <cellStyle name="Normal 3 15 9 7" xfId="22311" xr:uid="{00000000-0005-0000-0000-00001E570000}"/>
    <cellStyle name="Normal 3 15 9 7 2" xfId="22312" xr:uid="{00000000-0005-0000-0000-00001F570000}"/>
    <cellStyle name="Normal 3 15 9 7 3" xfId="22313" xr:uid="{00000000-0005-0000-0000-000020570000}"/>
    <cellStyle name="Normal 3 15 9 8" xfId="22314" xr:uid="{00000000-0005-0000-0000-000021570000}"/>
    <cellStyle name="Normal 3 15 9 8 2" xfId="22315" xr:uid="{00000000-0005-0000-0000-000022570000}"/>
    <cellStyle name="Normal 3 15 9 8 3" xfId="22316" xr:uid="{00000000-0005-0000-0000-000023570000}"/>
    <cellStyle name="Normal 3 15 9 9" xfId="22317" xr:uid="{00000000-0005-0000-0000-000024570000}"/>
    <cellStyle name="Normal 3 15 9 9 2" xfId="22318" xr:uid="{00000000-0005-0000-0000-000025570000}"/>
    <cellStyle name="Normal 3 15 9 9 3" xfId="22319" xr:uid="{00000000-0005-0000-0000-000026570000}"/>
    <cellStyle name="Normal 3 16" xfId="22320" xr:uid="{00000000-0005-0000-0000-000027570000}"/>
    <cellStyle name="Normal 3 16 10" xfId="22321" xr:uid="{00000000-0005-0000-0000-000028570000}"/>
    <cellStyle name="Normal 3 16 10 10" xfId="22322" xr:uid="{00000000-0005-0000-0000-000029570000}"/>
    <cellStyle name="Normal 3 16 10 10 2" xfId="22323" xr:uid="{00000000-0005-0000-0000-00002A570000}"/>
    <cellStyle name="Normal 3 16 10 10 3" xfId="22324" xr:uid="{00000000-0005-0000-0000-00002B570000}"/>
    <cellStyle name="Normal 3 16 10 11" xfId="22325" xr:uid="{00000000-0005-0000-0000-00002C570000}"/>
    <cellStyle name="Normal 3 16 10 11 2" xfId="22326" xr:uid="{00000000-0005-0000-0000-00002D570000}"/>
    <cellStyle name="Normal 3 16 10 11 3" xfId="22327" xr:uid="{00000000-0005-0000-0000-00002E570000}"/>
    <cellStyle name="Normal 3 16 10 12" xfId="22328" xr:uid="{00000000-0005-0000-0000-00002F570000}"/>
    <cellStyle name="Normal 3 16 10 12 2" xfId="22329" xr:uid="{00000000-0005-0000-0000-000030570000}"/>
    <cellStyle name="Normal 3 16 10 12 3" xfId="22330" xr:uid="{00000000-0005-0000-0000-000031570000}"/>
    <cellStyle name="Normal 3 16 10 13" xfId="22331" xr:uid="{00000000-0005-0000-0000-000032570000}"/>
    <cellStyle name="Normal 3 16 10 13 2" xfId="22332" xr:uid="{00000000-0005-0000-0000-000033570000}"/>
    <cellStyle name="Normal 3 16 10 13 3" xfId="22333" xr:uid="{00000000-0005-0000-0000-000034570000}"/>
    <cellStyle name="Normal 3 16 10 14" xfId="22334" xr:uid="{00000000-0005-0000-0000-000035570000}"/>
    <cellStyle name="Normal 3 16 10 14 2" xfId="22335" xr:uid="{00000000-0005-0000-0000-000036570000}"/>
    <cellStyle name="Normal 3 16 10 14 3" xfId="22336" xr:uid="{00000000-0005-0000-0000-000037570000}"/>
    <cellStyle name="Normal 3 16 10 15" xfId="22337" xr:uid="{00000000-0005-0000-0000-000038570000}"/>
    <cellStyle name="Normal 3 16 10 16" xfId="22338" xr:uid="{00000000-0005-0000-0000-000039570000}"/>
    <cellStyle name="Normal 3 16 10 2" xfId="22339" xr:uid="{00000000-0005-0000-0000-00003A570000}"/>
    <cellStyle name="Normal 3 16 10 2 2" xfId="22340" xr:uid="{00000000-0005-0000-0000-00003B570000}"/>
    <cellStyle name="Normal 3 16 10 2 3" xfId="22341" xr:uid="{00000000-0005-0000-0000-00003C570000}"/>
    <cellStyle name="Normal 3 16 10 3" xfId="22342" xr:uid="{00000000-0005-0000-0000-00003D570000}"/>
    <cellStyle name="Normal 3 16 10 3 2" xfId="22343" xr:uid="{00000000-0005-0000-0000-00003E570000}"/>
    <cellStyle name="Normal 3 16 10 3 3" xfId="22344" xr:uid="{00000000-0005-0000-0000-00003F570000}"/>
    <cellStyle name="Normal 3 16 10 4" xfId="22345" xr:uid="{00000000-0005-0000-0000-000040570000}"/>
    <cellStyle name="Normal 3 16 10 4 2" xfId="22346" xr:uid="{00000000-0005-0000-0000-000041570000}"/>
    <cellStyle name="Normal 3 16 10 4 3" xfId="22347" xr:uid="{00000000-0005-0000-0000-000042570000}"/>
    <cellStyle name="Normal 3 16 10 5" xfId="22348" xr:uid="{00000000-0005-0000-0000-000043570000}"/>
    <cellStyle name="Normal 3 16 10 5 2" xfId="22349" xr:uid="{00000000-0005-0000-0000-000044570000}"/>
    <cellStyle name="Normal 3 16 10 5 3" xfId="22350" xr:uid="{00000000-0005-0000-0000-000045570000}"/>
    <cellStyle name="Normal 3 16 10 6" xfId="22351" xr:uid="{00000000-0005-0000-0000-000046570000}"/>
    <cellStyle name="Normal 3 16 10 6 2" xfId="22352" xr:uid="{00000000-0005-0000-0000-000047570000}"/>
    <cellStyle name="Normal 3 16 10 6 3" xfId="22353" xr:uid="{00000000-0005-0000-0000-000048570000}"/>
    <cellStyle name="Normal 3 16 10 7" xfId="22354" xr:uid="{00000000-0005-0000-0000-000049570000}"/>
    <cellStyle name="Normal 3 16 10 7 2" xfId="22355" xr:uid="{00000000-0005-0000-0000-00004A570000}"/>
    <cellStyle name="Normal 3 16 10 7 3" xfId="22356" xr:uid="{00000000-0005-0000-0000-00004B570000}"/>
    <cellStyle name="Normal 3 16 10 8" xfId="22357" xr:uid="{00000000-0005-0000-0000-00004C570000}"/>
    <cellStyle name="Normal 3 16 10 8 2" xfId="22358" xr:uid="{00000000-0005-0000-0000-00004D570000}"/>
    <cellStyle name="Normal 3 16 10 8 3" xfId="22359" xr:uid="{00000000-0005-0000-0000-00004E570000}"/>
    <cellStyle name="Normal 3 16 10 9" xfId="22360" xr:uid="{00000000-0005-0000-0000-00004F570000}"/>
    <cellStyle name="Normal 3 16 10 9 2" xfId="22361" xr:uid="{00000000-0005-0000-0000-000050570000}"/>
    <cellStyle name="Normal 3 16 10 9 3" xfId="22362" xr:uid="{00000000-0005-0000-0000-000051570000}"/>
    <cellStyle name="Normal 3 16 11" xfId="22363" xr:uid="{00000000-0005-0000-0000-000052570000}"/>
    <cellStyle name="Normal 3 16 11 10" xfId="22364" xr:uid="{00000000-0005-0000-0000-000053570000}"/>
    <cellStyle name="Normal 3 16 11 10 2" xfId="22365" xr:uid="{00000000-0005-0000-0000-000054570000}"/>
    <cellStyle name="Normal 3 16 11 10 3" xfId="22366" xr:uid="{00000000-0005-0000-0000-000055570000}"/>
    <cellStyle name="Normal 3 16 11 11" xfId="22367" xr:uid="{00000000-0005-0000-0000-000056570000}"/>
    <cellStyle name="Normal 3 16 11 11 2" xfId="22368" xr:uid="{00000000-0005-0000-0000-000057570000}"/>
    <cellStyle name="Normal 3 16 11 11 3" xfId="22369" xr:uid="{00000000-0005-0000-0000-000058570000}"/>
    <cellStyle name="Normal 3 16 11 12" xfId="22370" xr:uid="{00000000-0005-0000-0000-000059570000}"/>
    <cellStyle name="Normal 3 16 11 12 2" xfId="22371" xr:uid="{00000000-0005-0000-0000-00005A570000}"/>
    <cellStyle name="Normal 3 16 11 12 3" xfId="22372" xr:uid="{00000000-0005-0000-0000-00005B570000}"/>
    <cellStyle name="Normal 3 16 11 13" xfId="22373" xr:uid="{00000000-0005-0000-0000-00005C570000}"/>
    <cellStyle name="Normal 3 16 11 13 2" xfId="22374" xr:uid="{00000000-0005-0000-0000-00005D570000}"/>
    <cellStyle name="Normal 3 16 11 13 3" xfId="22375" xr:uid="{00000000-0005-0000-0000-00005E570000}"/>
    <cellStyle name="Normal 3 16 11 14" xfId="22376" xr:uid="{00000000-0005-0000-0000-00005F570000}"/>
    <cellStyle name="Normal 3 16 11 14 2" xfId="22377" xr:uid="{00000000-0005-0000-0000-000060570000}"/>
    <cellStyle name="Normal 3 16 11 14 3" xfId="22378" xr:uid="{00000000-0005-0000-0000-000061570000}"/>
    <cellStyle name="Normal 3 16 11 15" xfId="22379" xr:uid="{00000000-0005-0000-0000-000062570000}"/>
    <cellStyle name="Normal 3 16 11 16" xfId="22380" xr:uid="{00000000-0005-0000-0000-000063570000}"/>
    <cellStyle name="Normal 3 16 11 2" xfId="22381" xr:uid="{00000000-0005-0000-0000-000064570000}"/>
    <cellStyle name="Normal 3 16 11 2 2" xfId="22382" xr:uid="{00000000-0005-0000-0000-000065570000}"/>
    <cellStyle name="Normal 3 16 11 2 3" xfId="22383" xr:uid="{00000000-0005-0000-0000-000066570000}"/>
    <cellStyle name="Normal 3 16 11 3" xfId="22384" xr:uid="{00000000-0005-0000-0000-000067570000}"/>
    <cellStyle name="Normal 3 16 11 3 2" xfId="22385" xr:uid="{00000000-0005-0000-0000-000068570000}"/>
    <cellStyle name="Normal 3 16 11 3 3" xfId="22386" xr:uid="{00000000-0005-0000-0000-000069570000}"/>
    <cellStyle name="Normal 3 16 11 4" xfId="22387" xr:uid="{00000000-0005-0000-0000-00006A570000}"/>
    <cellStyle name="Normal 3 16 11 4 2" xfId="22388" xr:uid="{00000000-0005-0000-0000-00006B570000}"/>
    <cellStyle name="Normal 3 16 11 4 3" xfId="22389" xr:uid="{00000000-0005-0000-0000-00006C570000}"/>
    <cellStyle name="Normal 3 16 11 5" xfId="22390" xr:uid="{00000000-0005-0000-0000-00006D570000}"/>
    <cellStyle name="Normal 3 16 11 5 2" xfId="22391" xr:uid="{00000000-0005-0000-0000-00006E570000}"/>
    <cellStyle name="Normal 3 16 11 5 3" xfId="22392" xr:uid="{00000000-0005-0000-0000-00006F570000}"/>
    <cellStyle name="Normal 3 16 11 6" xfId="22393" xr:uid="{00000000-0005-0000-0000-000070570000}"/>
    <cellStyle name="Normal 3 16 11 6 2" xfId="22394" xr:uid="{00000000-0005-0000-0000-000071570000}"/>
    <cellStyle name="Normal 3 16 11 6 3" xfId="22395" xr:uid="{00000000-0005-0000-0000-000072570000}"/>
    <cellStyle name="Normal 3 16 11 7" xfId="22396" xr:uid="{00000000-0005-0000-0000-000073570000}"/>
    <cellStyle name="Normal 3 16 11 7 2" xfId="22397" xr:uid="{00000000-0005-0000-0000-000074570000}"/>
    <cellStyle name="Normal 3 16 11 7 3" xfId="22398" xr:uid="{00000000-0005-0000-0000-000075570000}"/>
    <cellStyle name="Normal 3 16 11 8" xfId="22399" xr:uid="{00000000-0005-0000-0000-000076570000}"/>
    <cellStyle name="Normal 3 16 11 8 2" xfId="22400" xr:uid="{00000000-0005-0000-0000-000077570000}"/>
    <cellStyle name="Normal 3 16 11 8 3" xfId="22401" xr:uid="{00000000-0005-0000-0000-000078570000}"/>
    <cellStyle name="Normal 3 16 11 9" xfId="22402" xr:uid="{00000000-0005-0000-0000-000079570000}"/>
    <cellStyle name="Normal 3 16 11 9 2" xfId="22403" xr:uid="{00000000-0005-0000-0000-00007A570000}"/>
    <cellStyle name="Normal 3 16 11 9 3" xfId="22404" xr:uid="{00000000-0005-0000-0000-00007B570000}"/>
    <cellStyle name="Normal 3 16 12" xfId="22405" xr:uid="{00000000-0005-0000-0000-00007C570000}"/>
    <cellStyle name="Normal 3 16 12 10" xfId="22406" xr:uid="{00000000-0005-0000-0000-00007D570000}"/>
    <cellStyle name="Normal 3 16 12 10 2" xfId="22407" xr:uid="{00000000-0005-0000-0000-00007E570000}"/>
    <cellStyle name="Normal 3 16 12 10 3" xfId="22408" xr:uid="{00000000-0005-0000-0000-00007F570000}"/>
    <cellStyle name="Normal 3 16 12 11" xfId="22409" xr:uid="{00000000-0005-0000-0000-000080570000}"/>
    <cellStyle name="Normal 3 16 12 11 2" xfId="22410" xr:uid="{00000000-0005-0000-0000-000081570000}"/>
    <cellStyle name="Normal 3 16 12 11 3" xfId="22411" xr:uid="{00000000-0005-0000-0000-000082570000}"/>
    <cellStyle name="Normal 3 16 12 12" xfId="22412" xr:uid="{00000000-0005-0000-0000-000083570000}"/>
    <cellStyle name="Normal 3 16 12 12 2" xfId="22413" xr:uid="{00000000-0005-0000-0000-000084570000}"/>
    <cellStyle name="Normal 3 16 12 12 3" xfId="22414" xr:uid="{00000000-0005-0000-0000-000085570000}"/>
    <cellStyle name="Normal 3 16 12 13" xfId="22415" xr:uid="{00000000-0005-0000-0000-000086570000}"/>
    <cellStyle name="Normal 3 16 12 13 2" xfId="22416" xr:uid="{00000000-0005-0000-0000-000087570000}"/>
    <cellStyle name="Normal 3 16 12 13 3" xfId="22417" xr:uid="{00000000-0005-0000-0000-000088570000}"/>
    <cellStyle name="Normal 3 16 12 14" xfId="22418" xr:uid="{00000000-0005-0000-0000-000089570000}"/>
    <cellStyle name="Normal 3 16 12 14 2" xfId="22419" xr:uid="{00000000-0005-0000-0000-00008A570000}"/>
    <cellStyle name="Normal 3 16 12 14 3" xfId="22420" xr:uid="{00000000-0005-0000-0000-00008B570000}"/>
    <cellStyle name="Normal 3 16 12 15" xfId="22421" xr:uid="{00000000-0005-0000-0000-00008C570000}"/>
    <cellStyle name="Normal 3 16 12 16" xfId="22422" xr:uid="{00000000-0005-0000-0000-00008D570000}"/>
    <cellStyle name="Normal 3 16 12 2" xfId="22423" xr:uid="{00000000-0005-0000-0000-00008E570000}"/>
    <cellStyle name="Normal 3 16 12 2 2" xfId="22424" xr:uid="{00000000-0005-0000-0000-00008F570000}"/>
    <cellStyle name="Normal 3 16 12 2 3" xfId="22425" xr:uid="{00000000-0005-0000-0000-000090570000}"/>
    <cellStyle name="Normal 3 16 12 3" xfId="22426" xr:uid="{00000000-0005-0000-0000-000091570000}"/>
    <cellStyle name="Normal 3 16 12 3 2" xfId="22427" xr:uid="{00000000-0005-0000-0000-000092570000}"/>
    <cellStyle name="Normal 3 16 12 3 3" xfId="22428" xr:uid="{00000000-0005-0000-0000-000093570000}"/>
    <cellStyle name="Normal 3 16 12 4" xfId="22429" xr:uid="{00000000-0005-0000-0000-000094570000}"/>
    <cellStyle name="Normal 3 16 12 4 2" xfId="22430" xr:uid="{00000000-0005-0000-0000-000095570000}"/>
    <cellStyle name="Normal 3 16 12 4 3" xfId="22431" xr:uid="{00000000-0005-0000-0000-000096570000}"/>
    <cellStyle name="Normal 3 16 12 5" xfId="22432" xr:uid="{00000000-0005-0000-0000-000097570000}"/>
    <cellStyle name="Normal 3 16 12 5 2" xfId="22433" xr:uid="{00000000-0005-0000-0000-000098570000}"/>
    <cellStyle name="Normal 3 16 12 5 3" xfId="22434" xr:uid="{00000000-0005-0000-0000-000099570000}"/>
    <cellStyle name="Normal 3 16 12 6" xfId="22435" xr:uid="{00000000-0005-0000-0000-00009A570000}"/>
    <cellStyle name="Normal 3 16 12 6 2" xfId="22436" xr:uid="{00000000-0005-0000-0000-00009B570000}"/>
    <cellStyle name="Normal 3 16 12 6 3" xfId="22437" xr:uid="{00000000-0005-0000-0000-00009C570000}"/>
    <cellStyle name="Normal 3 16 12 7" xfId="22438" xr:uid="{00000000-0005-0000-0000-00009D570000}"/>
    <cellStyle name="Normal 3 16 12 7 2" xfId="22439" xr:uid="{00000000-0005-0000-0000-00009E570000}"/>
    <cellStyle name="Normal 3 16 12 7 3" xfId="22440" xr:uid="{00000000-0005-0000-0000-00009F570000}"/>
    <cellStyle name="Normal 3 16 12 8" xfId="22441" xr:uid="{00000000-0005-0000-0000-0000A0570000}"/>
    <cellStyle name="Normal 3 16 12 8 2" xfId="22442" xr:uid="{00000000-0005-0000-0000-0000A1570000}"/>
    <cellStyle name="Normal 3 16 12 8 3" xfId="22443" xr:uid="{00000000-0005-0000-0000-0000A2570000}"/>
    <cellStyle name="Normal 3 16 12 9" xfId="22444" xr:uid="{00000000-0005-0000-0000-0000A3570000}"/>
    <cellStyle name="Normal 3 16 12 9 2" xfId="22445" xr:uid="{00000000-0005-0000-0000-0000A4570000}"/>
    <cellStyle name="Normal 3 16 12 9 3" xfId="22446" xr:uid="{00000000-0005-0000-0000-0000A5570000}"/>
    <cellStyle name="Normal 3 16 13" xfId="22447" xr:uid="{00000000-0005-0000-0000-0000A6570000}"/>
    <cellStyle name="Normal 3 16 13 10" xfId="22448" xr:uid="{00000000-0005-0000-0000-0000A7570000}"/>
    <cellStyle name="Normal 3 16 13 10 2" xfId="22449" xr:uid="{00000000-0005-0000-0000-0000A8570000}"/>
    <cellStyle name="Normal 3 16 13 10 3" xfId="22450" xr:uid="{00000000-0005-0000-0000-0000A9570000}"/>
    <cellStyle name="Normal 3 16 13 11" xfId="22451" xr:uid="{00000000-0005-0000-0000-0000AA570000}"/>
    <cellStyle name="Normal 3 16 13 11 2" xfId="22452" xr:uid="{00000000-0005-0000-0000-0000AB570000}"/>
    <cellStyle name="Normal 3 16 13 11 3" xfId="22453" xr:uid="{00000000-0005-0000-0000-0000AC570000}"/>
    <cellStyle name="Normal 3 16 13 12" xfId="22454" xr:uid="{00000000-0005-0000-0000-0000AD570000}"/>
    <cellStyle name="Normal 3 16 13 12 2" xfId="22455" xr:uid="{00000000-0005-0000-0000-0000AE570000}"/>
    <cellStyle name="Normal 3 16 13 12 3" xfId="22456" xr:uid="{00000000-0005-0000-0000-0000AF570000}"/>
    <cellStyle name="Normal 3 16 13 13" xfId="22457" xr:uid="{00000000-0005-0000-0000-0000B0570000}"/>
    <cellStyle name="Normal 3 16 13 13 2" xfId="22458" xr:uid="{00000000-0005-0000-0000-0000B1570000}"/>
    <cellStyle name="Normal 3 16 13 13 3" xfId="22459" xr:uid="{00000000-0005-0000-0000-0000B2570000}"/>
    <cellStyle name="Normal 3 16 13 14" xfId="22460" xr:uid="{00000000-0005-0000-0000-0000B3570000}"/>
    <cellStyle name="Normal 3 16 13 14 2" xfId="22461" xr:uid="{00000000-0005-0000-0000-0000B4570000}"/>
    <cellStyle name="Normal 3 16 13 14 3" xfId="22462" xr:uid="{00000000-0005-0000-0000-0000B5570000}"/>
    <cellStyle name="Normal 3 16 13 15" xfId="22463" xr:uid="{00000000-0005-0000-0000-0000B6570000}"/>
    <cellStyle name="Normal 3 16 13 16" xfId="22464" xr:uid="{00000000-0005-0000-0000-0000B7570000}"/>
    <cellStyle name="Normal 3 16 13 2" xfId="22465" xr:uid="{00000000-0005-0000-0000-0000B8570000}"/>
    <cellStyle name="Normal 3 16 13 2 2" xfId="22466" xr:uid="{00000000-0005-0000-0000-0000B9570000}"/>
    <cellStyle name="Normal 3 16 13 2 3" xfId="22467" xr:uid="{00000000-0005-0000-0000-0000BA570000}"/>
    <cellStyle name="Normal 3 16 13 3" xfId="22468" xr:uid="{00000000-0005-0000-0000-0000BB570000}"/>
    <cellStyle name="Normal 3 16 13 3 2" xfId="22469" xr:uid="{00000000-0005-0000-0000-0000BC570000}"/>
    <cellStyle name="Normal 3 16 13 3 3" xfId="22470" xr:uid="{00000000-0005-0000-0000-0000BD570000}"/>
    <cellStyle name="Normal 3 16 13 4" xfId="22471" xr:uid="{00000000-0005-0000-0000-0000BE570000}"/>
    <cellStyle name="Normal 3 16 13 4 2" xfId="22472" xr:uid="{00000000-0005-0000-0000-0000BF570000}"/>
    <cellStyle name="Normal 3 16 13 4 3" xfId="22473" xr:uid="{00000000-0005-0000-0000-0000C0570000}"/>
    <cellStyle name="Normal 3 16 13 5" xfId="22474" xr:uid="{00000000-0005-0000-0000-0000C1570000}"/>
    <cellStyle name="Normal 3 16 13 5 2" xfId="22475" xr:uid="{00000000-0005-0000-0000-0000C2570000}"/>
    <cellStyle name="Normal 3 16 13 5 3" xfId="22476" xr:uid="{00000000-0005-0000-0000-0000C3570000}"/>
    <cellStyle name="Normal 3 16 13 6" xfId="22477" xr:uid="{00000000-0005-0000-0000-0000C4570000}"/>
    <cellStyle name="Normal 3 16 13 6 2" xfId="22478" xr:uid="{00000000-0005-0000-0000-0000C5570000}"/>
    <cellStyle name="Normal 3 16 13 6 3" xfId="22479" xr:uid="{00000000-0005-0000-0000-0000C6570000}"/>
    <cellStyle name="Normal 3 16 13 7" xfId="22480" xr:uid="{00000000-0005-0000-0000-0000C7570000}"/>
    <cellStyle name="Normal 3 16 13 7 2" xfId="22481" xr:uid="{00000000-0005-0000-0000-0000C8570000}"/>
    <cellStyle name="Normal 3 16 13 7 3" xfId="22482" xr:uid="{00000000-0005-0000-0000-0000C9570000}"/>
    <cellStyle name="Normal 3 16 13 8" xfId="22483" xr:uid="{00000000-0005-0000-0000-0000CA570000}"/>
    <cellStyle name="Normal 3 16 13 8 2" xfId="22484" xr:uid="{00000000-0005-0000-0000-0000CB570000}"/>
    <cellStyle name="Normal 3 16 13 8 3" xfId="22485" xr:uid="{00000000-0005-0000-0000-0000CC570000}"/>
    <cellStyle name="Normal 3 16 13 9" xfId="22486" xr:uid="{00000000-0005-0000-0000-0000CD570000}"/>
    <cellStyle name="Normal 3 16 13 9 2" xfId="22487" xr:uid="{00000000-0005-0000-0000-0000CE570000}"/>
    <cellStyle name="Normal 3 16 13 9 3" xfId="22488" xr:uid="{00000000-0005-0000-0000-0000CF570000}"/>
    <cellStyle name="Normal 3 16 14" xfId="22489" xr:uid="{00000000-0005-0000-0000-0000D0570000}"/>
    <cellStyle name="Normal 3 16 14 10" xfId="22490" xr:uid="{00000000-0005-0000-0000-0000D1570000}"/>
    <cellStyle name="Normal 3 16 14 10 2" xfId="22491" xr:uid="{00000000-0005-0000-0000-0000D2570000}"/>
    <cellStyle name="Normal 3 16 14 10 3" xfId="22492" xr:uid="{00000000-0005-0000-0000-0000D3570000}"/>
    <cellStyle name="Normal 3 16 14 11" xfId="22493" xr:uid="{00000000-0005-0000-0000-0000D4570000}"/>
    <cellStyle name="Normal 3 16 14 11 2" xfId="22494" xr:uid="{00000000-0005-0000-0000-0000D5570000}"/>
    <cellStyle name="Normal 3 16 14 11 3" xfId="22495" xr:uid="{00000000-0005-0000-0000-0000D6570000}"/>
    <cellStyle name="Normal 3 16 14 12" xfId="22496" xr:uid="{00000000-0005-0000-0000-0000D7570000}"/>
    <cellStyle name="Normal 3 16 14 12 2" xfId="22497" xr:uid="{00000000-0005-0000-0000-0000D8570000}"/>
    <cellStyle name="Normal 3 16 14 12 3" xfId="22498" xr:uid="{00000000-0005-0000-0000-0000D9570000}"/>
    <cellStyle name="Normal 3 16 14 13" xfId="22499" xr:uid="{00000000-0005-0000-0000-0000DA570000}"/>
    <cellStyle name="Normal 3 16 14 13 2" xfId="22500" xr:uid="{00000000-0005-0000-0000-0000DB570000}"/>
    <cellStyle name="Normal 3 16 14 13 3" xfId="22501" xr:uid="{00000000-0005-0000-0000-0000DC570000}"/>
    <cellStyle name="Normal 3 16 14 14" xfId="22502" xr:uid="{00000000-0005-0000-0000-0000DD570000}"/>
    <cellStyle name="Normal 3 16 14 14 2" xfId="22503" xr:uid="{00000000-0005-0000-0000-0000DE570000}"/>
    <cellStyle name="Normal 3 16 14 14 3" xfId="22504" xr:uid="{00000000-0005-0000-0000-0000DF570000}"/>
    <cellStyle name="Normal 3 16 14 15" xfId="22505" xr:uid="{00000000-0005-0000-0000-0000E0570000}"/>
    <cellStyle name="Normal 3 16 14 16" xfId="22506" xr:uid="{00000000-0005-0000-0000-0000E1570000}"/>
    <cellStyle name="Normal 3 16 14 2" xfId="22507" xr:uid="{00000000-0005-0000-0000-0000E2570000}"/>
    <cellStyle name="Normal 3 16 14 2 2" xfId="22508" xr:uid="{00000000-0005-0000-0000-0000E3570000}"/>
    <cellStyle name="Normal 3 16 14 2 3" xfId="22509" xr:uid="{00000000-0005-0000-0000-0000E4570000}"/>
    <cellStyle name="Normal 3 16 14 3" xfId="22510" xr:uid="{00000000-0005-0000-0000-0000E5570000}"/>
    <cellStyle name="Normal 3 16 14 3 2" xfId="22511" xr:uid="{00000000-0005-0000-0000-0000E6570000}"/>
    <cellStyle name="Normal 3 16 14 3 3" xfId="22512" xr:uid="{00000000-0005-0000-0000-0000E7570000}"/>
    <cellStyle name="Normal 3 16 14 4" xfId="22513" xr:uid="{00000000-0005-0000-0000-0000E8570000}"/>
    <cellStyle name="Normal 3 16 14 4 2" xfId="22514" xr:uid="{00000000-0005-0000-0000-0000E9570000}"/>
    <cellStyle name="Normal 3 16 14 4 3" xfId="22515" xr:uid="{00000000-0005-0000-0000-0000EA570000}"/>
    <cellStyle name="Normal 3 16 14 5" xfId="22516" xr:uid="{00000000-0005-0000-0000-0000EB570000}"/>
    <cellStyle name="Normal 3 16 14 5 2" xfId="22517" xr:uid="{00000000-0005-0000-0000-0000EC570000}"/>
    <cellStyle name="Normal 3 16 14 5 3" xfId="22518" xr:uid="{00000000-0005-0000-0000-0000ED570000}"/>
    <cellStyle name="Normal 3 16 14 6" xfId="22519" xr:uid="{00000000-0005-0000-0000-0000EE570000}"/>
    <cellStyle name="Normal 3 16 14 6 2" xfId="22520" xr:uid="{00000000-0005-0000-0000-0000EF570000}"/>
    <cellStyle name="Normal 3 16 14 6 3" xfId="22521" xr:uid="{00000000-0005-0000-0000-0000F0570000}"/>
    <cellStyle name="Normal 3 16 14 7" xfId="22522" xr:uid="{00000000-0005-0000-0000-0000F1570000}"/>
    <cellStyle name="Normal 3 16 14 7 2" xfId="22523" xr:uid="{00000000-0005-0000-0000-0000F2570000}"/>
    <cellStyle name="Normal 3 16 14 7 3" xfId="22524" xr:uid="{00000000-0005-0000-0000-0000F3570000}"/>
    <cellStyle name="Normal 3 16 14 8" xfId="22525" xr:uid="{00000000-0005-0000-0000-0000F4570000}"/>
    <cellStyle name="Normal 3 16 14 8 2" xfId="22526" xr:uid="{00000000-0005-0000-0000-0000F5570000}"/>
    <cellStyle name="Normal 3 16 14 8 3" xfId="22527" xr:uid="{00000000-0005-0000-0000-0000F6570000}"/>
    <cellStyle name="Normal 3 16 14 9" xfId="22528" xr:uid="{00000000-0005-0000-0000-0000F7570000}"/>
    <cellStyle name="Normal 3 16 14 9 2" xfId="22529" xr:uid="{00000000-0005-0000-0000-0000F8570000}"/>
    <cellStyle name="Normal 3 16 14 9 3" xfId="22530" xr:uid="{00000000-0005-0000-0000-0000F9570000}"/>
    <cellStyle name="Normal 3 16 15" xfId="22531" xr:uid="{00000000-0005-0000-0000-0000FA570000}"/>
    <cellStyle name="Normal 3 16 16" xfId="22532" xr:uid="{00000000-0005-0000-0000-0000FB570000}"/>
    <cellStyle name="Normal 3 16 17" xfId="22533" xr:uid="{00000000-0005-0000-0000-0000FC570000}"/>
    <cellStyle name="Normal 3 16 17 10" xfId="22534" xr:uid="{00000000-0005-0000-0000-0000FD570000}"/>
    <cellStyle name="Normal 3 16 17 10 2" xfId="22535" xr:uid="{00000000-0005-0000-0000-0000FE570000}"/>
    <cellStyle name="Normal 3 16 17 10 3" xfId="22536" xr:uid="{00000000-0005-0000-0000-0000FF570000}"/>
    <cellStyle name="Normal 3 16 17 11" xfId="22537" xr:uid="{00000000-0005-0000-0000-000000580000}"/>
    <cellStyle name="Normal 3 16 17 11 2" xfId="22538" xr:uid="{00000000-0005-0000-0000-000001580000}"/>
    <cellStyle name="Normal 3 16 17 11 3" xfId="22539" xr:uid="{00000000-0005-0000-0000-000002580000}"/>
    <cellStyle name="Normal 3 16 17 12" xfId="22540" xr:uid="{00000000-0005-0000-0000-000003580000}"/>
    <cellStyle name="Normal 3 16 17 12 2" xfId="22541" xr:uid="{00000000-0005-0000-0000-000004580000}"/>
    <cellStyle name="Normal 3 16 17 12 3" xfId="22542" xr:uid="{00000000-0005-0000-0000-000005580000}"/>
    <cellStyle name="Normal 3 16 17 13" xfId="22543" xr:uid="{00000000-0005-0000-0000-000006580000}"/>
    <cellStyle name="Normal 3 16 17 13 2" xfId="22544" xr:uid="{00000000-0005-0000-0000-000007580000}"/>
    <cellStyle name="Normal 3 16 17 13 3" xfId="22545" xr:uid="{00000000-0005-0000-0000-000008580000}"/>
    <cellStyle name="Normal 3 16 17 14" xfId="22546" xr:uid="{00000000-0005-0000-0000-000009580000}"/>
    <cellStyle name="Normal 3 16 17 14 2" xfId="22547" xr:uid="{00000000-0005-0000-0000-00000A580000}"/>
    <cellStyle name="Normal 3 16 17 14 3" xfId="22548" xr:uid="{00000000-0005-0000-0000-00000B580000}"/>
    <cellStyle name="Normal 3 16 17 15" xfId="22549" xr:uid="{00000000-0005-0000-0000-00000C580000}"/>
    <cellStyle name="Normal 3 16 17 16" xfId="22550" xr:uid="{00000000-0005-0000-0000-00000D580000}"/>
    <cellStyle name="Normal 3 16 17 2" xfId="22551" xr:uid="{00000000-0005-0000-0000-00000E580000}"/>
    <cellStyle name="Normal 3 16 17 2 2" xfId="22552" xr:uid="{00000000-0005-0000-0000-00000F580000}"/>
    <cellStyle name="Normal 3 16 17 2 3" xfId="22553" xr:uid="{00000000-0005-0000-0000-000010580000}"/>
    <cellStyle name="Normal 3 16 17 3" xfId="22554" xr:uid="{00000000-0005-0000-0000-000011580000}"/>
    <cellStyle name="Normal 3 16 17 3 2" xfId="22555" xr:uid="{00000000-0005-0000-0000-000012580000}"/>
    <cellStyle name="Normal 3 16 17 3 3" xfId="22556" xr:uid="{00000000-0005-0000-0000-000013580000}"/>
    <cellStyle name="Normal 3 16 17 4" xfId="22557" xr:uid="{00000000-0005-0000-0000-000014580000}"/>
    <cellStyle name="Normal 3 16 17 4 2" xfId="22558" xr:uid="{00000000-0005-0000-0000-000015580000}"/>
    <cellStyle name="Normal 3 16 17 4 3" xfId="22559" xr:uid="{00000000-0005-0000-0000-000016580000}"/>
    <cellStyle name="Normal 3 16 17 5" xfId="22560" xr:uid="{00000000-0005-0000-0000-000017580000}"/>
    <cellStyle name="Normal 3 16 17 5 2" xfId="22561" xr:uid="{00000000-0005-0000-0000-000018580000}"/>
    <cellStyle name="Normal 3 16 17 5 3" xfId="22562" xr:uid="{00000000-0005-0000-0000-000019580000}"/>
    <cellStyle name="Normal 3 16 17 6" xfId="22563" xr:uid="{00000000-0005-0000-0000-00001A580000}"/>
    <cellStyle name="Normal 3 16 17 6 2" xfId="22564" xr:uid="{00000000-0005-0000-0000-00001B580000}"/>
    <cellStyle name="Normal 3 16 17 6 3" xfId="22565" xr:uid="{00000000-0005-0000-0000-00001C580000}"/>
    <cellStyle name="Normal 3 16 17 7" xfId="22566" xr:uid="{00000000-0005-0000-0000-00001D580000}"/>
    <cellStyle name="Normal 3 16 17 7 2" xfId="22567" xr:uid="{00000000-0005-0000-0000-00001E580000}"/>
    <cellStyle name="Normal 3 16 17 7 3" xfId="22568" xr:uid="{00000000-0005-0000-0000-00001F580000}"/>
    <cellStyle name="Normal 3 16 17 8" xfId="22569" xr:uid="{00000000-0005-0000-0000-000020580000}"/>
    <cellStyle name="Normal 3 16 17 8 2" xfId="22570" xr:uid="{00000000-0005-0000-0000-000021580000}"/>
    <cellStyle name="Normal 3 16 17 8 3" xfId="22571" xr:uid="{00000000-0005-0000-0000-000022580000}"/>
    <cellStyle name="Normal 3 16 17 9" xfId="22572" xr:uid="{00000000-0005-0000-0000-000023580000}"/>
    <cellStyle name="Normal 3 16 17 9 2" xfId="22573" xr:uid="{00000000-0005-0000-0000-000024580000}"/>
    <cellStyle name="Normal 3 16 17 9 3" xfId="22574" xr:uid="{00000000-0005-0000-0000-000025580000}"/>
    <cellStyle name="Normal 3 16 18" xfId="22575" xr:uid="{00000000-0005-0000-0000-000026580000}"/>
    <cellStyle name="Normal 3 16 18 10" xfId="22576" xr:uid="{00000000-0005-0000-0000-000027580000}"/>
    <cellStyle name="Normal 3 16 18 10 2" xfId="22577" xr:uid="{00000000-0005-0000-0000-000028580000}"/>
    <cellStyle name="Normal 3 16 18 10 3" xfId="22578" xr:uid="{00000000-0005-0000-0000-000029580000}"/>
    <cellStyle name="Normal 3 16 18 11" xfId="22579" xr:uid="{00000000-0005-0000-0000-00002A580000}"/>
    <cellStyle name="Normal 3 16 18 11 2" xfId="22580" xr:uid="{00000000-0005-0000-0000-00002B580000}"/>
    <cellStyle name="Normal 3 16 18 11 3" xfId="22581" xr:uid="{00000000-0005-0000-0000-00002C580000}"/>
    <cellStyle name="Normal 3 16 18 12" xfId="22582" xr:uid="{00000000-0005-0000-0000-00002D580000}"/>
    <cellStyle name="Normal 3 16 18 12 2" xfId="22583" xr:uid="{00000000-0005-0000-0000-00002E580000}"/>
    <cellStyle name="Normal 3 16 18 12 3" xfId="22584" xr:uid="{00000000-0005-0000-0000-00002F580000}"/>
    <cellStyle name="Normal 3 16 18 13" xfId="22585" xr:uid="{00000000-0005-0000-0000-000030580000}"/>
    <cellStyle name="Normal 3 16 18 13 2" xfId="22586" xr:uid="{00000000-0005-0000-0000-000031580000}"/>
    <cellStyle name="Normal 3 16 18 13 3" xfId="22587" xr:uid="{00000000-0005-0000-0000-000032580000}"/>
    <cellStyle name="Normal 3 16 18 14" xfId="22588" xr:uid="{00000000-0005-0000-0000-000033580000}"/>
    <cellStyle name="Normal 3 16 18 14 2" xfId="22589" xr:uid="{00000000-0005-0000-0000-000034580000}"/>
    <cellStyle name="Normal 3 16 18 14 3" xfId="22590" xr:uid="{00000000-0005-0000-0000-000035580000}"/>
    <cellStyle name="Normal 3 16 18 15" xfId="22591" xr:uid="{00000000-0005-0000-0000-000036580000}"/>
    <cellStyle name="Normal 3 16 18 16" xfId="22592" xr:uid="{00000000-0005-0000-0000-000037580000}"/>
    <cellStyle name="Normal 3 16 18 2" xfId="22593" xr:uid="{00000000-0005-0000-0000-000038580000}"/>
    <cellStyle name="Normal 3 16 18 2 2" xfId="22594" xr:uid="{00000000-0005-0000-0000-000039580000}"/>
    <cellStyle name="Normal 3 16 18 2 3" xfId="22595" xr:uid="{00000000-0005-0000-0000-00003A580000}"/>
    <cellStyle name="Normal 3 16 18 3" xfId="22596" xr:uid="{00000000-0005-0000-0000-00003B580000}"/>
    <cellStyle name="Normal 3 16 18 3 2" xfId="22597" xr:uid="{00000000-0005-0000-0000-00003C580000}"/>
    <cellStyle name="Normal 3 16 18 3 3" xfId="22598" xr:uid="{00000000-0005-0000-0000-00003D580000}"/>
    <cellStyle name="Normal 3 16 18 4" xfId="22599" xr:uid="{00000000-0005-0000-0000-00003E580000}"/>
    <cellStyle name="Normal 3 16 18 4 2" xfId="22600" xr:uid="{00000000-0005-0000-0000-00003F580000}"/>
    <cellStyle name="Normal 3 16 18 4 3" xfId="22601" xr:uid="{00000000-0005-0000-0000-000040580000}"/>
    <cellStyle name="Normal 3 16 18 5" xfId="22602" xr:uid="{00000000-0005-0000-0000-000041580000}"/>
    <cellStyle name="Normal 3 16 18 5 2" xfId="22603" xr:uid="{00000000-0005-0000-0000-000042580000}"/>
    <cellStyle name="Normal 3 16 18 5 3" xfId="22604" xr:uid="{00000000-0005-0000-0000-000043580000}"/>
    <cellStyle name="Normal 3 16 18 6" xfId="22605" xr:uid="{00000000-0005-0000-0000-000044580000}"/>
    <cellStyle name="Normal 3 16 18 6 2" xfId="22606" xr:uid="{00000000-0005-0000-0000-000045580000}"/>
    <cellStyle name="Normal 3 16 18 6 3" xfId="22607" xr:uid="{00000000-0005-0000-0000-000046580000}"/>
    <cellStyle name="Normal 3 16 18 7" xfId="22608" xr:uid="{00000000-0005-0000-0000-000047580000}"/>
    <cellStyle name="Normal 3 16 18 7 2" xfId="22609" xr:uid="{00000000-0005-0000-0000-000048580000}"/>
    <cellStyle name="Normal 3 16 18 7 3" xfId="22610" xr:uid="{00000000-0005-0000-0000-000049580000}"/>
    <cellStyle name="Normal 3 16 18 8" xfId="22611" xr:uid="{00000000-0005-0000-0000-00004A580000}"/>
    <cellStyle name="Normal 3 16 18 8 2" xfId="22612" xr:uid="{00000000-0005-0000-0000-00004B580000}"/>
    <cellStyle name="Normal 3 16 18 8 3" xfId="22613" xr:uid="{00000000-0005-0000-0000-00004C580000}"/>
    <cellStyle name="Normal 3 16 18 9" xfId="22614" xr:uid="{00000000-0005-0000-0000-00004D580000}"/>
    <cellStyle name="Normal 3 16 18 9 2" xfId="22615" xr:uid="{00000000-0005-0000-0000-00004E580000}"/>
    <cellStyle name="Normal 3 16 18 9 3" xfId="22616" xr:uid="{00000000-0005-0000-0000-00004F580000}"/>
    <cellStyle name="Normal 3 16 19" xfId="22617" xr:uid="{00000000-0005-0000-0000-000050580000}"/>
    <cellStyle name="Normal 3 16 19 2" xfId="22618" xr:uid="{00000000-0005-0000-0000-000051580000}"/>
    <cellStyle name="Normal 3 16 19 2 2" xfId="22619" xr:uid="{00000000-0005-0000-0000-000052580000}"/>
    <cellStyle name="Normal 3 16 19 2 3" xfId="22620" xr:uid="{00000000-0005-0000-0000-000053580000}"/>
    <cellStyle name="Normal 3 16 19 3" xfId="22621" xr:uid="{00000000-0005-0000-0000-000054580000}"/>
    <cellStyle name="Normal 3 16 2" xfId="22622" xr:uid="{00000000-0005-0000-0000-000055580000}"/>
    <cellStyle name="Normal 3 16 2 10" xfId="22623" xr:uid="{00000000-0005-0000-0000-000056580000}"/>
    <cellStyle name="Normal 3 16 2 10 2" xfId="22624" xr:uid="{00000000-0005-0000-0000-000057580000}"/>
    <cellStyle name="Normal 3 16 2 10 3" xfId="22625" xr:uid="{00000000-0005-0000-0000-000058580000}"/>
    <cellStyle name="Normal 3 16 2 11" xfId="22626" xr:uid="{00000000-0005-0000-0000-000059580000}"/>
    <cellStyle name="Normal 3 16 2 11 2" xfId="22627" xr:uid="{00000000-0005-0000-0000-00005A580000}"/>
    <cellStyle name="Normal 3 16 2 11 3" xfId="22628" xr:uid="{00000000-0005-0000-0000-00005B580000}"/>
    <cellStyle name="Normal 3 16 2 12" xfId="22629" xr:uid="{00000000-0005-0000-0000-00005C580000}"/>
    <cellStyle name="Normal 3 16 2 12 2" xfId="22630" xr:uid="{00000000-0005-0000-0000-00005D580000}"/>
    <cellStyle name="Normal 3 16 2 12 3" xfId="22631" xr:uid="{00000000-0005-0000-0000-00005E580000}"/>
    <cellStyle name="Normal 3 16 2 13" xfId="22632" xr:uid="{00000000-0005-0000-0000-00005F580000}"/>
    <cellStyle name="Normal 3 16 2 13 2" xfId="22633" xr:uid="{00000000-0005-0000-0000-000060580000}"/>
    <cellStyle name="Normal 3 16 2 13 3" xfId="22634" xr:uid="{00000000-0005-0000-0000-000061580000}"/>
    <cellStyle name="Normal 3 16 2 14" xfId="22635" xr:uid="{00000000-0005-0000-0000-000062580000}"/>
    <cellStyle name="Normal 3 16 2 14 2" xfId="22636" xr:uid="{00000000-0005-0000-0000-000063580000}"/>
    <cellStyle name="Normal 3 16 2 14 3" xfId="22637" xr:uid="{00000000-0005-0000-0000-000064580000}"/>
    <cellStyle name="Normal 3 16 2 15" xfId="22638" xr:uid="{00000000-0005-0000-0000-000065580000}"/>
    <cellStyle name="Normal 3 16 2 15 2" xfId="22639" xr:uid="{00000000-0005-0000-0000-000066580000}"/>
    <cellStyle name="Normal 3 16 2 15 3" xfId="22640" xr:uid="{00000000-0005-0000-0000-000067580000}"/>
    <cellStyle name="Normal 3 16 2 16" xfId="22641" xr:uid="{00000000-0005-0000-0000-000068580000}"/>
    <cellStyle name="Normal 3 16 2 16 2" xfId="22642" xr:uid="{00000000-0005-0000-0000-000069580000}"/>
    <cellStyle name="Normal 3 16 2 16 3" xfId="22643" xr:uid="{00000000-0005-0000-0000-00006A580000}"/>
    <cellStyle name="Normal 3 16 2 17" xfId="22644" xr:uid="{00000000-0005-0000-0000-00006B580000}"/>
    <cellStyle name="Normal 3 16 2 17 2" xfId="22645" xr:uid="{00000000-0005-0000-0000-00006C580000}"/>
    <cellStyle name="Normal 3 16 2 17 3" xfId="22646" xr:uid="{00000000-0005-0000-0000-00006D580000}"/>
    <cellStyle name="Normal 3 16 2 18" xfId="22647" xr:uid="{00000000-0005-0000-0000-00006E580000}"/>
    <cellStyle name="Normal 3 16 2 19" xfId="22648" xr:uid="{00000000-0005-0000-0000-00006F580000}"/>
    <cellStyle name="Normal 3 16 2 2" xfId="22649" xr:uid="{00000000-0005-0000-0000-000070580000}"/>
    <cellStyle name="Normal 3 16 2 2 2" xfId="22650" xr:uid="{00000000-0005-0000-0000-000071580000}"/>
    <cellStyle name="Normal 3 16 2 2 2 2" xfId="22651" xr:uid="{00000000-0005-0000-0000-000072580000}"/>
    <cellStyle name="Normal 3 16 2 2 2 3" xfId="22652" xr:uid="{00000000-0005-0000-0000-000073580000}"/>
    <cellStyle name="Normal 3 16 2 2 3" xfId="22653" xr:uid="{00000000-0005-0000-0000-000074580000}"/>
    <cellStyle name="Normal 3 16 2 2 4" xfId="22654" xr:uid="{00000000-0005-0000-0000-000075580000}"/>
    <cellStyle name="Normal 3 16 2 3" xfId="22655" xr:uid="{00000000-0005-0000-0000-000076580000}"/>
    <cellStyle name="Normal 3 16 2 4" xfId="22656" xr:uid="{00000000-0005-0000-0000-000077580000}"/>
    <cellStyle name="Normal 3 16 2 5" xfId="22657" xr:uid="{00000000-0005-0000-0000-000078580000}"/>
    <cellStyle name="Normal 3 16 2 5 2" xfId="22658" xr:uid="{00000000-0005-0000-0000-000079580000}"/>
    <cellStyle name="Normal 3 16 2 5 3" xfId="22659" xr:uid="{00000000-0005-0000-0000-00007A580000}"/>
    <cellStyle name="Normal 3 16 2 6" xfId="22660" xr:uid="{00000000-0005-0000-0000-00007B580000}"/>
    <cellStyle name="Normal 3 16 2 6 2" xfId="22661" xr:uid="{00000000-0005-0000-0000-00007C580000}"/>
    <cellStyle name="Normal 3 16 2 6 3" xfId="22662" xr:uid="{00000000-0005-0000-0000-00007D580000}"/>
    <cellStyle name="Normal 3 16 2 7" xfId="22663" xr:uid="{00000000-0005-0000-0000-00007E580000}"/>
    <cellStyle name="Normal 3 16 2 7 2" xfId="22664" xr:uid="{00000000-0005-0000-0000-00007F580000}"/>
    <cellStyle name="Normal 3 16 2 7 3" xfId="22665" xr:uid="{00000000-0005-0000-0000-000080580000}"/>
    <cellStyle name="Normal 3 16 2 8" xfId="22666" xr:uid="{00000000-0005-0000-0000-000081580000}"/>
    <cellStyle name="Normal 3 16 2 8 2" xfId="22667" xr:uid="{00000000-0005-0000-0000-000082580000}"/>
    <cellStyle name="Normal 3 16 2 8 3" xfId="22668" xr:uid="{00000000-0005-0000-0000-000083580000}"/>
    <cellStyle name="Normal 3 16 2 9" xfId="22669" xr:uid="{00000000-0005-0000-0000-000084580000}"/>
    <cellStyle name="Normal 3 16 2 9 2" xfId="22670" xr:uid="{00000000-0005-0000-0000-000085580000}"/>
    <cellStyle name="Normal 3 16 2 9 3" xfId="22671" xr:uid="{00000000-0005-0000-0000-000086580000}"/>
    <cellStyle name="Normal 3 16 20" xfId="22672" xr:uid="{00000000-0005-0000-0000-000087580000}"/>
    <cellStyle name="Normal 3 16 20 2" xfId="22673" xr:uid="{00000000-0005-0000-0000-000088580000}"/>
    <cellStyle name="Normal 3 16 20 3" xfId="22674" xr:uid="{00000000-0005-0000-0000-000089580000}"/>
    <cellStyle name="Normal 3 16 21" xfId="22675" xr:uid="{00000000-0005-0000-0000-00008A580000}"/>
    <cellStyle name="Normal 3 16 21 2" xfId="22676" xr:uid="{00000000-0005-0000-0000-00008B580000}"/>
    <cellStyle name="Normal 3 16 21 3" xfId="22677" xr:uid="{00000000-0005-0000-0000-00008C580000}"/>
    <cellStyle name="Normal 3 16 22" xfId="22678" xr:uid="{00000000-0005-0000-0000-00008D580000}"/>
    <cellStyle name="Normal 3 16 22 2" xfId="22679" xr:uid="{00000000-0005-0000-0000-00008E580000}"/>
    <cellStyle name="Normal 3 16 22 3" xfId="22680" xr:uid="{00000000-0005-0000-0000-00008F580000}"/>
    <cellStyle name="Normal 3 16 23" xfId="22681" xr:uid="{00000000-0005-0000-0000-000090580000}"/>
    <cellStyle name="Normal 3 16 23 2" xfId="22682" xr:uid="{00000000-0005-0000-0000-000091580000}"/>
    <cellStyle name="Normal 3 16 23 3" xfId="22683" xr:uid="{00000000-0005-0000-0000-000092580000}"/>
    <cellStyle name="Normal 3 16 24" xfId="22684" xr:uid="{00000000-0005-0000-0000-000093580000}"/>
    <cellStyle name="Normal 3 16 24 2" xfId="22685" xr:uid="{00000000-0005-0000-0000-000094580000}"/>
    <cellStyle name="Normal 3 16 24 3" xfId="22686" xr:uid="{00000000-0005-0000-0000-000095580000}"/>
    <cellStyle name="Normal 3 16 25" xfId="22687" xr:uid="{00000000-0005-0000-0000-000096580000}"/>
    <cellStyle name="Normal 3 16 25 2" xfId="22688" xr:uid="{00000000-0005-0000-0000-000097580000}"/>
    <cellStyle name="Normal 3 16 25 3" xfId="22689" xr:uid="{00000000-0005-0000-0000-000098580000}"/>
    <cellStyle name="Normal 3 16 26" xfId="22690" xr:uid="{00000000-0005-0000-0000-000099580000}"/>
    <cellStyle name="Normal 3 16 26 2" xfId="22691" xr:uid="{00000000-0005-0000-0000-00009A580000}"/>
    <cellStyle name="Normal 3 16 26 3" xfId="22692" xr:uid="{00000000-0005-0000-0000-00009B580000}"/>
    <cellStyle name="Normal 3 16 27" xfId="22693" xr:uid="{00000000-0005-0000-0000-00009C580000}"/>
    <cellStyle name="Normal 3 16 27 2" xfId="22694" xr:uid="{00000000-0005-0000-0000-00009D580000}"/>
    <cellStyle name="Normal 3 16 27 3" xfId="22695" xr:uid="{00000000-0005-0000-0000-00009E580000}"/>
    <cellStyle name="Normal 3 16 28" xfId="22696" xr:uid="{00000000-0005-0000-0000-00009F580000}"/>
    <cellStyle name="Normal 3 16 28 2" xfId="22697" xr:uid="{00000000-0005-0000-0000-0000A0580000}"/>
    <cellStyle name="Normal 3 16 28 3" xfId="22698" xr:uid="{00000000-0005-0000-0000-0000A1580000}"/>
    <cellStyle name="Normal 3 16 29" xfId="22699" xr:uid="{00000000-0005-0000-0000-0000A2580000}"/>
    <cellStyle name="Normal 3 16 29 2" xfId="22700" xr:uid="{00000000-0005-0000-0000-0000A3580000}"/>
    <cellStyle name="Normal 3 16 29 3" xfId="22701" xr:uid="{00000000-0005-0000-0000-0000A4580000}"/>
    <cellStyle name="Normal 3 16 3" xfId="22702" xr:uid="{00000000-0005-0000-0000-0000A5580000}"/>
    <cellStyle name="Normal 3 16 30" xfId="22703" xr:uid="{00000000-0005-0000-0000-0000A6580000}"/>
    <cellStyle name="Normal 3 16 31" xfId="22704" xr:uid="{00000000-0005-0000-0000-0000A7580000}"/>
    <cellStyle name="Normal 3 16 4" xfId="22705" xr:uid="{00000000-0005-0000-0000-0000A8580000}"/>
    <cellStyle name="Normal 3 16 5" xfId="22706" xr:uid="{00000000-0005-0000-0000-0000A9580000}"/>
    <cellStyle name="Normal 3 16 6" xfId="22707" xr:uid="{00000000-0005-0000-0000-0000AA580000}"/>
    <cellStyle name="Normal 3 16 6 10" xfId="22708" xr:uid="{00000000-0005-0000-0000-0000AB580000}"/>
    <cellStyle name="Normal 3 16 6 10 2" xfId="22709" xr:uid="{00000000-0005-0000-0000-0000AC580000}"/>
    <cellStyle name="Normal 3 16 6 10 3" xfId="22710" xr:uid="{00000000-0005-0000-0000-0000AD580000}"/>
    <cellStyle name="Normal 3 16 6 11" xfId="22711" xr:uid="{00000000-0005-0000-0000-0000AE580000}"/>
    <cellStyle name="Normal 3 16 6 11 2" xfId="22712" xr:uid="{00000000-0005-0000-0000-0000AF580000}"/>
    <cellStyle name="Normal 3 16 6 11 3" xfId="22713" xr:uid="{00000000-0005-0000-0000-0000B0580000}"/>
    <cellStyle name="Normal 3 16 6 12" xfId="22714" xr:uid="{00000000-0005-0000-0000-0000B1580000}"/>
    <cellStyle name="Normal 3 16 6 12 2" xfId="22715" xr:uid="{00000000-0005-0000-0000-0000B2580000}"/>
    <cellStyle name="Normal 3 16 6 12 3" xfId="22716" xr:uid="{00000000-0005-0000-0000-0000B3580000}"/>
    <cellStyle name="Normal 3 16 6 13" xfId="22717" xr:uid="{00000000-0005-0000-0000-0000B4580000}"/>
    <cellStyle name="Normal 3 16 6 13 2" xfId="22718" xr:uid="{00000000-0005-0000-0000-0000B5580000}"/>
    <cellStyle name="Normal 3 16 6 13 3" xfId="22719" xr:uid="{00000000-0005-0000-0000-0000B6580000}"/>
    <cellStyle name="Normal 3 16 6 14" xfId="22720" xr:uid="{00000000-0005-0000-0000-0000B7580000}"/>
    <cellStyle name="Normal 3 16 6 14 2" xfId="22721" xr:uid="{00000000-0005-0000-0000-0000B8580000}"/>
    <cellStyle name="Normal 3 16 6 14 3" xfId="22722" xr:uid="{00000000-0005-0000-0000-0000B9580000}"/>
    <cellStyle name="Normal 3 16 6 15" xfId="22723" xr:uid="{00000000-0005-0000-0000-0000BA580000}"/>
    <cellStyle name="Normal 3 16 6 15 2" xfId="22724" xr:uid="{00000000-0005-0000-0000-0000BB580000}"/>
    <cellStyle name="Normal 3 16 6 15 3" xfId="22725" xr:uid="{00000000-0005-0000-0000-0000BC580000}"/>
    <cellStyle name="Normal 3 16 6 16" xfId="22726" xr:uid="{00000000-0005-0000-0000-0000BD580000}"/>
    <cellStyle name="Normal 3 16 6 17" xfId="22727" xr:uid="{00000000-0005-0000-0000-0000BE580000}"/>
    <cellStyle name="Normal 3 16 6 2" xfId="22728" xr:uid="{00000000-0005-0000-0000-0000BF580000}"/>
    <cellStyle name="Normal 3 16 6 2 10" xfId="22729" xr:uid="{00000000-0005-0000-0000-0000C0580000}"/>
    <cellStyle name="Normal 3 16 6 2 10 2" xfId="22730" xr:uid="{00000000-0005-0000-0000-0000C1580000}"/>
    <cellStyle name="Normal 3 16 6 2 10 3" xfId="22731" xr:uid="{00000000-0005-0000-0000-0000C2580000}"/>
    <cellStyle name="Normal 3 16 6 2 11" xfId="22732" xr:uid="{00000000-0005-0000-0000-0000C3580000}"/>
    <cellStyle name="Normal 3 16 6 2 11 2" xfId="22733" xr:uid="{00000000-0005-0000-0000-0000C4580000}"/>
    <cellStyle name="Normal 3 16 6 2 11 3" xfId="22734" xr:uid="{00000000-0005-0000-0000-0000C5580000}"/>
    <cellStyle name="Normal 3 16 6 2 12" xfId="22735" xr:uid="{00000000-0005-0000-0000-0000C6580000}"/>
    <cellStyle name="Normal 3 16 6 2 12 2" xfId="22736" xr:uid="{00000000-0005-0000-0000-0000C7580000}"/>
    <cellStyle name="Normal 3 16 6 2 12 3" xfId="22737" xr:uid="{00000000-0005-0000-0000-0000C8580000}"/>
    <cellStyle name="Normal 3 16 6 2 13" xfId="22738" xr:uid="{00000000-0005-0000-0000-0000C9580000}"/>
    <cellStyle name="Normal 3 16 6 2 13 2" xfId="22739" xr:uid="{00000000-0005-0000-0000-0000CA580000}"/>
    <cellStyle name="Normal 3 16 6 2 13 3" xfId="22740" xr:uid="{00000000-0005-0000-0000-0000CB580000}"/>
    <cellStyle name="Normal 3 16 6 2 14" xfId="22741" xr:uid="{00000000-0005-0000-0000-0000CC580000}"/>
    <cellStyle name="Normal 3 16 6 2 14 2" xfId="22742" xr:uid="{00000000-0005-0000-0000-0000CD580000}"/>
    <cellStyle name="Normal 3 16 6 2 14 3" xfId="22743" xr:uid="{00000000-0005-0000-0000-0000CE580000}"/>
    <cellStyle name="Normal 3 16 6 2 15" xfId="22744" xr:uid="{00000000-0005-0000-0000-0000CF580000}"/>
    <cellStyle name="Normal 3 16 6 2 16" xfId="22745" xr:uid="{00000000-0005-0000-0000-0000D0580000}"/>
    <cellStyle name="Normal 3 16 6 2 2" xfId="22746" xr:uid="{00000000-0005-0000-0000-0000D1580000}"/>
    <cellStyle name="Normal 3 16 6 2 2 2" xfId="22747" xr:uid="{00000000-0005-0000-0000-0000D2580000}"/>
    <cellStyle name="Normal 3 16 6 2 2 3" xfId="22748" xr:uid="{00000000-0005-0000-0000-0000D3580000}"/>
    <cellStyle name="Normal 3 16 6 2 3" xfId="22749" xr:uid="{00000000-0005-0000-0000-0000D4580000}"/>
    <cellStyle name="Normal 3 16 6 2 3 2" xfId="22750" xr:uid="{00000000-0005-0000-0000-0000D5580000}"/>
    <cellStyle name="Normal 3 16 6 2 3 3" xfId="22751" xr:uid="{00000000-0005-0000-0000-0000D6580000}"/>
    <cellStyle name="Normal 3 16 6 2 4" xfId="22752" xr:uid="{00000000-0005-0000-0000-0000D7580000}"/>
    <cellStyle name="Normal 3 16 6 2 4 2" xfId="22753" xr:uid="{00000000-0005-0000-0000-0000D8580000}"/>
    <cellStyle name="Normal 3 16 6 2 4 3" xfId="22754" xr:uid="{00000000-0005-0000-0000-0000D9580000}"/>
    <cellStyle name="Normal 3 16 6 2 5" xfId="22755" xr:uid="{00000000-0005-0000-0000-0000DA580000}"/>
    <cellStyle name="Normal 3 16 6 2 5 2" xfId="22756" xr:uid="{00000000-0005-0000-0000-0000DB580000}"/>
    <cellStyle name="Normal 3 16 6 2 5 3" xfId="22757" xr:uid="{00000000-0005-0000-0000-0000DC580000}"/>
    <cellStyle name="Normal 3 16 6 2 6" xfId="22758" xr:uid="{00000000-0005-0000-0000-0000DD580000}"/>
    <cellStyle name="Normal 3 16 6 2 6 2" xfId="22759" xr:uid="{00000000-0005-0000-0000-0000DE580000}"/>
    <cellStyle name="Normal 3 16 6 2 6 3" xfId="22760" xr:uid="{00000000-0005-0000-0000-0000DF580000}"/>
    <cellStyle name="Normal 3 16 6 2 7" xfId="22761" xr:uid="{00000000-0005-0000-0000-0000E0580000}"/>
    <cellStyle name="Normal 3 16 6 2 7 2" xfId="22762" xr:uid="{00000000-0005-0000-0000-0000E1580000}"/>
    <cellStyle name="Normal 3 16 6 2 7 3" xfId="22763" xr:uid="{00000000-0005-0000-0000-0000E2580000}"/>
    <cellStyle name="Normal 3 16 6 2 8" xfId="22764" xr:uid="{00000000-0005-0000-0000-0000E3580000}"/>
    <cellStyle name="Normal 3 16 6 2 8 2" xfId="22765" xr:uid="{00000000-0005-0000-0000-0000E4580000}"/>
    <cellStyle name="Normal 3 16 6 2 8 3" xfId="22766" xr:uid="{00000000-0005-0000-0000-0000E5580000}"/>
    <cellStyle name="Normal 3 16 6 2 9" xfId="22767" xr:uid="{00000000-0005-0000-0000-0000E6580000}"/>
    <cellStyle name="Normal 3 16 6 2 9 2" xfId="22768" xr:uid="{00000000-0005-0000-0000-0000E7580000}"/>
    <cellStyle name="Normal 3 16 6 2 9 3" xfId="22769" xr:uid="{00000000-0005-0000-0000-0000E8580000}"/>
    <cellStyle name="Normal 3 16 6 3" xfId="22770" xr:uid="{00000000-0005-0000-0000-0000E9580000}"/>
    <cellStyle name="Normal 3 16 6 3 2" xfId="22771" xr:uid="{00000000-0005-0000-0000-0000EA580000}"/>
    <cellStyle name="Normal 3 16 6 3 3" xfId="22772" xr:uid="{00000000-0005-0000-0000-0000EB580000}"/>
    <cellStyle name="Normal 3 16 6 4" xfId="22773" xr:uid="{00000000-0005-0000-0000-0000EC580000}"/>
    <cellStyle name="Normal 3 16 6 4 2" xfId="22774" xr:uid="{00000000-0005-0000-0000-0000ED580000}"/>
    <cellStyle name="Normal 3 16 6 4 3" xfId="22775" xr:uid="{00000000-0005-0000-0000-0000EE580000}"/>
    <cellStyle name="Normal 3 16 6 5" xfId="22776" xr:uid="{00000000-0005-0000-0000-0000EF580000}"/>
    <cellStyle name="Normal 3 16 6 5 2" xfId="22777" xr:uid="{00000000-0005-0000-0000-0000F0580000}"/>
    <cellStyle name="Normal 3 16 6 5 3" xfId="22778" xr:uid="{00000000-0005-0000-0000-0000F1580000}"/>
    <cellStyle name="Normal 3 16 6 6" xfId="22779" xr:uid="{00000000-0005-0000-0000-0000F2580000}"/>
    <cellStyle name="Normal 3 16 6 6 2" xfId="22780" xr:uid="{00000000-0005-0000-0000-0000F3580000}"/>
    <cellStyle name="Normal 3 16 6 6 3" xfId="22781" xr:uid="{00000000-0005-0000-0000-0000F4580000}"/>
    <cellStyle name="Normal 3 16 6 7" xfId="22782" xr:uid="{00000000-0005-0000-0000-0000F5580000}"/>
    <cellStyle name="Normal 3 16 6 7 2" xfId="22783" xr:uid="{00000000-0005-0000-0000-0000F6580000}"/>
    <cellStyle name="Normal 3 16 6 7 3" xfId="22784" xr:uid="{00000000-0005-0000-0000-0000F7580000}"/>
    <cellStyle name="Normal 3 16 6 8" xfId="22785" xr:uid="{00000000-0005-0000-0000-0000F8580000}"/>
    <cellStyle name="Normal 3 16 6 8 2" xfId="22786" xr:uid="{00000000-0005-0000-0000-0000F9580000}"/>
    <cellStyle name="Normal 3 16 6 8 3" xfId="22787" xr:uid="{00000000-0005-0000-0000-0000FA580000}"/>
    <cellStyle name="Normal 3 16 6 9" xfId="22788" xr:uid="{00000000-0005-0000-0000-0000FB580000}"/>
    <cellStyle name="Normal 3 16 6 9 2" xfId="22789" xr:uid="{00000000-0005-0000-0000-0000FC580000}"/>
    <cellStyle name="Normal 3 16 6 9 3" xfId="22790" xr:uid="{00000000-0005-0000-0000-0000FD580000}"/>
    <cellStyle name="Normal 3 16 7" xfId="22791" xr:uid="{00000000-0005-0000-0000-0000FE580000}"/>
    <cellStyle name="Normal 3 16 7 10" xfId="22792" xr:uid="{00000000-0005-0000-0000-0000FF580000}"/>
    <cellStyle name="Normal 3 16 7 10 2" xfId="22793" xr:uid="{00000000-0005-0000-0000-000000590000}"/>
    <cellStyle name="Normal 3 16 7 10 3" xfId="22794" xr:uid="{00000000-0005-0000-0000-000001590000}"/>
    <cellStyle name="Normal 3 16 7 11" xfId="22795" xr:uid="{00000000-0005-0000-0000-000002590000}"/>
    <cellStyle name="Normal 3 16 7 11 2" xfId="22796" xr:uid="{00000000-0005-0000-0000-000003590000}"/>
    <cellStyle name="Normal 3 16 7 11 3" xfId="22797" xr:uid="{00000000-0005-0000-0000-000004590000}"/>
    <cellStyle name="Normal 3 16 7 12" xfId="22798" xr:uid="{00000000-0005-0000-0000-000005590000}"/>
    <cellStyle name="Normal 3 16 7 12 2" xfId="22799" xr:uid="{00000000-0005-0000-0000-000006590000}"/>
    <cellStyle name="Normal 3 16 7 12 3" xfId="22800" xr:uid="{00000000-0005-0000-0000-000007590000}"/>
    <cellStyle name="Normal 3 16 7 13" xfId="22801" xr:uid="{00000000-0005-0000-0000-000008590000}"/>
    <cellStyle name="Normal 3 16 7 13 2" xfId="22802" xr:uid="{00000000-0005-0000-0000-000009590000}"/>
    <cellStyle name="Normal 3 16 7 13 3" xfId="22803" xr:uid="{00000000-0005-0000-0000-00000A590000}"/>
    <cellStyle name="Normal 3 16 7 14" xfId="22804" xr:uid="{00000000-0005-0000-0000-00000B590000}"/>
    <cellStyle name="Normal 3 16 7 14 2" xfId="22805" xr:uid="{00000000-0005-0000-0000-00000C590000}"/>
    <cellStyle name="Normal 3 16 7 14 3" xfId="22806" xr:uid="{00000000-0005-0000-0000-00000D590000}"/>
    <cellStyle name="Normal 3 16 7 15" xfId="22807" xr:uid="{00000000-0005-0000-0000-00000E590000}"/>
    <cellStyle name="Normal 3 16 7 15 2" xfId="22808" xr:uid="{00000000-0005-0000-0000-00000F590000}"/>
    <cellStyle name="Normal 3 16 7 15 3" xfId="22809" xr:uid="{00000000-0005-0000-0000-000010590000}"/>
    <cellStyle name="Normal 3 16 7 16" xfId="22810" xr:uid="{00000000-0005-0000-0000-000011590000}"/>
    <cellStyle name="Normal 3 16 7 17" xfId="22811" xr:uid="{00000000-0005-0000-0000-000012590000}"/>
    <cellStyle name="Normal 3 16 7 2" xfId="22812" xr:uid="{00000000-0005-0000-0000-000013590000}"/>
    <cellStyle name="Normal 3 16 7 2 10" xfId="22813" xr:uid="{00000000-0005-0000-0000-000014590000}"/>
    <cellStyle name="Normal 3 16 7 2 10 2" xfId="22814" xr:uid="{00000000-0005-0000-0000-000015590000}"/>
    <cellStyle name="Normal 3 16 7 2 10 3" xfId="22815" xr:uid="{00000000-0005-0000-0000-000016590000}"/>
    <cellStyle name="Normal 3 16 7 2 11" xfId="22816" xr:uid="{00000000-0005-0000-0000-000017590000}"/>
    <cellStyle name="Normal 3 16 7 2 11 2" xfId="22817" xr:uid="{00000000-0005-0000-0000-000018590000}"/>
    <cellStyle name="Normal 3 16 7 2 11 3" xfId="22818" xr:uid="{00000000-0005-0000-0000-000019590000}"/>
    <cellStyle name="Normal 3 16 7 2 12" xfId="22819" xr:uid="{00000000-0005-0000-0000-00001A590000}"/>
    <cellStyle name="Normal 3 16 7 2 12 2" xfId="22820" xr:uid="{00000000-0005-0000-0000-00001B590000}"/>
    <cellStyle name="Normal 3 16 7 2 12 3" xfId="22821" xr:uid="{00000000-0005-0000-0000-00001C590000}"/>
    <cellStyle name="Normal 3 16 7 2 13" xfId="22822" xr:uid="{00000000-0005-0000-0000-00001D590000}"/>
    <cellStyle name="Normal 3 16 7 2 13 2" xfId="22823" xr:uid="{00000000-0005-0000-0000-00001E590000}"/>
    <cellStyle name="Normal 3 16 7 2 13 3" xfId="22824" xr:uid="{00000000-0005-0000-0000-00001F590000}"/>
    <cellStyle name="Normal 3 16 7 2 14" xfId="22825" xr:uid="{00000000-0005-0000-0000-000020590000}"/>
    <cellStyle name="Normal 3 16 7 2 14 2" xfId="22826" xr:uid="{00000000-0005-0000-0000-000021590000}"/>
    <cellStyle name="Normal 3 16 7 2 14 3" xfId="22827" xr:uid="{00000000-0005-0000-0000-000022590000}"/>
    <cellStyle name="Normal 3 16 7 2 15" xfId="22828" xr:uid="{00000000-0005-0000-0000-000023590000}"/>
    <cellStyle name="Normal 3 16 7 2 16" xfId="22829" xr:uid="{00000000-0005-0000-0000-000024590000}"/>
    <cellStyle name="Normal 3 16 7 2 2" xfId="22830" xr:uid="{00000000-0005-0000-0000-000025590000}"/>
    <cellStyle name="Normal 3 16 7 2 2 2" xfId="22831" xr:uid="{00000000-0005-0000-0000-000026590000}"/>
    <cellStyle name="Normal 3 16 7 2 2 3" xfId="22832" xr:uid="{00000000-0005-0000-0000-000027590000}"/>
    <cellStyle name="Normal 3 16 7 2 3" xfId="22833" xr:uid="{00000000-0005-0000-0000-000028590000}"/>
    <cellStyle name="Normal 3 16 7 2 3 2" xfId="22834" xr:uid="{00000000-0005-0000-0000-000029590000}"/>
    <cellStyle name="Normal 3 16 7 2 3 3" xfId="22835" xr:uid="{00000000-0005-0000-0000-00002A590000}"/>
    <cellStyle name="Normal 3 16 7 2 4" xfId="22836" xr:uid="{00000000-0005-0000-0000-00002B590000}"/>
    <cellStyle name="Normal 3 16 7 2 4 2" xfId="22837" xr:uid="{00000000-0005-0000-0000-00002C590000}"/>
    <cellStyle name="Normal 3 16 7 2 4 3" xfId="22838" xr:uid="{00000000-0005-0000-0000-00002D590000}"/>
    <cellStyle name="Normal 3 16 7 2 5" xfId="22839" xr:uid="{00000000-0005-0000-0000-00002E590000}"/>
    <cellStyle name="Normal 3 16 7 2 5 2" xfId="22840" xr:uid="{00000000-0005-0000-0000-00002F590000}"/>
    <cellStyle name="Normal 3 16 7 2 5 3" xfId="22841" xr:uid="{00000000-0005-0000-0000-000030590000}"/>
    <cellStyle name="Normal 3 16 7 2 6" xfId="22842" xr:uid="{00000000-0005-0000-0000-000031590000}"/>
    <cellStyle name="Normal 3 16 7 2 6 2" xfId="22843" xr:uid="{00000000-0005-0000-0000-000032590000}"/>
    <cellStyle name="Normal 3 16 7 2 6 3" xfId="22844" xr:uid="{00000000-0005-0000-0000-000033590000}"/>
    <cellStyle name="Normal 3 16 7 2 7" xfId="22845" xr:uid="{00000000-0005-0000-0000-000034590000}"/>
    <cellStyle name="Normal 3 16 7 2 7 2" xfId="22846" xr:uid="{00000000-0005-0000-0000-000035590000}"/>
    <cellStyle name="Normal 3 16 7 2 7 3" xfId="22847" xr:uid="{00000000-0005-0000-0000-000036590000}"/>
    <cellStyle name="Normal 3 16 7 2 8" xfId="22848" xr:uid="{00000000-0005-0000-0000-000037590000}"/>
    <cellStyle name="Normal 3 16 7 2 8 2" xfId="22849" xr:uid="{00000000-0005-0000-0000-000038590000}"/>
    <cellStyle name="Normal 3 16 7 2 8 3" xfId="22850" xr:uid="{00000000-0005-0000-0000-000039590000}"/>
    <cellStyle name="Normal 3 16 7 2 9" xfId="22851" xr:uid="{00000000-0005-0000-0000-00003A590000}"/>
    <cellStyle name="Normal 3 16 7 2 9 2" xfId="22852" xr:uid="{00000000-0005-0000-0000-00003B590000}"/>
    <cellStyle name="Normal 3 16 7 2 9 3" xfId="22853" xr:uid="{00000000-0005-0000-0000-00003C590000}"/>
    <cellStyle name="Normal 3 16 7 3" xfId="22854" xr:uid="{00000000-0005-0000-0000-00003D590000}"/>
    <cellStyle name="Normal 3 16 7 3 2" xfId="22855" xr:uid="{00000000-0005-0000-0000-00003E590000}"/>
    <cellStyle name="Normal 3 16 7 3 3" xfId="22856" xr:uid="{00000000-0005-0000-0000-00003F590000}"/>
    <cellStyle name="Normal 3 16 7 4" xfId="22857" xr:uid="{00000000-0005-0000-0000-000040590000}"/>
    <cellStyle name="Normal 3 16 7 4 2" xfId="22858" xr:uid="{00000000-0005-0000-0000-000041590000}"/>
    <cellStyle name="Normal 3 16 7 4 3" xfId="22859" xr:uid="{00000000-0005-0000-0000-000042590000}"/>
    <cellStyle name="Normal 3 16 7 5" xfId="22860" xr:uid="{00000000-0005-0000-0000-000043590000}"/>
    <cellStyle name="Normal 3 16 7 5 2" xfId="22861" xr:uid="{00000000-0005-0000-0000-000044590000}"/>
    <cellStyle name="Normal 3 16 7 5 3" xfId="22862" xr:uid="{00000000-0005-0000-0000-000045590000}"/>
    <cellStyle name="Normal 3 16 7 6" xfId="22863" xr:uid="{00000000-0005-0000-0000-000046590000}"/>
    <cellStyle name="Normal 3 16 7 6 2" xfId="22864" xr:uid="{00000000-0005-0000-0000-000047590000}"/>
    <cellStyle name="Normal 3 16 7 6 3" xfId="22865" xr:uid="{00000000-0005-0000-0000-000048590000}"/>
    <cellStyle name="Normal 3 16 7 7" xfId="22866" xr:uid="{00000000-0005-0000-0000-000049590000}"/>
    <cellStyle name="Normal 3 16 7 7 2" xfId="22867" xr:uid="{00000000-0005-0000-0000-00004A590000}"/>
    <cellStyle name="Normal 3 16 7 7 3" xfId="22868" xr:uid="{00000000-0005-0000-0000-00004B590000}"/>
    <cellStyle name="Normal 3 16 7 8" xfId="22869" xr:uid="{00000000-0005-0000-0000-00004C590000}"/>
    <cellStyle name="Normal 3 16 7 8 2" xfId="22870" xr:uid="{00000000-0005-0000-0000-00004D590000}"/>
    <cellStyle name="Normal 3 16 7 8 3" xfId="22871" xr:uid="{00000000-0005-0000-0000-00004E590000}"/>
    <cellStyle name="Normal 3 16 7 9" xfId="22872" xr:uid="{00000000-0005-0000-0000-00004F590000}"/>
    <cellStyle name="Normal 3 16 7 9 2" xfId="22873" xr:uid="{00000000-0005-0000-0000-000050590000}"/>
    <cellStyle name="Normal 3 16 7 9 3" xfId="22874" xr:uid="{00000000-0005-0000-0000-000051590000}"/>
    <cellStyle name="Normal 3 16 8" xfId="22875" xr:uid="{00000000-0005-0000-0000-000052590000}"/>
    <cellStyle name="Normal 3 16 8 10" xfId="22876" xr:uid="{00000000-0005-0000-0000-000053590000}"/>
    <cellStyle name="Normal 3 16 8 10 2" xfId="22877" xr:uid="{00000000-0005-0000-0000-000054590000}"/>
    <cellStyle name="Normal 3 16 8 10 3" xfId="22878" xr:uid="{00000000-0005-0000-0000-000055590000}"/>
    <cellStyle name="Normal 3 16 8 11" xfId="22879" xr:uid="{00000000-0005-0000-0000-000056590000}"/>
    <cellStyle name="Normal 3 16 8 11 2" xfId="22880" xr:uid="{00000000-0005-0000-0000-000057590000}"/>
    <cellStyle name="Normal 3 16 8 11 3" xfId="22881" xr:uid="{00000000-0005-0000-0000-000058590000}"/>
    <cellStyle name="Normal 3 16 8 12" xfId="22882" xr:uid="{00000000-0005-0000-0000-000059590000}"/>
    <cellStyle name="Normal 3 16 8 12 2" xfId="22883" xr:uid="{00000000-0005-0000-0000-00005A590000}"/>
    <cellStyle name="Normal 3 16 8 12 3" xfId="22884" xr:uid="{00000000-0005-0000-0000-00005B590000}"/>
    <cellStyle name="Normal 3 16 8 13" xfId="22885" xr:uid="{00000000-0005-0000-0000-00005C590000}"/>
    <cellStyle name="Normal 3 16 8 13 2" xfId="22886" xr:uid="{00000000-0005-0000-0000-00005D590000}"/>
    <cellStyle name="Normal 3 16 8 13 3" xfId="22887" xr:uid="{00000000-0005-0000-0000-00005E590000}"/>
    <cellStyle name="Normal 3 16 8 14" xfId="22888" xr:uid="{00000000-0005-0000-0000-00005F590000}"/>
    <cellStyle name="Normal 3 16 8 14 2" xfId="22889" xr:uid="{00000000-0005-0000-0000-000060590000}"/>
    <cellStyle name="Normal 3 16 8 14 3" xfId="22890" xr:uid="{00000000-0005-0000-0000-000061590000}"/>
    <cellStyle name="Normal 3 16 8 15" xfId="22891" xr:uid="{00000000-0005-0000-0000-000062590000}"/>
    <cellStyle name="Normal 3 16 8 15 2" xfId="22892" xr:uid="{00000000-0005-0000-0000-000063590000}"/>
    <cellStyle name="Normal 3 16 8 15 3" xfId="22893" xr:uid="{00000000-0005-0000-0000-000064590000}"/>
    <cellStyle name="Normal 3 16 8 16" xfId="22894" xr:uid="{00000000-0005-0000-0000-000065590000}"/>
    <cellStyle name="Normal 3 16 8 17" xfId="22895" xr:uid="{00000000-0005-0000-0000-000066590000}"/>
    <cellStyle name="Normal 3 16 8 2" xfId="22896" xr:uid="{00000000-0005-0000-0000-000067590000}"/>
    <cellStyle name="Normal 3 16 8 2 10" xfId="22897" xr:uid="{00000000-0005-0000-0000-000068590000}"/>
    <cellStyle name="Normal 3 16 8 2 10 2" xfId="22898" xr:uid="{00000000-0005-0000-0000-000069590000}"/>
    <cellStyle name="Normal 3 16 8 2 10 3" xfId="22899" xr:uid="{00000000-0005-0000-0000-00006A590000}"/>
    <cellStyle name="Normal 3 16 8 2 11" xfId="22900" xr:uid="{00000000-0005-0000-0000-00006B590000}"/>
    <cellStyle name="Normal 3 16 8 2 11 2" xfId="22901" xr:uid="{00000000-0005-0000-0000-00006C590000}"/>
    <cellStyle name="Normal 3 16 8 2 11 3" xfId="22902" xr:uid="{00000000-0005-0000-0000-00006D590000}"/>
    <cellStyle name="Normal 3 16 8 2 12" xfId="22903" xr:uid="{00000000-0005-0000-0000-00006E590000}"/>
    <cellStyle name="Normal 3 16 8 2 12 2" xfId="22904" xr:uid="{00000000-0005-0000-0000-00006F590000}"/>
    <cellStyle name="Normal 3 16 8 2 12 3" xfId="22905" xr:uid="{00000000-0005-0000-0000-000070590000}"/>
    <cellStyle name="Normal 3 16 8 2 13" xfId="22906" xr:uid="{00000000-0005-0000-0000-000071590000}"/>
    <cellStyle name="Normal 3 16 8 2 13 2" xfId="22907" xr:uid="{00000000-0005-0000-0000-000072590000}"/>
    <cellStyle name="Normal 3 16 8 2 13 3" xfId="22908" xr:uid="{00000000-0005-0000-0000-000073590000}"/>
    <cellStyle name="Normal 3 16 8 2 14" xfId="22909" xr:uid="{00000000-0005-0000-0000-000074590000}"/>
    <cellStyle name="Normal 3 16 8 2 14 2" xfId="22910" xr:uid="{00000000-0005-0000-0000-000075590000}"/>
    <cellStyle name="Normal 3 16 8 2 14 3" xfId="22911" xr:uid="{00000000-0005-0000-0000-000076590000}"/>
    <cellStyle name="Normal 3 16 8 2 15" xfId="22912" xr:uid="{00000000-0005-0000-0000-000077590000}"/>
    <cellStyle name="Normal 3 16 8 2 16" xfId="22913" xr:uid="{00000000-0005-0000-0000-000078590000}"/>
    <cellStyle name="Normal 3 16 8 2 2" xfId="22914" xr:uid="{00000000-0005-0000-0000-000079590000}"/>
    <cellStyle name="Normal 3 16 8 2 2 2" xfId="22915" xr:uid="{00000000-0005-0000-0000-00007A590000}"/>
    <cellStyle name="Normal 3 16 8 2 2 3" xfId="22916" xr:uid="{00000000-0005-0000-0000-00007B590000}"/>
    <cellStyle name="Normal 3 16 8 2 3" xfId="22917" xr:uid="{00000000-0005-0000-0000-00007C590000}"/>
    <cellStyle name="Normal 3 16 8 2 3 2" xfId="22918" xr:uid="{00000000-0005-0000-0000-00007D590000}"/>
    <cellStyle name="Normal 3 16 8 2 3 3" xfId="22919" xr:uid="{00000000-0005-0000-0000-00007E590000}"/>
    <cellStyle name="Normal 3 16 8 2 4" xfId="22920" xr:uid="{00000000-0005-0000-0000-00007F590000}"/>
    <cellStyle name="Normal 3 16 8 2 4 2" xfId="22921" xr:uid="{00000000-0005-0000-0000-000080590000}"/>
    <cellStyle name="Normal 3 16 8 2 4 3" xfId="22922" xr:uid="{00000000-0005-0000-0000-000081590000}"/>
    <cellStyle name="Normal 3 16 8 2 5" xfId="22923" xr:uid="{00000000-0005-0000-0000-000082590000}"/>
    <cellStyle name="Normal 3 16 8 2 5 2" xfId="22924" xr:uid="{00000000-0005-0000-0000-000083590000}"/>
    <cellStyle name="Normal 3 16 8 2 5 3" xfId="22925" xr:uid="{00000000-0005-0000-0000-000084590000}"/>
    <cellStyle name="Normal 3 16 8 2 6" xfId="22926" xr:uid="{00000000-0005-0000-0000-000085590000}"/>
    <cellStyle name="Normal 3 16 8 2 6 2" xfId="22927" xr:uid="{00000000-0005-0000-0000-000086590000}"/>
    <cellStyle name="Normal 3 16 8 2 6 3" xfId="22928" xr:uid="{00000000-0005-0000-0000-000087590000}"/>
    <cellStyle name="Normal 3 16 8 2 7" xfId="22929" xr:uid="{00000000-0005-0000-0000-000088590000}"/>
    <cellStyle name="Normal 3 16 8 2 7 2" xfId="22930" xr:uid="{00000000-0005-0000-0000-000089590000}"/>
    <cellStyle name="Normal 3 16 8 2 7 3" xfId="22931" xr:uid="{00000000-0005-0000-0000-00008A590000}"/>
    <cellStyle name="Normal 3 16 8 2 8" xfId="22932" xr:uid="{00000000-0005-0000-0000-00008B590000}"/>
    <cellStyle name="Normal 3 16 8 2 8 2" xfId="22933" xr:uid="{00000000-0005-0000-0000-00008C590000}"/>
    <cellStyle name="Normal 3 16 8 2 8 3" xfId="22934" xr:uid="{00000000-0005-0000-0000-00008D590000}"/>
    <cellStyle name="Normal 3 16 8 2 9" xfId="22935" xr:uid="{00000000-0005-0000-0000-00008E590000}"/>
    <cellStyle name="Normal 3 16 8 2 9 2" xfId="22936" xr:uid="{00000000-0005-0000-0000-00008F590000}"/>
    <cellStyle name="Normal 3 16 8 2 9 3" xfId="22937" xr:uid="{00000000-0005-0000-0000-000090590000}"/>
    <cellStyle name="Normal 3 16 8 3" xfId="22938" xr:uid="{00000000-0005-0000-0000-000091590000}"/>
    <cellStyle name="Normal 3 16 8 3 2" xfId="22939" xr:uid="{00000000-0005-0000-0000-000092590000}"/>
    <cellStyle name="Normal 3 16 8 3 3" xfId="22940" xr:uid="{00000000-0005-0000-0000-000093590000}"/>
    <cellStyle name="Normal 3 16 8 4" xfId="22941" xr:uid="{00000000-0005-0000-0000-000094590000}"/>
    <cellStyle name="Normal 3 16 8 4 2" xfId="22942" xr:uid="{00000000-0005-0000-0000-000095590000}"/>
    <cellStyle name="Normal 3 16 8 4 3" xfId="22943" xr:uid="{00000000-0005-0000-0000-000096590000}"/>
    <cellStyle name="Normal 3 16 8 5" xfId="22944" xr:uid="{00000000-0005-0000-0000-000097590000}"/>
    <cellStyle name="Normal 3 16 8 5 2" xfId="22945" xr:uid="{00000000-0005-0000-0000-000098590000}"/>
    <cellStyle name="Normal 3 16 8 5 3" xfId="22946" xr:uid="{00000000-0005-0000-0000-000099590000}"/>
    <cellStyle name="Normal 3 16 8 6" xfId="22947" xr:uid="{00000000-0005-0000-0000-00009A590000}"/>
    <cellStyle name="Normal 3 16 8 6 2" xfId="22948" xr:uid="{00000000-0005-0000-0000-00009B590000}"/>
    <cellStyle name="Normal 3 16 8 6 3" xfId="22949" xr:uid="{00000000-0005-0000-0000-00009C590000}"/>
    <cellStyle name="Normal 3 16 8 7" xfId="22950" xr:uid="{00000000-0005-0000-0000-00009D590000}"/>
    <cellStyle name="Normal 3 16 8 7 2" xfId="22951" xr:uid="{00000000-0005-0000-0000-00009E590000}"/>
    <cellStyle name="Normal 3 16 8 7 3" xfId="22952" xr:uid="{00000000-0005-0000-0000-00009F590000}"/>
    <cellStyle name="Normal 3 16 8 8" xfId="22953" xr:uid="{00000000-0005-0000-0000-0000A0590000}"/>
    <cellStyle name="Normal 3 16 8 8 2" xfId="22954" xr:uid="{00000000-0005-0000-0000-0000A1590000}"/>
    <cellStyle name="Normal 3 16 8 8 3" xfId="22955" xr:uid="{00000000-0005-0000-0000-0000A2590000}"/>
    <cellStyle name="Normal 3 16 8 9" xfId="22956" xr:uid="{00000000-0005-0000-0000-0000A3590000}"/>
    <cellStyle name="Normal 3 16 8 9 2" xfId="22957" xr:uid="{00000000-0005-0000-0000-0000A4590000}"/>
    <cellStyle name="Normal 3 16 8 9 3" xfId="22958" xr:uid="{00000000-0005-0000-0000-0000A5590000}"/>
    <cellStyle name="Normal 3 16 9" xfId="22959" xr:uid="{00000000-0005-0000-0000-0000A6590000}"/>
    <cellStyle name="Normal 3 16 9 10" xfId="22960" xr:uid="{00000000-0005-0000-0000-0000A7590000}"/>
    <cellStyle name="Normal 3 16 9 10 2" xfId="22961" xr:uid="{00000000-0005-0000-0000-0000A8590000}"/>
    <cellStyle name="Normal 3 16 9 10 3" xfId="22962" xr:uid="{00000000-0005-0000-0000-0000A9590000}"/>
    <cellStyle name="Normal 3 16 9 11" xfId="22963" xr:uid="{00000000-0005-0000-0000-0000AA590000}"/>
    <cellStyle name="Normal 3 16 9 11 2" xfId="22964" xr:uid="{00000000-0005-0000-0000-0000AB590000}"/>
    <cellStyle name="Normal 3 16 9 11 3" xfId="22965" xr:uid="{00000000-0005-0000-0000-0000AC590000}"/>
    <cellStyle name="Normal 3 16 9 12" xfId="22966" xr:uid="{00000000-0005-0000-0000-0000AD590000}"/>
    <cellStyle name="Normal 3 16 9 12 2" xfId="22967" xr:uid="{00000000-0005-0000-0000-0000AE590000}"/>
    <cellStyle name="Normal 3 16 9 12 3" xfId="22968" xr:uid="{00000000-0005-0000-0000-0000AF590000}"/>
    <cellStyle name="Normal 3 16 9 13" xfId="22969" xr:uid="{00000000-0005-0000-0000-0000B0590000}"/>
    <cellStyle name="Normal 3 16 9 13 2" xfId="22970" xr:uid="{00000000-0005-0000-0000-0000B1590000}"/>
    <cellStyle name="Normal 3 16 9 13 3" xfId="22971" xr:uid="{00000000-0005-0000-0000-0000B2590000}"/>
    <cellStyle name="Normal 3 16 9 14" xfId="22972" xr:uid="{00000000-0005-0000-0000-0000B3590000}"/>
    <cellStyle name="Normal 3 16 9 14 2" xfId="22973" xr:uid="{00000000-0005-0000-0000-0000B4590000}"/>
    <cellStyle name="Normal 3 16 9 14 3" xfId="22974" xr:uid="{00000000-0005-0000-0000-0000B5590000}"/>
    <cellStyle name="Normal 3 16 9 15" xfId="22975" xr:uid="{00000000-0005-0000-0000-0000B6590000}"/>
    <cellStyle name="Normal 3 16 9 16" xfId="22976" xr:uid="{00000000-0005-0000-0000-0000B7590000}"/>
    <cellStyle name="Normal 3 16 9 2" xfId="22977" xr:uid="{00000000-0005-0000-0000-0000B8590000}"/>
    <cellStyle name="Normal 3 16 9 2 2" xfId="22978" xr:uid="{00000000-0005-0000-0000-0000B9590000}"/>
    <cellStyle name="Normal 3 16 9 2 3" xfId="22979" xr:uid="{00000000-0005-0000-0000-0000BA590000}"/>
    <cellStyle name="Normal 3 16 9 3" xfId="22980" xr:uid="{00000000-0005-0000-0000-0000BB590000}"/>
    <cellStyle name="Normal 3 16 9 3 2" xfId="22981" xr:uid="{00000000-0005-0000-0000-0000BC590000}"/>
    <cellStyle name="Normal 3 16 9 3 3" xfId="22982" xr:uid="{00000000-0005-0000-0000-0000BD590000}"/>
    <cellStyle name="Normal 3 16 9 4" xfId="22983" xr:uid="{00000000-0005-0000-0000-0000BE590000}"/>
    <cellStyle name="Normal 3 16 9 4 2" xfId="22984" xr:uid="{00000000-0005-0000-0000-0000BF590000}"/>
    <cellStyle name="Normal 3 16 9 4 3" xfId="22985" xr:uid="{00000000-0005-0000-0000-0000C0590000}"/>
    <cellStyle name="Normal 3 16 9 5" xfId="22986" xr:uid="{00000000-0005-0000-0000-0000C1590000}"/>
    <cellStyle name="Normal 3 16 9 5 2" xfId="22987" xr:uid="{00000000-0005-0000-0000-0000C2590000}"/>
    <cellStyle name="Normal 3 16 9 5 3" xfId="22988" xr:uid="{00000000-0005-0000-0000-0000C3590000}"/>
    <cellStyle name="Normal 3 16 9 6" xfId="22989" xr:uid="{00000000-0005-0000-0000-0000C4590000}"/>
    <cellStyle name="Normal 3 16 9 6 2" xfId="22990" xr:uid="{00000000-0005-0000-0000-0000C5590000}"/>
    <cellStyle name="Normal 3 16 9 6 3" xfId="22991" xr:uid="{00000000-0005-0000-0000-0000C6590000}"/>
    <cellStyle name="Normal 3 16 9 7" xfId="22992" xr:uid="{00000000-0005-0000-0000-0000C7590000}"/>
    <cellStyle name="Normal 3 16 9 7 2" xfId="22993" xr:uid="{00000000-0005-0000-0000-0000C8590000}"/>
    <cellStyle name="Normal 3 16 9 7 3" xfId="22994" xr:uid="{00000000-0005-0000-0000-0000C9590000}"/>
    <cellStyle name="Normal 3 16 9 8" xfId="22995" xr:uid="{00000000-0005-0000-0000-0000CA590000}"/>
    <cellStyle name="Normal 3 16 9 8 2" xfId="22996" xr:uid="{00000000-0005-0000-0000-0000CB590000}"/>
    <cellStyle name="Normal 3 16 9 8 3" xfId="22997" xr:uid="{00000000-0005-0000-0000-0000CC590000}"/>
    <cellStyle name="Normal 3 16 9 9" xfId="22998" xr:uid="{00000000-0005-0000-0000-0000CD590000}"/>
    <cellStyle name="Normal 3 16 9 9 2" xfId="22999" xr:uid="{00000000-0005-0000-0000-0000CE590000}"/>
    <cellStyle name="Normal 3 16 9 9 3" xfId="23000" xr:uid="{00000000-0005-0000-0000-0000CF590000}"/>
    <cellStyle name="Normal 3 17" xfId="23001" xr:uid="{00000000-0005-0000-0000-0000D0590000}"/>
    <cellStyle name="Normal 3 17 10" xfId="23002" xr:uid="{00000000-0005-0000-0000-0000D1590000}"/>
    <cellStyle name="Normal 3 17 10 10" xfId="23003" xr:uid="{00000000-0005-0000-0000-0000D2590000}"/>
    <cellStyle name="Normal 3 17 10 10 2" xfId="23004" xr:uid="{00000000-0005-0000-0000-0000D3590000}"/>
    <cellStyle name="Normal 3 17 10 10 3" xfId="23005" xr:uid="{00000000-0005-0000-0000-0000D4590000}"/>
    <cellStyle name="Normal 3 17 10 11" xfId="23006" xr:uid="{00000000-0005-0000-0000-0000D5590000}"/>
    <cellStyle name="Normal 3 17 10 11 2" xfId="23007" xr:uid="{00000000-0005-0000-0000-0000D6590000}"/>
    <cellStyle name="Normal 3 17 10 11 3" xfId="23008" xr:uid="{00000000-0005-0000-0000-0000D7590000}"/>
    <cellStyle name="Normal 3 17 10 12" xfId="23009" xr:uid="{00000000-0005-0000-0000-0000D8590000}"/>
    <cellStyle name="Normal 3 17 10 12 2" xfId="23010" xr:uid="{00000000-0005-0000-0000-0000D9590000}"/>
    <cellStyle name="Normal 3 17 10 12 3" xfId="23011" xr:uid="{00000000-0005-0000-0000-0000DA590000}"/>
    <cellStyle name="Normal 3 17 10 13" xfId="23012" xr:uid="{00000000-0005-0000-0000-0000DB590000}"/>
    <cellStyle name="Normal 3 17 10 13 2" xfId="23013" xr:uid="{00000000-0005-0000-0000-0000DC590000}"/>
    <cellStyle name="Normal 3 17 10 13 3" xfId="23014" xr:uid="{00000000-0005-0000-0000-0000DD590000}"/>
    <cellStyle name="Normal 3 17 10 14" xfId="23015" xr:uid="{00000000-0005-0000-0000-0000DE590000}"/>
    <cellStyle name="Normal 3 17 10 14 2" xfId="23016" xr:uid="{00000000-0005-0000-0000-0000DF590000}"/>
    <cellStyle name="Normal 3 17 10 14 3" xfId="23017" xr:uid="{00000000-0005-0000-0000-0000E0590000}"/>
    <cellStyle name="Normal 3 17 10 15" xfId="23018" xr:uid="{00000000-0005-0000-0000-0000E1590000}"/>
    <cellStyle name="Normal 3 17 10 16" xfId="23019" xr:uid="{00000000-0005-0000-0000-0000E2590000}"/>
    <cellStyle name="Normal 3 17 10 2" xfId="23020" xr:uid="{00000000-0005-0000-0000-0000E3590000}"/>
    <cellStyle name="Normal 3 17 10 2 2" xfId="23021" xr:uid="{00000000-0005-0000-0000-0000E4590000}"/>
    <cellStyle name="Normal 3 17 10 2 3" xfId="23022" xr:uid="{00000000-0005-0000-0000-0000E5590000}"/>
    <cellStyle name="Normal 3 17 10 3" xfId="23023" xr:uid="{00000000-0005-0000-0000-0000E6590000}"/>
    <cellStyle name="Normal 3 17 10 3 2" xfId="23024" xr:uid="{00000000-0005-0000-0000-0000E7590000}"/>
    <cellStyle name="Normal 3 17 10 3 3" xfId="23025" xr:uid="{00000000-0005-0000-0000-0000E8590000}"/>
    <cellStyle name="Normal 3 17 10 4" xfId="23026" xr:uid="{00000000-0005-0000-0000-0000E9590000}"/>
    <cellStyle name="Normal 3 17 10 4 2" xfId="23027" xr:uid="{00000000-0005-0000-0000-0000EA590000}"/>
    <cellStyle name="Normal 3 17 10 4 3" xfId="23028" xr:uid="{00000000-0005-0000-0000-0000EB590000}"/>
    <cellStyle name="Normal 3 17 10 5" xfId="23029" xr:uid="{00000000-0005-0000-0000-0000EC590000}"/>
    <cellStyle name="Normal 3 17 10 5 2" xfId="23030" xr:uid="{00000000-0005-0000-0000-0000ED590000}"/>
    <cellStyle name="Normal 3 17 10 5 3" xfId="23031" xr:uid="{00000000-0005-0000-0000-0000EE590000}"/>
    <cellStyle name="Normal 3 17 10 6" xfId="23032" xr:uid="{00000000-0005-0000-0000-0000EF590000}"/>
    <cellStyle name="Normal 3 17 10 6 2" xfId="23033" xr:uid="{00000000-0005-0000-0000-0000F0590000}"/>
    <cellStyle name="Normal 3 17 10 6 3" xfId="23034" xr:uid="{00000000-0005-0000-0000-0000F1590000}"/>
    <cellStyle name="Normal 3 17 10 7" xfId="23035" xr:uid="{00000000-0005-0000-0000-0000F2590000}"/>
    <cellStyle name="Normal 3 17 10 7 2" xfId="23036" xr:uid="{00000000-0005-0000-0000-0000F3590000}"/>
    <cellStyle name="Normal 3 17 10 7 3" xfId="23037" xr:uid="{00000000-0005-0000-0000-0000F4590000}"/>
    <cellStyle name="Normal 3 17 10 8" xfId="23038" xr:uid="{00000000-0005-0000-0000-0000F5590000}"/>
    <cellStyle name="Normal 3 17 10 8 2" xfId="23039" xr:uid="{00000000-0005-0000-0000-0000F6590000}"/>
    <cellStyle name="Normal 3 17 10 8 3" xfId="23040" xr:uid="{00000000-0005-0000-0000-0000F7590000}"/>
    <cellStyle name="Normal 3 17 10 9" xfId="23041" xr:uid="{00000000-0005-0000-0000-0000F8590000}"/>
    <cellStyle name="Normal 3 17 10 9 2" xfId="23042" xr:uid="{00000000-0005-0000-0000-0000F9590000}"/>
    <cellStyle name="Normal 3 17 10 9 3" xfId="23043" xr:uid="{00000000-0005-0000-0000-0000FA590000}"/>
    <cellStyle name="Normal 3 17 11" xfId="23044" xr:uid="{00000000-0005-0000-0000-0000FB590000}"/>
    <cellStyle name="Normal 3 17 11 10" xfId="23045" xr:uid="{00000000-0005-0000-0000-0000FC590000}"/>
    <cellStyle name="Normal 3 17 11 10 2" xfId="23046" xr:uid="{00000000-0005-0000-0000-0000FD590000}"/>
    <cellStyle name="Normal 3 17 11 10 3" xfId="23047" xr:uid="{00000000-0005-0000-0000-0000FE590000}"/>
    <cellStyle name="Normal 3 17 11 11" xfId="23048" xr:uid="{00000000-0005-0000-0000-0000FF590000}"/>
    <cellStyle name="Normal 3 17 11 11 2" xfId="23049" xr:uid="{00000000-0005-0000-0000-0000005A0000}"/>
    <cellStyle name="Normal 3 17 11 11 3" xfId="23050" xr:uid="{00000000-0005-0000-0000-0000015A0000}"/>
    <cellStyle name="Normal 3 17 11 12" xfId="23051" xr:uid="{00000000-0005-0000-0000-0000025A0000}"/>
    <cellStyle name="Normal 3 17 11 12 2" xfId="23052" xr:uid="{00000000-0005-0000-0000-0000035A0000}"/>
    <cellStyle name="Normal 3 17 11 12 3" xfId="23053" xr:uid="{00000000-0005-0000-0000-0000045A0000}"/>
    <cellStyle name="Normal 3 17 11 13" xfId="23054" xr:uid="{00000000-0005-0000-0000-0000055A0000}"/>
    <cellStyle name="Normal 3 17 11 13 2" xfId="23055" xr:uid="{00000000-0005-0000-0000-0000065A0000}"/>
    <cellStyle name="Normal 3 17 11 13 3" xfId="23056" xr:uid="{00000000-0005-0000-0000-0000075A0000}"/>
    <cellStyle name="Normal 3 17 11 14" xfId="23057" xr:uid="{00000000-0005-0000-0000-0000085A0000}"/>
    <cellStyle name="Normal 3 17 11 14 2" xfId="23058" xr:uid="{00000000-0005-0000-0000-0000095A0000}"/>
    <cellStyle name="Normal 3 17 11 14 3" xfId="23059" xr:uid="{00000000-0005-0000-0000-00000A5A0000}"/>
    <cellStyle name="Normal 3 17 11 15" xfId="23060" xr:uid="{00000000-0005-0000-0000-00000B5A0000}"/>
    <cellStyle name="Normal 3 17 11 16" xfId="23061" xr:uid="{00000000-0005-0000-0000-00000C5A0000}"/>
    <cellStyle name="Normal 3 17 11 2" xfId="23062" xr:uid="{00000000-0005-0000-0000-00000D5A0000}"/>
    <cellStyle name="Normal 3 17 11 2 2" xfId="23063" xr:uid="{00000000-0005-0000-0000-00000E5A0000}"/>
    <cellStyle name="Normal 3 17 11 2 3" xfId="23064" xr:uid="{00000000-0005-0000-0000-00000F5A0000}"/>
    <cellStyle name="Normal 3 17 11 3" xfId="23065" xr:uid="{00000000-0005-0000-0000-0000105A0000}"/>
    <cellStyle name="Normal 3 17 11 3 2" xfId="23066" xr:uid="{00000000-0005-0000-0000-0000115A0000}"/>
    <cellStyle name="Normal 3 17 11 3 3" xfId="23067" xr:uid="{00000000-0005-0000-0000-0000125A0000}"/>
    <cellStyle name="Normal 3 17 11 4" xfId="23068" xr:uid="{00000000-0005-0000-0000-0000135A0000}"/>
    <cellStyle name="Normal 3 17 11 4 2" xfId="23069" xr:uid="{00000000-0005-0000-0000-0000145A0000}"/>
    <cellStyle name="Normal 3 17 11 4 3" xfId="23070" xr:uid="{00000000-0005-0000-0000-0000155A0000}"/>
    <cellStyle name="Normal 3 17 11 5" xfId="23071" xr:uid="{00000000-0005-0000-0000-0000165A0000}"/>
    <cellStyle name="Normal 3 17 11 5 2" xfId="23072" xr:uid="{00000000-0005-0000-0000-0000175A0000}"/>
    <cellStyle name="Normal 3 17 11 5 3" xfId="23073" xr:uid="{00000000-0005-0000-0000-0000185A0000}"/>
    <cellStyle name="Normal 3 17 11 6" xfId="23074" xr:uid="{00000000-0005-0000-0000-0000195A0000}"/>
    <cellStyle name="Normal 3 17 11 6 2" xfId="23075" xr:uid="{00000000-0005-0000-0000-00001A5A0000}"/>
    <cellStyle name="Normal 3 17 11 6 3" xfId="23076" xr:uid="{00000000-0005-0000-0000-00001B5A0000}"/>
    <cellStyle name="Normal 3 17 11 7" xfId="23077" xr:uid="{00000000-0005-0000-0000-00001C5A0000}"/>
    <cellStyle name="Normal 3 17 11 7 2" xfId="23078" xr:uid="{00000000-0005-0000-0000-00001D5A0000}"/>
    <cellStyle name="Normal 3 17 11 7 3" xfId="23079" xr:uid="{00000000-0005-0000-0000-00001E5A0000}"/>
    <cellStyle name="Normal 3 17 11 8" xfId="23080" xr:uid="{00000000-0005-0000-0000-00001F5A0000}"/>
    <cellStyle name="Normal 3 17 11 8 2" xfId="23081" xr:uid="{00000000-0005-0000-0000-0000205A0000}"/>
    <cellStyle name="Normal 3 17 11 8 3" xfId="23082" xr:uid="{00000000-0005-0000-0000-0000215A0000}"/>
    <cellStyle name="Normal 3 17 11 9" xfId="23083" xr:uid="{00000000-0005-0000-0000-0000225A0000}"/>
    <cellStyle name="Normal 3 17 11 9 2" xfId="23084" xr:uid="{00000000-0005-0000-0000-0000235A0000}"/>
    <cellStyle name="Normal 3 17 11 9 3" xfId="23085" xr:uid="{00000000-0005-0000-0000-0000245A0000}"/>
    <cellStyle name="Normal 3 17 12" xfId="23086" xr:uid="{00000000-0005-0000-0000-0000255A0000}"/>
    <cellStyle name="Normal 3 17 12 10" xfId="23087" xr:uid="{00000000-0005-0000-0000-0000265A0000}"/>
    <cellStyle name="Normal 3 17 12 10 2" xfId="23088" xr:uid="{00000000-0005-0000-0000-0000275A0000}"/>
    <cellStyle name="Normal 3 17 12 10 3" xfId="23089" xr:uid="{00000000-0005-0000-0000-0000285A0000}"/>
    <cellStyle name="Normal 3 17 12 11" xfId="23090" xr:uid="{00000000-0005-0000-0000-0000295A0000}"/>
    <cellStyle name="Normal 3 17 12 11 2" xfId="23091" xr:uid="{00000000-0005-0000-0000-00002A5A0000}"/>
    <cellStyle name="Normal 3 17 12 11 3" xfId="23092" xr:uid="{00000000-0005-0000-0000-00002B5A0000}"/>
    <cellStyle name="Normal 3 17 12 12" xfId="23093" xr:uid="{00000000-0005-0000-0000-00002C5A0000}"/>
    <cellStyle name="Normal 3 17 12 12 2" xfId="23094" xr:uid="{00000000-0005-0000-0000-00002D5A0000}"/>
    <cellStyle name="Normal 3 17 12 12 3" xfId="23095" xr:uid="{00000000-0005-0000-0000-00002E5A0000}"/>
    <cellStyle name="Normal 3 17 12 13" xfId="23096" xr:uid="{00000000-0005-0000-0000-00002F5A0000}"/>
    <cellStyle name="Normal 3 17 12 13 2" xfId="23097" xr:uid="{00000000-0005-0000-0000-0000305A0000}"/>
    <cellStyle name="Normal 3 17 12 13 3" xfId="23098" xr:uid="{00000000-0005-0000-0000-0000315A0000}"/>
    <cellStyle name="Normal 3 17 12 14" xfId="23099" xr:uid="{00000000-0005-0000-0000-0000325A0000}"/>
    <cellStyle name="Normal 3 17 12 14 2" xfId="23100" xr:uid="{00000000-0005-0000-0000-0000335A0000}"/>
    <cellStyle name="Normal 3 17 12 14 3" xfId="23101" xr:uid="{00000000-0005-0000-0000-0000345A0000}"/>
    <cellStyle name="Normal 3 17 12 15" xfId="23102" xr:uid="{00000000-0005-0000-0000-0000355A0000}"/>
    <cellStyle name="Normal 3 17 12 16" xfId="23103" xr:uid="{00000000-0005-0000-0000-0000365A0000}"/>
    <cellStyle name="Normal 3 17 12 2" xfId="23104" xr:uid="{00000000-0005-0000-0000-0000375A0000}"/>
    <cellStyle name="Normal 3 17 12 2 2" xfId="23105" xr:uid="{00000000-0005-0000-0000-0000385A0000}"/>
    <cellStyle name="Normal 3 17 12 2 3" xfId="23106" xr:uid="{00000000-0005-0000-0000-0000395A0000}"/>
    <cellStyle name="Normal 3 17 12 3" xfId="23107" xr:uid="{00000000-0005-0000-0000-00003A5A0000}"/>
    <cellStyle name="Normal 3 17 12 3 2" xfId="23108" xr:uid="{00000000-0005-0000-0000-00003B5A0000}"/>
    <cellStyle name="Normal 3 17 12 3 3" xfId="23109" xr:uid="{00000000-0005-0000-0000-00003C5A0000}"/>
    <cellStyle name="Normal 3 17 12 4" xfId="23110" xr:uid="{00000000-0005-0000-0000-00003D5A0000}"/>
    <cellStyle name="Normal 3 17 12 4 2" xfId="23111" xr:uid="{00000000-0005-0000-0000-00003E5A0000}"/>
    <cellStyle name="Normal 3 17 12 4 3" xfId="23112" xr:uid="{00000000-0005-0000-0000-00003F5A0000}"/>
    <cellStyle name="Normal 3 17 12 5" xfId="23113" xr:uid="{00000000-0005-0000-0000-0000405A0000}"/>
    <cellStyle name="Normal 3 17 12 5 2" xfId="23114" xr:uid="{00000000-0005-0000-0000-0000415A0000}"/>
    <cellStyle name="Normal 3 17 12 5 3" xfId="23115" xr:uid="{00000000-0005-0000-0000-0000425A0000}"/>
    <cellStyle name="Normal 3 17 12 6" xfId="23116" xr:uid="{00000000-0005-0000-0000-0000435A0000}"/>
    <cellStyle name="Normal 3 17 12 6 2" xfId="23117" xr:uid="{00000000-0005-0000-0000-0000445A0000}"/>
    <cellStyle name="Normal 3 17 12 6 3" xfId="23118" xr:uid="{00000000-0005-0000-0000-0000455A0000}"/>
    <cellStyle name="Normal 3 17 12 7" xfId="23119" xr:uid="{00000000-0005-0000-0000-0000465A0000}"/>
    <cellStyle name="Normal 3 17 12 7 2" xfId="23120" xr:uid="{00000000-0005-0000-0000-0000475A0000}"/>
    <cellStyle name="Normal 3 17 12 7 3" xfId="23121" xr:uid="{00000000-0005-0000-0000-0000485A0000}"/>
    <cellStyle name="Normal 3 17 12 8" xfId="23122" xr:uid="{00000000-0005-0000-0000-0000495A0000}"/>
    <cellStyle name="Normal 3 17 12 8 2" xfId="23123" xr:uid="{00000000-0005-0000-0000-00004A5A0000}"/>
    <cellStyle name="Normal 3 17 12 8 3" xfId="23124" xr:uid="{00000000-0005-0000-0000-00004B5A0000}"/>
    <cellStyle name="Normal 3 17 12 9" xfId="23125" xr:uid="{00000000-0005-0000-0000-00004C5A0000}"/>
    <cellStyle name="Normal 3 17 12 9 2" xfId="23126" xr:uid="{00000000-0005-0000-0000-00004D5A0000}"/>
    <cellStyle name="Normal 3 17 12 9 3" xfId="23127" xr:uid="{00000000-0005-0000-0000-00004E5A0000}"/>
    <cellStyle name="Normal 3 17 13" xfId="23128" xr:uid="{00000000-0005-0000-0000-00004F5A0000}"/>
    <cellStyle name="Normal 3 17 13 10" xfId="23129" xr:uid="{00000000-0005-0000-0000-0000505A0000}"/>
    <cellStyle name="Normal 3 17 13 10 2" xfId="23130" xr:uid="{00000000-0005-0000-0000-0000515A0000}"/>
    <cellStyle name="Normal 3 17 13 10 3" xfId="23131" xr:uid="{00000000-0005-0000-0000-0000525A0000}"/>
    <cellStyle name="Normal 3 17 13 11" xfId="23132" xr:uid="{00000000-0005-0000-0000-0000535A0000}"/>
    <cellStyle name="Normal 3 17 13 11 2" xfId="23133" xr:uid="{00000000-0005-0000-0000-0000545A0000}"/>
    <cellStyle name="Normal 3 17 13 11 3" xfId="23134" xr:uid="{00000000-0005-0000-0000-0000555A0000}"/>
    <cellStyle name="Normal 3 17 13 12" xfId="23135" xr:uid="{00000000-0005-0000-0000-0000565A0000}"/>
    <cellStyle name="Normal 3 17 13 12 2" xfId="23136" xr:uid="{00000000-0005-0000-0000-0000575A0000}"/>
    <cellStyle name="Normal 3 17 13 12 3" xfId="23137" xr:uid="{00000000-0005-0000-0000-0000585A0000}"/>
    <cellStyle name="Normal 3 17 13 13" xfId="23138" xr:uid="{00000000-0005-0000-0000-0000595A0000}"/>
    <cellStyle name="Normal 3 17 13 13 2" xfId="23139" xr:uid="{00000000-0005-0000-0000-00005A5A0000}"/>
    <cellStyle name="Normal 3 17 13 13 3" xfId="23140" xr:uid="{00000000-0005-0000-0000-00005B5A0000}"/>
    <cellStyle name="Normal 3 17 13 14" xfId="23141" xr:uid="{00000000-0005-0000-0000-00005C5A0000}"/>
    <cellStyle name="Normal 3 17 13 14 2" xfId="23142" xr:uid="{00000000-0005-0000-0000-00005D5A0000}"/>
    <cellStyle name="Normal 3 17 13 14 3" xfId="23143" xr:uid="{00000000-0005-0000-0000-00005E5A0000}"/>
    <cellStyle name="Normal 3 17 13 15" xfId="23144" xr:uid="{00000000-0005-0000-0000-00005F5A0000}"/>
    <cellStyle name="Normal 3 17 13 16" xfId="23145" xr:uid="{00000000-0005-0000-0000-0000605A0000}"/>
    <cellStyle name="Normal 3 17 13 2" xfId="23146" xr:uid="{00000000-0005-0000-0000-0000615A0000}"/>
    <cellStyle name="Normal 3 17 13 2 2" xfId="23147" xr:uid="{00000000-0005-0000-0000-0000625A0000}"/>
    <cellStyle name="Normal 3 17 13 2 3" xfId="23148" xr:uid="{00000000-0005-0000-0000-0000635A0000}"/>
    <cellStyle name="Normal 3 17 13 3" xfId="23149" xr:uid="{00000000-0005-0000-0000-0000645A0000}"/>
    <cellStyle name="Normal 3 17 13 3 2" xfId="23150" xr:uid="{00000000-0005-0000-0000-0000655A0000}"/>
    <cellStyle name="Normal 3 17 13 3 3" xfId="23151" xr:uid="{00000000-0005-0000-0000-0000665A0000}"/>
    <cellStyle name="Normal 3 17 13 4" xfId="23152" xr:uid="{00000000-0005-0000-0000-0000675A0000}"/>
    <cellStyle name="Normal 3 17 13 4 2" xfId="23153" xr:uid="{00000000-0005-0000-0000-0000685A0000}"/>
    <cellStyle name="Normal 3 17 13 4 3" xfId="23154" xr:uid="{00000000-0005-0000-0000-0000695A0000}"/>
    <cellStyle name="Normal 3 17 13 5" xfId="23155" xr:uid="{00000000-0005-0000-0000-00006A5A0000}"/>
    <cellStyle name="Normal 3 17 13 5 2" xfId="23156" xr:uid="{00000000-0005-0000-0000-00006B5A0000}"/>
    <cellStyle name="Normal 3 17 13 5 3" xfId="23157" xr:uid="{00000000-0005-0000-0000-00006C5A0000}"/>
    <cellStyle name="Normal 3 17 13 6" xfId="23158" xr:uid="{00000000-0005-0000-0000-00006D5A0000}"/>
    <cellStyle name="Normal 3 17 13 6 2" xfId="23159" xr:uid="{00000000-0005-0000-0000-00006E5A0000}"/>
    <cellStyle name="Normal 3 17 13 6 3" xfId="23160" xr:uid="{00000000-0005-0000-0000-00006F5A0000}"/>
    <cellStyle name="Normal 3 17 13 7" xfId="23161" xr:uid="{00000000-0005-0000-0000-0000705A0000}"/>
    <cellStyle name="Normal 3 17 13 7 2" xfId="23162" xr:uid="{00000000-0005-0000-0000-0000715A0000}"/>
    <cellStyle name="Normal 3 17 13 7 3" xfId="23163" xr:uid="{00000000-0005-0000-0000-0000725A0000}"/>
    <cellStyle name="Normal 3 17 13 8" xfId="23164" xr:uid="{00000000-0005-0000-0000-0000735A0000}"/>
    <cellStyle name="Normal 3 17 13 8 2" xfId="23165" xr:uid="{00000000-0005-0000-0000-0000745A0000}"/>
    <cellStyle name="Normal 3 17 13 8 3" xfId="23166" xr:uid="{00000000-0005-0000-0000-0000755A0000}"/>
    <cellStyle name="Normal 3 17 13 9" xfId="23167" xr:uid="{00000000-0005-0000-0000-0000765A0000}"/>
    <cellStyle name="Normal 3 17 13 9 2" xfId="23168" xr:uid="{00000000-0005-0000-0000-0000775A0000}"/>
    <cellStyle name="Normal 3 17 13 9 3" xfId="23169" xr:uid="{00000000-0005-0000-0000-0000785A0000}"/>
    <cellStyle name="Normal 3 17 14" xfId="23170" xr:uid="{00000000-0005-0000-0000-0000795A0000}"/>
    <cellStyle name="Normal 3 17 14 10" xfId="23171" xr:uid="{00000000-0005-0000-0000-00007A5A0000}"/>
    <cellStyle name="Normal 3 17 14 10 2" xfId="23172" xr:uid="{00000000-0005-0000-0000-00007B5A0000}"/>
    <cellStyle name="Normal 3 17 14 10 3" xfId="23173" xr:uid="{00000000-0005-0000-0000-00007C5A0000}"/>
    <cellStyle name="Normal 3 17 14 11" xfId="23174" xr:uid="{00000000-0005-0000-0000-00007D5A0000}"/>
    <cellStyle name="Normal 3 17 14 11 2" xfId="23175" xr:uid="{00000000-0005-0000-0000-00007E5A0000}"/>
    <cellStyle name="Normal 3 17 14 11 3" xfId="23176" xr:uid="{00000000-0005-0000-0000-00007F5A0000}"/>
    <cellStyle name="Normal 3 17 14 12" xfId="23177" xr:uid="{00000000-0005-0000-0000-0000805A0000}"/>
    <cellStyle name="Normal 3 17 14 12 2" xfId="23178" xr:uid="{00000000-0005-0000-0000-0000815A0000}"/>
    <cellStyle name="Normal 3 17 14 12 3" xfId="23179" xr:uid="{00000000-0005-0000-0000-0000825A0000}"/>
    <cellStyle name="Normal 3 17 14 13" xfId="23180" xr:uid="{00000000-0005-0000-0000-0000835A0000}"/>
    <cellStyle name="Normal 3 17 14 13 2" xfId="23181" xr:uid="{00000000-0005-0000-0000-0000845A0000}"/>
    <cellStyle name="Normal 3 17 14 13 3" xfId="23182" xr:uid="{00000000-0005-0000-0000-0000855A0000}"/>
    <cellStyle name="Normal 3 17 14 14" xfId="23183" xr:uid="{00000000-0005-0000-0000-0000865A0000}"/>
    <cellStyle name="Normal 3 17 14 14 2" xfId="23184" xr:uid="{00000000-0005-0000-0000-0000875A0000}"/>
    <cellStyle name="Normal 3 17 14 14 3" xfId="23185" xr:uid="{00000000-0005-0000-0000-0000885A0000}"/>
    <cellStyle name="Normal 3 17 14 15" xfId="23186" xr:uid="{00000000-0005-0000-0000-0000895A0000}"/>
    <cellStyle name="Normal 3 17 14 16" xfId="23187" xr:uid="{00000000-0005-0000-0000-00008A5A0000}"/>
    <cellStyle name="Normal 3 17 14 2" xfId="23188" xr:uid="{00000000-0005-0000-0000-00008B5A0000}"/>
    <cellStyle name="Normal 3 17 14 2 2" xfId="23189" xr:uid="{00000000-0005-0000-0000-00008C5A0000}"/>
    <cellStyle name="Normal 3 17 14 2 3" xfId="23190" xr:uid="{00000000-0005-0000-0000-00008D5A0000}"/>
    <cellStyle name="Normal 3 17 14 3" xfId="23191" xr:uid="{00000000-0005-0000-0000-00008E5A0000}"/>
    <cellStyle name="Normal 3 17 14 3 2" xfId="23192" xr:uid="{00000000-0005-0000-0000-00008F5A0000}"/>
    <cellStyle name="Normal 3 17 14 3 3" xfId="23193" xr:uid="{00000000-0005-0000-0000-0000905A0000}"/>
    <cellStyle name="Normal 3 17 14 4" xfId="23194" xr:uid="{00000000-0005-0000-0000-0000915A0000}"/>
    <cellStyle name="Normal 3 17 14 4 2" xfId="23195" xr:uid="{00000000-0005-0000-0000-0000925A0000}"/>
    <cellStyle name="Normal 3 17 14 4 3" xfId="23196" xr:uid="{00000000-0005-0000-0000-0000935A0000}"/>
    <cellStyle name="Normal 3 17 14 5" xfId="23197" xr:uid="{00000000-0005-0000-0000-0000945A0000}"/>
    <cellStyle name="Normal 3 17 14 5 2" xfId="23198" xr:uid="{00000000-0005-0000-0000-0000955A0000}"/>
    <cellStyle name="Normal 3 17 14 5 3" xfId="23199" xr:uid="{00000000-0005-0000-0000-0000965A0000}"/>
    <cellStyle name="Normal 3 17 14 6" xfId="23200" xr:uid="{00000000-0005-0000-0000-0000975A0000}"/>
    <cellStyle name="Normal 3 17 14 6 2" xfId="23201" xr:uid="{00000000-0005-0000-0000-0000985A0000}"/>
    <cellStyle name="Normal 3 17 14 6 3" xfId="23202" xr:uid="{00000000-0005-0000-0000-0000995A0000}"/>
    <cellStyle name="Normal 3 17 14 7" xfId="23203" xr:uid="{00000000-0005-0000-0000-00009A5A0000}"/>
    <cellStyle name="Normal 3 17 14 7 2" xfId="23204" xr:uid="{00000000-0005-0000-0000-00009B5A0000}"/>
    <cellStyle name="Normal 3 17 14 7 3" xfId="23205" xr:uid="{00000000-0005-0000-0000-00009C5A0000}"/>
    <cellStyle name="Normal 3 17 14 8" xfId="23206" xr:uid="{00000000-0005-0000-0000-00009D5A0000}"/>
    <cellStyle name="Normal 3 17 14 8 2" xfId="23207" xr:uid="{00000000-0005-0000-0000-00009E5A0000}"/>
    <cellStyle name="Normal 3 17 14 8 3" xfId="23208" xr:uid="{00000000-0005-0000-0000-00009F5A0000}"/>
    <cellStyle name="Normal 3 17 14 9" xfId="23209" xr:uid="{00000000-0005-0000-0000-0000A05A0000}"/>
    <cellStyle name="Normal 3 17 14 9 2" xfId="23210" xr:uid="{00000000-0005-0000-0000-0000A15A0000}"/>
    <cellStyle name="Normal 3 17 14 9 3" xfId="23211" xr:uid="{00000000-0005-0000-0000-0000A25A0000}"/>
    <cellStyle name="Normal 3 17 15" xfId="23212" xr:uid="{00000000-0005-0000-0000-0000A35A0000}"/>
    <cellStyle name="Normal 3 17 16" xfId="23213" xr:uid="{00000000-0005-0000-0000-0000A45A0000}"/>
    <cellStyle name="Normal 3 17 17" xfId="23214" xr:uid="{00000000-0005-0000-0000-0000A55A0000}"/>
    <cellStyle name="Normal 3 17 17 10" xfId="23215" xr:uid="{00000000-0005-0000-0000-0000A65A0000}"/>
    <cellStyle name="Normal 3 17 17 10 2" xfId="23216" xr:uid="{00000000-0005-0000-0000-0000A75A0000}"/>
    <cellStyle name="Normal 3 17 17 10 3" xfId="23217" xr:uid="{00000000-0005-0000-0000-0000A85A0000}"/>
    <cellStyle name="Normal 3 17 17 11" xfId="23218" xr:uid="{00000000-0005-0000-0000-0000A95A0000}"/>
    <cellStyle name="Normal 3 17 17 11 2" xfId="23219" xr:uid="{00000000-0005-0000-0000-0000AA5A0000}"/>
    <cellStyle name="Normal 3 17 17 11 3" xfId="23220" xr:uid="{00000000-0005-0000-0000-0000AB5A0000}"/>
    <cellStyle name="Normal 3 17 17 12" xfId="23221" xr:uid="{00000000-0005-0000-0000-0000AC5A0000}"/>
    <cellStyle name="Normal 3 17 17 12 2" xfId="23222" xr:uid="{00000000-0005-0000-0000-0000AD5A0000}"/>
    <cellStyle name="Normal 3 17 17 12 3" xfId="23223" xr:uid="{00000000-0005-0000-0000-0000AE5A0000}"/>
    <cellStyle name="Normal 3 17 17 13" xfId="23224" xr:uid="{00000000-0005-0000-0000-0000AF5A0000}"/>
    <cellStyle name="Normal 3 17 17 13 2" xfId="23225" xr:uid="{00000000-0005-0000-0000-0000B05A0000}"/>
    <cellStyle name="Normal 3 17 17 13 3" xfId="23226" xr:uid="{00000000-0005-0000-0000-0000B15A0000}"/>
    <cellStyle name="Normal 3 17 17 14" xfId="23227" xr:uid="{00000000-0005-0000-0000-0000B25A0000}"/>
    <cellStyle name="Normal 3 17 17 14 2" xfId="23228" xr:uid="{00000000-0005-0000-0000-0000B35A0000}"/>
    <cellStyle name="Normal 3 17 17 14 3" xfId="23229" xr:uid="{00000000-0005-0000-0000-0000B45A0000}"/>
    <cellStyle name="Normal 3 17 17 15" xfId="23230" xr:uid="{00000000-0005-0000-0000-0000B55A0000}"/>
    <cellStyle name="Normal 3 17 17 16" xfId="23231" xr:uid="{00000000-0005-0000-0000-0000B65A0000}"/>
    <cellStyle name="Normal 3 17 17 2" xfId="23232" xr:uid="{00000000-0005-0000-0000-0000B75A0000}"/>
    <cellStyle name="Normal 3 17 17 2 2" xfId="23233" xr:uid="{00000000-0005-0000-0000-0000B85A0000}"/>
    <cellStyle name="Normal 3 17 17 2 3" xfId="23234" xr:uid="{00000000-0005-0000-0000-0000B95A0000}"/>
    <cellStyle name="Normal 3 17 17 3" xfId="23235" xr:uid="{00000000-0005-0000-0000-0000BA5A0000}"/>
    <cellStyle name="Normal 3 17 17 3 2" xfId="23236" xr:uid="{00000000-0005-0000-0000-0000BB5A0000}"/>
    <cellStyle name="Normal 3 17 17 3 3" xfId="23237" xr:uid="{00000000-0005-0000-0000-0000BC5A0000}"/>
    <cellStyle name="Normal 3 17 17 4" xfId="23238" xr:uid="{00000000-0005-0000-0000-0000BD5A0000}"/>
    <cellStyle name="Normal 3 17 17 4 2" xfId="23239" xr:uid="{00000000-0005-0000-0000-0000BE5A0000}"/>
    <cellStyle name="Normal 3 17 17 4 3" xfId="23240" xr:uid="{00000000-0005-0000-0000-0000BF5A0000}"/>
    <cellStyle name="Normal 3 17 17 5" xfId="23241" xr:uid="{00000000-0005-0000-0000-0000C05A0000}"/>
    <cellStyle name="Normal 3 17 17 5 2" xfId="23242" xr:uid="{00000000-0005-0000-0000-0000C15A0000}"/>
    <cellStyle name="Normal 3 17 17 5 3" xfId="23243" xr:uid="{00000000-0005-0000-0000-0000C25A0000}"/>
    <cellStyle name="Normal 3 17 17 6" xfId="23244" xr:uid="{00000000-0005-0000-0000-0000C35A0000}"/>
    <cellStyle name="Normal 3 17 17 6 2" xfId="23245" xr:uid="{00000000-0005-0000-0000-0000C45A0000}"/>
    <cellStyle name="Normal 3 17 17 6 3" xfId="23246" xr:uid="{00000000-0005-0000-0000-0000C55A0000}"/>
    <cellStyle name="Normal 3 17 17 7" xfId="23247" xr:uid="{00000000-0005-0000-0000-0000C65A0000}"/>
    <cellStyle name="Normal 3 17 17 7 2" xfId="23248" xr:uid="{00000000-0005-0000-0000-0000C75A0000}"/>
    <cellStyle name="Normal 3 17 17 7 3" xfId="23249" xr:uid="{00000000-0005-0000-0000-0000C85A0000}"/>
    <cellStyle name="Normal 3 17 17 8" xfId="23250" xr:uid="{00000000-0005-0000-0000-0000C95A0000}"/>
    <cellStyle name="Normal 3 17 17 8 2" xfId="23251" xr:uid="{00000000-0005-0000-0000-0000CA5A0000}"/>
    <cellStyle name="Normal 3 17 17 8 3" xfId="23252" xr:uid="{00000000-0005-0000-0000-0000CB5A0000}"/>
    <cellStyle name="Normal 3 17 17 9" xfId="23253" xr:uid="{00000000-0005-0000-0000-0000CC5A0000}"/>
    <cellStyle name="Normal 3 17 17 9 2" xfId="23254" xr:uid="{00000000-0005-0000-0000-0000CD5A0000}"/>
    <cellStyle name="Normal 3 17 17 9 3" xfId="23255" xr:uid="{00000000-0005-0000-0000-0000CE5A0000}"/>
    <cellStyle name="Normal 3 17 18" xfId="23256" xr:uid="{00000000-0005-0000-0000-0000CF5A0000}"/>
    <cellStyle name="Normal 3 17 18 10" xfId="23257" xr:uid="{00000000-0005-0000-0000-0000D05A0000}"/>
    <cellStyle name="Normal 3 17 18 10 2" xfId="23258" xr:uid="{00000000-0005-0000-0000-0000D15A0000}"/>
    <cellStyle name="Normal 3 17 18 10 3" xfId="23259" xr:uid="{00000000-0005-0000-0000-0000D25A0000}"/>
    <cellStyle name="Normal 3 17 18 11" xfId="23260" xr:uid="{00000000-0005-0000-0000-0000D35A0000}"/>
    <cellStyle name="Normal 3 17 18 11 2" xfId="23261" xr:uid="{00000000-0005-0000-0000-0000D45A0000}"/>
    <cellStyle name="Normal 3 17 18 11 3" xfId="23262" xr:uid="{00000000-0005-0000-0000-0000D55A0000}"/>
    <cellStyle name="Normal 3 17 18 12" xfId="23263" xr:uid="{00000000-0005-0000-0000-0000D65A0000}"/>
    <cellStyle name="Normal 3 17 18 12 2" xfId="23264" xr:uid="{00000000-0005-0000-0000-0000D75A0000}"/>
    <cellStyle name="Normal 3 17 18 12 3" xfId="23265" xr:uid="{00000000-0005-0000-0000-0000D85A0000}"/>
    <cellStyle name="Normal 3 17 18 13" xfId="23266" xr:uid="{00000000-0005-0000-0000-0000D95A0000}"/>
    <cellStyle name="Normal 3 17 18 13 2" xfId="23267" xr:uid="{00000000-0005-0000-0000-0000DA5A0000}"/>
    <cellStyle name="Normal 3 17 18 13 3" xfId="23268" xr:uid="{00000000-0005-0000-0000-0000DB5A0000}"/>
    <cellStyle name="Normal 3 17 18 14" xfId="23269" xr:uid="{00000000-0005-0000-0000-0000DC5A0000}"/>
    <cellStyle name="Normal 3 17 18 14 2" xfId="23270" xr:uid="{00000000-0005-0000-0000-0000DD5A0000}"/>
    <cellStyle name="Normal 3 17 18 14 3" xfId="23271" xr:uid="{00000000-0005-0000-0000-0000DE5A0000}"/>
    <cellStyle name="Normal 3 17 18 15" xfId="23272" xr:uid="{00000000-0005-0000-0000-0000DF5A0000}"/>
    <cellStyle name="Normal 3 17 18 16" xfId="23273" xr:uid="{00000000-0005-0000-0000-0000E05A0000}"/>
    <cellStyle name="Normal 3 17 18 2" xfId="23274" xr:uid="{00000000-0005-0000-0000-0000E15A0000}"/>
    <cellStyle name="Normal 3 17 18 2 2" xfId="23275" xr:uid="{00000000-0005-0000-0000-0000E25A0000}"/>
    <cellStyle name="Normal 3 17 18 2 3" xfId="23276" xr:uid="{00000000-0005-0000-0000-0000E35A0000}"/>
    <cellStyle name="Normal 3 17 18 3" xfId="23277" xr:uid="{00000000-0005-0000-0000-0000E45A0000}"/>
    <cellStyle name="Normal 3 17 18 3 2" xfId="23278" xr:uid="{00000000-0005-0000-0000-0000E55A0000}"/>
    <cellStyle name="Normal 3 17 18 3 3" xfId="23279" xr:uid="{00000000-0005-0000-0000-0000E65A0000}"/>
    <cellStyle name="Normal 3 17 18 4" xfId="23280" xr:uid="{00000000-0005-0000-0000-0000E75A0000}"/>
    <cellStyle name="Normal 3 17 18 4 2" xfId="23281" xr:uid="{00000000-0005-0000-0000-0000E85A0000}"/>
    <cellStyle name="Normal 3 17 18 4 3" xfId="23282" xr:uid="{00000000-0005-0000-0000-0000E95A0000}"/>
    <cellStyle name="Normal 3 17 18 5" xfId="23283" xr:uid="{00000000-0005-0000-0000-0000EA5A0000}"/>
    <cellStyle name="Normal 3 17 18 5 2" xfId="23284" xr:uid="{00000000-0005-0000-0000-0000EB5A0000}"/>
    <cellStyle name="Normal 3 17 18 5 3" xfId="23285" xr:uid="{00000000-0005-0000-0000-0000EC5A0000}"/>
    <cellStyle name="Normal 3 17 18 6" xfId="23286" xr:uid="{00000000-0005-0000-0000-0000ED5A0000}"/>
    <cellStyle name="Normal 3 17 18 6 2" xfId="23287" xr:uid="{00000000-0005-0000-0000-0000EE5A0000}"/>
    <cellStyle name="Normal 3 17 18 6 3" xfId="23288" xr:uid="{00000000-0005-0000-0000-0000EF5A0000}"/>
    <cellStyle name="Normal 3 17 18 7" xfId="23289" xr:uid="{00000000-0005-0000-0000-0000F05A0000}"/>
    <cellStyle name="Normal 3 17 18 7 2" xfId="23290" xr:uid="{00000000-0005-0000-0000-0000F15A0000}"/>
    <cellStyle name="Normal 3 17 18 7 3" xfId="23291" xr:uid="{00000000-0005-0000-0000-0000F25A0000}"/>
    <cellStyle name="Normal 3 17 18 8" xfId="23292" xr:uid="{00000000-0005-0000-0000-0000F35A0000}"/>
    <cellStyle name="Normal 3 17 18 8 2" xfId="23293" xr:uid="{00000000-0005-0000-0000-0000F45A0000}"/>
    <cellStyle name="Normal 3 17 18 8 3" xfId="23294" xr:uid="{00000000-0005-0000-0000-0000F55A0000}"/>
    <cellStyle name="Normal 3 17 18 9" xfId="23295" xr:uid="{00000000-0005-0000-0000-0000F65A0000}"/>
    <cellStyle name="Normal 3 17 18 9 2" xfId="23296" xr:uid="{00000000-0005-0000-0000-0000F75A0000}"/>
    <cellStyle name="Normal 3 17 18 9 3" xfId="23297" xr:uid="{00000000-0005-0000-0000-0000F85A0000}"/>
    <cellStyle name="Normal 3 17 19" xfId="23298" xr:uid="{00000000-0005-0000-0000-0000F95A0000}"/>
    <cellStyle name="Normal 3 17 19 2" xfId="23299" xr:uid="{00000000-0005-0000-0000-0000FA5A0000}"/>
    <cellStyle name="Normal 3 17 19 3" xfId="23300" xr:uid="{00000000-0005-0000-0000-0000FB5A0000}"/>
    <cellStyle name="Normal 3 17 2" xfId="23301" xr:uid="{00000000-0005-0000-0000-0000FC5A0000}"/>
    <cellStyle name="Normal 3 17 2 10" xfId="23302" xr:uid="{00000000-0005-0000-0000-0000FD5A0000}"/>
    <cellStyle name="Normal 3 17 2 10 2" xfId="23303" xr:uid="{00000000-0005-0000-0000-0000FE5A0000}"/>
    <cellStyle name="Normal 3 17 2 10 3" xfId="23304" xr:uid="{00000000-0005-0000-0000-0000FF5A0000}"/>
    <cellStyle name="Normal 3 17 2 11" xfId="23305" xr:uid="{00000000-0005-0000-0000-0000005B0000}"/>
    <cellStyle name="Normal 3 17 2 11 2" xfId="23306" xr:uid="{00000000-0005-0000-0000-0000015B0000}"/>
    <cellStyle name="Normal 3 17 2 11 3" xfId="23307" xr:uid="{00000000-0005-0000-0000-0000025B0000}"/>
    <cellStyle name="Normal 3 17 2 12" xfId="23308" xr:uid="{00000000-0005-0000-0000-0000035B0000}"/>
    <cellStyle name="Normal 3 17 2 12 2" xfId="23309" xr:uid="{00000000-0005-0000-0000-0000045B0000}"/>
    <cellStyle name="Normal 3 17 2 12 3" xfId="23310" xr:uid="{00000000-0005-0000-0000-0000055B0000}"/>
    <cellStyle name="Normal 3 17 2 13" xfId="23311" xr:uid="{00000000-0005-0000-0000-0000065B0000}"/>
    <cellStyle name="Normal 3 17 2 13 2" xfId="23312" xr:uid="{00000000-0005-0000-0000-0000075B0000}"/>
    <cellStyle name="Normal 3 17 2 13 3" xfId="23313" xr:uid="{00000000-0005-0000-0000-0000085B0000}"/>
    <cellStyle name="Normal 3 17 2 14" xfId="23314" xr:uid="{00000000-0005-0000-0000-0000095B0000}"/>
    <cellStyle name="Normal 3 17 2 14 2" xfId="23315" xr:uid="{00000000-0005-0000-0000-00000A5B0000}"/>
    <cellStyle name="Normal 3 17 2 14 3" xfId="23316" xr:uid="{00000000-0005-0000-0000-00000B5B0000}"/>
    <cellStyle name="Normal 3 17 2 15" xfId="23317" xr:uid="{00000000-0005-0000-0000-00000C5B0000}"/>
    <cellStyle name="Normal 3 17 2 15 2" xfId="23318" xr:uid="{00000000-0005-0000-0000-00000D5B0000}"/>
    <cellStyle name="Normal 3 17 2 15 3" xfId="23319" xr:uid="{00000000-0005-0000-0000-00000E5B0000}"/>
    <cellStyle name="Normal 3 17 2 16" xfId="23320" xr:uid="{00000000-0005-0000-0000-00000F5B0000}"/>
    <cellStyle name="Normal 3 17 2 16 2" xfId="23321" xr:uid="{00000000-0005-0000-0000-0000105B0000}"/>
    <cellStyle name="Normal 3 17 2 16 3" xfId="23322" xr:uid="{00000000-0005-0000-0000-0000115B0000}"/>
    <cellStyle name="Normal 3 17 2 17" xfId="23323" xr:uid="{00000000-0005-0000-0000-0000125B0000}"/>
    <cellStyle name="Normal 3 17 2 17 2" xfId="23324" xr:uid="{00000000-0005-0000-0000-0000135B0000}"/>
    <cellStyle name="Normal 3 17 2 17 3" xfId="23325" xr:uid="{00000000-0005-0000-0000-0000145B0000}"/>
    <cellStyle name="Normal 3 17 2 18" xfId="23326" xr:uid="{00000000-0005-0000-0000-0000155B0000}"/>
    <cellStyle name="Normal 3 17 2 19" xfId="23327" xr:uid="{00000000-0005-0000-0000-0000165B0000}"/>
    <cellStyle name="Normal 3 17 2 2" xfId="23328" xr:uid="{00000000-0005-0000-0000-0000175B0000}"/>
    <cellStyle name="Normal 3 17 2 2 2" xfId="23329" xr:uid="{00000000-0005-0000-0000-0000185B0000}"/>
    <cellStyle name="Normal 3 17 2 2 2 2" xfId="23330" xr:uid="{00000000-0005-0000-0000-0000195B0000}"/>
    <cellStyle name="Normal 3 17 2 2 2 3" xfId="23331" xr:uid="{00000000-0005-0000-0000-00001A5B0000}"/>
    <cellStyle name="Normal 3 17 2 2 3" xfId="23332" xr:uid="{00000000-0005-0000-0000-00001B5B0000}"/>
    <cellStyle name="Normal 3 17 2 2 4" xfId="23333" xr:uid="{00000000-0005-0000-0000-00001C5B0000}"/>
    <cellStyle name="Normal 3 17 2 3" xfId="23334" xr:uid="{00000000-0005-0000-0000-00001D5B0000}"/>
    <cellStyle name="Normal 3 17 2 4" xfId="23335" xr:uid="{00000000-0005-0000-0000-00001E5B0000}"/>
    <cellStyle name="Normal 3 17 2 5" xfId="23336" xr:uid="{00000000-0005-0000-0000-00001F5B0000}"/>
    <cellStyle name="Normal 3 17 2 5 2" xfId="23337" xr:uid="{00000000-0005-0000-0000-0000205B0000}"/>
    <cellStyle name="Normal 3 17 2 5 3" xfId="23338" xr:uid="{00000000-0005-0000-0000-0000215B0000}"/>
    <cellStyle name="Normal 3 17 2 6" xfId="23339" xr:uid="{00000000-0005-0000-0000-0000225B0000}"/>
    <cellStyle name="Normal 3 17 2 6 2" xfId="23340" xr:uid="{00000000-0005-0000-0000-0000235B0000}"/>
    <cellStyle name="Normal 3 17 2 6 3" xfId="23341" xr:uid="{00000000-0005-0000-0000-0000245B0000}"/>
    <cellStyle name="Normal 3 17 2 7" xfId="23342" xr:uid="{00000000-0005-0000-0000-0000255B0000}"/>
    <cellStyle name="Normal 3 17 2 7 2" xfId="23343" xr:uid="{00000000-0005-0000-0000-0000265B0000}"/>
    <cellStyle name="Normal 3 17 2 7 3" xfId="23344" xr:uid="{00000000-0005-0000-0000-0000275B0000}"/>
    <cellStyle name="Normal 3 17 2 8" xfId="23345" xr:uid="{00000000-0005-0000-0000-0000285B0000}"/>
    <cellStyle name="Normal 3 17 2 8 2" xfId="23346" xr:uid="{00000000-0005-0000-0000-0000295B0000}"/>
    <cellStyle name="Normal 3 17 2 8 3" xfId="23347" xr:uid="{00000000-0005-0000-0000-00002A5B0000}"/>
    <cellStyle name="Normal 3 17 2 9" xfId="23348" xr:uid="{00000000-0005-0000-0000-00002B5B0000}"/>
    <cellStyle name="Normal 3 17 2 9 2" xfId="23349" xr:uid="{00000000-0005-0000-0000-00002C5B0000}"/>
    <cellStyle name="Normal 3 17 2 9 3" xfId="23350" xr:uid="{00000000-0005-0000-0000-00002D5B0000}"/>
    <cellStyle name="Normal 3 17 20" xfId="23351" xr:uid="{00000000-0005-0000-0000-00002E5B0000}"/>
    <cellStyle name="Normal 3 17 3" xfId="23352" xr:uid="{00000000-0005-0000-0000-00002F5B0000}"/>
    <cellStyle name="Normal 3 17 4" xfId="23353" xr:uid="{00000000-0005-0000-0000-0000305B0000}"/>
    <cellStyle name="Normal 3 17 5" xfId="23354" xr:uid="{00000000-0005-0000-0000-0000315B0000}"/>
    <cellStyle name="Normal 3 17 6" xfId="23355" xr:uid="{00000000-0005-0000-0000-0000325B0000}"/>
    <cellStyle name="Normal 3 17 6 10" xfId="23356" xr:uid="{00000000-0005-0000-0000-0000335B0000}"/>
    <cellStyle name="Normal 3 17 6 10 2" xfId="23357" xr:uid="{00000000-0005-0000-0000-0000345B0000}"/>
    <cellStyle name="Normal 3 17 6 10 3" xfId="23358" xr:uid="{00000000-0005-0000-0000-0000355B0000}"/>
    <cellStyle name="Normal 3 17 6 11" xfId="23359" xr:uid="{00000000-0005-0000-0000-0000365B0000}"/>
    <cellStyle name="Normal 3 17 6 11 2" xfId="23360" xr:uid="{00000000-0005-0000-0000-0000375B0000}"/>
    <cellStyle name="Normal 3 17 6 11 3" xfId="23361" xr:uid="{00000000-0005-0000-0000-0000385B0000}"/>
    <cellStyle name="Normal 3 17 6 12" xfId="23362" xr:uid="{00000000-0005-0000-0000-0000395B0000}"/>
    <cellStyle name="Normal 3 17 6 12 2" xfId="23363" xr:uid="{00000000-0005-0000-0000-00003A5B0000}"/>
    <cellStyle name="Normal 3 17 6 12 3" xfId="23364" xr:uid="{00000000-0005-0000-0000-00003B5B0000}"/>
    <cellStyle name="Normal 3 17 6 13" xfId="23365" xr:uid="{00000000-0005-0000-0000-00003C5B0000}"/>
    <cellStyle name="Normal 3 17 6 13 2" xfId="23366" xr:uid="{00000000-0005-0000-0000-00003D5B0000}"/>
    <cellStyle name="Normal 3 17 6 13 3" xfId="23367" xr:uid="{00000000-0005-0000-0000-00003E5B0000}"/>
    <cellStyle name="Normal 3 17 6 14" xfId="23368" xr:uid="{00000000-0005-0000-0000-00003F5B0000}"/>
    <cellStyle name="Normal 3 17 6 14 2" xfId="23369" xr:uid="{00000000-0005-0000-0000-0000405B0000}"/>
    <cellStyle name="Normal 3 17 6 14 3" xfId="23370" xr:uid="{00000000-0005-0000-0000-0000415B0000}"/>
    <cellStyle name="Normal 3 17 6 15" xfId="23371" xr:uid="{00000000-0005-0000-0000-0000425B0000}"/>
    <cellStyle name="Normal 3 17 6 15 2" xfId="23372" xr:uid="{00000000-0005-0000-0000-0000435B0000}"/>
    <cellStyle name="Normal 3 17 6 15 3" xfId="23373" xr:uid="{00000000-0005-0000-0000-0000445B0000}"/>
    <cellStyle name="Normal 3 17 6 16" xfId="23374" xr:uid="{00000000-0005-0000-0000-0000455B0000}"/>
    <cellStyle name="Normal 3 17 6 17" xfId="23375" xr:uid="{00000000-0005-0000-0000-0000465B0000}"/>
    <cellStyle name="Normal 3 17 6 2" xfId="23376" xr:uid="{00000000-0005-0000-0000-0000475B0000}"/>
    <cellStyle name="Normal 3 17 6 2 10" xfId="23377" xr:uid="{00000000-0005-0000-0000-0000485B0000}"/>
    <cellStyle name="Normal 3 17 6 2 10 2" xfId="23378" xr:uid="{00000000-0005-0000-0000-0000495B0000}"/>
    <cellStyle name="Normal 3 17 6 2 10 3" xfId="23379" xr:uid="{00000000-0005-0000-0000-00004A5B0000}"/>
    <cellStyle name="Normal 3 17 6 2 11" xfId="23380" xr:uid="{00000000-0005-0000-0000-00004B5B0000}"/>
    <cellStyle name="Normal 3 17 6 2 11 2" xfId="23381" xr:uid="{00000000-0005-0000-0000-00004C5B0000}"/>
    <cellStyle name="Normal 3 17 6 2 11 3" xfId="23382" xr:uid="{00000000-0005-0000-0000-00004D5B0000}"/>
    <cellStyle name="Normal 3 17 6 2 12" xfId="23383" xr:uid="{00000000-0005-0000-0000-00004E5B0000}"/>
    <cellStyle name="Normal 3 17 6 2 12 2" xfId="23384" xr:uid="{00000000-0005-0000-0000-00004F5B0000}"/>
    <cellStyle name="Normal 3 17 6 2 12 3" xfId="23385" xr:uid="{00000000-0005-0000-0000-0000505B0000}"/>
    <cellStyle name="Normal 3 17 6 2 13" xfId="23386" xr:uid="{00000000-0005-0000-0000-0000515B0000}"/>
    <cellStyle name="Normal 3 17 6 2 13 2" xfId="23387" xr:uid="{00000000-0005-0000-0000-0000525B0000}"/>
    <cellStyle name="Normal 3 17 6 2 13 3" xfId="23388" xr:uid="{00000000-0005-0000-0000-0000535B0000}"/>
    <cellStyle name="Normal 3 17 6 2 14" xfId="23389" xr:uid="{00000000-0005-0000-0000-0000545B0000}"/>
    <cellStyle name="Normal 3 17 6 2 14 2" xfId="23390" xr:uid="{00000000-0005-0000-0000-0000555B0000}"/>
    <cellStyle name="Normal 3 17 6 2 14 3" xfId="23391" xr:uid="{00000000-0005-0000-0000-0000565B0000}"/>
    <cellStyle name="Normal 3 17 6 2 15" xfId="23392" xr:uid="{00000000-0005-0000-0000-0000575B0000}"/>
    <cellStyle name="Normal 3 17 6 2 16" xfId="23393" xr:uid="{00000000-0005-0000-0000-0000585B0000}"/>
    <cellStyle name="Normal 3 17 6 2 2" xfId="23394" xr:uid="{00000000-0005-0000-0000-0000595B0000}"/>
    <cellStyle name="Normal 3 17 6 2 2 2" xfId="23395" xr:uid="{00000000-0005-0000-0000-00005A5B0000}"/>
    <cellStyle name="Normal 3 17 6 2 2 3" xfId="23396" xr:uid="{00000000-0005-0000-0000-00005B5B0000}"/>
    <cellStyle name="Normal 3 17 6 2 3" xfId="23397" xr:uid="{00000000-0005-0000-0000-00005C5B0000}"/>
    <cellStyle name="Normal 3 17 6 2 3 2" xfId="23398" xr:uid="{00000000-0005-0000-0000-00005D5B0000}"/>
    <cellStyle name="Normal 3 17 6 2 3 3" xfId="23399" xr:uid="{00000000-0005-0000-0000-00005E5B0000}"/>
    <cellStyle name="Normal 3 17 6 2 4" xfId="23400" xr:uid="{00000000-0005-0000-0000-00005F5B0000}"/>
    <cellStyle name="Normal 3 17 6 2 4 2" xfId="23401" xr:uid="{00000000-0005-0000-0000-0000605B0000}"/>
    <cellStyle name="Normal 3 17 6 2 4 3" xfId="23402" xr:uid="{00000000-0005-0000-0000-0000615B0000}"/>
    <cellStyle name="Normal 3 17 6 2 5" xfId="23403" xr:uid="{00000000-0005-0000-0000-0000625B0000}"/>
    <cellStyle name="Normal 3 17 6 2 5 2" xfId="23404" xr:uid="{00000000-0005-0000-0000-0000635B0000}"/>
    <cellStyle name="Normal 3 17 6 2 5 3" xfId="23405" xr:uid="{00000000-0005-0000-0000-0000645B0000}"/>
    <cellStyle name="Normal 3 17 6 2 6" xfId="23406" xr:uid="{00000000-0005-0000-0000-0000655B0000}"/>
    <cellStyle name="Normal 3 17 6 2 6 2" xfId="23407" xr:uid="{00000000-0005-0000-0000-0000665B0000}"/>
    <cellStyle name="Normal 3 17 6 2 6 3" xfId="23408" xr:uid="{00000000-0005-0000-0000-0000675B0000}"/>
    <cellStyle name="Normal 3 17 6 2 7" xfId="23409" xr:uid="{00000000-0005-0000-0000-0000685B0000}"/>
    <cellStyle name="Normal 3 17 6 2 7 2" xfId="23410" xr:uid="{00000000-0005-0000-0000-0000695B0000}"/>
    <cellStyle name="Normal 3 17 6 2 7 3" xfId="23411" xr:uid="{00000000-0005-0000-0000-00006A5B0000}"/>
    <cellStyle name="Normal 3 17 6 2 8" xfId="23412" xr:uid="{00000000-0005-0000-0000-00006B5B0000}"/>
    <cellStyle name="Normal 3 17 6 2 8 2" xfId="23413" xr:uid="{00000000-0005-0000-0000-00006C5B0000}"/>
    <cellStyle name="Normal 3 17 6 2 8 3" xfId="23414" xr:uid="{00000000-0005-0000-0000-00006D5B0000}"/>
    <cellStyle name="Normal 3 17 6 2 9" xfId="23415" xr:uid="{00000000-0005-0000-0000-00006E5B0000}"/>
    <cellStyle name="Normal 3 17 6 2 9 2" xfId="23416" xr:uid="{00000000-0005-0000-0000-00006F5B0000}"/>
    <cellStyle name="Normal 3 17 6 2 9 3" xfId="23417" xr:uid="{00000000-0005-0000-0000-0000705B0000}"/>
    <cellStyle name="Normal 3 17 6 3" xfId="23418" xr:uid="{00000000-0005-0000-0000-0000715B0000}"/>
    <cellStyle name="Normal 3 17 6 3 2" xfId="23419" xr:uid="{00000000-0005-0000-0000-0000725B0000}"/>
    <cellStyle name="Normal 3 17 6 3 3" xfId="23420" xr:uid="{00000000-0005-0000-0000-0000735B0000}"/>
    <cellStyle name="Normal 3 17 6 4" xfId="23421" xr:uid="{00000000-0005-0000-0000-0000745B0000}"/>
    <cellStyle name="Normal 3 17 6 4 2" xfId="23422" xr:uid="{00000000-0005-0000-0000-0000755B0000}"/>
    <cellStyle name="Normal 3 17 6 4 3" xfId="23423" xr:uid="{00000000-0005-0000-0000-0000765B0000}"/>
    <cellStyle name="Normal 3 17 6 5" xfId="23424" xr:uid="{00000000-0005-0000-0000-0000775B0000}"/>
    <cellStyle name="Normal 3 17 6 5 2" xfId="23425" xr:uid="{00000000-0005-0000-0000-0000785B0000}"/>
    <cellStyle name="Normal 3 17 6 5 3" xfId="23426" xr:uid="{00000000-0005-0000-0000-0000795B0000}"/>
    <cellStyle name="Normal 3 17 6 6" xfId="23427" xr:uid="{00000000-0005-0000-0000-00007A5B0000}"/>
    <cellStyle name="Normal 3 17 6 6 2" xfId="23428" xr:uid="{00000000-0005-0000-0000-00007B5B0000}"/>
    <cellStyle name="Normal 3 17 6 6 3" xfId="23429" xr:uid="{00000000-0005-0000-0000-00007C5B0000}"/>
    <cellStyle name="Normal 3 17 6 7" xfId="23430" xr:uid="{00000000-0005-0000-0000-00007D5B0000}"/>
    <cellStyle name="Normal 3 17 6 7 2" xfId="23431" xr:uid="{00000000-0005-0000-0000-00007E5B0000}"/>
    <cellStyle name="Normal 3 17 6 7 3" xfId="23432" xr:uid="{00000000-0005-0000-0000-00007F5B0000}"/>
    <cellStyle name="Normal 3 17 6 8" xfId="23433" xr:uid="{00000000-0005-0000-0000-0000805B0000}"/>
    <cellStyle name="Normal 3 17 6 8 2" xfId="23434" xr:uid="{00000000-0005-0000-0000-0000815B0000}"/>
    <cellStyle name="Normal 3 17 6 8 3" xfId="23435" xr:uid="{00000000-0005-0000-0000-0000825B0000}"/>
    <cellStyle name="Normal 3 17 6 9" xfId="23436" xr:uid="{00000000-0005-0000-0000-0000835B0000}"/>
    <cellStyle name="Normal 3 17 6 9 2" xfId="23437" xr:uid="{00000000-0005-0000-0000-0000845B0000}"/>
    <cellStyle name="Normal 3 17 6 9 3" xfId="23438" xr:uid="{00000000-0005-0000-0000-0000855B0000}"/>
    <cellStyle name="Normal 3 17 7" xfId="23439" xr:uid="{00000000-0005-0000-0000-0000865B0000}"/>
    <cellStyle name="Normal 3 17 7 10" xfId="23440" xr:uid="{00000000-0005-0000-0000-0000875B0000}"/>
    <cellStyle name="Normal 3 17 7 10 2" xfId="23441" xr:uid="{00000000-0005-0000-0000-0000885B0000}"/>
    <cellStyle name="Normal 3 17 7 10 3" xfId="23442" xr:uid="{00000000-0005-0000-0000-0000895B0000}"/>
    <cellStyle name="Normal 3 17 7 11" xfId="23443" xr:uid="{00000000-0005-0000-0000-00008A5B0000}"/>
    <cellStyle name="Normal 3 17 7 11 2" xfId="23444" xr:uid="{00000000-0005-0000-0000-00008B5B0000}"/>
    <cellStyle name="Normal 3 17 7 11 3" xfId="23445" xr:uid="{00000000-0005-0000-0000-00008C5B0000}"/>
    <cellStyle name="Normal 3 17 7 12" xfId="23446" xr:uid="{00000000-0005-0000-0000-00008D5B0000}"/>
    <cellStyle name="Normal 3 17 7 12 2" xfId="23447" xr:uid="{00000000-0005-0000-0000-00008E5B0000}"/>
    <cellStyle name="Normal 3 17 7 12 3" xfId="23448" xr:uid="{00000000-0005-0000-0000-00008F5B0000}"/>
    <cellStyle name="Normal 3 17 7 13" xfId="23449" xr:uid="{00000000-0005-0000-0000-0000905B0000}"/>
    <cellStyle name="Normal 3 17 7 13 2" xfId="23450" xr:uid="{00000000-0005-0000-0000-0000915B0000}"/>
    <cellStyle name="Normal 3 17 7 13 3" xfId="23451" xr:uid="{00000000-0005-0000-0000-0000925B0000}"/>
    <cellStyle name="Normal 3 17 7 14" xfId="23452" xr:uid="{00000000-0005-0000-0000-0000935B0000}"/>
    <cellStyle name="Normal 3 17 7 14 2" xfId="23453" xr:uid="{00000000-0005-0000-0000-0000945B0000}"/>
    <cellStyle name="Normal 3 17 7 14 3" xfId="23454" xr:uid="{00000000-0005-0000-0000-0000955B0000}"/>
    <cellStyle name="Normal 3 17 7 15" xfId="23455" xr:uid="{00000000-0005-0000-0000-0000965B0000}"/>
    <cellStyle name="Normal 3 17 7 15 2" xfId="23456" xr:uid="{00000000-0005-0000-0000-0000975B0000}"/>
    <cellStyle name="Normal 3 17 7 15 3" xfId="23457" xr:uid="{00000000-0005-0000-0000-0000985B0000}"/>
    <cellStyle name="Normal 3 17 7 16" xfId="23458" xr:uid="{00000000-0005-0000-0000-0000995B0000}"/>
    <cellStyle name="Normal 3 17 7 17" xfId="23459" xr:uid="{00000000-0005-0000-0000-00009A5B0000}"/>
    <cellStyle name="Normal 3 17 7 2" xfId="23460" xr:uid="{00000000-0005-0000-0000-00009B5B0000}"/>
    <cellStyle name="Normal 3 17 7 2 10" xfId="23461" xr:uid="{00000000-0005-0000-0000-00009C5B0000}"/>
    <cellStyle name="Normal 3 17 7 2 10 2" xfId="23462" xr:uid="{00000000-0005-0000-0000-00009D5B0000}"/>
    <cellStyle name="Normal 3 17 7 2 10 3" xfId="23463" xr:uid="{00000000-0005-0000-0000-00009E5B0000}"/>
    <cellStyle name="Normal 3 17 7 2 11" xfId="23464" xr:uid="{00000000-0005-0000-0000-00009F5B0000}"/>
    <cellStyle name="Normal 3 17 7 2 11 2" xfId="23465" xr:uid="{00000000-0005-0000-0000-0000A05B0000}"/>
    <cellStyle name="Normal 3 17 7 2 11 3" xfId="23466" xr:uid="{00000000-0005-0000-0000-0000A15B0000}"/>
    <cellStyle name="Normal 3 17 7 2 12" xfId="23467" xr:uid="{00000000-0005-0000-0000-0000A25B0000}"/>
    <cellStyle name="Normal 3 17 7 2 12 2" xfId="23468" xr:uid="{00000000-0005-0000-0000-0000A35B0000}"/>
    <cellStyle name="Normal 3 17 7 2 12 3" xfId="23469" xr:uid="{00000000-0005-0000-0000-0000A45B0000}"/>
    <cellStyle name="Normal 3 17 7 2 13" xfId="23470" xr:uid="{00000000-0005-0000-0000-0000A55B0000}"/>
    <cellStyle name="Normal 3 17 7 2 13 2" xfId="23471" xr:uid="{00000000-0005-0000-0000-0000A65B0000}"/>
    <cellStyle name="Normal 3 17 7 2 13 3" xfId="23472" xr:uid="{00000000-0005-0000-0000-0000A75B0000}"/>
    <cellStyle name="Normal 3 17 7 2 14" xfId="23473" xr:uid="{00000000-0005-0000-0000-0000A85B0000}"/>
    <cellStyle name="Normal 3 17 7 2 14 2" xfId="23474" xr:uid="{00000000-0005-0000-0000-0000A95B0000}"/>
    <cellStyle name="Normal 3 17 7 2 14 3" xfId="23475" xr:uid="{00000000-0005-0000-0000-0000AA5B0000}"/>
    <cellStyle name="Normal 3 17 7 2 15" xfId="23476" xr:uid="{00000000-0005-0000-0000-0000AB5B0000}"/>
    <cellStyle name="Normal 3 17 7 2 16" xfId="23477" xr:uid="{00000000-0005-0000-0000-0000AC5B0000}"/>
    <cellStyle name="Normal 3 17 7 2 2" xfId="23478" xr:uid="{00000000-0005-0000-0000-0000AD5B0000}"/>
    <cellStyle name="Normal 3 17 7 2 2 2" xfId="23479" xr:uid="{00000000-0005-0000-0000-0000AE5B0000}"/>
    <cellStyle name="Normal 3 17 7 2 2 3" xfId="23480" xr:uid="{00000000-0005-0000-0000-0000AF5B0000}"/>
    <cellStyle name="Normal 3 17 7 2 3" xfId="23481" xr:uid="{00000000-0005-0000-0000-0000B05B0000}"/>
    <cellStyle name="Normal 3 17 7 2 3 2" xfId="23482" xr:uid="{00000000-0005-0000-0000-0000B15B0000}"/>
    <cellStyle name="Normal 3 17 7 2 3 3" xfId="23483" xr:uid="{00000000-0005-0000-0000-0000B25B0000}"/>
    <cellStyle name="Normal 3 17 7 2 4" xfId="23484" xr:uid="{00000000-0005-0000-0000-0000B35B0000}"/>
    <cellStyle name="Normal 3 17 7 2 4 2" xfId="23485" xr:uid="{00000000-0005-0000-0000-0000B45B0000}"/>
    <cellStyle name="Normal 3 17 7 2 4 3" xfId="23486" xr:uid="{00000000-0005-0000-0000-0000B55B0000}"/>
    <cellStyle name="Normal 3 17 7 2 5" xfId="23487" xr:uid="{00000000-0005-0000-0000-0000B65B0000}"/>
    <cellStyle name="Normal 3 17 7 2 5 2" xfId="23488" xr:uid="{00000000-0005-0000-0000-0000B75B0000}"/>
    <cellStyle name="Normal 3 17 7 2 5 3" xfId="23489" xr:uid="{00000000-0005-0000-0000-0000B85B0000}"/>
    <cellStyle name="Normal 3 17 7 2 6" xfId="23490" xr:uid="{00000000-0005-0000-0000-0000B95B0000}"/>
    <cellStyle name="Normal 3 17 7 2 6 2" xfId="23491" xr:uid="{00000000-0005-0000-0000-0000BA5B0000}"/>
    <cellStyle name="Normal 3 17 7 2 6 3" xfId="23492" xr:uid="{00000000-0005-0000-0000-0000BB5B0000}"/>
    <cellStyle name="Normal 3 17 7 2 7" xfId="23493" xr:uid="{00000000-0005-0000-0000-0000BC5B0000}"/>
    <cellStyle name="Normal 3 17 7 2 7 2" xfId="23494" xr:uid="{00000000-0005-0000-0000-0000BD5B0000}"/>
    <cellStyle name="Normal 3 17 7 2 7 3" xfId="23495" xr:uid="{00000000-0005-0000-0000-0000BE5B0000}"/>
    <cellStyle name="Normal 3 17 7 2 8" xfId="23496" xr:uid="{00000000-0005-0000-0000-0000BF5B0000}"/>
    <cellStyle name="Normal 3 17 7 2 8 2" xfId="23497" xr:uid="{00000000-0005-0000-0000-0000C05B0000}"/>
    <cellStyle name="Normal 3 17 7 2 8 3" xfId="23498" xr:uid="{00000000-0005-0000-0000-0000C15B0000}"/>
    <cellStyle name="Normal 3 17 7 2 9" xfId="23499" xr:uid="{00000000-0005-0000-0000-0000C25B0000}"/>
    <cellStyle name="Normal 3 17 7 2 9 2" xfId="23500" xr:uid="{00000000-0005-0000-0000-0000C35B0000}"/>
    <cellStyle name="Normal 3 17 7 2 9 3" xfId="23501" xr:uid="{00000000-0005-0000-0000-0000C45B0000}"/>
    <cellStyle name="Normal 3 17 7 3" xfId="23502" xr:uid="{00000000-0005-0000-0000-0000C55B0000}"/>
    <cellStyle name="Normal 3 17 7 3 2" xfId="23503" xr:uid="{00000000-0005-0000-0000-0000C65B0000}"/>
    <cellStyle name="Normal 3 17 7 3 3" xfId="23504" xr:uid="{00000000-0005-0000-0000-0000C75B0000}"/>
    <cellStyle name="Normal 3 17 7 4" xfId="23505" xr:uid="{00000000-0005-0000-0000-0000C85B0000}"/>
    <cellStyle name="Normal 3 17 7 4 2" xfId="23506" xr:uid="{00000000-0005-0000-0000-0000C95B0000}"/>
    <cellStyle name="Normal 3 17 7 4 3" xfId="23507" xr:uid="{00000000-0005-0000-0000-0000CA5B0000}"/>
    <cellStyle name="Normal 3 17 7 5" xfId="23508" xr:uid="{00000000-0005-0000-0000-0000CB5B0000}"/>
    <cellStyle name="Normal 3 17 7 5 2" xfId="23509" xr:uid="{00000000-0005-0000-0000-0000CC5B0000}"/>
    <cellStyle name="Normal 3 17 7 5 3" xfId="23510" xr:uid="{00000000-0005-0000-0000-0000CD5B0000}"/>
    <cellStyle name="Normal 3 17 7 6" xfId="23511" xr:uid="{00000000-0005-0000-0000-0000CE5B0000}"/>
    <cellStyle name="Normal 3 17 7 6 2" xfId="23512" xr:uid="{00000000-0005-0000-0000-0000CF5B0000}"/>
    <cellStyle name="Normal 3 17 7 6 3" xfId="23513" xr:uid="{00000000-0005-0000-0000-0000D05B0000}"/>
    <cellStyle name="Normal 3 17 7 7" xfId="23514" xr:uid="{00000000-0005-0000-0000-0000D15B0000}"/>
    <cellStyle name="Normal 3 17 7 7 2" xfId="23515" xr:uid="{00000000-0005-0000-0000-0000D25B0000}"/>
    <cellStyle name="Normal 3 17 7 7 3" xfId="23516" xr:uid="{00000000-0005-0000-0000-0000D35B0000}"/>
    <cellStyle name="Normal 3 17 7 8" xfId="23517" xr:uid="{00000000-0005-0000-0000-0000D45B0000}"/>
    <cellStyle name="Normal 3 17 7 8 2" xfId="23518" xr:uid="{00000000-0005-0000-0000-0000D55B0000}"/>
    <cellStyle name="Normal 3 17 7 8 3" xfId="23519" xr:uid="{00000000-0005-0000-0000-0000D65B0000}"/>
    <cellStyle name="Normal 3 17 7 9" xfId="23520" xr:uid="{00000000-0005-0000-0000-0000D75B0000}"/>
    <cellStyle name="Normal 3 17 7 9 2" xfId="23521" xr:uid="{00000000-0005-0000-0000-0000D85B0000}"/>
    <cellStyle name="Normal 3 17 7 9 3" xfId="23522" xr:uid="{00000000-0005-0000-0000-0000D95B0000}"/>
    <cellStyle name="Normal 3 17 8" xfId="23523" xr:uid="{00000000-0005-0000-0000-0000DA5B0000}"/>
    <cellStyle name="Normal 3 17 8 10" xfId="23524" xr:uid="{00000000-0005-0000-0000-0000DB5B0000}"/>
    <cellStyle name="Normal 3 17 8 10 2" xfId="23525" xr:uid="{00000000-0005-0000-0000-0000DC5B0000}"/>
    <cellStyle name="Normal 3 17 8 10 3" xfId="23526" xr:uid="{00000000-0005-0000-0000-0000DD5B0000}"/>
    <cellStyle name="Normal 3 17 8 11" xfId="23527" xr:uid="{00000000-0005-0000-0000-0000DE5B0000}"/>
    <cellStyle name="Normal 3 17 8 11 2" xfId="23528" xr:uid="{00000000-0005-0000-0000-0000DF5B0000}"/>
    <cellStyle name="Normal 3 17 8 11 3" xfId="23529" xr:uid="{00000000-0005-0000-0000-0000E05B0000}"/>
    <cellStyle name="Normal 3 17 8 12" xfId="23530" xr:uid="{00000000-0005-0000-0000-0000E15B0000}"/>
    <cellStyle name="Normal 3 17 8 12 2" xfId="23531" xr:uid="{00000000-0005-0000-0000-0000E25B0000}"/>
    <cellStyle name="Normal 3 17 8 12 3" xfId="23532" xr:uid="{00000000-0005-0000-0000-0000E35B0000}"/>
    <cellStyle name="Normal 3 17 8 13" xfId="23533" xr:uid="{00000000-0005-0000-0000-0000E45B0000}"/>
    <cellStyle name="Normal 3 17 8 13 2" xfId="23534" xr:uid="{00000000-0005-0000-0000-0000E55B0000}"/>
    <cellStyle name="Normal 3 17 8 13 3" xfId="23535" xr:uid="{00000000-0005-0000-0000-0000E65B0000}"/>
    <cellStyle name="Normal 3 17 8 14" xfId="23536" xr:uid="{00000000-0005-0000-0000-0000E75B0000}"/>
    <cellStyle name="Normal 3 17 8 14 2" xfId="23537" xr:uid="{00000000-0005-0000-0000-0000E85B0000}"/>
    <cellStyle name="Normal 3 17 8 14 3" xfId="23538" xr:uid="{00000000-0005-0000-0000-0000E95B0000}"/>
    <cellStyle name="Normal 3 17 8 15" xfId="23539" xr:uid="{00000000-0005-0000-0000-0000EA5B0000}"/>
    <cellStyle name="Normal 3 17 8 15 2" xfId="23540" xr:uid="{00000000-0005-0000-0000-0000EB5B0000}"/>
    <cellStyle name="Normal 3 17 8 15 3" xfId="23541" xr:uid="{00000000-0005-0000-0000-0000EC5B0000}"/>
    <cellStyle name="Normal 3 17 8 16" xfId="23542" xr:uid="{00000000-0005-0000-0000-0000ED5B0000}"/>
    <cellStyle name="Normal 3 17 8 17" xfId="23543" xr:uid="{00000000-0005-0000-0000-0000EE5B0000}"/>
    <cellStyle name="Normal 3 17 8 2" xfId="23544" xr:uid="{00000000-0005-0000-0000-0000EF5B0000}"/>
    <cellStyle name="Normal 3 17 8 2 10" xfId="23545" xr:uid="{00000000-0005-0000-0000-0000F05B0000}"/>
    <cellStyle name="Normal 3 17 8 2 10 2" xfId="23546" xr:uid="{00000000-0005-0000-0000-0000F15B0000}"/>
    <cellStyle name="Normal 3 17 8 2 10 3" xfId="23547" xr:uid="{00000000-0005-0000-0000-0000F25B0000}"/>
    <cellStyle name="Normal 3 17 8 2 11" xfId="23548" xr:uid="{00000000-0005-0000-0000-0000F35B0000}"/>
    <cellStyle name="Normal 3 17 8 2 11 2" xfId="23549" xr:uid="{00000000-0005-0000-0000-0000F45B0000}"/>
    <cellStyle name="Normal 3 17 8 2 11 3" xfId="23550" xr:uid="{00000000-0005-0000-0000-0000F55B0000}"/>
    <cellStyle name="Normal 3 17 8 2 12" xfId="23551" xr:uid="{00000000-0005-0000-0000-0000F65B0000}"/>
    <cellStyle name="Normal 3 17 8 2 12 2" xfId="23552" xr:uid="{00000000-0005-0000-0000-0000F75B0000}"/>
    <cellStyle name="Normal 3 17 8 2 12 3" xfId="23553" xr:uid="{00000000-0005-0000-0000-0000F85B0000}"/>
    <cellStyle name="Normal 3 17 8 2 13" xfId="23554" xr:uid="{00000000-0005-0000-0000-0000F95B0000}"/>
    <cellStyle name="Normal 3 17 8 2 13 2" xfId="23555" xr:uid="{00000000-0005-0000-0000-0000FA5B0000}"/>
    <cellStyle name="Normal 3 17 8 2 13 3" xfId="23556" xr:uid="{00000000-0005-0000-0000-0000FB5B0000}"/>
    <cellStyle name="Normal 3 17 8 2 14" xfId="23557" xr:uid="{00000000-0005-0000-0000-0000FC5B0000}"/>
    <cellStyle name="Normal 3 17 8 2 14 2" xfId="23558" xr:uid="{00000000-0005-0000-0000-0000FD5B0000}"/>
    <cellStyle name="Normal 3 17 8 2 14 3" xfId="23559" xr:uid="{00000000-0005-0000-0000-0000FE5B0000}"/>
    <cellStyle name="Normal 3 17 8 2 15" xfId="23560" xr:uid="{00000000-0005-0000-0000-0000FF5B0000}"/>
    <cellStyle name="Normal 3 17 8 2 16" xfId="23561" xr:uid="{00000000-0005-0000-0000-0000005C0000}"/>
    <cellStyle name="Normal 3 17 8 2 2" xfId="23562" xr:uid="{00000000-0005-0000-0000-0000015C0000}"/>
    <cellStyle name="Normal 3 17 8 2 2 2" xfId="23563" xr:uid="{00000000-0005-0000-0000-0000025C0000}"/>
    <cellStyle name="Normal 3 17 8 2 2 3" xfId="23564" xr:uid="{00000000-0005-0000-0000-0000035C0000}"/>
    <cellStyle name="Normal 3 17 8 2 3" xfId="23565" xr:uid="{00000000-0005-0000-0000-0000045C0000}"/>
    <cellStyle name="Normal 3 17 8 2 3 2" xfId="23566" xr:uid="{00000000-0005-0000-0000-0000055C0000}"/>
    <cellStyle name="Normal 3 17 8 2 3 3" xfId="23567" xr:uid="{00000000-0005-0000-0000-0000065C0000}"/>
    <cellStyle name="Normal 3 17 8 2 4" xfId="23568" xr:uid="{00000000-0005-0000-0000-0000075C0000}"/>
    <cellStyle name="Normal 3 17 8 2 4 2" xfId="23569" xr:uid="{00000000-0005-0000-0000-0000085C0000}"/>
    <cellStyle name="Normal 3 17 8 2 4 3" xfId="23570" xr:uid="{00000000-0005-0000-0000-0000095C0000}"/>
    <cellStyle name="Normal 3 17 8 2 5" xfId="23571" xr:uid="{00000000-0005-0000-0000-00000A5C0000}"/>
    <cellStyle name="Normal 3 17 8 2 5 2" xfId="23572" xr:uid="{00000000-0005-0000-0000-00000B5C0000}"/>
    <cellStyle name="Normal 3 17 8 2 5 3" xfId="23573" xr:uid="{00000000-0005-0000-0000-00000C5C0000}"/>
    <cellStyle name="Normal 3 17 8 2 6" xfId="23574" xr:uid="{00000000-0005-0000-0000-00000D5C0000}"/>
    <cellStyle name="Normal 3 17 8 2 6 2" xfId="23575" xr:uid="{00000000-0005-0000-0000-00000E5C0000}"/>
    <cellStyle name="Normal 3 17 8 2 6 3" xfId="23576" xr:uid="{00000000-0005-0000-0000-00000F5C0000}"/>
    <cellStyle name="Normal 3 17 8 2 7" xfId="23577" xr:uid="{00000000-0005-0000-0000-0000105C0000}"/>
    <cellStyle name="Normal 3 17 8 2 7 2" xfId="23578" xr:uid="{00000000-0005-0000-0000-0000115C0000}"/>
    <cellStyle name="Normal 3 17 8 2 7 3" xfId="23579" xr:uid="{00000000-0005-0000-0000-0000125C0000}"/>
    <cellStyle name="Normal 3 17 8 2 8" xfId="23580" xr:uid="{00000000-0005-0000-0000-0000135C0000}"/>
    <cellStyle name="Normal 3 17 8 2 8 2" xfId="23581" xr:uid="{00000000-0005-0000-0000-0000145C0000}"/>
    <cellStyle name="Normal 3 17 8 2 8 3" xfId="23582" xr:uid="{00000000-0005-0000-0000-0000155C0000}"/>
    <cellStyle name="Normal 3 17 8 2 9" xfId="23583" xr:uid="{00000000-0005-0000-0000-0000165C0000}"/>
    <cellStyle name="Normal 3 17 8 2 9 2" xfId="23584" xr:uid="{00000000-0005-0000-0000-0000175C0000}"/>
    <cellStyle name="Normal 3 17 8 2 9 3" xfId="23585" xr:uid="{00000000-0005-0000-0000-0000185C0000}"/>
    <cellStyle name="Normal 3 17 8 3" xfId="23586" xr:uid="{00000000-0005-0000-0000-0000195C0000}"/>
    <cellStyle name="Normal 3 17 8 3 2" xfId="23587" xr:uid="{00000000-0005-0000-0000-00001A5C0000}"/>
    <cellStyle name="Normal 3 17 8 3 3" xfId="23588" xr:uid="{00000000-0005-0000-0000-00001B5C0000}"/>
    <cellStyle name="Normal 3 17 8 4" xfId="23589" xr:uid="{00000000-0005-0000-0000-00001C5C0000}"/>
    <cellStyle name="Normal 3 17 8 4 2" xfId="23590" xr:uid="{00000000-0005-0000-0000-00001D5C0000}"/>
    <cellStyle name="Normal 3 17 8 4 3" xfId="23591" xr:uid="{00000000-0005-0000-0000-00001E5C0000}"/>
    <cellStyle name="Normal 3 17 8 5" xfId="23592" xr:uid="{00000000-0005-0000-0000-00001F5C0000}"/>
    <cellStyle name="Normal 3 17 8 5 2" xfId="23593" xr:uid="{00000000-0005-0000-0000-0000205C0000}"/>
    <cellStyle name="Normal 3 17 8 5 3" xfId="23594" xr:uid="{00000000-0005-0000-0000-0000215C0000}"/>
    <cellStyle name="Normal 3 17 8 6" xfId="23595" xr:uid="{00000000-0005-0000-0000-0000225C0000}"/>
    <cellStyle name="Normal 3 17 8 6 2" xfId="23596" xr:uid="{00000000-0005-0000-0000-0000235C0000}"/>
    <cellStyle name="Normal 3 17 8 6 3" xfId="23597" xr:uid="{00000000-0005-0000-0000-0000245C0000}"/>
    <cellStyle name="Normal 3 17 8 7" xfId="23598" xr:uid="{00000000-0005-0000-0000-0000255C0000}"/>
    <cellStyle name="Normal 3 17 8 7 2" xfId="23599" xr:uid="{00000000-0005-0000-0000-0000265C0000}"/>
    <cellStyle name="Normal 3 17 8 7 3" xfId="23600" xr:uid="{00000000-0005-0000-0000-0000275C0000}"/>
    <cellStyle name="Normal 3 17 8 8" xfId="23601" xr:uid="{00000000-0005-0000-0000-0000285C0000}"/>
    <cellStyle name="Normal 3 17 8 8 2" xfId="23602" xr:uid="{00000000-0005-0000-0000-0000295C0000}"/>
    <cellStyle name="Normal 3 17 8 8 3" xfId="23603" xr:uid="{00000000-0005-0000-0000-00002A5C0000}"/>
    <cellStyle name="Normal 3 17 8 9" xfId="23604" xr:uid="{00000000-0005-0000-0000-00002B5C0000}"/>
    <cellStyle name="Normal 3 17 8 9 2" xfId="23605" xr:uid="{00000000-0005-0000-0000-00002C5C0000}"/>
    <cellStyle name="Normal 3 17 8 9 3" xfId="23606" xr:uid="{00000000-0005-0000-0000-00002D5C0000}"/>
    <cellStyle name="Normal 3 17 9" xfId="23607" xr:uid="{00000000-0005-0000-0000-00002E5C0000}"/>
    <cellStyle name="Normal 3 17 9 10" xfId="23608" xr:uid="{00000000-0005-0000-0000-00002F5C0000}"/>
    <cellStyle name="Normal 3 17 9 10 2" xfId="23609" xr:uid="{00000000-0005-0000-0000-0000305C0000}"/>
    <cellStyle name="Normal 3 17 9 10 3" xfId="23610" xr:uid="{00000000-0005-0000-0000-0000315C0000}"/>
    <cellStyle name="Normal 3 17 9 11" xfId="23611" xr:uid="{00000000-0005-0000-0000-0000325C0000}"/>
    <cellStyle name="Normal 3 17 9 11 2" xfId="23612" xr:uid="{00000000-0005-0000-0000-0000335C0000}"/>
    <cellStyle name="Normal 3 17 9 11 3" xfId="23613" xr:uid="{00000000-0005-0000-0000-0000345C0000}"/>
    <cellStyle name="Normal 3 17 9 12" xfId="23614" xr:uid="{00000000-0005-0000-0000-0000355C0000}"/>
    <cellStyle name="Normal 3 17 9 12 2" xfId="23615" xr:uid="{00000000-0005-0000-0000-0000365C0000}"/>
    <cellStyle name="Normal 3 17 9 12 3" xfId="23616" xr:uid="{00000000-0005-0000-0000-0000375C0000}"/>
    <cellStyle name="Normal 3 17 9 13" xfId="23617" xr:uid="{00000000-0005-0000-0000-0000385C0000}"/>
    <cellStyle name="Normal 3 17 9 13 2" xfId="23618" xr:uid="{00000000-0005-0000-0000-0000395C0000}"/>
    <cellStyle name="Normal 3 17 9 13 3" xfId="23619" xr:uid="{00000000-0005-0000-0000-00003A5C0000}"/>
    <cellStyle name="Normal 3 17 9 14" xfId="23620" xr:uid="{00000000-0005-0000-0000-00003B5C0000}"/>
    <cellStyle name="Normal 3 17 9 14 2" xfId="23621" xr:uid="{00000000-0005-0000-0000-00003C5C0000}"/>
    <cellStyle name="Normal 3 17 9 14 3" xfId="23622" xr:uid="{00000000-0005-0000-0000-00003D5C0000}"/>
    <cellStyle name="Normal 3 17 9 15" xfId="23623" xr:uid="{00000000-0005-0000-0000-00003E5C0000}"/>
    <cellStyle name="Normal 3 17 9 16" xfId="23624" xr:uid="{00000000-0005-0000-0000-00003F5C0000}"/>
    <cellStyle name="Normal 3 17 9 2" xfId="23625" xr:uid="{00000000-0005-0000-0000-0000405C0000}"/>
    <cellStyle name="Normal 3 17 9 2 2" xfId="23626" xr:uid="{00000000-0005-0000-0000-0000415C0000}"/>
    <cellStyle name="Normal 3 17 9 2 3" xfId="23627" xr:uid="{00000000-0005-0000-0000-0000425C0000}"/>
    <cellStyle name="Normal 3 17 9 3" xfId="23628" xr:uid="{00000000-0005-0000-0000-0000435C0000}"/>
    <cellStyle name="Normal 3 17 9 3 2" xfId="23629" xr:uid="{00000000-0005-0000-0000-0000445C0000}"/>
    <cellStyle name="Normal 3 17 9 3 3" xfId="23630" xr:uid="{00000000-0005-0000-0000-0000455C0000}"/>
    <cellStyle name="Normal 3 17 9 4" xfId="23631" xr:uid="{00000000-0005-0000-0000-0000465C0000}"/>
    <cellStyle name="Normal 3 17 9 4 2" xfId="23632" xr:uid="{00000000-0005-0000-0000-0000475C0000}"/>
    <cellStyle name="Normal 3 17 9 4 3" xfId="23633" xr:uid="{00000000-0005-0000-0000-0000485C0000}"/>
    <cellStyle name="Normal 3 17 9 5" xfId="23634" xr:uid="{00000000-0005-0000-0000-0000495C0000}"/>
    <cellStyle name="Normal 3 17 9 5 2" xfId="23635" xr:uid="{00000000-0005-0000-0000-00004A5C0000}"/>
    <cellStyle name="Normal 3 17 9 5 3" xfId="23636" xr:uid="{00000000-0005-0000-0000-00004B5C0000}"/>
    <cellStyle name="Normal 3 17 9 6" xfId="23637" xr:uid="{00000000-0005-0000-0000-00004C5C0000}"/>
    <cellStyle name="Normal 3 17 9 6 2" xfId="23638" xr:uid="{00000000-0005-0000-0000-00004D5C0000}"/>
    <cellStyle name="Normal 3 17 9 6 3" xfId="23639" xr:uid="{00000000-0005-0000-0000-00004E5C0000}"/>
    <cellStyle name="Normal 3 17 9 7" xfId="23640" xr:uid="{00000000-0005-0000-0000-00004F5C0000}"/>
    <cellStyle name="Normal 3 17 9 7 2" xfId="23641" xr:uid="{00000000-0005-0000-0000-0000505C0000}"/>
    <cellStyle name="Normal 3 17 9 7 3" xfId="23642" xr:uid="{00000000-0005-0000-0000-0000515C0000}"/>
    <cellStyle name="Normal 3 17 9 8" xfId="23643" xr:uid="{00000000-0005-0000-0000-0000525C0000}"/>
    <cellStyle name="Normal 3 17 9 8 2" xfId="23644" xr:uid="{00000000-0005-0000-0000-0000535C0000}"/>
    <cellStyle name="Normal 3 17 9 8 3" xfId="23645" xr:uid="{00000000-0005-0000-0000-0000545C0000}"/>
    <cellStyle name="Normal 3 17 9 9" xfId="23646" xr:uid="{00000000-0005-0000-0000-0000555C0000}"/>
    <cellStyle name="Normal 3 17 9 9 2" xfId="23647" xr:uid="{00000000-0005-0000-0000-0000565C0000}"/>
    <cellStyle name="Normal 3 17 9 9 3" xfId="23648" xr:uid="{00000000-0005-0000-0000-0000575C0000}"/>
    <cellStyle name="Normal 3 18" xfId="23649" xr:uid="{00000000-0005-0000-0000-0000585C0000}"/>
    <cellStyle name="Normal 3 18 10" xfId="23650" xr:uid="{00000000-0005-0000-0000-0000595C0000}"/>
    <cellStyle name="Normal 3 18 10 10" xfId="23651" xr:uid="{00000000-0005-0000-0000-00005A5C0000}"/>
    <cellStyle name="Normal 3 18 10 10 2" xfId="23652" xr:uid="{00000000-0005-0000-0000-00005B5C0000}"/>
    <cellStyle name="Normal 3 18 10 10 3" xfId="23653" xr:uid="{00000000-0005-0000-0000-00005C5C0000}"/>
    <cellStyle name="Normal 3 18 10 11" xfId="23654" xr:uid="{00000000-0005-0000-0000-00005D5C0000}"/>
    <cellStyle name="Normal 3 18 10 11 2" xfId="23655" xr:uid="{00000000-0005-0000-0000-00005E5C0000}"/>
    <cellStyle name="Normal 3 18 10 11 3" xfId="23656" xr:uid="{00000000-0005-0000-0000-00005F5C0000}"/>
    <cellStyle name="Normal 3 18 10 12" xfId="23657" xr:uid="{00000000-0005-0000-0000-0000605C0000}"/>
    <cellStyle name="Normal 3 18 10 12 2" xfId="23658" xr:uid="{00000000-0005-0000-0000-0000615C0000}"/>
    <cellStyle name="Normal 3 18 10 12 3" xfId="23659" xr:uid="{00000000-0005-0000-0000-0000625C0000}"/>
    <cellStyle name="Normal 3 18 10 13" xfId="23660" xr:uid="{00000000-0005-0000-0000-0000635C0000}"/>
    <cellStyle name="Normal 3 18 10 13 2" xfId="23661" xr:uid="{00000000-0005-0000-0000-0000645C0000}"/>
    <cellStyle name="Normal 3 18 10 13 3" xfId="23662" xr:uid="{00000000-0005-0000-0000-0000655C0000}"/>
    <cellStyle name="Normal 3 18 10 14" xfId="23663" xr:uid="{00000000-0005-0000-0000-0000665C0000}"/>
    <cellStyle name="Normal 3 18 10 14 2" xfId="23664" xr:uid="{00000000-0005-0000-0000-0000675C0000}"/>
    <cellStyle name="Normal 3 18 10 14 3" xfId="23665" xr:uid="{00000000-0005-0000-0000-0000685C0000}"/>
    <cellStyle name="Normal 3 18 10 15" xfId="23666" xr:uid="{00000000-0005-0000-0000-0000695C0000}"/>
    <cellStyle name="Normal 3 18 10 16" xfId="23667" xr:uid="{00000000-0005-0000-0000-00006A5C0000}"/>
    <cellStyle name="Normal 3 18 10 2" xfId="23668" xr:uid="{00000000-0005-0000-0000-00006B5C0000}"/>
    <cellStyle name="Normal 3 18 10 2 2" xfId="23669" xr:uid="{00000000-0005-0000-0000-00006C5C0000}"/>
    <cellStyle name="Normal 3 18 10 2 3" xfId="23670" xr:uid="{00000000-0005-0000-0000-00006D5C0000}"/>
    <cellStyle name="Normal 3 18 10 3" xfId="23671" xr:uid="{00000000-0005-0000-0000-00006E5C0000}"/>
    <cellStyle name="Normal 3 18 10 3 2" xfId="23672" xr:uid="{00000000-0005-0000-0000-00006F5C0000}"/>
    <cellStyle name="Normal 3 18 10 3 3" xfId="23673" xr:uid="{00000000-0005-0000-0000-0000705C0000}"/>
    <cellStyle name="Normal 3 18 10 4" xfId="23674" xr:uid="{00000000-0005-0000-0000-0000715C0000}"/>
    <cellStyle name="Normal 3 18 10 4 2" xfId="23675" xr:uid="{00000000-0005-0000-0000-0000725C0000}"/>
    <cellStyle name="Normal 3 18 10 4 3" xfId="23676" xr:uid="{00000000-0005-0000-0000-0000735C0000}"/>
    <cellStyle name="Normal 3 18 10 5" xfId="23677" xr:uid="{00000000-0005-0000-0000-0000745C0000}"/>
    <cellStyle name="Normal 3 18 10 5 2" xfId="23678" xr:uid="{00000000-0005-0000-0000-0000755C0000}"/>
    <cellStyle name="Normal 3 18 10 5 3" xfId="23679" xr:uid="{00000000-0005-0000-0000-0000765C0000}"/>
    <cellStyle name="Normal 3 18 10 6" xfId="23680" xr:uid="{00000000-0005-0000-0000-0000775C0000}"/>
    <cellStyle name="Normal 3 18 10 6 2" xfId="23681" xr:uid="{00000000-0005-0000-0000-0000785C0000}"/>
    <cellStyle name="Normal 3 18 10 6 3" xfId="23682" xr:uid="{00000000-0005-0000-0000-0000795C0000}"/>
    <cellStyle name="Normal 3 18 10 7" xfId="23683" xr:uid="{00000000-0005-0000-0000-00007A5C0000}"/>
    <cellStyle name="Normal 3 18 10 7 2" xfId="23684" xr:uid="{00000000-0005-0000-0000-00007B5C0000}"/>
    <cellStyle name="Normal 3 18 10 7 3" xfId="23685" xr:uid="{00000000-0005-0000-0000-00007C5C0000}"/>
    <cellStyle name="Normal 3 18 10 8" xfId="23686" xr:uid="{00000000-0005-0000-0000-00007D5C0000}"/>
    <cellStyle name="Normal 3 18 10 8 2" xfId="23687" xr:uid="{00000000-0005-0000-0000-00007E5C0000}"/>
    <cellStyle name="Normal 3 18 10 8 3" xfId="23688" xr:uid="{00000000-0005-0000-0000-00007F5C0000}"/>
    <cellStyle name="Normal 3 18 10 9" xfId="23689" xr:uid="{00000000-0005-0000-0000-0000805C0000}"/>
    <cellStyle name="Normal 3 18 10 9 2" xfId="23690" xr:uid="{00000000-0005-0000-0000-0000815C0000}"/>
    <cellStyle name="Normal 3 18 10 9 3" xfId="23691" xr:uid="{00000000-0005-0000-0000-0000825C0000}"/>
    <cellStyle name="Normal 3 18 11" xfId="23692" xr:uid="{00000000-0005-0000-0000-0000835C0000}"/>
    <cellStyle name="Normal 3 18 11 10" xfId="23693" xr:uid="{00000000-0005-0000-0000-0000845C0000}"/>
    <cellStyle name="Normal 3 18 11 10 2" xfId="23694" xr:uid="{00000000-0005-0000-0000-0000855C0000}"/>
    <cellStyle name="Normal 3 18 11 10 3" xfId="23695" xr:uid="{00000000-0005-0000-0000-0000865C0000}"/>
    <cellStyle name="Normal 3 18 11 11" xfId="23696" xr:uid="{00000000-0005-0000-0000-0000875C0000}"/>
    <cellStyle name="Normal 3 18 11 11 2" xfId="23697" xr:uid="{00000000-0005-0000-0000-0000885C0000}"/>
    <cellStyle name="Normal 3 18 11 11 3" xfId="23698" xr:uid="{00000000-0005-0000-0000-0000895C0000}"/>
    <cellStyle name="Normal 3 18 11 12" xfId="23699" xr:uid="{00000000-0005-0000-0000-00008A5C0000}"/>
    <cellStyle name="Normal 3 18 11 12 2" xfId="23700" xr:uid="{00000000-0005-0000-0000-00008B5C0000}"/>
    <cellStyle name="Normal 3 18 11 12 3" xfId="23701" xr:uid="{00000000-0005-0000-0000-00008C5C0000}"/>
    <cellStyle name="Normal 3 18 11 13" xfId="23702" xr:uid="{00000000-0005-0000-0000-00008D5C0000}"/>
    <cellStyle name="Normal 3 18 11 13 2" xfId="23703" xr:uid="{00000000-0005-0000-0000-00008E5C0000}"/>
    <cellStyle name="Normal 3 18 11 13 3" xfId="23704" xr:uid="{00000000-0005-0000-0000-00008F5C0000}"/>
    <cellStyle name="Normal 3 18 11 14" xfId="23705" xr:uid="{00000000-0005-0000-0000-0000905C0000}"/>
    <cellStyle name="Normal 3 18 11 14 2" xfId="23706" xr:uid="{00000000-0005-0000-0000-0000915C0000}"/>
    <cellStyle name="Normal 3 18 11 14 3" xfId="23707" xr:uid="{00000000-0005-0000-0000-0000925C0000}"/>
    <cellStyle name="Normal 3 18 11 15" xfId="23708" xr:uid="{00000000-0005-0000-0000-0000935C0000}"/>
    <cellStyle name="Normal 3 18 11 16" xfId="23709" xr:uid="{00000000-0005-0000-0000-0000945C0000}"/>
    <cellStyle name="Normal 3 18 11 2" xfId="23710" xr:uid="{00000000-0005-0000-0000-0000955C0000}"/>
    <cellStyle name="Normal 3 18 11 2 2" xfId="23711" xr:uid="{00000000-0005-0000-0000-0000965C0000}"/>
    <cellStyle name="Normal 3 18 11 2 3" xfId="23712" xr:uid="{00000000-0005-0000-0000-0000975C0000}"/>
    <cellStyle name="Normal 3 18 11 3" xfId="23713" xr:uid="{00000000-0005-0000-0000-0000985C0000}"/>
    <cellStyle name="Normal 3 18 11 3 2" xfId="23714" xr:uid="{00000000-0005-0000-0000-0000995C0000}"/>
    <cellStyle name="Normal 3 18 11 3 3" xfId="23715" xr:uid="{00000000-0005-0000-0000-00009A5C0000}"/>
    <cellStyle name="Normal 3 18 11 4" xfId="23716" xr:uid="{00000000-0005-0000-0000-00009B5C0000}"/>
    <cellStyle name="Normal 3 18 11 4 2" xfId="23717" xr:uid="{00000000-0005-0000-0000-00009C5C0000}"/>
    <cellStyle name="Normal 3 18 11 4 3" xfId="23718" xr:uid="{00000000-0005-0000-0000-00009D5C0000}"/>
    <cellStyle name="Normal 3 18 11 5" xfId="23719" xr:uid="{00000000-0005-0000-0000-00009E5C0000}"/>
    <cellStyle name="Normal 3 18 11 5 2" xfId="23720" xr:uid="{00000000-0005-0000-0000-00009F5C0000}"/>
    <cellStyle name="Normal 3 18 11 5 3" xfId="23721" xr:uid="{00000000-0005-0000-0000-0000A05C0000}"/>
    <cellStyle name="Normal 3 18 11 6" xfId="23722" xr:uid="{00000000-0005-0000-0000-0000A15C0000}"/>
    <cellStyle name="Normal 3 18 11 6 2" xfId="23723" xr:uid="{00000000-0005-0000-0000-0000A25C0000}"/>
    <cellStyle name="Normal 3 18 11 6 3" xfId="23724" xr:uid="{00000000-0005-0000-0000-0000A35C0000}"/>
    <cellStyle name="Normal 3 18 11 7" xfId="23725" xr:uid="{00000000-0005-0000-0000-0000A45C0000}"/>
    <cellStyle name="Normal 3 18 11 7 2" xfId="23726" xr:uid="{00000000-0005-0000-0000-0000A55C0000}"/>
    <cellStyle name="Normal 3 18 11 7 3" xfId="23727" xr:uid="{00000000-0005-0000-0000-0000A65C0000}"/>
    <cellStyle name="Normal 3 18 11 8" xfId="23728" xr:uid="{00000000-0005-0000-0000-0000A75C0000}"/>
    <cellStyle name="Normal 3 18 11 8 2" xfId="23729" xr:uid="{00000000-0005-0000-0000-0000A85C0000}"/>
    <cellStyle name="Normal 3 18 11 8 3" xfId="23730" xr:uid="{00000000-0005-0000-0000-0000A95C0000}"/>
    <cellStyle name="Normal 3 18 11 9" xfId="23731" xr:uid="{00000000-0005-0000-0000-0000AA5C0000}"/>
    <cellStyle name="Normal 3 18 11 9 2" xfId="23732" xr:uid="{00000000-0005-0000-0000-0000AB5C0000}"/>
    <cellStyle name="Normal 3 18 11 9 3" xfId="23733" xr:uid="{00000000-0005-0000-0000-0000AC5C0000}"/>
    <cellStyle name="Normal 3 18 12" xfId="23734" xr:uid="{00000000-0005-0000-0000-0000AD5C0000}"/>
    <cellStyle name="Normal 3 18 12 10" xfId="23735" xr:uid="{00000000-0005-0000-0000-0000AE5C0000}"/>
    <cellStyle name="Normal 3 18 12 10 2" xfId="23736" xr:uid="{00000000-0005-0000-0000-0000AF5C0000}"/>
    <cellStyle name="Normal 3 18 12 10 3" xfId="23737" xr:uid="{00000000-0005-0000-0000-0000B05C0000}"/>
    <cellStyle name="Normal 3 18 12 11" xfId="23738" xr:uid="{00000000-0005-0000-0000-0000B15C0000}"/>
    <cellStyle name="Normal 3 18 12 11 2" xfId="23739" xr:uid="{00000000-0005-0000-0000-0000B25C0000}"/>
    <cellStyle name="Normal 3 18 12 11 3" xfId="23740" xr:uid="{00000000-0005-0000-0000-0000B35C0000}"/>
    <cellStyle name="Normal 3 18 12 12" xfId="23741" xr:uid="{00000000-0005-0000-0000-0000B45C0000}"/>
    <cellStyle name="Normal 3 18 12 12 2" xfId="23742" xr:uid="{00000000-0005-0000-0000-0000B55C0000}"/>
    <cellStyle name="Normal 3 18 12 12 3" xfId="23743" xr:uid="{00000000-0005-0000-0000-0000B65C0000}"/>
    <cellStyle name="Normal 3 18 12 13" xfId="23744" xr:uid="{00000000-0005-0000-0000-0000B75C0000}"/>
    <cellStyle name="Normal 3 18 12 13 2" xfId="23745" xr:uid="{00000000-0005-0000-0000-0000B85C0000}"/>
    <cellStyle name="Normal 3 18 12 13 3" xfId="23746" xr:uid="{00000000-0005-0000-0000-0000B95C0000}"/>
    <cellStyle name="Normal 3 18 12 14" xfId="23747" xr:uid="{00000000-0005-0000-0000-0000BA5C0000}"/>
    <cellStyle name="Normal 3 18 12 14 2" xfId="23748" xr:uid="{00000000-0005-0000-0000-0000BB5C0000}"/>
    <cellStyle name="Normal 3 18 12 14 3" xfId="23749" xr:uid="{00000000-0005-0000-0000-0000BC5C0000}"/>
    <cellStyle name="Normal 3 18 12 15" xfId="23750" xr:uid="{00000000-0005-0000-0000-0000BD5C0000}"/>
    <cellStyle name="Normal 3 18 12 16" xfId="23751" xr:uid="{00000000-0005-0000-0000-0000BE5C0000}"/>
    <cellStyle name="Normal 3 18 12 2" xfId="23752" xr:uid="{00000000-0005-0000-0000-0000BF5C0000}"/>
    <cellStyle name="Normal 3 18 12 2 2" xfId="23753" xr:uid="{00000000-0005-0000-0000-0000C05C0000}"/>
    <cellStyle name="Normal 3 18 12 2 3" xfId="23754" xr:uid="{00000000-0005-0000-0000-0000C15C0000}"/>
    <cellStyle name="Normal 3 18 12 3" xfId="23755" xr:uid="{00000000-0005-0000-0000-0000C25C0000}"/>
    <cellStyle name="Normal 3 18 12 3 2" xfId="23756" xr:uid="{00000000-0005-0000-0000-0000C35C0000}"/>
    <cellStyle name="Normal 3 18 12 3 3" xfId="23757" xr:uid="{00000000-0005-0000-0000-0000C45C0000}"/>
    <cellStyle name="Normal 3 18 12 4" xfId="23758" xr:uid="{00000000-0005-0000-0000-0000C55C0000}"/>
    <cellStyle name="Normal 3 18 12 4 2" xfId="23759" xr:uid="{00000000-0005-0000-0000-0000C65C0000}"/>
    <cellStyle name="Normal 3 18 12 4 3" xfId="23760" xr:uid="{00000000-0005-0000-0000-0000C75C0000}"/>
    <cellStyle name="Normal 3 18 12 5" xfId="23761" xr:uid="{00000000-0005-0000-0000-0000C85C0000}"/>
    <cellStyle name="Normal 3 18 12 5 2" xfId="23762" xr:uid="{00000000-0005-0000-0000-0000C95C0000}"/>
    <cellStyle name="Normal 3 18 12 5 3" xfId="23763" xr:uid="{00000000-0005-0000-0000-0000CA5C0000}"/>
    <cellStyle name="Normal 3 18 12 6" xfId="23764" xr:uid="{00000000-0005-0000-0000-0000CB5C0000}"/>
    <cellStyle name="Normal 3 18 12 6 2" xfId="23765" xr:uid="{00000000-0005-0000-0000-0000CC5C0000}"/>
    <cellStyle name="Normal 3 18 12 6 3" xfId="23766" xr:uid="{00000000-0005-0000-0000-0000CD5C0000}"/>
    <cellStyle name="Normal 3 18 12 7" xfId="23767" xr:uid="{00000000-0005-0000-0000-0000CE5C0000}"/>
    <cellStyle name="Normal 3 18 12 7 2" xfId="23768" xr:uid="{00000000-0005-0000-0000-0000CF5C0000}"/>
    <cellStyle name="Normal 3 18 12 7 3" xfId="23769" xr:uid="{00000000-0005-0000-0000-0000D05C0000}"/>
    <cellStyle name="Normal 3 18 12 8" xfId="23770" xr:uid="{00000000-0005-0000-0000-0000D15C0000}"/>
    <cellStyle name="Normal 3 18 12 8 2" xfId="23771" xr:uid="{00000000-0005-0000-0000-0000D25C0000}"/>
    <cellStyle name="Normal 3 18 12 8 3" xfId="23772" xr:uid="{00000000-0005-0000-0000-0000D35C0000}"/>
    <cellStyle name="Normal 3 18 12 9" xfId="23773" xr:uid="{00000000-0005-0000-0000-0000D45C0000}"/>
    <cellStyle name="Normal 3 18 12 9 2" xfId="23774" xr:uid="{00000000-0005-0000-0000-0000D55C0000}"/>
    <cellStyle name="Normal 3 18 12 9 3" xfId="23775" xr:uid="{00000000-0005-0000-0000-0000D65C0000}"/>
    <cellStyle name="Normal 3 18 13" xfId="23776" xr:uid="{00000000-0005-0000-0000-0000D75C0000}"/>
    <cellStyle name="Normal 3 18 13 10" xfId="23777" xr:uid="{00000000-0005-0000-0000-0000D85C0000}"/>
    <cellStyle name="Normal 3 18 13 10 2" xfId="23778" xr:uid="{00000000-0005-0000-0000-0000D95C0000}"/>
    <cellStyle name="Normal 3 18 13 10 3" xfId="23779" xr:uid="{00000000-0005-0000-0000-0000DA5C0000}"/>
    <cellStyle name="Normal 3 18 13 11" xfId="23780" xr:uid="{00000000-0005-0000-0000-0000DB5C0000}"/>
    <cellStyle name="Normal 3 18 13 11 2" xfId="23781" xr:uid="{00000000-0005-0000-0000-0000DC5C0000}"/>
    <cellStyle name="Normal 3 18 13 11 3" xfId="23782" xr:uid="{00000000-0005-0000-0000-0000DD5C0000}"/>
    <cellStyle name="Normal 3 18 13 12" xfId="23783" xr:uid="{00000000-0005-0000-0000-0000DE5C0000}"/>
    <cellStyle name="Normal 3 18 13 12 2" xfId="23784" xr:uid="{00000000-0005-0000-0000-0000DF5C0000}"/>
    <cellStyle name="Normal 3 18 13 12 3" xfId="23785" xr:uid="{00000000-0005-0000-0000-0000E05C0000}"/>
    <cellStyle name="Normal 3 18 13 13" xfId="23786" xr:uid="{00000000-0005-0000-0000-0000E15C0000}"/>
    <cellStyle name="Normal 3 18 13 13 2" xfId="23787" xr:uid="{00000000-0005-0000-0000-0000E25C0000}"/>
    <cellStyle name="Normal 3 18 13 13 3" xfId="23788" xr:uid="{00000000-0005-0000-0000-0000E35C0000}"/>
    <cellStyle name="Normal 3 18 13 14" xfId="23789" xr:uid="{00000000-0005-0000-0000-0000E45C0000}"/>
    <cellStyle name="Normal 3 18 13 14 2" xfId="23790" xr:uid="{00000000-0005-0000-0000-0000E55C0000}"/>
    <cellStyle name="Normal 3 18 13 14 3" xfId="23791" xr:uid="{00000000-0005-0000-0000-0000E65C0000}"/>
    <cellStyle name="Normal 3 18 13 15" xfId="23792" xr:uid="{00000000-0005-0000-0000-0000E75C0000}"/>
    <cellStyle name="Normal 3 18 13 16" xfId="23793" xr:uid="{00000000-0005-0000-0000-0000E85C0000}"/>
    <cellStyle name="Normal 3 18 13 2" xfId="23794" xr:uid="{00000000-0005-0000-0000-0000E95C0000}"/>
    <cellStyle name="Normal 3 18 13 2 2" xfId="23795" xr:uid="{00000000-0005-0000-0000-0000EA5C0000}"/>
    <cellStyle name="Normal 3 18 13 2 3" xfId="23796" xr:uid="{00000000-0005-0000-0000-0000EB5C0000}"/>
    <cellStyle name="Normal 3 18 13 3" xfId="23797" xr:uid="{00000000-0005-0000-0000-0000EC5C0000}"/>
    <cellStyle name="Normal 3 18 13 3 2" xfId="23798" xr:uid="{00000000-0005-0000-0000-0000ED5C0000}"/>
    <cellStyle name="Normal 3 18 13 3 3" xfId="23799" xr:uid="{00000000-0005-0000-0000-0000EE5C0000}"/>
    <cellStyle name="Normal 3 18 13 4" xfId="23800" xr:uid="{00000000-0005-0000-0000-0000EF5C0000}"/>
    <cellStyle name="Normal 3 18 13 4 2" xfId="23801" xr:uid="{00000000-0005-0000-0000-0000F05C0000}"/>
    <cellStyle name="Normal 3 18 13 4 3" xfId="23802" xr:uid="{00000000-0005-0000-0000-0000F15C0000}"/>
    <cellStyle name="Normal 3 18 13 5" xfId="23803" xr:uid="{00000000-0005-0000-0000-0000F25C0000}"/>
    <cellStyle name="Normal 3 18 13 5 2" xfId="23804" xr:uid="{00000000-0005-0000-0000-0000F35C0000}"/>
    <cellStyle name="Normal 3 18 13 5 3" xfId="23805" xr:uid="{00000000-0005-0000-0000-0000F45C0000}"/>
    <cellStyle name="Normal 3 18 13 6" xfId="23806" xr:uid="{00000000-0005-0000-0000-0000F55C0000}"/>
    <cellStyle name="Normal 3 18 13 6 2" xfId="23807" xr:uid="{00000000-0005-0000-0000-0000F65C0000}"/>
    <cellStyle name="Normal 3 18 13 6 3" xfId="23808" xr:uid="{00000000-0005-0000-0000-0000F75C0000}"/>
    <cellStyle name="Normal 3 18 13 7" xfId="23809" xr:uid="{00000000-0005-0000-0000-0000F85C0000}"/>
    <cellStyle name="Normal 3 18 13 7 2" xfId="23810" xr:uid="{00000000-0005-0000-0000-0000F95C0000}"/>
    <cellStyle name="Normal 3 18 13 7 3" xfId="23811" xr:uid="{00000000-0005-0000-0000-0000FA5C0000}"/>
    <cellStyle name="Normal 3 18 13 8" xfId="23812" xr:uid="{00000000-0005-0000-0000-0000FB5C0000}"/>
    <cellStyle name="Normal 3 18 13 8 2" xfId="23813" xr:uid="{00000000-0005-0000-0000-0000FC5C0000}"/>
    <cellStyle name="Normal 3 18 13 8 3" xfId="23814" xr:uid="{00000000-0005-0000-0000-0000FD5C0000}"/>
    <cellStyle name="Normal 3 18 13 9" xfId="23815" xr:uid="{00000000-0005-0000-0000-0000FE5C0000}"/>
    <cellStyle name="Normal 3 18 13 9 2" xfId="23816" xr:uid="{00000000-0005-0000-0000-0000FF5C0000}"/>
    <cellStyle name="Normal 3 18 13 9 3" xfId="23817" xr:uid="{00000000-0005-0000-0000-0000005D0000}"/>
    <cellStyle name="Normal 3 18 14" xfId="23818" xr:uid="{00000000-0005-0000-0000-0000015D0000}"/>
    <cellStyle name="Normal 3 18 14 10" xfId="23819" xr:uid="{00000000-0005-0000-0000-0000025D0000}"/>
    <cellStyle name="Normal 3 18 14 10 2" xfId="23820" xr:uid="{00000000-0005-0000-0000-0000035D0000}"/>
    <cellStyle name="Normal 3 18 14 10 3" xfId="23821" xr:uid="{00000000-0005-0000-0000-0000045D0000}"/>
    <cellStyle name="Normal 3 18 14 11" xfId="23822" xr:uid="{00000000-0005-0000-0000-0000055D0000}"/>
    <cellStyle name="Normal 3 18 14 11 2" xfId="23823" xr:uid="{00000000-0005-0000-0000-0000065D0000}"/>
    <cellStyle name="Normal 3 18 14 11 3" xfId="23824" xr:uid="{00000000-0005-0000-0000-0000075D0000}"/>
    <cellStyle name="Normal 3 18 14 12" xfId="23825" xr:uid="{00000000-0005-0000-0000-0000085D0000}"/>
    <cellStyle name="Normal 3 18 14 12 2" xfId="23826" xr:uid="{00000000-0005-0000-0000-0000095D0000}"/>
    <cellStyle name="Normal 3 18 14 12 3" xfId="23827" xr:uid="{00000000-0005-0000-0000-00000A5D0000}"/>
    <cellStyle name="Normal 3 18 14 13" xfId="23828" xr:uid="{00000000-0005-0000-0000-00000B5D0000}"/>
    <cellStyle name="Normal 3 18 14 13 2" xfId="23829" xr:uid="{00000000-0005-0000-0000-00000C5D0000}"/>
    <cellStyle name="Normal 3 18 14 13 3" xfId="23830" xr:uid="{00000000-0005-0000-0000-00000D5D0000}"/>
    <cellStyle name="Normal 3 18 14 14" xfId="23831" xr:uid="{00000000-0005-0000-0000-00000E5D0000}"/>
    <cellStyle name="Normal 3 18 14 14 2" xfId="23832" xr:uid="{00000000-0005-0000-0000-00000F5D0000}"/>
    <cellStyle name="Normal 3 18 14 14 3" xfId="23833" xr:uid="{00000000-0005-0000-0000-0000105D0000}"/>
    <cellStyle name="Normal 3 18 14 15" xfId="23834" xr:uid="{00000000-0005-0000-0000-0000115D0000}"/>
    <cellStyle name="Normal 3 18 14 16" xfId="23835" xr:uid="{00000000-0005-0000-0000-0000125D0000}"/>
    <cellStyle name="Normal 3 18 14 2" xfId="23836" xr:uid="{00000000-0005-0000-0000-0000135D0000}"/>
    <cellStyle name="Normal 3 18 14 2 2" xfId="23837" xr:uid="{00000000-0005-0000-0000-0000145D0000}"/>
    <cellStyle name="Normal 3 18 14 2 3" xfId="23838" xr:uid="{00000000-0005-0000-0000-0000155D0000}"/>
    <cellStyle name="Normal 3 18 14 3" xfId="23839" xr:uid="{00000000-0005-0000-0000-0000165D0000}"/>
    <cellStyle name="Normal 3 18 14 3 2" xfId="23840" xr:uid="{00000000-0005-0000-0000-0000175D0000}"/>
    <cellStyle name="Normal 3 18 14 3 3" xfId="23841" xr:uid="{00000000-0005-0000-0000-0000185D0000}"/>
    <cellStyle name="Normal 3 18 14 4" xfId="23842" xr:uid="{00000000-0005-0000-0000-0000195D0000}"/>
    <cellStyle name="Normal 3 18 14 4 2" xfId="23843" xr:uid="{00000000-0005-0000-0000-00001A5D0000}"/>
    <cellStyle name="Normal 3 18 14 4 3" xfId="23844" xr:uid="{00000000-0005-0000-0000-00001B5D0000}"/>
    <cellStyle name="Normal 3 18 14 5" xfId="23845" xr:uid="{00000000-0005-0000-0000-00001C5D0000}"/>
    <cellStyle name="Normal 3 18 14 5 2" xfId="23846" xr:uid="{00000000-0005-0000-0000-00001D5D0000}"/>
    <cellStyle name="Normal 3 18 14 5 3" xfId="23847" xr:uid="{00000000-0005-0000-0000-00001E5D0000}"/>
    <cellStyle name="Normal 3 18 14 6" xfId="23848" xr:uid="{00000000-0005-0000-0000-00001F5D0000}"/>
    <cellStyle name="Normal 3 18 14 6 2" xfId="23849" xr:uid="{00000000-0005-0000-0000-0000205D0000}"/>
    <cellStyle name="Normal 3 18 14 6 3" xfId="23850" xr:uid="{00000000-0005-0000-0000-0000215D0000}"/>
    <cellStyle name="Normal 3 18 14 7" xfId="23851" xr:uid="{00000000-0005-0000-0000-0000225D0000}"/>
    <cellStyle name="Normal 3 18 14 7 2" xfId="23852" xr:uid="{00000000-0005-0000-0000-0000235D0000}"/>
    <cellStyle name="Normal 3 18 14 7 3" xfId="23853" xr:uid="{00000000-0005-0000-0000-0000245D0000}"/>
    <cellStyle name="Normal 3 18 14 8" xfId="23854" xr:uid="{00000000-0005-0000-0000-0000255D0000}"/>
    <cellStyle name="Normal 3 18 14 8 2" xfId="23855" xr:uid="{00000000-0005-0000-0000-0000265D0000}"/>
    <cellStyle name="Normal 3 18 14 8 3" xfId="23856" xr:uid="{00000000-0005-0000-0000-0000275D0000}"/>
    <cellStyle name="Normal 3 18 14 9" xfId="23857" xr:uid="{00000000-0005-0000-0000-0000285D0000}"/>
    <cellStyle name="Normal 3 18 14 9 2" xfId="23858" xr:uid="{00000000-0005-0000-0000-0000295D0000}"/>
    <cellStyle name="Normal 3 18 14 9 3" xfId="23859" xr:uid="{00000000-0005-0000-0000-00002A5D0000}"/>
    <cellStyle name="Normal 3 18 15" xfId="23860" xr:uid="{00000000-0005-0000-0000-00002B5D0000}"/>
    <cellStyle name="Normal 3 18 15 2" xfId="23861" xr:uid="{00000000-0005-0000-0000-00002C5D0000}"/>
    <cellStyle name="Normal 3 18 15 3" xfId="23862" xr:uid="{00000000-0005-0000-0000-00002D5D0000}"/>
    <cellStyle name="Normal 3 18 16" xfId="23863" xr:uid="{00000000-0005-0000-0000-00002E5D0000}"/>
    <cellStyle name="Normal 3 18 16 2" xfId="23864" xr:uid="{00000000-0005-0000-0000-00002F5D0000}"/>
    <cellStyle name="Normal 3 18 16 3" xfId="23865" xr:uid="{00000000-0005-0000-0000-0000305D0000}"/>
    <cellStyle name="Normal 3 18 17" xfId="23866" xr:uid="{00000000-0005-0000-0000-0000315D0000}"/>
    <cellStyle name="Normal 3 18 17 2" xfId="23867" xr:uid="{00000000-0005-0000-0000-0000325D0000}"/>
    <cellStyle name="Normal 3 18 17 3" xfId="23868" xr:uid="{00000000-0005-0000-0000-0000335D0000}"/>
    <cellStyle name="Normal 3 18 18" xfId="23869" xr:uid="{00000000-0005-0000-0000-0000345D0000}"/>
    <cellStyle name="Normal 3 18 18 2" xfId="23870" xr:uid="{00000000-0005-0000-0000-0000355D0000}"/>
    <cellStyle name="Normal 3 18 18 3" xfId="23871" xr:uid="{00000000-0005-0000-0000-0000365D0000}"/>
    <cellStyle name="Normal 3 18 19" xfId="23872" xr:uid="{00000000-0005-0000-0000-0000375D0000}"/>
    <cellStyle name="Normal 3 18 19 2" xfId="23873" xr:uid="{00000000-0005-0000-0000-0000385D0000}"/>
    <cellStyle name="Normal 3 18 19 3" xfId="23874" xr:uid="{00000000-0005-0000-0000-0000395D0000}"/>
    <cellStyle name="Normal 3 18 2" xfId="23875" xr:uid="{00000000-0005-0000-0000-00003A5D0000}"/>
    <cellStyle name="Normal 3 18 20" xfId="23876" xr:uid="{00000000-0005-0000-0000-00003B5D0000}"/>
    <cellStyle name="Normal 3 18 20 2" xfId="23877" xr:uid="{00000000-0005-0000-0000-00003C5D0000}"/>
    <cellStyle name="Normal 3 18 20 3" xfId="23878" xr:uid="{00000000-0005-0000-0000-00003D5D0000}"/>
    <cellStyle name="Normal 3 18 21" xfId="23879" xr:uid="{00000000-0005-0000-0000-00003E5D0000}"/>
    <cellStyle name="Normal 3 18 21 2" xfId="23880" xr:uid="{00000000-0005-0000-0000-00003F5D0000}"/>
    <cellStyle name="Normal 3 18 21 3" xfId="23881" xr:uid="{00000000-0005-0000-0000-0000405D0000}"/>
    <cellStyle name="Normal 3 18 22" xfId="23882" xr:uid="{00000000-0005-0000-0000-0000415D0000}"/>
    <cellStyle name="Normal 3 18 22 2" xfId="23883" xr:uid="{00000000-0005-0000-0000-0000425D0000}"/>
    <cellStyle name="Normal 3 18 22 3" xfId="23884" xr:uid="{00000000-0005-0000-0000-0000435D0000}"/>
    <cellStyle name="Normal 3 18 23" xfId="23885" xr:uid="{00000000-0005-0000-0000-0000445D0000}"/>
    <cellStyle name="Normal 3 18 23 2" xfId="23886" xr:uid="{00000000-0005-0000-0000-0000455D0000}"/>
    <cellStyle name="Normal 3 18 23 3" xfId="23887" xr:uid="{00000000-0005-0000-0000-0000465D0000}"/>
    <cellStyle name="Normal 3 18 24" xfId="23888" xr:uid="{00000000-0005-0000-0000-0000475D0000}"/>
    <cellStyle name="Normal 3 18 24 2" xfId="23889" xr:uid="{00000000-0005-0000-0000-0000485D0000}"/>
    <cellStyle name="Normal 3 18 24 3" xfId="23890" xr:uid="{00000000-0005-0000-0000-0000495D0000}"/>
    <cellStyle name="Normal 3 18 25" xfId="23891" xr:uid="{00000000-0005-0000-0000-00004A5D0000}"/>
    <cellStyle name="Normal 3 18 25 2" xfId="23892" xr:uid="{00000000-0005-0000-0000-00004B5D0000}"/>
    <cellStyle name="Normal 3 18 25 3" xfId="23893" xr:uid="{00000000-0005-0000-0000-00004C5D0000}"/>
    <cellStyle name="Normal 3 18 26" xfId="23894" xr:uid="{00000000-0005-0000-0000-00004D5D0000}"/>
    <cellStyle name="Normal 3 18 26 2" xfId="23895" xr:uid="{00000000-0005-0000-0000-00004E5D0000}"/>
    <cellStyle name="Normal 3 18 26 3" xfId="23896" xr:uid="{00000000-0005-0000-0000-00004F5D0000}"/>
    <cellStyle name="Normal 3 18 27" xfId="23897" xr:uid="{00000000-0005-0000-0000-0000505D0000}"/>
    <cellStyle name="Normal 3 18 27 2" xfId="23898" xr:uid="{00000000-0005-0000-0000-0000515D0000}"/>
    <cellStyle name="Normal 3 18 27 3" xfId="23899" xr:uid="{00000000-0005-0000-0000-0000525D0000}"/>
    <cellStyle name="Normal 3 18 28" xfId="23900" xr:uid="{00000000-0005-0000-0000-0000535D0000}"/>
    <cellStyle name="Normal 3 18 29" xfId="23901" xr:uid="{00000000-0005-0000-0000-0000545D0000}"/>
    <cellStyle name="Normal 3 18 3" xfId="23902" xr:uid="{00000000-0005-0000-0000-0000555D0000}"/>
    <cellStyle name="Normal 3 18 4" xfId="23903" xr:uid="{00000000-0005-0000-0000-0000565D0000}"/>
    <cellStyle name="Normal 3 18 5" xfId="23904" xr:uid="{00000000-0005-0000-0000-0000575D0000}"/>
    <cellStyle name="Normal 3 18 6" xfId="23905" xr:uid="{00000000-0005-0000-0000-0000585D0000}"/>
    <cellStyle name="Normal 3 18 6 10" xfId="23906" xr:uid="{00000000-0005-0000-0000-0000595D0000}"/>
    <cellStyle name="Normal 3 18 6 10 2" xfId="23907" xr:uid="{00000000-0005-0000-0000-00005A5D0000}"/>
    <cellStyle name="Normal 3 18 6 10 3" xfId="23908" xr:uid="{00000000-0005-0000-0000-00005B5D0000}"/>
    <cellStyle name="Normal 3 18 6 11" xfId="23909" xr:uid="{00000000-0005-0000-0000-00005C5D0000}"/>
    <cellStyle name="Normal 3 18 6 11 2" xfId="23910" xr:uid="{00000000-0005-0000-0000-00005D5D0000}"/>
    <cellStyle name="Normal 3 18 6 11 3" xfId="23911" xr:uid="{00000000-0005-0000-0000-00005E5D0000}"/>
    <cellStyle name="Normal 3 18 6 12" xfId="23912" xr:uid="{00000000-0005-0000-0000-00005F5D0000}"/>
    <cellStyle name="Normal 3 18 6 12 2" xfId="23913" xr:uid="{00000000-0005-0000-0000-0000605D0000}"/>
    <cellStyle name="Normal 3 18 6 12 3" xfId="23914" xr:uid="{00000000-0005-0000-0000-0000615D0000}"/>
    <cellStyle name="Normal 3 18 6 13" xfId="23915" xr:uid="{00000000-0005-0000-0000-0000625D0000}"/>
    <cellStyle name="Normal 3 18 6 13 2" xfId="23916" xr:uid="{00000000-0005-0000-0000-0000635D0000}"/>
    <cellStyle name="Normal 3 18 6 13 3" xfId="23917" xr:uid="{00000000-0005-0000-0000-0000645D0000}"/>
    <cellStyle name="Normal 3 18 6 14" xfId="23918" xr:uid="{00000000-0005-0000-0000-0000655D0000}"/>
    <cellStyle name="Normal 3 18 6 14 2" xfId="23919" xr:uid="{00000000-0005-0000-0000-0000665D0000}"/>
    <cellStyle name="Normal 3 18 6 14 3" xfId="23920" xr:uid="{00000000-0005-0000-0000-0000675D0000}"/>
    <cellStyle name="Normal 3 18 6 15" xfId="23921" xr:uid="{00000000-0005-0000-0000-0000685D0000}"/>
    <cellStyle name="Normal 3 18 6 15 2" xfId="23922" xr:uid="{00000000-0005-0000-0000-0000695D0000}"/>
    <cellStyle name="Normal 3 18 6 15 3" xfId="23923" xr:uid="{00000000-0005-0000-0000-00006A5D0000}"/>
    <cellStyle name="Normal 3 18 6 16" xfId="23924" xr:uid="{00000000-0005-0000-0000-00006B5D0000}"/>
    <cellStyle name="Normal 3 18 6 17" xfId="23925" xr:uid="{00000000-0005-0000-0000-00006C5D0000}"/>
    <cellStyle name="Normal 3 18 6 2" xfId="23926" xr:uid="{00000000-0005-0000-0000-00006D5D0000}"/>
    <cellStyle name="Normal 3 18 6 2 10" xfId="23927" xr:uid="{00000000-0005-0000-0000-00006E5D0000}"/>
    <cellStyle name="Normal 3 18 6 2 10 2" xfId="23928" xr:uid="{00000000-0005-0000-0000-00006F5D0000}"/>
    <cellStyle name="Normal 3 18 6 2 10 3" xfId="23929" xr:uid="{00000000-0005-0000-0000-0000705D0000}"/>
    <cellStyle name="Normal 3 18 6 2 11" xfId="23930" xr:uid="{00000000-0005-0000-0000-0000715D0000}"/>
    <cellStyle name="Normal 3 18 6 2 11 2" xfId="23931" xr:uid="{00000000-0005-0000-0000-0000725D0000}"/>
    <cellStyle name="Normal 3 18 6 2 11 3" xfId="23932" xr:uid="{00000000-0005-0000-0000-0000735D0000}"/>
    <cellStyle name="Normal 3 18 6 2 12" xfId="23933" xr:uid="{00000000-0005-0000-0000-0000745D0000}"/>
    <cellStyle name="Normal 3 18 6 2 12 2" xfId="23934" xr:uid="{00000000-0005-0000-0000-0000755D0000}"/>
    <cellStyle name="Normal 3 18 6 2 12 3" xfId="23935" xr:uid="{00000000-0005-0000-0000-0000765D0000}"/>
    <cellStyle name="Normal 3 18 6 2 13" xfId="23936" xr:uid="{00000000-0005-0000-0000-0000775D0000}"/>
    <cellStyle name="Normal 3 18 6 2 13 2" xfId="23937" xr:uid="{00000000-0005-0000-0000-0000785D0000}"/>
    <cellStyle name="Normal 3 18 6 2 13 3" xfId="23938" xr:uid="{00000000-0005-0000-0000-0000795D0000}"/>
    <cellStyle name="Normal 3 18 6 2 14" xfId="23939" xr:uid="{00000000-0005-0000-0000-00007A5D0000}"/>
    <cellStyle name="Normal 3 18 6 2 14 2" xfId="23940" xr:uid="{00000000-0005-0000-0000-00007B5D0000}"/>
    <cellStyle name="Normal 3 18 6 2 14 3" xfId="23941" xr:uid="{00000000-0005-0000-0000-00007C5D0000}"/>
    <cellStyle name="Normal 3 18 6 2 15" xfId="23942" xr:uid="{00000000-0005-0000-0000-00007D5D0000}"/>
    <cellStyle name="Normal 3 18 6 2 16" xfId="23943" xr:uid="{00000000-0005-0000-0000-00007E5D0000}"/>
    <cellStyle name="Normal 3 18 6 2 2" xfId="23944" xr:uid="{00000000-0005-0000-0000-00007F5D0000}"/>
    <cellStyle name="Normal 3 18 6 2 2 2" xfId="23945" xr:uid="{00000000-0005-0000-0000-0000805D0000}"/>
    <cellStyle name="Normal 3 18 6 2 2 3" xfId="23946" xr:uid="{00000000-0005-0000-0000-0000815D0000}"/>
    <cellStyle name="Normal 3 18 6 2 3" xfId="23947" xr:uid="{00000000-0005-0000-0000-0000825D0000}"/>
    <cellStyle name="Normal 3 18 6 2 3 2" xfId="23948" xr:uid="{00000000-0005-0000-0000-0000835D0000}"/>
    <cellStyle name="Normal 3 18 6 2 3 3" xfId="23949" xr:uid="{00000000-0005-0000-0000-0000845D0000}"/>
    <cellStyle name="Normal 3 18 6 2 4" xfId="23950" xr:uid="{00000000-0005-0000-0000-0000855D0000}"/>
    <cellStyle name="Normal 3 18 6 2 4 2" xfId="23951" xr:uid="{00000000-0005-0000-0000-0000865D0000}"/>
    <cellStyle name="Normal 3 18 6 2 4 3" xfId="23952" xr:uid="{00000000-0005-0000-0000-0000875D0000}"/>
    <cellStyle name="Normal 3 18 6 2 5" xfId="23953" xr:uid="{00000000-0005-0000-0000-0000885D0000}"/>
    <cellStyle name="Normal 3 18 6 2 5 2" xfId="23954" xr:uid="{00000000-0005-0000-0000-0000895D0000}"/>
    <cellStyle name="Normal 3 18 6 2 5 3" xfId="23955" xr:uid="{00000000-0005-0000-0000-00008A5D0000}"/>
    <cellStyle name="Normal 3 18 6 2 6" xfId="23956" xr:uid="{00000000-0005-0000-0000-00008B5D0000}"/>
    <cellStyle name="Normal 3 18 6 2 6 2" xfId="23957" xr:uid="{00000000-0005-0000-0000-00008C5D0000}"/>
    <cellStyle name="Normal 3 18 6 2 6 3" xfId="23958" xr:uid="{00000000-0005-0000-0000-00008D5D0000}"/>
    <cellStyle name="Normal 3 18 6 2 7" xfId="23959" xr:uid="{00000000-0005-0000-0000-00008E5D0000}"/>
    <cellStyle name="Normal 3 18 6 2 7 2" xfId="23960" xr:uid="{00000000-0005-0000-0000-00008F5D0000}"/>
    <cellStyle name="Normal 3 18 6 2 7 3" xfId="23961" xr:uid="{00000000-0005-0000-0000-0000905D0000}"/>
    <cellStyle name="Normal 3 18 6 2 8" xfId="23962" xr:uid="{00000000-0005-0000-0000-0000915D0000}"/>
    <cellStyle name="Normal 3 18 6 2 8 2" xfId="23963" xr:uid="{00000000-0005-0000-0000-0000925D0000}"/>
    <cellStyle name="Normal 3 18 6 2 8 3" xfId="23964" xr:uid="{00000000-0005-0000-0000-0000935D0000}"/>
    <cellStyle name="Normal 3 18 6 2 9" xfId="23965" xr:uid="{00000000-0005-0000-0000-0000945D0000}"/>
    <cellStyle name="Normal 3 18 6 2 9 2" xfId="23966" xr:uid="{00000000-0005-0000-0000-0000955D0000}"/>
    <cellStyle name="Normal 3 18 6 2 9 3" xfId="23967" xr:uid="{00000000-0005-0000-0000-0000965D0000}"/>
    <cellStyle name="Normal 3 18 6 3" xfId="23968" xr:uid="{00000000-0005-0000-0000-0000975D0000}"/>
    <cellStyle name="Normal 3 18 6 3 2" xfId="23969" xr:uid="{00000000-0005-0000-0000-0000985D0000}"/>
    <cellStyle name="Normal 3 18 6 3 3" xfId="23970" xr:uid="{00000000-0005-0000-0000-0000995D0000}"/>
    <cellStyle name="Normal 3 18 6 4" xfId="23971" xr:uid="{00000000-0005-0000-0000-00009A5D0000}"/>
    <cellStyle name="Normal 3 18 6 4 2" xfId="23972" xr:uid="{00000000-0005-0000-0000-00009B5D0000}"/>
    <cellStyle name="Normal 3 18 6 4 3" xfId="23973" xr:uid="{00000000-0005-0000-0000-00009C5D0000}"/>
    <cellStyle name="Normal 3 18 6 5" xfId="23974" xr:uid="{00000000-0005-0000-0000-00009D5D0000}"/>
    <cellStyle name="Normal 3 18 6 5 2" xfId="23975" xr:uid="{00000000-0005-0000-0000-00009E5D0000}"/>
    <cellStyle name="Normal 3 18 6 5 3" xfId="23976" xr:uid="{00000000-0005-0000-0000-00009F5D0000}"/>
    <cellStyle name="Normal 3 18 6 6" xfId="23977" xr:uid="{00000000-0005-0000-0000-0000A05D0000}"/>
    <cellStyle name="Normal 3 18 6 6 2" xfId="23978" xr:uid="{00000000-0005-0000-0000-0000A15D0000}"/>
    <cellStyle name="Normal 3 18 6 6 3" xfId="23979" xr:uid="{00000000-0005-0000-0000-0000A25D0000}"/>
    <cellStyle name="Normal 3 18 6 7" xfId="23980" xr:uid="{00000000-0005-0000-0000-0000A35D0000}"/>
    <cellStyle name="Normal 3 18 6 7 2" xfId="23981" xr:uid="{00000000-0005-0000-0000-0000A45D0000}"/>
    <cellStyle name="Normal 3 18 6 7 3" xfId="23982" xr:uid="{00000000-0005-0000-0000-0000A55D0000}"/>
    <cellStyle name="Normal 3 18 6 8" xfId="23983" xr:uid="{00000000-0005-0000-0000-0000A65D0000}"/>
    <cellStyle name="Normal 3 18 6 8 2" xfId="23984" xr:uid="{00000000-0005-0000-0000-0000A75D0000}"/>
    <cellStyle name="Normal 3 18 6 8 3" xfId="23985" xr:uid="{00000000-0005-0000-0000-0000A85D0000}"/>
    <cellStyle name="Normal 3 18 6 9" xfId="23986" xr:uid="{00000000-0005-0000-0000-0000A95D0000}"/>
    <cellStyle name="Normal 3 18 6 9 2" xfId="23987" xr:uid="{00000000-0005-0000-0000-0000AA5D0000}"/>
    <cellStyle name="Normal 3 18 6 9 3" xfId="23988" xr:uid="{00000000-0005-0000-0000-0000AB5D0000}"/>
    <cellStyle name="Normal 3 18 7" xfId="23989" xr:uid="{00000000-0005-0000-0000-0000AC5D0000}"/>
    <cellStyle name="Normal 3 18 7 10" xfId="23990" xr:uid="{00000000-0005-0000-0000-0000AD5D0000}"/>
    <cellStyle name="Normal 3 18 7 10 2" xfId="23991" xr:uid="{00000000-0005-0000-0000-0000AE5D0000}"/>
    <cellStyle name="Normal 3 18 7 10 3" xfId="23992" xr:uid="{00000000-0005-0000-0000-0000AF5D0000}"/>
    <cellStyle name="Normal 3 18 7 11" xfId="23993" xr:uid="{00000000-0005-0000-0000-0000B05D0000}"/>
    <cellStyle name="Normal 3 18 7 11 2" xfId="23994" xr:uid="{00000000-0005-0000-0000-0000B15D0000}"/>
    <cellStyle name="Normal 3 18 7 11 3" xfId="23995" xr:uid="{00000000-0005-0000-0000-0000B25D0000}"/>
    <cellStyle name="Normal 3 18 7 12" xfId="23996" xr:uid="{00000000-0005-0000-0000-0000B35D0000}"/>
    <cellStyle name="Normal 3 18 7 12 2" xfId="23997" xr:uid="{00000000-0005-0000-0000-0000B45D0000}"/>
    <cellStyle name="Normal 3 18 7 12 3" xfId="23998" xr:uid="{00000000-0005-0000-0000-0000B55D0000}"/>
    <cellStyle name="Normal 3 18 7 13" xfId="23999" xr:uid="{00000000-0005-0000-0000-0000B65D0000}"/>
    <cellStyle name="Normal 3 18 7 13 2" xfId="24000" xr:uid="{00000000-0005-0000-0000-0000B75D0000}"/>
    <cellStyle name="Normal 3 18 7 13 3" xfId="24001" xr:uid="{00000000-0005-0000-0000-0000B85D0000}"/>
    <cellStyle name="Normal 3 18 7 14" xfId="24002" xr:uid="{00000000-0005-0000-0000-0000B95D0000}"/>
    <cellStyle name="Normal 3 18 7 14 2" xfId="24003" xr:uid="{00000000-0005-0000-0000-0000BA5D0000}"/>
    <cellStyle name="Normal 3 18 7 14 3" xfId="24004" xr:uid="{00000000-0005-0000-0000-0000BB5D0000}"/>
    <cellStyle name="Normal 3 18 7 15" xfId="24005" xr:uid="{00000000-0005-0000-0000-0000BC5D0000}"/>
    <cellStyle name="Normal 3 18 7 15 2" xfId="24006" xr:uid="{00000000-0005-0000-0000-0000BD5D0000}"/>
    <cellStyle name="Normal 3 18 7 15 3" xfId="24007" xr:uid="{00000000-0005-0000-0000-0000BE5D0000}"/>
    <cellStyle name="Normal 3 18 7 16" xfId="24008" xr:uid="{00000000-0005-0000-0000-0000BF5D0000}"/>
    <cellStyle name="Normal 3 18 7 17" xfId="24009" xr:uid="{00000000-0005-0000-0000-0000C05D0000}"/>
    <cellStyle name="Normal 3 18 7 2" xfId="24010" xr:uid="{00000000-0005-0000-0000-0000C15D0000}"/>
    <cellStyle name="Normal 3 18 7 2 10" xfId="24011" xr:uid="{00000000-0005-0000-0000-0000C25D0000}"/>
    <cellStyle name="Normal 3 18 7 2 10 2" xfId="24012" xr:uid="{00000000-0005-0000-0000-0000C35D0000}"/>
    <cellStyle name="Normal 3 18 7 2 10 3" xfId="24013" xr:uid="{00000000-0005-0000-0000-0000C45D0000}"/>
    <cellStyle name="Normal 3 18 7 2 11" xfId="24014" xr:uid="{00000000-0005-0000-0000-0000C55D0000}"/>
    <cellStyle name="Normal 3 18 7 2 11 2" xfId="24015" xr:uid="{00000000-0005-0000-0000-0000C65D0000}"/>
    <cellStyle name="Normal 3 18 7 2 11 3" xfId="24016" xr:uid="{00000000-0005-0000-0000-0000C75D0000}"/>
    <cellStyle name="Normal 3 18 7 2 12" xfId="24017" xr:uid="{00000000-0005-0000-0000-0000C85D0000}"/>
    <cellStyle name="Normal 3 18 7 2 12 2" xfId="24018" xr:uid="{00000000-0005-0000-0000-0000C95D0000}"/>
    <cellStyle name="Normal 3 18 7 2 12 3" xfId="24019" xr:uid="{00000000-0005-0000-0000-0000CA5D0000}"/>
    <cellStyle name="Normal 3 18 7 2 13" xfId="24020" xr:uid="{00000000-0005-0000-0000-0000CB5D0000}"/>
    <cellStyle name="Normal 3 18 7 2 13 2" xfId="24021" xr:uid="{00000000-0005-0000-0000-0000CC5D0000}"/>
    <cellStyle name="Normal 3 18 7 2 13 3" xfId="24022" xr:uid="{00000000-0005-0000-0000-0000CD5D0000}"/>
    <cellStyle name="Normal 3 18 7 2 14" xfId="24023" xr:uid="{00000000-0005-0000-0000-0000CE5D0000}"/>
    <cellStyle name="Normal 3 18 7 2 14 2" xfId="24024" xr:uid="{00000000-0005-0000-0000-0000CF5D0000}"/>
    <cellStyle name="Normal 3 18 7 2 14 3" xfId="24025" xr:uid="{00000000-0005-0000-0000-0000D05D0000}"/>
    <cellStyle name="Normal 3 18 7 2 15" xfId="24026" xr:uid="{00000000-0005-0000-0000-0000D15D0000}"/>
    <cellStyle name="Normal 3 18 7 2 16" xfId="24027" xr:uid="{00000000-0005-0000-0000-0000D25D0000}"/>
    <cellStyle name="Normal 3 18 7 2 2" xfId="24028" xr:uid="{00000000-0005-0000-0000-0000D35D0000}"/>
    <cellStyle name="Normal 3 18 7 2 2 2" xfId="24029" xr:uid="{00000000-0005-0000-0000-0000D45D0000}"/>
    <cellStyle name="Normal 3 18 7 2 2 3" xfId="24030" xr:uid="{00000000-0005-0000-0000-0000D55D0000}"/>
    <cellStyle name="Normal 3 18 7 2 3" xfId="24031" xr:uid="{00000000-0005-0000-0000-0000D65D0000}"/>
    <cellStyle name="Normal 3 18 7 2 3 2" xfId="24032" xr:uid="{00000000-0005-0000-0000-0000D75D0000}"/>
    <cellStyle name="Normal 3 18 7 2 3 3" xfId="24033" xr:uid="{00000000-0005-0000-0000-0000D85D0000}"/>
    <cellStyle name="Normal 3 18 7 2 4" xfId="24034" xr:uid="{00000000-0005-0000-0000-0000D95D0000}"/>
    <cellStyle name="Normal 3 18 7 2 4 2" xfId="24035" xr:uid="{00000000-0005-0000-0000-0000DA5D0000}"/>
    <cellStyle name="Normal 3 18 7 2 4 3" xfId="24036" xr:uid="{00000000-0005-0000-0000-0000DB5D0000}"/>
    <cellStyle name="Normal 3 18 7 2 5" xfId="24037" xr:uid="{00000000-0005-0000-0000-0000DC5D0000}"/>
    <cellStyle name="Normal 3 18 7 2 5 2" xfId="24038" xr:uid="{00000000-0005-0000-0000-0000DD5D0000}"/>
    <cellStyle name="Normal 3 18 7 2 5 3" xfId="24039" xr:uid="{00000000-0005-0000-0000-0000DE5D0000}"/>
    <cellStyle name="Normal 3 18 7 2 6" xfId="24040" xr:uid="{00000000-0005-0000-0000-0000DF5D0000}"/>
    <cellStyle name="Normal 3 18 7 2 6 2" xfId="24041" xr:uid="{00000000-0005-0000-0000-0000E05D0000}"/>
    <cellStyle name="Normal 3 18 7 2 6 3" xfId="24042" xr:uid="{00000000-0005-0000-0000-0000E15D0000}"/>
    <cellStyle name="Normal 3 18 7 2 7" xfId="24043" xr:uid="{00000000-0005-0000-0000-0000E25D0000}"/>
    <cellStyle name="Normal 3 18 7 2 7 2" xfId="24044" xr:uid="{00000000-0005-0000-0000-0000E35D0000}"/>
    <cellStyle name="Normal 3 18 7 2 7 3" xfId="24045" xr:uid="{00000000-0005-0000-0000-0000E45D0000}"/>
    <cellStyle name="Normal 3 18 7 2 8" xfId="24046" xr:uid="{00000000-0005-0000-0000-0000E55D0000}"/>
    <cellStyle name="Normal 3 18 7 2 8 2" xfId="24047" xr:uid="{00000000-0005-0000-0000-0000E65D0000}"/>
    <cellStyle name="Normal 3 18 7 2 8 3" xfId="24048" xr:uid="{00000000-0005-0000-0000-0000E75D0000}"/>
    <cellStyle name="Normal 3 18 7 2 9" xfId="24049" xr:uid="{00000000-0005-0000-0000-0000E85D0000}"/>
    <cellStyle name="Normal 3 18 7 2 9 2" xfId="24050" xr:uid="{00000000-0005-0000-0000-0000E95D0000}"/>
    <cellStyle name="Normal 3 18 7 2 9 3" xfId="24051" xr:uid="{00000000-0005-0000-0000-0000EA5D0000}"/>
    <cellStyle name="Normal 3 18 7 3" xfId="24052" xr:uid="{00000000-0005-0000-0000-0000EB5D0000}"/>
    <cellStyle name="Normal 3 18 7 3 2" xfId="24053" xr:uid="{00000000-0005-0000-0000-0000EC5D0000}"/>
    <cellStyle name="Normal 3 18 7 3 3" xfId="24054" xr:uid="{00000000-0005-0000-0000-0000ED5D0000}"/>
    <cellStyle name="Normal 3 18 7 4" xfId="24055" xr:uid="{00000000-0005-0000-0000-0000EE5D0000}"/>
    <cellStyle name="Normal 3 18 7 4 2" xfId="24056" xr:uid="{00000000-0005-0000-0000-0000EF5D0000}"/>
    <cellStyle name="Normal 3 18 7 4 3" xfId="24057" xr:uid="{00000000-0005-0000-0000-0000F05D0000}"/>
    <cellStyle name="Normal 3 18 7 5" xfId="24058" xr:uid="{00000000-0005-0000-0000-0000F15D0000}"/>
    <cellStyle name="Normal 3 18 7 5 2" xfId="24059" xr:uid="{00000000-0005-0000-0000-0000F25D0000}"/>
    <cellStyle name="Normal 3 18 7 5 3" xfId="24060" xr:uid="{00000000-0005-0000-0000-0000F35D0000}"/>
    <cellStyle name="Normal 3 18 7 6" xfId="24061" xr:uid="{00000000-0005-0000-0000-0000F45D0000}"/>
    <cellStyle name="Normal 3 18 7 6 2" xfId="24062" xr:uid="{00000000-0005-0000-0000-0000F55D0000}"/>
    <cellStyle name="Normal 3 18 7 6 3" xfId="24063" xr:uid="{00000000-0005-0000-0000-0000F65D0000}"/>
    <cellStyle name="Normal 3 18 7 7" xfId="24064" xr:uid="{00000000-0005-0000-0000-0000F75D0000}"/>
    <cellStyle name="Normal 3 18 7 7 2" xfId="24065" xr:uid="{00000000-0005-0000-0000-0000F85D0000}"/>
    <cellStyle name="Normal 3 18 7 7 3" xfId="24066" xr:uid="{00000000-0005-0000-0000-0000F95D0000}"/>
    <cellStyle name="Normal 3 18 7 8" xfId="24067" xr:uid="{00000000-0005-0000-0000-0000FA5D0000}"/>
    <cellStyle name="Normal 3 18 7 8 2" xfId="24068" xr:uid="{00000000-0005-0000-0000-0000FB5D0000}"/>
    <cellStyle name="Normal 3 18 7 8 3" xfId="24069" xr:uid="{00000000-0005-0000-0000-0000FC5D0000}"/>
    <cellStyle name="Normal 3 18 7 9" xfId="24070" xr:uid="{00000000-0005-0000-0000-0000FD5D0000}"/>
    <cellStyle name="Normal 3 18 7 9 2" xfId="24071" xr:uid="{00000000-0005-0000-0000-0000FE5D0000}"/>
    <cellStyle name="Normal 3 18 7 9 3" xfId="24072" xr:uid="{00000000-0005-0000-0000-0000FF5D0000}"/>
    <cellStyle name="Normal 3 18 8" xfId="24073" xr:uid="{00000000-0005-0000-0000-0000005E0000}"/>
    <cellStyle name="Normal 3 18 8 10" xfId="24074" xr:uid="{00000000-0005-0000-0000-0000015E0000}"/>
    <cellStyle name="Normal 3 18 8 10 2" xfId="24075" xr:uid="{00000000-0005-0000-0000-0000025E0000}"/>
    <cellStyle name="Normal 3 18 8 10 3" xfId="24076" xr:uid="{00000000-0005-0000-0000-0000035E0000}"/>
    <cellStyle name="Normal 3 18 8 11" xfId="24077" xr:uid="{00000000-0005-0000-0000-0000045E0000}"/>
    <cellStyle name="Normal 3 18 8 11 2" xfId="24078" xr:uid="{00000000-0005-0000-0000-0000055E0000}"/>
    <cellStyle name="Normal 3 18 8 11 3" xfId="24079" xr:uid="{00000000-0005-0000-0000-0000065E0000}"/>
    <cellStyle name="Normal 3 18 8 12" xfId="24080" xr:uid="{00000000-0005-0000-0000-0000075E0000}"/>
    <cellStyle name="Normal 3 18 8 12 2" xfId="24081" xr:uid="{00000000-0005-0000-0000-0000085E0000}"/>
    <cellStyle name="Normal 3 18 8 12 3" xfId="24082" xr:uid="{00000000-0005-0000-0000-0000095E0000}"/>
    <cellStyle name="Normal 3 18 8 13" xfId="24083" xr:uid="{00000000-0005-0000-0000-00000A5E0000}"/>
    <cellStyle name="Normal 3 18 8 13 2" xfId="24084" xr:uid="{00000000-0005-0000-0000-00000B5E0000}"/>
    <cellStyle name="Normal 3 18 8 13 3" xfId="24085" xr:uid="{00000000-0005-0000-0000-00000C5E0000}"/>
    <cellStyle name="Normal 3 18 8 14" xfId="24086" xr:uid="{00000000-0005-0000-0000-00000D5E0000}"/>
    <cellStyle name="Normal 3 18 8 14 2" xfId="24087" xr:uid="{00000000-0005-0000-0000-00000E5E0000}"/>
    <cellStyle name="Normal 3 18 8 14 3" xfId="24088" xr:uid="{00000000-0005-0000-0000-00000F5E0000}"/>
    <cellStyle name="Normal 3 18 8 15" xfId="24089" xr:uid="{00000000-0005-0000-0000-0000105E0000}"/>
    <cellStyle name="Normal 3 18 8 15 2" xfId="24090" xr:uid="{00000000-0005-0000-0000-0000115E0000}"/>
    <cellStyle name="Normal 3 18 8 15 3" xfId="24091" xr:uid="{00000000-0005-0000-0000-0000125E0000}"/>
    <cellStyle name="Normal 3 18 8 16" xfId="24092" xr:uid="{00000000-0005-0000-0000-0000135E0000}"/>
    <cellStyle name="Normal 3 18 8 17" xfId="24093" xr:uid="{00000000-0005-0000-0000-0000145E0000}"/>
    <cellStyle name="Normal 3 18 8 2" xfId="24094" xr:uid="{00000000-0005-0000-0000-0000155E0000}"/>
    <cellStyle name="Normal 3 18 8 2 10" xfId="24095" xr:uid="{00000000-0005-0000-0000-0000165E0000}"/>
    <cellStyle name="Normal 3 18 8 2 10 2" xfId="24096" xr:uid="{00000000-0005-0000-0000-0000175E0000}"/>
    <cellStyle name="Normal 3 18 8 2 10 3" xfId="24097" xr:uid="{00000000-0005-0000-0000-0000185E0000}"/>
    <cellStyle name="Normal 3 18 8 2 11" xfId="24098" xr:uid="{00000000-0005-0000-0000-0000195E0000}"/>
    <cellStyle name="Normal 3 18 8 2 11 2" xfId="24099" xr:uid="{00000000-0005-0000-0000-00001A5E0000}"/>
    <cellStyle name="Normal 3 18 8 2 11 3" xfId="24100" xr:uid="{00000000-0005-0000-0000-00001B5E0000}"/>
    <cellStyle name="Normal 3 18 8 2 12" xfId="24101" xr:uid="{00000000-0005-0000-0000-00001C5E0000}"/>
    <cellStyle name="Normal 3 18 8 2 12 2" xfId="24102" xr:uid="{00000000-0005-0000-0000-00001D5E0000}"/>
    <cellStyle name="Normal 3 18 8 2 12 3" xfId="24103" xr:uid="{00000000-0005-0000-0000-00001E5E0000}"/>
    <cellStyle name="Normal 3 18 8 2 13" xfId="24104" xr:uid="{00000000-0005-0000-0000-00001F5E0000}"/>
    <cellStyle name="Normal 3 18 8 2 13 2" xfId="24105" xr:uid="{00000000-0005-0000-0000-0000205E0000}"/>
    <cellStyle name="Normal 3 18 8 2 13 3" xfId="24106" xr:uid="{00000000-0005-0000-0000-0000215E0000}"/>
    <cellStyle name="Normal 3 18 8 2 14" xfId="24107" xr:uid="{00000000-0005-0000-0000-0000225E0000}"/>
    <cellStyle name="Normal 3 18 8 2 14 2" xfId="24108" xr:uid="{00000000-0005-0000-0000-0000235E0000}"/>
    <cellStyle name="Normal 3 18 8 2 14 3" xfId="24109" xr:uid="{00000000-0005-0000-0000-0000245E0000}"/>
    <cellStyle name="Normal 3 18 8 2 15" xfId="24110" xr:uid="{00000000-0005-0000-0000-0000255E0000}"/>
    <cellStyle name="Normal 3 18 8 2 16" xfId="24111" xr:uid="{00000000-0005-0000-0000-0000265E0000}"/>
    <cellStyle name="Normal 3 18 8 2 2" xfId="24112" xr:uid="{00000000-0005-0000-0000-0000275E0000}"/>
    <cellStyle name="Normal 3 18 8 2 2 2" xfId="24113" xr:uid="{00000000-0005-0000-0000-0000285E0000}"/>
    <cellStyle name="Normal 3 18 8 2 2 3" xfId="24114" xr:uid="{00000000-0005-0000-0000-0000295E0000}"/>
    <cellStyle name="Normal 3 18 8 2 3" xfId="24115" xr:uid="{00000000-0005-0000-0000-00002A5E0000}"/>
    <cellStyle name="Normal 3 18 8 2 3 2" xfId="24116" xr:uid="{00000000-0005-0000-0000-00002B5E0000}"/>
    <cellStyle name="Normal 3 18 8 2 3 3" xfId="24117" xr:uid="{00000000-0005-0000-0000-00002C5E0000}"/>
    <cellStyle name="Normal 3 18 8 2 4" xfId="24118" xr:uid="{00000000-0005-0000-0000-00002D5E0000}"/>
    <cellStyle name="Normal 3 18 8 2 4 2" xfId="24119" xr:uid="{00000000-0005-0000-0000-00002E5E0000}"/>
    <cellStyle name="Normal 3 18 8 2 4 3" xfId="24120" xr:uid="{00000000-0005-0000-0000-00002F5E0000}"/>
    <cellStyle name="Normal 3 18 8 2 5" xfId="24121" xr:uid="{00000000-0005-0000-0000-0000305E0000}"/>
    <cellStyle name="Normal 3 18 8 2 5 2" xfId="24122" xr:uid="{00000000-0005-0000-0000-0000315E0000}"/>
    <cellStyle name="Normal 3 18 8 2 5 3" xfId="24123" xr:uid="{00000000-0005-0000-0000-0000325E0000}"/>
    <cellStyle name="Normal 3 18 8 2 6" xfId="24124" xr:uid="{00000000-0005-0000-0000-0000335E0000}"/>
    <cellStyle name="Normal 3 18 8 2 6 2" xfId="24125" xr:uid="{00000000-0005-0000-0000-0000345E0000}"/>
    <cellStyle name="Normal 3 18 8 2 6 3" xfId="24126" xr:uid="{00000000-0005-0000-0000-0000355E0000}"/>
    <cellStyle name="Normal 3 18 8 2 7" xfId="24127" xr:uid="{00000000-0005-0000-0000-0000365E0000}"/>
    <cellStyle name="Normal 3 18 8 2 7 2" xfId="24128" xr:uid="{00000000-0005-0000-0000-0000375E0000}"/>
    <cellStyle name="Normal 3 18 8 2 7 3" xfId="24129" xr:uid="{00000000-0005-0000-0000-0000385E0000}"/>
    <cellStyle name="Normal 3 18 8 2 8" xfId="24130" xr:uid="{00000000-0005-0000-0000-0000395E0000}"/>
    <cellStyle name="Normal 3 18 8 2 8 2" xfId="24131" xr:uid="{00000000-0005-0000-0000-00003A5E0000}"/>
    <cellStyle name="Normal 3 18 8 2 8 3" xfId="24132" xr:uid="{00000000-0005-0000-0000-00003B5E0000}"/>
    <cellStyle name="Normal 3 18 8 2 9" xfId="24133" xr:uid="{00000000-0005-0000-0000-00003C5E0000}"/>
    <cellStyle name="Normal 3 18 8 2 9 2" xfId="24134" xr:uid="{00000000-0005-0000-0000-00003D5E0000}"/>
    <cellStyle name="Normal 3 18 8 2 9 3" xfId="24135" xr:uid="{00000000-0005-0000-0000-00003E5E0000}"/>
    <cellStyle name="Normal 3 18 8 3" xfId="24136" xr:uid="{00000000-0005-0000-0000-00003F5E0000}"/>
    <cellStyle name="Normal 3 18 8 3 2" xfId="24137" xr:uid="{00000000-0005-0000-0000-0000405E0000}"/>
    <cellStyle name="Normal 3 18 8 3 3" xfId="24138" xr:uid="{00000000-0005-0000-0000-0000415E0000}"/>
    <cellStyle name="Normal 3 18 8 4" xfId="24139" xr:uid="{00000000-0005-0000-0000-0000425E0000}"/>
    <cellStyle name="Normal 3 18 8 4 2" xfId="24140" xr:uid="{00000000-0005-0000-0000-0000435E0000}"/>
    <cellStyle name="Normal 3 18 8 4 3" xfId="24141" xr:uid="{00000000-0005-0000-0000-0000445E0000}"/>
    <cellStyle name="Normal 3 18 8 5" xfId="24142" xr:uid="{00000000-0005-0000-0000-0000455E0000}"/>
    <cellStyle name="Normal 3 18 8 5 2" xfId="24143" xr:uid="{00000000-0005-0000-0000-0000465E0000}"/>
    <cellStyle name="Normal 3 18 8 5 3" xfId="24144" xr:uid="{00000000-0005-0000-0000-0000475E0000}"/>
    <cellStyle name="Normal 3 18 8 6" xfId="24145" xr:uid="{00000000-0005-0000-0000-0000485E0000}"/>
    <cellStyle name="Normal 3 18 8 6 2" xfId="24146" xr:uid="{00000000-0005-0000-0000-0000495E0000}"/>
    <cellStyle name="Normal 3 18 8 6 3" xfId="24147" xr:uid="{00000000-0005-0000-0000-00004A5E0000}"/>
    <cellStyle name="Normal 3 18 8 7" xfId="24148" xr:uid="{00000000-0005-0000-0000-00004B5E0000}"/>
    <cellStyle name="Normal 3 18 8 7 2" xfId="24149" xr:uid="{00000000-0005-0000-0000-00004C5E0000}"/>
    <cellStyle name="Normal 3 18 8 7 3" xfId="24150" xr:uid="{00000000-0005-0000-0000-00004D5E0000}"/>
    <cellStyle name="Normal 3 18 8 8" xfId="24151" xr:uid="{00000000-0005-0000-0000-00004E5E0000}"/>
    <cellStyle name="Normal 3 18 8 8 2" xfId="24152" xr:uid="{00000000-0005-0000-0000-00004F5E0000}"/>
    <cellStyle name="Normal 3 18 8 8 3" xfId="24153" xr:uid="{00000000-0005-0000-0000-0000505E0000}"/>
    <cellStyle name="Normal 3 18 8 9" xfId="24154" xr:uid="{00000000-0005-0000-0000-0000515E0000}"/>
    <cellStyle name="Normal 3 18 8 9 2" xfId="24155" xr:uid="{00000000-0005-0000-0000-0000525E0000}"/>
    <cellStyle name="Normal 3 18 8 9 3" xfId="24156" xr:uid="{00000000-0005-0000-0000-0000535E0000}"/>
    <cellStyle name="Normal 3 18 9" xfId="24157" xr:uid="{00000000-0005-0000-0000-0000545E0000}"/>
    <cellStyle name="Normal 3 18 9 10" xfId="24158" xr:uid="{00000000-0005-0000-0000-0000555E0000}"/>
    <cellStyle name="Normal 3 18 9 10 2" xfId="24159" xr:uid="{00000000-0005-0000-0000-0000565E0000}"/>
    <cellStyle name="Normal 3 18 9 10 3" xfId="24160" xr:uid="{00000000-0005-0000-0000-0000575E0000}"/>
    <cellStyle name="Normal 3 18 9 11" xfId="24161" xr:uid="{00000000-0005-0000-0000-0000585E0000}"/>
    <cellStyle name="Normal 3 18 9 11 2" xfId="24162" xr:uid="{00000000-0005-0000-0000-0000595E0000}"/>
    <cellStyle name="Normal 3 18 9 11 3" xfId="24163" xr:uid="{00000000-0005-0000-0000-00005A5E0000}"/>
    <cellStyle name="Normal 3 18 9 12" xfId="24164" xr:uid="{00000000-0005-0000-0000-00005B5E0000}"/>
    <cellStyle name="Normal 3 18 9 12 2" xfId="24165" xr:uid="{00000000-0005-0000-0000-00005C5E0000}"/>
    <cellStyle name="Normal 3 18 9 12 3" xfId="24166" xr:uid="{00000000-0005-0000-0000-00005D5E0000}"/>
    <cellStyle name="Normal 3 18 9 13" xfId="24167" xr:uid="{00000000-0005-0000-0000-00005E5E0000}"/>
    <cellStyle name="Normal 3 18 9 13 2" xfId="24168" xr:uid="{00000000-0005-0000-0000-00005F5E0000}"/>
    <cellStyle name="Normal 3 18 9 13 3" xfId="24169" xr:uid="{00000000-0005-0000-0000-0000605E0000}"/>
    <cellStyle name="Normal 3 18 9 14" xfId="24170" xr:uid="{00000000-0005-0000-0000-0000615E0000}"/>
    <cellStyle name="Normal 3 18 9 14 2" xfId="24171" xr:uid="{00000000-0005-0000-0000-0000625E0000}"/>
    <cellStyle name="Normal 3 18 9 14 3" xfId="24172" xr:uid="{00000000-0005-0000-0000-0000635E0000}"/>
    <cellStyle name="Normal 3 18 9 15" xfId="24173" xr:uid="{00000000-0005-0000-0000-0000645E0000}"/>
    <cellStyle name="Normal 3 18 9 16" xfId="24174" xr:uid="{00000000-0005-0000-0000-0000655E0000}"/>
    <cellStyle name="Normal 3 18 9 2" xfId="24175" xr:uid="{00000000-0005-0000-0000-0000665E0000}"/>
    <cellStyle name="Normal 3 18 9 2 2" xfId="24176" xr:uid="{00000000-0005-0000-0000-0000675E0000}"/>
    <cellStyle name="Normal 3 18 9 2 3" xfId="24177" xr:uid="{00000000-0005-0000-0000-0000685E0000}"/>
    <cellStyle name="Normal 3 18 9 3" xfId="24178" xr:uid="{00000000-0005-0000-0000-0000695E0000}"/>
    <cellStyle name="Normal 3 18 9 3 2" xfId="24179" xr:uid="{00000000-0005-0000-0000-00006A5E0000}"/>
    <cellStyle name="Normal 3 18 9 3 3" xfId="24180" xr:uid="{00000000-0005-0000-0000-00006B5E0000}"/>
    <cellStyle name="Normal 3 18 9 4" xfId="24181" xr:uid="{00000000-0005-0000-0000-00006C5E0000}"/>
    <cellStyle name="Normal 3 18 9 4 2" xfId="24182" xr:uid="{00000000-0005-0000-0000-00006D5E0000}"/>
    <cellStyle name="Normal 3 18 9 4 3" xfId="24183" xr:uid="{00000000-0005-0000-0000-00006E5E0000}"/>
    <cellStyle name="Normal 3 18 9 5" xfId="24184" xr:uid="{00000000-0005-0000-0000-00006F5E0000}"/>
    <cellStyle name="Normal 3 18 9 5 2" xfId="24185" xr:uid="{00000000-0005-0000-0000-0000705E0000}"/>
    <cellStyle name="Normal 3 18 9 5 3" xfId="24186" xr:uid="{00000000-0005-0000-0000-0000715E0000}"/>
    <cellStyle name="Normal 3 18 9 6" xfId="24187" xr:uid="{00000000-0005-0000-0000-0000725E0000}"/>
    <cellStyle name="Normal 3 18 9 6 2" xfId="24188" xr:uid="{00000000-0005-0000-0000-0000735E0000}"/>
    <cellStyle name="Normal 3 18 9 6 3" xfId="24189" xr:uid="{00000000-0005-0000-0000-0000745E0000}"/>
    <cellStyle name="Normal 3 18 9 7" xfId="24190" xr:uid="{00000000-0005-0000-0000-0000755E0000}"/>
    <cellStyle name="Normal 3 18 9 7 2" xfId="24191" xr:uid="{00000000-0005-0000-0000-0000765E0000}"/>
    <cellStyle name="Normal 3 18 9 7 3" xfId="24192" xr:uid="{00000000-0005-0000-0000-0000775E0000}"/>
    <cellStyle name="Normal 3 18 9 8" xfId="24193" xr:uid="{00000000-0005-0000-0000-0000785E0000}"/>
    <cellStyle name="Normal 3 18 9 8 2" xfId="24194" xr:uid="{00000000-0005-0000-0000-0000795E0000}"/>
    <cellStyle name="Normal 3 18 9 8 3" xfId="24195" xr:uid="{00000000-0005-0000-0000-00007A5E0000}"/>
    <cellStyle name="Normal 3 18 9 9" xfId="24196" xr:uid="{00000000-0005-0000-0000-00007B5E0000}"/>
    <cellStyle name="Normal 3 18 9 9 2" xfId="24197" xr:uid="{00000000-0005-0000-0000-00007C5E0000}"/>
    <cellStyle name="Normal 3 18 9 9 3" xfId="24198" xr:uid="{00000000-0005-0000-0000-00007D5E0000}"/>
    <cellStyle name="Normal 3 19" xfId="24199" xr:uid="{00000000-0005-0000-0000-00007E5E0000}"/>
    <cellStyle name="Normal 3 19 10" xfId="24200" xr:uid="{00000000-0005-0000-0000-00007F5E0000}"/>
    <cellStyle name="Normal 3 19 10 10" xfId="24201" xr:uid="{00000000-0005-0000-0000-0000805E0000}"/>
    <cellStyle name="Normal 3 19 10 10 2" xfId="24202" xr:uid="{00000000-0005-0000-0000-0000815E0000}"/>
    <cellStyle name="Normal 3 19 10 10 3" xfId="24203" xr:uid="{00000000-0005-0000-0000-0000825E0000}"/>
    <cellStyle name="Normal 3 19 10 11" xfId="24204" xr:uid="{00000000-0005-0000-0000-0000835E0000}"/>
    <cellStyle name="Normal 3 19 10 11 2" xfId="24205" xr:uid="{00000000-0005-0000-0000-0000845E0000}"/>
    <cellStyle name="Normal 3 19 10 11 3" xfId="24206" xr:uid="{00000000-0005-0000-0000-0000855E0000}"/>
    <cellStyle name="Normal 3 19 10 12" xfId="24207" xr:uid="{00000000-0005-0000-0000-0000865E0000}"/>
    <cellStyle name="Normal 3 19 10 12 2" xfId="24208" xr:uid="{00000000-0005-0000-0000-0000875E0000}"/>
    <cellStyle name="Normal 3 19 10 12 3" xfId="24209" xr:uid="{00000000-0005-0000-0000-0000885E0000}"/>
    <cellStyle name="Normal 3 19 10 13" xfId="24210" xr:uid="{00000000-0005-0000-0000-0000895E0000}"/>
    <cellStyle name="Normal 3 19 10 13 2" xfId="24211" xr:uid="{00000000-0005-0000-0000-00008A5E0000}"/>
    <cellStyle name="Normal 3 19 10 13 3" xfId="24212" xr:uid="{00000000-0005-0000-0000-00008B5E0000}"/>
    <cellStyle name="Normal 3 19 10 14" xfId="24213" xr:uid="{00000000-0005-0000-0000-00008C5E0000}"/>
    <cellStyle name="Normal 3 19 10 14 2" xfId="24214" xr:uid="{00000000-0005-0000-0000-00008D5E0000}"/>
    <cellStyle name="Normal 3 19 10 14 3" xfId="24215" xr:uid="{00000000-0005-0000-0000-00008E5E0000}"/>
    <cellStyle name="Normal 3 19 10 15" xfId="24216" xr:uid="{00000000-0005-0000-0000-00008F5E0000}"/>
    <cellStyle name="Normal 3 19 10 16" xfId="24217" xr:uid="{00000000-0005-0000-0000-0000905E0000}"/>
    <cellStyle name="Normal 3 19 10 2" xfId="24218" xr:uid="{00000000-0005-0000-0000-0000915E0000}"/>
    <cellStyle name="Normal 3 19 10 2 2" xfId="24219" xr:uid="{00000000-0005-0000-0000-0000925E0000}"/>
    <cellStyle name="Normal 3 19 10 2 3" xfId="24220" xr:uid="{00000000-0005-0000-0000-0000935E0000}"/>
    <cellStyle name="Normal 3 19 10 3" xfId="24221" xr:uid="{00000000-0005-0000-0000-0000945E0000}"/>
    <cellStyle name="Normal 3 19 10 3 2" xfId="24222" xr:uid="{00000000-0005-0000-0000-0000955E0000}"/>
    <cellStyle name="Normal 3 19 10 3 3" xfId="24223" xr:uid="{00000000-0005-0000-0000-0000965E0000}"/>
    <cellStyle name="Normal 3 19 10 4" xfId="24224" xr:uid="{00000000-0005-0000-0000-0000975E0000}"/>
    <cellStyle name="Normal 3 19 10 4 2" xfId="24225" xr:uid="{00000000-0005-0000-0000-0000985E0000}"/>
    <cellStyle name="Normal 3 19 10 4 3" xfId="24226" xr:uid="{00000000-0005-0000-0000-0000995E0000}"/>
    <cellStyle name="Normal 3 19 10 5" xfId="24227" xr:uid="{00000000-0005-0000-0000-00009A5E0000}"/>
    <cellStyle name="Normal 3 19 10 5 2" xfId="24228" xr:uid="{00000000-0005-0000-0000-00009B5E0000}"/>
    <cellStyle name="Normal 3 19 10 5 3" xfId="24229" xr:uid="{00000000-0005-0000-0000-00009C5E0000}"/>
    <cellStyle name="Normal 3 19 10 6" xfId="24230" xr:uid="{00000000-0005-0000-0000-00009D5E0000}"/>
    <cellStyle name="Normal 3 19 10 6 2" xfId="24231" xr:uid="{00000000-0005-0000-0000-00009E5E0000}"/>
    <cellStyle name="Normal 3 19 10 6 3" xfId="24232" xr:uid="{00000000-0005-0000-0000-00009F5E0000}"/>
    <cellStyle name="Normal 3 19 10 7" xfId="24233" xr:uid="{00000000-0005-0000-0000-0000A05E0000}"/>
    <cellStyle name="Normal 3 19 10 7 2" xfId="24234" xr:uid="{00000000-0005-0000-0000-0000A15E0000}"/>
    <cellStyle name="Normal 3 19 10 7 3" xfId="24235" xr:uid="{00000000-0005-0000-0000-0000A25E0000}"/>
    <cellStyle name="Normal 3 19 10 8" xfId="24236" xr:uid="{00000000-0005-0000-0000-0000A35E0000}"/>
    <cellStyle name="Normal 3 19 10 8 2" xfId="24237" xr:uid="{00000000-0005-0000-0000-0000A45E0000}"/>
    <cellStyle name="Normal 3 19 10 8 3" xfId="24238" xr:uid="{00000000-0005-0000-0000-0000A55E0000}"/>
    <cellStyle name="Normal 3 19 10 9" xfId="24239" xr:uid="{00000000-0005-0000-0000-0000A65E0000}"/>
    <cellStyle name="Normal 3 19 10 9 2" xfId="24240" xr:uid="{00000000-0005-0000-0000-0000A75E0000}"/>
    <cellStyle name="Normal 3 19 10 9 3" xfId="24241" xr:uid="{00000000-0005-0000-0000-0000A85E0000}"/>
    <cellStyle name="Normal 3 19 11" xfId="24242" xr:uid="{00000000-0005-0000-0000-0000A95E0000}"/>
    <cellStyle name="Normal 3 19 11 10" xfId="24243" xr:uid="{00000000-0005-0000-0000-0000AA5E0000}"/>
    <cellStyle name="Normal 3 19 11 10 2" xfId="24244" xr:uid="{00000000-0005-0000-0000-0000AB5E0000}"/>
    <cellStyle name="Normal 3 19 11 10 3" xfId="24245" xr:uid="{00000000-0005-0000-0000-0000AC5E0000}"/>
    <cellStyle name="Normal 3 19 11 11" xfId="24246" xr:uid="{00000000-0005-0000-0000-0000AD5E0000}"/>
    <cellStyle name="Normal 3 19 11 11 2" xfId="24247" xr:uid="{00000000-0005-0000-0000-0000AE5E0000}"/>
    <cellStyle name="Normal 3 19 11 11 3" xfId="24248" xr:uid="{00000000-0005-0000-0000-0000AF5E0000}"/>
    <cellStyle name="Normal 3 19 11 12" xfId="24249" xr:uid="{00000000-0005-0000-0000-0000B05E0000}"/>
    <cellStyle name="Normal 3 19 11 12 2" xfId="24250" xr:uid="{00000000-0005-0000-0000-0000B15E0000}"/>
    <cellStyle name="Normal 3 19 11 12 3" xfId="24251" xr:uid="{00000000-0005-0000-0000-0000B25E0000}"/>
    <cellStyle name="Normal 3 19 11 13" xfId="24252" xr:uid="{00000000-0005-0000-0000-0000B35E0000}"/>
    <cellStyle name="Normal 3 19 11 13 2" xfId="24253" xr:uid="{00000000-0005-0000-0000-0000B45E0000}"/>
    <cellStyle name="Normal 3 19 11 13 3" xfId="24254" xr:uid="{00000000-0005-0000-0000-0000B55E0000}"/>
    <cellStyle name="Normal 3 19 11 14" xfId="24255" xr:uid="{00000000-0005-0000-0000-0000B65E0000}"/>
    <cellStyle name="Normal 3 19 11 14 2" xfId="24256" xr:uid="{00000000-0005-0000-0000-0000B75E0000}"/>
    <cellStyle name="Normal 3 19 11 14 3" xfId="24257" xr:uid="{00000000-0005-0000-0000-0000B85E0000}"/>
    <cellStyle name="Normal 3 19 11 15" xfId="24258" xr:uid="{00000000-0005-0000-0000-0000B95E0000}"/>
    <cellStyle name="Normal 3 19 11 16" xfId="24259" xr:uid="{00000000-0005-0000-0000-0000BA5E0000}"/>
    <cellStyle name="Normal 3 19 11 2" xfId="24260" xr:uid="{00000000-0005-0000-0000-0000BB5E0000}"/>
    <cellStyle name="Normal 3 19 11 2 2" xfId="24261" xr:uid="{00000000-0005-0000-0000-0000BC5E0000}"/>
    <cellStyle name="Normal 3 19 11 2 3" xfId="24262" xr:uid="{00000000-0005-0000-0000-0000BD5E0000}"/>
    <cellStyle name="Normal 3 19 11 3" xfId="24263" xr:uid="{00000000-0005-0000-0000-0000BE5E0000}"/>
    <cellStyle name="Normal 3 19 11 3 2" xfId="24264" xr:uid="{00000000-0005-0000-0000-0000BF5E0000}"/>
    <cellStyle name="Normal 3 19 11 3 3" xfId="24265" xr:uid="{00000000-0005-0000-0000-0000C05E0000}"/>
    <cellStyle name="Normal 3 19 11 4" xfId="24266" xr:uid="{00000000-0005-0000-0000-0000C15E0000}"/>
    <cellStyle name="Normal 3 19 11 4 2" xfId="24267" xr:uid="{00000000-0005-0000-0000-0000C25E0000}"/>
    <cellStyle name="Normal 3 19 11 4 3" xfId="24268" xr:uid="{00000000-0005-0000-0000-0000C35E0000}"/>
    <cellStyle name="Normal 3 19 11 5" xfId="24269" xr:uid="{00000000-0005-0000-0000-0000C45E0000}"/>
    <cellStyle name="Normal 3 19 11 5 2" xfId="24270" xr:uid="{00000000-0005-0000-0000-0000C55E0000}"/>
    <cellStyle name="Normal 3 19 11 5 3" xfId="24271" xr:uid="{00000000-0005-0000-0000-0000C65E0000}"/>
    <cellStyle name="Normal 3 19 11 6" xfId="24272" xr:uid="{00000000-0005-0000-0000-0000C75E0000}"/>
    <cellStyle name="Normal 3 19 11 6 2" xfId="24273" xr:uid="{00000000-0005-0000-0000-0000C85E0000}"/>
    <cellStyle name="Normal 3 19 11 6 3" xfId="24274" xr:uid="{00000000-0005-0000-0000-0000C95E0000}"/>
    <cellStyle name="Normal 3 19 11 7" xfId="24275" xr:uid="{00000000-0005-0000-0000-0000CA5E0000}"/>
    <cellStyle name="Normal 3 19 11 7 2" xfId="24276" xr:uid="{00000000-0005-0000-0000-0000CB5E0000}"/>
    <cellStyle name="Normal 3 19 11 7 3" xfId="24277" xr:uid="{00000000-0005-0000-0000-0000CC5E0000}"/>
    <cellStyle name="Normal 3 19 11 8" xfId="24278" xr:uid="{00000000-0005-0000-0000-0000CD5E0000}"/>
    <cellStyle name="Normal 3 19 11 8 2" xfId="24279" xr:uid="{00000000-0005-0000-0000-0000CE5E0000}"/>
    <cellStyle name="Normal 3 19 11 8 3" xfId="24280" xr:uid="{00000000-0005-0000-0000-0000CF5E0000}"/>
    <cellStyle name="Normal 3 19 11 9" xfId="24281" xr:uid="{00000000-0005-0000-0000-0000D05E0000}"/>
    <cellStyle name="Normal 3 19 11 9 2" xfId="24282" xr:uid="{00000000-0005-0000-0000-0000D15E0000}"/>
    <cellStyle name="Normal 3 19 11 9 3" xfId="24283" xr:uid="{00000000-0005-0000-0000-0000D25E0000}"/>
    <cellStyle name="Normal 3 19 12" xfId="24284" xr:uid="{00000000-0005-0000-0000-0000D35E0000}"/>
    <cellStyle name="Normal 3 19 12 10" xfId="24285" xr:uid="{00000000-0005-0000-0000-0000D45E0000}"/>
    <cellStyle name="Normal 3 19 12 10 2" xfId="24286" xr:uid="{00000000-0005-0000-0000-0000D55E0000}"/>
    <cellStyle name="Normal 3 19 12 10 3" xfId="24287" xr:uid="{00000000-0005-0000-0000-0000D65E0000}"/>
    <cellStyle name="Normal 3 19 12 11" xfId="24288" xr:uid="{00000000-0005-0000-0000-0000D75E0000}"/>
    <cellStyle name="Normal 3 19 12 11 2" xfId="24289" xr:uid="{00000000-0005-0000-0000-0000D85E0000}"/>
    <cellStyle name="Normal 3 19 12 11 3" xfId="24290" xr:uid="{00000000-0005-0000-0000-0000D95E0000}"/>
    <cellStyle name="Normal 3 19 12 12" xfId="24291" xr:uid="{00000000-0005-0000-0000-0000DA5E0000}"/>
    <cellStyle name="Normal 3 19 12 12 2" xfId="24292" xr:uid="{00000000-0005-0000-0000-0000DB5E0000}"/>
    <cellStyle name="Normal 3 19 12 12 3" xfId="24293" xr:uid="{00000000-0005-0000-0000-0000DC5E0000}"/>
    <cellStyle name="Normal 3 19 12 13" xfId="24294" xr:uid="{00000000-0005-0000-0000-0000DD5E0000}"/>
    <cellStyle name="Normal 3 19 12 13 2" xfId="24295" xr:uid="{00000000-0005-0000-0000-0000DE5E0000}"/>
    <cellStyle name="Normal 3 19 12 13 3" xfId="24296" xr:uid="{00000000-0005-0000-0000-0000DF5E0000}"/>
    <cellStyle name="Normal 3 19 12 14" xfId="24297" xr:uid="{00000000-0005-0000-0000-0000E05E0000}"/>
    <cellStyle name="Normal 3 19 12 14 2" xfId="24298" xr:uid="{00000000-0005-0000-0000-0000E15E0000}"/>
    <cellStyle name="Normal 3 19 12 14 3" xfId="24299" xr:uid="{00000000-0005-0000-0000-0000E25E0000}"/>
    <cellStyle name="Normal 3 19 12 15" xfId="24300" xr:uid="{00000000-0005-0000-0000-0000E35E0000}"/>
    <cellStyle name="Normal 3 19 12 16" xfId="24301" xr:uid="{00000000-0005-0000-0000-0000E45E0000}"/>
    <cellStyle name="Normal 3 19 12 2" xfId="24302" xr:uid="{00000000-0005-0000-0000-0000E55E0000}"/>
    <cellStyle name="Normal 3 19 12 2 2" xfId="24303" xr:uid="{00000000-0005-0000-0000-0000E65E0000}"/>
    <cellStyle name="Normal 3 19 12 2 3" xfId="24304" xr:uid="{00000000-0005-0000-0000-0000E75E0000}"/>
    <cellStyle name="Normal 3 19 12 3" xfId="24305" xr:uid="{00000000-0005-0000-0000-0000E85E0000}"/>
    <cellStyle name="Normal 3 19 12 3 2" xfId="24306" xr:uid="{00000000-0005-0000-0000-0000E95E0000}"/>
    <cellStyle name="Normal 3 19 12 3 3" xfId="24307" xr:uid="{00000000-0005-0000-0000-0000EA5E0000}"/>
    <cellStyle name="Normal 3 19 12 4" xfId="24308" xr:uid="{00000000-0005-0000-0000-0000EB5E0000}"/>
    <cellStyle name="Normal 3 19 12 4 2" xfId="24309" xr:uid="{00000000-0005-0000-0000-0000EC5E0000}"/>
    <cellStyle name="Normal 3 19 12 4 3" xfId="24310" xr:uid="{00000000-0005-0000-0000-0000ED5E0000}"/>
    <cellStyle name="Normal 3 19 12 5" xfId="24311" xr:uid="{00000000-0005-0000-0000-0000EE5E0000}"/>
    <cellStyle name="Normal 3 19 12 5 2" xfId="24312" xr:uid="{00000000-0005-0000-0000-0000EF5E0000}"/>
    <cellStyle name="Normal 3 19 12 5 3" xfId="24313" xr:uid="{00000000-0005-0000-0000-0000F05E0000}"/>
    <cellStyle name="Normal 3 19 12 6" xfId="24314" xr:uid="{00000000-0005-0000-0000-0000F15E0000}"/>
    <cellStyle name="Normal 3 19 12 6 2" xfId="24315" xr:uid="{00000000-0005-0000-0000-0000F25E0000}"/>
    <cellStyle name="Normal 3 19 12 6 3" xfId="24316" xr:uid="{00000000-0005-0000-0000-0000F35E0000}"/>
    <cellStyle name="Normal 3 19 12 7" xfId="24317" xr:uid="{00000000-0005-0000-0000-0000F45E0000}"/>
    <cellStyle name="Normal 3 19 12 7 2" xfId="24318" xr:uid="{00000000-0005-0000-0000-0000F55E0000}"/>
    <cellStyle name="Normal 3 19 12 7 3" xfId="24319" xr:uid="{00000000-0005-0000-0000-0000F65E0000}"/>
    <cellStyle name="Normal 3 19 12 8" xfId="24320" xr:uid="{00000000-0005-0000-0000-0000F75E0000}"/>
    <cellStyle name="Normal 3 19 12 8 2" xfId="24321" xr:uid="{00000000-0005-0000-0000-0000F85E0000}"/>
    <cellStyle name="Normal 3 19 12 8 3" xfId="24322" xr:uid="{00000000-0005-0000-0000-0000F95E0000}"/>
    <cellStyle name="Normal 3 19 12 9" xfId="24323" xr:uid="{00000000-0005-0000-0000-0000FA5E0000}"/>
    <cellStyle name="Normal 3 19 12 9 2" xfId="24324" xr:uid="{00000000-0005-0000-0000-0000FB5E0000}"/>
    <cellStyle name="Normal 3 19 12 9 3" xfId="24325" xr:uid="{00000000-0005-0000-0000-0000FC5E0000}"/>
    <cellStyle name="Normal 3 19 13" xfId="24326" xr:uid="{00000000-0005-0000-0000-0000FD5E0000}"/>
    <cellStyle name="Normal 3 19 13 10" xfId="24327" xr:uid="{00000000-0005-0000-0000-0000FE5E0000}"/>
    <cellStyle name="Normal 3 19 13 10 2" xfId="24328" xr:uid="{00000000-0005-0000-0000-0000FF5E0000}"/>
    <cellStyle name="Normal 3 19 13 10 3" xfId="24329" xr:uid="{00000000-0005-0000-0000-0000005F0000}"/>
    <cellStyle name="Normal 3 19 13 11" xfId="24330" xr:uid="{00000000-0005-0000-0000-0000015F0000}"/>
    <cellStyle name="Normal 3 19 13 11 2" xfId="24331" xr:uid="{00000000-0005-0000-0000-0000025F0000}"/>
    <cellStyle name="Normal 3 19 13 11 3" xfId="24332" xr:uid="{00000000-0005-0000-0000-0000035F0000}"/>
    <cellStyle name="Normal 3 19 13 12" xfId="24333" xr:uid="{00000000-0005-0000-0000-0000045F0000}"/>
    <cellStyle name="Normal 3 19 13 12 2" xfId="24334" xr:uid="{00000000-0005-0000-0000-0000055F0000}"/>
    <cellStyle name="Normal 3 19 13 12 3" xfId="24335" xr:uid="{00000000-0005-0000-0000-0000065F0000}"/>
    <cellStyle name="Normal 3 19 13 13" xfId="24336" xr:uid="{00000000-0005-0000-0000-0000075F0000}"/>
    <cellStyle name="Normal 3 19 13 13 2" xfId="24337" xr:uid="{00000000-0005-0000-0000-0000085F0000}"/>
    <cellStyle name="Normal 3 19 13 13 3" xfId="24338" xr:uid="{00000000-0005-0000-0000-0000095F0000}"/>
    <cellStyle name="Normal 3 19 13 14" xfId="24339" xr:uid="{00000000-0005-0000-0000-00000A5F0000}"/>
    <cellStyle name="Normal 3 19 13 14 2" xfId="24340" xr:uid="{00000000-0005-0000-0000-00000B5F0000}"/>
    <cellStyle name="Normal 3 19 13 14 3" xfId="24341" xr:uid="{00000000-0005-0000-0000-00000C5F0000}"/>
    <cellStyle name="Normal 3 19 13 15" xfId="24342" xr:uid="{00000000-0005-0000-0000-00000D5F0000}"/>
    <cellStyle name="Normal 3 19 13 16" xfId="24343" xr:uid="{00000000-0005-0000-0000-00000E5F0000}"/>
    <cellStyle name="Normal 3 19 13 2" xfId="24344" xr:uid="{00000000-0005-0000-0000-00000F5F0000}"/>
    <cellStyle name="Normal 3 19 13 2 2" xfId="24345" xr:uid="{00000000-0005-0000-0000-0000105F0000}"/>
    <cellStyle name="Normal 3 19 13 2 3" xfId="24346" xr:uid="{00000000-0005-0000-0000-0000115F0000}"/>
    <cellStyle name="Normal 3 19 13 3" xfId="24347" xr:uid="{00000000-0005-0000-0000-0000125F0000}"/>
    <cellStyle name="Normal 3 19 13 3 2" xfId="24348" xr:uid="{00000000-0005-0000-0000-0000135F0000}"/>
    <cellStyle name="Normal 3 19 13 3 3" xfId="24349" xr:uid="{00000000-0005-0000-0000-0000145F0000}"/>
    <cellStyle name="Normal 3 19 13 4" xfId="24350" xr:uid="{00000000-0005-0000-0000-0000155F0000}"/>
    <cellStyle name="Normal 3 19 13 4 2" xfId="24351" xr:uid="{00000000-0005-0000-0000-0000165F0000}"/>
    <cellStyle name="Normal 3 19 13 4 3" xfId="24352" xr:uid="{00000000-0005-0000-0000-0000175F0000}"/>
    <cellStyle name="Normal 3 19 13 5" xfId="24353" xr:uid="{00000000-0005-0000-0000-0000185F0000}"/>
    <cellStyle name="Normal 3 19 13 5 2" xfId="24354" xr:uid="{00000000-0005-0000-0000-0000195F0000}"/>
    <cellStyle name="Normal 3 19 13 5 3" xfId="24355" xr:uid="{00000000-0005-0000-0000-00001A5F0000}"/>
    <cellStyle name="Normal 3 19 13 6" xfId="24356" xr:uid="{00000000-0005-0000-0000-00001B5F0000}"/>
    <cellStyle name="Normal 3 19 13 6 2" xfId="24357" xr:uid="{00000000-0005-0000-0000-00001C5F0000}"/>
    <cellStyle name="Normal 3 19 13 6 3" xfId="24358" xr:uid="{00000000-0005-0000-0000-00001D5F0000}"/>
    <cellStyle name="Normal 3 19 13 7" xfId="24359" xr:uid="{00000000-0005-0000-0000-00001E5F0000}"/>
    <cellStyle name="Normal 3 19 13 7 2" xfId="24360" xr:uid="{00000000-0005-0000-0000-00001F5F0000}"/>
    <cellStyle name="Normal 3 19 13 7 3" xfId="24361" xr:uid="{00000000-0005-0000-0000-0000205F0000}"/>
    <cellStyle name="Normal 3 19 13 8" xfId="24362" xr:uid="{00000000-0005-0000-0000-0000215F0000}"/>
    <cellStyle name="Normal 3 19 13 8 2" xfId="24363" xr:uid="{00000000-0005-0000-0000-0000225F0000}"/>
    <cellStyle name="Normal 3 19 13 8 3" xfId="24364" xr:uid="{00000000-0005-0000-0000-0000235F0000}"/>
    <cellStyle name="Normal 3 19 13 9" xfId="24365" xr:uid="{00000000-0005-0000-0000-0000245F0000}"/>
    <cellStyle name="Normal 3 19 13 9 2" xfId="24366" xr:uid="{00000000-0005-0000-0000-0000255F0000}"/>
    <cellStyle name="Normal 3 19 13 9 3" xfId="24367" xr:uid="{00000000-0005-0000-0000-0000265F0000}"/>
    <cellStyle name="Normal 3 19 14" xfId="24368" xr:uid="{00000000-0005-0000-0000-0000275F0000}"/>
    <cellStyle name="Normal 3 19 14 10" xfId="24369" xr:uid="{00000000-0005-0000-0000-0000285F0000}"/>
    <cellStyle name="Normal 3 19 14 10 2" xfId="24370" xr:uid="{00000000-0005-0000-0000-0000295F0000}"/>
    <cellStyle name="Normal 3 19 14 10 3" xfId="24371" xr:uid="{00000000-0005-0000-0000-00002A5F0000}"/>
    <cellStyle name="Normal 3 19 14 11" xfId="24372" xr:uid="{00000000-0005-0000-0000-00002B5F0000}"/>
    <cellStyle name="Normal 3 19 14 11 2" xfId="24373" xr:uid="{00000000-0005-0000-0000-00002C5F0000}"/>
    <cellStyle name="Normal 3 19 14 11 3" xfId="24374" xr:uid="{00000000-0005-0000-0000-00002D5F0000}"/>
    <cellStyle name="Normal 3 19 14 12" xfId="24375" xr:uid="{00000000-0005-0000-0000-00002E5F0000}"/>
    <cellStyle name="Normal 3 19 14 12 2" xfId="24376" xr:uid="{00000000-0005-0000-0000-00002F5F0000}"/>
    <cellStyle name="Normal 3 19 14 12 3" xfId="24377" xr:uid="{00000000-0005-0000-0000-0000305F0000}"/>
    <cellStyle name="Normal 3 19 14 13" xfId="24378" xr:uid="{00000000-0005-0000-0000-0000315F0000}"/>
    <cellStyle name="Normal 3 19 14 13 2" xfId="24379" xr:uid="{00000000-0005-0000-0000-0000325F0000}"/>
    <cellStyle name="Normal 3 19 14 13 3" xfId="24380" xr:uid="{00000000-0005-0000-0000-0000335F0000}"/>
    <cellStyle name="Normal 3 19 14 14" xfId="24381" xr:uid="{00000000-0005-0000-0000-0000345F0000}"/>
    <cellStyle name="Normal 3 19 14 14 2" xfId="24382" xr:uid="{00000000-0005-0000-0000-0000355F0000}"/>
    <cellStyle name="Normal 3 19 14 14 3" xfId="24383" xr:uid="{00000000-0005-0000-0000-0000365F0000}"/>
    <cellStyle name="Normal 3 19 14 15" xfId="24384" xr:uid="{00000000-0005-0000-0000-0000375F0000}"/>
    <cellStyle name="Normal 3 19 14 16" xfId="24385" xr:uid="{00000000-0005-0000-0000-0000385F0000}"/>
    <cellStyle name="Normal 3 19 14 2" xfId="24386" xr:uid="{00000000-0005-0000-0000-0000395F0000}"/>
    <cellStyle name="Normal 3 19 14 2 2" xfId="24387" xr:uid="{00000000-0005-0000-0000-00003A5F0000}"/>
    <cellStyle name="Normal 3 19 14 2 3" xfId="24388" xr:uid="{00000000-0005-0000-0000-00003B5F0000}"/>
    <cellStyle name="Normal 3 19 14 3" xfId="24389" xr:uid="{00000000-0005-0000-0000-00003C5F0000}"/>
    <cellStyle name="Normal 3 19 14 3 2" xfId="24390" xr:uid="{00000000-0005-0000-0000-00003D5F0000}"/>
    <cellStyle name="Normal 3 19 14 3 3" xfId="24391" xr:uid="{00000000-0005-0000-0000-00003E5F0000}"/>
    <cellStyle name="Normal 3 19 14 4" xfId="24392" xr:uid="{00000000-0005-0000-0000-00003F5F0000}"/>
    <cellStyle name="Normal 3 19 14 4 2" xfId="24393" xr:uid="{00000000-0005-0000-0000-0000405F0000}"/>
    <cellStyle name="Normal 3 19 14 4 3" xfId="24394" xr:uid="{00000000-0005-0000-0000-0000415F0000}"/>
    <cellStyle name="Normal 3 19 14 5" xfId="24395" xr:uid="{00000000-0005-0000-0000-0000425F0000}"/>
    <cellStyle name="Normal 3 19 14 5 2" xfId="24396" xr:uid="{00000000-0005-0000-0000-0000435F0000}"/>
    <cellStyle name="Normal 3 19 14 5 3" xfId="24397" xr:uid="{00000000-0005-0000-0000-0000445F0000}"/>
    <cellStyle name="Normal 3 19 14 6" xfId="24398" xr:uid="{00000000-0005-0000-0000-0000455F0000}"/>
    <cellStyle name="Normal 3 19 14 6 2" xfId="24399" xr:uid="{00000000-0005-0000-0000-0000465F0000}"/>
    <cellStyle name="Normal 3 19 14 6 3" xfId="24400" xr:uid="{00000000-0005-0000-0000-0000475F0000}"/>
    <cellStyle name="Normal 3 19 14 7" xfId="24401" xr:uid="{00000000-0005-0000-0000-0000485F0000}"/>
    <cellStyle name="Normal 3 19 14 7 2" xfId="24402" xr:uid="{00000000-0005-0000-0000-0000495F0000}"/>
    <cellStyle name="Normal 3 19 14 7 3" xfId="24403" xr:uid="{00000000-0005-0000-0000-00004A5F0000}"/>
    <cellStyle name="Normal 3 19 14 8" xfId="24404" xr:uid="{00000000-0005-0000-0000-00004B5F0000}"/>
    <cellStyle name="Normal 3 19 14 8 2" xfId="24405" xr:uid="{00000000-0005-0000-0000-00004C5F0000}"/>
    <cellStyle name="Normal 3 19 14 8 3" xfId="24406" xr:uid="{00000000-0005-0000-0000-00004D5F0000}"/>
    <cellStyle name="Normal 3 19 14 9" xfId="24407" xr:uid="{00000000-0005-0000-0000-00004E5F0000}"/>
    <cellStyle name="Normal 3 19 14 9 2" xfId="24408" xr:uid="{00000000-0005-0000-0000-00004F5F0000}"/>
    <cellStyle name="Normal 3 19 14 9 3" xfId="24409" xr:uid="{00000000-0005-0000-0000-0000505F0000}"/>
    <cellStyle name="Normal 3 19 15" xfId="24410" xr:uid="{00000000-0005-0000-0000-0000515F0000}"/>
    <cellStyle name="Normal 3 19 15 2" xfId="24411" xr:uid="{00000000-0005-0000-0000-0000525F0000}"/>
    <cellStyle name="Normal 3 19 15 3" xfId="24412" xr:uid="{00000000-0005-0000-0000-0000535F0000}"/>
    <cellStyle name="Normal 3 19 16" xfId="24413" xr:uid="{00000000-0005-0000-0000-0000545F0000}"/>
    <cellStyle name="Normal 3 19 16 2" xfId="24414" xr:uid="{00000000-0005-0000-0000-0000555F0000}"/>
    <cellStyle name="Normal 3 19 16 3" xfId="24415" xr:uid="{00000000-0005-0000-0000-0000565F0000}"/>
    <cellStyle name="Normal 3 19 17" xfId="24416" xr:uid="{00000000-0005-0000-0000-0000575F0000}"/>
    <cellStyle name="Normal 3 19 17 2" xfId="24417" xr:uid="{00000000-0005-0000-0000-0000585F0000}"/>
    <cellStyle name="Normal 3 19 17 3" xfId="24418" xr:uid="{00000000-0005-0000-0000-0000595F0000}"/>
    <cellStyle name="Normal 3 19 18" xfId="24419" xr:uid="{00000000-0005-0000-0000-00005A5F0000}"/>
    <cellStyle name="Normal 3 19 18 2" xfId="24420" xr:uid="{00000000-0005-0000-0000-00005B5F0000}"/>
    <cellStyle name="Normal 3 19 18 3" xfId="24421" xr:uid="{00000000-0005-0000-0000-00005C5F0000}"/>
    <cellStyle name="Normal 3 19 19" xfId="24422" xr:uid="{00000000-0005-0000-0000-00005D5F0000}"/>
    <cellStyle name="Normal 3 19 19 2" xfId="24423" xr:uid="{00000000-0005-0000-0000-00005E5F0000}"/>
    <cellStyle name="Normal 3 19 19 3" xfId="24424" xr:uid="{00000000-0005-0000-0000-00005F5F0000}"/>
    <cellStyle name="Normal 3 19 2" xfId="24425" xr:uid="{00000000-0005-0000-0000-0000605F0000}"/>
    <cellStyle name="Normal 3 19 20" xfId="24426" xr:uid="{00000000-0005-0000-0000-0000615F0000}"/>
    <cellStyle name="Normal 3 19 20 2" xfId="24427" xr:uid="{00000000-0005-0000-0000-0000625F0000}"/>
    <cellStyle name="Normal 3 19 20 3" xfId="24428" xr:uid="{00000000-0005-0000-0000-0000635F0000}"/>
    <cellStyle name="Normal 3 19 21" xfId="24429" xr:uid="{00000000-0005-0000-0000-0000645F0000}"/>
    <cellStyle name="Normal 3 19 21 2" xfId="24430" xr:uid="{00000000-0005-0000-0000-0000655F0000}"/>
    <cellStyle name="Normal 3 19 21 3" xfId="24431" xr:uid="{00000000-0005-0000-0000-0000665F0000}"/>
    <cellStyle name="Normal 3 19 22" xfId="24432" xr:uid="{00000000-0005-0000-0000-0000675F0000}"/>
    <cellStyle name="Normal 3 19 22 2" xfId="24433" xr:uid="{00000000-0005-0000-0000-0000685F0000}"/>
    <cellStyle name="Normal 3 19 22 3" xfId="24434" xr:uid="{00000000-0005-0000-0000-0000695F0000}"/>
    <cellStyle name="Normal 3 19 23" xfId="24435" xr:uid="{00000000-0005-0000-0000-00006A5F0000}"/>
    <cellStyle name="Normal 3 19 23 2" xfId="24436" xr:uid="{00000000-0005-0000-0000-00006B5F0000}"/>
    <cellStyle name="Normal 3 19 23 3" xfId="24437" xr:uid="{00000000-0005-0000-0000-00006C5F0000}"/>
    <cellStyle name="Normal 3 19 24" xfId="24438" xr:uid="{00000000-0005-0000-0000-00006D5F0000}"/>
    <cellStyle name="Normal 3 19 24 2" xfId="24439" xr:uid="{00000000-0005-0000-0000-00006E5F0000}"/>
    <cellStyle name="Normal 3 19 24 3" xfId="24440" xr:uid="{00000000-0005-0000-0000-00006F5F0000}"/>
    <cellStyle name="Normal 3 19 25" xfId="24441" xr:uid="{00000000-0005-0000-0000-0000705F0000}"/>
    <cellStyle name="Normal 3 19 25 2" xfId="24442" xr:uid="{00000000-0005-0000-0000-0000715F0000}"/>
    <cellStyle name="Normal 3 19 25 3" xfId="24443" xr:uid="{00000000-0005-0000-0000-0000725F0000}"/>
    <cellStyle name="Normal 3 19 26" xfId="24444" xr:uid="{00000000-0005-0000-0000-0000735F0000}"/>
    <cellStyle name="Normal 3 19 26 2" xfId="24445" xr:uid="{00000000-0005-0000-0000-0000745F0000}"/>
    <cellStyle name="Normal 3 19 26 3" xfId="24446" xr:uid="{00000000-0005-0000-0000-0000755F0000}"/>
    <cellStyle name="Normal 3 19 27" xfId="24447" xr:uid="{00000000-0005-0000-0000-0000765F0000}"/>
    <cellStyle name="Normal 3 19 27 2" xfId="24448" xr:uid="{00000000-0005-0000-0000-0000775F0000}"/>
    <cellStyle name="Normal 3 19 27 3" xfId="24449" xr:uid="{00000000-0005-0000-0000-0000785F0000}"/>
    <cellStyle name="Normal 3 19 28" xfId="24450" xr:uid="{00000000-0005-0000-0000-0000795F0000}"/>
    <cellStyle name="Normal 3 19 29" xfId="24451" xr:uid="{00000000-0005-0000-0000-00007A5F0000}"/>
    <cellStyle name="Normal 3 19 3" xfId="24452" xr:uid="{00000000-0005-0000-0000-00007B5F0000}"/>
    <cellStyle name="Normal 3 19 4" xfId="24453" xr:uid="{00000000-0005-0000-0000-00007C5F0000}"/>
    <cellStyle name="Normal 3 19 5" xfId="24454" xr:uid="{00000000-0005-0000-0000-00007D5F0000}"/>
    <cellStyle name="Normal 3 19 6" xfId="24455" xr:uid="{00000000-0005-0000-0000-00007E5F0000}"/>
    <cellStyle name="Normal 3 19 6 10" xfId="24456" xr:uid="{00000000-0005-0000-0000-00007F5F0000}"/>
    <cellStyle name="Normal 3 19 6 10 2" xfId="24457" xr:uid="{00000000-0005-0000-0000-0000805F0000}"/>
    <cellStyle name="Normal 3 19 6 10 3" xfId="24458" xr:uid="{00000000-0005-0000-0000-0000815F0000}"/>
    <cellStyle name="Normal 3 19 6 11" xfId="24459" xr:uid="{00000000-0005-0000-0000-0000825F0000}"/>
    <cellStyle name="Normal 3 19 6 11 2" xfId="24460" xr:uid="{00000000-0005-0000-0000-0000835F0000}"/>
    <cellStyle name="Normal 3 19 6 11 3" xfId="24461" xr:uid="{00000000-0005-0000-0000-0000845F0000}"/>
    <cellStyle name="Normal 3 19 6 12" xfId="24462" xr:uid="{00000000-0005-0000-0000-0000855F0000}"/>
    <cellStyle name="Normal 3 19 6 12 2" xfId="24463" xr:uid="{00000000-0005-0000-0000-0000865F0000}"/>
    <cellStyle name="Normal 3 19 6 12 3" xfId="24464" xr:uid="{00000000-0005-0000-0000-0000875F0000}"/>
    <cellStyle name="Normal 3 19 6 13" xfId="24465" xr:uid="{00000000-0005-0000-0000-0000885F0000}"/>
    <cellStyle name="Normal 3 19 6 13 2" xfId="24466" xr:uid="{00000000-0005-0000-0000-0000895F0000}"/>
    <cellStyle name="Normal 3 19 6 13 3" xfId="24467" xr:uid="{00000000-0005-0000-0000-00008A5F0000}"/>
    <cellStyle name="Normal 3 19 6 14" xfId="24468" xr:uid="{00000000-0005-0000-0000-00008B5F0000}"/>
    <cellStyle name="Normal 3 19 6 14 2" xfId="24469" xr:uid="{00000000-0005-0000-0000-00008C5F0000}"/>
    <cellStyle name="Normal 3 19 6 14 3" xfId="24470" xr:uid="{00000000-0005-0000-0000-00008D5F0000}"/>
    <cellStyle name="Normal 3 19 6 15" xfId="24471" xr:uid="{00000000-0005-0000-0000-00008E5F0000}"/>
    <cellStyle name="Normal 3 19 6 15 2" xfId="24472" xr:uid="{00000000-0005-0000-0000-00008F5F0000}"/>
    <cellStyle name="Normal 3 19 6 15 3" xfId="24473" xr:uid="{00000000-0005-0000-0000-0000905F0000}"/>
    <cellStyle name="Normal 3 19 6 16" xfId="24474" xr:uid="{00000000-0005-0000-0000-0000915F0000}"/>
    <cellStyle name="Normal 3 19 6 17" xfId="24475" xr:uid="{00000000-0005-0000-0000-0000925F0000}"/>
    <cellStyle name="Normal 3 19 6 2" xfId="24476" xr:uid="{00000000-0005-0000-0000-0000935F0000}"/>
    <cellStyle name="Normal 3 19 6 2 10" xfId="24477" xr:uid="{00000000-0005-0000-0000-0000945F0000}"/>
    <cellStyle name="Normal 3 19 6 2 10 2" xfId="24478" xr:uid="{00000000-0005-0000-0000-0000955F0000}"/>
    <cellStyle name="Normal 3 19 6 2 10 3" xfId="24479" xr:uid="{00000000-0005-0000-0000-0000965F0000}"/>
    <cellStyle name="Normal 3 19 6 2 11" xfId="24480" xr:uid="{00000000-0005-0000-0000-0000975F0000}"/>
    <cellStyle name="Normal 3 19 6 2 11 2" xfId="24481" xr:uid="{00000000-0005-0000-0000-0000985F0000}"/>
    <cellStyle name="Normal 3 19 6 2 11 3" xfId="24482" xr:uid="{00000000-0005-0000-0000-0000995F0000}"/>
    <cellStyle name="Normal 3 19 6 2 12" xfId="24483" xr:uid="{00000000-0005-0000-0000-00009A5F0000}"/>
    <cellStyle name="Normal 3 19 6 2 12 2" xfId="24484" xr:uid="{00000000-0005-0000-0000-00009B5F0000}"/>
    <cellStyle name="Normal 3 19 6 2 12 3" xfId="24485" xr:uid="{00000000-0005-0000-0000-00009C5F0000}"/>
    <cellStyle name="Normal 3 19 6 2 13" xfId="24486" xr:uid="{00000000-0005-0000-0000-00009D5F0000}"/>
    <cellStyle name="Normal 3 19 6 2 13 2" xfId="24487" xr:uid="{00000000-0005-0000-0000-00009E5F0000}"/>
    <cellStyle name="Normal 3 19 6 2 13 3" xfId="24488" xr:uid="{00000000-0005-0000-0000-00009F5F0000}"/>
    <cellStyle name="Normal 3 19 6 2 14" xfId="24489" xr:uid="{00000000-0005-0000-0000-0000A05F0000}"/>
    <cellStyle name="Normal 3 19 6 2 14 2" xfId="24490" xr:uid="{00000000-0005-0000-0000-0000A15F0000}"/>
    <cellStyle name="Normal 3 19 6 2 14 3" xfId="24491" xr:uid="{00000000-0005-0000-0000-0000A25F0000}"/>
    <cellStyle name="Normal 3 19 6 2 15" xfId="24492" xr:uid="{00000000-0005-0000-0000-0000A35F0000}"/>
    <cellStyle name="Normal 3 19 6 2 16" xfId="24493" xr:uid="{00000000-0005-0000-0000-0000A45F0000}"/>
    <cellStyle name="Normal 3 19 6 2 2" xfId="24494" xr:uid="{00000000-0005-0000-0000-0000A55F0000}"/>
    <cellStyle name="Normal 3 19 6 2 2 2" xfId="24495" xr:uid="{00000000-0005-0000-0000-0000A65F0000}"/>
    <cellStyle name="Normal 3 19 6 2 2 3" xfId="24496" xr:uid="{00000000-0005-0000-0000-0000A75F0000}"/>
    <cellStyle name="Normal 3 19 6 2 3" xfId="24497" xr:uid="{00000000-0005-0000-0000-0000A85F0000}"/>
    <cellStyle name="Normal 3 19 6 2 3 2" xfId="24498" xr:uid="{00000000-0005-0000-0000-0000A95F0000}"/>
    <cellStyle name="Normal 3 19 6 2 3 3" xfId="24499" xr:uid="{00000000-0005-0000-0000-0000AA5F0000}"/>
    <cellStyle name="Normal 3 19 6 2 4" xfId="24500" xr:uid="{00000000-0005-0000-0000-0000AB5F0000}"/>
    <cellStyle name="Normal 3 19 6 2 4 2" xfId="24501" xr:uid="{00000000-0005-0000-0000-0000AC5F0000}"/>
    <cellStyle name="Normal 3 19 6 2 4 3" xfId="24502" xr:uid="{00000000-0005-0000-0000-0000AD5F0000}"/>
    <cellStyle name="Normal 3 19 6 2 5" xfId="24503" xr:uid="{00000000-0005-0000-0000-0000AE5F0000}"/>
    <cellStyle name="Normal 3 19 6 2 5 2" xfId="24504" xr:uid="{00000000-0005-0000-0000-0000AF5F0000}"/>
    <cellStyle name="Normal 3 19 6 2 5 3" xfId="24505" xr:uid="{00000000-0005-0000-0000-0000B05F0000}"/>
    <cellStyle name="Normal 3 19 6 2 6" xfId="24506" xr:uid="{00000000-0005-0000-0000-0000B15F0000}"/>
    <cellStyle name="Normal 3 19 6 2 6 2" xfId="24507" xr:uid="{00000000-0005-0000-0000-0000B25F0000}"/>
    <cellStyle name="Normal 3 19 6 2 6 3" xfId="24508" xr:uid="{00000000-0005-0000-0000-0000B35F0000}"/>
    <cellStyle name="Normal 3 19 6 2 7" xfId="24509" xr:uid="{00000000-0005-0000-0000-0000B45F0000}"/>
    <cellStyle name="Normal 3 19 6 2 7 2" xfId="24510" xr:uid="{00000000-0005-0000-0000-0000B55F0000}"/>
    <cellStyle name="Normal 3 19 6 2 7 3" xfId="24511" xr:uid="{00000000-0005-0000-0000-0000B65F0000}"/>
    <cellStyle name="Normal 3 19 6 2 8" xfId="24512" xr:uid="{00000000-0005-0000-0000-0000B75F0000}"/>
    <cellStyle name="Normal 3 19 6 2 8 2" xfId="24513" xr:uid="{00000000-0005-0000-0000-0000B85F0000}"/>
    <cellStyle name="Normal 3 19 6 2 8 3" xfId="24514" xr:uid="{00000000-0005-0000-0000-0000B95F0000}"/>
    <cellStyle name="Normal 3 19 6 2 9" xfId="24515" xr:uid="{00000000-0005-0000-0000-0000BA5F0000}"/>
    <cellStyle name="Normal 3 19 6 2 9 2" xfId="24516" xr:uid="{00000000-0005-0000-0000-0000BB5F0000}"/>
    <cellStyle name="Normal 3 19 6 2 9 3" xfId="24517" xr:uid="{00000000-0005-0000-0000-0000BC5F0000}"/>
    <cellStyle name="Normal 3 19 6 3" xfId="24518" xr:uid="{00000000-0005-0000-0000-0000BD5F0000}"/>
    <cellStyle name="Normal 3 19 6 3 2" xfId="24519" xr:uid="{00000000-0005-0000-0000-0000BE5F0000}"/>
    <cellStyle name="Normal 3 19 6 3 3" xfId="24520" xr:uid="{00000000-0005-0000-0000-0000BF5F0000}"/>
    <cellStyle name="Normal 3 19 6 4" xfId="24521" xr:uid="{00000000-0005-0000-0000-0000C05F0000}"/>
    <cellStyle name="Normal 3 19 6 4 2" xfId="24522" xr:uid="{00000000-0005-0000-0000-0000C15F0000}"/>
    <cellStyle name="Normal 3 19 6 4 3" xfId="24523" xr:uid="{00000000-0005-0000-0000-0000C25F0000}"/>
    <cellStyle name="Normal 3 19 6 5" xfId="24524" xr:uid="{00000000-0005-0000-0000-0000C35F0000}"/>
    <cellStyle name="Normal 3 19 6 5 2" xfId="24525" xr:uid="{00000000-0005-0000-0000-0000C45F0000}"/>
    <cellStyle name="Normal 3 19 6 5 3" xfId="24526" xr:uid="{00000000-0005-0000-0000-0000C55F0000}"/>
    <cellStyle name="Normal 3 19 6 6" xfId="24527" xr:uid="{00000000-0005-0000-0000-0000C65F0000}"/>
    <cellStyle name="Normal 3 19 6 6 2" xfId="24528" xr:uid="{00000000-0005-0000-0000-0000C75F0000}"/>
    <cellStyle name="Normal 3 19 6 6 3" xfId="24529" xr:uid="{00000000-0005-0000-0000-0000C85F0000}"/>
    <cellStyle name="Normal 3 19 6 7" xfId="24530" xr:uid="{00000000-0005-0000-0000-0000C95F0000}"/>
    <cellStyle name="Normal 3 19 6 7 2" xfId="24531" xr:uid="{00000000-0005-0000-0000-0000CA5F0000}"/>
    <cellStyle name="Normal 3 19 6 7 3" xfId="24532" xr:uid="{00000000-0005-0000-0000-0000CB5F0000}"/>
    <cellStyle name="Normal 3 19 6 8" xfId="24533" xr:uid="{00000000-0005-0000-0000-0000CC5F0000}"/>
    <cellStyle name="Normal 3 19 6 8 2" xfId="24534" xr:uid="{00000000-0005-0000-0000-0000CD5F0000}"/>
    <cellStyle name="Normal 3 19 6 8 3" xfId="24535" xr:uid="{00000000-0005-0000-0000-0000CE5F0000}"/>
    <cellStyle name="Normal 3 19 6 9" xfId="24536" xr:uid="{00000000-0005-0000-0000-0000CF5F0000}"/>
    <cellStyle name="Normal 3 19 6 9 2" xfId="24537" xr:uid="{00000000-0005-0000-0000-0000D05F0000}"/>
    <cellStyle name="Normal 3 19 6 9 3" xfId="24538" xr:uid="{00000000-0005-0000-0000-0000D15F0000}"/>
    <cellStyle name="Normal 3 19 7" xfId="24539" xr:uid="{00000000-0005-0000-0000-0000D25F0000}"/>
    <cellStyle name="Normal 3 19 7 10" xfId="24540" xr:uid="{00000000-0005-0000-0000-0000D35F0000}"/>
    <cellStyle name="Normal 3 19 7 10 2" xfId="24541" xr:uid="{00000000-0005-0000-0000-0000D45F0000}"/>
    <cellStyle name="Normal 3 19 7 10 3" xfId="24542" xr:uid="{00000000-0005-0000-0000-0000D55F0000}"/>
    <cellStyle name="Normal 3 19 7 11" xfId="24543" xr:uid="{00000000-0005-0000-0000-0000D65F0000}"/>
    <cellStyle name="Normal 3 19 7 11 2" xfId="24544" xr:uid="{00000000-0005-0000-0000-0000D75F0000}"/>
    <cellStyle name="Normal 3 19 7 11 3" xfId="24545" xr:uid="{00000000-0005-0000-0000-0000D85F0000}"/>
    <cellStyle name="Normal 3 19 7 12" xfId="24546" xr:uid="{00000000-0005-0000-0000-0000D95F0000}"/>
    <cellStyle name="Normal 3 19 7 12 2" xfId="24547" xr:uid="{00000000-0005-0000-0000-0000DA5F0000}"/>
    <cellStyle name="Normal 3 19 7 12 3" xfId="24548" xr:uid="{00000000-0005-0000-0000-0000DB5F0000}"/>
    <cellStyle name="Normal 3 19 7 13" xfId="24549" xr:uid="{00000000-0005-0000-0000-0000DC5F0000}"/>
    <cellStyle name="Normal 3 19 7 13 2" xfId="24550" xr:uid="{00000000-0005-0000-0000-0000DD5F0000}"/>
    <cellStyle name="Normal 3 19 7 13 3" xfId="24551" xr:uid="{00000000-0005-0000-0000-0000DE5F0000}"/>
    <cellStyle name="Normal 3 19 7 14" xfId="24552" xr:uid="{00000000-0005-0000-0000-0000DF5F0000}"/>
    <cellStyle name="Normal 3 19 7 14 2" xfId="24553" xr:uid="{00000000-0005-0000-0000-0000E05F0000}"/>
    <cellStyle name="Normal 3 19 7 14 3" xfId="24554" xr:uid="{00000000-0005-0000-0000-0000E15F0000}"/>
    <cellStyle name="Normal 3 19 7 15" xfId="24555" xr:uid="{00000000-0005-0000-0000-0000E25F0000}"/>
    <cellStyle name="Normal 3 19 7 15 2" xfId="24556" xr:uid="{00000000-0005-0000-0000-0000E35F0000}"/>
    <cellStyle name="Normal 3 19 7 15 3" xfId="24557" xr:uid="{00000000-0005-0000-0000-0000E45F0000}"/>
    <cellStyle name="Normal 3 19 7 16" xfId="24558" xr:uid="{00000000-0005-0000-0000-0000E55F0000}"/>
    <cellStyle name="Normal 3 19 7 17" xfId="24559" xr:uid="{00000000-0005-0000-0000-0000E65F0000}"/>
    <cellStyle name="Normal 3 19 7 2" xfId="24560" xr:uid="{00000000-0005-0000-0000-0000E75F0000}"/>
    <cellStyle name="Normal 3 19 7 2 10" xfId="24561" xr:uid="{00000000-0005-0000-0000-0000E85F0000}"/>
    <cellStyle name="Normal 3 19 7 2 10 2" xfId="24562" xr:uid="{00000000-0005-0000-0000-0000E95F0000}"/>
    <cellStyle name="Normal 3 19 7 2 10 3" xfId="24563" xr:uid="{00000000-0005-0000-0000-0000EA5F0000}"/>
    <cellStyle name="Normal 3 19 7 2 11" xfId="24564" xr:uid="{00000000-0005-0000-0000-0000EB5F0000}"/>
    <cellStyle name="Normal 3 19 7 2 11 2" xfId="24565" xr:uid="{00000000-0005-0000-0000-0000EC5F0000}"/>
    <cellStyle name="Normal 3 19 7 2 11 3" xfId="24566" xr:uid="{00000000-0005-0000-0000-0000ED5F0000}"/>
    <cellStyle name="Normal 3 19 7 2 12" xfId="24567" xr:uid="{00000000-0005-0000-0000-0000EE5F0000}"/>
    <cellStyle name="Normal 3 19 7 2 12 2" xfId="24568" xr:uid="{00000000-0005-0000-0000-0000EF5F0000}"/>
    <cellStyle name="Normal 3 19 7 2 12 3" xfId="24569" xr:uid="{00000000-0005-0000-0000-0000F05F0000}"/>
    <cellStyle name="Normal 3 19 7 2 13" xfId="24570" xr:uid="{00000000-0005-0000-0000-0000F15F0000}"/>
    <cellStyle name="Normal 3 19 7 2 13 2" xfId="24571" xr:uid="{00000000-0005-0000-0000-0000F25F0000}"/>
    <cellStyle name="Normal 3 19 7 2 13 3" xfId="24572" xr:uid="{00000000-0005-0000-0000-0000F35F0000}"/>
    <cellStyle name="Normal 3 19 7 2 14" xfId="24573" xr:uid="{00000000-0005-0000-0000-0000F45F0000}"/>
    <cellStyle name="Normal 3 19 7 2 14 2" xfId="24574" xr:uid="{00000000-0005-0000-0000-0000F55F0000}"/>
    <cellStyle name="Normal 3 19 7 2 14 3" xfId="24575" xr:uid="{00000000-0005-0000-0000-0000F65F0000}"/>
    <cellStyle name="Normal 3 19 7 2 15" xfId="24576" xr:uid="{00000000-0005-0000-0000-0000F75F0000}"/>
    <cellStyle name="Normal 3 19 7 2 16" xfId="24577" xr:uid="{00000000-0005-0000-0000-0000F85F0000}"/>
    <cellStyle name="Normal 3 19 7 2 2" xfId="24578" xr:uid="{00000000-0005-0000-0000-0000F95F0000}"/>
    <cellStyle name="Normal 3 19 7 2 2 2" xfId="24579" xr:uid="{00000000-0005-0000-0000-0000FA5F0000}"/>
    <cellStyle name="Normal 3 19 7 2 2 3" xfId="24580" xr:uid="{00000000-0005-0000-0000-0000FB5F0000}"/>
    <cellStyle name="Normal 3 19 7 2 3" xfId="24581" xr:uid="{00000000-0005-0000-0000-0000FC5F0000}"/>
    <cellStyle name="Normal 3 19 7 2 3 2" xfId="24582" xr:uid="{00000000-0005-0000-0000-0000FD5F0000}"/>
    <cellStyle name="Normal 3 19 7 2 3 3" xfId="24583" xr:uid="{00000000-0005-0000-0000-0000FE5F0000}"/>
    <cellStyle name="Normal 3 19 7 2 4" xfId="24584" xr:uid="{00000000-0005-0000-0000-0000FF5F0000}"/>
    <cellStyle name="Normal 3 19 7 2 4 2" xfId="24585" xr:uid="{00000000-0005-0000-0000-000000600000}"/>
    <cellStyle name="Normal 3 19 7 2 4 3" xfId="24586" xr:uid="{00000000-0005-0000-0000-000001600000}"/>
    <cellStyle name="Normal 3 19 7 2 5" xfId="24587" xr:uid="{00000000-0005-0000-0000-000002600000}"/>
    <cellStyle name="Normal 3 19 7 2 5 2" xfId="24588" xr:uid="{00000000-0005-0000-0000-000003600000}"/>
    <cellStyle name="Normal 3 19 7 2 5 3" xfId="24589" xr:uid="{00000000-0005-0000-0000-000004600000}"/>
    <cellStyle name="Normal 3 19 7 2 6" xfId="24590" xr:uid="{00000000-0005-0000-0000-000005600000}"/>
    <cellStyle name="Normal 3 19 7 2 6 2" xfId="24591" xr:uid="{00000000-0005-0000-0000-000006600000}"/>
    <cellStyle name="Normal 3 19 7 2 6 3" xfId="24592" xr:uid="{00000000-0005-0000-0000-000007600000}"/>
    <cellStyle name="Normal 3 19 7 2 7" xfId="24593" xr:uid="{00000000-0005-0000-0000-000008600000}"/>
    <cellStyle name="Normal 3 19 7 2 7 2" xfId="24594" xr:uid="{00000000-0005-0000-0000-000009600000}"/>
    <cellStyle name="Normal 3 19 7 2 7 3" xfId="24595" xr:uid="{00000000-0005-0000-0000-00000A600000}"/>
    <cellStyle name="Normal 3 19 7 2 8" xfId="24596" xr:uid="{00000000-0005-0000-0000-00000B600000}"/>
    <cellStyle name="Normal 3 19 7 2 8 2" xfId="24597" xr:uid="{00000000-0005-0000-0000-00000C600000}"/>
    <cellStyle name="Normal 3 19 7 2 8 3" xfId="24598" xr:uid="{00000000-0005-0000-0000-00000D600000}"/>
    <cellStyle name="Normal 3 19 7 2 9" xfId="24599" xr:uid="{00000000-0005-0000-0000-00000E600000}"/>
    <cellStyle name="Normal 3 19 7 2 9 2" xfId="24600" xr:uid="{00000000-0005-0000-0000-00000F600000}"/>
    <cellStyle name="Normal 3 19 7 2 9 3" xfId="24601" xr:uid="{00000000-0005-0000-0000-000010600000}"/>
    <cellStyle name="Normal 3 19 7 3" xfId="24602" xr:uid="{00000000-0005-0000-0000-000011600000}"/>
    <cellStyle name="Normal 3 19 7 3 2" xfId="24603" xr:uid="{00000000-0005-0000-0000-000012600000}"/>
    <cellStyle name="Normal 3 19 7 3 3" xfId="24604" xr:uid="{00000000-0005-0000-0000-000013600000}"/>
    <cellStyle name="Normal 3 19 7 4" xfId="24605" xr:uid="{00000000-0005-0000-0000-000014600000}"/>
    <cellStyle name="Normal 3 19 7 4 2" xfId="24606" xr:uid="{00000000-0005-0000-0000-000015600000}"/>
    <cellStyle name="Normal 3 19 7 4 3" xfId="24607" xr:uid="{00000000-0005-0000-0000-000016600000}"/>
    <cellStyle name="Normal 3 19 7 5" xfId="24608" xr:uid="{00000000-0005-0000-0000-000017600000}"/>
    <cellStyle name="Normal 3 19 7 5 2" xfId="24609" xr:uid="{00000000-0005-0000-0000-000018600000}"/>
    <cellStyle name="Normal 3 19 7 5 3" xfId="24610" xr:uid="{00000000-0005-0000-0000-000019600000}"/>
    <cellStyle name="Normal 3 19 7 6" xfId="24611" xr:uid="{00000000-0005-0000-0000-00001A600000}"/>
    <cellStyle name="Normal 3 19 7 6 2" xfId="24612" xr:uid="{00000000-0005-0000-0000-00001B600000}"/>
    <cellStyle name="Normal 3 19 7 6 3" xfId="24613" xr:uid="{00000000-0005-0000-0000-00001C600000}"/>
    <cellStyle name="Normal 3 19 7 7" xfId="24614" xr:uid="{00000000-0005-0000-0000-00001D600000}"/>
    <cellStyle name="Normal 3 19 7 7 2" xfId="24615" xr:uid="{00000000-0005-0000-0000-00001E600000}"/>
    <cellStyle name="Normal 3 19 7 7 3" xfId="24616" xr:uid="{00000000-0005-0000-0000-00001F600000}"/>
    <cellStyle name="Normal 3 19 7 8" xfId="24617" xr:uid="{00000000-0005-0000-0000-000020600000}"/>
    <cellStyle name="Normal 3 19 7 8 2" xfId="24618" xr:uid="{00000000-0005-0000-0000-000021600000}"/>
    <cellStyle name="Normal 3 19 7 8 3" xfId="24619" xr:uid="{00000000-0005-0000-0000-000022600000}"/>
    <cellStyle name="Normal 3 19 7 9" xfId="24620" xr:uid="{00000000-0005-0000-0000-000023600000}"/>
    <cellStyle name="Normal 3 19 7 9 2" xfId="24621" xr:uid="{00000000-0005-0000-0000-000024600000}"/>
    <cellStyle name="Normal 3 19 7 9 3" xfId="24622" xr:uid="{00000000-0005-0000-0000-000025600000}"/>
    <cellStyle name="Normal 3 19 8" xfId="24623" xr:uid="{00000000-0005-0000-0000-000026600000}"/>
    <cellStyle name="Normal 3 19 8 10" xfId="24624" xr:uid="{00000000-0005-0000-0000-000027600000}"/>
    <cellStyle name="Normal 3 19 8 10 2" xfId="24625" xr:uid="{00000000-0005-0000-0000-000028600000}"/>
    <cellStyle name="Normal 3 19 8 10 3" xfId="24626" xr:uid="{00000000-0005-0000-0000-000029600000}"/>
    <cellStyle name="Normal 3 19 8 11" xfId="24627" xr:uid="{00000000-0005-0000-0000-00002A600000}"/>
    <cellStyle name="Normal 3 19 8 11 2" xfId="24628" xr:uid="{00000000-0005-0000-0000-00002B600000}"/>
    <cellStyle name="Normal 3 19 8 11 3" xfId="24629" xr:uid="{00000000-0005-0000-0000-00002C600000}"/>
    <cellStyle name="Normal 3 19 8 12" xfId="24630" xr:uid="{00000000-0005-0000-0000-00002D600000}"/>
    <cellStyle name="Normal 3 19 8 12 2" xfId="24631" xr:uid="{00000000-0005-0000-0000-00002E600000}"/>
    <cellStyle name="Normal 3 19 8 12 3" xfId="24632" xr:uid="{00000000-0005-0000-0000-00002F600000}"/>
    <cellStyle name="Normal 3 19 8 13" xfId="24633" xr:uid="{00000000-0005-0000-0000-000030600000}"/>
    <cellStyle name="Normal 3 19 8 13 2" xfId="24634" xr:uid="{00000000-0005-0000-0000-000031600000}"/>
    <cellStyle name="Normal 3 19 8 13 3" xfId="24635" xr:uid="{00000000-0005-0000-0000-000032600000}"/>
    <cellStyle name="Normal 3 19 8 14" xfId="24636" xr:uid="{00000000-0005-0000-0000-000033600000}"/>
    <cellStyle name="Normal 3 19 8 14 2" xfId="24637" xr:uid="{00000000-0005-0000-0000-000034600000}"/>
    <cellStyle name="Normal 3 19 8 14 3" xfId="24638" xr:uid="{00000000-0005-0000-0000-000035600000}"/>
    <cellStyle name="Normal 3 19 8 15" xfId="24639" xr:uid="{00000000-0005-0000-0000-000036600000}"/>
    <cellStyle name="Normal 3 19 8 15 2" xfId="24640" xr:uid="{00000000-0005-0000-0000-000037600000}"/>
    <cellStyle name="Normal 3 19 8 15 3" xfId="24641" xr:uid="{00000000-0005-0000-0000-000038600000}"/>
    <cellStyle name="Normal 3 19 8 16" xfId="24642" xr:uid="{00000000-0005-0000-0000-000039600000}"/>
    <cellStyle name="Normal 3 19 8 17" xfId="24643" xr:uid="{00000000-0005-0000-0000-00003A600000}"/>
    <cellStyle name="Normal 3 19 8 2" xfId="24644" xr:uid="{00000000-0005-0000-0000-00003B600000}"/>
    <cellStyle name="Normal 3 19 8 2 10" xfId="24645" xr:uid="{00000000-0005-0000-0000-00003C600000}"/>
    <cellStyle name="Normal 3 19 8 2 10 2" xfId="24646" xr:uid="{00000000-0005-0000-0000-00003D600000}"/>
    <cellStyle name="Normal 3 19 8 2 10 3" xfId="24647" xr:uid="{00000000-0005-0000-0000-00003E600000}"/>
    <cellStyle name="Normal 3 19 8 2 11" xfId="24648" xr:uid="{00000000-0005-0000-0000-00003F600000}"/>
    <cellStyle name="Normal 3 19 8 2 11 2" xfId="24649" xr:uid="{00000000-0005-0000-0000-000040600000}"/>
    <cellStyle name="Normal 3 19 8 2 11 3" xfId="24650" xr:uid="{00000000-0005-0000-0000-000041600000}"/>
    <cellStyle name="Normal 3 19 8 2 12" xfId="24651" xr:uid="{00000000-0005-0000-0000-000042600000}"/>
    <cellStyle name="Normal 3 19 8 2 12 2" xfId="24652" xr:uid="{00000000-0005-0000-0000-000043600000}"/>
    <cellStyle name="Normal 3 19 8 2 12 3" xfId="24653" xr:uid="{00000000-0005-0000-0000-000044600000}"/>
    <cellStyle name="Normal 3 19 8 2 13" xfId="24654" xr:uid="{00000000-0005-0000-0000-000045600000}"/>
    <cellStyle name="Normal 3 19 8 2 13 2" xfId="24655" xr:uid="{00000000-0005-0000-0000-000046600000}"/>
    <cellStyle name="Normal 3 19 8 2 13 3" xfId="24656" xr:uid="{00000000-0005-0000-0000-000047600000}"/>
    <cellStyle name="Normal 3 19 8 2 14" xfId="24657" xr:uid="{00000000-0005-0000-0000-000048600000}"/>
    <cellStyle name="Normal 3 19 8 2 14 2" xfId="24658" xr:uid="{00000000-0005-0000-0000-000049600000}"/>
    <cellStyle name="Normal 3 19 8 2 14 3" xfId="24659" xr:uid="{00000000-0005-0000-0000-00004A600000}"/>
    <cellStyle name="Normal 3 19 8 2 15" xfId="24660" xr:uid="{00000000-0005-0000-0000-00004B600000}"/>
    <cellStyle name="Normal 3 19 8 2 16" xfId="24661" xr:uid="{00000000-0005-0000-0000-00004C600000}"/>
    <cellStyle name="Normal 3 19 8 2 2" xfId="24662" xr:uid="{00000000-0005-0000-0000-00004D600000}"/>
    <cellStyle name="Normal 3 19 8 2 2 2" xfId="24663" xr:uid="{00000000-0005-0000-0000-00004E600000}"/>
    <cellStyle name="Normal 3 19 8 2 2 3" xfId="24664" xr:uid="{00000000-0005-0000-0000-00004F600000}"/>
    <cellStyle name="Normal 3 19 8 2 3" xfId="24665" xr:uid="{00000000-0005-0000-0000-000050600000}"/>
    <cellStyle name="Normal 3 19 8 2 3 2" xfId="24666" xr:uid="{00000000-0005-0000-0000-000051600000}"/>
    <cellStyle name="Normal 3 19 8 2 3 3" xfId="24667" xr:uid="{00000000-0005-0000-0000-000052600000}"/>
    <cellStyle name="Normal 3 19 8 2 4" xfId="24668" xr:uid="{00000000-0005-0000-0000-000053600000}"/>
    <cellStyle name="Normal 3 19 8 2 4 2" xfId="24669" xr:uid="{00000000-0005-0000-0000-000054600000}"/>
    <cellStyle name="Normal 3 19 8 2 4 3" xfId="24670" xr:uid="{00000000-0005-0000-0000-000055600000}"/>
    <cellStyle name="Normal 3 19 8 2 5" xfId="24671" xr:uid="{00000000-0005-0000-0000-000056600000}"/>
    <cellStyle name="Normal 3 19 8 2 5 2" xfId="24672" xr:uid="{00000000-0005-0000-0000-000057600000}"/>
    <cellStyle name="Normal 3 19 8 2 5 3" xfId="24673" xr:uid="{00000000-0005-0000-0000-000058600000}"/>
    <cellStyle name="Normal 3 19 8 2 6" xfId="24674" xr:uid="{00000000-0005-0000-0000-000059600000}"/>
    <cellStyle name="Normal 3 19 8 2 6 2" xfId="24675" xr:uid="{00000000-0005-0000-0000-00005A600000}"/>
    <cellStyle name="Normal 3 19 8 2 6 3" xfId="24676" xr:uid="{00000000-0005-0000-0000-00005B600000}"/>
    <cellStyle name="Normal 3 19 8 2 7" xfId="24677" xr:uid="{00000000-0005-0000-0000-00005C600000}"/>
    <cellStyle name="Normal 3 19 8 2 7 2" xfId="24678" xr:uid="{00000000-0005-0000-0000-00005D600000}"/>
    <cellStyle name="Normal 3 19 8 2 7 3" xfId="24679" xr:uid="{00000000-0005-0000-0000-00005E600000}"/>
    <cellStyle name="Normal 3 19 8 2 8" xfId="24680" xr:uid="{00000000-0005-0000-0000-00005F600000}"/>
    <cellStyle name="Normal 3 19 8 2 8 2" xfId="24681" xr:uid="{00000000-0005-0000-0000-000060600000}"/>
    <cellStyle name="Normal 3 19 8 2 8 3" xfId="24682" xr:uid="{00000000-0005-0000-0000-000061600000}"/>
    <cellStyle name="Normal 3 19 8 2 9" xfId="24683" xr:uid="{00000000-0005-0000-0000-000062600000}"/>
    <cellStyle name="Normal 3 19 8 2 9 2" xfId="24684" xr:uid="{00000000-0005-0000-0000-000063600000}"/>
    <cellStyle name="Normal 3 19 8 2 9 3" xfId="24685" xr:uid="{00000000-0005-0000-0000-000064600000}"/>
    <cellStyle name="Normal 3 19 8 3" xfId="24686" xr:uid="{00000000-0005-0000-0000-000065600000}"/>
    <cellStyle name="Normal 3 19 8 3 2" xfId="24687" xr:uid="{00000000-0005-0000-0000-000066600000}"/>
    <cellStyle name="Normal 3 19 8 3 3" xfId="24688" xr:uid="{00000000-0005-0000-0000-000067600000}"/>
    <cellStyle name="Normal 3 19 8 4" xfId="24689" xr:uid="{00000000-0005-0000-0000-000068600000}"/>
    <cellStyle name="Normal 3 19 8 4 2" xfId="24690" xr:uid="{00000000-0005-0000-0000-000069600000}"/>
    <cellStyle name="Normal 3 19 8 4 3" xfId="24691" xr:uid="{00000000-0005-0000-0000-00006A600000}"/>
    <cellStyle name="Normal 3 19 8 5" xfId="24692" xr:uid="{00000000-0005-0000-0000-00006B600000}"/>
    <cellStyle name="Normal 3 19 8 5 2" xfId="24693" xr:uid="{00000000-0005-0000-0000-00006C600000}"/>
    <cellStyle name="Normal 3 19 8 5 3" xfId="24694" xr:uid="{00000000-0005-0000-0000-00006D600000}"/>
    <cellStyle name="Normal 3 19 8 6" xfId="24695" xr:uid="{00000000-0005-0000-0000-00006E600000}"/>
    <cellStyle name="Normal 3 19 8 6 2" xfId="24696" xr:uid="{00000000-0005-0000-0000-00006F600000}"/>
    <cellStyle name="Normal 3 19 8 6 3" xfId="24697" xr:uid="{00000000-0005-0000-0000-000070600000}"/>
    <cellStyle name="Normal 3 19 8 7" xfId="24698" xr:uid="{00000000-0005-0000-0000-000071600000}"/>
    <cellStyle name="Normal 3 19 8 7 2" xfId="24699" xr:uid="{00000000-0005-0000-0000-000072600000}"/>
    <cellStyle name="Normal 3 19 8 7 3" xfId="24700" xr:uid="{00000000-0005-0000-0000-000073600000}"/>
    <cellStyle name="Normal 3 19 8 8" xfId="24701" xr:uid="{00000000-0005-0000-0000-000074600000}"/>
    <cellStyle name="Normal 3 19 8 8 2" xfId="24702" xr:uid="{00000000-0005-0000-0000-000075600000}"/>
    <cellStyle name="Normal 3 19 8 8 3" xfId="24703" xr:uid="{00000000-0005-0000-0000-000076600000}"/>
    <cellStyle name="Normal 3 19 8 9" xfId="24704" xr:uid="{00000000-0005-0000-0000-000077600000}"/>
    <cellStyle name="Normal 3 19 8 9 2" xfId="24705" xr:uid="{00000000-0005-0000-0000-000078600000}"/>
    <cellStyle name="Normal 3 19 8 9 3" xfId="24706" xr:uid="{00000000-0005-0000-0000-000079600000}"/>
    <cellStyle name="Normal 3 19 9" xfId="24707" xr:uid="{00000000-0005-0000-0000-00007A600000}"/>
    <cellStyle name="Normal 3 19 9 10" xfId="24708" xr:uid="{00000000-0005-0000-0000-00007B600000}"/>
    <cellStyle name="Normal 3 19 9 10 2" xfId="24709" xr:uid="{00000000-0005-0000-0000-00007C600000}"/>
    <cellStyle name="Normal 3 19 9 10 3" xfId="24710" xr:uid="{00000000-0005-0000-0000-00007D600000}"/>
    <cellStyle name="Normal 3 19 9 11" xfId="24711" xr:uid="{00000000-0005-0000-0000-00007E600000}"/>
    <cellStyle name="Normal 3 19 9 11 2" xfId="24712" xr:uid="{00000000-0005-0000-0000-00007F600000}"/>
    <cellStyle name="Normal 3 19 9 11 3" xfId="24713" xr:uid="{00000000-0005-0000-0000-000080600000}"/>
    <cellStyle name="Normal 3 19 9 12" xfId="24714" xr:uid="{00000000-0005-0000-0000-000081600000}"/>
    <cellStyle name="Normal 3 19 9 12 2" xfId="24715" xr:uid="{00000000-0005-0000-0000-000082600000}"/>
    <cellStyle name="Normal 3 19 9 12 3" xfId="24716" xr:uid="{00000000-0005-0000-0000-000083600000}"/>
    <cellStyle name="Normal 3 19 9 13" xfId="24717" xr:uid="{00000000-0005-0000-0000-000084600000}"/>
    <cellStyle name="Normal 3 19 9 13 2" xfId="24718" xr:uid="{00000000-0005-0000-0000-000085600000}"/>
    <cellStyle name="Normal 3 19 9 13 3" xfId="24719" xr:uid="{00000000-0005-0000-0000-000086600000}"/>
    <cellStyle name="Normal 3 19 9 14" xfId="24720" xr:uid="{00000000-0005-0000-0000-000087600000}"/>
    <cellStyle name="Normal 3 19 9 14 2" xfId="24721" xr:uid="{00000000-0005-0000-0000-000088600000}"/>
    <cellStyle name="Normal 3 19 9 14 3" xfId="24722" xr:uid="{00000000-0005-0000-0000-000089600000}"/>
    <cellStyle name="Normal 3 19 9 15" xfId="24723" xr:uid="{00000000-0005-0000-0000-00008A600000}"/>
    <cellStyle name="Normal 3 19 9 16" xfId="24724" xr:uid="{00000000-0005-0000-0000-00008B600000}"/>
    <cellStyle name="Normal 3 19 9 2" xfId="24725" xr:uid="{00000000-0005-0000-0000-00008C600000}"/>
    <cellStyle name="Normal 3 19 9 2 2" xfId="24726" xr:uid="{00000000-0005-0000-0000-00008D600000}"/>
    <cellStyle name="Normal 3 19 9 2 3" xfId="24727" xr:uid="{00000000-0005-0000-0000-00008E600000}"/>
    <cellStyle name="Normal 3 19 9 3" xfId="24728" xr:uid="{00000000-0005-0000-0000-00008F600000}"/>
    <cellStyle name="Normal 3 19 9 3 2" xfId="24729" xr:uid="{00000000-0005-0000-0000-000090600000}"/>
    <cellStyle name="Normal 3 19 9 3 3" xfId="24730" xr:uid="{00000000-0005-0000-0000-000091600000}"/>
    <cellStyle name="Normal 3 19 9 4" xfId="24731" xr:uid="{00000000-0005-0000-0000-000092600000}"/>
    <cellStyle name="Normal 3 19 9 4 2" xfId="24732" xr:uid="{00000000-0005-0000-0000-000093600000}"/>
    <cellStyle name="Normal 3 19 9 4 3" xfId="24733" xr:uid="{00000000-0005-0000-0000-000094600000}"/>
    <cellStyle name="Normal 3 19 9 5" xfId="24734" xr:uid="{00000000-0005-0000-0000-000095600000}"/>
    <cellStyle name="Normal 3 19 9 5 2" xfId="24735" xr:uid="{00000000-0005-0000-0000-000096600000}"/>
    <cellStyle name="Normal 3 19 9 5 3" xfId="24736" xr:uid="{00000000-0005-0000-0000-000097600000}"/>
    <cellStyle name="Normal 3 19 9 6" xfId="24737" xr:uid="{00000000-0005-0000-0000-000098600000}"/>
    <cellStyle name="Normal 3 19 9 6 2" xfId="24738" xr:uid="{00000000-0005-0000-0000-000099600000}"/>
    <cellStyle name="Normal 3 19 9 6 3" xfId="24739" xr:uid="{00000000-0005-0000-0000-00009A600000}"/>
    <cellStyle name="Normal 3 19 9 7" xfId="24740" xr:uid="{00000000-0005-0000-0000-00009B600000}"/>
    <cellStyle name="Normal 3 19 9 7 2" xfId="24741" xr:uid="{00000000-0005-0000-0000-00009C600000}"/>
    <cellStyle name="Normal 3 19 9 7 3" xfId="24742" xr:uid="{00000000-0005-0000-0000-00009D600000}"/>
    <cellStyle name="Normal 3 19 9 8" xfId="24743" xr:uid="{00000000-0005-0000-0000-00009E600000}"/>
    <cellStyle name="Normal 3 19 9 8 2" xfId="24744" xr:uid="{00000000-0005-0000-0000-00009F600000}"/>
    <cellStyle name="Normal 3 19 9 8 3" xfId="24745" xr:uid="{00000000-0005-0000-0000-0000A0600000}"/>
    <cellStyle name="Normal 3 19 9 9" xfId="24746" xr:uid="{00000000-0005-0000-0000-0000A1600000}"/>
    <cellStyle name="Normal 3 19 9 9 2" xfId="24747" xr:uid="{00000000-0005-0000-0000-0000A2600000}"/>
    <cellStyle name="Normal 3 19 9 9 3" xfId="24748" xr:uid="{00000000-0005-0000-0000-0000A3600000}"/>
    <cellStyle name="Normal 3 2" xfId="24749" xr:uid="{00000000-0005-0000-0000-0000A4600000}"/>
    <cellStyle name="Normal 3 2 10" xfId="24750" xr:uid="{00000000-0005-0000-0000-0000A5600000}"/>
    <cellStyle name="Normal 3 2 11" xfId="24751" xr:uid="{00000000-0005-0000-0000-0000A6600000}"/>
    <cellStyle name="Normal 3 2 12" xfId="24752" xr:uid="{00000000-0005-0000-0000-0000A7600000}"/>
    <cellStyle name="Normal 3 2 13" xfId="24753" xr:uid="{00000000-0005-0000-0000-0000A8600000}"/>
    <cellStyle name="Normal 3 2 14" xfId="24754" xr:uid="{00000000-0005-0000-0000-0000A9600000}"/>
    <cellStyle name="Normal 3 2 15" xfId="24755" xr:uid="{00000000-0005-0000-0000-0000AA600000}"/>
    <cellStyle name="Normal 3 2 16" xfId="24756" xr:uid="{00000000-0005-0000-0000-0000AB600000}"/>
    <cellStyle name="Normal 3 2 17" xfId="24757" xr:uid="{00000000-0005-0000-0000-0000AC600000}"/>
    <cellStyle name="Normal 3 2 18" xfId="24758" xr:uid="{00000000-0005-0000-0000-0000AD600000}"/>
    <cellStyle name="Normal 3 2 19" xfId="24759" xr:uid="{00000000-0005-0000-0000-0000AE600000}"/>
    <cellStyle name="Normal 3 2 2" xfId="24760" xr:uid="{00000000-0005-0000-0000-0000AF600000}"/>
    <cellStyle name="Normal 3 2 20" xfId="24761" xr:uid="{00000000-0005-0000-0000-0000B0600000}"/>
    <cellStyle name="Normal 3 2 21" xfId="24762" xr:uid="{00000000-0005-0000-0000-0000B1600000}"/>
    <cellStyle name="Normal 3 2 22" xfId="24763" xr:uid="{00000000-0005-0000-0000-0000B2600000}"/>
    <cellStyle name="Normal 3 2 23" xfId="24764" xr:uid="{00000000-0005-0000-0000-0000B3600000}"/>
    <cellStyle name="Normal 3 2 24" xfId="24765" xr:uid="{00000000-0005-0000-0000-0000B4600000}"/>
    <cellStyle name="Normal 3 2 25" xfId="24766" xr:uid="{00000000-0005-0000-0000-0000B5600000}"/>
    <cellStyle name="Normal 3 2 25 10" xfId="24767" xr:uid="{00000000-0005-0000-0000-0000B6600000}"/>
    <cellStyle name="Normal 3 2 25 10 2" xfId="24768" xr:uid="{00000000-0005-0000-0000-0000B7600000}"/>
    <cellStyle name="Normal 3 2 25 10 3" xfId="24769" xr:uid="{00000000-0005-0000-0000-0000B8600000}"/>
    <cellStyle name="Normal 3 2 25 11" xfId="24770" xr:uid="{00000000-0005-0000-0000-0000B9600000}"/>
    <cellStyle name="Normal 3 2 25 11 2" xfId="24771" xr:uid="{00000000-0005-0000-0000-0000BA600000}"/>
    <cellStyle name="Normal 3 2 25 11 3" xfId="24772" xr:uid="{00000000-0005-0000-0000-0000BB600000}"/>
    <cellStyle name="Normal 3 2 25 12" xfId="24773" xr:uid="{00000000-0005-0000-0000-0000BC600000}"/>
    <cellStyle name="Normal 3 2 25 12 2" xfId="24774" xr:uid="{00000000-0005-0000-0000-0000BD600000}"/>
    <cellStyle name="Normal 3 2 25 12 3" xfId="24775" xr:uid="{00000000-0005-0000-0000-0000BE600000}"/>
    <cellStyle name="Normal 3 2 25 13" xfId="24776" xr:uid="{00000000-0005-0000-0000-0000BF600000}"/>
    <cellStyle name="Normal 3 2 25 13 2" xfId="24777" xr:uid="{00000000-0005-0000-0000-0000C0600000}"/>
    <cellStyle name="Normal 3 2 25 13 3" xfId="24778" xr:uid="{00000000-0005-0000-0000-0000C1600000}"/>
    <cellStyle name="Normal 3 2 25 14" xfId="24779" xr:uid="{00000000-0005-0000-0000-0000C2600000}"/>
    <cellStyle name="Normal 3 2 25 14 2" xfId="24780" xr:uid="{00000000-0005-0000-0000-0000C3600000}"/>
    <cellStyle name="Normal 3 2 25 14 3" xfId="24781" xr:uid="{00000000-0005-0000-0000-0000C4600000}"/>
    <cellStyle name="Normal 3 2 25 15" xfId="24782" xr:uid="{00000000-0005-0000-0000-0000C5600000}"/>
    <cellStyle name="Normal 3 2 25 15 2" xfId="24783" xr:uid="{00000000-0005-0000-0000-0000C6600000}"/>
    <cellStyle name="Normal 3 2 25 15 3" xfId="24784" xr:uid="{00000000-0005-0000-0000-0000C7600000}"/>
    <cellStyle name="Normal 3 2 25 16" xfId="24785" xr:uid="{00000000-0005-0000-0000-0000C8600000}"/>
    <cellStyle name="Normal 3 2 25 17" xfId="24786" xr:uid="{00000000-0005-0000-0000-0000C9600000}"/>
    <cellStyle name="Normal 3 2 25 2" xfId="24787" xr:uid="{00000000-0005-0000-0000-0000CA600000}"/>
    <cellStyle name="Normal 3 2 25 2 10" xfId="24788" xr:uid="{00000000-0005-0000-0000-0000CB600000}"/>
    <cellStyle name="Normal 3 2 25 2 10 2" xfId="24789" xr:uid="{00000000-0005-0000-0000-0000CC600000}"/>
    <cellStyle name="Normal 3 2 25 2 10 3" xfId="24790" xr:uid="{00000000-0005-0000-0000-0000CD600000}"/>
    <cellStyle name="Normal 3 2 25 2 11" xfId="24791" xr:uid="{00000000-0005-0000-0000-0000CE600000}"/>
    <cellStyle name="Normal 3 2 25 2 11 2" xfId="24792" xr:uid="{00000000-0005-0000-0000-0000CF600000}"/>
    <cellStyle name="Normal 3 2 25 2 11 3" xfId="24793" xr:uid="{00000000-0005-0000-0000-0000D0600000}"/>
    <cellStyle name="Normal 3 2 25 2 12" xfId="24794" xr:uid="{00000000-0005-0000-0000-0000D1600000}"/>
    <cellStyle name="Normal 3 2 25 2 12 2" xfId="24795" xr:uid="{00000000-0005-0000-0000-0000D2600000}"/>
    <cellStyle name="Normal 3 2 25 2 12 3" xfId="24796" xr:uid="{00000000-0005-0000-0000-0000D3600000}"/>
    <cellStyle name="Normal 3 2 25 2 13" xfId="24797" xr:uid="{00000000-0005-0000-0000-0000D4600000}"/>
    <cellStyle name="Normal 3 2 25 2 13 2" xfId="24798" xr:uid="{00000000-0005-0000-0000-0000D5600000}"/>
    <cellStyle name="Normal 3 2 25 2 13 3" xfId="24799" xr:uid="{00000000-0005-0000-0000-0000D6600000}"/>
    <cellStyle name="Normal 3 2 25 2 14" xfId="24800" xr:uid="{00000000-0005-0000-0000-0000D7600000}"/>
    <cellStyle name="Normal 3 2 25 2 14 2" xfId="24801" xr:uid="{00000000-0005-0000-0000-0000D8600000}"/>
    <cellStyle name="Normal 3 2 25 2 14 3" xfId="24802" xr:uid="{00000000-0005-0000-0000-0000D9600000}"/>
    <cellStyle name="Normal 3 2 25 2 15" xfId="24803" xr:uid="{00000000-0005-0000-0000-0000DA600000}"/>
    <cellStyle name="Normal 3 2 25 2 16" xfId="24804" xr:uid="{00000000-0005-0000-0000-0000DB600000}"/>
    <cellStyle name="Normal 3 2 25 2 2" xfId="24805" xr:uid="{00000000-0005-0000-0000-0000DC600000}"/>
    <cellStyle name="Normal 3 2 25 2 2 2" xfId="24806" xr:uid="{00000000-0005-0000-0000-0000DD600000}"/>
    <cellStyle name="Normal 3 2 25 2 2 3" xfId="24807" xr:uid="{00000000-0005-0000-0000-0000DE600000}"/>
    <cellStyle name="Normal 3 2 25 2 3" xfId="24808" xr:uid="{00000000-0005-0000-0000-0000DF600000}"/>
    <cellStyle name="Normal 3 2 25 2 3 2" xfId="24809" xr:uid="{00000000-0005-0000-0000-0000E0600000}"/>
    <cellStyle name="Normal 3 2 25 2 3 3" xfId="24810" xr:uid="{00000000-0005-0000-0000-0000E1600000}"/>
    <cellStyle name="Normal 3 2 25 2 4" xfId="24811" xr:uid="{00000000-0005-0000-0000-0000E2600000}"/>
    <cellStyle name="Normal 3 2 25 2 4 2" xfId="24812" xr:uid="{00000000-0005-0000-0000-0000E3600000}"/>
    <cellStyle name="Normal 3 2 25 2 4 3" xfId="24813" xr:uid="{00000000-0005-0000-0000-0000E4600000}"/>
    <cellStyle name="Normal 3 2 25 2 5" xfId="24814" xr:uid="{00000000-0005-0000-0000-0000E5600000}"/>
    <cellStyle name="Normal 3 2 25 2 5 2" xfId="24815" xr:uid="{00000000-0005-0000-0000-0000E6600000}"/>
    <cellStyle name="Normal 3 2 25 2 5 3" xfId="24816" xr:uid="{00000000-0005-0000-0000-0000E7600000}"/>
    <cellStyle name="Normal 3 2 25 2 6" xfId="24817" xr:uid="{00000000-0005-0000-0000-0000E8600000}"/>
    <cellStyle name="Normal 3 2 25 2 6 2" xfId="24818" xr:uid="{00000000-0005-0000-0000-0000E9600000}"/>
    <cellStyle name="Normal 3 2 25 2 6 3" xfId="24819" xr:uid="{00000000-0005-0000-0000-0000EA600000}"/>
    <cellStyle name="Normal 3 2 25 2 7" xfId="24820" xr:uid="{00000000-0005-0000-0000-0000EB600000}"/>
    <cellStyle name="Normal 3 2 25 2 7 2" xfId="24821" xr:uid="{00000000-0005-0000-0000-0000EC600000}"/>
    <cellStyle name="Normal 3 2 25 2 7 3" xfId="24822" xr:uid="{00000000-0005-0000-0000-0000ED600000}"/>
    <cellStyle name="Normal 3 2 25 2 8" xfId="24823" xr:uid="{00000000-0005-0000-0000-0000EE600000}"/>
    <cellStyle name="Normal 3 2 25 2 8 2" xfId="24824" xr:uid="{00000000-0005-0000-0000-0000EF600000}"/>
    <cellStyle name="Normal 3 2 25 2 8 3" xfId="24825" xr:uid="{00000000-0005-0000-0000-0000F0600000}"/>
    <cellStyle name="Normal 3 2 25 2 9" xfId="24826" xr:uid="{00000000-0005-0000-0000-0000F1600000}"/>
    <cellStyle name="Normal 3 2 25 2 9 2" xfId="24827" xr:uid="{00000000-0005-0000-0000-0000F2600000}"/>
    <cellStyle name="Normal 3 2 25 2 9 3" xfId="24828" xr:uid="{00000000-0005-0000-0000-0000F3600000}"/>
    <cellStyle name="Normal 3 2 25 3" xfId="24829" xr:uid="{00000000-0005-0000-0000-0000F4600000}"/>
    <cellStyle name="Normal 3 2 25 3 2" xfId="24830" xr:uid="{00000000-0005-0000-0000-0000F5600000}"/>
    <cellStyle name="Normal 3 2 25 3 3" xfId="24831" xr:uid="{00000000-0005-0000-0000-0000F6600000}"/>
    <cellStyle name="Normal 3 2 25 4" xfId="24832" xr:uid="{00000000-0005-0000-0000-0000F7600000}"/>
    <cellStyle name="Normal 3 2 25 4 2" xfId="24833" xr:uid="{00000000-0005-0000-0000-0000F8600000}"/>
    <cellStyle name="Normal 3 2 25 4 3" xfId="24834" xr:uid="{00000000-0005-0000-0000-0000F9600000}"/>
    <cellStyle name="Normal 3 2 25 5" xfId="24835" xr:uid="{00000000-0005-0000-0000-0000FA600000}"/>
    <cellStyle name="Normal 3 2 25 5 2" xfId="24836" xr:uid="{00000000-0005-0000-0000-0000FB600000}"/>
    <cellStyle name="Normal 3 2 25 5 3" xfId="24837" xr:uid="{00000000-0005-0000-0000-0000FC600000}"/>
    <cellStyle name="Normal 3 2 25 6" xfId="24838" xr:uid="{00000000-0005-0000-0000-0000FD600000}"/>
    <cellStyle name="Normal 3 2 25 6 2" xfId="24839" xr:uid="{00000000-0005-0000-0000-0000FE600000}"/>
    <cellStyle name="Normal 3 2 25 6 3" xfId="24840" xr:uid="{00000000-0005-0000-0000-0000FF600000}"/>
    <cellStyle name="Normal 3 2 25 7" xfId="24841" xr:uid="{00000000-0005-0000-0000-000000610000}"/>
    <cellStyle name="Normal 3 2 25 7 2" xfId="24842" xr:uid="{00000000-0005-0000-0000-000001610000}"/>
    <cellStyle name="Normal 3 2 25 7 3" xfId="24843" xr:uid="{00000000-0005-0000-0000-000002610000}"/>
    <cellStyle name="Normal 3 2 25 8" xfId="24844" xr:uid="{00000000-0005-0000-0000-000003610000}"/>
    <cellStyle name="Normal 3 2 25 8 2" xfId="24845" xr:uid="{00000000-0005-0000-0000-000004610000}"/>
    <cellStyle name="Normal 3 2 25 8 3" xfId="24846" xr:uid="{00000000-0005-0000-0000-000005610000}"/>
    <cellStyle name="Normal 3 2 25 9" xfId="24847" xr:uid="{00000000-0005-0000-0000-000006610000}"/>
    <cellStyle name="Normal 3 2 25 9 2" xfId="24848" xr:uid="{00000000-0005-0000-0000-000007610000}"/>
    <cellStyle name="Normal 3 2 25 9 3" xfId="24849" xr:uid="{00000000-0005-0000-0000-000008610000}"/>
    <cellStyle name="Normal 3 2 26" xfId="24850" xr:uid="{00000000-0005-0000-0000-000009610000}"/>
    <cellStyle name="Normal 3 2 26 10" xfId="24851" xr:uid="{00000000-0005-0000-0000-00000A610000}"/>
    <cellStyle name="Normal 3 2 26 10 2" xfId="24852" xr:uid="{00000000-0005-0000-0000-00000B610000}"/>
    <cellStyle name="Normal 3 2 26 10 3" xfId="24853" xr:uid="{00000000-0005-0000-0000-00000C610000}"/>
    <cellStyle name="Normal 3 2 26 11" xfId="24854" xr:uid="{00000000-0005-0000-0000-00000D610000}"/>
    <cellStyle name="Normal 3 2 26 11 2" xfId="24855" xr:uid="{00000000-0005-0000-0000-00000E610000}"/>
    <cellStyle name="Normal 3 2 26 11 3" xfId="24856" xr:uid="{00000000-0005-0000-0000-00000F610000}"/>
    <cellStyle name="Normal 3 2 26 12" xfId="24857" xr:uid="{00000000-0005-0000-0000-000010610000}"/>
    <cellStyle name="Normal 3 2 26 12 2" xfId="24858" xr:uid="{00000000-0005-0000-0000-000011610000}"/>
    <cellStyle name="Normal 3 2 26 12 3" xfId="24859" xr:uid="{00000000-0005-0000-0000-000012610000}"/>
    <cellStyle name="Normal 3 2 26 13" xfId="24860" xr:uid="{00000000-0005-0000-0000-000013610000}"/>
    <cellStyle name="Normal 3 2 26 13 2" xfId="24861" xr:uid="{00000000-0005-0000-0000-000014610000}"/>
    <cellStyle name="Normal 3 2 26 13 3" xfId="24862" xr:uid="{00000000-0005-0000-0000-000015610000}"/>
    <cellStyle name="Normal 3 2 26 14" xfId="24863" xr:uid="{00000000-0005-0000-0000-000016610000}"/>
    <cellStyle name="Normal 3 2 26 14 2" xfId="24864" xr:uid="{00000000-0005-0000-0000-000017610000}"/>
    <cellStyle name="Normal 3 2 26 14 3" xfId="24865" xr:uid="{00000000-0005-0000-0000-000018610000}"/>
    <cellStyle name="Normal 3 2 26 15" xfId="24866" xr:uid="{00000000-0005-0000-0000-000019610000}"/>
    <cellStyle name="Normal 3 2 26 15 2" xfId="24867" xr:uid="{00000000-0005-0000-0000-00001A610000}"/>
    <cellStyle name="Normal 3 2 26 15 3" xfId="24868" xr:uid="{00000000-0005-0000-0000-00001B610000}"/>
    <cellStyle name="Normal 3 2 26 16" xfId="24869" xr:uid="{00000000-0005-0000-0000-00001C610000}"/>
    <cellStyle name="Normal 3 2 26 17" xfId="24870" xr:uid="{00000000-0005-0000-0000-00001D610000}"/>
    <cellStyle name="Normal 3 2 26 2" xfId="24871" xr:uid="{00000000-0005-0000-0000-00001E610000}"/>
    <cellStyle name="Normal 3 2 26 2 10" xfId="24872" xr:uid="{00000000-0005-0000-0000-00001F610000}"/>
    <cellStyle name="Normal 3 2 26 2 10 2" xfId="24873" xr:uid="{00000000-0005-0000-0000-000020610000}"/>
    <cellStyle name="Normal 3 2 26 2 10 3" xfId="24874" xr:uid="{00000000-0005-0000-0000-000021610000}"/>
    <cellStyle name="Normal 3 2 26 2 11" xfId="24875" xr:uid="{00000000-0005-0000-0000-000022610000}"/>
    <cellStyle name="Normal 3 2 26 2 11 2" xfId="24876" xr:uid="{00000000-0005-0000-0000-000023610000}"/>
    <cellStyle name="Normal 3 2 26 2 11 3" xfId="24877" xr:uid="{00000000-0005-0000-0000-000024610000}"/>
    <cellStyle name="Normal 3 2 26 2 12" xfId="24878" xr:uid="{00000000-0005-0000-0000-000025610000}"/>
    <cellStyle name="Normal 3 2 26 2 12 2" xfId="24879" xr:uid="{00000000-0005-0000-0000-000026610000}"/>
    <cellStyle name="Normal 3 2 26 2 12 3" xfId="24880" xr:uid="{00000000-0005-0000-0000-000027610000}"/>
    <cellStyle name="Normal 3 2 26 2 13" xfId="24881" xr:uid="{00000000-0005-0000-0000-000028610000}"/>
    <cellStyle name="Normal 3 2 26 2 13 2" xfId="24882" xr:uid="{00000000-0005-0000-0000-000029610000}"/>
    <cellStyle name="Normal 3 2 26 2 13 3" xfId="24883" xr:uid="{00000000-0005-0000-0000-00002A610000}"/>
    <cellStyle name="Normal 3 2 26 2 14" xfId="24884" xr:uid="{00000000-0005-0000-0000-00002B610000}"/>
    <cellStyle name="Normal 3 2 26 2 14 2" xfId="24885" xr:uid="{00000000-0005-0000-0000-00002C610000}"/>
    <cellStyle name="Normal 3 2 26 2 14 3" xfId="24886" xr:uid="{00000000-0005-0000-0000-00002D610000}"/>
    <cellStyle name="Normal 3 2 26 2 15" xfId="24887" xr:uid="{00000000-0005-0000-0000-00002E610000}"/>
    <cellStyle name="Normal 3 2 26 2 16" xfId="24888" xr:uid="{00000000-0005-0000-0000-00002F610000}"/>
    <cellStyle name="Normal 3 2 26 2 2" xfId="24889" xr:uid="{00000000-0005-0000-0000-000030610000}"/>
    <cellStyle name="Normal 3 2 26 2 2 2" xfId="24890" xr:uid="{00000000-0005-0000-0000-000031610000}"/>
    <cellStyle name="Normal 3 2 26 2 2 3" xfId="24891" xr:uid="{00000000-0005-0000-0000-000032610000}"/>
    <cellStyle name="Normal 3 2 26 2 3" xfId="24892" xr:uid="{00000000-0005-0000-0000-000033610000}"/>
    <cellStyle name="Normal 3 2 26 2 3 2" xfId="24893" xr:uid="{00000000-0005-0000-0000-000034610000}"/>
    <cellStyle name="Normal 3 2 26 2 3 3" xfId="24894" xr:uid="{00000000-0005-0000-0000-000035610000}"/>
    <cellStyle name="Normal 3 2 26 2 4" xfId="24895" xr:uid="{00000000-0005-0000-0000-000036610000}"/>
    <cellStyle name="Normal 3 2 26 2 4 2" xfId="24896" xr:uid="{00000000-0005-0000-0000-000037610000}"/>
    <cellStyle name="Normal 3 2 26 2 4 3" xfId="24897" xr:uid="{00000000-0005-0000-0000-000038610000}"/>
    <cellStyle name="Normal 3 2 26 2 5" xfId="24898" xr:uid="{00000000-0005-0000-0000-000039610000}"/>
    <cellStyle name="Normal 3 2 26 2 5 2" xfId="24899" xr:uid="{00000000-0005-0000-0000-00003A610000}"/>
    <cellStyle name="Normal 3 2 26 2 5 3" xfId="24900" xr:uid="{00000000-0005-0000-0000-00003B610000}"/>
    <cellStyle name="Normal 3 2 26 2 6" xfId="24901" xr:uid="{00000000-0005-0000-0000-00003C610000}"/>
    <cellStyle name="Normal 3 2 26 2 6 2" xfId="24902" xr:uid="{00000000-0005-0000-0000-00003D610000}"/>
    <cellStyle name="Normal 3 2 26 2 6 3" xfId="24903" xr:uid="{00000000-0005-0000-0000-00003E610000}"/>
    <cellStyle name="Normal 3 2 26 2 7" xfId="24904" xr:uid="{00000000-0005-0000-0000-00003F610000}"/>
    <cellStyle name="Normal 3 2 26 2 7 2" xfId="24905" xr:uid="{00000000-0005-0000-0000-000040610000}"/>
    <cellStyle name="Normal 3 2 26 2 7 3" xfId="24906" xr:uid="{00000000-0005-0000-0000-000041610000}"/>
    <cellStyle name="Normal 3 2 26 2 8" xfId="24907" xr:uid="{00000000-0005-0000-0000-000042610000}"/>
    <cellStyle name="Normal 3 2 26 2 8 2" xfId="24908" xr:uid="{00000000-0005-0000-0000-000043610000}"/>
    <cellStyle name="Normal 3 2 26 2 8 3" xfId="24909" xr:uid="{00000000-0005-0000-0000-000044610000}"/>
    <cellStyle name="Normal 3 2 26 2 9" xfId="24910" xr:uid="{00000000-0005-0000-0000-000045610000}"/>
    <cellStyle name="Normal 3 2 26 2 9 2" xfId="24911" xr:uid="{00000000-0005-0000-0000-000046610000}"/>
    <cellStyle name="Normal 3 2 26 2 9 3" xfId="24912" xr:uid="{00000000-0005-0000-0000-000047610000}"/>
    <cellStyle name="Normal 3 2 26 3" xfId="24913" xr:uid="{00000000-0005-0000-0000-000048610000}"/>
    <cellStyle name="Normal 3 2 26 3 2" xfId="24914" xr:uid="{00000000-0005-0000-0000-000049610000}"/>
    <cellStyle name="Normal 3 2 26 3 3" xfId="24915" xr:uid="{00000000-0005-0000-0000-00004A610000}"/>
    <cellStyle name="Normal 3 2 26 4" xfId="24916" xr:uid="{00000000-0005-0000-0000-00004B610000}"/>
    <cellStyle name="Normal 3 2 26 4 2" xfId="24917" xr:uid="{00000000-0005-0000-0000-00004C610000}"/>
    <cellStyle name="Normal 3 2 26 4 3" xfId="24918" xr:uid="{00000000-0005-0000-0000-00004D610000}"/>
    <cellStyle name="Normal 3 2 26 5" xfId="24919" xr:uid="{00000000-0005-0000-0000-00004E610000}"/>
    <cellStyle name="Normal 3 2 26 5 2" xfId="24920" xr:uid="{00000000-0005-0000-0000-00004F610000}"/>
    <cellStyle name="Normal 3 2 26 5 3" xfId="24921" xr:uid="{00000000-0005-0000-0000-000050610000}"/>
    <cellStyle name="Normal 3 2 26 6" xfId="24922" xr:uid="{00000000-0005-0000-0000-000051610000}"/>
    <cellStyle name="Normal 3 2 26 6 2" xfId="24923" xr:uid="{00000000-0005-0000-0000-000052610000}"/>
    <cellStyle name="Normal 3 2 26 6 3" xfId="24924" xr:uid="{00000000-0005-0000-0000-000053610000}"/>
    <cellStyle name="Normal 3 2 26 7" xfId="24925" xr:uid="{00000000-0005-0000-0000-000054610000}"/>
    <cellStyle name="Normal 3 2 26 7 2" xfId="24926" xr:uid="{00000000-0005-0000-0000-000055610000}"/>
    <cellStyle name="Normal 3 2 26 7 3" xfId="24927" xr:uid="{00000000-0005-0000-0000-000056610000}"/>
    <cellStyle name="Normal 3 2 26 8" xfId="24928" xr:uid="{00000000-0005-0000-0000-000057610000}"/>
    <cellStyle name="Normal 3 2 26 8 2" xfId="24929" xr:uid="{00000000-0005-0000-0000-000058610000}"/>
    <cellStyle name="Normal 3 2 26 8 3" xfId="24930" xr:uid="{00000000-0005-0000-0000-000059610000}"/>
    <cellStyle name="Normal 3 2 26 9" xfId="24931" xr:uid="{00000000-0005-0000-0000-00005A610000}"/>
    <cellStyle name="Normal 3 2 26 9 2" xfId="24932" xr:uid="{00000000-0005-0000-0000-00005B610000}"/>
    <cellStyle name="Normal 3 2 26 9 3" xfId="24933" xr:uid="{00000000-0005-0000-0000-00005C610000}"/>
    <cellStyle name="Normal 3 2 27" xfId="24934" xr:uid="{00000000-0005-0000-0000-00005D610000}"/>
    <cellStyle name="Normal 3 2 27 10" xfId="24935" xr:uid="{00000000-0005-0000-0000-00005E610000}"/>
    <cellStyle name="Normal 3 2 27 10 2" xfId="24936" xr:uid="{00000000-0005-0000-0000-00005F610000}"/>
    <cellStyle name="Normal 3 2 27 10 3" xfId="24937" xr:uid="{00000000-0005-0000-0000-000060610000}"/>
    <cellStyle name="Normal 3 2 27 11" xfId="24938" xr:uid="{00000000-0005-0000-0000-000061610000}"/>
    <cellStyle name="Normal 3 2 27 11 2" xfId="24939" xr:uid="{00000000-0005-0000-0000-000062610000}"/>
    <cellStyle name="Normal 3 2 27 11 3" xfId="24940" xr:uid="{00000000-0005-0000-0000-000063610000}"/>
    <cellStyle name="Normal 3 2 27 12" xfId="24941" xr:uid="{00000000-0005-0000-0000-000064610000}"/>
    <cellStyle name="Normal 3 2 27 12 2" xfId="24942" xr:uid="{00000000-0005-0000-0000-000065610000}"/>
    <cellStyle name="Normal 3 2 27 12 3" xfId="24943" xr:uid="{00000000-0005-0000-0000-000066610000}"/>
    <cellStyle name="Normal 3 2 27 13" xfId="24944" xr:uid="{00000000-0005-0000-0000-000067610000}"/>
    <cellStyle name="Normal 3 2 27 13 2" xfId="24945" xr:uid="{00000000-0005-0000-0000-000068610000}"/>
    <cellStyle name="Normal 3 2 27 13 3" xfId="24946" xr:uid="{00000000-0005-0000-0000-000069610000}"/>
    <cellStyle name="Normal 3 2 27 14" xfId="24947" xr:uid="{00000000-0005-0000-0000-00006A610000}"/>
    <cellStyle name="Normal 3 2 27 14 2" xfId="24948" xr:uid="{00000000-0005-0000-0000-00006B610000}"/>
    <cellStyle name="Normal 3 2 27 14 3" xfId="24949" xr:uid="{00000000-0005-0000-0000-00006C610000}"/>
    <cellStyle name="Normal 3 2 27 15" xfId="24950" xr:uid="{00000000-0005-0000-0000-00006D610000}"/>
    <cellStyle name="Normal 3 2 27 15 2" xfId="24951" xr:uid="{00000000-0005-0000-0000-00006E610000}"/>
    <cellStyle name="Normal 3 2 27 15 3" xfId="24952" xr:uid="{00000000-0005-0000-0000-00006F610000}"/>
    <cellStyle name="Normal 3 2 27 16" xfId="24953" xr:uid="{00000000-0005-0000-0000-000070610000}"/>
    <cellStyle name="Normal 3 2 27 17" xfId="24954" xr:uid="{00000000-0005-0000-0000-000071610000}"/>
    <cellStyle name="Normal 3 2 27 2" xfId="24955" xr:uid="{00000000-0005-0000-0000-000072610000}"/>
    <cellStyle name="Normal 3 2 27 2 10" xfId="24956" xr:uid="{00000000-0005-0000-0000-000073610000}"/>
    <cellStyle name="Normal 3 2 27 2 10 2" xfId="24957" xr:uid="{00000000-0005-0000-0000-000074610000}"/>
    <cellStyle name="Normal 3 2 27 2 10 3" xfId="24958" xr:uid="{00000000-0005-0000-0000-000075610000}"/>
    <cellStyle name="Normal 3 2 27 2 11" xfId="24959" xr:uid="{00000000-0005-0000-0000-000076610000}"/>
    <cellStyle name="Normal 3 2 27 2 11 2" xfId="24960" xr:uid="{00000000-0005-0000-0000-000077610000}"/>
    <cellStyle name="Normal 3 2 27 2 11 3" xfId="24961" xr:uid="{00000000-0005-0000-0000-000078610000}"/>
    <cellStyle name="Normal 3 2 27 2 12" xfId="24962" xr:uid="{00000000-0005-0000-0000-000079610000}"/>
    <cellStyle name="Normal 3 2 27 2 12 2" xfId="24963" xr:uid="{00000000-0005-0000-0000-00007A610000}"/>
    <cellStyle name="Normal 3 2 27 2 12 3" xfId="24964" xr:uid="{00000000-0005-0000-0000-00007B610000}"/>
    <cellStyle name="Normal 3 2 27 2 13" xfId="24965" xr:uid="{00000000-0005-0000-0000-00007C610000}"/>
    <cellStyle name="Normal 3 2 27 2 13 2" xfId="24966" xr:uid="{00000000-0005-0000-0000-00007D610000}"/>
    <cellStyle name="Normal 3 2 27 2 13 3" xfId="24967" xr:uid="{00000000-0005-0000-0000-00007E610000}"/>
    <cellStyle name="Normal 3 2 27 2 14" xfId="24968" xr:uid="{00000000-0005-0000-0000-00007F610000}"/>
    <cellStyle name="Normal 3 2 27 2 14 2" xfId="24969" xr:uid="{00000000-0005-0000-0000-000080610000}"/>
    <cellStyle name="Normal 3 2 27 2 14 3" xfId="24970" xr:uid="{00000000-0005-0000-0000-000081610000}"/>
    <cellStyle name="Normal 3 2 27 2 15" xfId="24971" xr:uid="{00000000-0005-0000-0000-000082610000}"/>
    <cellStyle name="Normal 3 2 27 2 16" xfId="24972" xr:uid="{00000000-0005-0000-0000-000083610000}"/>
    <cellStyle name="Normal 3 2 27 2 2" xfId="24973" xr:uid="{00000000-0005-0000-0000-000084610000}"/>
    <cellStyle name="Normal 3 2 27 2 2 2" xfId="24974" xr:uid="{00000000-0005-0000-0000-000085610000}"/>
    <cellStyle name="Normal 3 2 27 2 2 3" xfId="24975" xr:uid="{00000000-0005-0000-0000-000086610000}"/>
    <cellStyle name="Normal 3 2 27 2 3" xfId="24976" xr:uid="{00000000-0005-0000-0000-000087610000}"/>
    <cellStyle name="Normal 3 2 27 2 3 2" xfId="24977" xr:uid="{00000000-0005-0000-0000-000088610000}"/>
    <cellStyle name="Normal 3 2 27 2 3 3" xfId="24978" xr:uid="{00000000-0005-0000-0000-000089610000}"/>
    <cellStyle name="Normal 3 2 27 2 4" xfId="24979" xr:uid="{00000000-0005-0000-0000-00008A610000}"/>
    <cellStyle name="Normal 3 2 27 2 4 2" xfId="24980" xr:uid="{00000000-0005-0000-0000-00008B610000}"/>
    <cellStyle name="Normal 3 2 27 2 4 3" xfId="24981" xr:uid="{00000000-0005-0000-0000-00008C610000}"/>
    <cellStyle name="Normal 3 2 27 2 5" xfId="24982" xr:uid="{00000000-0005-0000-0000-00008D610000}"/>
    <cellStyle name="Normal 3 2 27 2 5 2" xfId="24983" xr:uid="{00000000-0005-0000-0000-00008E610000}"/>
    <cellStyle name="Normal 3 2 27 2 5 3" xfId="24984" xr:uid="{00000000-0005-0000-0000-00008F610000}"/>
    <cellStyle name="Normal 3 2 27 2 6" xfId="24985" xr:uid="{00000000-0005-0000-0000-000090610000}"/>
    <cellStyle name="Normal 3 2 27 2 6 2" xfId="24986" xr:uid="{00000000-0005-0000-0000-000091610000}"/>
    <cellStyle name="Normal 3 2 27 2 6 3" xfId="24987" xr:uid="{00000000-0005-0000-0000-000092610000}"/>
    <cellStyle name="Normal 3 2 27 2 7" xfId="24988" xr:uid="{00000000-0005-0000-0000-000093610000}"/>
    <cellStyle name="Normal 3 2 27 2 7 2" xfId="24989" xr:uid="{00000000-0005-0000-0000-000094610000}"/>
    <cellStyle name="Normal 3 2 27 2 7 3" xfId="24990" xr:uid="{00000000-0005-0000-0000-000095610000}"/>
    <cellStyle name="Normal 3 2 27 2 8" xfId="24991" xr:uid="{00000000-0005-0000-0000-000096610000}"/>
    <cellStyle name="Normal 3 2 27 2 8 2" xfId="24992" xr:uid="{00000000-0005-0000-0000-000097610000}"/>
    <cellStyle name="Normal 3 2 27 2 8 3" xfId="24993" xr:uid="{00000000-0005-0000-0000-000098610000}"/>
    <cellStyle name="Normal 3 2 27 2 9" xfId="24994" xr:uid="{00000000-0005-0000-0000-000099610000}"/>
    <cellStyle name="Normal 3 2 27 2 9 2" xfId="24995" xr:uid="{00000000-0005-0000-0000-00009A610000}"/>
    <cellStyle name="Normal 3 2 27 2 9 3" xfId="24996" xr:uid="{00000000-0005-0000-0000-00009B610000}"/>
    <cellStyle name="Normal 3 2 27 3" xfId="24997" xr:uid="{00000000-0005-0000-0000-00009C610000}"/>
    <cellStyle name="Normal 3 2 27 3 2" xfId="24998" xr:uid="{00000000-0005-0000-0000-00009D610000}"/>
    <cellStyle name="Normal 3 2 27 3 3" xfId="24999" xr:uid="{00000000-0005-0000-0000-00009E610000}"/>
    <cellStyle name="Normal 3 2 27 4" xfId="25000" xr:uid="{00000000-0005-0000-0000-00009F610000}"/>
    <cellStyle name="Normal 3 2 27 4 2" xfId="25001" xr:uid="{00000000-0005-0000-0000-0000A0610000}"/>
    <cellStyle name="Normal 3 2 27 4 3" xfId="25002" xr:uid="{00000000-0005-0000-0000-0000A1610000}"/>
    <cellStyle name="Normal 3 2 27 5" xfId="25003" xr:uid="{00000000-0005-0000-0000-0000A2610000}"/>
    <cellStyle name="Normal 3 2 27 5 2" xfId="25004" xr:uid="{00000000-0005-0000-0000-0000A3610000}"/>
    <cellStyle name="Normal 3 2 27 5 3" xfId="25005" xr:uid="{00000000-0005-0000-0000-0000A4610000}"/>
    <cellStyle name="Normal 3 2 27 6" xfId="25006" xr:uid="{00000000-0005-0000-0000-0000A5610000}"/>
    <cellStyle name="Normal 3 2 27 6 2" xfId="25007" xr:uid="{00000000-0005-0000-0000-0000A6610000}"/>
    <cellStyle name="Normal 3 2 27 6 3" xfId="25008" xr:uid="{00000000-0005-0000-0000-0000A7610000}"/>
    <cellStyle name="Normal 3 2 27 7" xfId="25009" xr:uid="{00000000-0005-0000-0000-0000A8610000}"/>
    <cellStyle name="Normal 3 2 27 7 2" xfId="25010" xr:uid="{00000000-0005-0000-0000-0000A9610000}"/>
    <cellStyle name="Normal 3 2 27 7 3" xfId="25011" xr:uid="{00000000-0005-0000-0000-0000AA610000}"/>
    <cellStyle name="Normal 3 2 27 8" xfId="25012" xr:uid="{00000000-0005-0000-0000-0000AB610000}"/>
    <cellStyle name="Normal 3 2 27 8 2" xfId="25013" xr:uid="{00000000-0005-0000-0000-0000AC610000}"/>
    <cellStyle name="Normal 3 2 27 8 3" xfId="25014" xr:uid="{00000000-0005-0000-0000-0000AD610000}"/>
    <cellStyle name="Normal 3 2 27 9" xfId="25015" xr:uid="{00000000-0005-0000-0000-0000AE610000}"/>
    <cellStyle name="Normal 3 2 27 9 2" xfId="25016" xr:uid="{00000000-0005-0000-0000-0000AF610000}"/>
    <cellStyle name="Normal 3 2 27 9 3" xfId="25017" xr:uid="{00000000-0005-0000-0000-0000B0610000}"/>
    <cellStyle name="Normal 3 2 28" xfId="25018" xr:uid="{00000000-0005-0000-0000-0000B1610000}"/>
    <cellStyle name="Normal 3 2 28 10" xfId="25019" xr:uid="{00000000-0005-0000-0000-0000B2610000}"/>
    <cellStyle name="Normal 3 2 28 10 2" xfId="25020" xr:uid="{00000000-0005-0000-0000-0000B3610000}"/>
    <cellStyle name="Normal 3 2 28 10 3" xfId="25021" xr:uid="{00000000-0005-0000-0000-0000B4610000}"/>
    <cellStyle name="Normal 3 2 28 11" xfId="25022" xr:uid="{00000000-0005-0000-0000-0000B5610000}"/>
    <cellStyle name="Normal 3 2 28 11 2" xfId="25023" xr:uid="{00000000-0005-0000-0000-0000B6610000}"/>
    <cellStyle name="Normal 3 2 28 11 3" xfId="25024" xr:uid="{00000000-0005-0000-0000-0000B7610000}"/>
    <cellStyle name="Normal 3 2 28 12" xfId="25025" xr:uid="{00000000-0005-0000-0000-0000B8610000}"/>
    <cellStyle name="Normal 3 2 28 12 2" xfId="25026" xr:uid="{00000000-0005-0000-0000-0000B9610000}"/>
    <cellStyle name="Normal 3 2 28 12 3" xfId="25027" xr:uid="{00000000-0005-0000-0000-0000BA610000}"/>
    <cellStyle name="Normal 3 2 28 13" xfId="25028" xr:uid="{00000000-0005-0000-0000-0000BB610000}"/>
    <cellStyle name="Normal 3 2 28 13 2" xfId="25029" xr:uid="{00000000-0005-0000-0000-0000BC610000}"/>
    <cellStyle name="Normal 3 2 28 13 3" xfId="25030" xr:uid="{00000000-0005-0000-0000-0000BD610000}"/>
    <cellStyle name="Normal 3 2 28 14" xfId="25031" xr:uid="{00000000-0005-0000-0000-0000BE610000}"/>
    <cellStyle name="Normal 3 2 28 14 2" xfId="25032" xr:uid="{00000000-0005-0000-0000-0000BF610000}"/>
    <cellStyle name="Normal 3 2 28 14 3" xfId="25033" xr:uid="{00000000-0005-0000-0000-0000C0610000}"/>
    <cellStyle name="Normal 3 2 28 15" xfId="25034" xr:uid="{00000000-0005-0000-0000-0000C1610000}"/>
    <cellStyle name="Normal 3 2 28 16" xfId="25035" xr:uid="{00000000-0005-0000-0000-0000C2610000}"/>
    <cellStyle name="Normal 3 2 28 2" xfId="25036" xr:uid="{00000000-0005-0000-0000-0000C3610000}"/>
    <cellStyle name="Normal 3 2 28 2 2" xfId="25037" xr:uid="{00000000-0005-0000-0000-0000C4610000}"/>
    <cellStyle name="Normal 3 2 28 2 3" xfId="25038" xr:uid="{00000000-0005-0000-0000-0000C5610000}"/>
    <cellStyle name="Normal 3 2 28 3" xfId="25039" xr:uid="{00000000-0005-0000-0000-0000C6610000}"/>
    <cellStyle name="Normal 3 2 28 3 2" xfId="25040" xr:uid="{00000000-0005-0000-0000-0000C7610000}"/>
    <cellStyle name="Normal 3 2 28 3 3" xfId="25041" xr:uid="{00000000-0005-0000-0000-0000C8610000}"/>
    <cellStyle name="Normal 3 2 28 4" xfId="25042" xr:uid="{00000000-0005-0000-0000-0000C9610000}"/>
    <cellStyle name="Normal 3 2 28 4 2" xfId="25043" xr:uid="{00000000-0005-0000-0000-0000CA610000}"/>
    <cellStyle name="Normal 3 2 28 4 3" xfId="25044" xr:uid="{00000000-0005-0000-0000-0000CB610000}"/>
    <cellStyle name="Normal 3 2 28 5" xfId="25045" xr:uid="{00000000-0005-0000-0000-0000CC610000}"/>
    <cellStyle name="Normal 3 2 28 5 2" xfId="25046" xr:uid="{00000000-0005-0000-0000-0000CD610000}"/>
    <cellStyle name="Normal 3 2 28 5 3" xfId="25047" xr:uid="{00000000-0005-0000-0000-0000CE610000}"/>
    <cellStyle name="Normal 3 2 28 6" xfId="25048" xr:uid="{00000000-0005-0000-0000-0000CF610000}"/>
    <cellStyle name="Normal 3 2 28 6 2" xfId="25049" xr:uid="{00000000-0005-0000-0000-0000D0610000}"/>
    <cellStyle name="Normal 3 2 28 6 3" xfId="25050" xr:uid="{00000000-0005-0000-0000-0000D1610000}"/>
    <cellStyle name="Normal 3 2 28 7" xfId="25051" xr:uid="{00000000-0005-0000-0000-0000D2610000}"/>
    <cellStyle name="Normal 3 2 28 7 2" xfId="25052" xr:uid="{00000000-0005-0000-0000-0000D3610000}"/>
    <cellStyle name="Normal 3 2 28 7 3" xfId="25053" xr:uid="{00000000-0005-0000-0000-0000D4610000}"/>
    <cellStyle name="Normal 3 2 28 8" xfId="25054" xr:uid="{00000000-0005-0000-0000-0000D5610000}"/>
    <cellStyle name="Normal 3 2 28 8 2" xfId="25055" xr:uid="{00000000-0005-0000-0000-0000D6610000}"/>
    <cellStyle name="Normal 3 2 28 8 3" xfId="25056" xr:uid="{00000000-0005-0000-0000-0000D7610000}"/>
    <cellStyle name="Normal 3 2 28 9" xfId="25057" xr:uid="{00000000-0005-0000-0000-0000D8610000}"/>
    <cellStyle name="Normal 3 2 28 9 2" xfId="25058" xr:uid="{00000000-0005-0000-0000-0000D9610000}"/>
    <cellStyle name="Normal 3 2 28 9 3" xfId="25059" xr:uid="{00000000-0005-0000-0000-0000DA610000}"/>
    <cellStyle name="Normal 3 2 29" xfId="25060" xr:uid="{00000000-0005-0000-0000-0000DB610000}"/>
    <cellStyle name="Normal 3 2 29 10" xfId="25061" xr:uid="{00000000-0005-0000-0000-0000DC610000}"/>
    <cellStyle name="Normal 3 2 29 10 2" xfId="25062" xr:uid="{00000000-0005-0000-0000-0000DD610000}"/>
    <cellStyle name="Normal 3 2 29 10 3" xfId="25063" xr:uid="{00000000-0005-0000-0000-0000DE610000}"/>
    <cellStyle name="Normal 3 2 29 11" xfId="25064" xr:uid="{00000000-0005-0000-0000-0000DF610000}"/>
    <cellStyle name="Normal 3 2 29 11 2" xfId="25065" xr:uid="{00000000-0005-0000-0000-0000E0610000}"/>
    <cellStyle name="Normal 3 2 29 11 3" xfId="25066" xr:uid="{00000000-0005-0000-0000-0000E1610000}"/>
    <cellStyle name="Normal 3 2 29 12" xfId="25067" xr:uid="{00000000-0005-0000-0000-0000E2610000}"/>
    <cellStyle name="Normal 3 2 29 12 2" xfId="25068" xr:uid="{00000000-0005-0000-0000-0000E3610000}"/>
    <cellStyle name="Normal 3 2 29 12 3" xfId="25069" xr:uid="{00000000-0005-0000-0000-0000E4610000}"/>
    <cellStyle name="Normal 3 2 29 13" xfId="25070" xr:uid="{00000000-0005-0000-0000-0000E5610000}"/>
    <cellStyle name="Normal 3 2 29 13 2" xfId="25071" xr:uid="{00000000-0005-0000-0000-0000E6610000}"/>
    <cellStyle name="Normal 3 2 29 13 3" xfId="25072" xr:uid="{00000000-0005-0000-0000-0000E7610000}"/>
    <cellStyle name="Normal 3 2 29 14" xfId="25073" xr:uid="{00000000-0005-0000-0000-0000E8610000}"/>
    <cellStyle name="Normal 3 2 29 14 2" xfId="25074" xr:uid="{00000000-0005-0000-0000-0000E9610000}"/>
    <cellStyle name="Normal 3 2 29 14 3" xfId="25075" xr:uid="{00000000-0005-0000-0000-0000EA610000}"/>
    <cellStyle name="Normal 3 2 29 15" xfId="25076" xr:uid="{00000000-0005-0000-0000-0000EB610000}"/>
    <cellStyle name="Normal 3 2 29 16" xfId="25077" xr:uid="{00000000-0005-0000-0000-0000EC610000}"/>
    <cellStyle name="Normal 3 2 29 2" xfId="25078" xr:uid="{00000000-0005-0000-0000-0000ED610000}"/>
    <cellStyle name="Normal 3 2 29 2 2" xfId="25079" xr:uid="{00000000-0005-0000-0000-0000EE610000}"/>
    <cellStyle name="Normal 3 2 29 2 3" xfId="25080" xr:uid="{00000000-0005-0000-0000-0000EF610000}"/>
    <cellStyle name="Normal 3 2 29 3" xfId="25081" xr:uid="{00000000-0005-0000-0000-0000F0610000}"/>
    <cellStyle name="Normal 3 2 29 3 2" xfId="25082" xr:uid="{00000000-0005-0000-0000-0000F1610000}"/>
    <cellStyle name="Normal 3 2 29 3 3" xfId="25083" xr:uid="{00000000-0005-0000-0000-0000F2610000}"/>
    <cellStyle name="Normal 3 2 29 4" xfId="25084" xr:uid="{00000000-0005-0000-0000-0000F3610000}"/>
    <cellStyle name="Normal 3 2 29 4 2" xfId="25085" xr:uid="{00000000-0005-0000-0000-0000F4610000}"/>
    <cellStyle name="Normal 3 2 29 4 3" xfId="25086" xr:uid="{00000000-0005-0000-0000-0000F5610000}"/>
    <cellStyle name="Normal 3 2 29 5" xfId="25087" xr:uid="{00000000-0005-0000-0000-0000F6610000}"/>
    <cellStyle name="Normal 3 2 29 5 2" xfId="25088" xr:uid="{00000000-0005-0000-0000-0000F7610000}"/>
    <cellStyle name="Normal 3 2 29 5 3" xfId="25089" xr:uid="{00000000-0005-0000-0000-0000F8610000}"/>
    <cellStyle name="Normal 3 2 29 6" xfId="25090" xr:uid="{00000000-0005-0000-0000-0000F9610000}"/>
    <cellStyle name="Normal 3 2 29 6 2" xfId="25091" xr:uid="{00000000-0005-0000-0000-0000FA610000}"/>
    <cellStyle name="Normal 3 2 29 6 3" xfId="25092" xr:uid="{00000000-0005-0000-0000-0000FB610000}"/>
    <cellStyle name="Normal 3 2 29 7" xfId="25093" xr:uid="{00000000-0005-0000-0000-0000FC610000}"/>
    <cellStyle name="Normal 3 2 29 7 2" xfId="25094" xr:uid="{00000000-0005-0000-0000-0000FD610000}"/>
    <cellStyle name="Normal 3 2 29 7 3" xfId="25095" xr:uid="{00000000-0005-0000-0000-0000FE610000}"/>
    <cellStyle name="Normal 3 2 29 8" xfId="25096" xr:uid="{00000000-0005-0000-0000-0000FF610000}"/>
    <cellStyle name="Normal 3 2 29 8 2" xfId="25097" xr:uid="{00000000-0005-0000-0000-000000620000}"/>
    <cellStyle name="Normal 3 2 29 8 3" xfId="25098" xr:uid="{00000000-0005-0000-0000-000001620000}"/>
    <cellStyle name="Normal 3 2 29 9" xfId="25099" xr:uid="{00000000-0005-0000-0000-000002620000}"/>
    <cellStyle name="Normal 3 2 29 9 2" xfId="25100" xr:uid="{00000000-0005-0000-0000-000003620000}"/>
    <cellStyle name="Normal 3 2 29 9 3" xfId="25101" xr:uid="{00000000-0005-0000-0000-000004620000}"/>
    <cellStyle name="Normal 3 2 3" xfId="25102" xr:uid="{00000000-0005-0000-0000-000005620000}"/>
    <cellStyle name="Normal 3 2 3 10" xfId="25103" xr:uid="{00000000-0005-0000-0000-000006620000}"/>
    <cellStyle name="Normal 3 2 3 10 2" xfId="25104" xr:uid="{00000000-0005-0000-0000-000007620000}"/>
    <cellStyle name="Normal 3 2 3 10 3" xfId="25105" xr:uid="{00000000-0005-0000-0000-000008620000}"/>
    <cellStyle name="Normal 3 2 3 11" xfId="25106" xr:uid="{00000000-0005-0000-0000-000009620000}"/>
    <cellStyle name="Normal 3 2 3 11 2" xfId="25107" xr:uid="{00000000-0005-0000-0000-00000A620000}"/>
    <cellStyle name="Normal 3 2 3 11 3" xfId="25108" xr:uid="{00000000-0005-0000-0000-00000B620000}"/>
    <cellStyle name="Normal 3 2 3 12" xfId="25109" xr:uid="{00000000-0005-0000-0000-00000C620000}"/>
    <cellStyle name="Normal 3 2 3 12 2" xfId="25110" xr:uid="{00000000-0005-0000-0000-00000D620000}"/>
    <cellStyle name="Normal 3 2 3 12 3" xfId="25111" xr:uid="{00000000-0005-0000-0000-00000E620000}"/>
    <cellStyle name="Normal 3 2 3 13" xfId="25112" xr:uid="{00000000-0005-0000-0000-00000F620000}"/>
    <cellStyle name="Normal 3 2 3 13 2" xfId="25113" xr:uid="{00000000-0005-0000-0000-000010620000}"/>
    <cellStyle name="Normal 3 2 3 13 3" xfId="25114" xr:uid="{00000000-0005-0000-0000-000011620000}"/>
    <cellStyle name="Normal 3 2 3 14" xfId="25115" xr:uid="{00000000-0005-0000-0000-000012620000}"/>
    <cellStyle name="Normal 3 2 3 14 2" xfId="25116" xr:uid="{00000000-0005-0000-0000-000013620000}"/>
    <cellStyle name="Normal 3 2 3 14 3" xfId="25117" xr:uid="{00000000-0005-0000-0000-000014620000}"/>
    <cellStyle name="Normal 3 2 3 15" xfId="25118" xr:uid="{00000000-0005-0000-0000-000015620000}"/>
    <cellStyle name="Normal 3 2 3 15 2" xfId="25119" xr:uid="{00000000-0005-0000-0000-000016620000}"/>
    <cellStyle name="Normal 3 2 3 15 3" xfId="25120" xr:uid="{00000000-0005-0000-0000-000017620000}"/>
    <cellStyle name="Normal 3 2 3 16" xfId="25121" xr:uid="{00000000-0005-0000-0000-000018620000}"/>
    <cellStyle name="Normal 3 2 3 16 2" xfId="25122" xr:uid="{00000000-0005-0000-0000-000019620000}"/>
    <cellStyle name="Normal 3 2 3 16 3" xfId="25123" xr:uid="{00000000-0005-0000-0000-00001A620000}"/>
    <cellStyle name="Normal 3 2 3 17" xfId="25124" xr:uid="{00000000-0005-0000-0000-00001B620000}"/>
    <cellStyle name="Normal 3 2 3 17 2" xfId="25125" xr:uid="{00000000-0005-0000-0000-00001C620000}"/>
    <cellStyle name="Normal 3 2 3 17 3" xfId="25126" xr:uid="{00000000-0005-0000-0000-00001D620000}"/>
    <cellStyle name="Normal 3 2 3 18" xfId="25127" xr:uid="{00000000-0005-0000-0000-00001E620000}"/>
    <cellStyle name="Normal 3 2 3 19" xfId="25128" xr:uid="{00000000-0005-0000-0000-00001F620000}"/>
    <cellStyle name="Normal 3 2 3 2" xfId="25129" xr:uid="{00000000-0005-0000-0000-000020620000}"/>
    <cellStyle name="Normal 3 2 3 3" xfId="25130" xr:uid="{00000000-0005-0000-0000-000021620000}"/>
    <cellStyle name="Normal 3 2 3 4" xfId="25131" xr:uid="{00000000-0005-0000-0000-000022620000}"/>
    <cellStyle name="Normal 3 2 3 5" xfId="25132" xr:uid="{00000000-0005-0000-0000-000023620000}"/>
    <cellStyle name="Normal 3 2 3 5 2" xfId="25133" xr:uid="{00000000-0005-0000-0000-000024620000}"/>
    <cellStyle name="Normal 3 2 3 5 3" xfId="25134" xr:uid="{00000000-0005-0000-0000-000025620000}"/>
    <cellStyle name="Normal 3 2 3 6" xfId="25135" xr:uid="{00000000-0005-0000-0000-000026620000}"/>
    <cellStyle name="Normal 3 2 3 6 2" xfId="25136" xr:uid="{00000000-0005-0000-0000-000027620000}"/>
    <cellStyle name="Normal 3 2 3 6 3" xfId="25137" xr:uid="{00000000-0005-0000-0000-000028620000}"/>
    <cellStyle name="Normal 3 2 3 7" xfId="25138" xr:uid="{00000000-0005-0000-0000-000029620000}"/>
    <cellStyle name="Normal 3 2 3 7 2" xfId="25139" xr:uid="{00000000-0005-0000-0000-00002A620000}"/>
    <cellStyle name="Normal 3 2 3 7 3" xfId="25140" xr:uid="{00000000-0005-0000-0000-00002B620000}"/>
    <cellStyle name="Normal 3 2 3 8" xfId="25141" xr:uid="{00000000-0005-0000-0000-00002C620000}"/>
    <cellStyle name="Normal 3 2 3 8 2" xfId="25142" xr:uid="{00000000-0005-0000-0000-00002D620000}"/>
    <cellStyle name="Normal 3 2 3 8 3" xfId="25143" xr:uid="{00000000-0005-0000-0000-00002E620000}"/>
    <cellStyle name="Normal 3 2 3 9" xfId="25144" xr:uid="{00000000-0005-0000-0000-00002F620000}"/>
    <cellStyle name="Normal 3 2 3 9 2" xfId="25145" xr:uid="{00000000-0005-0000-0000-000030620000}"/>
    <cellStyle name="Normal 3 2 3 9 3" xfId="25146" xr:uid="{00000000-0005-0000-0000-000031620000}"/>
    <cellStyle name="Normal 3 2 30" xfId="25147" xr:uid="{00000000-0005-0000-0000-000032620000}"/>
    <cellStyle name="Normal 3 2 30 10" xfId="25148" xr:uid="{00000000-0005-0000-0000-000033620000}"/>
    <cellStyle name="Normal 3 2 30 10 2" xfId="25149" xr:uid="{00000000-0005-0000-0000-000034620000}"/>
    <cellStyle name="Normal 3 2 30 10 3" xfId="25150" xr:uid="{00000000-0005-0000-0000-000035620000}"/>
    <cellStyle name="Normal 3 2 30 11" xfId="25151" xr:uid="{00000000-0005-0000-0000-000036620000}"/>
    <cellStyle name="Normal 3 2 30 11 2" xfId="25152" xr:uid="{00000000-0005-0000-0000-000037620000}"/>
    <cellStyle name="Normal 3 2 30 11 3" xfId="25153" xr:uid="{00000000-0005-0000-0000-000038620000}"/>
    <cellStyle name="Normal 3 2 30 12" xfId="25154" xr:uid="{00000000-0005-0000-0000-000039620000}"/>
    <cellStyle name="Normal 3 2 30 12 2" xfId="25155" xr:uid="{00000000-0005-0000-0000-00003A620000}"/>
    <cellStyle name="Normal 3 2 30 12 3" xfId="25156" xr:uid="{00000000-0005-0000-0000-00003B620000}"/>
    <cellStyle name="Normal 3 2 30 13" xfId="25157" xr:uid="{00000000-0005-0000-0000-00003C620000}"/>
    <cellStyle name="Normal 3 2 30 13 2" xfId="25158" xr:uid="{00000000-0005-0000-0000-00003D620000}"/>
    <cellStyle name="Normal 3 2 30 13 3" xfId="25159" xr:uid="{00000000-0005-0000-0000-00003E620000}"/>
    <cellStyle name="Normal 3 2 30 14" xfId="25160" xr:uid="{00000000-0005-0000-0000-00003F620000}"/>
    <cellStyle name="Normal 3 2 30 14 2" xfId="25161" xr:uid="{00000000-0005-0000-0000-000040620000}"/>
    <cellStyle name="Normal 3 2 30 14 3" xfId="25162" xr:uid="{00000000-0005-0000-0000-000041620000}"/>
    <cellStyle name="Normal 3 2 30 15" xfId="25163" xr:uid="{00000000-0005-0000-0000-000042620000}"/>
    <cellStyle name="Normal 3 2 30 16" xfId="25164" xr:uid="{00000000-0005-0000-0000-000043620000}"/>
    <cellStyle name="Normal 3 2 30 2" xfId="25165" xr:uid="{00000000-0005-0000-0000-000044620000}"/>
    <cellStyle name="Normal 3 2 30 2 2" xfId="25166" xr:uid="{00000000-0005-0000-0000-000045620000}"/>
    <cellStyle name="Normal 3 2 30 2 3" xfId="25167" xr:uid="{00000000-0005-0000-0000-000046620000}"/>
    <cellStyle name="Normal 3 2 30 3" xfId="25168" xr:uid="{00000000-0005-0000-0000-000047620000}"/>
    <cellStyle name="Normal 3 2 30 3 2" xfId="25169" xr:uid="{00000000-0005-0000-0000-000048620000}"/>
    <cellStyle name="Normal 3 2 30 3 3" xfId="25170" xr:uid="{00000000-0005-0000-0000-000049620000}"/>
    <cellStyle name="Normal 3 2 30 4" xfId="25171" xr:uid="{00000000-0005-0000-0000-00004A620000}"/>
    <cellStyle name="Normal 3 2 30 4 2" xfId="25172" xr:uid="{00000000-0005-0000-0000-00004B620000}"/>
    <cellStyle name="Normal 3 2 30 4 3" xfId="25173" xr:uid="{00000000-0005-0000-0000-00004C620000}"/>
    <cellStyle name="Normal 3 2 30 5" xfId="25174" xr:uid="{00000000-0005-0000-0000-00004D620000}"/>
    <cellStyle name="Normal 3 2 30 5 2" xfId="25175" xr:uid="{00000000-0005-0000-0000-00004E620000}"/>
    <cellStyle name="Normal 3 2 30 5 3" xfId="25176" xr:uid="{00000000-0005-0000-0000-00004F620000}"/>
    <cellStyle name="Normal 3 2 30 6" xfId="25177" xr:uid="{00000000-0005-0000-0000-000050620000}"/>
    <cellStyle name="Normal 3 2 30 6 2" xfId="25178" xr:uid="{00000000-0005-0000-0000-000051620000}"/>
    <cellStyle name="Normal 3 2 30 6 3" xfId="25179" xr:uid="{00000000-0005-0000-0000-000052620000}"/>
    <cellStyle name="Normal 3 2 30 7" xfId="25180" xr:uid="{00000000-0005-0000-0000-000053620000}"/>
    <cellStyle name="Normal 3 2 30 7 2" xfId="25181" xr:uid="{00000000-0005-0000-0000-000054620000}"/>
    <cellStyle name="Normal 3 2 30 7 3" xfId="25182" xr:uid="{00000000-0005-0000-0000-000055620000}"/>
    <cellStyle name="Normal 3 2 30 8" xfId="25183" xr:uid="{00000000-0005-0000-0000-000056620000}"/>
    <cellStyle name="Normal 3 2 30 8 2" xfId="25184" xr:uid="{00000000-0005-0000-0000-000057620000}"/>
    <cellStyle name="Normal 3 2 30 8 3" xfId="25185" xr:uid="{00000000-0005-0000-0000-000058620000}"/>
    <cellStyle name="Normal 3 2 30 9" xfId="25186" xr:uid="{00000000-0005-0000-0000-000059620000}"/>
    <cellStyle name="Normal 3 2 30 9 2" xfId="25187" xr:uid="{00000000-0005-0000-0000-00005A620000}"/>
    <cellStyle name="Normal 3 2 30 9 3" xfId="25188" xr:uid="{00000000-0005-0000-0000-00005B620000}"/>
    <cellStyle name="Normal 3 2 31" xfId="25189" xr:uid="{00000000-0005-0000-0000-00005C620000}"/>
    <cellStyle name="Normal 3 2 31 10" xfId="25190" xr:uid="{00000000-0005-0000-0000-00005D620000}"/>
    <cellStyle name="Normal 3 2 31 10 2" xfId="25191" xr:uid="{00000000-0005-0000-0000-00005E620000}"/>
    <cellStyle name="Normal 3 2 31 10 3" xfId="25192" xr:uid="{00000000-0005-0000-0000-00005F620000}"/>
    <cellStyle name="Normal 3 2 31 11" xfId="25193" xr:uid="{00000000-0005-0000-0000-000060620000}"/>
    <cellStyle name="Normal 3 2 31 11 2" xfId="25194" xr:uid="{00000000-0005-0000-0000-000061620000}"/>
    <cellStyle name="Normal 3 2 31 11 3" xfId="25195" xr:uid="{00000000-0005-0000-0000-000062620000}"/>
    <cellStyle name="Normal 3 2 31 12" xfId="25196" xr:uid="{00000000-0005-0000-0000-000063620000}"/>
    <cellStyle name="Normal 3 2 31 12 2" xfId="25197" xr:uid="{00000000-0005-0000-0000-000064620000}"/>
    <cellStyle name="Normal 3 2 31 12 3" xfId="25198" xr:uid="{00000000-0005-0000-0000-000065620000}"/>
    <cellStyle name="Normal 3 2 31 13" xfId="25199" xr:uid="{00000000-0005-0000-0000-000066620000}"/>
    <cellStyle name="Normal 3 2 31 13 2" xfId="25200" xr:uid="{00000000-0005-0000-0000-000067620000}"/>
    <cellStyle name="Normal 3 2 31 13 3" xfId="25201" xr:uid="{00000000-0005-0000-0000-000068620000}"/>
    <cellStyle name="Normal 3 2 31 14" xfId="25202" xr:uid="{00000000-0005-0000-0000-000069620000}"/>
    <cellStyle name="Normal 3 2 31 14 2" xfId="25203" xr:uid="{00000000-0005-0000-0000-00006A620000}"/>
    <cellStyle name="Normal 3 2 31 14 3" xfId="25204" xr:uid="{00000000-0005-0000-0000-00006B620000}"/>
    <cellStyle name="Normal 3 2 31 15" xfId="25205" xr:uid="{00000000-0005-0000-0000-00006C620000}"/>
    <cellStyle name="Normal 3 2 31 16" xfId="25206" xr:uid="{00000000-0005-0000-0000-00006D620000}"/>
    <cellStyle name="Normal 3 2 31 2" xfId="25207" xr:uid="{00000000-0005-0000-0000-00006E620000}"/>
    <cellStyle name="Normal 3 2 31 2 2" xfId="25208" xr:uid="{00000000-0005-0000-0000-00006F620000}"/>
    <cellStyle name="Normal 3 2 31 2 3" xfId="25209" xr:uid="{00000000-0005-0000-0000-000070620000}"/>
    <cellStyle name="Normal 3 2 31 3" xfId="25210" xr:uid="{00000000-0005-0000-0000-000071620000}"/>
    <cellStyle name="Normal 3 2 31 3 2" xfId="25211" xr:uid="{00000000-0005-0000-0000-000072620000}"/>
    <cellStyle name="Normal 3 2 31 3 3" xfId="25212" xr:uid="{00000000-0005-0000-0000-000073620000}"/>
    <cellStyle name="Normal 3 2 31 4" xfId="25213" xr:uid="{00000000-0005-0000-0000-000074620000}"/>
    <cellStyle name="Normal 3 2 31 4 2" xfId="25214" xr:uid="{00000000-0005-0000-0000-000075620000}"/>
    <cellStyle name="Normal 3 2 31 4 3" xfId="25215" xr:uid="{00000000-0005-0000-0000-000076620000}"/>
    <cellStyle name="Normal 3 2 31 5" xfId="25216" xr:uid="{00000000-0005-0000-0000-000077620000}"/>
    <cellStyle name="Normal 3 2 31 5 2" xfId="25217" xr:uid="{00000000-0005-0000-0000-000078620000}"/>
    <cellStyle name="Normal 3 2 31 5 3" xfId="25218" xr:uid="{00000000-0005-0000-0000-000079620000}"/>
    <cellStyle name="Normal 3 2 31 6" xfId="25219" xr:uid="{00000000-0005-0000-0000-00007A620000}"/>
    <cellStyle name="Normal 3 2 31 6 2" xfId="25220" xr:uid="{00000000-0005-0000-0000-00007B620000}"/>
    <cellStyle name="Normal 3 2 31 6 3" xfId="25221" xr:uid="{00000000-0005-0000-0000-00007C620000}"/>
    <cellStyle name="Normal 3 2 31 7" xfId="25222" xr:uid="{00000000-0005-0000-0000-00007D620000}"/>
    <cellStyle name="Normal 3 2 31 7 2" xfId="25223" xr:uid="{00000000-0005-0000-0000-00007E620000}"/>
    <cellStyle name="Normal 3 2 31 7 3" xfId="25224" xr:uid="{00000000-0005-0000-0000-00007F620000}"/>
    <cellStyle name="Normal 3 2 31 8" xfId="25225" xr:uid="{00000000-0005-0000-0000-000080620000}"/>
    <cellStyle name="Normal 3 2 31 8 2" xfId="25226" xr:uid="{00000000-0005-0000-0000-000081620000}"/>
    <cellStyle name="Normal 3 2 31 8 3" xfId="25227" xr:uid="{00000000-0005-0000-0000-000082620000}"/>
    <cellStyle name="Normal 3 2 31 9" xfId="25228" xr:uid="{00000000-0005-0000-0000-000083620000}"/>
    <cellStyle name="Normal 3 2 31 9 2" xfId="25229" xr:uid="{00000000-0005-0000-0000-000084620000}"/>
    <cellStyle name="Normal 3 2 31 9 3" xfId="25230" xr:uid="{00000000-0005-0000-0000-000085620000}"/>
    <cellStyle name="Normal 3 2 32" xfId="25231" xr:uid="{00000000-0005-0000-0000-000086620000}"/>
    <cellStyle name="Normal 3 2 32 10" xfId="25232" xr:uid="{00000000-0005-0000-0000-000087620000}"/>
    <cellStyle name="Normal 3 2 32 10 2" xfId="25233" xr:uid="{00000000-0005-0000-0000-000088620000}"/>
    <cellStyle name="Normal 3 2 32 10 3" xfId="25234" xr:uid="{00000000-0005-0000-0000-000089620000}"/>
    <cellStyle name="Normal 3 2 32 11" xfId="25235" xr:uid="{00000000-0005-0000-0000-00008A620000}"/>
    <cellStyle name="Normal 3 2 32 11 2" xfId="25236" xr:uid="{00000000-0005-0000-0000-00008B620000}"/>
    <cellStyle name="Normal 3 2 32 11 3" xfId="25237" xr:uid="{00000000-0005-0000-0000-00008C620000}"/>
    <cellStyle name="Normal 3 2 32 12" xfId="25238" xr:uid="{00000000-0005-0000-0000-00008D620000}"/>
    <cellStyle name="Normal 3 2 32 12 2" xfId="25239" xr:uid="{00000000-0005-0000-0000-00008E620000}"/>
    <cellStyle name="Normal 3 2 32 12 3" xfId="25240" xr:uid="{00000000-0005-0000-0000-00008F620000}"/>
    <cellStyle name="Normal 3 2 32 13" xfId="25241" xr:uid="{00000000-0005-0000-0000-000090620000}"/>
    <cellStyle name="Normal 3 2 32 13 2" xfId="25242" xr:uid="{00000000-0005-0000-0000-000091620000}"/>
    <cellStyle name="Normal 3 2 32 13 3" xfId="25243" xr:uid="{00000000-0005-0000-0000-000092620000}"/>
    <cellStyle name="Normal 3 2 32 14" xfId="25244" xr:uid="{00000000-0005-0000-0000-000093620000}"/>
    <cellStyle name="Normal 3 2 32 14 2" xfId="25245" xr:uid="{00000000-0005-0000-0000-000094620000}"/>
    <cellStyle name="Normal 3 2 32 14 3" xfId="25246" xr:uid="{00000000-0005-0000-0000-000095620000}"/>
    <cellStyle name="Normal 3 2 32 15" xfId="25247" xr:uid="{00000000-0005-0000-0000-000096620000}"/>
    <cellStyle name="Normal 3 2 32 16" xfId="25248" xr:uid="{00000000-0005-0000-0000-000097620000}"/>
    <cellStyle name="Normal 3 2 32 2" xfId="25249" xr:uid="{00000000-0005-0000-0000-000098620000}"/>
    <cellStyle name="Normal 3 2 32 2 2" xfId="25250" xr:uid="{00000000-0005-0000-0000-000099620000}"/>
    <cellStyle name="Normal 3 2 32 2 3" xfId="25251" xr:uid="{00000000-0005-0000-0000-00009A620000}"/>
    <cellStyle name="Normal 3 2 32 3" xfId="25252" xr:uid="{00000000-0005-0000-0000-00009B620000}"/>
    <cellStyle name="Normal 3 2 32 3 2" xfId="25253" xr:uid="{00000000-0005-0000-0000-00009C620000}"/>
    <cellStyle name="Normal 3 2 32 3 3" xfId="25254" xr:uid="{00000000-0005-0000-0000-00009D620000}"/>
    <cellStyle name="Normal 3 2 32 4" xfId="25255" xr:uid="{00000000-0005-0000-0000-00009E620000}"/>
    <cellStyle name="Normal 3 2 32 4 2" xfId="25256" xr:uid="{00000000-0005-0000-0000-00009F620000}"/>
    <cellStyle name="Normal 3 2 32 4 3" xfId="25257" xr:uid="{00000000-0005-0000-0000-0000A0620000}"/>
    <cellStyle name="Normal 3 2 32 5" xfId="25258" xr:uid="{00000000-0005-0000-0000-0000A1620000}"/>
    <cellStyle name="Normal 3 2 32 5 2" xfId="25259" xr:uid="{00000000-0005-0000-0000-0000A2620000}"/>
    <cellStyle name="Normal 3 2 32 5 3" xfId="25260" xr:uid="{00000000-0005-0000-0000-0000A3620000}"/>
    <cellStyle name="Normal 3 2 32 6" xfId="25261" xr:uid="{00000000-0005-0000-0000-0000A4620000}"/>
    <cellStyle name="Normal 3 2 32 6 2" xfId="25262" xr:uid="{00000000-0005-0000-0000-0000A5620000}"/>
    <cellStyle name="Normal 3 2 32 6 3" xfId="25263" xr:uid="{00000000-0005-0000-0000-0000A6620000}"/>
    <cellStyle name="Normal 3 2 32 7" xfId="25264" xr:uid="{00000000-0005-0000-0000-0000A7620000}"/>
    <cellStyle name="Normal 3 2 32 7 2" xfId="25265" xr:uid="{00000000-0005-0000-0000-0000A8620000}"/>
    <cellStyle name="Normal 3 2 32 7 3" xfId="25266" xr:uid="{00000000-0005-0000-0000-0000A9620000}"/>
    <cellStyle name="Normal 3 2 32 8" xfId="25267" xr:uid="{00000000-0005-0000-0000-0000AA620000}"/>
    <cellStyle name="Normal 3 2 32 8 2" xfId="25268" xr:uid="{00000000-0005-0000-0000-0000AB620000}"/>
    <cellStyle name="Normal 3 2 32 8 3" xfId="25269" xr:uid="{00000000-0005-0000-0000-0000AC620000}"/>
    <cellStyle name="Normal 3 2 32 9" xfId="25270" xr:uid="{00000000-0005-0000-0000-0000AD620000}"/>
    <cellStyle name="Normal 3 2 32 9 2" xfId="25271" xr:uid="{00000000-0005-0000-0000-0000AE620000}"/>
    <cellStyle name="Normal 3 2 32 9 3" xfId="25272" xr:uid="{00000000-0005-0000-0000-0000AF620000}"/>
    <cellStyle name="Normal 3 2 33" xfId="25273" xr:uid="{00000000-0005-0000-0000-0000B0620000}"/>
    <cellStyle name="Normal 3 2 33 10" xfId="25274" xr:uid="{00000000-0005-0000-0000-0000B1620000}"/>
    <cellStyle name="Normal 3 2 33 10 2" xfId="25275" xr:uid="{00000000-0005-0000-0000-0000B2620000}"/>
    <cellStyle name="Normal 3 2 33 10 3" xfId="25276" xr:uid="{00000000-0005-0000-0000-0000B3620000}"/>
    <cellStyle name="Normal 3 2 33 11" xfId="25277" xr:uid="{00000000-0005-0000-0000-0000B4620000}"/>
    <cellStyle name="Normal 3 2 33 11 2" xfId="25278" xr:uid="{00000000-0005-0000-0000-0000B5620000}"/>
    <cellStyle name="Normal 3 2 33 11 3" xfId="25279" xr:uid="{00000000-0005-0000-0000-0000B6620000}"/>
    <cellStyle name="Normal 3 2 33 12" xfId="25280" xr:uid="{00000000-0005-0000-0000-0000B7620000}"/>
    <cellStyle name="Normal 3 2 33 12 2" xfId="25281" xr:uid="{00000000-0005-0000-0000-0000B8620000}"/>
    <cellStyle name="Normal 3 2 33 12 3" xfId="25282" xr:uid="{00000000-0005-0000-0000-0000B9620000}"/>
    <cellStyle name="Normal 3 2 33 13" xfId="25283" xr:uid="{00000000-0005-0000-0000-0000BA620000}"/>
    <cellStyle name="Normal 3 2 33 13 2" xfId="25284" xr:uid="{00000000-0005-0000-0000-0000BB620000}"/>
    <cellStyle name="Normal 3 2 33 13 3" xfId="25285" xr:uid="{00000000-0005-0000-0000-0000BC620000}"/>
    <cellStyle name="Normal 3 2 33 14" xfId="25286" xr:uid="{00000000-0005-0000-0000-0000BD620000}"/>
    <cellStyle name="Normal 3 2 33 14 2" xfId="25287" xr:uid="{00000000-0005-0000-0000-0000BE620000}"/>
    <cellStyle name="Normal 3 2 33 14 3" xfId="25288" xr:uid="{00000000-0005-0000-0000-0000BF620000}"/>
    <cellStyle name="Normal 3 2 33 15" xfId="25289" xr:uid="{00000000-0005-0000-0000-0000C0620000}"/>
    <cellStyle name="Normal 3 2 33 16" xfId="25290" xr:uid="{00000000-0005-0000-0000-0000C1620000}"/>
    <cellStyle name="Normal 3 2 33 2" xfId="25291" xr:uid="{00000000-0005-0000-0000-0000C2620000}"/>
    <cellStyle name="Normal 3 2 33 2 2" xfId="25292" xr:uid="{00000000-0005-0000-0000-0000C3620000}"/>
    <cellStyle name="Normal 3 2 33 2 3" xfId="25293" xr:uid="{00000000-0005-0000-0000-0000C4620000}"/>
    <cellStyle name="Normal 3 2 33 3" xfId="25294" xr:uid="{00000000-0005-0000-0000-0000C5620000}"/>
    <cellStyle name="Normal 3 2 33 3 2" xfId="25295" xr:uid="{00000000-0005-0000-0000-0000C6620000}"/>
    <cellStyle name="Normal 3 2 33 3 3" xfId="25296" xr:uid="{00000000-0005-0000-0000-0000C7620000}"/>
    <cellStyle name="Normal 3 2 33 4" xfId="25297" xr:uid="{00000000-0005-0000-0000-0000C8620000}"/>
    <cellStyle name="Normal 3 2 33 4 2" xfId="25298" xr:uid="{00000000-0005-0000-0000-0000C9620000}"/>
    <cellStyle name="Normal 3 2 33 4 3" xfId="25299" xr:uid="{00000000-0005-0000-0000-0000CA620000}"/>
    <cellStyle name="Normal 3 2 33 5" xfId="25300" xr:uid="{00000000-0005-0000-0000-0000CB620000}"/>
    <cellStyle name="Normal 3 2 33 5 2" xfId="25301" xr:uid="{00000000-0005-0000-0000-0000CC620000}"/>
    <cellStyle name="Normal 3 2 33 5 3" xfId="25302" xr:uid="{00000000-0005-0000-0000-0000CD620000}"/>
    <cellStyle name="Normal 3 2 33 6" xfId="25303" xr:uid="{00000000-0005-0000-0000-0000CE620000}"/>
    <cellStyle name="Normal 3 2 33 6 2" xfId="25304" xr:uid="{00000000-0005-0000-0000-0000CF620000}"/>
    <cellStyle name="Normal 3 2 33 6 3" xfId="25305" xr:uid="{00000000-0005-0000-0000-0000D0620000}"/>
    <cellStyle name="Normal 3 2 33 7" xfId="25306" xr:uid="{00000000-0005-0000-0000-0000D1620000}"/>
    <cellStyle name="Normal 3 2 33 7 2" xfId="25307" xr:uid="{00000000-0005-0000-0000-0000D2620000}"/>
    <cellStyle name="Normal 3 2 33 7 3" xfId="25308" xr:uid="{00000000-0005-0000-0000-0000D3620000}"/>
    <cellStyle name="Normal 3 2 33 8" xfId="25309" xr:uid="{00000000-0005-0000-0000-0000D4620000}"/>
    <cellStyle name="Normal 3 2 33 8 2" xfId="25310" xr:uid="{00000000-0005-0000-0000-0000D5620000}"/>
    <cellStyle name="Normal 3 2 33 8 3" xfId="25311" xr:uid="{00000000-0005-0000-0000-0000D6620000}"/>
    <cellStyle name="Normal 3 2 33 9" xfId="25312" xr:uid="{00000000-0005-0000-0000-0000D7620000}"/>
    <cellStyle name="Normal 3 2 33 9 2" xfId="25313" xr:uid="{00000000-0005-0000-0000-0000D8620000}"/>
    <cellStyle name="Normal 3 2 33 9 3" xfId="25314" xr:uid="{00000000-0005-0000-0000-0000D9620000}"/>
    <cellStyle name="Normal 3 2 34" xfId="25315" xr:uid="{00000000-0005-0000-0000-0000DA620000}"/>
    <cellStyle name="Normal 3 2 35" xfId="25316" xr:uid="{00000000-0005-0000-0000-0000DB620000}"/>
    <cellStyle name="Normal 3 2 36" xfId="25317" xr:uid="{00000000-0005-0000-0000-0000DC620000}"/>
    <cellStyle name="Normal 3 2 36 10" xfId="25318" xr:uid="{00000000-0005-0000-0000-0000DD620000}"/>
    <cellStyle name="Normal 3 2 36 10 2" xfId="25319" xr:uid="{00000000-0005-0000-0000-0000DE620000}"/>
    <cellStyle name="Normal 3 2 36 10 3" xfId="25320" xr:uid="{00000000-0005-0000-0000-0000DF620000}"/>
    <cellStyle name="Normal 3 2 36 11" xfId="25321" xr:uid="{00000000-0005-0000-0000-0000E0620000}"/>
    <cellStyle name="Normal 3 2 36 11 2" xfId="25322" xr:uid="{00000000-0005-0000-0000-0000E1620000}"/>
    <cellStyle name="Normal 3 2 36 11 3" xfId="25323" xr:uid="{00000000-0005-0000-0000-0000E2620000}"/>
    <cellStyle name="Normal 3 2 36 12" xfId="25324" xr:uid="{00000000-0005-0000-0000-0000E3620000}"/>
    <cellStyle name="Normal 3 2 36 12 2" xfId="25325" xr:uid="{00000000-0005-0000-0000-0000E4620000}"/>
    <cellStyle name="Normal 3 2 36 12 3" xfId="25326" xr:uid="{00000000-0005-0000-0000-0000E5620000}"/>
    <cellStyle name="Normal 3 2 36 13" xfId="25327" xr:uid="{00000000-0005-0000-0000-0000E6620000}"/>
    <cellStyle name="Normal 3 2 36 13 2" xfId="25328" xr:uid="{00000000-0005-0000-0000-0000E7620000}"/>
    <cellStyle name="Normal 3 2 36 13 3" xfId="25329" xr:uid="{00000000-0005-0000-0000-0000E8620000}"/>
    <cellStyle name="Normal 3 2 36 14" xfId="25330" xr:uid="{00000000-0005-0000-0000-0000E9620000}"/>
    <cellStyle name="Normal 3 2 36 14 2" xfId="25331" xr:uid="{00000000-0005-0000-0000-0000EA620000}"/>
    <cellStyle name="Normal 3 2 36 14 3" xfId="25332" xr:uid="{00000000-0005-0000-0000-0000EB620000}"/>
    <cellStyle name="Normal 3 2 36 15" xfId="25333" xr:uid="{00000000-0005-0000-0000-0000EC620000}"/>
    <cellStyle name="Normal 3 2 36 16" xfId="25334" xr:uid="{00000000-0005-0000-0000-0000ED620000}"/>
    <cellStyle name="Normal 3 2 36 2" xfId="25335" xr:uid="{00000000-0005-0000-0000-0000EE620000}"/>
    <cellStyle name="Normal 3 2 36 2 2" xfId="25336" xr:uid="{00000000-0005-0000-0000-0000EF620000}"/>
    <cellStyle name="Normal 3 2 36 2 3" xfId="25337" xr:uid="{00000000-0005-0000-0000-0000F0620000}"/>
    <cellStyle name="Normal 3 2 36 3" xfId="25338" xr:uid="{00000000-0005-0000-0000-0000F1620000}"/>
    <cellStyle name="Normal 3 2 36 3 2" xfId="25339" xr:uid="{00000000-0005-0000-0000-0000F2620000}"/>
    <cellStyle name="Normal 3 2 36 3 3" xfId="25340" xr:uid="{00000000-0005-0000-0000-0000F3620000}"/>
    <cellStyle name="Normal 3 2 36 4" xfId="25341" xr:uid="{00000000-0005-0000-0000-0000F4620000}"/>
    <cellStyle name="Normal 3 2 36 4 2" xfId="25342" xr:uid="{00000000-0005-0000-0000-0000F5620000}"/>
    <cellStyle name="Normal 3 2 36 4 3" xfId="25343" xr:uid="{00000000-0005-0000-0000-0000F6620000}"/>
    <cellStyle name="Normal 3 2 36 5" xfId="25344" xr:uid="{00000000-0005-0000-0000-0000F7620000}"/>
    <cellStyle name="Normal 3 2 36 5 2" xfId="25345" xr:uid="{00000000-0005-0000-0000-0000F8620000}"/>
    <cellStyle name="Normal 3 2 36 5 3" xfId="25346" xr:uid="{00000000-0005-0000-0000-0000F9620000}"/>
    <cellStyle name="Normal 3 2 36 6" xfId="25347" xr:uid="{00000000-0005-0000-0000-0000FA620000}"/>
    <cellStyle name="Normal 3 2 36 6 2" xfId="25348" xr:uid="{00000000-0005-0000-0000-0000FB620000}"/>
    <cellStyle name="Normal 3 2 36 6 3" xfId="25349" xr:uid="{00000000-0005-0000-0000-0000FC620000}"/>
    <cellStyle name="Normal 3 2 36 7" xfId="25350" xr:uid="{00000000-0005-0000-0000-0000FD620000}"/>
    <cellStyle name="Normal 3 2 36 7 2" xfId="25351" xr:uid="{00000000-0005-0000-0000-0000FE620000}"/>
    <cellStyle name="Normal 3 2 36 7 3" xfId="25352" xr:uid="{00000000-0005-0000-0000-0000FF620000}"/>
    <cellStyle name="Normal 3 2 36 8" xfId="25353" xr:uid="{00000000-0005-0000-0000-000000630000}"/>
    <cellStyle name="Normal 3 2 36 8 2" xfId="25354" xr:uid="{00000000-0005-0000-0000-000001630000}"/>
    <cellStyle name="Normal 3 2 36 8 3" xfId="25355" xr:uid="{00000000-0005-0000-0000-000002630000}"/>
    <cellStyle name="Normal 3 2 36 9" xfId="25356" xr:uid="{00000000-0005-0000-0000-000003630000}"/>
    <cellStyle name="Normal 3 2 36 9 2" xfId="25357" xr:uid="{00000000-0005-0000-0000-000004630000}"/>
    <cellStyle name="Normal 3 2 36 9 3" xfId="25358" xr:uid="{00000000-0005-0000-0000-000005630000}"/>
    <cellStyle name="Normal 3 2 37" xfId="25359" xr:uid="{00000000-0005-0000-0000-000006630000}"/>
    <cellStyle name="Normal 3 2 37 10" xfId="25360" xr:uid="{00000000-0005-0000-0000-000007630000}"/>
    <cellStyle name="Normal 3 2 37 10 2" xfId="25361" xr:uid="{00000000-0005-0000-0000-000008630000}"/>
    <cellStyle name="Normal 3 2 37 10 3" xfId="25362" xr:uid="{00000000-0005-0000-0000-000009630000}"/>
    <cellStyle name="Normal 3 2 37 11" xfId="25363" xr:uid="{00000000-0005-0000-0000-00000A630000}"/>
    <cellStyle name="Normal 3 2 37 11 2" xfId="25364" xr:uid="{00000000-0005-0000-0000-00000B630000}"/>
    <cellStyle name="Normal 3 2 37 11 3" xfId="25365" xr:uid="{00000000-0005-0000-0000-00000C630000}"/>
    <cellStyle name="Normal 3 2 37 12" xfId="25366" xr:uid="{00000000-0005-0000-0000-00000D630000}"/>
    <cellStyle name="Normal 3 2 37 12 2" xfId="25367" xr:uid="{00000000-0005-0000-0000-00000E630000}"/>
    <cellStyle name="Normal 3 2 37 12 3" xfId="25368" xr:uid="{00000000-0005-0000-0000-00000F630000}"/>
    <cellStyle name="Normal 3 2 37 13" xfId="25369" xr:uid="{00000000-0005-0000-0000-000010630000}"/>
    <cellStyle name="Normal 3 2 37 13 2" xfId="25370" xr:uid="{00000000-0005-0000-0000-000011630000}"/>
    <cellStyle name="Normal 3 2 37 13 3" xfId="25371" xr:uid="{00000000-0005-0000-0000-000012630000}"/>
    <cellStyle name="Normal 3 2 37 14" xfId="25372" xr:uid="{00000000-0005-0000-0000-000013630000}"/>
    <cellStyle name="Normal 3 2 37 14 2" xfId="25373" xr:uid="{00000000-0005-0000-0000-000014630000}"/>
    <cellStyle name="Normal 3 2 37 14 3" xfId="25374" xr:uid="{00000000-0005-0000-0000-000015630000}"/>
    <cellStyle name="Normal 3 2 37 15" xfId="25375" xr:uid="{00000000-0005-0000-0000-000016630000}"/>
    <cellStyle name="Normal 3 2 37 16" xfId="25376" xr:uid="{00000000-0005-0000-0000-000017630000}"/>
    <cellStyle name="Normal 3 2 37 2" xfId="25377" xr:uid="{00000000-0005-0000-0000-000018630000}"/>
    <cellStyle name="Normal 3 2 37 2 2" xfId="25378" xr:uid="{00000000-0005-0000-0000-000019630000}"/>
    <cellStyle name="Normal 3 2 37 2 3" xfId="25379" xr:uid="{00000000-0005-0000-0000-00001A630000}"/>
    <cellStyle name="Normal 3 2 37 3" xfId="25380" xr:uid="{00000000-0005-0000-0000-00001B630000}"/>
    <cellStyle name="Normal 3 2 37 3 2" xfId="25381" xr:uid="{00000000-0005-0000-0000-00001C630000}"/>
    <cellStyle name="Normal 3 2 37 3 3" xfId="25382" xr:uid="{00000000-0005-0000-0000-00001D630000}"/>
    <cellStyle name="Normal 3 2 37 4" xfId="25383" xr:uid="{00000000-0005-0000-0000-00001E630000}"/>
    <cellStyle name="Normal 3 2 37 4 2" xfId="25384" xr:uid="{00000000-0005-0000-0000-00001F630000}"/>
    <cellStyle name="Normal 3 2 37 4 3" xfId="25385" xr:uid="{00000000-0005-0000-0000-000020630000}"/>
    <cellStyle name="Normal 3 2 37 5" xfId="25386" xr:uid="{00000000-0005-0000-0000-000021630000}"/>
    <cellStyle name="Normal 3 2 37 5 2" xfId="25387" xr:uid="{00000000-0005-0000-0000-000022630000}"/>
    <cellStyle name="Normal 3 2 37 5 3" xfId="25388" xr:uid="{00000000-0005-0000-0000-000023630000}"/>
    <cellStyle name="Normal 3 2 37 6" xfId="25389" xr:uid="{00000000-0005-0000-0000-000024630000}"/>
    <cellStyle name="Normal 3 2 37 6 2" xfId="25390" xr:uid="{00000000-0005-0000-0000-000025630000}"/>
    <cellStyle name="Normal 3 2 37 6 3" xfId="25391" xr:uid="{00000000-0005-0000-0000-000026630000}"/>
    <cellStyle name="Normal 3 2 37 7" xfId="25392" xr:uid="{00000000-0005-0000-0000-000027630000}"/>
    <cellStyle name="Normal 3 2 37 7 2" xfId="25393" xr:uid="{00000000-0005-0000-0000-000028630000}"/>
    <cellStyle name="Normal 3 2 37 7 3" xfId="25394" xr:uid="{00000000-0005-0000-0000-000029630000}"/>
    <cellStyle name="Normal 3 2 37 8" xfId="25395" xr:uid="{00000000-0005-0000-0000-00002A630000}"/>
    <cellStyle name="Normal 3 2 37 8 2" xfId="25396" xr:uid="{00000000-0005-0000-0000-00002B630000}"/>
    <cellStyle name="Normal 3 2 37 8 3" xfId="25397" xr:uid="{00000000-0005-0000-0000-00002C630000}"/>
    <cellStyle name="Normal 3 2 37 9" xfId="25398" xr:uid="{00000000-0005-0000-0000-00002D630000}"/>
    <cellStyle name="Normal 3 2 37 9 2" xfId="25399" xr:uid="{00000000-0005-0000-0000-00002E630000}"/>
    <cellStyle name="Normal 3 2 37 9 3" xfId="25400" xr:uid="{00000000-0005-0000-0000-00002F630000}"/>
    <cellStyle name="Normal 3 2 4" xfId="25401" xr:uid="{00000000-0005-0000-0000-000030630000}"/>
    <cellStyle name="Normal 3 2 5" xfId="25402" xr:uid="{00000000-0005-0000-0000-000031630000}"/>
    <cellStyle name="Normal 3 2 6" xfId="25403" xr:uid="{00000000-0005-0000-0000-000032630000}"/>
    <cellStyle name="Normal 3 2 7" xfId="25404" xr:uid="{00000000-0005-0000-0000-000033630000}"/>
    <cellStyle name="Normal 3 2 8" xfId="25405" xr:uid="{00000000-0005-0000-0000-000034630000}"/>
    <cellStyle name="Normal 3 2 9" xfId="25406" xr:uid="{00000000-0005-0000-0000-000035630000}"/>
    <cellStyle name="Normal 3 20" xfId="25407" xr:uid="{00000000-0005-0000-0000-000036630000}"/>
    <cellStyle name="Normal 3 20 10" xfId="25408" xr:uid="{00000000-0005-0000-0000-000037630000}"/>
    <cellStyle name="Normal 3 20 10 10" xfId="25409" xr:uid="{00000000-0005-0000-0000-000038630000}"/>
    <cellStyle name="Normal 3 20 10 10 2" xfId="25410" xr:uid="{00000000-0005-0000-0000-000039630000}"/>
    <cellStyle name="Normal 3 20 10 10 3" xfId="25411" xr:uid="{00000000-0005-0000-0000-00003A630000}"/>
    <cellStyle name="Normal 3 20 10 11" xfId="25412" xr:uid="{00000000-0005-0000-0000-00003B630000}"/>
    <cellStyle name="Normal 3 20 10 11 2" xfId="25413" xr:uid="{00000000-0005-0000-0000-00003C630000}"/>
    <cellStyle name="Normal 3 20 10 11 3" xfId="25414" xr:uid="{00000000-0005-0000-0000-00003D630000}"/>
    <cellStyle name="Normal 3 20 10 12" xfId="25415" xr:uid="{00000000-0005-0000-0000-00003E630000}"/>
    <cellStyle name="Normal 3 20 10 12 2" xfId="25416" xr:uid="{00000000-0005-0000-0000-00003F630000}"/>
    <cellStyle name="Normal 3 20 10 12 3" xfId="25417" xr:uid="{00000000-0005-0000-0000-000040630000}"/>
    <cellStyle name="Normal 3 20 10 13" xfId="25418" xr:uid="{00000000-0005-0000-0000-000041630000}"/>
    <cellStyle name="Normal 3 20 10 13 2" xfId="25419" xr:uid="{00000000-0005-0000-0000-000042630000}"/>
    <cellStyle name="Normal 3 20 10 13 3" xfId="25420" xr:uid="{00000000-0005-0000-0000-000043630000}"/>
    <cellStyle name="Normal 3 20 10 14" xfId="25421" xr:uid="{00000000-0005-0000-0000-000044630000}"/>
    <cellStyle name="Normal 3 20 10 14 2" xfId="25422" xr:uid="{00000000-0005-0000-0000-000045630000}"/>
    <cellStyle name="Normal 3 20 10 14 3" xfId="25423" xr:uid="{00000000-0005-0000-0000-000046630000}"/>
    <cellStyle name="Normal 3 20 10 15" xfId="25424" xr:uid="{00000000-0005-0000-0000-000047630000}"/>
    <cellStyle name="Normal 3 20 10 16" xfId="25425" xr:uid="{00000000-0005-0000-0000-000048630000}"/>
    <cellStyle name="Normal 3 20 10 2" xfId="25426" xr:uid="{00000000-0005-0000-0000-000049630000}"/>
    <cellStyle name="Normal 3 20 10 2 2" xfId="25427" xr:uid="{00000000-0005-0000-0000-00004A630000}"/>
    <cellStyle name="Normal 3 20 10 2 3" xfId="25428" xr:uid="{00000000-0005-0000-0000-00004B630000}"/>
    <cellStyle name="Normal 3 20 10 3" xfId="25429" xr:uid="{00000000-0005-0000-0000-00004C630000}"/>
    <cellStyle name="Normal 3 20 10 3 2" xfId="25430" xr:uid="{00000000-0005-0000-0000-00004D630000}"/>
    <cellStyle name="Normal 3 20 10 3 3" xfId="25431" xr:uid="{00000000-0005-0000-0000-00004E630000}"/>
    <cellStyle name="Normal 3 20 10 4" xfId="25432" xr:uid="{00000000-0005-0000-0000-00004F630000}"/>
    <cellStyle name="Normal 3 20 10 4 2" xfId="25433" xr:uid="{00000000-0005-0000-0000-000050630000}"/>
    <cellStyle name="Normal 3 20 10 4 3" xfId="25434" xr:uid="{00000000-0005-0000-0000-000051630000}"/>
    <cellStyle name="Normal 3 20 10 5" xfId="25435" xr:uid="{00000000-0005-0000-0000-000052630000}"/>
    <cellStyle name="Normal 3 20 10 5 2" xfId="25436" xr:uid="{00000000-0005-0000-0000-000053630000}"/>
    <cellStyle name="Normal 3 20 10 5 3" xfId="25437" xr:uid="{00000000-0005-0000-0000-000054630000}"/>
    <cellStyle name="Normal 3 20 10 6" xfId="25438" xr:uid="{00000000-0005-0000-0000-000055630000}"/>
    <cellStyle name="Normal 3 20 10 6 2" xfId="25439" xr:uid="{00000000-0005-0000-0000-000056630000}"/>
    <cellStyle name="Normal 3 20 10 6 3" xfId="25440" xr:uid="{00000000-0005-0000-0000-000057630000}"/>
    <cellStyle name="Normal 3 20 10 7" xfId="25441" xr:uid="{00000000-0005-0000-0000-000058630000}"/>
    <cellStyle name="Normal 3 20 10 7 2" xfId="25442" xr:uid="{00000000-0005-0000-0000-000059630000}"/>
    <cellStyle name="Normal 3 20 10 7 3" xfId="25443" xr:uid="{00000000-0005-0000-0000-00005A630000}"/>
    <cellStyle name="Normal 3 20 10 8" xfId="25444" xr:uid="{00000000-0005-0000-0000-00005B630000}"/>
    <cellStyle name="Normal 3 20 10 8 2" xfId="25445" xr:uid="{00000000-0005-0000-0000-00005C630000}"/>
    <cellStyle name="Normal 3 20 10 8 3" xfId="25446" xr:uid="{00000000-0005-0000-0000-00005D630000}"/>
    <cellStyle name="Normal 3 20 10 9" xfId="25447" xr:uid="{00000000-0005-0000-0000-00005E630000}"/>
    <cellStyle name="Normal 3 20 10 9 2" xfId="25448" xr:uid="{00000000-0005-0000-0000-00005F630000}"/>
    <cellStyle name="Normal 3 20 10 9 3" xfId="25449" xr:uid="{00000000-0005-0000-0000-000060630000}"/>
    <cellStyle name="Normal 3 20 11" xfId="25450" xr:uid="{00000000-0005-0000-0000-000061630000}"/>
    <cellStyle name="Normal 3 20 11 10" xfId="25451" xr:uid="{00000000-0005-0000-0000-000062630000}"/>
    <cellStyle name="Normal 3 20 11 10 2" xfId="25452" xr:uid="{00000000-0005-0000-0000-000063630000}"/>
    <cellStyle name="Normal 3 20 11 10 3" xfId="25453" xr:uid="{00000000-0005-0000-0000-000064630000}"/>
    <cellStyle name="Normal 3 20 11 11" xfId="25454" xr:uid="{00000000-0005-0000-0000-000065630000}"/>
    <cellStyle name="Normal 3 20 11 11 2" xfId="25455" xr:uid="{00000000-0005-0000-0000-000066630000}"/>
    <cellStyle name="Normal 3 20 11 11 3" xfId="25456" xr:uid="{00000000-0005-0000-0000-000067630000}"/>
    <cellStyle name="Normal 3 20 11 12" xfId="25457" xr:uid="{00000000-0005-0000-0000-000068630000}"/>
    <cellStyle name="Normal 3 20 11 12 2" xfId="25458" xr:uid="{00000000-0005-0000-0000-000069630000}"/>
    <cellStyle name="Normal 3 20 11 12 3" xfId="25459" xr:uid="{00000000-0005-0000-0000-00006A630000}"/>
    <cellStyle name="Normal 3 20 11 13" xfId="25460" xr:uid="{00000000-0005-0000-0000-00006B630000}"/>
    <cellStyle name="Normal 3 20 11 13 2" xfId="25461" xr:uid="{00000000-0005-0000-0000-00006C630000}"/>
    <cellStyle name="Normal 3 20 11 13 3" xfId="25462" xr:uid="{00000000-0005-0000-0000-00006D630000}"/>
    <cellStyle name="Normal 3 20 11 14" xfId="25463" xr:uid="{00000000-0005-0000-0000-00006E630000}"/>
    <cellStyle name="Normal 3 20 11 14 2" xfId="25464" xr:uid="{00000000-0005-0000-0000-00006F630000}"/>
    <cellStyle name="Normal 3 20 11 14 3" xfId="25465" xr:uid="{00000000-0005-0000-0000-000070630000}"/>
    <cellStyle name="Normal 3 20 11 15" xfId="25466" xr:uid="{00000000-0005-0000-0000-000071630000}"/>
    <cellStyle name="Normal 3 20 11 16" xfId="25467" xr:uid="{00000000-0005-0000-0000-000072630000}"/>
    <cellStyle name="Normal 3 20 11 2" xfId="25468" xr:uid="{00000000-0005-0000-0000-000073630000}"/>
    <cellStyle name="Normal 3 20 11 2 2" xfId="25469" xr:uid="{00000000-0005-0000-0000-000074630000}"/>
    <cellStyle name="Normal 3 20 11 2 3" xfId="25470" xr:uid="{00000000-0005-0000-0000-000075630000}"/>
    <cellStyle name="Normal 3 20 11 3" xfId="25471" xr:uid="{00000000-0005-0000-0000-000076630000}"/>
    <cellStyle name="Normal 3 20 11 3 2" xfId="25472" xr:uid="{00000000-0005-0000-0000-000077630000}"/>
    <cellStyle name="Normal 3 20 11 3 3" xfId="25473" xr:uid="{00000000-0005-0000-0000-000078630000}"/>
    <cellStyle name="Normal 3 20 11 4" xfId="25474" xr:uid="{00000000-0005-0000-0000-000079630000}"/>
    <cellStyle name="Normal 3 20 11 4 2" xfId="25475" xr:uid="{00000000-0005-0000-0000-00007A630000}"/>
    <cellStyle name="Normal 3 20 11 4 3" xfId="25476" xr:uid="{00000000-0005-0000-0000-00007B630000}"/>
    <cellStyle name="Normal 3 20 11 5" xfId="25477" xr:uid="{00000000-0005-0000-0000-00007C630000}"/>
    <cellStyle name="Normal 3 20 11 5 2" xfId="25478" xr:uid="{00000000-0005-0000-0000-00007D630000}"/>
    <cellStyle name="Normal 3 20 11 5 3" xfId="25479" xr:uid="{00000000-0005-0000-0000-00007E630000}"/>
    <cellStyle name="Normal 3 20 11 6" xfId="25480" xr:uid="{00000000-0005-0000-0000-00007F630000}"/>
    <cellStyle name="Normal 3 20 11 6 2" xfId="25481" xr:uid="{00000000-0005-0000-0000-000080630000}"/>
    <cellStyle name="Normal 3 20 11 6 3" xfId="25482" xr:uid="{00000000-0005-0000-0000-000081630000}"/>
    <cellStyle name="Normal 3 20 11 7" xfId="25483" xr:uid="{00000000-0005-0000-0000-000082630000}"/>
    <cellStyle name="Normal 3 20 11 7 2" xfId="25484" xr:uid="{00000000-0005-0000-0000-000083630000}"/>
    <cellStyle name="Normal 3 20 11 7 3" xfId="25485" xr:uid="{00000000-0005-0000-0000-000084630000}"/>
    <cellStyle name="Normal 3 20 11 8" xfId="25486" xr:uid="{00000000-0005-0000-0000-000085630000}"/>
    <cellStyle name="Normal 3 20 11 8 2" xfId="25487" xr:uid="{00000000-0005-0000-0000-000086630000}"/>
    <cellStyle name="Normal 3 20 11 8 3" xfId="25488" xr:uid="{00000000-0005-0000-0000-000087630000}"/>
    <cellStyle name="Normal 3 20 11 9" xfId="25489" xr:uid="{00000000-0005-0000-0000-000088630000}"/>
    <cellStyle name="Normal 3 20 11 9 2" xfId="25490" xr:uid="{00000000-0005-0000-0000-000089630000}"/>
    <cellStyle name="Normal 3 20 11 9 3" xfId="25491" xr:uid="{00000000-0005-0000-0000-00008A630000}"/>
    <cellStyle name="Normal 3 20 12" xfId="25492" xr:uid="{00000000-0005-0000-0000-00008B630000}"/>
    <cellStyle name="Normal 3 20 12 10" xfId="25493" xr:uid="{00000000-0005-0000-0000-00008C630000}"/>
    <cellStyle name="Normal 3 20 12 10 2" xfId="25494" xr:uid="{00000000-0005-0000-0000-00008D630000}"/>
    <cellStyle name="Normal 3 20 12 10 3" xfId="25495" xr:uid="{00000000-0005-0000-0000-00008E630000}"/>
    <cellStyle name="Normal 3 20 12 11" xfId="25496" xr:uid="{00000000-0005-0000-0000-00008F630000}"/>
    <cellStyle name="Normal 3 20 12 11 2" xfId="25497" xr:uid="{00000000-0005-0000-0000-000090630000}"/>
    <cellStyle name="Normal 3 20 12 11 3" xfId="25498" xr:uid="{00000000-0005-0000-0000-000091630000}"/>
    <cellStyle name="Normal 3 20 12 12" xfId="25499" xr:uid="{00000000-0005-0000-0000-000092630000}"/>
    <cellStyle name="Normal 3 20 12 12 2" xfId="25500" xr:uid="{00000000-0005-0000-0000-000093630000}"/>
    <cellStyle name="Normal 3 20 12 12 3" xfId="25501" xr:uid="{00000000-0005-0000-0000-000094630000}"/>
    <cellStyle name="Normal 3 20 12 13" xfId="25502" xr:uid="{00000000-0005-0000-0000-000095630000}"/>
    <cellStyle name="Normal 3 20 12 13 2" xfId="25503" xr:uid="{00000000-0005-0000-0000-000096630000}"/>
    <cellStyle name="Normal 3 20 12 13 3" xfId="25504" xr:uid="{00000000-0005-0000-0000-000097630000}"/>
    <cellStyle name="Normal 3 20 12 14" xfId="25505" xr:uid="{00000000-0005-0000-0000-000098630000}"/>
    <cellStyle name="Normal 3 20 12 14 2" xfId="25506" xr:uid="{00000000-0005-0000-0000-000099630000}"/>
    <cellStyle name="Normal 3 20 12 14 3" xfId="25507" xr:uid="{00000000-0005-0000-0000-00009A630000}"/>
    <cellStyle name="Normal 3 20 12 15" xfId="25508" xr:uid="{00000000-0005-0000-0000-00009B630000}"/>
    <cellStyle name="Normal 3 20 12 16" xfId="25509" xr:uid="{00000000-0005-0000-0000-00009C630000}"/>
    <cellStyle name="Normal 3 20 12 2" xfId="25510" xr:uid="{00000000-0005-0000-0000-00009D630000}"/>
    <cellStyle name="Normal 3 20 12 2 2" xfId="25511" xr:uid="{00000000-0005-0000-0000-00009E630000}"/>
    <cellStyle name="Normal 3 20 12 2 3" xfId="25512" xr:uid="{00000000-0005-0000-0000-00009F630000}"/>
    <cellStyle name="Normal 3 20 12 3" xfId="25513" xr:uid="{00000000-0005-0000-0000-0000A0630000}"/>
    <cellStyle name="Normal 3 20 12 3 2" xfId="25514" xr:uid="{00000000-0005-0000-0000-0000A1630000}"/>
    <cellStyle name="Normal 3 20 12 3 3" xfId="25515" xr:uid="{00000000-0005-0000-0000-0000A2630000}"/>
    <cellStyle name="Normal 3 20 12 4" xfId="25516" xr:uid="{00000000-0005-0000-0000-0000A3630000}"/>
    <cellStyle name="Normal 3 20 12 4 2" xfId="25517" xr:uid="{00000000-0005-0000-0000-0000A4630000}"/>
    <cellStyle name="Normal 3 20 12 4 3" xfId="25518" xr:uid="{00000000-0005-0000-0000-0000A5630000}"/>
    <cellStyle name="Normal 3 20 12 5" xfId="25519" xr:uid="{00000000-0005-0000-0000-0000A6630000}"/>
    <cellStyle name="Normal 3 20 12 5 2" xfId="25520" xr:uid="{00000000-0005-0000-0000-0000A7630000}"/>
    <cellStyle name="Normal 3 20 12 5 3" xfId="25521" xr:uid="{00000000-0005-0000-0000-0000A8630000}"/>
    <cellStyle name="Normal 3 20 12 6" xfId="25522" xr:uid="{00000000-0005-0000-0000-0000A9630000}"/>
    <cellStyle name="Normal 3 20 12 6 2" xfId="25523" xr:uid="{00000000-0005-0000-0000-0000AA630000}"/>
    <cellStyle name="Normal 3 20 12 6 3" xfId="25524" xr:uid="{00000000-0005-0000-0000-0000AB630000}"/>
    <cellStyle name="Normal 3 20 12 7" xfId="25525" xr:uid="{00000000-0005-0000-0000-0000AC630000}"/>
    <cellStyle name="Normal 3 20 12 7 2" xfId="25526" xr:uid="{00000000-0005-0000-0000-0000AD630000}"/>
    <cellStyle name="Normal 3 20 12 7 3" xfId="25527" xr:uid="{00000000-0005-0000-0000-0000AE630000}"/>
    <cellStyle name="Normal 3 20 12 8" xfId="25528" xr:uid="{00000000-0005-0000-0000-0000AF630000}"/>
    <cellStyle name="Normal 3 20 12 8 2" xfId="25529" xr:uid="{00000000-0005-0000-0000-0000B0630000}"/>
    <cellStyle name="Normal 3 20 12 8 3" xfId="25530" xr:uid="{00000000-0005-0000-0000-0000B1630000}"/>
    <cellStyle name="Normal 3 20 12 9" xfId="25531" xr:uid="{00000000-0005-0000-0000-0000B2630000}"/>
    <cellStyle name="Normal 3 20 12 9 2" xfId="25532" xr:uid="{00000000-0005-0000-0000-0000B3630000}"/>
    <cellStyle name="Normal 3 20 12 9 3" xfId="25533" xr:uid="{00000000-0005-0000-0000-0000B4630000}"/>
    <cellStyle name="Normal 3 20 13" xfId="25534" xr:uid="{00000000-0005-0000-0000-0000B5630000}"/>
    <cellStyle name="Normal 3 20 13 10" xfId="25535" xr:uid="{00000000-0005-0000-0000-0000B6630000}"/>
    <cellStyle name="Normal 3 20 13 10 2" xfId="25536" xr:uid="{00000000-0005-0000-0000-0000B7630000}"/>
    <cellStyle name="Normal 3 20 13 10 3" xfId="25537" xr:uid="{00000000-0005-0000-0000-0000B8630000}"/>
    <cellStyle name="Normal 3 20 13 11" xfId="25538" xr:uid="{00000000-0005-0000-0000-0000B9630000}"/>
    <cellStyle name="Normal 3 20 13 11 2" xfId="25539" xr:uid="{00000000-0005-0000-0000-0000BA630000}"/>
    <cellStyle name="Normal 3 20 13 11 3" xfId="25540" xr:uid="{00000000-0005-0000-0000-0000BB630000}"/>
    <cellStyle name="Normal 3 20 13 12" xfId="25541" xr:uid="{00000000-0005-0000-0000-0000BC630000}"/>
    <cellStyle name="Normal 3 20 13 12 2" xfId="25542" xr:uid="{00000000-0005-0000-0000-0000BD630000}"/>
    <cellStyle name="Normal 3 20 13 12 3" xfId="25543" xr:uid="{00000000-0005-0000-0000-0000BE630000}"/>
    <cellStyle name="Normal 3 20 13 13" xfId="25544" xr:uid="{00000000-0005-0000-0000-0000BF630000}"/>
    <cellStyle name="Normal 3 20 13 13 2" xfId="25545" xr:uid="{00000000-0005-0000-0000-0000C0630000}"/>
    <cellStyle name="Normal 3 20 13 13 3" xfId="25546" xr:uid="{00000000-0005-0000-0000-0000C1630000}"/>
    <cellStyle name="Normal 3 20 13 14" xfId="25547" xr:uid="{00000000-0005-0000-0000-0000C2630000}"/>
    <cellStyle name="Normal 3 20 13 14 2" xfId="25548" xr:uid="{00000000-0005-0000-0000-0000C3630000}"/>
    <cellStyle name="Normal 3 20 13 14 3" xfId="25549" xr:uid="{00000000-0005-0000-0000-0000C4630000}"/>
    <cellStyle name="Normal 3 20 13 15" xfId="25550" xr:uid="{00000000-0005-0000-0000-0000C5630000}"/>
    <cellStyle name="Normal 3 20 13 16" xfId="25551" xr:uid="{00000000-0005-0000-0000-0000C6630000}"/>
    <cellStyle name="Normal 3 20 13 2" xfId="25552" xr:uid="{00000000-0005-0000-0000-0000C7630000}"/>
    <cellStyle name="Normal 3 20 13 2 2" xfId="25553" xr:uid="{00000000-0005-0000-0000-0000C8630000}"/>
    <cellStyle name="Normal 3 20 13 2 3" xfId="25554" xr:uid="{00000000-0005-0000-0000-0000C9630000}"/>
    <cellStyle name="Normal 3 20 13 3" xfId="25555" xr:uid="{00000000-0005-0000-0000-0000CA630000}"/>
    <cellStyle name="Normal 3 20 13 3 2" xfId="25556" xr:uid="{00000000-0005-0000-0000-0000CB630000}"/>
    <cellStyle name="Normal 3 20 13 3 3" xfId="25557" xr:uid="{00000000-0005-0000-0000-0000CC630000}"/>
    <cellStyle name="Normal 3 20 13 4" xfId="25558" xr:uid="{00000000-0005-0000-0000-0000CD630000}"/>
    <cellStyle name="Normal 3 20 13 4 2" xfId="25559" xr:uid="{00000000-0005-0000-0000-0000CE630000}"/>
    <cellStyle name="Normal 3 20 13 4 3" xfId="25560" xr:uid="{00000000-0005-0000-0000-0000CF630000}"/>
    <cellStyle name="Normal 3 20 13 5" xfId="25561" xr:uid="{00000000-0005-0000-0000-0000D0630000}"/>
    <cellStyle name="Normal 3 20 13 5 2" xfId="25562" xr:uid="{00000000-0005-0000-0000-0000D1630000}"/>
    <cellStyle name="Normal 3 20 13 5 3" xfId="25563" xr:uid="{00000000-0005-0000-0000-0000D2630000}"/>
    <cellStyle name="Normal 3 20 13 6" xfId="25564" xr:uid="{00000000-0005-0000-0000-0000D3630000}"/>
    <cellStyle name="Normal 3 20 13 6 2" xfId="25565" xr:uid="{00000000-0005-0000-0000-0000D4630000}"/>
    <cellStyle name="Normal 3 20 13 6 3" xfId="25566" xr:uid="{00000000-0005-0000-0000-0000D5630000}"/>
    <cellStyle name="Normal 3 20 13 7" xfId="25567" xr:uid="{00000000-0005-0000-0000-0000D6630000}"/>
    <cellStyle name="Normal 3 20 13 7 2" xfId="25568" xr:uid="{00000000-0005-0000-0000-0000D7630000}"/>
    <cellStyle name="Normal 3 20 13 7 3" xfId="25569" xr:uid="{00000000-0005-0000-0000-0000D8630000}"/>
    <cellStyle name="Normal 3 20 13 8" xfId="25570" xr:uid="{00000000-0005-0000-0000-0000D9630000}"/>
    <cellStyle name="Normal 3 20 13 8 2" xfId="25571" xr:uid="{00000000-0005-0000-0000-0000DA630000}"/>
    <cellStyle name="Normal 3 20 13 8 3" xfId="25572" xr:uid="{00000000-0005-0000-0000-0000DB630000}"/>
    <cellStyle name="Normal 3 20 13 9" xfId="25573" xr:uid="{00000000-0005-0000-0000-0000DC630000}"/>
    <cellStyle name="Normal 3 20 13 9 2" xfId="25574" xr:uid="{00000000-0005-0000-0000-0000DD630000}"/>
    <cellStyle name="Normal 3 20 13 9 3" xfId="25575" xr:uid="{00000000-0005-0000-0000-0000DE630000}"/>
    <cellStyle name="Normal 3 20 14" xfId="25576" xr:uid="{00000000-0005-0000-0000-0000DF630000}"/>
    <cellStyle name="Normal 3 20 14 10" xfId="25577" xr:uid="{00000000-0005-0000-0000-0000E0630000}"/>
    <cellStyle name="Normal 3 20 14 10 2" xfId="25578" xr:uid="{00000000-0005-0000-0000-0000E1630000}"/>
    <cellStyle name="Normal 3 20 14 10 3" xfId="25579" xr:uid="{00000000-0005-0000-0000-0000E2630000}"/>
    <cellStyle name="Normal 3 20 14 11" xfId="25580" xr:uid="{00000000-0005-0000-0000-0000E3630000}"/>
    <cellStyle name="Normal 3 20 14 11 2" xfId="25581" xr:uid="{00000000-0005-0000-0000-0000E4630000}"/>
    <cellStyle name="Normal 3 20 14 11 3" xfId="25582" xr:uid="{00000000-0005-0000-0000-0000E5630000}"/>
    <cellStyle name="Normal 3 20 14 12" xfId="25583" xr:uid="{00000000-0005-0000-0000-0000E6630000}"/>
    <cellStyle name="Normal 3 20 14 12 2" xfId="25584" xr:uid="{00000000-0005-0000-0000-0000E7630000}"/>
    <cellStyle name="Normal 3 20 14 12 3" xfId="25585" xr:uid="{00000000-0005-0000-0000-0000E8630000}"/>
    <cellStyle name="Normal 3 20 14 13" xfId="25586" xr:uid="{00000000-0005-0000-0000-0000E9630000}"/>
    <cellStyle name="Normal 3 20 14 13 2" xfId="25587" xr:uid="{00000000-0005-0000-0000-0000EA630000}"/>
    <cellStyle name="Normal 3 20 14 13 3" xfId="25588" xr:uid="{00000000-0005-0000-0000-0000EB630000}"/>
    <cellStyle name="Normal 3 20 14 14" xfId="25589" xr:uid="{00000000-0005-0000-0000-0000EC630000}"/>
    <cellStyle name="Normal 3 20 14 14 2" xfId="25590" xr:uid="{00000000-0005-0000-0000-0000ED630000}"/>
    <cellStyle name="Normal 3 20 14 14 3" xfId="25591" xr:uid="{00000000-0005-0000-0000-0000EE630000}"/>
    <cellStyle name="Normal 3 20 14 15" xfId="25592" xr:uid="{00000000-0005-0000-0000-0000EF630000}"/>
    <cellStyle name="Normal 3 20 14 16" xfId="25593" xr:uid="{00000000-0005-0000-0000-0000F0630000}"/>
    <cellStyle name="Normal 3 20 14 2" xfId="25594" xr:uid="{00000000-0005-0000-0000-0000F1630000}"/>
    <cellStyle name="Normal 3 20 14 2 2" xfId="25595" xr:uid="{00000000-0005-0000-0000-0000F2630000}"/>
    <cellStyle name="Normal 3 20 14 2 3" xfId="25596" xr:uid="{00000000-0005-0000-0000-0000F3630000}"/>
    <cellStyle name="Normal 3 20 14 3" xfId="25597" xr:uid="{00000000-0005-0000-0000-0000F4630000}"/>
    <cellStyle name="Normal 3 20 14 3 2" xfId="25598" xr:uid="{00000000-0005-0000-0000-0000F5630000}"/>
    <cellStyle name="Normal 3 20 14 3 3" xfId="25599" xr:uid="{00000000-0005-0000-0000-0000F6630000}"/>
    <cellStyle name="Normal 3 20 14 4" xfId="25600" xr:uid="{00000000-0005-0000-0000-0000F7630000}"/>
    <cellStyle name="Normal 3 20 14 4 2" xfId="25601" xr:uid="{00000000-0005-0000-0000-0000F8630000}"/>
    <cellStyle name="Normal 3 20 14 4 3" xfId="25602" xr:uid="{00000000-0005-0000-0000-0000F9630000}"/>
    <cellStyle name="Normal 3 20 14 5" xfId="25603" xr:uid="{00000000-0005-0000-0000-0000FA630000}"/>
    <cellStyle name="Normal 3 20 14 5 2" xfId="25604" xr:uid="{00000000-0005-0000-0000-0000FB630000}"/>
    <cellStyle name="Normal 3 20 14 5 3" xfId="25605" xr:uid="{00000000-0005-0000-0000-0000FC630000}"/>
    <cellStyle name="Normal 3 20 14 6" xfId="25606" xr:uid="{00000000-0005-0000-0000-0000FD630000}"/>
    <cellStyle name="Normal 3 20 14 6 2" xfId="25607" xr:uid="{00000000-0005-0000-0000-0000FE630000}"/>
    <cellStyle name="Normal 3 20 14 6 3" xfId="25608" xr:uid="{00000000-0005-0000-0000-0000FF630000}"/>
    <cellStyle name="Normal 3 20 14 7" xfId="25609" xr:uid="{00000000-0005-0000-0000-000000640000}"/>
    <cellStyle name="Normal 3 20 14 7 2" xfId="25610" xr:uid="{00000000-0005-0000-0000-000001640000}"/>
    <cellStyle name="Normal 3 20 14 7 3" xfId="25611" xr:uid="{00000000-0005-0000-0000-000002640000}"/>
    <cellStyle name="Normal 3 20 14 8" xfId="25612" xr:uid="{00000000-0005-0000-0000-000003640000}"/>
    <cellStyle name="Normal 3 20 14 8 2" xfId="25613" xr:uid="{00000000-0005-0000-0000-000004640000}"/>
    <cellStyle name="Normal 3 20 14 8 3" xfId="25614" xr:uid="{00000000-0005-0000-0000-000005640000}"/>
    <cellStyle name="Normal 3 20 14 9" xfId="25615" xr:uid="{00000000-0005-0000-0000-000006640000}"/>
    <cellStyle name="Normal 3 20 14 9 2" xfId="25616" xr:uid="{00000000-0005-0000-0000-000007640000}"/>
    <cellStyle name="Normal 3 20 14 9 3" xfId="25617" xr:uid="{00000000-0005-0000-0000-000008640000}"/>
    <cellStyle name="Normal 3 20 15" xfId="25618" xr:uid="{00000000-0005-0000-0000-000009640000}"/>
    <cellStyle name="Normal 3 20 15 2" xfId="25619" xr:uid="{00000000-0005-0000-0000-00000A640000}"/>
    <cellStyle name="Normal 3 20 15 3" xfId="25620" xr:uid="{00000000-0005-0000-0000-00000B640000}"/>
    <cellStyle name="Normal 3 20 16" xfId="25621" xr:uid="{00000000-0005-0000-0000-00000C640000}"/>
    <cellStyle name="Normal 3 20 16 2" xfId="25622" xr:uid="{00000000-0005-0000-0000-00000D640000}"/>
    <cellStyle name="Normal 3 20 16 3" xfId="25623" xr:uid="{00000000-0005-0000-0000-00000E640000}"/>
    <cellStyle name="Normal 3 20 17" xfId="25624" xr:uid="{00000000-0005-0000-0000-00000F640000}"/>
    <cellStyle name="Normal 3 20 17 2" xfId="25625" xr:uid="{00000000-0005-0000-0000-000010640000}"/>
    <cellStyle name="Normal 3 20 17 3" xfId="25626" xr:uid="{00000000-0005-0000-0000-000011640000}"/>
    <cellStyle name="Normal 3 20 18" xfId="25627" xr:uid="{00000000-0005-0000-0000-000012640000}"/>
    <cellStyle name="Normal 3 20 18 2" xfId="25628" xr:uid="{00000000-0005-0000-0000-000013640000}"/>
    <cellStyle name="Normal 3 20 18 3" xfId="25629" xr:uid="{00000000-0005-0000-0000-000014640000}"/>
    <cellStyle name="Normal 3 20 19" xfId="25630" xr:uid="{00000000-0005-0000-0000-000015640000}"/>
    <cellStyle name="Normal 3 20 19 2" xfId="25631" xr:uid="{00000000-0005-0000-0000-000016640000}"/>
    <cellStyle name="Normal 3 20 19 3" xfId="25632" xr:uid="{00000000-0005-0000-0000-000017640000}"/>
    <cellStyle name="Normal 3 20 2" xfId="25633" xr:uid="{00000000-0005-0000-0000-000018640000}"/>
    <cellStyle name="Normal 3 20 20" xfId="25634" xr:uid="{00000000-0005-0000-0000-000019640000}"/>
    <cellStyle name="Normal 3 20 20 2" xfId="25635" xr:uid="{00000000-0005-0000-0000-00001A640000}"/>
    <cellStyle name="Normal 3 20 20 3" xfId="25636" xr:uid="{00000000-0005-0000-0000-00001B640000}"/>
    <cellStyle name="Normal 3 20 21" xfId="25637" xr:uid="{00000000-0005-0000-0000-00001C640000}"/>
    <cellStyle name="Normal 3 20 21 2" xfId="25638" xr:uid="{00000000-0005-0000-0000-00001D640000}"/>
    <cellStyle name="Normal 3 20 21 3" xfId="25639" xr:uid="{00000000-0005-0000-0000-00001E640000}"/>
    <cellStyle name="Normal 3 20 22" xfId="25640" xr:uid="{00000000-0005-0000-0000-00001F640000}"/>
    <cellStyle name="Normal 3 20 22 2" xfId="25641" xr:uid="{00000000-0005-0000-0000-000020640000}"/>
    <cellStyle name="Normal 3 20 22 3" xfId="25642" xr:uid="{00000000-0005-0000-0000-000021640000}"/>
    <cellStyle name="Normal 3 20 23" xfId="25643" xr:uid="{00000000-0005-0000-0000-000022640000}"/>
    <cellStyle name="Normal 3 20 23 2" xfId="25644" xr:uid="{00000000-0005-0000-0000-000023640000}"/>
    <cellStyle name="Normal 3 20 23 3" xfId="25645" xr:uid="{00000000-0005-0000-0000-000024640000}"/>
    <cellStyle name="Normal 3 20 24" xfId="25646" xr:uid="{00000000-0005-0000-0000-000025640000}"/>
    <cellStyle name="Normal 3 20 24 2" xfId="25647" xr:uid="{00000000-0005-0000-0000-000026640000}"/>
    <cellStyle name="Normal 3 20 24 3" xfId="25648" xr:uid="{00000000-0005-0000-0000-000027640000}"/>
    <cellStyle name="Normal 3 20 25" xfId="25649" xr:uid="{00000000-0005-0000-0000-000028640000}"/>
    <cellStyle name="Normal 3 20 25 2" xfId="25650" xr:uid="{00000000-0005-0000-0000-000029640000}"/>
    <cellStyle name="Normal 3 20 25 3" xfId="25651" xr:uid="{00000000-0005-0000-0000-00002A640000}"/>
    <cellStyle name="Normal 3 20 26" xfId="25652" xr:uid="{00000000-0005-0000-0000-00002B640000}"/>
    <cellStyle name="Normal 3 20 26 2" xfId="25653" xr:uid="{00000000-0005-0000-0000-00002C640000}"/>
    <cellStyle name="Normal 3 20 26 3" xfId="25654" xr:uid="{00000000-0005-0000-0000-00002D640000}"/>
    <cellStyle name="Normal 3 20 27" xfId="25655" xr:uid="{00000000-0005-0000-0000-00002E640000}"/>
    <cellStyle name="Normal 3 20 27 2" xfId="25656" xr:uid="{00000000-0005-0000-0000-00002F640000}"/>
    <cellStyle name="Normal 3 20 27 3" xfId="25657" xr:uid="{00000000-0005-0000-0000-000030640000}"/>
    <cellStyle name="Normal 3 20 28" xfId="25658" xr:uid="{00000000-0005-0000-0000-000031640000}"/>
    <cellStyle name="Normal 3 20 29" xfId="25659" xr:uid="{00000000-0005-0000-0000-000032640000}"/>
    <cellStyle name="Normal 3 20 3" xfId="25660" xr:uid="{00000000-0005-0000-0000-000033640000}"/>
    <cellStyle name="Normal 3 20 4" xfId="25661" xr:uid="{00000000-0005-0000-0000-000034640000}"/>
    <cellStyle name="Normal 3 20 5" xfId="25662" xr:uid="{00000000-0005-0000-0000-000035640000}"/>
    <cellStyle name="Normal 3 20 6" xfId="25663" xr:uid="{00000000-0005-0000-0000-000036640000}"/>
    <cellStyle name="Normal 3 20 6 10" xfId="25664" xr:uid="{00000000-0005-0000-0000-000037640000}"/>
    <cellStyle name="Normal 3 20 6 10 2" xfId="25665" xr:uid="{00000000-0005-0000-0000-000038640000}"/>
    <cellStyle name="Normal 3 20 6 10 3" xfId="25666" xr:uid="{00000000-0005-0000-0000-000039640000}"/>
    <cellStyle name="Normal 3 20 6 11" xfId="25667" xr:uid="{00000000-0005-0000-0000-00003A640000}"/>
    <cellStyle name="Normal 3 20 6 11 2" xfId="25668" xr:uid="{00000000-0005-0000-0000-00003B640000}"/>
    <cellStyle name="Normal 3 20 6 11 3" xfId="25669" xr:uid="{00000000-0005-0000-0000-00003C640000}"/>
    <cellStyle name="Normal 3 20 6 12" xfId="25670" xr:uid="{00000000-0005-0000-0000-00003D640000}"/>
    <cellStyle name="Normal 3 20 6 12 2" xfId="25671" xr:uid="{00000000-0005-0000-0000-00003E640000}"/>
    <cellStyle name="Normal 3 20 6 12 3" xfId="25672" xr:uid="{00000000-0005-0000-0000-00003F640000}"/>
    <cellStyle name="Normal 3 20 6 13" xfId="25673" xr:uid="{00000000-0005-0000-0000-000040640000}"/>
    <cellStyle name="Normal 3 20 6 13 2" xfId="25674" xr:uid="{00000000-0005-0000-0000-000041640000}"/>
    <cellStyle name="Normal 3 20 6 13 3" xfId="25675" xr:uid="{00000000-0005-0000-0000-000042640000}"/>
    <cellStyle name="Normal 3 20 6 14" xfId="25676" xr:uid="{00000000-0005-0000-0000-000043640000}"/>
    <cellStyle name="Normal 3 20 6 14 2" xfId="25677" xr:uid="{00000000-0005-0000-0000-000044640000}"/>
    <cellStyle name="Normal 3 20 6 14 3" xfId="25678" xr:uid="{00000000-0005-0000-0000-000045640000}"/>
    <cellStyle name="Normal 3 20 6 15" xfId="25679" xr:uid="{00000000-0005-0000-0000-000046640000}"/>
    <cellStyle name="Normal 3 20 6 15 2" xfId="25680" xr:uid="{00000000-0005-0000-0000-000047640000}"/>
    <cellStyle name="Normal 3 20 6 15 3" xfId="25681" xr:uid="{00000000-0005-0000-0000-000048640000}"/>
    <cellStyle name="Normal 3 20 6 16" xfId="25682" xr:uid="{00000000-0005-0000-0000-000049640000}"/>
    <cellStyle name="Normal 3 20 6 17" xfId="25683" xr:uid="{00000000-0005-0000-0000-00004A640000}"/>
    <cellStyle name="Normal 3 20 6 2" xfId="25684" xr:uid="{00000000-0005-0000-0000-00004B640000}"/>
    <cellStyle name="Normal 3 20 6 2 10" xfId="25685" xr:uid="{00000000-0005-0000-0000-00004C640000}"/>
    <cellStyle name="Normal 3 20 6 2 10 2" xfId="25686" xr:uid="{00000000-0005-0000-0000-00004D640000}"/>
    <cellStyle name="Normal 3 20 6 2 10 3" xfId="25687" xr:uid="{00000000-0005-0000-0000-00004E640000}"/>
    <cellStyle name="Normal 3 20 6 2 11" xfId="25688" xr:uid="{00000000-0005-0000-0000-00004F640000}"/>
    <cellStyle name="Normal 3 20 6 2 11 2" xfId="25689" xr:uid="{00000000-0005-0000-0000-000050640000}"/>
    <cellStyle name="Normal 3 20 6 2 11 3" xfId="25690" xr:uid="{00000000-0005-0000-0000-000051640000}"/>
    <cellStyle name="Normal 3 20 6 2 12" xfId="25691" xr:uid="{00000000-0005-0000-0000-000052640000}"/>
    <cellStyle name="Normal 3 20 6 2 12 2" xfId="25692" xr:uid="{00000000-0005-0000-0000-000053640000}"/>
    <cellStyle name="Normal 3 20 6 2 12 3" xfId="25693" xr:uid="{00000000-0005-0000-0000-000054640000}"/>
    <cellStyle name="Normal 3 20 6 2 13" xfId="25694" xr:uid="{00000000-0005-0000-0000-000055640000}"/>
    <cellStyle name="Normal 3 20 6 2 13 2" xfId="25695" xr:uid="{00000000-0005-0000-0000-000056640000}"/>
    <cellStyle name="Normal 3 20 6 2 13 3" xfId="25696" xr:uid="{00000000-0005-0000-0000-000057640000}"/>
    <cellStyle name="Normal 3 20 6 2 14" xfId="25697" xr:uid="{00000000-0005-0000-0000-000058640000}"/>
    <cellStyle name="Normal 3 20 6 2 14 2" xfId="25698" xr:uid="{00000000-0005-0000-0000-000059640000}"/>
    <cellStyle name="Normal 3 20 6 2 14 3" xfId="25699" xr:uid="{00000000-0005-0000-0000-00005A640000}"/>
    <cellStyle name="Normal 3 20 6 2 15" xfId="25700" xr:uid="{00000000-0005-0000-0000-00005B640000}"/>
    <cellStyle name="Normal 3 20 6 2 16" xfId="25701" xr:uid="{00000000-0005-0000-0000-00005C640000}"/>
    <cellStyle name="Normal 3 20 6 2 2" xfId="25702" xr:uid="{00000000-0005-0000-0000-00005D640000}"/>
    <cellStyle name="Normal 3 20 6 2 2 2" xfId="25703" xr:uid="{00000000-0005-0000-0000-00005E640000}"/>
    <cellStyle name="Normal 3 20 6 2 2 3" xfId="25704" xr:uid="{00000000-0005-0000-0000-00005F640000}"/>
    <cellStyle name="Normal 3 20 6 2 3" xfId="25705" xr:uid="{00000000-0005-0000-0000-000060640000}"/>
    <cellStyle name="Normal 3 20 6 2 3 2" xfId="25706" xr:uid="{00000000-0005-0000-0000-000061640000}"/>
    <cellStyle name="Normal 3 20 6 2 3 3" xfId="25707" xr:uid="{00000000-0005-0000-0000-000062640000}"/>
    <cellStyle name="Normal 3 20 6 2 4" xfId="25708" xr:uid="{00000000-0005-0000-0000-000063640000}"/>
    <cellStyle name="Normal 3 20 6 2 4 2" xfId="25709" xr:uid="{00000000-0005-0000-0000-000064640000}"/>
    <cellStyle name="Normal 3 20 6 2 4 3" xfId="25710" xr:uid="{00000000-0005-0000-0000-000065640000}"/>
    <cellStyle name="Normal 3 20 6 2 5" xfId="25711" xr:uid="{00000000-0005-0000-0000-000066640000}"/>
    <cellStyle name="Normal 3 20 6 2 5 2" xfId="25712" xr:uid="{00000000-0005-0000-0000-000067640000}"/>
    <cellStyle name="Normal 3 20 6 2 5 3" xfId="25713" xr:uid="{00000000-0005-0000-0000-000068640000}"/>
    <cellStyle name="Normal 3 20 6 2 6" xfId="25714" xr:uid="{00000000-0005-0000-0000-000069640000}"/>
    <cellStyle name="Normal 3 20 6 2 6 2" xfId="25715" xr:uid="{00000000-0005-0000-0000-00006A640000}"/>
    <cellStyle name="Normal 3 20 6 2 6 3" xfId="25716" xr:uid="{00000000-0005-0000-0000-00006B640000}"/>
    <cellStyle name="Normal 3 20 6 2 7" xfId="25717" xr:uid="{00000000-0005-0000-0000-00006C640000}"/>
    <cellStyle name="Normal 3 20 6 2 7 2" xfId="25718" xr:uid="{00000000-0005-0000-0000-00006D640000}"/>
    <cellStyle name="Normal 3 20 6 2 7 3" xfId="25719" xr:uid="{00000000-0005-0000-0000-00006E640000}"/>
    <cellStyle name="Normal 3 20 6 2 8" xfId="25720" xr:uid="{00000000-0005-0000-0000-00006F640000}"/>
    <cellStyle name="Normal 3 20 6 2 8 2" xfId="25721" xr:uid="{00000000-0005-0000-0000-000070640000}"/>
    <cellStyle name="Normal 3 20 6 2 8 3" xfId="25722" xr:uid="{00000000-0005-0000-0000-000071640000}"/>
    <cellStyle name="Normal 3 20 6 2 9" xfId="25723" xr:uid="{00000000-0005-0000-0000-000072640000}"/>
    <cellStyle name="Normal 3 20 6 2 9 2" xfId="25724" xr:uid="{00000000-0005-0000-0000-000073640000}"/>
    <cellStyle name="Normal 3 20 6 2 9 3" xfId="25725" xr:uid="{00000000-0005-0000-0000-000074640000}"/>
    <cellStyle name="Normal 3 20 6 3" xfId="25726" xr:uid="{00000000-0005-0000-0000-000075640000}"/>
    <cellStyle name="Normal 3 20 6 3 2" xfId="25727" xr:uid="{00000000-0005-0000-0000-000076640000}"/>
    <cellStyle name="Normal 3 20 6 3 3" xfId="25728" xr:uid="{00000000-0005-0000-0000-000077640000}"/>
    <cellStyle name="Normal 3 20 6 4" xfId="25729" xr:uid="{00000000-0005-0000-0000-000078640000}"/>
    <cellStyle name="Normal 3 20 6 4 2" xfId="25730" xr:uid="{00000000-0005-0000-0000-000079640000}"/>
    <cellStyle name="Normal 3 20 6 4 3" xfId="25731" xr:uid="{00000000-0005-0000-0000-00007A640000}"/>
    <cellStyle name="Normal 3 20 6 5" xfId="25732" xr:uid="{00000000-0005-0000-0000-00007B640000}"/>
    <cellStyle name="Normal 3 20 6 5 2" xfId="25733" xr:uid="{00000000-0005-0000-0000-00007C640000}"/>
    <cellStyle name="Normal 3 20 6 5 3" xfId="25734" xr:uid="{00000000-0005-0000-0000-00007D640000}"/>
    <cellStyle name="Normal 3 20 6 6" xfId="25735" xr:uid="{00000000-0005-0000-0000-00007E640000}"/>
    <cellStyle name="Normal 3 20 6 6 2" xfId="25736" xr:uid="{00000000-0005-0000-0000-00007F640000}"/>
    <cellStyle name="Normal 3 20 6 6 3" xfId="25737" xr:uid="{00000000-0005-0000-0000-000080640000}"/>
    <cellStyle name="Normal 3 20 6 7" xfId="25738" xr:uid="{00000000-0005-0000-0000-000081640000}"/>
    <cellStyle name="Normal 3 20 6 7 2" xfId="25739" xr:uid="{00000000-0005-0000-0000-000082640000}"/>
    <cellStyle name="Normal 3 20 6 7 3" xfId="25740" xr:uid="{00000000-0005-0000-0000-000083640000}"/>
    <cellStyle name="Normal 3 20 6 8" xfId="25741" xr:uid="{00000000-0005-0000-0000-000084640000}"/>
    <cellStyle name="Normal 3 20 6 8 2" xfId="25742" xr:uid="{00000000-0005-0000-0000-000085640000}"/>
    <cellStyle name="Normal 3 20 6 8 3" xfId="25743" xr:uid="{00000000-0005-0000-0000-000086640000}"/>
    <cellStyle name="Normal 3 20 6 9" xfId="25744" xr:uid="{00000000-0005-0000-0000-000087640000}"/>
    <cellStyle name="Normal 3 20 6 9 2" xfId="25745" xr:uid="{00000000-0005-0000-0000-000088640000}"/>
    <cellStyle name="Normal 3 20 6 9 3" xfId="25746" xr:uid="{00000000-0005-0000-0000-000089640000}"/>
    <cellStyle name="Normal 3 20 7" xfId="25747" xr:uid="{00000000-0005-0000-0000-00008A640000}"/>
    <cellStyle name="Normal 3 20 7 10" xfId="25748" xr:uid="{00000000-0005-0000-0000-00008B640000}"/>
    <cellStyle name="Normal 3 20 7 10 2" xfId="25749" xr:uid="{00000000-0005-0000-0000-00008C640000}"/>
    <cellStyle name="Normal 3 20 7 10 3" xfId="25750" xr:uid="{00000000-0005-0000-0000-00008D640000}"/>
    <cellStyle name="Normal 3 20 7 11" xfId="25751" xr:uid="{00000000-0005-0000-0000-00008E640000}"/>
    <cellStyle name="Normal 3 20 7 11 2" xfId="25752" xr:uid="{00000000-0005-0000-0000-00008F640000}"/>
    <cellStyle name="Normal 3 20 7 11 3" xfId="25753" xr:uid="{00000000-0005-0000-0000-000090640000}"/>
    <cellStyle name="Normal 3 20 7 12" xfId="25754" xr:uid="{00000000-0005-0000-0000-000091640000}"/>
    <cellStyle name="Normal 3 20 7 12 2" xfId="25755" xr:uid="{00000000-0005-0000-0000-000092640000}"/>
    <cellStyle name="Normal 3 20 7 12 3" xfId="25756" xr:uid="{00000000-0005-0000-0000-000093640000}"/>
    <cellStyle name="Normal 3 20 7 13" xfId="25757" xr:uid="{00000000-0005-0000-0000-000094640000}"/>
    <cellStyle name="Normal 3 20 7 13 2" xfId="25758" xr:uid="{00000000-0005-0000-0000-000095640000}"/>
    <cellStyle name="Normal 3 20 7 13 3" xfId="25759" xr:uid="{00000000-0005-0000-0000-000096640000}"/>
    <cellStyle name="Normal 3 20 7 14" xfId="25760" xr:uid="{00000000-0005-0000-0000-000097640000}"/>
    <cellStyle name="Normal 3 20 7 14 2" xfId="25761" xr:uid="{00000000-0005-0000-0000-000098640000}"/>
    <cellStyle name="Normal 3 20 7 14 3" xfId="25762" xr:uid="{00000000-0005-0000-0000-000099640000}"/>
    <cellStyle name="Normal 3 20 7 15" xfId="25763" xr:uid="{00000000-0005-0000-0000-00009A640000}"/>
    <cellStyle name="Normal 3 20 7 15 2" xfId="25764" xr:uid="{00000000-0005-0000-0000-00009B640000}"/>
    <cellStyle name="Normal 3 20 7 15 3" xfId="25765" xr:uid="{00000000-0005-0000-0000-00009C640000}"/>
    <cellStyle name="Normal 3 20 7 16" xfId="25766" xr:uid="{00000000-0005-0000-0000-00009D640000}"/>
    <cellStyle name="Normal 3 20 7 17" xfId="25767" xr:uid="{00000000-0005-0000-0000-00009E640000}"/>
    <cellStyle name="Normal 3 20 7 2" xfId="25768" xr:uid="{00000000-0005-0000-0000-00009F640000}"/>
    <cellStyle name="Normal 3 20 7 2 10" xfId="25769" xr:uid="{00000000-0005-0000-0000-0000A0640000}"/>
    <cellStyle name="Normal 3 20 7 2 10 2" xfId="25770" xr:uid="{00000000-0005-0000-0000-0000A1640000}"/>
    <cellStyle name="Normal 3 20 7 2 10 3" xfId="25771" xr:uid="{00000000-0005-0000-0000-0000A2640000}"/>
    <cellStyle name="Normal 3 20 7 2 11" xfId="25772" xr:uid="{00000000-0005-0000-0000-0000A3640000}"/>
    <cellStyle name="Normal 3 20 7 2 11 2" xfId="25773" xr:uid="{00000000-0005-0000-0000-0000A4640000}"/>
    <cellStyle name="Normal 3 20 7 2 11 3" xfId="25774" xr:uid="{00000000-0005-0000-0000-0000A5640000}"/>
    <cellStyle name="Normal 3 20 7 2 12" xfId="25775" xr:uid="{00000000-0005-0000-0000-0000A6640000}"/>
    <cellStyle name="Normal 3 20 7 2 12 2" xfId="25776" xr:uid="{00000000-0005-0000-0000-0000A7640000}"/>
    <cellStyle name="Normal 3 20 7 2 12 3" xfId="25777" xr:uid="{00000000-0005-0000-0000-0000A8640000}"/>
    <cellStyle name="Normal 3 20 7 2 13" xfId="25778" xr:uid="{00000000-0005-0000-0000-0000A9640000}"/>
    <cellStyle name="Normal 3 20 7 2 13 2" xfId="25779" xr:uid="{00000000-0005-0000-0000-0000AA640000}"/>
    <cellStyle name="Normal 3 20 7 2 13 3" xfId="25780" xr:uid="{00000000-0005-0000-0000-0000AB640000}"/>
    <cellStyle name="Normal 3 20 7 2 14" xfId="25781" xr:uid="{00000000-0005-0000-0000-0000AC640000}"/>
    <cellStyle name="Normal 3 20 7 2 14 2" xfId="25782" xr:uid="{00000000-0005-0000-0000-0000AD640000}"/>
    <cellStyle name="Normal 3 20 7 2 14 3" xfId="25783" xr:uid="{00000000-0005-0000-0000-0000AE640000}"/>
    <cellStyle name="Normal 3 20 7 2 15" xfId="25784" xr:uid="{00000000-0005-0000-0000-0000AF640000}"/>
    <cellStyle name="Normal 3 20 7 2 16" xfId="25785" xr:uid="{00000000-0005-0000-0000-0000B0640000}"/>
    <cellStyle name="Normal 3 20 7 2 2" xfId="25786" xr:uid="{00000000-0005-0000-0000-0000B1640000}"/>
    <cellStyle name="Normal 3 20 7 2 2 2" xfId="25787" xr:uid="{00000000-0005-0000-0000-0000B2640000}"/>
    <cellStyle name="Normal 3 20 7 2 2 3" xfId="25788" xr:uid="{00000000-0005-0000-0000-0000B3640000}"/>
    <cellStyle name="Normal 3 20 7 2 3" xfId="25789" xr:uid="{00000000-0005-0000-0000-0000B4640000}"/>
    <cellStyle name="Normal 3 20 7 2 3 2" xfId="25790" xr:uid="{00000000-0005-0000-0000-0000B5640000}"/>
    <cellStyle name="Normal 3 20 7 2 3 3" xfId="25791" xr:uid="{00000000-0005-0000-0000-0000B6640000}"/>
    <cellStyle name="Normal 3 20 7 2 4" xfId="25792" xr:uid="{00000000-0005-0000-0000-0000B7640000}"/>
    <cellStyle name="Normal 3 20 7 2 4 2" xfId="25793" xr:uid="{00000000-0005-0000-0000-0000B8640000}"/>
    <cellStyle name="Normal 3 20 7 2 4 3" xfId="25794" xr:uid="{00000000-0005-0000-0000-0000B9640000}"/>
    <cellStyle name="Normal 3 20 7 2 5" xfId="25795" xr:uid="{00000000-0005-0000-0000-0000BA640000}"/>
    <cellStyle name="Normal 3 20 7 2 5 2" xfId="25796" xr:uid="{00000000-0005-0000-0000-0000BB640000}"/>
    <cellStyle name="Normal 3 20 7 2 5 3" xfId="25797" xr:uid="{00000000-0005-0000-0000-0000BC640000}"/>
    <cellStyle name="Normal 3 20 7 2 6" xfId="25798" xr:uid="{00000000-0005-0000-0000-0000BD640000}"/>
    <cellStyle name="Normal 3 20 7 2 6 2" xfId="25799" xr:uid="{00000000-0005-0000-0000-0000BE640000}"/>
    <cellStyle name="Normal 3 20 7 2 6 3" xfId="25800" xr:uid="{00000000-0005-0000-0000-0000BF640000}"/>
    <cellStyle name="Normal 3 20 7 2 7" xfId="25801" xr:uid="{00000000-0005-0000-0000-0000C0640000}"/>
    <cellStyle name="Normal 3 20 7 2 7 2" xfId="25802" xr:uid="{00000000-0005-0000-0000-0000C1640000}"/>
    <cellStyle name="Normal 3 20 7 2 7 3" xfId="25803" xr:uid="{00000000-0005-0000-0000-0000C2640000}"/>
    <cellStyle name="Normal 3 20 7 2 8" xfId="25804" xr:uid="{00000000-0005-0000-0000-0000C3640000}"/>
    <cellStyle name="Normal 3 20 7 2 8 2" xfId="25805" xr:uid="{00000000-0005-0000-0000-0000C4640000}"/>
    <cellStyle name="Normal 3 20 7 2 8 3" xfId="25806" xr:uid="{00000000-0005-0000-0000-0000C5640000}"/>
    <cellStyle name="Normal 3 20 7 2 9" xfId="25807" xr:uid="{00000000-0005-0000-0000-0000C6640000}"/>
    <cellStyle name="Normal 3 20 7 2 9 2" xfId="25808" xr:uid="{00000000-0005-0000-0000-0000C7640000}"/>
    <cellStyle name="Normal 3 20 7 2 9 3" xfId="25809" xr:uid="{00000000-0005-0000-0000-0000C8640000}"/>
    <cellStyle name="Normal 3 20 7 3" xfId="25810" xr:uid="{00000000-0005-0000-0000-0000C9640000}"/>
    <cellStyle name="Normal 3 20 7 3 2" xfId="25811" xr:uid="{00000000-0005-0000-0000-0000CA640000}"/>
    <cellStyle name="Normal 3 20 7 3 3" xfId="25812" xr:uid="{00000000-0005-0000-0000-0000CB640000}"/>
    <cellStyle name="Normal 3 20 7 4" xfId="25813" xr:uid="{00000000-0005-0000-0000-0000CC640000}"/>
    <cellStyle name="Normal 3 20 7 4 2" xfId="25814" xr:uid="{00000000-0005-0000-0000-0000CD640000}"/>
    <cellStyle name="Normal 3 20 7 4 3" xfId="25815" xr:uid="{00000000-0005-0000-0000-0000CE640000}"/>
    <cellStyle name="Normal 3 20 7 5" xfId="25816" xr:uid="{00000000-0005-0000-0000-0000CF640000}"/>
    <cellStyle name="Normal 3 20 7 5 2" xfId="25817" xr:uid="{00000000-0005-0000-0000-0000D0640000}"/>
    <cellStyle name="Normal 3 20 7 5 3" xfId="25818" xr:uid="{00000000-0005-0000-0000-0000D1640000}"/>
    <cellStyle name="Normal 3 20 7 6" xfId="25819" xr:uid="{00000000-0005-0000-0000-0000D2640000}"/>
    <cellStyle name="Normal 3 20 7 6 2" xfId="25820" xr:uid="{00000000-0005-0000-0000-0000D3640000}"/>
    <cellStyle name="Normal 3 20 7 6 3" xfId="25821" xr:uid="{00000000-0005-0000-0000-0000D4640000}"/>
    <cellStyle name="Normal 3 20 7 7" xfId="25822" xr:uid="{00000000-0005-0000-0000-0000D5640000}"/>
    <cellStyle name="Normal 3 20 7 7 2" xfId="25823" xr:uid="{00000000-0005-0000-0000-0000D6640000}"/>
    <cellStyle name="Normal 3 20 7 7 3" xfId="25824" xr:uid="{00000000-0005-0000-0000-0000D7640000}"/>
    <cellStyle name="Normal 3 20 7 8" xfId="25825" xr:uid="{00000000-0005-0000-0000-0000D8640000}"/>
    <cellStyle name="Normal 3 20 7 8 2" xfId="25826" xr:uid="{00000000-0005-0000-0000-0000D9640000}"/>
    <cellStyle name="Normal 3 20 7 8 3" xfId="25827" xr:uid="{00000000-0005-0000-0000-0000DA640000}"/>
    <cellStyle name="Normal 3 20 7 9" xfId="25828" xr:uid="{00000000-0005-0000-0000-0000DB640000}"/>
    <cellStyle name="Normal 3 20 7 9 2" xfId="25829" xr:uid="{00000000-0005-0000-0000-0000DC640000}"/>
    <cellStyle name="Normal 3 20 7 9 3" xfId="25830" xr:uid="{00000000-0005-0000-0000-0000DD640000}"/>
    <cellStyle name="Normal 3 20 8" xfId="25831" xr:uid="{00000000-0005-0000-0000-0000DE640000}"/>
    <cellStyle name="Normal 3 20 8 10" xfId="25832" xr:uid="{00000000-0005-0000-0000-0000DF640000}"/>
    <cellStyle name="Normal 3 20 8 10 2" xfId="25833" xr:uid="{00000000-0005-0000-0000-0000E0640000}"/>
    <cellStyle name="Normal 3 20 8 10 3" xfId="25834" xr:uid="{00000000-0005-0000-0000-0000E1640000}"/>
    <cellStyle name="Normal 3 20 8 11" xfId="25835" xr:uid="{00000000-0005-0000-0000-0000E2640000}"/>
    <cellStyle name="Normal 3 20 8 11 2" xfId="25836" xr:uid="{00000000-0005-0000-0000-0000E3640000}"/>
    <cellStyle name="Normal 3 20 8 11 3" xfId="25837" xr:uid="{00000000-0005-0000-0000-0000E4640000}"/>
    <cellStyle name="Normal 3 20 8 12" xfId="25838" xr:uid="{00000000-0005-0000-0000-0000E5640000}"/>
    <cellStyle name="Normal 3 20 8 12 2" xfId="25839" xr:uid="{00000000-0005-0000-0000-0000E6640000}"/>
    <cellStyle name="Normal 3 20 8 12 3" xfId="25840" xr:uid="{00000000-0005-0000-0000-0000E7640000}"/>
    <cellStyle name="Normal 3 20 8 13" xfId="25841" xr:uid="{00000000-0005-0000-0000-0000E8640000}"/>
    <cellStyle name="Normal 3 20 8 13 2" xfId="25842" xr:uid="{00000000-0005-0000-0000-0000E9640000}"/>
    <cellStyle name="Normal 3 20 8 13 3" xfId="25843" xr:uid="{00000000-0005-0000-0000-0000EA640000}"/>
    <cellStyle name="Normal 3 20 8 14" xfId="25844" xr:uid="{00000000-0005-0000-0000-0000EB640000}"/>
    <cellStyle name="Normal 3 20 8 14 2" xfId="25845" xr:uid="{00000000-0005-0000-0000-0000EC640000}"/>
    <cellStyle name="Normal 3 20 8 14 3" xfId="25846" xr:uid="{00000000-0005-0000-0000-0000ED640000}"/>
    <cellStyle name="Normal 3 20 8 15" xfId="25847" xr:uid="{00000000-0005-0000-0000-0000EE640000}"/>
    <cellStyle name="Normal 3 20 8 15 2" xfId="25848" xr:uid="{00000000-0005-0000-0000-0000EF640000}"/>
    <cellStyle name="Normal 3 20 8 15 3" xfId="25849" xr:uid="{00000000-0005-0000-0000-0000F0640000}"/>
    <cellStyle name="Normal 3 20 8 16" xfId="25850" xr:uid="{00000000-0005-0000-0000-0000F1640000}"/>
    <cellStyle name="Normal 3 20 8 17" xfId="25851" xr:uid="{00000000-0005-0000-0000-0000F2640000}"/>
    <cellStyle name="Normal 3 20 8 2" xfId="25852" xr:uid="{00000000-0005-0000-0000-0000F3640000}"/>
    <cellStyle name="Normal 3 20 8 2 10" xfId="25853" xr:uid="{00000000-0005-0000-0000-0000F4640000}"/>
    <cellStyle name="Normal 3 20 8 2 10 2" xfId="25854" xr:uid="{00000000-0005-0000-0000-0000F5640000}"/>
    <cellStyle name="Normal 3 20 8 2 10 3" xfId="25855" xr:uid="{00000000-0005-0000-0000-0000F6640000}"/>
    <cellStyle name="Normal 3 20 8 2 11" xfId="25856" xr:uid="{00000000-0005-0000-0000-0000F7640000}"/>
    <cellStyle name="Normal 3 20 8 2 11 2" xfId="25857" xr:uid="{00000000-0005-0000-0000-0000F8640000}"/>
    <cellStyle name="Normal 3 20 8 2 11 3" xfId="25858" xr:uid="{00000000-0005-0000-0000-0000F9640000}"/>
    <cellStyle name="Normal 3 20 8 2 12" xfId="25859" xr:uid="{00000000-0005-0000-0000-0000FA640000}"/>
    <cellStyle name="Normal 3 20 8 2 12 2" xfId="25860" xr:uid="{00000000-0005-0000-0000-0000FB640000}"/>
    <cellStyle name="Normal 3 20 8 2 12 3" xfId="25861" xr:uid="{00000000-0005-0000-0000-0000FC640000}"/>
    <cellStyle name="Normal 3 20 8 2 13" xfId="25862" xr:uid="{00000000-0005-0000-0000-0000FD640000}"/>
    <cellStyle name="Normal 3 20 8 2 13 2" xfId="25863" xr:uid="{00000000-0005-0000-0000-0000FE640000}"/>
    <cellStyle name="Normal 3 20 8 2 13 3" xfId="25864" xr:uid="{00000000-0005-0000-0000-0000FF640000}"/>
    <cellStyle name="Normal 3 20 8 2 14" xfId="25865" xr:uid="{00000000-0005-0000-0000-000000650000}"/>
    <cellStyle name="Normal 3 20 8 2 14 2" xfId="25866" xr:uid="{00000000-0005-0000-0000-000001650000}"/>
    <cellStyle name="Normal 3 20 8 2 14 3" xfId="25867" xr:uid="{00000000-0005-0000-0000-000002650000}"/>
    <cellStyle name="Normal 3 20 8 2 15" xfId="25868" xr:uid="{00000000-0005-0000-0000-000003650000}"/>
    <cellStyle name="Normal 3 20 8 2 16" xfId="25869" xr:uid="{00000000-0005-0000-0000-000004650000}"/>
    <cellStyle name="Normal 3 20 8 2 2" xfId="25870" xr:uid="{00000000-0005-0000-0000-000005650000}"/>
    <cellStyle name="Normal 3 20 8 2 2 2" xfId="25871" xr:uid="{00000000-0005-0000-0000-000006650000}"/>
    <cellStyle name="Normal 3 20 8 2 2 3" xfId="25872" xr:uid="{00000000-0005-0000-0000-000007650000}"/>
    <cellStyle name="Normal 3 20 8 2 3" xfId="25873" xr:uid="{00000000-0005-0000-0000-000008650000}"/>
    <cellStyle name="Normal 3 20 8 2 3 2" xfId="25874" xr:uid="{00000000-0005-0000-0000-000009650000}"/>
    <cellStyle name="Normal 3 20 8 2 3 3" xfId="25875" xr:uid="{00000000-0005-0000-0000-00000A650000}"/>
    <cellStyle name="Normal 3 20 8 2 4" xfId="25876" xr:uid="{00000000-0005-0000-0000-00000B650000}"/>
    <cellStyle name="Normal 3 20 8 2 4 2" xfId="25877" xr:uid="{00000000-0005-0000-0000-00000C650000}"/>
    <cellStyle name="Normal 3 20 8 2 4 3" xfId="25878" xr:uid="{00000000-0005-0000-0000-00000D650000}"/>
    <cellStyle name="Normal 3 20 8 2 5" xfId="25879" xr:uid="{00000000-0005-0000-0000-00000E650000}"/>
    <cellStyle name="Normal 3 20 8 2 5 2" xfId="25880" xr:uid="{00000000-0005-0000-0000-00000F650000}"/>
    <cellStyle name="Normal 3 20 8 2 5 3" xfId="25881" xr:uid="{00000000-0005-0000-0000-000010650000}"/>
    <cellStyle name="Normal 3 20 8 2 6" xfId="25882" xr:uid="{00000000-0005-0000-0000-000011650000}"/>
    <cellStyle name="Normal 3 20 8 2 6 2" xfId="25883" xr:uid="{00000000-0005-0000-0000-000012650000}"/>
    <cellStyle name="Normal 3 20 8 2 6 3" xfId="25884" xr:uid="{00000000-0005-0000-0000-000013650000}"/>
    <cellStyle name="Normal 3 20 8 2 7" xfId="25885" xr:uid="{00000000-0005-0000-0000-000014650000}"/>
    <cellStyle name="Normal 3 20 8 2 7 2" xfId="25886" xr:uid="{00000000-0005-0000-0000-000015650000}"/>
    <cellStyle name="Normal 3 20 8 2 7 3" xfId="25887" xr:uid="{00000000-0005-0000-0000-000016650000}"/>
    <cellStyle name="Normal 3 20 8 2 8" xfId="25888" xr:uid="{00000000-0005-0000-0000-000017650000}"/>
    <cellStyle name="Normal 3 20 8 2 8 2" xfId="25889" xr:uid="{00000000-0005-0000-0000-000018650000}"/>
    <cellStyle name="Normal 3 20 8 2 8 3" xfId="25890" xr:uid="{00000000-0005-0000-0000-000019650000}"/>
    <cellStyle name="Normal 3 20 8 2 9" xfId="25891" xr:uid="{00000000-0005-0000-0000-00001A650000}"/>
    <cellStyle name="Normal 3 20 8 2 9 2" xfId="25892" xr:uid="{00000000-0005-0000-0000-00001B650000}"/>
    <cellStyle name="Normal 3 20 8 2 9 3" xfId="25893" xr:uid="{00000000-0005-0000-0000-00001C650000}"/>
    <cellStyle name="Normal 3 20 8 3" xfId="25894" xr:uid="{00000000-0005-0000-0000-00001D650000}"/>
    <cellStyle name="Normal 3 20 8 3 2" xfId="25895" xr:uid="{00000000-0005-0000-0000-00001E650000}"/>
    <cellStyle name="Normal 3 20 8 3 3" xfId="25896" xr:uid="{00000000-0005-0000-0000-00001F650000}"/>
    <cellStyle name="Normal 3 20 8 4" xfId="25897" xr:uid="{00000000-0005-0000-0000-000020650000}"/>
    <cellStyle name="Normal 3 20 8 4 2" xfId="25898" xr:uid="{00000000-0005-0000-0000-000021650000}"/>
    <cellStyle name="Normal 3 20 8 4 3" xfId="25899" xr:uid="{00000000-0005-0000-0000-000022650000}"/>
    <cellStyle name="Normal 3 20 8 5" xfId="25900" xr:uid="{00000000-0005-0000-0000-000023650000}"/>
    <cellStyle name="Normal 3 20 8 5 2" xfId="25901" xr:uid="{00000000-0005-0000-0000-000024650000}"/>
    <cellStyle name="Normal 3 20 8 5 3" xfId="25902" xr:uid="{00000000-0005-0000-0000-000025650000}"/>
    <cellStyle name="Normal 3 20 8 6" xfId="25903" xr:uid="{00000000-0005-0000-0000-000026650000}"/>
    <cellStyle name="Normal 3 20 8 6 2" xfId="25904" xr:uid="{00000000-0005-0000-0000-000027650000}"/>
    <cellStyle name="Normal 3 20 8 6 3" xfId="25905" xr:uid="{00000000-0005-0000-0000-000028650000}"/>
    <cellStyle name="Normal 3 20 8 7" xfId="25906" xr:uid="{00000000-0005-0000-0000-000029650000}"/>
    <cellStyle name="Normal 3 20 8 7 2" xfId="25907" xr:uid="{00000000-0005-0000-0000-00002A650000}"/>
    <cellStyle name="Normal 3 20 8 7 3" xfId="25908" xr:uid="{00000000-0005-0000-0000-00002B650000}"/>
    <cellStyle name="Normal 3 20 8 8" xfId="25909" xr:uid="{00000000-0005-0000-0000-00002C650000}"/>
    <cellStyle name="Normal 3 20 8 8 2" xfId="25910" xr:uid="{00000000-0005-0000-0000-00002D650000}"/>
    <cellStyle name="Normal 3 20 8 8 3" xfId="25911" xr:uid="{00000000-0005-0000-0000-00002E650000}"/>
    <cellStyle name="Normal 3 20 8 9" xfId="25912" xr:uid="{00000000-0005-0000-0000-00002F650000}"/>
    <cellStyle name="Normal 3 20 8 9 2" xfId="25913" xr:uid="{00000000-0005-0000-0000-000030650000}"/>
    <cellStyle name="Normal 3 20 8 9 3" xfId="25914" xr:uid="{00000000-0005-0000-0000-000031650000}"/>
    <cellStyle name="Normal 3 20 9" xfId="25915" xr:uid="{00000000-0005-0000-0000-000032650000}"/>
    <cellStyle name="Normal 3 20 9 10" xfId="25916" xr:uid="{00000000-0005-0000-0000-000033650000}"/>
    <cellStyle name="Normal 3 20 9 10 2" xfId="25917" xr:uid="{00000000-0005-0000-0000-000034650000}"/>
    <cellStyle name="Normal 3 20 9 10 3" xfId="25918" xr:uid="{00000000-0005-0000-0000-000035650000}"/>
    <cellStyle name="Normal 3 20 9 11" xfId="25919" xr:uid="{00000000-0005-0000-0000-000036650000}"/>
    <cellStyle name="Normal 3 20 9 11 2" xfId="25920" xr:uid="{00000000-0005-0000-0000-000037650000}"/>
    <cellStyle name="Normal 3 20 9 11 3" xfId="25921" xr:uid="{00000000-0005-0000-0000-000038650000}"/>
    <cellStyle name="Normal 3 20 9 12" xfId="25922" xr:uid="{00000000-0005-0000-0000-000039650000}"/>
    <cellStyle name="Normal 3 20 9 12 2" xfId="25923" xr:uid="{00000000-0005-0000-0000-00003A650000}"/>
    <cellStyle name="Normal 3 20 9 12 3" xfId="25924" xr:uid="{00000000-0005-0000-0000-00003B650000}"/>
    <cellStyle name="Normal 3 20 9 13" xfId="25925" xr:uid="{00000000-0005-0000-0000-00003C650000}"/>
    <cellStyle name="Normal 3 20 9 13 2" xfId="25926" xr:uid="{00000000-0005-0000-0000-00003D650000}"/>
    <cellStyle name="Normal 3 20 9 13 3" xfId="25927" xr:uid="{00000000-0005-0000-0000-00003E650000}"/>
    <cellStyle name="Normal 3 20 9 14" xfId="25928" xr:uid="{00000000-0005-0000-0000-00003F650000}"/>
    <cellStyle name="Normal 3 20 9 14 2" xfId="25929" xr:uid="{00000000-0005-0000-0000-000040650000}"/>
    <cellStyle name="Normal 3 20 9 14 3" xfId="25930" xr:uid="{00000000-0005-0000-0000-000041650000}"/>
    <cellStyle name="Normal 3 20 9 15" xfId="25931" xr:uid="{00000000-0005-0000-0000-000042650000}"/>
    <cellStyle name="Normal 3 20 9 16" xfId="25932" xr:uid="{00000000-0005-0000-0000-000043650000}"/>
    <cellStyle name="Normal 3 20 9 2" xfId="25933" xr:uid="{00000000-0005-0000-0000-000044650000}"/>
    <cellStyle name="Normal 3 20 9 2 2" xfId="25934" xr:uid="{00000000-0005-0000-0000-000045650000}"/>
    <cellStyle name="Normal 3 20 9 2 3" xfId="25935" xr:uid="{00000000-0005-0000-0000-000046650000}"/>
    <cellStyle name="Normal 3 20 9 3" xfId="25936" xr:uid="{00000000-0005-0000-0000-000047650000}"/>
    <cellStyle name="Normal 3 20 9 3 2" xfId="25937" xr:uid="{00000000-0005-0000-0000-000048650000}"/>
    <cellStyle name="Normal 3 20 9 3 3" xfId="25938" xr:uid="{00000000-0005-0000-0000-000049650000}"/>
    <cellStyle name="Normal 3 20 9 4" xfId="25939" xr:uid="{00000000-0005-0000-0000-00004A650000}"/>
    <cellStyle name="Normal 3 20 9 4 2" xfId="25940" xr:uid="{00000000-0005-0000-0000-00004B650000}"/>
    <cellStyle name="Normal 3 20 9 4 3" xfId="25941" xr:uid="{00000000-0005-0000-0000-00004C650000}"/>
    <cellStyle name="Normal 3 20 9 5" xfId="25942" xr:uid="{00000000-0005-0000-0000-00004D650000}"/>
    <cellStyle name="Normal 3 20 9 5 2" xfId="25943" xr:uid="{00000000-0005-0000-0000-00004E650000}"/>
    <cellStyle name="Normal 3 20 9 5 3" xfId="25944" xr:uid="{00000000-0005-0000-0000-00004F650000}"/>
    <cellStyle name="Normal 3 20 9 6" xfId="25945" xr:uid="{00000000-0005-0000-0000-000050650000}"/>
    <cellStyle name="Normal 3 20 9 6 2" xfId="25946" xr:uid="{00000000-0005-0000-0000-000051650000}"/>
    <cellStyle name="Normal 3 20 9 6 3" xfId="25947" xr:uid="{00000000-0005-0000-0000-000052650000}"/>
    <cellStyle name="Normal 3 20 9 7" xfId="25948" xr:uid="{00000000-0005-0000-0000-000053650000}"/>
    <cellStyle name="Normal 3 20 9 7 2" xfId="25949" xr:uid="{00000000-0005-0000-0000-000054650000}"/>
    <cellStyle name="Normal 3 20 9 7 3" xfId="25950" xr:uid="{00000000-0005-0000-0000-000055650000}"/>
    <cellStyle name="Normal 3 20 9 8" xfId="25951" xr:uid="{00000000-0005-0000-0000-000056650000}"/>
    <cellStyle name="Normal 3 20 9 8 2" xfId="25952" xr:uid="{00000000-0005-0000-0000-000057650000}"/>
    <cellStyle name="Normal 3 20 9 8 3" xfId="25953" xr:uid="{00000000-0005-0000-0000-000058650000}"/>
    <cellStyle name="Normal 3 20 9 9" xfId="25954" xr:uid="{00000000-0005-0000-0000-000059650000}"/>
    <cellStyle name="Normal 3 20 9 9 2" xfId="25955" xr:uid="{00000000-0005-0000-0000-00005A650000}"/>
    <cellStyle name="Normal 3 20 9 9 3" xfId="25956" xr:uid="{00000000-0005-0000-0000-00005B650000}"/>
    <cellStyle name="Normal 3 21" xfId="25957" xr:uid="{00000000-0005-0000-0000-00005C650000}"/>
    <cellStyle name="Normal 3 21 10" xfId="25958" xr:uid="{00000000-0005-0000-0000-00005D650000}"/>
    <cellStyle name="Normal 3 21 10 10" xfId="25959" xr:uid="{00000000-0005-0000-0000-00005E650000}"/>
    <cellStyle name="Normal 3 21 10 10 2" xfId="25960" xr:uid="{00000000-0005-0000-0000-00005F650000}"/>
    <cellStyle name="Normal 3 21 10 10 3" xfId="25961" xr:uid="{00000000-0005-0000-0000-000060650000}"/>
    <cellStyle name="Normal 3 21 10 11" xfId="25962" xr:uid="{00000000-0005-0000-0000-000061650000}"/>
    <cellStyle name="Normal 3 21 10 11 2" xfId="25963" xr:uid="{00000000-0005-0000-0000-000062650000}"/>
    <cellStyle name="Normal 3 21 10 11 3" xfId="25964" xr:uid="{00000000-0005-0000-0000-000063650000}"/>
    <cellStyle name="Normal 3 21 10 12" xfId="25965" xr:uid="{00000000-0005-0000-0000-000064650000}"/>
    <cellStyle name="Normal 3 21 10 12 2" xfId="25966" xr:uid="{00000000-0005-0000-0000-000065650000}"/>
    <cellStyle name="Normal 3 21 10 12 3" xfId="25967" xr:uid="{00000000-0005-0000-0000-000066650000}"/>
    <cellStyle name="Normal 3 21 10 13" xfId="25968" xr:uid="{00000000-0005-0000-0000-000067650000}"/>
    <cellStyle name="Normal 3 21 10 13 2" xfId="25969" xr:uid="{00000000-0005-0000-0000-000068650000}"/>
    <cellStyle name="Normal 3 21 10 13 3" xfId="25970" xr:uid="{00000000-0005-0000-0000-000069650000}"/>
    <cellStyle name="Normal 3 21 10 14" xfId="25971" xr:uid="{00000000-0005-0000-0000-00006A650000}"/>
    <cellStyle name="Normal 3 21 10 14 2" xfId="25972" xr:uid="{00000000-0005-0000-0000-00006B650000}"/>
    <cellStyle name="Normal 3 21 10 14 3" xfId="25973" xr:uid="{00000000-0005-0000-0000-00006C650000}"/>
    <cellStyle name="Normal 3 21 10 15" xfId="25974" xr:uid="{00000000-0005-0000-0000-00006D650000}"/>
    <cellStyle name="Normal 3 21 10 16" xfId="25975" xr:uid="{00000000-0005-0000-0000-00006E650000}"/>
    <cellStyle name="Normal 3 21 10 2" xfId="25976" xr:uid="{00000000-0005-0000-0000-00006F650000}"/>
    <cellStyle name="Normal 3 21 10 2 2" xfId="25977" xr:uid="{00000000-0005-0000-0000-000070650000}"/>
    <cellStyle name="Normal 3 21 10 2 3" xfId="25978" xr:uid="{00000000-0005-0000-0000-000071650000}"/>
    <cellStyle name="Normal 3 21 10 3" xfId="25979" xr:uid="{00000000-0005-0000-0000-000072650000}"/>
    <cellStyle name="Normal 3 21 10 3 2" xfId="25980" xr:uid="{00000000-0005-0000-0000-000073650000}"/>
    <cellStyle name="Normal 3 21 10 3 3" xfId="25981" xr:uid="{00000000-0005-0000-0000-000074650000}"/>
    <cellStyle name="Normal 3 21 10 4" xfId="25982" xr:uid="{00000000-0005-0000-0000-000075650000}"/>
    <cellStyle name="Normal 3 21 10 4 2" xfId="25983" xr:uid="{00000000-0005-0000-0000-000076650000}"/>
    <cellStyle name="Normal 3 21 10 4 3" xfId="25984" xr:uid="{00000000-0005-0000-0000-000077650000}"/>
    <cellStyle name="Normal 3 21 10 5" xfId="25985" xr:uid="{00000000-0005-0000-0000-000078650000}"/>
    <cellStyle name="Normal 3 21 10 5 2" xfId="25986" xr:uid="{00000000-0005-0000-0000-000079650000}"/>
    <cellStyle name="Normal 3 21 10 5 3" xfId="25987" xr:uid="{00000000-0005-0000-0000-00007A650000}"/>
    <cellStyle name="Normal 3 21 10 6" xfId="25988" xr:uid="{00000000-0005-0000-0000-00007B650000}"/>
    <cellStyle name="Normal 3 21 10 6 2" xfId="25989" xr:uid="{00000000-0005-0000-0000-00007C650000}"/>
    <cellStyle name="Normal 3 21 10 6 3" xfId="25990" xr:uid="{00000000-0005-0000-0000-00007D650000}"/>
    <cellStyle name="Normal 3 21 10 7" xfId="25991" xr:uid="{00000000-0005-0000-0000-00007E650000}"/>
    <cellStyle name="Normal 3 21 10 7 2" xfId="25992" xr:uid="{00000000-0005-0000-0000-00007F650000}"/>
    <cellStyle name="Normal 3 21 10 7 3" xfId="25993" xr:uid="{00000000-0005-0000-0000-000080650000}"/>
    <cellStyle name="Normal 3 21 10 8" xfId="25994" xr:uid="{00000000-0005-0000-0000-000081650000}"/>
    <cellStyle name="Normal 3 21 10 8 2" xfId="25995" xr:uid="{00000000-0005-0000-0000-000082650000}"/>
    <cellStyle name="Normal 3 21 10 8 3" xfId="25996" xr:uid="{00000000-0005-0000-0000-000083650000}"/>
    <cellStyle name="Normal 3 21 10 9" xfId="25997" xr:uid="{00000000-0005-0000-0000-000084650000}"/>
    <cellStyle name="Normal 3 21 10 9 2" xfId="25998" xr:uid="{00000000-0005-0000-0000-000085650000}"/>
    <cellStyle name="Normal 3 21 10 9 3" xfId="25999" xr:uid="{00000000-0005-0000-0000-000086650000}"/>
    <cellStyle name="Normal 3 21 11" xfId="26000" xr:uid="{00000000-0005-0000-0000-000087650000}"/>
    <cellStyle name="Normal 3 21 11 10" xfId="26001" xr:uid="{00000000-0005-0000-0000-000088650000}"/>
    <cellStyle name="Normal 3 21 11 10 2" xfId="26002" xr:uid="{00000000-0005-0000-0000-000089650000}"/>
    <cellStyle name="Normal 3 21 11 10 3" xfId="26003" xr:uid="{00000000-0005-0000-0000-00008A650000}"/>
    <cellStyle name="Normal 3 21 11 11" xfId="26004" xr:uid="{00000000-0005-0000-0000-00008B650000}"/>
    <cellStyle name="Normal 3 21 11 11 2" xfId="26005" xr:uid="{00000000-0005-0000-0000-00008C650000}"/>
    <cellStyle name="Normal 3 21 11 11 3" xfId="26006" xr:uid="{00000000-0005-0000-0000-00008D650000}"/>
    <cellStyle name="Normal 3 21 11 12" xfId="26007" xr:uid="{00000000-0005-0000-0000-00008E650000}"/>
    <cellStyle name="Normal 3 21 11 12 2" xfId="26008" xr:uid="{00000000-0005-0000-0000-00008F650000}"/>
    <cellStyle name="Normal 3 21 11 12 3" xfId="26009" xr:uid="{00000000-0005-0000-0000-000090650000}"/>
    <cellStyle name="Normal 3 21 11 13" xfId="26010" xr:uid="{00000000-0005-0000-0000-000091650000}"/>
    <cellStyle name="Normal 3 21 11 13 2" xfId="26011" xr:uid="{00000000-0005-0000-0000-000092650000}"/>
    <cellStyle name="Normal 3 21 11 13 3" xfId="26012" xr:uid="{00000000-0005-0000-0000-000093650000}"/>
    <cellStyle name="Normal 3 21 11 14" xfId="26013" xr:uid="{00000000-0005-0000-0000-000094650000}"/>
    <cellStyle name="Normal 3 21 11 14 2" xfId="26014" xr:uid="{00000000-0005-0000-0000-000095650000}"/>
    <cellStyle name="Normal 3 21 11 14 3" xfId="26015" xr:uid="{00000000-0005-0000-0000-000096650000}"/>
    <cellStyle name="Normal 3 21 11 15" xfId="26016" xr:uid="{00000000-0005-0000-0000-000097650000}"/>
    <cellStyle name="Normal 3 21 11 16" xfId="26017" xr:uid="{00000000-0005-0000-0000-000098650000}"/>
    <cellStyle name="Normal 3 21 11 2" xfId="26018" xr:uid="{00000000-0005-0000-0000-000099650000}"/>
    <cellStyle name="Normal 3 21 11 2 2" xfId="26019" xr:uid="{00000000-0005-0000-0000-00009A650000}"/>
    <cellStyle name="Normal 3 21 11 2 3" xfId="26020" xr:uid="{00000000-0005-0000-0000-00009B650000}"/>
    <cellStyle name="Normal 3 21 11 3" xfId="26021" xr:uid="{00000000-0005-0000-0000-00009C650000}"/>
    <cellStyle name="Normal 3 21 11 3 2" xfId="26022" xr:uid="{00000000-0005-0000-0000-00009D650000}"/>
    <cellStyle name="Normal 3 21 11 3 3" xfId="26023" xr:uid="{00000000-0005-0000-0000-00009E650000}"/>
    <cellStyle name="Normal 3 21 11 4" xfId="26024" xr:uid="{00000000-0005-0000-0000-00009F650000}"/>
    <cellStyle name="Normal 3 21 11 4 2" xfId="26025" xr:uid="{00000000-0005-0000-0000-0000A0650000}"/>
    <cellStyle name="Normal 3 21 11 4 3" xfId="26026" xr:uid="{00000000-0005-0000-0000-0000A1650000}"/>
    <cellStyle name="Normal 3 21 11 5" xfId="26027" xr:uid="{00000000-0005-0000-0000-0000A2650000}"/>
    <cellStyle name="Normal 3 21 11 5 2" xfId="26028" xr:uid="{00000000-0005-0000-0000-0000A3650000}"/>
    <cellStyle name="Normal 3 21 11 5 3" xfId="26029" xr:uid="{00000000-0005-0000-0000-0000A4650000}"/>
    <cellStyle name="Normal 3 21 11 6" xfId="26030" xr:uid="{00000000-0005-0000-0000-0000A5650000}"/>
    <cellStyle name="Normal 3 21 11 6 2" xfId="26031" xr:uid="{00000000-0005-0000-0000-0000A6650000}"/>
    <cellStyle name="Normal 3 21 11 6 3" xfId="26032" xr:uid="{00000000-0005-0000-0000-0000A7650000}"/>
    <cellStyle name="Normal 3 21 11 7" xfId="26033" xr:uid="{00000000-0005-0000-0000-0000A8650000}"/>
    <cellStyle name="Normal 3 21 11 7 2" xfId="26034" xr:uid="{00000000-0005-0000-0000-0000A9650000}"/>
    <cellStyle name="Normal 3 21 11 7 3" xfId="26035" xr:uid="{00000000-0005-0000-0000-0000AA650000}"/>
    <cellStyle name="Normal 3 21 11 8" xfId="26036" xr:uid="{00000000-0005-0000-0000-0000AB650000}"/>
    <cellStyle name="Normal 3 21 11 8 2" xfId="26037" xr:uid="{00000000-0005-0000-0000-0000AC650000}"/>
    <cellStyle name="Normal 3 21 11 8 3" xfId="26038" xr:uid="{00000000-0005-0000-0000-0000AD650000}"/>
    <cellStyle name="Normal 3 21 11 9" xfId="26039" xr:uid="{00000000-0005-0000-0000-0000AE650000}"/>
    <cellStyle name="Normal 3 21 11 9 2" xfId="26040" xr:uid="{00000000-0005-0000-0000-0000AF650000}"/>
    <cellStyle name="Normal 3 21 11 9 3" xfId="26041" xr:uid="{00000000-0005-0000-0000-0000B0650000}"/>
    <cellStyle name="Normal 3 21 12" xfId="26042" xr:uid="{00000000-0005-0000-0000-0000B1650000}"/>
    <cellStyle name="Normal 3 21 12 10" xfId="26043" xr:uid="{00000000-0005-0000-0000-0000B2650000}"/>
    <cellStyle name="Normal 3 21 12 10 2" xfId="26044" xr:uid="{00000000-0005-0000-0000-0000B3650000}"/>
    <cellStyle name="Normal 3 21 12 10 3" xfId="26045" xr:uid="{00000000-0005-0000-0000-0000B4650000}"/>
    <cellStyle name="Normal 3 21 12 11" xfId="26046" xr:uid="{00000000-0005-0000-0000-0000B5650000}"/>
    <cellStyle name="Normal 3 21 12 11 2" xfId="26047" xr:uid="{00000000-0005-0000-0000-0000B6650000}"/>
    <cellStyle name="Normal 3 21 12 11 3" xfId="26048" xr:uid="{00000000-0005-0000-0000-0000B7650000}"/>
    <cellStyle name="Normal 3 21 12 12" xfId="26049" xr:uid="{00000000-0005-0000-0000-0000B8650000}"/>
    <cellStyle name="Normal 3 21 12 12 2" xfId="26050" xr:uid="{00000000-0005-0000-0000-0000B9650000}"/>
    <cellStyle name="Normal 3 21 12 12 3" xfId="26051" xr:uid="{00000000-0005-0000-0000-0000BA650000}"/>
    <cellStyle name="Normal 3 21 12 13" xfId="26052" xr:uid="{00000000-0005-0000-0000-0000BB650000}"/>
    <cellStyle name="Normal 3 21 12 13 2" xfId="26053" xr:uid="{00000000-0005-0000-0000-0000BC650000}"/>
    <cellStyle name="Normal 3 21 12 13 3" xfId="26054" xr:uid="{00000000-0005-0000-0000-0000BD650000}"/>
    <cellStyle name="Normal 3 21 12 14" xfId="26055" xr:uid="{00000000-0005-0000-0000-0000BE650000}"/>
    <cellStyle name="Normal 3 21 12 14 2" xfId="26056" xr:uid="{00000000-0005-0000-0000-0000BF650000}"/>
    <cellStyle name="Normal 3 21 12 14 3" xfId="26057" xr:uid="{00000000-0005-0000-0000-0000C0650000}"/>
    <cellStyle name="Normal 3 21 12 15" xfId="26058" xr:uid="{00000000-0005-0000-0000-0000C1650000}"/>
    <cellStyle name="Normal 3 21 12 16" xfId="26059" xr:uid="{00000000-0005-0000-0000-0000C2650000}"/>
    <cellStyle name="Normal 3 21 12 2" xfId="26060" xr:uid="{00000000-0005-0000-0000-0000C3650000}"/>
    <cellStyle name="Normal 3 21 12 2 2" xfId="26061" xr:uid="{00000000-0005-0000-0000-0000C4650000}"/>
    <cellStyle name="Normal 3 21 12 2 3" xfId="26062" xr:uid="{00000000-0005-0000-0000-0000C5650000}"/>
    <cellStyle name="Normal 3 21 12 3" xfId="26063" xr:uid="{00000000-0005-0000-0000-0000C6650000}"/>
    <cellStyle name="Normal 3 21 12 3 2" xfId="26064" xr:uid="{00000000-0005-0000-0000-0000C7650000}"/>
    <cellStyle name="Normal 3 21 12 3 3" xfId="26065" xr:uid="{00000000-0005-0000-0000-0000C8650000}"/>
    <cellStyle name="Normal 3 21 12 4" xfId="26066" xr:uid="{00000000-0005-0000-0000-0000C9650000}"/>
    <cellStyle name="Normal 3 21 12 4 2" xfId="26067" xr:uid="{00000000-0005-0000-0000-0000CA650000}"/>
    <cellStyle name="Normal 3 21 12 4 3" xfId="26068" xr:uid="{00000000-0005-0000-0000-0000CB650000}"/>
    <cellStyle name="Normal 3 21 12 5" xfId="26069" xr:uid="{00000000-0005-0000-0000-0000CC650000}"/>
    <cellStyle name="Normal 3 21 12 5 2" xfId="26070" xr:uid="{00000000-0005-0000-0000-0000CD650000}"/>
    <cellStyle name="Normal 3 21 12 5 3" xfId="26071" xr:uid="{00000000-0005-0000-0000-0000CE650000}"/>
    <cellStyle name="Normal 3 21 12 6" xfId="26072" xr:uid="{00000000-0005-0000-0000-0000CF650000}"/>
    <cellStyle name="Normal 3 21 12 6 2" xfId="26073" xr:uid="{00000000-0005-0000-0000-0000D0650000}"/>
    <cellStyle name="Normal 3 21 12 6 3" xfId="26074" xr:uid="{00000000-0005-0000-0000-0000D1650000}"/>
    <cellStyle name="Normal 3 21 12 7" xfId="26075" xr:uid="{00000000-0005-0000-0000-0000D2650000}"/>
    <cellStyle name="Normal 3 21 12 7 2" xfId="26076" xr:uid="{00000000-0005-0000-0000-0000D3650000}"/>
    <cellStyle name="Normal 3 21 12 7 3" xfId="26077" xr:uid="{00000000-0005-0000-0000-0000D4650000}"/>
    <cellStyle name="Normal 3 21 12 8" xfId="26078" xr:uid="{00000000-0005-0000-0000-0000D5650000}"/>
    <cellStyle name="Normal 3 21 12 8 2" xfId="26079" xr:uid="{00000000-0005-0000-0000-0000D6650000}"/>
    <cellStyle name="Normal 3 21 12 8 3" xfId="26080" xr:uid="{00000000-0005-0000-0000-0000D7650000}"/>
    <cellStyle name="Normal 3 21 12 9" xfId="26081" xr:uid="{00000000-0005-0000-0000-0000D8650000}"/>
    <cellStyle name="Normal 3 21 12 9 2" xfId="26082" xr:uid="{00000000-0005-0000-0000-0000D9650000}"/>
    <cellStyle name="Normal 3 21 12 9 3" xfId="26083" xr:uid="{00000000-0005-0000-0000-0000DA650000}"/>
    <cellStyle name="Normal 3 21 13" xfId="26084" xr:uid="{00000000-0005-0000-0000-0000DB650000}"/>
    <cellStyle name="Normal 3 21 13 10" xfId="26085" xr:uid="{00000000-0005-0000-0000-0000DC650000}"/>
    <cellStyle name="Normal 3 21 13 10 2" xfId="26086" xr:uid="{00000000-0005-0000-0000-0000DD650000}"/>
    <cellStyle name="Normal 3 21 13 10 3" xfId="26087" xr:uid="{00000000-0005-0000-0000-0000DE650000}"/>
    <cellStyle name="Normal 3 21 13 11" xfId="26088" xr:uid="{00000000-0005-0000-0000-0000DF650000}"/>
    <cellStyle name="Normal 3 21 13 11 2" xfId="26089" xr:uid="{00000000-0005-0000-0000-0000E0650000}"/>
    <cellStyle name="Normal 3 21 13 11 3" xfId="26090" xr:uid="{00000000-0005-0000-0000-0000E1650000}"/>
    <cellStyle name="Normal 3 21 13 12" xfId="26091" xr:uid="{00000000-0005-0000-0000-0000E2650000}"/>
    <cellStyle name="Normal 3 21 13 12 2" xfId="26092" xr:uid="{00000000-0005-0000-0000-0000E3650000}"/>
    <cellStyle name="Normal 3 21 13 12 3" xfId="26093" xr:uid="{00000000-0005-0000-0000-0000E4650000}"/>
    <cellStyle name="Normal 3 21 13 13" xfId="26094" xr:uid="{00000000-0005-0000-0000-0000E5650000}"/>
    <cellStyle name="Normal 3 21 13 13 2" xfId="26095" xr:uid="{00000000-0005-0000-0000-0000E6650000}"/>
    <cellStyle name="Normal 3 21 13 13 3" xfId="26096" xr:uid="{00000000-0005-0000-0000-0000E7650000}"/>
    <cellStyle name="Normal 3 21 13 14" xfId="26097" xr:uid="{00000000-0005-0000-0000-0000E8650000}"/>
    <cellStyle name="Normal 3 21 13 14 2" xfId="26098" xr:uid="{00000000-0005-0000-0000-0000E9650000}"/>
    <cellStyle name="Normal 3 21 13 14 3" xfId="26099" xr:uid="{00000000-0005-0000-0000-0000EA650000}"/>
    <cellStyle name="Normal 3 21 13 15" xfId="26100" xr:uid="{00000000-0005-0000-0000-0000EB650000}"/>
    <cellStyle name="Normal 3 21 13 16" xfId="26101" xr:uid="{00000000-0005-0000-0000-0000EC650000}"/>
    <cellStyle name="Normal 3 21 13 2" xfId="26102" xr:uid="{00000000-0005-0000-0000-0000ED650000}"/>
    <cellStyle name="Normal 3 21 13 2 2" xfId="26103" xr:uid="{00000000-0005-0000-0000-0000EE650000}"/>
    <cellStyle name="Normal 3 21 13 2 3" xfId="26104" xr:uid="{00000000-0005-0000-0000-0000EF650000}"/>
    <cellStyle name="Normal 3 21 13 3" xfId="26105" xr:uid="{00000000-0005-0000-0000-0000F0650000}"/>
    <cellStyle name="Normal 3 21 13 3 2" xfId="26106" xr:uid="{00000000-0005-0000-0000-0000F1650000}"/>
    <cellStyle name="Normal 3 21 13 3 3" xfId="26107" xr:uid="{00000000-0005-0000-0000-0000F2650000}"/>
    <cellStyle name="Normal 3 21 13 4" xfId="26108" xr:uid="{00000000-0005-0000-0000-0000F3650000}"/>
    <cellStyle name="Normal 3 21 13 4 2" xfId="26109" xr:uid="{00000000-0005-0000-0000-0000F4650000}"/>
    <cellStyle name="Normal 3 21 13 4 3" xfId="26110" xr:uid="{00000000-0005-0000-0000-0000F5650000}"/>
    <cellStyle name="Normal 3 21 13 5" xfId="26111" xr:uid="{00000000-0005-0000-0000-0000F6650000}"/>
    <cellStyle name="Normal 3 21 13 5 2" xfId="26112" xr:uid="{00000000-0005-0000-0000-0000F7650000}"/>
    <cellStyle name="Normal 3 21 13 5 3" xfId="26113" xr:uid="{00000000-0005-0000-0000-0000F8650000}"/>
    <cellStyle name="Normal 3 21 13 6" xfId="26114" xr:uid="{00000000-0005-0000-0000-0000F9650000}"/>
    <cellStyle name="Normal 3 21 13 6 2" xfId="26115" xr:uid="{00000000-0005-0000-0000-0000FA650000}"/>
    <cellStyle name="Normal 3 21 13 6 3" xfId="26116" xr:uid="{00000000-0005-0000-0000-0000FB650000}"/>
    <cellStyle name="Normal 3 21 13 7" xfId="26117" xr:uid="{00000000-0005-0000-0000-0000FC650000}"/>
    <cellStyle name="Normal 3 21 13 7 2" xfId="26118" xr:uid="{00000000-0005-0000-0000-0000FD650000}"/>
    <cellStyle name="Normal 3 21 13 7 3" xfId="26119" xr:uid="{00000000-0005-0000-0000-0000FE650000}"/>
    <cellStyle name="Normal 3 21 13 8" xfId="26120" xr:uid="{00000000-0005-0000-0000-0000FF650000}"/>
    <cellStyle name="Normal 3 21 13 8 2" xfId="26121" xr:uid="{00000000-0005-0000-0000-000000660000}"/>
    <cellStyle name="Normal 3 21 13 8 3" xfId="26122" xr:uid="{00000000-0005-0000-0000-000001660000}"/>
    <cellStyle name="Normal 3 21 13 9" xfId="26123" xr:uid="{00000000-0005-0000-0000-000002660000}"/>
    <cellStyle name="Normal 3 21 13 9 2" xfId="26124" xr:uid="{00000000-0005-0000-0000-000003660000}"/>
    <cellStyle name="Normal 3 21 13 9 3" xfId="26125" xr:uid="{00000000-0005-0000-0000-000004660000}"/>
    <cellStyle name="Normal 3 21 14" xfId="26126" xr:uid="{00000000-0005-0000-0000-000005660000}"/>
    <cellStyle name="Normal 3 21 14 10" xfId="26127" xr:uid="{00000000-0005-0000-0000-000006660000}"/>
    <cellStyle name="Normal 3 21 14 10 2" xfId="26128" xr:uid="{00000000-0005-0000-0000-000007660000}"/>
    <cellStyle name="Normal 3 21 14 10 3" xfId="26129" xr:uid="{00000000-0005-0000-0000-000008660000}"/>
    <cellStyle name="Normal 3 21 14 11" xfId="26130" xr:uid="{00000000-0005-0000-0000-000009660000}"/>
    <cellStyle name="Normal 3 21 14 11 2" xfId="26131" xr:uid="{00000000-0005-0000-0000-00000A660000}"/>
    <cellStyle name="Normal 3 21 14 11 3" xfId="26132" xr:uid="{00000000-0005-0000-0000-00000B660000}"/>
    <cellStyle name="Normal 3 21 14 12" xfId="26133" xr:uid="{00000000-0005-0000-0000-00000C660000}"/>
    <cellStyle name="Normal 3 21 14 12 2" xfId="26134" xr:uid="{00000000-0005-0000-0000-00000D660000}"/>
    <cellStyle name="Normal 3 21 14 12 3" xfId="26135" xr:uid="{00000000-0005-0000-0000-00000E660000}"/>
    <cellStyle name="Normal 3 21 14 13" xfId="26136" xr:uid="{00000000-0005-0000-0000-00000F660000}"/>
    <cellStyle name="Normal 3 21 14 13 2" xfId="26137" xr:uid="{00000000-0005-0000-0000-000010660000}"/>
    <cellStyle name="Normal 3 21 14 13 3" xfId="26138" xr:uid="{00000000-0005-0000-0000-000011660000}"/>
    <cellStyle name="Normal 3 21 14 14" xfId="26139" xr:uid="{00000000-0005-0000-0000-000012660000}"/>
    <cellStyle name="Normal 3 21 14 14 2" xfId="26140" xr:uid="{00000000-0005-0000-0000-000013660000}"/>
    <cellStyle name="Normal 3 21 14 14 3" xfId="26141" xr:uid="{00000000-0005-0000-0000-000014660000}"/>
    <cellStyle name="Normal 3 21 14 15" xfId="26142" xr:uid="{00000000-0005-0000-0000-000015660000}"/>
    <cellStyle name="Normal 3 21 14 16" xfId="26143" xr:uid="{00000000-0005-0000-0000-000016660000}"/>
    <cellStyle name="Normal 3 21 14 2" xfId="26144" xr:uid="{00000000-0005-0000-0000-000017660000}"/>
    <cellStyle name="Normal 3 21 14 2 2" xfId="26145" xr:uid="{00000000-0005-0000-0000-000018660000}"/>
    <cellStyle name="Normal 3 21 14 2 3" xfId="26146" xr:uid="{00000000-0005-0000-0000-000019660000}"/>
    <cellStyle name="Normal 3 21 14 3" xfId="26147" xr:uid="{00000000-0005-0000-0000-00001A660000}"/>
    <cellStyle name="Normal 3 21 14 3 2" xfId="26148" xr:uid="{00000000-0005-0000-0000-00001B660000}"/>
    <cellStyle name="Normal 3 21 14 3 3" xfId="26149" xr:uid="{00000000-0005-0000-0000-00001C660000}"/>
    <cellStyle name="Normal 3 21 14 4" xfId="26150" xr:uid="{00000000-0005-0000-0000-00001D660000}"/>
    <cellStyle name="Normal 3 21 14 4 2" xfId="26151" xr:uid="{00000000-0005-0000-0000-00001E660000}"/>
    <cellStyle name="Normal 3 21 14 4 3" xfId="26152" xr:uid="{00000000-0005-0000-0000-00001F660000}"/>
    <cellStyle name="Normal 3 21 14 5" xfId="26153" xr:uid="{00000000-0005-0000-0000-000020660000}"/>
    <cellStyle name="Normal 3 21 14 5 2" xfId="26154" xr:uid="{00000000-0005-0000-0000-000021660000}"/>
    <cellStyle name="Normal 3 21 14 5 3" xfId="26155" xr:uid="{00000000-0005-0000-0000-000022660000}"/>
    <cellStyle name="Normal 3 21 14 6" xfId="26156" xr:uid="{00000000-0005-0000-0000-000023660000}"/>
    <cellStyle name="Normal 3 21 14 6 2" xfId="26157" xr:uid="{00000000-0005-0000-0000-000024660000}"/>
    <cellStyle name="Normal 3 21 14 6 3" xfId="26158" xr:uid="{00000000-0005-0000-0000-000025660000}"/>
    <cellStyle name="Normal 3 21 14 7" xfId="26159" xr:uid="{00000000-0005-0000-0000-000026660000}"/>
    <cellStyle name="Normal 3 21 14 7 2" xfId="26160" xr:uid="{00000000-0005-0000-0000-000027660000}"/>
    <cellStyle name="Normal 3 21 14 7 3" xfId="26161" xr:uid="{00000000-0005-0000-0000-000028660000}"/>
    <cellStyle name="Normal 3 21 14 8" xfId="26162" xr:uid="{00000000-0005-0000-0000-000029660000}"/>
    <cellStyle name="Normal 3 21 14 8 2" xfId="26163" xr:uid="{00000000-0005-0000-0000-00002A660000}"/>
    <cellStyle name="Normal 3 21 14 8 3" xfId="26164" xr:uid="{00000000-0005-0000-0000-00002B660000}"/>
    <cellStyle name="Normal 3 21 14 9" xfId="26165" xr:uid="{00000000-0005-0000-0000-00002C660000}"/>
    <cellStyle name="Normal 3 21 14 9 2" xfId="26166" xr:uid="{00000000-0005-0000-0000-00002D660000}"/>
    <cellStyle name="Normal 3 21 14 9 3" xfId="26167" xr:uid="{00000000-0005-0000-0000-00002E660000}"/>
    <cellStyle name="Normal 3 21 15" xfId="26168" xr:uid="{00000000-0005-0000-0000-00002F660000}"/>
    <cellStyle name="Normal 3 21 15 2" xfId="26169" xr:uid="{00000000-0005-0000-0000-000030660000}"/>
    <cellStyle name="Normal 3 21 15 3" xfId="26170" xr:uid="{00000000-0005-0000-0000-000031660000}"/>
    <cellStyle name="Normal 3 21 16" xfId="26171" xr:uid="{00000000-0005-0000-0000-000032660000}"/>
    <cellStyle name="Normal 3 21 16 2" xfId="26172" xr:uid="{00000000-0005-0000-0000-000033660000}"/>
    <cellStyle name="Normal 3 21 16 3" xfId="26173" xr:uid="{00000000-0005-0000-0000-000034660000}"/>
    <cellStyle name="Normal 3 21 17" xfId="26174" xr:uid="{00000000-0005-0000-0000-000035660000}"/>
    <cellStyle name="Normal 3 21 17 2" xfId="26175" xr:uid="{00000000-0005-0000-0000-000036660000}"/>
    <cellStyle name="Normal 3 21 17 3" xfId="26176" xr:uid="{00000000-0005-0000-0000-000037660000}"/>
    <cellStyle name="Normal 3 21 18" xfId="26177" xr:uid="{00000000-0005-0000-0000-000038660000}"/>
    <cellStyle name="Normal 3 21 18 2" xfId="26178" xr:uid="{00000000-0005-0000-0000-000039660000}"/>
    <cellStyle name="Normal 3 21 18 3" xfId="26179" xr:uid="{00000000-0005-0000-0000-00003A660000}"/>
    <cellStyle name="Normal 3 21 19" xfId="26180" xr:uid="{00000000-0005-0000-0000-00003B660000}"/>
    <cellStyle name="Normal 3 21 19 2" xfId="26181" xr:uid="{00000000-0005-0000-0000-00003C660000}"/>
    <cellStyle name="Normal 3 21 19 3" xfId="26182" xr:uid="{00000000-0005-0000-0000-00003D660000}"/>
    <cellStyle name="Normal 3 21 2" xfId="26183" xr:uid="{00000000-0005-0000-0000-00003E660000}"/>
    <cellStyle name="Normal 3 21 20" xfId="26184" xr:uid="{00000000-0005-0000-0000-00003F660000}"/>
    <cellStyle name="Normal 3 21 20 2" xfId="26185" xr:uid="{00000000-0005-0000-0000-000040660000}"/>
    <cellStyle name="Normal 3 21 20 3" xfId="26186" xr:uid="{00000000-0005-0000-0000-000041660000}"/>
    <cellStyle name="Normal 3 21 21" xfId="26187" xr:uid="{00000000-0005-0000-0000-000042660000}"/>
    <cellStyle name="Normal 3 21 21 2" xfId="26188" xr:uid="{00000000-0005-0000-0000-000043660000}"/>
    <cellStyle name="Normal 3 21 21 3" xfId="26189" xr:uid="{00000000-0005-0000-0000-000044660000}"/>
    <cellStyle name="Normal 3 21 22" xfId="26190" xr:uid="{00000000-0005-0000-0000-000045660000}"/>
    <cellStyle name="Normal 3 21 22 2" xfId="26191" xr:uid="{00000000-0005-0000-0000-000046660000}"/>
    <cellStyle name="Normal 3 21 22 3" xfId="26192" xr:uid="{00000000-0005-0000-0000-000047660000}"/>
    <cellStyle name="Normal 3 21 23" xfId="26193" xr:uid="{00000000-0005-0000-0000-000048660000}"/>
    <cellStyle name="Normal 3 21 23 2" xfId="26194" xr:uid="{00000000-0005-0000-0000-000049660000}"/>
    <cellStyle name="Normal 3 21 23 3" xfId="26195" xr:uid="{00000000-0005-0000-0000-00004A660000}"/>
    <cellStyle name="Normal 3 21 24" xfId="26196" xr:uid="{00000000-0005-0000-0000-00004B660000}"/>
    <cellStyle name="Normal 3 21 24 2" xfId="26197" xr:uid="{00000000-0005-0000-0000-00004C660000}"/>
    <cellStyle name="Normal 3 21 24 3" xfId="26198" xr:uid="{00000000-0005-0000-0000-00004D660000}"/>
    <cellStyle name="Normal 3 21 25" xfId="26199" xr:uid="{00000000-0005-0000-0000-00004E660000}"/>
    <cellStyle name="Normal 3 21 25 2" xfId="26200" xr:uid="{00000000-0005-0000-0000-00004F660000}"/>
    <cellStyle name="Normal 3 21 25 3" xfId="26201" xr:uid="{00000000-0005-0000-0000-000050660000}"/>
    <cellStyle name="Normal 3 21 26" xfId="26202" xr:uid="{00000000-0005-0000-0000-000051660000}"/>
    <cellStyle name="Normal 3 21 26 2" xfId="26203" xr:uid="{00000000-0005-0000-0000-000052660000}"/>
    <cellStyle name="Normal 3 21 26 3" xfId="26204" xr:uid="{00000000-0005-0000-0000-000053660000}"/>
    <cellStyle name="Normal 3 21 27" xfId="26205" xr:uid="{00000000-0005-0000-0000-000054660000}"/>
    <cellStyle name="Normal 3 21 27 2" xfId="26206" xr:uid="{00000000-0005-0000-0000-000055660000}"/>
    <cellStyle name="Normal 3 21 27 3" xfId="26207" xr:uid="{00000000-0005-0000-0000-000056660000}"/>
    <cellStyle name="Normal 3 21 28" xfId="26208" xr:uid="{00000000-0005-0000-0000-000057660000}"/>
    <cellStyle name="Normal 3 21 29" xfId="26209" xr:uid="{00000000-0005-0000-0000-000058660000}"/>
    <cellStyle name="Normal 3 21 3" xfId="26210" xr:uid="{00000000-0005-0000-0000-000059660000}"/>
    <cellStyle name="Normal 3 21 4" xfId="26211" xr:uid="{00000000-0005-0000-0000-00005A660000}"/>
    <cellStyle name="Normal 3 21 5" xfId="26212" xr:uid="{00000000-0005-0000-0000-00005B660000}"/>
    <cellStyle name="Normal 3 21 6" xfId="26213" xr:uid="{00000000-0005-0000-0000-00005C660000}"/>
    <cellStyle name="Normal 3 21 6 10" xfId="26214" xr:uid="{00000000-0005-0000-0000-00005D660000}"/>
    <cellStyle name="Normal 3 21 6 10 2" xfId="26215" xr:uid="{00000000-0005-0000-0000-00005E660000}"/>
    <cellStyle name="Normal 3 21 6 10 3" xfId="26216" xr:uid="{00000000-0005-0000-0000-00005F660000}"/>
    <cellStyle name="Normal 3 21 6 11" xfId="26217" xr:uid="{00000000-0005-0000-0000-000060660000}"/>
    <cellStyle name="Normal 3 21 6 11 2" xfId="26218" xr:uid="{00000000-0005-0000-0000-000061660000}"/>
    <cellStyle name="Normal 3 21 6 11 3" xfId="26219" xr:uid="{00000000-0005-0000-0000-000062660000}"/>
    <cellStyle name="Normal 3 21 6 12" xfId="26220" xr:uid="{00000000-0005-0000-0000-000063660000}"/>
    <cellStyle name="Normal 3 21 6 12 2" xfId="26221" xr:uid="{00000000-0005-0000-0000-000064660000}"/>
    <cellStyle name="Normal 3 21 6 12 3" xfId="26222" xr:uid="{00000000-0005-0000-0000-000065660000}"/>
    <cellStyle name="Normal 3 21 6 13" xfId="26223" xr:uid="{00000000-0005-0000-0000-000066660000}"/>
    <cellStyle name="Normal 3 21 6 13 2" xfId="26224" xr:uid="{00000000-0005-0000-0000-000067660000}"/>
    <cellStyle name="Normal 3 21 6 13 3" xfId="26225" xr:uid="{00000000-0005-0000-0000-000068660000}"/>
    <cellStyle name="Normal 3 21 6 14" xfId="26226" xr:uid="{00000000-0005-0000-0000-000069660000}"/>
    <cellStyle name="Normal 3 21 6 14 2" xfId="26227" xr:uid="{00000000-0005-0000-0000-00006A660000}"/>
    <cellStyle name="Normal 3 21 6 14 3" xfId="26228" xr:uid="{00000000-0005-0000-0000-00006B660000}"/>
    <cellStyle name="Normal 3 21 6 15" xfId="26229" xr:uid="{00000000-0005-0000-0000-00006C660000}"/>
    <cellStyle name="Normal 3 21 6 15 2" xfId="26230" xr:uid="{00000000-0005-0000-0000-00006D660000}"/>
    <cellStyle name="Normal 3 21 6 15 3" xfId="26231" xr:uid="{00000000-0005-0000-0000-00006E660000}"/>
    <cellStyle name="Normal 3 21 6 16" xfId="26232" xr:uid="{00000000-0005-0000-0000-00006F660000}"/>
    <cellStyle name="Normal 3 21 6 17" xfId="26233" xr:uid="{00000000-0005-0000-0000-000070660000}"/>
    <cellStyle name="Normal 3 21 6 2" xfId="26234" xr:uid="{00000000-0005-0000-0000-000071660000}"/>
    <cellStyle name="Normal 3 21 6 2 10" xfId="26235" xr:uid="{00000000-0005-0000-0000-000072660000}"/>
    <cellStyle name="Normal 3 21 6 2 10 2" xfId="26236" xr:uid="{00000000-0005-0000-0000-000073660000}"/>
    <cellStyle name="Normal 3 21 6 2 10 3" xfId="26237" xr:uid="{00000000-0005-0000-0000-000074660000}"/>
    <cellStyle name="Normal 3 21 6 2 11" xfId="26238" xr:uid="{00000000-0005-0000-0000-000075660000}"/>
    <cellStyle name="Normal 3 21 6 2 11 2" xfId="26239" xr:uid="{00000000-0005-0000-0000-000076660000}"/>
    <cellStyle name="Normal 3 21 6 2 11 3" xfId="26240" xr:uid="{00000000-0005-0000-0000-000077660000}"/>
    <cellStyle name="Normal 3 21 6 2 12" xfId="26241" xr:uid="{00000000-0005-0000-0000-000078660000}"/>
    <cellStyle name="Normal 3 21 6 2 12 2" xfId="26242" xr:uid="{00000000-0005-0000-0000-000079660000}"/>
    <cellStyle name="Normal 3 21 6 2 12 3" xfId="26243" xr:uid="{00000000-0005-0000-0000-00007A660000}"/>
    <cellStyle name="Normal 3 21 6 2 13" xfId="26244" xr:uid="{00000000-0005-0000-0000-00007B660000}"/>
    <cellStyle name="Normal 3 21 6 2 13 2" xfId="26245" xr:uid="{00000000-0005-0000-0000-00007C660000}"/>
    <cellStyle name="Normal 3 21 6 2 13 3" xfId="26246" xr:uid="{00000000-0005-0000-0000-00007D660000}"/>
    <cellStyle name="Normal 3 21 6 2 14" xfId="26247" xr:uid="{00000000-0005-0000-0000-00007E660000}"/>
    <cellStyle name="Normal 3 21 6 2 14 2" xfId="26248" xr:uid="{00000000-0005-0000-0000-00007F660000}"/>
    <cellStyle name="Normal 3 21 6 2 14 3" xfId="26249" xr:uid="{00000000-0005-0000-0000-000080660000}"/>
    <cellStyle name="Normal 3 21 6 2 15" xfId="26250" xr:uid="{00000000-0005-0000-0000-000081660000}"/>
    <cellStyle name="Normal 3 21 6 2 16" xfId="26251" xr:uid="{00000000-0005-0000-0000-000082660000}"/>
    <cellStyle name="Normal 3 21 6 2 2" xfId="26252" xr:uid="{00000000-0005-0000-0000-000083660000}"/>
    <cellStyle name="Normal 3 21 6 2 2 2" xfId="26253" xr:uid="{00000000-0005-0000-0000-000084660000}"/>
    <cellStyle name="Normal 3 21 6 2 2 3" xfId="26254" xr:uid="{00000000-0005-0000-0000-000085660000}"/>
    <cellStyle name="Normal 3 21 6 2 3" xfId="26255" xr:uid="{00000000-0005-0000-0000-000086660000}"/>
    <cellStyle name="Normal 3 21 6 2 3 2" xfId="26256" xr:uid="{00000000-0005-0000-0000-000087660000}"/>
    <cellStyle name="Normal 3 21 6 2 3 3" xfId="26257" xr:uid="{00000000-0005-0000-0000-000088660000}"/>
    <cellStyle name="Normal 3 21 6 2 4" xfId="26258" xr:uid="{00000000-0005-0000-0000-000089660000}"/>
    <cellStyle name="Normal 3 21 6 2 4 2" xfId="26259" xr:uid="{00000000-0005-0000-0000-00008A660000}"/>
    <cellStyle name="Normal 3 21 6 2 4 3" xfId="26260" xr:uid="{00000000-0005-0000-0000-00008B660000}"/>
    <cellStyle name="Normal 3 21 6 2 5" xfId="26261" xr:uid="{00000000-0005-0000-0000-00008C660000}"/>
    <cellStyle name="Normal 3 21 6 2 5 2" xfId="26262" xr:uid="{00000000-0005-0000-0000-00008D660000}"/>
    <cellStyle name="Normal 3 21 6 2 5 3" xfId="26263" xr:uid="{00000000-0005-0000-0000-00008E660000}"/>
    <cellStyle name="Normal 3 21 6 2 6" xfId="26264" xr:uid="{00000000-0005-0000-0000-00008F660000}"/>
    <cellStyle name="Normal 3 21 6 2 6 2" xfId="26265" xr:uid="{00000000-0005-0000-0000-000090660000}"/>
    <cellStyle name="Normal 3 21 6 2 6 3" xfId="26266" xr:uid="{00000000-0005-0000-0000-000091660000}"/>
    <cellStyle name="Normal 3 21 6 2 7" xfId="26267" xr:uid="{00000000-0005-0000-0000-000092660000}"/>
    <cellStyle name="Normal 3 21 6 2 7 2" xfId="26268" xr:uid="{00000000-0005-0000-0000-000093660000}"/>
    <cellStyle name="Normal 3 21 6 2 7 3" xfId="26269" xr:uid="{00000000-0005-0000-0000-000094660000}"/>
    <cellStyle name="Normal 3 21 6 2 8" xfId="26270" xr:uid="{00000000-0005-0000-0000-000095660000}"/>
    <cellStyle name="Normal 3 21 6 2 8 2" xfId="26271" xr:uid="{00000000-0005-0000-0000-000096660000}"/>
    <cellStyle name="Normal 3 21 6 2 8 3" xfId="26272" xr:uid="{00000000-0005-0000-0000-000097660000}"/>
    <cellStyle name="Normal 3 21 6 2 9" xfId="26273" xr:uid="{00000000-0005-0000-0000-000098660000}"/>
    <cellStyle name="Normal 3 21 6 2 9 2" xfId="26274" xr:uid="{00000000-0005-0000-0000-000099660000}"/>
    <cellStyle name="Normal 3 21 6 2 9 3" xfId="26275" xr:uid="{00000000-0005-0000-0000-00009A660000}"/>
    <cellStyle name="Normal 3 21 6 3" xfId="26276" xr:uid="{00000000-0005-0000-0000-00009B660000}"/>
    <cellStyle name="Normal 3 21 6 3 2" xfId="26277" xr:uid="{00000000-0005-0000-0000-00009C660000}"/>
    <cellStyle name="Normal 3 21 6 3 3" xfId="26278" xr:uid="{00000000-0005-0000-0000-00009D660000}"/>
    <cellStyle name="Normal 3 21 6 4" xfId="26279" xr:uid="{00000000-0005-0000-0000-00009E660000}"/>
    <cellStyle name="Normal 3 21 6 4 2" xfId="26280" xr:uid="{00000000-0005-0000-0000-00009F660000}"/>
    <cellStyle name="Normal 3 21 6 4 3" xfId="26281" xr:uid="{00000000-0005-0000-0000-0000A0660000}"/>
    <cellStyle name="Normal 3 21 6 5" xfId="26282" xr:uid="{00000000-0005-0000-0000-0000A1660000}"/>
    <cellStyle name="Normal 3 21 6 5 2" xfId="26283" xr:uid="{00000000-0005-0000-0000-0000A2660000}"/>
    <cellStyle name="Normal 3 21 6 5 3" xfId="26284" xr:uid="{00000000-0005-0000-0000-0000A3660000}"/>
    <cellStyle name="Normal 3 21 6 6" xfId="26285" xr:uid="{00000000-0005-0000-0000-0000A4660000}"/>
    <cellStyle name="Normal 3 21 6 6 2" xfId="26286" xr:uid="{00000000-0005-0000-0000-0000A5660000}"/>
    <cellStyle name="Normal 3 21 6 6 3" xfId="26287" xr:uid="{00000000-0005-0000-0000-0000A6660000}"/>
    <cellStyle name="Normal 3 21 6 7" xfId="26288" xr:uid="{00000000-0005-0000-0000-0000A7660000}"/>
    <cellStyle name="Normal 3 21 6 7 2" xfId="26289" xr:uid="{00000000-0005-0000-0000-0000A8660000}"/>
    <cellStyle name="Normal 3 21 6 7 3" xfId="26290" xr:uid="{00000000-0005-0000-0000-0000A9660000}"/>
    <cellStyle name="Normal 3 21 6 8" xfId="26291" xr:uid="{00000000-0005-0000-0000-0000AA660000}"/>
    <cellStyle name="Normal 3 21 6 8 2" xfId="26292" xr:uid="{00000000-0005-0000-0000-0000AB660000}"/>
    <cellStyle name="Normal 3 21 6 8 3" xfId="26293" xr:uid="{00000000-0005-0000-0000-0000AC660000}"/>
    <cellStyle name="Normal 3 21 6 9" xfId="26294" xr:uid="{00000000-0005-0000-0000-0000AD660000}"/>
    <cellStyle name="Normal 3 21 6 9 2" xfId="26295" xr:uid="{00000000-0005-0000-0000-0000AE660000}"/>
    <cellStyle name="Normal 3 21 6 9 3" xfId="26296" xr:uid="{00000000-0005-0000-0000-0000AF660000}"/>
    <cellStyle name="Normal 3 21 7" xfId="26297" xr:uid="{00000000-0005-0000-0000-0000B0660000}"/>
    <cellStyle name="Normal 3 21 7 10" xfId="26298" xr:uid="{00000000-0005-0000-0000-0000B1660000}"/>
    <cellStyle name="Normal 3 21 7 10 2" xfId="26299" xr:uid="{00000000-0005-0000-0000-0000B2660000}"/>
    <cellStyle name="Normal 3 21 7 10 3" xfId="26300" xr:uid="{00000000-0005-0000-0000-0000B3660000}"/>
    <cellStyle name="Normal 3 21 7 11" xfId="26301" xr:uid="{00000000-0005-0000-0000-0000B4660000}"/>
    <cellStyle name="Normal 3 21 7 11 2" xfId="26302" xr:uid="{00000000-0005-0000-0000-0000B5660000}"/>
    <cellStyle name="Normal 3 21 7 11 3" xfId="26303" xr:uid="{00000000-0005-0000-0000-0000B6660000}"/>
    <cellStyle name="Normal 3 21 7 12" xfId="26304" xr:uid="{00000000-0005-0000-0000-0000B7660000}"/>
    <cellStyle name="Normal 3 21 7 12 2" xfId="26305" xr:uid="{00000000-0005-0000-0000-0000B8660000}"/>
    <cellStyle name="Normal 3 21 7 12 3" xfId="26306" xr:uid="{00000000-0005-0000-0000-0000B9660000}"/>
    <cellStyle name="Normal 3 21 7 13" xfId="26307" xr:uid="{00000000-0005-0000-0000-0000BA660000}"/>
    <cellStyle name="Normal 3 21 7 13 2" xfId="26308" xr:uid="{00000000-0005-0000-0000-0000BB660000}"/>
    <cellStyle name="Normal 3 21 7 13 3" xfId="26309" xr:uid="{00000000-0005-0000-0000-0000BC660000}"/>
    <cellStyle name="Normal 3 21 7 14" xfId="26310" xr:uid="{00000000-0005-0000-0000-0000BD660000}"/>
    <cellStyle name="Normal 3 21 7 14 2" xfId="26311" xr:uid="{00000000-0005-0000-0000-0000BE660000}"/>
    <cellStyle name="Normal 3 21 7 14 3" xfId="26312" xr:uid="{00000000-0005-0000-0000-0000BF660000}"/>
    <cellStyle name="Normal 3 21 7 15" xfId="26313" xr:uid="{00000000-0005-0000-0000-0000C0660000}"/>
    <cellStyle name="Normal 3 21 7 15 2" xfId="26314" xr:uid="{00000000-0005-0000-0000-0000C1660000}"/>
    <cellStyle name="Normal 3 21 7 15 3" xfId="26315" xr:uid="{00000000-0005-0000-0000-0000C2660000}"/>
    <cellStyle name="Normal 3 21 7 16" xfId="26316" xr:uid="{00000000-0005-0000-0000-0000C3660000}"/>
    <cellStyle name="Normal 3 21 7 17" xfId="26317" xr:uid="{00000000-0005-0000-0000-0000C4660000}"/>
    <cellStyle name="Normal 3 21 7 2" xfId="26318" xr:uid="{00000000-0005-0000-0000-0000C5660000}"/>
    <cellStyle name="Normal 3 21 7 2 10" xfId="26319" xr:uid="{00000000-0005-0000-0000-0000C6660000}"/>
    <cellStyle name="Normal 3 21 7 2 10 2" xfId="26320" xr:uid="{00000000-0005-0000-0000-0000C7660000}"/>
    <cellStyle name="Normal 3 21 7 2 10 3" xfId="26321" xr:uid="{00000000-0005-0000-0000-0000C8660000}"/>
    <cellStyle name="Normal 3 21 7 2 11" xfId="26322" xr:uid="{00000000-0005-0000-0000-0000C9660000}"/>
    <cellStyle name="Normal 3 21 7 2 11 2" xfId="26323" xr:uid="{00000000-0005-0000-0000-0000CA660000}"/>
    <cellStyle name="Normal 3 21 7 2 11 3" xfId="26324" xr:uid="{00000000-0005-0000-0000-0000CB660000}"/>
    <cellStyle name="Normal 3 21 7 2 12" xfId="26325" xr:uid="{00000000-0005-0000-0000-0000CC660000}"/>
    <cellStyle name="Normal 3 21 7 2 12 2" xfId="26326" xr:uid="{00000000-0005-0000-0000-0000CD660000}"/>
    <cellStyle name="Normal 3 21 7 2 12 3" xfId="26327" xr:uid="{00000000-0005-0000-0000-0000CE660000}"/>
    <cellStyle name="Normal 3 21 7 2 13" xfId="26328" xr:uid="{00000000-0005-0000-0000-0000CF660000}"/>
    <cellStyle name="Normal 3 21 7 2 13 2" xfId="26329" xr:uid="{00000000-0005-0000-0000-0000D0660000}"/>
    <cellStyle name="Normal 3 21 7 2 13 3" xfId="26330" xr:uid="{00000000-0005-0000-0000-0000D1660000}"/>
    <cellStyle name="Normal 3 21 7 2 14" xfId="26331" xr:uid="{00000000-0005-0000-0000-0000D2660000}"/>
    <cellStyle name="Normal 3 21 7 2 14 2" xfId="26332" xr:uid="{00000000-0005-0000-0000-0000D3660000}"/>
    <cellStyle name="Normal 3 21 7 2 14 3" xfId="26333" xr:uid="{00000000-0005-0000-0000-0000D4660000}"/>
    <cellStyle name="Normal 3 21 7 2 15" xfId="26334" xr:uid="{00000000-0005-0000-0000-0000D5660000}"/>
    <cellStyle name="Normal 3 21 7 2 16" xfId="26335" xr:uid="{00000000-0005-0000-0000-0000D6660000}"/>
    <cellStyle name="Normal 3 21 7 2 2" xfId="26336" xr:uid="{00000000-0005-0000-0000-0000D7660000}"/>
    <cellStyle name="Normal 3 21 7 2 2 2" xfId="26337" xr:uid="{00000000-0005-0000-0000-0000D8660000}"/>
    <cellStyle name="Normal 3 21 7 2 2 3" xfId="26338" xr:uid="{00000000-0005-0000-0000-0000D9660000}"/>
    <cellStyle name="Normal 3 21 7 2 3" xfId="26339" xr:uid="{00000000-0005-0000-0000-0000DA660000}"/>
    <cellStyle name="Normal 3 21 7 2 3 2" xfId="26340" xr:uid="{00000000-0005-0000-0000-0000DB660000}"/>
    <cellStyle name="Normal 3 21 7 2 3 3" xfId="26341" xr:uid="{00000000-0005-0000-0000-0000DC660000}"/>
    <cellStyle name="Normal 3 21 7 2 4" xfId="26342" xr:uid="{00000000-0005-0000-0000-0000DD660000}"/>
    <cellStyle name="Normal 3 21 7 2 4 2" xfId="26343" xr:uid="{00000000-0005-0000-0000-0000DE660000}"/>
    <cellStyle name="Normal 3 21 7 2 4 3" xfId="26344" xr:uid="{00000000-0005-0000-0000-0000DF660000}"/>
    <cellStyle name="Normal 3 21 7 2 5" xfId="26345" xr:uid="{00000000-0005-0000-0000-0000E0660000}"/>
    <cellStyle name="Normal 3 21 7 2 5 2" xfId="26346" xr:uid="{00000000-0005-0000-0000-0000E1660000}"/>
    <cellStyle name="Normal 3 21 7 2 5 3" xfId="26347" xr:uid="{00000000-0005-0000-0000-0000E2660000}"/>
    <cellStyle name="Normal 3 21 7 2 6" xfId="26348" xr:uid="{00000000-0005-0000-0000-0000E3660000}"/>
    <cellStyle name="Normal 3 21 7 2 6 2" xfId="26349" xr:uid="{00000000-0005-0000-0000-0000E4660000}"/>
    <cellStyle name="Normal 3 21 7 2 6 3" xfId="26350" xr:uid="{00000000-0005-0000-0000-0000E5660000}"/>
    <cellStyle name="Normal 3 21 7 2 7" xfId="26351" xr:uid="{00000000-0005-0000-0000-0000E6660000}"/>
    <cellStyle name="Normal 3 21 7 2 7 2" xfId="26352" xr:uid="{00000000-0005-0000-0000-0000E7660000}"/>
    <cellStyle name="Normal 3 21 7 2 7 3" xfId="26353" xr:uid="{00000000-0005-0000-0000-0000E8660000}"/>
    <cellStyle name="Normal 3 21 7 2 8" xfId="26354" xr:uid="{00000000-0005-0000-0000-0000E9660000}"/>
    <cellStyle name="Normal 3 21 7 2 8 2" xfId="26355" xr:uid="{00000000-0005-0000-0000-0000EA660000}"/>
    <cellStyle name="Normal 3 21 7 2 8 3" xfId="26356" xr:uid="{00000000-0005-0000-0000-0000EB660000}"/>
    <cellStyle name="Normal 3 21 7 2 9" xfId="26357" xr:uid="{00000000-0005-0000-0000-0000EC660000}"/>
    <cellStyle name="Normal 3 21 7 2 9 2" xfId="26358" xr:uid="{00000000-0005-0000-0000-0000ED660000}"/>
    <cellStyle name="Normal 3 21 7 2 9 3" xfId="26359" xr:uid="{00000000-0005-0000-0000-0000EE660000}"/>
    <cellStyle name="Normal 3 21 7 3" xfId="26360" xr:uid="{00000000-0005-0000-0000-0000EF660000}"/>
    <cellStyle name="Normal 3 21 7 3 2" xfId="26361" xr:uid="{00000000-0005-0000-0000-0000F0660000}"/>
    <cellStyle name="Normal 3 21 7 3 3" xfId="26362" xr:uid="{00000000-0005-0000-0000-0000F1660000}"/>
    <cellStyle name="Normal 3 21 7 4" xfId="26363" xr:uid="{00000000-0005-0000-0000-0000F2660000}"/>
    <cellStyle name="Normal 3 21 7 4 2" xfId="26364" xr:uid="{00000000-0005-0000-0000-0000F3660000}"/>
    <cellStyle name="Normal 3 21 7 4 3" xfId="26365" xr:uid="{00000000-0005-0000-0000-0000F4660000}"/>
    <cellStyle name="Normal 3 21 7 5" xfId="26366" xr:uid="{00000000-0005-0000-0000-0000F5660000}"/>
    <cellStyle name="Normal 3 21 7 5 2" xfId="26367" xr:uid="{00000000-0005-0000-0000-0000F6660000}"/>
    <cellStyle name="Normal 3 21 7 5 3" xfId="26368" xr:uid="{00000000-0005-0000-0000-0000F7660000}"/>
    <cellStyle name="Normal 3 21 7 6" xfId="26369" xr:uid="{00000000-0005-0000-0000-0000F8660000}"/>
    <cellStyle name="Normal 3 21 7 6 2" xfId="26370" xr:uid="{00000000-0005-0000-0000-0000F9660000}"/>
    <cellStyle name="Normal 3 21 7 6 3" xfId="26371" xr:uid="{00000000-0005-0000-0000-0000FA660000}"/>
    <cellStyle name="Normal 3 21 7 7" xfId="26372" xr:uid="{00000000-0005-0000-0000-0000FB660000}"/>
    <cellStyle name="Normal 3 21 7 7 2" xfId="26373" xr:uid="{00000000-0005-0000-0000-0000FC660000}"/>
    <cellStyle name="Normal 3 21 7 7 3" xfId="26374" xr:uid="{00000000-0005-0000-0000-0000FD660000}"/>
    <cellStyle name="Normal 3 21 7 8" xfId="26375" xr:uid="{00000000-0005-0000-0000-0000FE660000}"/>
    <cellStyle name="Normal 3 21 7 8 2" xfId="26376" xr:uid="{00000000-0005-0000-0000-0000FF660000}"/>
    <cellStyle name="Normal 3 21 7 8 3" xfId="26377" xr:uid="{00000000-0005-0000-0000-000000670000}"/>
    <cellStyle name="Normal 3 21 7 9" xfId="26378" xr:uid="{00000000-0005-0000-0000-000001670000}"/>
    <cellStyle name="Normal 3 21 7 9 2" xfId="26379" xr:uid="{00000000-0005-0000-0000-000002670000}"/>
    <cellStyle name="Normal 3 21 7 9 3" xfId="26380" xr:uid="{00000000-0005-0000-0000-000003670000}"/>
    <cellStyle name="Normal 3 21 8" xfId="26381" xr:uid="{00000000-0005-0000-0000-000004670000}"/>
    <cellStyle name="Normal 3 21 8 10" xfId="26382" xr:uid="{00000000-0005-0000-0000-000005670000}"/>
    <cellStyle name="Normal 3 21 8 10 2" xfId="26383" xr:uid="{00000000-0005-0000-0000-000006670000}"/>
    <cellStyle name="Normal 3 21 8 10 3" xfId="26384" xr:uid="{00000000-0005-0000-0000-000007670000}"/>
    <cellStyle name="Normal 3 21 8 11" xfId="26385" xr:uid="{00000000-0005-0000-0000-000008670000}"/>
    <cellStyle name="Normal 3 21 8 11 2" xfId="26386" xr:uid="{00000000-0005-0000-0000-000009670000}"/>
    <cellStyle name="Normal 3 21 8 11 3" xfId="26387" xr:uid="{00000000-0005-0000-0000-00000A670000}"/>
    <cellStyle name="Normal 3 21 8 12" xfId="26388" xr:uid="{00000000-0005-0000-0000-00000B670000}"/>
    <cellStyle name="Normal 3 21 8 12 2" xfId="26389" xr:uid="{00000000-0005-0000-0000-00000C670000}"/>
    <cellStyle name="Normal 3 21 8 12 3" xfId="26390" xr:uid="{00000000-0005-0000-0000-00000D670000}"/>
    <cellStyle name="Normal 3 21 8 13" xfId="26391" xr:uid="{00000000-0005-0000-0000-00000E670000}"/>
    <cellStyle name="Normal 3 21 8 13 2" xfId="26392" xr:uid="{00000000-0005-0000-0000-00000F670000}"/>
    <cellStyle name="Normal 3 21 8 13 3" xfId="26393" xr:uid="{00000000-0005-0000-0000-000010670000}"/>
    <cellStyle name="Normal 3 21 8 14" xfId="26394" xr:uid="{00000000-0005-0000-0000-000011670000}"/>
    <cellStyle name="Normal 3 21 8 14 2" xfId="26395" xr:uid="{00000000-0005-0000-0000-000012670000}"/>
    <cellStyle name="Normal 3 21 8 14 3" xfId="26396" xr:uid="{00000000-0005-0000-0000-000013670000}"/>
    <cellStyle name="Normal 3 21 8 15" xfId="26397" xr:uid="{00000000-0005-0000-0000-000014670000}"/>
    <cellStyle name="Normal 3 21 8 15 2" xfId="26398" xr:uid="{00000000-0005-0000-0000-000015670000}"/>
    <cellStyle name="Normal 3 21 8 15 3" xfId="26399" xr:uid="{00000000-0005-0000-0000-000016670000}"/>
    <cellStyle name="Normal 3 21 8 16" xfId="26400" xr:uid="{00000000-0005-0000-0000-000017670000}"/>
    <cellStyle name="Normal 3 21 8 17" xfId="26401" xr:uid="{00000000-0005-0000-0000-000018670000}"/>
    <cellStyle name="Normal 3 21 8 2" xfId="26402" xr:uid="{00000000-0005-0000-0000-000019670000}"/>
    <cellStyle name="Normal 3 21 8 2 10" xfId="26403" xr:uid="{00000000-0005-0000-0000-00001A670000}"/>
    <cellStyle name="Normal 3 21 8 2 10 2" xfId="26404" xr:uid="{00000000-0005-0000-0000-00001B670000}"/>
    <cellStyle name="Normal 3 21 8 2 10 3" xfId="26405" xr:uid="{00000000-0005-0000-0000-00001C670000}"/>
    <cellStyle name="Normal 3 21 8 2 11" xfId="26406" xr:uid="{00000000-0005-0000-0000-00001D670000}"/>
    <cellStyle name="Normal 3 21 8 2 11 2" xfId="26407" xr:uid="{00000000-0005-0000-0000-00001E670000}"/>
    <cellStyle name="Normal 3 21 8 2 11 3" xfId="26408" xr:uid="{00000000-0005-0000-0000-00001F670000}"/>
    <cellStyle name="Normal 3 21 8 2 12" xfId="26409" xr:uid="{00000000-0005-0000-0000-000020670000}"/>
    <cellStyle name="Normal 3 21 8 2 12 2" xfId="26410" xr:uid="{00000000-0005-0000-0000-000021670000}"/>
    <cellStyle name="Normal 3 21 8 2 12 3" xfId="26411" xr:uid="{00000000-0005-0000-0000-000022670000}"/>
    <cellStyle name="Normal 3 21 8 2 13" xfId="26412" xr:uid="{00000000-0005-0000-0000-000023670000}"/>
    <cellStyle name="Normal 3 21 8 2 13 2" xfId="26413" xr:uid="{00000000-0005-0000-0000-000024670000}"/>
    <cellStyle name="Normal 3 21 8 2 13 3" xfId="26414" xr:uid="{00000000-0005-0000-0000-000025670000}"/>
    <cellStyle name="Normal 3 21 8 2 14" xfId="26415" xr:uid="{00000000-0005-0000-0000-000026670000}"/>
    <cellStyle name="Normal 3 21 8 2 14 2" xfId="26416" xr:uid="{00000000-0005-0000-0000-000027670000}"/>
    <cellStyle name="Normal 3 21 8 2 14 3" xfId="26417" xr:uid="{00000000-0005-0000-0000-000028670000}"/>
    <cellStyle name="Normal 3 21 8 2 15" xfId="26418" xr:uid="{00000000-0005-0000-0000-000029670000}"/>
    <cellStyle name="Normal 3 21 8 2 16" xfId="26419" xr:uid="{00000000-0005-0000-0000-00002A670000}"/>
    <cellStyle name="Normal 3 21 8 2 2" xfId="26420" xr:uid="{00000000-0005-0000-0000-00002B670000}"/>
    <cellStyle name="Normal 3 21 8 2 2 2" xfId="26421" xr:uid="{00000000-0005-0000-0000-00002C670000}"/>
    <cellStyle name="Normal 3 21 8 2 2 3" xfId="26422" xr:uid="{00000000-0005-0000-0000-00002D670000}"/>
    <cellStyle name="Normal 3 21 8 2 3" xfId="26423" xr:uid="{00000000-0005-0000-0000-00002E670000}"/>
    <cellStyle name="Normal 3 21 8 2 3 2" xfId="26424" xr:uid="{00000000-0005-0000-0000-00002F670000}"/>
    <cellStyle name="Normal 3 21 8 2 3 3" xfId="26425" xr:uid="{00000000-0005-0000-0000-000030670000}"/>
    <cellStyle name="Normal 3 21 8 2 4" xfId="26426" xr:uid="{00000000-0005-0000-0000-000031670000}"/>
    <cellStyle name="Normal 3 21 8 2 4 2" xfId="26427" xr:uid="{00000000-0005-0000-0000-000032670000}"/>
    <cellStyle name="Normal 3 21 8 2 4 3" xfId="26428" xr:uid="{00000000-0005-0000-0000-000033670000}"/>
    <cellStyle name="Normal 3 21 8 2 5" xfId="26429" xr:uid="{00000000-0005-0000-0000-000034670000}"/>
    <cellStyle name="Normal 3 21 8 2 5 2" xfId="26430" xr:uid="{00000000-0005-0000-0000-000035670000}"/>
    <cellStyle name="Normal 3 21 8 2 5 3" xfId="26431" xr:uid="{00000000-0005-0000-0000-000036670000}"/>
    <cellStyle name="Normal 3 21 8 2 6" xfId="26432" xr:uid="{00000000-0005-0000-0000-000037670000}"/>
    <cellStyle name="Normal 3 21 8 2 6 2" xfId="26433" xr:uid="{00000000-0005-0000-0000-000038670000}"/>
    <cellStyle name="Normal 3 21 8 2 6 3" xfId="26434" xr:uid="{00000000-0005-0000-0000-000039670000}"/>
    <cellStyle name="Normal 3 21 8 2 7" xfId="26435" xr:uid="{00000000-0005-0000-0000-00003A670000}"/>
    <cellStyle name="Normal 3 21 8 2 7 2" xfId="26436" xr:uid="{00000000-0005-0000-0000-00003B670000}"/>
    <cellStyle name="Normal 3 21 8 2 7 3" xfId="26437" xr:uid="{00000000-0005-0000-0000-00003C670000}"/>
    <cellStyle name="Normal 3 21 8 2 8" xfId="26438" xr:uid="{00000000-0005-0000-0000-00003D670000}"/>
    <cellStyle name="Normal 3 21 8 2 8 2" xfId="26439" xr:uid="{00000000-0005-0000-0000-00003E670000}"/>
    <cellStyle name="Normal 3 21 8 2 8 3" xfId="26440" xr:uid="{00000000-0005-0000-0000-00003F670000}"/>
    <cellStyle name="Normal 3 21 8 2 9" xfId="26441" xr:uid="{00000000-0005-0000-0000-000040670000}"/>
    <cellStyle name="Normal 3 21 8 2 9 2" xfId="26442" xr:uid="{00000000-0005-0000-0000-000041670000}"/>
    <cellStyle name="Normal 3 21 8 2 9 3" xfId="26443" xr:uid="{00000000-0005-0000-0000-000042670000}"/>
    <cellStyle name="Normal 3 21 8 3" xfId="26444" xr:uid="{00000000-0005-0000-0000-000043670000}"/>
    <cellStyle name="Normal 3 21 8 3 2" xfId="26445" xr:uid="{00000000-0005-0000-0000-000044670000}"/>
    <cellStyle name="Normal 3 21 8 3 3" xfId="26446" xr:uid="{00000000-0005-0000-0000-000045670000}"/>
    <cellStyle name="Normal 3 21 8 4" xfId="26447" xr:uid="{00000000-0005-0000-0000-000046670000}"/>
    <cellStyle name="Normal 3 21 8 4 2" xfId="26448" xr:uid="{00000000-0005-0000-0000-000047670000}"/>
    <cellStyle name="Normal 3 21 8 4 3" xfId="26449" xr:uid="{00000000-0005-0000-0000-000048670000}"/>
    <cellStyle name="Normal 3 21 8 5" xfId="26450" xr:uid="{00000000-0005-0000-0000-000049670000}"/>
    <cellStyle name="Normal 3 21 8 5 2" xfId="26451" xr:uid="{00000000-0005-0000-0000-00004A670000}"/>
    <cellStyle name="Normal 3 21 8 5 3" xfId="26452" xr:uid="{00000000-0005-0000-0000-00004B670000}"/>
    <cellStyle name="Normal 3 21 8 6" xfId="26453" xr:uid="{00000000-0005-0000-0000-00004C670000}"/>
    <cellStyle name="Normal 3 21 8 6 2" xfId="26454" xr:uid="{00000000-0005-0000-0000-00004D670000}"/>
    <cellStyle name="Normal 3 21 8 6 3" xfId="26455" xr:uid="{00000000-0005-0000-0000-00004E670000}"/>
    <cellStyle name="Normal 3 21 8 7" xfId="26456" xr:uid="{00000000-0005-0000-0000-00004F670000}"/>
    <cellStyle name="Normal 3 21 8 7 2" xfId="26457" xr:uid="{00000000-0005-0000-0000-000050670000}"/>
    <cellStyle name="Normal 3 21 8 7 3" xfId="26458" xr:uid="{00000000-0005-0000-0000-000051670000}"/>
    <cellStyle name="Normal 3 21 8 8" xfId="26459" xr:uid="{00000000-0005-0000-0000-000052670000}"/>
    <cellStyle name="Normal 3 21 8 8 2" xfId="26460" xr:uid="{00000000-0005-0000-0000-000053670000}"/>
    <cellStyle name="Normal 3 21 8 8 3" xfId="26461" xr:uid="{00000000-0005-0000-0000-000054670000}"/>
    <cellStyle name="Normal 3 21 8 9" xfId="26462" xr:uid="{00000000-0005-0000-0000-000055670000}"/>
    <cellStyle name="Normal 3 21 8 9 2" xfId="26463" xr:uid="{00000000-0005-0000-0000-000056670000}"/>
    <cellStyle name="Normal 3 21 8 9 3" xfId="26464" xr:uid="{00000000-0005-0000-0000-000057670000}"/>
    <cellStyle name="Normal 3 21 9" xfId="26465" xr:uid="{00000000-0005-0000-0000-000058670000}"/>
    <cellStyle name="Normal 3 21 9 10" xfId="26466" xr:uid="{00000000-0005-0000-0000-000059670000}"/>
    <cellStyle name="Normal 3 21 9 10 2" xfId="26467" xr:uid="{00000000-0005-0000-0000-00005A670000}"/>
    <cellStyle name="Normal 3 21 9 10 3" xfId="26468" xr:uid="{00000000-0005-0000-0000-00005B670000}"/>
    <cellStyle name="Normal 3 21 9 11" xfId="26469" xr:uid="{00000000-0005-0000-0000-00005C670000}"/>
    <cellStyle name="Normal 3 21 9 11 2" xfId="26470" xr:uid="{00000000-0005-0000-0000-00005D670000}"/>
    <cellStyle name="Normal 3 21 9 11 3" xfId="26471" xr:uid="{00000000-0005-0000-0000-00005E670000}"/>
    <cellStyle name="Normal 3 21 9 12" xfId="26472" xr:uid="{00000000-0005-0000-0000-00005F670000}"/>
    <cellStyle name="Normal 3 21 9 12 2" xfId="26473" xr:uid="{00000000-0005-0000-0000-000060670000}"/>
    <cellStyle name="Normal 3 21 9 12 3" xfId="26474" xr:uid="{00000000-0005-0000-0000-000061670000}"/>
    <cellStyle name="Normal 3 21 9 13" xfId="26475" xr:uid="{00000000-0005-0000-0000-000062670000}"/>
    <cellStyle name="Normal 3 21 9 13 2" xfId="26476" xr:uid="{00000000-0005-0000-0000-000063670000}"/>
    <cellStyle name="Normal 3 21 9 13 3" xfId="26477" xr:uid="{00000000-0005-0000-0000-000064670000}"/>
    <cellStyle name="Normal 3 21 9 14" xfId="26478" xr:uid="{00000000-0005-0000-0000-000065670000}"/>
    <cellStyle name="Normal 3 21 9 14 2" xfId="26479" xr:uid="{00000000-0005-0000-0000-000066670000}"/>
    <cellStyle name="Normal 3 21 9 14 3" xfId="26480" xr:uid="{00000000-0005-0000-0000-000067670000}"/>
    <cellStyle name="Normal 3 21 9 15" xfId="26481" xr:uid="{00000000-0005-0000-0000-000068670000}"/>
    <cellStyle name="Normal 3 21 9 16" xfId="26482" xr:uid="{00000000-0005-0000-0000-000069670000}"/>
    <cellStyle name="Normal 3 21 9 2" xfId="26483" xr:uid="{00000000-0005-0000-0000-00006A670000}"/>
    <cellStyle name="Normal 3 21 9 2 2" xfId="26484" xr:uid="{00000000-0005-0000-0000-00006B670000}"/>
    <cellStyle name="Normal 3 21 9 2 3" xfId="26485" xr:uid="{00000000-0005-0000-0000-00006C670000}"/>
    <cellStyle name="Normal 3 21 9 3" xfId="26486" xr:uid="{00000000-0005-0000-0000-00006D670000}"/>
    <cellStyle name="Normal 3 21 9 3 2" xfId="26487" xr:uid="{00000000-0005-0000-0000-00006E670000}"/>
    <cellStyle name="Normal 3 21 9 3 3" xfId="26488" xr:uid="{00000000-0005-0000-0000-00006F670000}"/>
    <cellStyle name="Normal 3 21 9 4" xfId="26489" xr:uid="{00000000-0005-0000-0000-000070670000}"/>
    <cellStyle name="Normal 3 21 9 4 2" xfId="26490" xr:uid="{00000000-0005-0000-0000-000071670000}"/>
    <cellStyle name="Normal 3 21 9 4 3" xfId="26491" xr:uid="{00000000-0005-0000-0000-000072670000}"/>
    <cellStyle name="Normal 3 21 9 5" xfId="26492" xr:uid="{00000000-0005-0000-0000-000073670000}"/>
    <cellStyle name="Normal 3 21 9 5 2" xfId="26493" xr:uid="{00000000-0005-0000-0000-000074670000}"/>
    <cellStyle name="Normal 3 21 9 5 3" xfId="26494" xr:uid="{00000000-0005-0000-0000-000075670000}"/>
    <cellStyle name="Normal 3 21 9 6" xfId="26495" xr:uid="{00000000-0005-0000-0000-000076670000}"/>
    <cellStyle name="Normal 3 21 9 6 2" xfId="26496" xr:uid="{00000000-0005-0000-0000-000077670000}"/>
    <cellStyle name="Normal 3 21 9 6 3" xfId="26497" xr:uid="{00000000-0005-0000-0000-000078670000}"/>
    <cellStyle name="Normal 3 21 9 7" xfId="26498" xr:uid="{00000000-0005-0000-0000-000079670000}"/>
    <cellStyle name="Normal 3 21 9 7 2" xfId="26499" xr:uid="{00000000-0005-0000-0000-00007A670000}"/>
    <cellStyle name="Normal 3 21 9 7 3" xfId="26500" xr:uid="{00000000-0005-0000-0000-00007B670000}"/>
    <cellStyle name="Normal 3 21 9 8" xfId="26501" xr:uid="{00000000-0005-0000-0000-00007C670000}"/>
    <cellStyle name="Normal 3 21 9 8 2" xfId="26502" xr:uid="{00000000-0005-0000-0000-00007D670000}"/>
    <cellStyle name="Normal 3 21 9 8 3" xfId="26503" xr:uid="{00000000-0005-0000-0000-00007E670000}"/>
    <cellStyle name="Normal 3 21 9 9" xfId="26504" xr:uid="{00000000-0005-0000-0000-00007F670000}"/>
    <cellStyle name="Normal 3 21 9 9 2" xfId="26505" xr:uid="{00000000-0005-0000-0000-000080670000}"/>
    <cellStyle name="Normal 3 21 9 9 3" xfId="26506" xr:uid="{00000000-0005-0000-0000-000081670000}"/>
    <cellStyle name="Normal 3 22" xfId="26507" xr:uid="{00000000-0005-0000-0000-000082670000}"/>
    <cellStyle name="Normal 3 22 10" xfId="26508" xr:uid="{00000000-0005-0000-0000-000083670000}"/>
    <cellStyle name="Normal 3 22 10 10" xfId="26509" xr:uid="{00000000-0005-0000-0000-000084670000}"/>
    <cellStyle name="Normal 3 22 10 10 2" xfId="26510" xr:uid="{00000000-0005-0000-0000-000085670000}"/>
    <cellStyle name="Normal 3 22 10 10 3" xfId="26511" xr:uid="{00000000-0005-0000-0000-000086670000}"/>
    <cellStyle name="Normal 3 22 10 11" xfId="26512" xr:uid="{00000000-0005-0000-0000-000087670000}"/>
    <cellStyle name="Normal 3 22 10 11 2" xfId="26513" xr:uid="{00000000-0005-0000-0000-000088670000}"/>
    <cellStyle name="Normal 3 22 10 11 3" xfId="26514" xr:uid="{00000000-0005-0000-0000-000089670000}"/>
    <cellStyle name="Normal 3 22 10 12" xfId="26515" xr:uid="{00000000-0005-0000-0000-00008A670000}"/>
    <cellStyle name="Normal 3 22 10 12 2" xfId="26516" xr:uid="{00000000-0005-0000-0000-00008B670000}"/>
    <cellStyle name="Normal 3 22 10 12 3" xfId="26517" xr:uid="{00000000-0005-0000-0000-00008C670000}"/>
    <cellStyle name="Normal 3 22 10 13" xfId="26518" xr:uid="{00000000-0005-0000-0000-00008D670000}"/>
    <cellStyle name="Normal 3 22 10 13 2" xfId="26519" xr:uid="{00000000-0005-0000-0000-00008E670000}"/>
    <cellStyle name="Normal 3 22 10 13 3" xfId="26520" xr:uid="{00000000-0005-0000-0000-00008F670000}"/>
    <cellStyle name="Normal 3 22 10 14" xfId="26521" xr:uid="{00000000-0005-0000-0000-000090670000}"/>
    <cellStyle name="Normal 3 22 10 14 2" xfId="26522" xr:uid="{00000000-0005-0000-0000-000091670000}"/>
    <cellStyle name="Normal 3 22 10 14 3" xfId="26523" xr:uid="{00000000-0005-0000-0000-000092670000}"/>
    <cellStyle name="Normal 3 22 10 15" xfId="26524" xr:uid="{00000000-0005-0000-0000-000093670000}"/>
    <cellStyle name="Normal 3 22 10 16" xfId="26525" xr:uid="{00000000-0005-0000-0000-000094670000}"/>
    <cellStyle name="Normal 3 22 10 2" xfId="26526" xr:uid="{00000000-0005-0000-0000-000095670000}"/>
    <cellStyle name="Normal 3 22 10 2 2" xfId="26527" xr:uid="{00000000-0005-0000-0000-000096670000}"/>
    <cellStyle name="Normal 3 22 10 2 3" xfId="26528" xr:uid="{00000000-0005-0000-0000-000097670000}"/>
    <cellStyle name="Normal 3 22 10 3" xfId="26529" xr:uid="{00000000-0005-0000-0000-000098670000}"/>
    <cellStyle name="Normal 3 22 10 3 2" xfId="26530" xr:uid="{00000000-0005-0000-0000-000099670000}"/>
    <cellStyle name="Normal 3 22 10 3 3" xfId="26531" xr:uid="{00000000-0005-0000-0000-00009A670000}"/>
    <cellStyle name="Normal 3 22 10 4" xfId="26532" xr:uid="{00000000-0005-0000-0000-00009B670000}"/>
    <cellStyle name="Normal 3 22 10 4 2" xfId="26533" xr:uid="{00000000-0005-0000-0000-00009C670000}"/>
    <cellStyle name="Normal 3 22 10 4 3" xfId="26534" xr:uid="{00000000-0005-0000-0000-00009D670000}"/>
    <cellStyle name="Normal 3 22 10 5" xfId="26535" xr:uid="{00000000-0005-0000-0000-00009E670000}"/>
    <cellStyle name="Normal 3 22 10 5 2" xfId="26536" xr:uid="{00000000-0005-0000-0000-00009F670000}"/>
    <cellStyle name="Normal 3 22 10 5 3" xfId="26537" xr:uid="{00000000-0005-0000-0000-0000A0670000}"/>
    <cellStyle name="Normal 3 22 10 6" xfId="26538" xr:uid="{00000000-0005-0000-0000-0000A1670000}"/>
    <cellStyle name="Normal 3 22 10 6 2" xfId="26539" xr:uid="{00000000-0005-0000-0000-0000A2670000}"/>
    <cellStyle name="Normal 3 22 10 6 3" xfId="26540" xr:uid="{00000000-0005-0000-0000-0000A3670000}"/>
    <cellStyle name="Normal 3 22 10 7" xfId="26541" xr:uid="{00000000-0005-0000-0000-0000A4670000}"/>
    <cellStyle name="Normal 3 22 10 7 2" xfId="26542" xr:uid="{00000000-0005-0000-0000-0000A5670000}"/>
    <cellStyle name="Normal 3 22 10 7 3" xfId="26543" xr:uid="{00000000-0005-0000-0000-0000A6670000}"/>
    <cellStyle name="Normal 3 22 10 8" xfId="26544" xr:uid="{00000000-0005-0000-0000-0000A7670000}"/>
    <cellStyle name="Normal 3 22 10 8 2" xfId="26545" xr:uid="{00000000-0005-0000-0000-0000A8670000}"/>
    <cellStyle name="Normal 3 22 10 8 3" xfId="26546" xr:uid="{00000000-0005-0000-0000-0000A9670000}"/>
    <cellStyle name="Normal 3 22 10 9" xfId="26547" xr:uid="{00000000-0005-0000-0000-0000AA670000}"/>
    <cellStyle name="Normal 3 22 10 9 2" xfId="26548" xr:uid="{00000000-0005-0000-0000-0000AB670000}"/>
    <cellStyle name="Normal 3 22 10 9 3" xfId="26549" xr:uid="{00000000-0005-0000-0000-0000AC670000}"/>
    <cellStyle name="Normal 3 22 11" xfId="26550" xr:uid="{00000000-0005-0000-0000-0000AD670000}"/>
    <cellStyle name="Normal 3 22 11 10" xfId="26551" xr:uid="{00000000-0005-0000-0000-0000AE670000}"/>
    <cellStyle name="Normal 3 22 11 10 2" xfId="26552" xr:uid="{00000000-0005-0000-0000-0000AF670000}"/>
    <cellStyle name="Normal 3 22 11 10 3" xfId="26553" xr:uid="{00000000-0005-0000-0000-0000B0670000}"/>
    <cellStyle name="Normal 3 22 11 11" xfId="26554" xr:uid="{00000000-0005-0000-0000-0000B1670000}"/>
    <cellStyle name="Normal 3 22 11 11 2" xfId="26555" xr:uid="{00000000-0005-0000-0000-0000B2670000}"/>
    <cellStyle name="Normal 3 22 11 11 3" xfId="26556" xr:uid="{00000000-0005-0000-0000-0000B3670000}"/>
    <cellStyle name="Normal 3 22 11 12" xfId="26557" xr:uid="{00000000-0005-0000-0000-0000B4670000}"/>
    <cellStyle name="Normal 3 22 11 12 2" xfId="26558" xr:uid="{00000000-0005-0000-0000-0000B5670000}"/>
    <cellStyle name="Normal 3 22 11 12 3" xfId="26559" xr:uid="{00000000-0005-0000-0000-0000B6670000}"/>
    <cellStyle name="Normal 3 22 11 13" xfId="26560" xr:uid="{00000000-0005-0000-0000-0000B7670000}"/>
    <cellStyle name="Normal 3 22 11 13 2" xfId="26561" xr:uid="{00000000-0005-0000-0000-0000B8670000}"/>
    <cellStyle name="Normal 3 22 11 13 3" xfId="26562" xr:uid="{00000000-0005-0000-0000-0000B9670000}"/>
    <cellStyle name="Normal 3 22 11 14" xfId="26563" xr:uid="{00000000-0005-0000-0000-0000BA670000}"/>
    <cellStyle name="Normal 3 22 11 14 2" xfId="26564" xr:uid="{00000000-0005-0000-0000-0000BB670000}"/>
    <cellStyle name="Normal 3 22 11 14 3" xfId="26565" xr:uid="{00000000-0005-0000-0000-0000BC670000}"/>
    <cellStyle name="Normal 3 22 11 15" xfId="26566" xr:uid="{00000000-0005-0000-0000-0000BD670000}"/>
    <cellStyle name="Normal 3 22 11 16" xfId="26567" xr:uid="{00000000-0005-0000-0000-0000BE670000}"/>
    <cellStyle name="Normal 3 22 11 2" xfId="26568" xr:uid="{00000000-0005-0000-0000-0000BF670000}"/>
    <cellStyle name="Normal 3 22 11 2 2" xfId="26569" xr:uid="{00000000-0005-0000-0000-0000C0670000}"/>
    <cellStyle name="Normal 3 22 11 2 3" xfId="26570" xr:uid="{00000000-0005-0000-0000-0000C1670000}"/>
    <cellStyle name="Normal 3 22 11 3" xfId="26571" xr:uid="{00000000-0005-0000-0000-0000C2670000}"/>
    <cellStyle name="Normal 3 22 11 3 2" xfId="26572" xr:uid="{00000000-0005-0000-0000-0000C3670000}"/>
    <cellStyle name="Normal 3 22 11 3 3" xfId="26573" xr:uid="{00000000-0005-0000-0000-0000C4670000}"/>
    <cellStyle name="Normal 3 22 11 4" xfId="26574" xr:uid="{00000000-0005-0000-0000-0000C5670000}"/>
    <cellStyle name="Normal 3 22 11 4 2" xfId="26575" xr:uid="{00000000-0005-0000-0000-0000C6670000}"/>
    <cellStyle name="Normal 3 22 11 4 3" xfId="26576" xr:uid="{00000000-0005-0000-0000-0000C7670000}"/>
    <cellStyle name="Normal 3 22 11 5" xfId="26577" xr:uid="{00000000-0005-0000-0000-0000C8670000}"/>
    <cellStyle name="Normal 3 22 11 5 2" xfId="26578" xr:uid="{00000000-0005-0000-0000-0000C9670000}"/>
    <cellStyle name="Normal 3 22 11 5 3" xfId="26579" xr:uid="{00000000-0005-0000-0000-0000CA670000}"/>
    <cellStyle name="Normal 3 22 11 6" xfId="26580" xr:uid="{00000000-0005-0000-0000-0000CB670000}"/>
    <cellStyle name="Normal 3 22 11 6 2" xfId="26581" xr:uid="{00000000-0005-0000-0000-0000CC670000}"/>
    <cellStyle name="Normal 3 22 11 6 3" xfId="26582" xr:uid="{00000000-0005-0000-0000-0000CD670000}"/>
    <cellStyle name="Normal 3 22 11 7" xfId="26583" xr:uid="{00000000-0005-0000-0000-0000CE670000}"/>
    <cellStyle name="Normal 3 22 11 7 2" xfId="26584" xr:uid="{00000000-0005-0000-0000-0000CF670000}"/>
    <cellStyle name="Normal 3 22 11 7 3" xfId="26585" xr:uid="{00000000-0005-0000-0000-0000D0670000}"/>
    <cellStyle name="Normal 3 22 11 8" xfId="26586" xr:uid="{00000000-0005-0000-0000-0000D1670000}"/>
    <cellStyle name="Normal 3 22 11 8 2" xfId="26587" xr:uid="{00000000-0005-0000-0000-0000D2670000}"/>
    <cellStyle name="Normal 3 22 11 8 3" xfId="26588" xr:uid="{00000000-0005-0000-0000-0000D3670000}"/>
    <cellStyle name="Normal 3 22 11 9" xfId="26589" xr:uid="{00000000-0005-0000-0000-0000D4670000}"/>
    <cellStyle name="Normal 3 22 11 9 2" xfId="26590" xr:uid="{00000000-0005-0000-0000-0000D5670000}"/>
    <cellStyle name="Normal 3 22 11 9 3" xfId="26591" xr:uid="{00000000-0005-0000-0000-0000D6670000}"/>
    <cellStyle name="Normal 3 22 12" xfId="26592" xr:uid="{00000000-0005-0000-0000-0000D7670000}"/>
    <cellStyle name="Normal 3 22 12 10" xfId="26593" xr:uid="{00000000-0005-0000-0000-0000D8670000}"/>
    <cellStyle name="Normal 3 22 12 10 2" xfId="26594" xr:uid="{00000000-0005-0000-0000-0000D9670000}"/>
    <cellStyle name="Normal 3 22 12 10 3" xfId="26595" xr:uid="{00000000-0005-0000-0000-0000DA670000}"/>
    <cellStyle name="Normal 3 22 12 11" xfId="26596" xr:uid="{00000000-0005-0000-0000-0000DB670000}"/>
    <cellStyle name="Normal 3 22 12 11 2" xfId="26597" xr:uid="{00000000-0005-0000-0000-0000DC670000}"/>
    <cellStyle name="Normal 3 22 12 11 3" xfId="26598" xr:uid="{00000000-0005-0000-0000-0000DD670000}"/>
    <cellStyle name="Normal 3 22 12 12" xfId="26599" xr:uid="{00000000-0005-0000-0000-0000DE670000}"/>
    <cellStyle name="Normal 3 22 12 12 2" xfId="26600" xr:uid="{00000000-0005-0000-0000-0000DF670000}"/>
    <cellStyle name="Normal 3 22 12 12 3" xfId="26601" xr:uid="{00000000-0005-0000-0000-0000E0670000}"/>
    <cellStyle name="Normal 3 22 12 13" xfId="26602" xr:uid="{00000000-0005-0000-0000-0000E1670000}"/>
    <cellStyle name="Normal 3 22 12 13 2" xfId="26603" xr:uid="{00000000-0005-0000-0000-0000E2670000}"/>
    <cellStyle name="Normal 3 22 12 13 3" xfId="26604" xr:uid="{00000000-0005-0000-0000-0000E3670000}"/>
    <cellStyle name="Normal 3 22 12 14" xfId="26605" xr:uid="{00000000-0005-0000-0000-0000E4670000}"/>
    <cellStyle name="Normal 3 22 12 14 2" xfId="26606" xr:uid="{00000000-0005-0000-0000-0000E5670000}"/>
    <cellStyle name="Normal 3 22 12 14 3" xfId="26607" xr:uid="{00000000-0005-0000-0000-0000E6670000}"/>
    <cellStyle name="Normal 3 22 12 15" xfId="26608" xr:uid="{00000000-0005-0000-0000-0000E7670000}"/>
    <cellStyle name="Normal 3 22 12 16" xfId="26609" xr:uid="{00000000-0005-0000-0000-0000E8670000}"/>
    <cellStyle name="Normal 3 22 12 2" xfId="26610" xr:uid="{00000000-0005-0000-0000-0000E9670000}"/>
    <cellStyle name="Normal 3 22 12 2 2" xfId="26611" xr:uid="{00000000-0005-0000-0000-0000EA670000}"/>
    <cellStyle name="Normal 3 22 12 2 3" xfId="26612" xr:uid="{00000000-0005-0000-0000-0000EB670000}"/>
    <cellStyle name="Normal 3 22 12 3" xfId="26613" xr:uid="{00000000-0005-0000-0000-0000EC670000}"/>
    <cellStyle name="Normal 3 22 12 3 2" xfId="26614" xr:uid="{00000000-0005-0000-0000-0000ED670000}"/>
    <cellStyle name="Normal 3 22 12 3 3" xfId="26615" xr:uid="{00000000-0005-0000-0000-0000EE670000}"/>
    <cellStyle name="Normal 3 22 12 4" xfId="26616" xr:uid="{00000000-0005-0000-0000-0000EF670000}"/>
    <cellStyle name="Normal 3 22 12 4 2" xfId="26617" xr:uid="{00000000-0005-0000-0000-0000F0670000}"/>
    <cellStyle name="Normal 3 22 12 4 3" xfId="26618" xr:uid="{00000000-0005-0000-0000-0000F1670000}"/>
    <cellStyle name="Normal 3 22 12 5" xfId="26619" xr:uid="{00000000-0005-0000-0000-0000F2670000}"/>
    <cellStyle name="Normal 3 22 12 5 2" xfId="26620" xr:uid="{00000000-0005-0000-0000-0000F3670000}"/>
    <cellStyle name="Normal 3 22 12 5 3" xfId="26621" xr:uid="{00000000-0005-0000-0000-0000F4670000}"/>
    <cellStyle name="Normal 3 22 12 6" xfId="26622" xr:uid="{00000000-0005-0000-0000-0000F5670000}"/>
    <cellStyle name="Normal 3 22 12 6 2" xfId="26623" xr:uid="{00000000-0005-0000-0000-0000F6670000}"/>
    <cellStyle name="Normal 3 22 12 6 3" xfId="26624" xr:uid="{00000000-0005-0000-0000-0000F7670000}"/>
    <cellStyle name="Normal 3 22 12 7" xfId="26625" xr:uid="{00000000-0005-0000-0000-0000F8670000}"/>
    <cellStyle name="Normal 3 22 12 7 2" xfId="26626" xr:uid="{00000000-0005-0000-0000-0000F9670000}"/>
    <cellStyle name="Normal 3 22 12 7 3" xfId="26627" xr:uid="{00000000-0005-0000-0000-0000FA670000}"/>
    <cellStyle name="Normal 3 22 12 8" xfId="26628" xr:uid="{00000000-0005-0000-0000-0000FB670000}"/>
    <cellStyle name="Normal 3 22 12 8 2" xfId="26629" xr:uid="{00000000-0005-0000-0000-0000FC670000}"/>
    <cellStyle name="Normal 3 22 12 8 3" xfId="26630" xr:uid="{00000000-0005-0000-0000-0000FD670000}"/>
    <cellStyle name="Normal 3 22 12 9" xfId="26631" xr:uid="{00000000-0005-0000-0000-0000FE670000}"/>
    <cellStyle name="Normal 3 22 12 9 2" xfId="26632" xr:uid="{00000000-0005-0000-0000-0000FF670000}"/>
    <cellStyle name="Normal 3 22 12 9 3" xfId="26633" xr:uid="{00000000-0005-0000-0000-000000680000}"/>
    <cellStyle name="Normal 3 22 13" xfId="26634" xr:uid="{00000000-0005-0000-0000-000001680000}"/>
    <cellStyle name="Normal 3 22 13 10" xfId="26635" xr:uid="{00000000-0005-0000-0000-000002680000}"/>
    <cellStyle name="Normal 3 22 13 10 2" xfId="26636" xr:uid="{00000000-0005-0000-0000-000003680000}"/>
    <cellStyle name="Normal 3 22 13 10 3" xfId="26637" xr:uid="{00000000-0005-0000-0000-000004680000}"/>
    <cellStyle name="Normal 3 22 13 11" xfId="26638" xr:uid="{00000000-0005-0000-0000-000005680000}"/>
    <cellStyle name="Normal 3 22 13 11 2" xfId="26639" xr:uid="{00000000-0005-0000-0000-000006680000}"/>
    <cellStyle name="Normal 3 22 13 11 3" xfId="26640" xr:uid="{00000000-0005-0000-0000-000007680000}"/>
    <cellStyle name="Normal 3 22 13 12" xfId="26641" xr:uid="{00000000-0005-0000-0000-000008680000}"/>
    <cellStyle name="Normal 3 22 13 12 2" xfId="26642" xr:uid="{00000000-0005-0000-0000-000009680000}"/>
    <cellStyle name="Normal 3 22 13 12 3" xfId="26643" xr:uid="{00000000-0005-0000-0000-00000A680000}"/>
    <cellStyle name="Normal 3 22 13 13" xfId="26644" xr:uid="{00000000-0005-0000-0000-00000B680000}"/>
    <cellStyle name="Normal 3 22 13 13 2" xfId="26645" xr:uid="{00000000-0005-0000-0000-00000C680000}"/>
    <cellStyle name="Normal 3 22 13 13 3" xfId="26646" xr:uid="{00000000-0005-0000-0000-00000D680000}"/>
    <cellStyle name="Normal 3 22 13 14" xfId="26647" xr:uid="{00000000-0005-0000-0000-00000E680000}"/>
    <cellStyle name="Normal 3 22 13 14 2" xfId="26648" xr:uid="{00000000-0005-0000-0000-00000F680000}"/>
    <cellStyle name="Normal 3 22 13 14 3" xfId="26649" xr:uid="{00000000-0005-0000-0000-000010680000}"/>
    <cellStyle name="Normal 3 22 13 15" xfId="26650" xr:uid="{00000000-0005-0000-0000-000011680000}"/>
    <cellStyle name="Normal 3 22 13 16" xfId="26651" xr:uid="{00000000-0005-0000-0000-000012680000}"/>
    <cellStyle name="Normal 3 22 13 2" xfId="26652" xr:uid="{00000000-0005-0000-0000-000013680000}"/>
    <cellStyle name="Normal 3 22 13 2 2" xfId="26653" xr:uid="{00000000-0005-0000-0000-000014680000}"/>
    <cellStyle name="Normal 3 22 13 2 3" xfId="26654" xr:uid="{00000000-0005-0000-0000-000015680000}"/>
    <cellStyle name="Normal 3 22 13 3" xfId="26655" xr:uid="{00000000-0005-0000-0000-000016680000}"/>
    <cellStyle name="Normal 3 22 13 3 2" xfId="26656" xr:uid="{00000000-0005-0000-0000-000017680000}"/>
    <cellStyle name="Normal 3 22 13 3 3" xfId="26657" xr:uid="{00000000-0005-0000-0000-000018680000}"/>
    <cellStyle name="Normal 3 22 13 4" xfId="26658" xr:uid="{00000000-0005-0000-0000-000019680000}"/>
    <cellStyle name="Normal 3 22 13 4 2" xfId="26659" xr:uid="{00000000-0005-0000-0000-00001A680000}"/>
    <cellStyle name="Normal 3 22 13 4 3" xfId="26660" xr:uid="{00000000-0005-0000-0000-00001B680000}"/>
    <cellStyle name="Normal 3 22 13 5" xfId="26661" xr:uid="{00000000-0005-0000-0000-00001C680000}"/>
    <cellStyle name="Normal 3 22 13 5 2" xfId="26662" xr:uid="{00000000-0005-0000-0000-00001D680000}"/>
    <cellStyle name="Normal 3 22 13 5 3" xfId="26663" xr:uid="{00000000-0005-0000-0000-00001E680000}"/>
    <cellStyle name="Normal 3 22 13 6" xfId="26664" xr:uid="{00000000-0005-0000-0000-00001F680000}"/>
    <cellStyle name="Normal 3 22 13 6 2" xfId="26665" xr:uid="{00000000-0005-0000-0000-000020680000}"/>
    <cellStyle name="Normal 3 22 13 6 3" xfId="26666" xr:uid="{00000000-0005-0000-0000-000021680000}"/>
    <cellStyle name="Normal 3 22 13 7" xfId="26667" xr:uid="{00000000-0005-0000-0000-000022680000}"/>
    <cellStyle name="Normal 3 22 13 7 2" xfId="26668" xr:uid="{00000000-0005-0000-0000-000023680000}"/>
    <cellStyle name="Normal 3 22 13 7 3" xfId="26669" xr:uid="{00000000-0005-0000-0000-000024680000}"/>
    <cellStyle name="Normal 3 22 13 8" xfId="26670" xr:uid="{00000000-0005-0000-0000-000025680000}"/>
    <cellStyle name="Normal 3 22 13 8 2" xfId="26671" xr:uid="{00000000-0005-0000-0000-000026680000}"/>
    <cellStyle name="Normal 3 22 13 8 3" xfId="26672" xr:uid="{00000000-0005-0000-0000-000027680000}"/>
    <cellStyle name="Normal 3 22 13 9" xfId="26673" xr:uid="{00000000-0005-0000-0000-000028680000}"/>
    <cellStyle name="Normal 3 22 13 9 2" xfId="26674" xr:uid="{00000000-0005-0000-0000-000029680000}"/>
    <cellStyle name="Normal 3 22 13 9 3" xfId="26675" xr:uid="{00000000-0005-0000-0000-00002A680000}"/>
    <cellStyle name="Normal 3 22 14" xfId="26676" xr:uid="{00000000-0005-0000-0000-00002B680000}"/>
    <cellStyle name="Normal 3 22 14 10" xfId="26677" xr:uid="{00000000-0005-0000-0000-00002C680000}"/>
    <cellStyle name="Normal 3 22 14 10 2" xfId="26678" xr:uid="{00000000-0005-0000-0000-00002D680000}"/>
    <cellStyle name="Normal 3 22 14 10 3" xfId="26679" xr:uid="{00000000-0005-0000-0000-00002E680000}"/>
    <cellStyle name="Normal 3 22 14 11" xfId="26680" xr:uid="{00000000-0005-0000-0000-00002F680000}"/>
    <cellStyle name="Normal 3 22 14 11 2" xfId="26681" xr:uid="{00000000-0005-0000-0000-000030680000}"/>
    <cellStyle name="Normal 3 22 14 11 3" xfId="26682" xr:uid="{00000000-0005-0000-0000-000031680000}"/>
    <cellStyle name="Normal 3 22 14 12" xfId="26683" xr:uid="{00000000-0005-0000-0000-000032680000}"/>
    <cellStyle name="Normal 3 22 14 12 2" xfId="26684" xr:uid="{00000000-0005-0000-0000-000033680000}"/>
    <cellStyle name="Normal 3 22 14 12 3" xfId="26685" xr:uid="{00000000-0005-0000-0000-000034680000}"/>
    <cellStyle name="Normal 3 22 14 13" xfId="26686" xr:uid="{00000000-0005-0000-0000-000035680000}"/>
    <cellStyle name="Normal 3 22 14 13 2" xfId="26687" xr:uid="{00000000-0005-0000-0000-000036680000}"/>
    <cellStyle name="Normal 3 22 14 13 3" xfId="26688" xr:uid="{00000000-0005-0000-0000-000037680000}"/>
    <cellStyle name="Normal 3 22 14 14" xfId="26689" xr:uid="{00000000-0005-0000-0000-000038680000}"/>
    <cellStyle name="Normal 3 22 14 14 2" xfId="26690" xr:uid="{00000000-0005-0000-0000-000039680000}"/>
    <cellStyle name="Normal 3 22 14 14 3" xfId="26691" xr:uid="{00000000-0005-0000-0000-00003A680000}"/>
    <cellStyle name="Normal 3 22 14 15" xfId="26692" xr:uid="{00000000-0005-0000-0000-00003B680000}"/>
    <cellStyle name="Normal 3 22 14 16" xfId="26693" xr:uid="{00000000-0005-0000-0000-00003C680000}"/>
    <cellStyle name="Normal 3 22 14 2" xfId="26694" xr:uid="{00000000-0005-0000-0000-00003D680000}"/>
    <cellStyle name="Normal 3 22 14 2 2" xfId="26695" xr:uid="{00000000-0005-0000-0000-00003E680000}"/>
    <cellStyle name="Normal 3 22 14 2 3" xfId="26696" xr:uid="{00000000-0005-0000-0000-00003F680000}"/>
    <cellStyle name="Normal 3 22 14 3" xfId="26697" xr:uid="{00000000-0005-0000-0000-000040680000}"/>
    <cellStyle name="Normal 3 22 14 3 2" xfId="26698" xr:uid="{00000000-0005-0000-0000-000041680000}"/>
    <cellStyle name="Normal 3 22 14 3 3" xfId="26699" xr:uid="{00000000-0005-0000-0000-000042680000}"/>
    <cellStyle name="Normal 3 22 14 4" xfId="26700" xr:uid="{00000000-0005-0000-0000-000043680000}"/>
    <cellStyle name="Normal 3 22 14 4 2" xfId="26701" xr:uid="{00000000-0005-0000-0000-000044680000}"/>
    <cellStyle name="Normal 3 22 14 4 3" xfId="26702" xr:uid="{00000000-0005-0000-0000-000045680000}"/>
    <cellStyle name="Normal 3 22 14 5" xfId="26703" xr:uid="{00000000-0005-0000-0000-000046680000}"/>
    <cellStyle name="Normal 3 22 14 5 2" xfId="26704" xr:uid="{00000000-0005-0000-0000-000047680000}"/>
    <cellStyle name="Normal 3 22 14 5 3" xfId="26705" xr:uid="{00000000-0005-0000-0000-000048680000}"/>
    <cellStyle name="Normal 3 22 14 6" xfId="26706" xr:uid="{00000000-0005-0000-0000-000049680000}"/>
    <cellStyle name="Normal 3 22 14 6 2" xfId="26707" xr:uid="{00000000-0005-0000-0000-00004A680000}"/>
    <cellStyle name="Normal 3 22 14 6 3" xfId="26708" xr:uid="{00000000-0005-0000-0000-00004B680000}"/>
    <cellStyle name="Normal 3 22 14 7" xfId="26709" xr:uid="{00000000-0005-0000-0000-00004C680000}"/>
    <cellStyle name="Normal 3 22 14 7 2" xfId="26710" xr:uid="{00000000-0005-0000-0000-00004D680000}"/>
    <cellStyle name="Normal 3 22 14 7 3" xfId="26711" xr:uid="{00000000-0005-0000-0000-00004E680000}"/>
    <cellStyle name="Normal 3 22 14 8" xfId="26712" xr:uid="{00000000-0005-0000-0000-00004F680000}"/>
    <cellStyle name="Normal 3 22 14 8 2" xfId="26713" xr:uid="{00000000-0005-0000-0000-000050680000}"/>
    <cellStyle name="Normal 3 22 14 8 3" xfId="26714" xr:uid="{00000000-0005-0000-0000-000051680000}"/>
    <cellStyle name="Normal 3 22 14 9" xfId="26715" xr:uid="{00000000-0005-0000-0000-000052680000}"/>
    <cellStyle name="Normal 3 22 14 9 2" xfId="26716" xr:uid="{00000000-0005-0000-0000-000053680000}"/>
    <cellStyle name="Normal 3 22 14 9 3" xfId="26717" xr:uid="{00000000-0005-0000-0000-000054680000}"/>
    <cellStyle name="Normal 3 22 15" xfId="26718" xr:uid="{00000000-0005-0000-0000-000055680000}"/>
    <cellStyle name="Normal 3 22 15 2" xfId="26719" xr:uid="{00000000-0005-0000-0000-000056680000}"/>
    <cellStyle name="Normal 3 22 15 3" xfId="26720" xr:uid="{00000000-0005-0000-0000-000057680000}"/>
    <cellStyle name="Normal 3 22 16" xfId="26721" xr:uid="{00000000-0005-0000-0000-000058680000}"/>
    <cellStyle name="Normal 3 22 16 2" xfId="26722" xr:uid="{00000000-0005-0000-0000-000059680000}"/>
    <cellStyle name="Normal 3 22 16 3" xfId="26723" xr:uid="{00000000-0005-0000-0000-00005A680000}"/>
    <cellStyle name="Normal 3 22 17" xfId="26724" xr:uid="{00000000-0005-0000-0000-00005B680000}"/>
    <cellStyle name="Normal 3 22 17 2" xfId="26725" xr:uid="{00000000-0005-0000-0000-00005C680000}"/>
    <cellStyle name="Normal 3 22 17 3" xfId="26726" xr:uid="{00000000-0005-0000-0000-00005D680000}"/>
    <cellStyle name="Normal 3 22 18" xfId="26727" xr:uid="{00000000-0005-0000-0000-00005E680000}"/>
    <cellStyle name="Normal 3 22 18 2" xfId="26728" xr:uid="{00000000-0005-0000-0000-00005F680000}"/>
    <cellStyle name="Normal 3 22 18 3" xfId="26729" xr:uid="{00000000-0005-0000-0000-000060680000}"/>
    <cellStyle name="Normal 3 22 19" xfId="26730" xr:uid="{00000000-0005-0000-0000-000061680000}"/>
    <cellStyle name="Normal 3 22 19 2" xfId="26731" xr:uid="{00000000-0005-0000-0000-000062680000}"/>
    <cellStyle name="Normal 3 22 19 3" xfId="26732" xr:uid="{00000000-0005-0000-0000-000063680000}"/>
    <cellStyle name="Normal 3 22 2" xfId="26733" xr:uid="{00000000-0005-0000-0000-000064680000}"/>
    <cellStyle name="Normal 3 22 20" xfId="26734" xr:uid="{00000000-0005-0000-0000-000065680000}"/>
    <cellStyle name="Normal 3 22 20 2" xfId="26735" xr:uid="{00000000-0005-0000-0000-000066680000}"/>
    <cellStyle name="Normal 3 22 20 3" xfId="26736" xr:uid="{00000000-0005-0000-0000-000067680000}"/>
    <cellStyle name="Normal 3 22 21" xfId="26737" xr:uid="{00000000-0005-0000-0000-000068680000}"/>
    <cellStyle name="Normal 3 22 21 2" xfId="26738" xr:uid="{00000000-0005-0000-0000-000069680000}"/>
    <cellStyle name="Normal 3 22 21 3" xfId="26739" xr:uid="{00000000-0005-0000-0000-00006A680000}"/>
    <cellStyle name="Normal 3 22 22" xfId="26740" xr:uid="{00000000-0005-0000-0000-00006B680000}"/>
    <cellStyle name="Normal 3 22 22 2" xfId="26741" xr:uid="{00000000-0005-0000-0000-00006C680000}"/>
    <cellStyle name="Normal 3 22 22 3" xfId="26742" xr:uid="{00000000-0005-0000-0000-00006D680000}"/>
    <cellStyle name="Normal 3 22 23" xfId="26743" xr:uid="{00000000-0005-0000-0000-00006E680000}"/>
    <cellStyle name="Normal 3 22 23 2" xfId="26744" xr:uid="{00000000-0005-0000-0000-00006F680000}"/>
    <cellStyle name="Normal 3 22 23 3" xfId="26745" xr:uid="{00000000-0005-0000-0000-000070680000}"/>
    <cellStyle name="Normal 3 22 24" xfId="26746" xr:uid="{00000000-0005-0000-0000-000071680000}"/>
    <cellStyle name="Normal 3 22 24 2" xfId="26747" xr:uid="{00000000-0005-0000-0000-000072680000}"/>
    <cellStyle name="Normal 3 22 24 3" xfId="26748" xr:uid="{00000000-0005-0000-0000-000073680000}"/>
    <cellStyle name="Normal 3 22 25" xfId="26749" xr:uid="{00000000-0005-0000-0000-000074680000}"/>
    <cellStyle name="Normal 3 22 25 2" xfId="26750" xr:uid="{00000000-0005-0000-0000-000075680000}"/>
    <cellStyle name="Normal 3 22 25 3" xfId="26751" xr:uid="{00000000-0005-0000-0000-000076680000}"/>
    <cellStyle name="Normal 3 22 26" xfId="26752" xr:uid="{00000000-0005-0000-0000-000077680000}"/>
    <cellStyle name="Normal 3 22 26 2" xfId="26753" xr:uid="{00000000-0005-0000-0000-000078680000}"/>
    <cellStyle name="Normal 3 22 26 3" xfId="26754" xr:uid="{00000000-0005-0000-0000-000079680000}"/>
    <cellStyle name="Normal 3 22 27" xfId="26755" xr:uid="{00000000-0005-0000-0000-00007A680000}"/>
    <cellStyle name="Normal 3 22 27 2" xfId="26756" xr:uid="{00000000-0005-0000-0000-00007B680000}"/>
    <cellStyle name="Normal 3 22 27 3" xfId="26757" xr:uid="{00000000-0005-0000-0000-00007C680000}"/>
    <cellStyle name="Normal 3 22 28" xfId="26758" xr:uid="{00000000-0005-0000-0000-00007D680000}"/>
    <cellStyle name="Normal 3 22 29" xfId="26759" xr:uid="{00000000-0005-0000-0000-00007E680000}"/>
    <cellStyle name="Normal 3 22 3" xfId="26760" xr:uid="{00000000-0005-0000-0000-00007F680000}"/>
    <cellStyle name="Normal 3 22 4" xfId="26761" xr:uid="{00000000-0005-0000-0000-000080680000}"/>
    <cellStyle name="Normal 3 22 5" xfId="26762" xr:uid="{00000000-0005-0000-0000-000081680000}"/>
    <cellStyle name="Normal 3 22 6" xfId="26763" xr:uid="{00000000-0005-0000-0000-000082680000}"/>
    <cellStyle name="Normal 3 22 6 10" xfId="26764" xr:uid="{00000000-0005-0000-0000-000083680000}"/>
    <cellStyle name="Normal 3 22 6 10 2" xfId="26765" xr:uid="{00000000-0005-0000-0000-000084680000}"/>
    <cellStyle name="Normal 3 22 6 10 3" xfId="26766" xr:uid="{00000000-0005-0000-0000-000085680000}"/>
    <cellStyle name="Normal 3 22 6 11" xfId="26767" xr:uid="{00000000-0005-0000-0000-000086680000}"/>
    <cellStyle name="Normal 3 22 6 11 2" xfId="26768" xr:uid="{00000000-0005-0000-0000-000087680000}"/>
    <cellStyle name="Normal 3 22 6 11 3" xfId="26769" xr:uid="{00000000-0005-0000-0000-000088680000}"/>
    <cellStyle name="Normal 3 22 6 12" xfId="26770" xr:uid="{00000000-0005-0000-0000-000089680000}"/>
    <cellStyle name="Normal 3 22 6 12 2" xfId="26771" xr:uid="{00000000-0005-0000-0000-00008A680000}"/>
    <cellStyle name="Normal 3 22 6 12 3" xfId="26772" xr:uid="{00000000-0005-0000-0000-00008B680000}"/>
    <cellStyle name="Normal 3 22 6 13" xfId="26773" xr:uid="{00000000-0005-0000-0000-00008C680000}"/>
    <cellStyle name="Normal 3 22 6 13 2" xfId="26774" xr:uid="{00000000-0005-0000-0000-00008D680000}"/>
    <cellStyle name="Normal 3 22 6 13 3" xfId="26775" xr:uid="{00000000-0005-0000-0000-00008E680000}"/>
    <cellStyle name="Normal 3 22 6 14" xfId="26776" xr:uid="{00000000-0005-0000-0000-00008F680000}"/>
    <cellStyle name="Normal 3 22 6 14 2" xfId="26777" xr:uid="{00000000-0005-0000-0000-000090680000}"/>
    <cellStyle name="Normal 3 22 6 14 3" xfId="26778" xr:uid="{00000000-0005-0000-0000-000091680000}"/>
    <cellStyle name="Normal 3 22 6 15" xfId="26779" xr:uid="{00000000-0005-0000-0000-000092680000}"/>
    <cellStyle name="Normal 3 22 6 15 2" xfId="26780" xr:uid="{00000000-0005-0000-0000-000093680000}"/>
    <cellStyle name="Normal 3 22 6 15 3" xfId="26781" xr:uid="{00000000-0005-0000-0000-000094680000}"/>
    <cellStyle name="Normal 3 22 6 16" xfId="26782" xr:uid="{00000000-0005-0000-0000-000095680000}"/>
    <cellStyle name="Normal 3 22 6 17" xfId="26783" xr:uid="{00000000-0005-0000-0000-000096680000}"/>
    <cellStyle name="Normal 3 22 6 2" xfId="26784" xr:uid="{00000000-0005-0000-0000-000097680000}"/>
    <cellStyle name="Normal 3 22 6 2 10" xfId="26785" xr:uid="{00000000-0005-0000-0000-000098680000}"/>
    <cellStyle name="Normal 3 22 6 2 10 2" xfId="26786" xr:uid="{00000000-0005-0000-0000-000099680000}"/>
    <cellStyle name="Normal 3 22 6 2 10 3" xfId="26787" xr:uid="{00000000-0005-0000-0000-00009A680000}"/>
    <cellStyle name="Normal 3 22 6 2 11" xfId="26788" xr:uid="{00000000-0005-0000-0000-00009B680000}"/>
    <cellStyle name="Normal 3 22 6 2 11 2" xfId="26789" xr:uid="{00000000-0005-0000-0000-00009C680000}"/>
    <cellStyle name="Normal 3 22 6 2 11 3" xfId="26790" xr:uid="{00000000-0005-0000-0000-00009D680000}"/>
    <cellStyle name="Normal 3 22 6 2 12" xfId="26791" xr:uid="{00000000-0005-0000-0000-00009E680000}"/>
    <cellStyle name="Normal 3 22 6 2 12 2" xfId="26792" xr:uid="{00000000-0005-0000-0000-00009F680000}"/>
    <cellStyle name="Normal 3 22 6 2 12 3" xfId="26793" xr:uid="{00000000-0005-0000-0000-0000A0680000}"/>
    <cellStyle name="Normal 3 22 6 2 13" xfId="26794" xr:uid="{00000000-0005-0000-0000-0000A1680000}"/>
    <cellStyle name="Normal 3 22 6 2 13 2" xfId="26795" xr:uid="{00000000-0005-0000-0000-0000A2680000}"/>
    <cellStyle name="Normal 3 22 6 2 13 3" xfId="26796" xr:uid="{00000000-0005-0000-0000-0000A3680000}"/>
    <cellStyle name="Normal 3 22 6 2 14" xfId="26797" xr:uid="{00000000-0005-0000-0000-0000A4680000}"/>
    <cellStyle name="Normal 3 22 6 2 14 2" xfId="26798" xr:uid="{00000000-0005-0000-0000-0000A5680000}"/>
    <cellStyle name="Normal 3 22 6 2 14 3" xfId="26799" xr:uid="{00000000-0005-0000-0000-0000A6680000}"/>
    <cellStyle name="Normal 3 22 6 2 15" xfId="26800" xr:uid="{00000000-0005-0000-0000-0000A7680000}"/>
    <cellStyle name="Normal 3 22 6 2 16" xfId="26801" xr:uid="{00000000-0005-0000-0000-0000A8680000}"/>
    <cellStyle name="Normal 3 22 6 2 2" xfId="26802" xr:uid="{00000000-0005-0000-0000-0000A9680000}"/>
    <cellStyle name="Normal 3 22 6 2 2 2" xfId="26803" xr:uid="{00000000-0005-0000-0000-0000AA680000}"/>
    <cellStyle name="Normal 3 22 6 2 2 3" xfId="26804" xr:uid="{00000000-0005-0000-0000-0000AB680000}"/>
    <cellStyle name="Normal 3 22 6 2 3" xfId="26805" xr:uid="{00000000-0005-0000-0000-0000AC680000}"/>
    <cellStyle name="Normal 3 22 6 2 3 2" xfId="26806" xr:uid="{00000000-0005-0000-0000-0000AD680000}"/>
    <cellStyle name="Normal 3 22 6 2 3 3" xfId="26807" xr:uid="{00000000-0005-0000-0000-0000AE680000}"/>
    <cellStyle name="Normal 3 22 6 2 4" xfId="26808" xr:uid="{00000000-0005-0000-0000-0000AF680000}"/>
    <cellStyle name="Normal 3 22 6 2 4 2" xfId="26809" xr:uid="{00000000-0005-0000-0000-0000B0680000}"/>
    <cellStyle name="Normal 3 22 6 2 4 3" xfId="26810" xr:uid="{00000000-0005-0000-0000-0000B1680000}"/>
    <cellStyle name="Normal 3 22 6 2 5" xfId="26811" xr:uid="{00000000-0005-0000-0000-0000B2680000}"/>
    <cellStyle name="Normal 3 22 6 2 5 2" xfId="26812" xr:uid="{00000000-0005-0000-0000-0000B3680000}"/>
    <cellStyle name="Normal 3 22 6 2 5 3" xfId="26813" xr:uid="{00000000-0005-0000-0000-0000B4680000}"/>
    <cellStyle name="Normal 3 22 6 2 6" xfId="26814" xr:uid="{00000000-0005-0000-0000-0000B5680000}"/>
    <cellStyle name="Normal 3 22 6 2 6 2" xfId="26815" xr:uid="{00000000-0005-0000-0000-0000B6680000}"/>
    <cellStyle name="Normal 3 22 6 2 6 3" xfId="26816" xr:uid="{00000000-0005-0000-0000-0000B7680000}"/>
    <cellStyle name="Normal 3 22 6 2 7" xfId="26817" xr:uid="{00000000-0005-0000-0000-0000B8680000}"/>
    <cellStyle name="Normal 3 22 6 2 7 2" xfId="26818" xr:uid="{00000000-0005-0000-0000-0000B9680000}"/>
    <cellStyle name="Normal 3 22 6 2 7 3" xfId="26819" xr:uid="{00000000-0005-0000-0000-0000BA680000}"/>
    <cellStyle name="Normal 3 22 6 2 8" xfId="26820" xr:uid="{00000000-0005-0000-0000-0000BB680000}"/>
    <cellStyle name="Normal 3 22 6 2 8 2" xfId="26821" xr:uid="{00000000-0005-0000-0000-0000BC680000}"/>
    <cellStyle name="Normal 3 22 6 2 8 3" xfId="26822" xr:uid="{00000000-0005-0000-0000-0000BD680000}"/>
    <cellStyle name="Normal 3 22 6 2 9" xfId="26823" xr:uid="{00000000-0005-0000-0000-0000BE680000}"/>
    <cellStyle name="Normal 3 22 6 2 9 2" xfId="26824" xr:uid="{00000000-0005-0000-0000-0000BF680000}"/>
    <cellStyle name="Normal 3 22 6 2 9 3" xfId="26825" xr:uid="{00000000-0005-0000-0000-0000C0680000}"/>
    <cellStyle name="Normal 3 22 6 3" xfId="26826" xr:uid="{00000000-0005-0000-0000-0000C1680000}"/>
    <cellStyle name="Normal 3 22 6 3 2" xfId="26827" xr:uid="{00000000-0005-0000-0000-0000C2680000}"/>
    <cellStyle name="Normal 3 22 6 3 3" xfId="26828" xr:uid="{00000000-0005-0000-0000-0000C3680000}"/>
    <cellStyle name="Normal 3 22 6 4" xfId="26829" xr:uid="{00000000-0005-0000-0000-0000C4680000}"/>
    <cellStyle name="Normal 3 22 6 4 2" xfId="26830" xr:uid="{00000000-0005-0000-0000-0000C5680000}"/>
    <cellStyle name="Normal 3 22 6 4 3" xfId="26831" xr:uid="{00000000-0005-0000-0000-0000C6680000}"/>
    <cellStyle name="Normal 3 22 6 5" xfId="26832" xr:uid="{00000000-0005-0000-0000-0000C7680000}"/>
    <cellStyle name="Normal 3 22 6 5 2" xfId="26833" xr:uid="{00000000-0005-0000-0000-0000C8680000}"/>
    <cellStyle name="Normal 3 22 6 5 3" xfId="26834" xr:uid="{00000000-0005-0000-0000-0000C9680000}"/>
    <cellStyle name="Normal 3 22 6 6" xfId="26835" xr:uid="{00000000-0005-0000-0000-0000CA680000}"/>
    <cellStyle name="Normal 3 22 6 6 2" xfId="26836" xr:uid="{00000000-0005-0000-0000-0000CB680000}"/>
    <cellStyle name="Normal 3 22 6 6 3" xfId="26837" xr:uid="{00000000-0005-0000-0000-0000CC680000}"/>
    <cellStyle name="Normal 3 22 6 7" xfId="26838" xr:uid="{00000000-0005-0000-0000-0000CD680000}"/>
    <cellStyle name="Normal 3 22 6 7 2" xfId="26839" xr:uid="{00000000-0005-0000-0000-0000CE680000}"/>
    <cellStyle name="Normal 3 22 6 7 3" xfId="26840" xr:uid="{00000000-0005-0000-0000-0000CF680000}"/>
    <cellStyle name="Normal 3 22 6 8" xfId="26841" xr:uid="{00000000-0005-0000-0000-0000D0680000}"/>
    <cellStyle name="Normal 3 22 6 8 2" xfId="26842" xr:uid="{00000000-0005-0000-0000-0000D1680000}"/>
    <cellStyle name="Normal 3 22 6 8 3" xfId="26843" xr:uid="{00000000-0005-0000-0000-0000D2680000}"/>
    <cellStyle name="Normal 3 22 6 9" xfId="26844" xr:uid="{00000000-0005-0000-0000-0000D3680000}"/>
    <cellStyle name="Normal 3 22 6 9 2" xfId="26845" xr:uid="{00000000-0005-0000-0000-0000D4680000}"/>
    <cellStyle name="Normal 3 22 6 9 3" xfId="26846" xr:uid="{00000000-0005-0000-0000-0000D5680000}"/>
    <cellStyle name="Normal 3 22 7" xfId="26847" xr:uid="{00000000-0005-0000-0000-0000D6680000}"/>
    <cellStyle name="Normal 3 22 7 10" xfId="26848" xr:uid="{00000000-0005-0000-0000-0000D7680000}"/>
    <cellStyle name="Normal 3 22 7 10 2" xfId="26849" xr:uid="{00000000-0005-0000-0000-0000D8680000}"/>
    <cellStyle name="Normal 3 22 7 10 3" xfId="26850" xr:uid="{00000000-0005-0000-0000-0000D9680000}"/>
    <cellStyle name="Normal 3 22 7 11" xfId="26851" xr:uid="{00000000-0005-0000-0000-0000DA680000}"/>
    <cellStyle name="Normal 3 22 7 11 2" xfId="26852" xr:uid="{00000000-0005-0000-0000-0000DB680000}"/>
    <cellStyle name="Normal 3 22 7 11 3" xfId="26853" xr:uid="{00000000-0005-0000-0000-0000DC680000}"/>
    <cellStyle name="Normal 3 22 7 12" xfId="26854" xr:uid="{00000000-0005-0000-0000-0000DD680000}"/>
    <cellStyle name="Normal 3 22 7 12 2" xfId="26855" xr:uid="{00000000-0005-0000-0000-0000DE680000}"/>
    <cellStyle name="Normal 3 22 7 12 3" xfId="26856" xr:uid="{00000000-0005-0000-0000-0000DF680000}"/>
    <cellStyle name="Normal 3 22 7 13" xfId="26857" xr:uid="{00000000-0005-0000-0000-0000E0680000}"/>
    <cellStyle name="Normal 3 22 7 13 2" xfId="26858" xr:uid="{00000000-0005-0000-0000-0000E1680000}"/>
    <cellStyle name="Normal 3 22 7 13 3" xfId="26859" xr:uid="{00000000-0005-0000-0000-0000E2680000}"/>
    <cellStyle name="Normal 3 22 7 14" xfId="26860" xr:uid="{00000000-0005-0000-0000-0000E3680000}"/>
    <cellStyle name="Normal 3 22 7 14 2" xfId="26861" xr:uid="{00000000-0005-0000-0000-0000E4680000}"/>
    <cellStyle name="Normal 3 22 7 14 3" xfId="26862" xr:uid="{00000000-0005-0000-0000-0000E5680000}"/>
    <cellStyle name="Normal 3 22 7 15" xfId="26863" xr:uid="{00000000-0005-0000-0000-0000E6680000}"/>
    <cellStyle name="Normal 3 22 7 15 2" xfId="26864" xr:uid="{00000000-0005-0000-0000-0000E7680000}"/>
    <cellStyle name="Normal 3 22 7 15 3" xfId="26865" xr:uid="{00000000-0005-0000-0000-0000E8680000}"/>
    <cellStyle name="Normal 3 22 7 16" xfId="26866" xr:uid="{00000000-0005-0000-0000-0000E9680000}"/>
    <cellStyle name="Normal 3 22 7 17" xfId="26867" xr:uid="{00000000-0005-0000-0000-0000EA680000}"/>
    <cellStyle name="Normal 3 22 7 2" xfId="26868" xr:uid="{00000000-0005-0000-0000-0000EB680000}"/>
    <cellStyle name="Normal 3 22 7 2 10" xfId="26869" xr:uid="{00000000-0005-0000-0000-0000EC680000}"/>
    <cellStyle name="Normal 3 22 7 2 10 2" xfId="26870" xr:uid="{00000000-0005-0000-0000-0000ED680000}"/>
    <cellStyle name="Normal 3 22 7 2 10 3" xfId="26871" xr:uid="{00000000-0005-0000-0000-0000EE680000}"/>
    <cellStyle name="Normal 3 22 7 2 11" xfId="26872" xr:uid="{00000000-0005-0000-0000-0000EF680000}"/>
    <cellStyle name="Normal 3 22 7 2 11 2" xfId="26873" xr:uid="{00000000-0005-0000-0000-0000F0680000}"/>
    <cellStyle name="Normal 3 22 7 2 11 3" xfId="26874" xr:uid="{00000000-0005-0000-0000-0000F1680000}"/>
    <cellStyle name="Normal 3 22 7 2 12" xfId="26875" xr:uid="{00000000-0005-0000-0000-0000F2680000}"/>
    <cellStyle name="Normal 3 22 7 2 12 2" xfId="26876" xr:uid="{00000000-0005-0000-0000-0000F3680000}"/>
    <cellStyle name="Normal 3 22 7 2 12 3" xfId="26877" xr:uid="{00000000-0005-0000-0000-0000F4680000}"/>
    <cellStyle name="Normal 3 22 7 2 13" xfId="26878" xr:uid="{00000000-0005-0000-0000-0000F5680000}"/>
    <cellStyle name="Normal 3 22 7 2 13 2" xfId="26879" xr:uid="{00000000-0005-0000-0000-0000F6680000}"/>
    <cellStyle name="Normal 3 22 7 2 13 3" xfId="26880" xr:uid="{00000000-0005-0000-0000-0000F7680000}"/>
    <cellStyle name="Normal 3 22 7 2 14" xfId="26881" xr:uid="{00000000-0005-0000-0000-0000F8680000}"/>
    <cellStyle name="Normal 3 22 7 2 14 2" xfId="26882" xr:uid="{00000000-0005-0000-0000-0000F9680000}"/>
    <cellStyle name="Normal 3 22 7 2 14 3" xfId="26883" xr:uid="{00000000-0005-0000-0000-0000FA680000}"/>
    <cellStyle name="Normal 3 22 7 2 15" xfId="26884" xr:uid="{00000000-0005-0000-0000-0000FB680000}"/>
    <cellStyle name="Normal 3 22 7 2 16" xfId="26885" xr:uid="{00000000-0005-0000-0000-0000FC680000}"/>
    <cellStyle name="Normal 3 22 7 2 2" xfId="26886" xr:uid="{00000000-0005-0000-0000-0000FD680000}"/>
    <cellStyle name="Normal 3 22 7 2 2 2" xfId="26887" xr:uid="{00000000-0005-0000-0000-0000FE680000}"/>
    <cellStyle name="Normal 3 22 7 2 2 3" xfId="26888" xr:uid="{00000000-0005-0000-0000-0000FF680000}"/>
    <cellStyle name="Normal 3 22 7 2 3" xfId="26889" xr:uid="{00000000-0005-0000-0000-000000690000}"/>
    <cellStyle name="Normal 3 22 7 2 3 2" xfId="26890" xr:uid="{00000000-0005-0000-0000-000001690000}"/>
    <cellStyle name="Normal 3 22 7 2 3 3" xfId="26891" xr:uid="{00000000-0005-0000-0000-000002690000}"/>
    <cellStyle name="Normal 3 22 7 2 4" xfId="26892" xr:uid="{00000000-0005-0000-0000-000003690000}"/>
    <cellStyle name="Normal 3 22 7 2 4 2" xfId="26893" xr:uid="{00000000-0005-0000-0000-000004690000}"/>
    <cellStyle name="Normal 3 22 7 2 4 3" xfId="26894" xr:uid="{00000000-0005-0000-0000-000005690000}"/>
    <cellStyle name="Normal 3 22 7 2 5" xfId="26895" xr:uid="{00000000-0005-0000-0000-000006690000}"/>
    <cellStyle name="Normal 3 22 7 2 5 2" xfId="26896" xr:uid="{00000000-0005-0000-0000-000007690000}"/>
    <cellStyle name="Normal 3 22 7 2 5 3" xfId="26897" xr:uid="{00000000-0005-0000-0000-000008690000}"/>
    <cellStyle name="Normal 3 22 7 2 6" xfId="26898" xr:uid="{00000000-0005-0000-0000-000009690000}"/>
    <cellStyle name="Normal 3 22 7 2 6 2" xfId="26899" xr:uid="{00000000-0005-0000-0000-00000A690000}"/>
    <cellStyle name="Normal 3 22 7 2 6 3" xfId="26900" xr:uid="{00000000-0005-0000-0000-00000B690000}"/>
    <cellStyle name="Normal 3 22 7 2 7" xfId="26901" xr:uid="{00000000-0005-0000-0000-00000C690000}"/>
    <cellStyle name="Normal 3 22 7 2 7 2" xfId="26902" xr:uid="{00000000-0005-0000-0000-00000D690000}"/>
    <cellStyle name="Normal 3 22 7 2 7 3" xfId="26903" xr:uid="{00000000-0005-0000-0000-00000E690000}"/>
    <cellStyle name="Normal 3 22 7 2 8" xfId="26904" xr:uid="{00000000-0005-0000-0000-00000F690000}"/>
    <cellStyle name="Normal 3 22 7 2 8 2" xfId="26905" xr:uid="{00000000-0005-0000-0000-000010690000}"/>
    <cellStyle name="Normal 3 22 7 2 8 3" xfId="26906" xr:uid="{00000000-0005-0000-0000-000011690000}"/>
    <cellStyle name="Normal 3 22 7 2 9" xfId="26907" xr:uid="{00000000-0005-0000-0000-000012690000}"/>
    <cellStyle name="Normal 3 22 7 2 9 2" xfId="26908" xr:uid="{00000000-0005-0000-0000-000013690000}"/>
    <cellStyle name="Normal 3 22 7 2 9 3" xfId="26909" xr:uid="{00000000-0005-0000-0000-000014690000}"/>
    <cellStyle name="Normal 3 22 7 3" xfId="26910" xr:uid="{00000000-0005-0000-0000-000015690000}"/>
    <cellStyle name="Normal 3 22 7 3 2" xfId="26911" xr:uid="{00000000-0005-0000-0000-000016690000}"/>
    <cellStyle name="Normal 3 22 7 3 3" xfId="26912" xr:uid="{00000000-0005-0000-0000-000017690000}"/>
    <cellStyle name="Normal 3 22 7 4" xfId="26913" xr:uid="{00000000-0005-0000-0000-000018690000}"/>
    <cellStyle name="Normal 3 22 7 4 2" xfId="26914" xr:uid="{00000000-0005-0000-0000-000019690000}"/>
    <cellStyle name="Normal 3 22 7 4 3" xfId="26915" xr:uid="{00000000-0005-0000-0000-00001A690000}"/>
    <cellStyle name="Normal 3 22 7 5" xfId="26916" xr:uid="{00000000-0005-0000-0000-00001B690000}"/>
    <cellStyle name="Normal 3 22 7 5 2" xfId="26917" xr:uid="{00000000-0005-0000-0000-00001C690000}"/>
    <cellStyle name="Normal 3 22 7 5 3" xfId="26918" xr:uid="{00000000-0005-0000-0000-00001D690000}"/>
    <cellStyle name="Normal 3 22 7 6" xfId="26919" xr:uid="{00000000-0005-0000-0000-00001E690000}"/>
    <cellStyle name="Normal 3 22 7 6 2" xfId="26920" xr:uid="{00000000-0005-0000-0000-00001F690000}"/>
    <cellStyle name="Normal 3 22 7 6 3" xfId="26921" xr:uid="{00000000-0005-0000-0000-000020690000}"/>
    <cellStyle name="Normal 3 22 7 7" xfId="26922" xr:uid="{00000000-0005-0000-0000-000021690000}"/>
    <cellStyle name="Normal 3 22 7 7 2" xfId="26923" xr:uid="{00000000-0005-0000-0000-000022690000}"/>
    <cellStyle name="Normal 3 22 7 7 3" xfId="26924" xr:uid="{00000000-0005-0000-0000-000023690000}"/>
    <cellStyle name="Normal 3 22 7 8" xfId="26925" xr:uid="{00000000-0005-0000-0000-000024690000}"/>
    <cellStyle name="Normal 3 22 7 8 2" xfId="26926" xr:uid="{00000000-0005-0000-0000-000025690000}"/>
    <cellStyle name="Normal 3 22 7 8 3" xfId="26927" xr:uid="{00000000-0005-0000-0000-000026690000}"/>
    <cellStyle name="Normal 3 22 7 9" xfId="26928" xr:uid="{00000000-0005-0000-0000-000027690000}"/>
    <cellStyle name="Normal 3 22 7 9 2" xfId="26929" xr:uid="{00000000-0005-0000-0000-000028690000}"/>
    <cellStyle name="Normal 3 22 7 9 3" xfId="26930" xr:uid="{00000000-0005-0000-0000-000029690000}"/>
    <cellStyle name="Normal 3 22 8" xfId="26931" xr:uid="{00000000-0005-0000-0000-00002A690000}"/>
    <cellStyle name="Normal 3 22 8 10" xfId="26932" xr:uid="{00000000-0005-0000-0000-00002B690000}"/>
    <cellStyle name="Normal 3 22 8 10 2" xfId="26933" xr:uid="{00000000-0005-0000-0000-00002C690000}"/>
    <cellStyle name="Normal 3 22 8 10 3" xfId="26934" xr:uid="{00000000-0005-0000-0000-00002D690000}"/>
    <cellStyle name="Normal 3 22 8 11" xfId="26935" xr:uid="{00000000-0005-0000-0000-00002E690000}"/>
    <cellStyle name="Normal 3 22 8 11 2" xfId="26936" xr:uid="{00000000-0005-0000-0000-00002F690000}"/>
    <cellStyle name="Normal 3 22 8 11 3" xfId="26937" xr:uid="{00000000-0005-0000-0000-000030690000}"/>
    <cellStyle name="Normal 3 22 8 12" xfId="26938" xr:uid="{00000000-0005-0000-0000-000031690000}"/>
    <cellStyle name="Normal 3 22 8 12 2" xfId="26939" xr:uid="{00000000-0005-0000-0000-000032690000}"/>
    <cellStyle name="Normal 3 22 8 12 3" xfId="26940" xr:uid="{00000000-0005-0000-0000-000033690000}"/>
    <cellStyle name="Normal 3 22 8 13" xfId="26941" xr:uid="{00000000-0005-0000-0000-000034690000}"/>
    <cellStyle name="Normal 3 22 8 13 2" xfId="26942" xr:uid="{00000000-0005-0000-0000-000035690000}"/>
    <cellStyle name="Normal 3 22 8 13 3" xfId="26943" xr:uid="{00000000-0005-0000-0000-000036690000}"/>
    <cellStyle name="Normal 3 22 8 14" xfId="26944" xr:uid="{00000000-0005-0000-0000-000037690000}"/>
    <cellStyle name="Normal 3 22 8 14 2" xfId="26945" xr:uid="{00000000-0005-0000-0000-000038690000}"/>
    <cellStyle name="Normal 3 22 8 14 3" xfId="26946" xr:uid="{00000000-0005-0000-0000-000039690000}"/>
    <cellStyle name="Normal 3 22 8 15" xfId="26947" xr:uid="{00000000-0005-0000-0000-00003A690000}"/>
    <cellStyle name="Normal 3 22 8 15 2" xfId="26948" xr:uid="{00000000-0005-0000-0000-00003B690000}"/>
    <cellStyle name="Normal 3 22 8 15 3" xfId="26949" xr:uid="{00000000-0005-0000-0000-00003C690000}"/>
    <cellStyle name="Normal 3 22 8 16" xfId="26950" xr:uid="{00000000-0005-0000-0000-00003D690000}"/>
    <cellStyle name="Normal 3 22 8 17" xfId="26951" xr:uid="{00000000-0005-0000-0000-00003E690000}"/>
    <cellStyle name="Normal 3 22 8 2" xfId="26952" xr:uid="{00000000-0005-0000-0000-00003F690000}"/>
    <cellStyle name="Normal 3 22 8 2 10" xfId="26953" xr:uid="{00000000-0005-0000-0000-000040690000}"/>
    <cellStyle name="Normal 3 22 8 2 10 2" xfId="26954" xr:uid="{00000000-0005-0000-0000-000041690000}"/>
    <cellStyle name="Normal 3 22 8 2 10 3" xfId="26955" xr:uid="{00000000-0005-0000-0000-000042690000}"/>
    <cellStyle name="Normal 3 22 8 2 11" xfId="26956" xr:uid="{00000000-0005-0000-0000-000043690000}"/>
    <cellStyle name="Normal 3 22 8 2 11 2" xfId="26957" xr:uid="{00000000-0005-0000-0000-000044690000}"/>
    <cellStyle name="Normal 3 22 8 2 11 3" xfId="26958" xr:uid="{00000000-0005-0000-0000-000045690000}"/>
    <cellStyle name="Normal 3 22 8 2 12" xfId="26959" xr:uid="{00000000-0005-0000-0000-000046690000}"/>
    <cellStyle name="Normal 3 22 8 2 12 2" xfId="26960" xr:uid="{00000000-0005-0000-0000-000047690000}"/>
    <cellStyle name="Normal 3 22 8 2 12 3" xfId="26961" xr:uid="{00000000-0005-0000-0000-000048690000}"/>
    <cellStyle name="Normal 3 22 8 2 13" xfId="26962" xr:uid="{00000000-0005-0000-0000-000049690000}"/>
    <cellStyle name="Normal 3 22 8 2 13 2" xfId="26963" xr:uid="{00000000-0005-0000-0000-00004A690000}"/>
    <cellStyle name="Normal 3 22 8 2 13 3" xfId="26964" xr:uid="{00000000-0005-0000-0000-00004B690000}"/>
    <cellStyle name="Normal 3 22 8 2 14" xfId="26965" xr:uid="{00000000-0005-0000-0000-00004C690000}"/>
    <cellStyle name="Normal 3 22 8 2 14 2" xfId="26966" xr:uid="{00000000-0005-0000-0000-00004D690000}"/>
    <cellStyle name="Normal 3 22 8 2 14 3" xfId="26967" xr:uid="{00000000-0005-0000-0000-00004E690000}"/>
    <cellStyle name="Normal 3 22 8 2 15" xfId="26968" xr:uid="{00000000-0005-0000-0000-00004F690000}"/>
    <cellStyle name="Normal 3 22 8 2 16" xfId="26969" xr:uid="{00000000-0005-0000-0000-000050690000}"/>
    <cellStyle name="Normal 3 22 8 2 2" xfId="26970" xr:uid="{00000000-0005-0000-0000-000051690000}"/>
    <cellStyle name="Normal 3 22 8 2 2 2" xfId="26971" xr:uid="{00000000-0005-0000-0000-000052690000}"/>
    <cellStyle name="Normal 3 22 8 2 2 3" xfId="26972" xr:uid="{00000000-0005-0000-0000-000053690000}"/>
    <cellStyle name="Normal 3 22 8 2 3" xfId="26973" xr:uid="{00000000-0005-0000-0000-000054690000}"/>
    <cellStyle name="Normal 3 22 8 2 3 2" xfId="26974" xr:uid="{00000000-0005-0000-0000-000055690000}"/>
    <cellStyle name="Normal 3 22 8 2 3 3" xfId="26975" xr:uid="{00000000-0005-0000-0000-000056690000}"/>
    <cellStyle name="Normal 3 22 8 2 4" xfId="26976" xr:uid="{00000000-0005-0000-0000-000057690000}"/>
    <cellStyle name="Normal 3 22 8 2 4 2" xfId="26977" xr:uid="{00000000-0005-0000-0000-000058690000}"/>
    <cellStyle name="Normal 3 22 8 2 4 3" xfId="26978" xr:uid="{00000000-0005-0000-0000-000059690000}"/>
    <cellStyle name="Normal 3 22 8 2 5" xfId="26979" xr:uid="{00000000-0005-0000-0000-00005A690000}"/>
    <cellStyle name="Normal 3 22 8 2 5 2" xfId="26980" xr:uid="{00000000-0005-0000-0000-00005B690000}"/>
    <cellStyle name="Normal 3 22 8 2 5 3" xfId="26981" xr:uid="{00000000-0005-0000-0000-00005C690000}"/>
    <cellStyle name="Normal 3 22 8 2 6" xfId="26982" xr:uid="{00000000-0005-0000-0000-00005D690000}"/>
    <cellStyle name="Normal 3 22 8 2 6 2" xfId="26983" xr:uid="{00000000-0005-0000-0000-00005E690000}"/>
    <cellStyle name="Normal 3 22 8 2 6 3" xfId="26984" xr:uid="{00000000-0005-0000-0000-00005F690000}"/>
    <cellStyle name="Normal 3 22 8 2 7" xfId="26985" xr:uid="{00000000-0005-0000-0000-000060690000}"/>
    <cellStyle name="Normal 3 22 8 2 7 2" xfId="26986" xr:uid="{00000000-0005-0000-0000-000061690000}"/>
    <cellStyle name="Normal 3 22 8 2 7 3" xfId="26987" xr:uid="{00000000-0005-0000-0000-000062690000}"/>
    <cellStyle name="Normal 3 22 8 2 8" xfId="26988" xr:uid="{00000000-0005-0000-0000-000063690000}"/>
    <cellStyle name="Normal 3 22 8 2 8 2" xfId="26989" xr:uid="{00000000-0005-0000-0000-000064690000}"/>
    <cellStyle name="Normal 3 22 8 2 8 3" xfId="26990" xr:uid="{00000000-0005-0000-0000-000065690000}"/>
    <cellStyle name="Normal 3 22 8 2 9" xfId="26991" xr:uid="{00000000-0005-0000-0000-000066690000}"/>
    <cellStyle name="Normal 3 22 8 2 9 2" xfId="26992" xr:uid="{00000000-0005-0000-0000-000067690000}"/>
    <cellStyle name="Normal 3 22 8 2 9 3" xfId="26993" xr:uid="{00000000-0005-0000-0000-000068690000}"/>
    <cellStyle name="Normal 3 22 8 3" xfId="26994" xr:uid="{00000000-0005-0000-0000-000069690000}"/>
    <cellStyle name="Normal 3 22 8 3 2" xfId="26995" xr:uid="{00000000-0005-0000-0000-00006A690000}"/>
    <cellStyle name="Normal 3 22 8 3 3" xfId="26996" xr:uid="{00000000-0005-0000-0000-00006B690000}"/>
    <cellStyle name="Normal 3 22 8 4" xfId="26997" xr:uid="{00000000-0005-0000-0000-00006C690000}"/>
    <cellStyle name="Normal 3 22 8 4 2" xfId="26998" xr:uid="{00000000-0005-0000-0000-00006D690000}"/>
    <cellStyle name="Normal 3 22 8 4 3" xfId="26999" xr:uid="{00000000-0005-0000-0000-00006E690000}"/>
    <cellStyle name="Normal 3 22 8 5" xfId="27000" xr:uid="{00000000-0005-0000-0000-00006F690000}"/>
    <cellStyle name="Normal 3 22 8 5 2" xfId="27001" xr:uid="{00000000-0005-0000-0000-000070690000}"/>
    <cellStyle name="Normal 3 22 8 5 3" xfId="27002" xr:uid="{00000000-0005-0000-0000-000071690000}"/>
    <cellStyle name="Normal 3 22 8 6" xfId="27003" xr:uid="{00000000-0005-0000-0000-000072690000}"/>
    <cellStyle name="Normal 3 22 8 6 2" xfId="27004" xr:uid="{00000000-0005-0000-0000-000073690000}"/>
    <cellStyle name="Normal 3 22 8 6 3" xfId="27005" xr:uid="{00000000-0005-0000-0000-000074690000}"/>
    <cellStyle name="Normal 3 22 8 7" xfId="27006" xr:uid="{00000000-0005-0000-0000-000075690000}"/>
    <cellStyle name="Normal 3 22 8 7 2" xfId="27007" xr:uid="{00000000-0005-0000-0000-000076690000}"/>
    <cellStyle name="Normal 3 22 8 7 3" xfId="27008" xr:uid="{00000000-0005-0000-0000-000077690000}"/>
    <cellStyle name="Normal 3 22 8 8" xfId="27009" xr:uid="{00000000-0005-0000-0000-000078690000}"/>
    <cellStyle name="Normal 3 22 8 8 2" xfId="27010" xr:uid="{00000000-0005-0000-0000-000079690000}"/>
    <cellStyle name="Normal 3 22 8 8 3" xfId="27011" xr:uid="{00000000-0005-0000-0000-00007A690000}"/>
    <cellStyle name="Normal 3 22 8 9" xfId="27012" xr:uid="{00000000-0005-0000-0000-00007B690000}"/>
    <cellStyle name="Normal 3 22 8 9 2" xfId="27013" xr:uid="{00000000-0005-0000-0000-00007C690000}"/>
    <cellStyle name="Normal 3 22 8 9 3" xfId="27014" xr:uid="{00000000-0005-0000-0000-00007D690000}"/>
    <cellStyle name="Normal 3 22 9" xfId="27015" xr:uid="{00000000-0005-0000-0000-00007E690000}"/>
    <cellStyle name="Normal 3 22 9 10" xfId="27016" xr:uid="{00000000-0005-0000-0000-00007F690000}"/>
    <cellStyle name="Normal 3 22 9 10 2" xfId="27017" xr:uid="{00000000-0005-0000-0000-000080690000}"/>
    <cellStyle name="Normal 3 22 9 10 3" xfId="27018" xr:uid="{00000000-0005-0000-0000-000081690000}"/>
    <cellStyle name="Normal 3 22 9 11" xfId="27019" xr:uid="{00000000-0005-0000-0000-000082690000}"/>
    <cellStyle name="Normal 3 22 9 11 2" xfId="27020" xr:uid="{00000000-0005-0000-0000-000083690000}"/>
    <cellStyle name="Normal 3 22 9 11 3" xfId="27021" xr:uid="{00000000-0005-0000-0000-000084690000}"/>
    <cellStyle name="Normal 3 22 9 12" xfId="27022" xr:uid="{00000000-0005-0000-0000-000085690000}"/>
    <cellStyle name="Normal 3 22 9 12 2" xfId="27023" xr:uid="{00000000-0005-0000-0000-000086690000}"/>
    <cellStyle name="Normal 3 22 9 12 3" xfId="27024" xr:uid="{00000000-0005-0000-0000-000087690000}"/>
    <cellStyle name="Normal 3 22 9 13" xfId="27025" xr:uid="{00000000-0005-0000-0000-000088690000}"/>
    <cellStyle name="Normal 3 22 9 13 2" xfId="27026" xr:uid="{00000000-0005-0000-0000-000089690000}"/>
    <cellStyle name="Normal 3 22 9 13 3" xfId="27027" xr:uid="{00000000-0005-0000-0000-00008A690000}"/>
    <cellStyle name="Normal 3 22 9 14" xfId="27028" xr:uid="{00000000-0005-0000-0000-00008B690000}"/>
    <cellStyle name="Normal 3 22 9 14 2" xfId="27029" xr:uid="{00000000-0005-0000-0000-00008C690000}"/>
    <cellStyle name="Normal 3 22 9 14 3" xfId="27030" xr:uid="{00000000-0005-0000-0000-00008D690000}"/>
    <cellStyle name="Normal 3 22 9 15" xfId="27031" xr:uid="{00000000-0005-0000-0000-00008E690000}"/>
    <cellStyle name="Normal 3 22 9 16" xfId="27032" xr:uid="{00000000-0005-0000-0000-00008F690000}"/>
    <cellStyle name="Normal 3 22 9 2" xfId="27033" xr:uid="{00000000-0005-0000-0000-000090690000}"/>
    <cellStyle name="Normal 3 22 9 2 2" xfId="27034" xr:uid="{00000000-0005-0000-0000-000091690000}"/>
    <cellStyle name="Normal 3 22 9 2 3" xfId="27035" xr:uid="{00000000-0005-0000-0000-000092690000}"/>
    <cellStyle name="Normal 3 22 9 3" xfId="27036" xr:uid="{00000000-0005-0000-0000-000093690000}"/>
    <cellStyle name="Normal 3 22 9 3 2" xfId="27037" xr:uid="{00000000-0005-0000-0000-000094690000}"/>
    <cellStyle name="Normal 3 22 9 3 3" xfId="27038" xr:uid="{00000000-0005-0000-0000-000095690000}"/>
    <cellStyle name="Normal 3 22 9 4" xfId="27039" xr:uid="{00000000-0005-0000-0000-000096690000}"/>
    <cellStyle name="Normal 3 22 9 4 2" xfId="27040" xr:uid="{00000000-0005-0000-0000-000097690000}"/>
    <cellStyle name="Normal 3 22 9 4 3" xfId="27041" xr:uid="{00000000-0005-0000-0000-000098690000}"/>
    <cellStyle name="Normal 3 22 9 5" xfId="27042" xr:uid="{00000000-0005-0000-0000-000099690000}"/>
    <cellStyle name="Normal 3 22 9 5 2" xfId="27043" xr:uid="{00000000-0005-0000-0000-00009A690000}"/>
    <cellStyle name="Normal 3 22 9 5 3" xfId="27044" xr:uid="{00000000-0005-0000-0000-00009B690000}"/>
    <cellStyle name="Normal 3 22 9 6" xfId="27045" xr:uid="{00000000-0005-0000-0000-00009C690000}"/>
    <cellStyle name="Normal 3 22 9 6 2" xfId="27046" xr:uid="{00000000-0005-0000-0000-00009D690000}"/>
    <cellStyle name="Normal 3 22 9 6 3" xfId="27047" xr:uid="{00000000-0005-0000-0000-00009E690000}"/>
    <cellStyle name="Normal 3 22 9 7" xfId="27048" xr:uid="{00000000-0005-0000-0000-00009F690000}"/>
    <cellStyle name="Normal 3 22 9 7 2" xfId="27049" xr:uid="{00000000-0005-0000-0000-0000A0690000}"/>
    <cellStyle name="Normal 3 22 9 7 3" xfId="27050" xr:uid="{00000000-0005-0000-0000-0000A1690000}"/>
    <cellStyle name="Normal 3 22 9 8" xfId="27051" xr:uid="{00000000-0005-0000-0000-0000A2690000}"/>
    <cellStyle name="Normal 3 22 9 8 2" xfId="27052" xr:uid="{00000000-0005-0000-0000-0000A3690000}"/>
    <cellStyle name="Normal 3 22 9 8 3" xfId="27053" xr:uid="{00000000-0005-0000-0000-0000A4690000}"/>
    <cellStyle name="Normal 3 22 9 9" xfId="27054" xr:uid="{00000000-0005-0000-0000-0000A5690000}"/>
    <cellStyle name="Normal 3 22 9 9 2" xfId="27055" xr:uid="{00000000-0005-0000-0000-0000A6690000}"/>
    <cellStyle name="Normal 3 22 9 9 3" xfId="27056" xr:uid="{00000000-0005-0000-0000-0000A7690000}"/>
    <cellStyle name="Normal 3 23" xfId="27057" xr:uid="{00000000-0005-0000-0000-0000A8690000}"/>
    <cellStyle name="Normal 3 24" xfId="27058" xr:uid="{00000000-0005-0000-0000-0000A9690000}"/>
    <cellStyle name="Normal 3 25" xfId="27059" xr:uid="{00000000-0005-0000-0000-0000AA690000}"/>
    <cellStyle name="Normal 3 26" xfId="27060" xr:uid="{00000000-0005-0000-0000-0000AB690000}"/>
    <cellStyle name="Normal 3 27" xfId="27061" xr:uid="{00000000-0005-0000-0000-0000AC690000}"/>
    <cellStyle name="Normal 3 28" xfId="27062" xr:uid="{00000000-0005-0000-0000-0000AD690000}"/>
    <cellStyle name="Normal 3 29" xfId="27063" xr:uid="{00000000-0005-0000-0000-0000AE690000}"/>
    <cellStyle name="Normal 3 3" xfId="27064" xr:uid="{00000000-0005-0000-0000-0000AF690000}"/>
    <cellStyle name="Normal 3 3 10" xfId="27065" xr:uid="{00000000-0005-0000-0000-0000B0690000}"/>
    <cellStyle name="Normal 3 3 10 10" xfId="27066" xr:uid="{00000000-0005-0000-0000-0000B1690000}"/>
    <cellStyle name="Normal 3 3 10 10 10" xfId="27067" xr:uid="{00000000-0005-0000-0000-0000B2690000}"/>
    <cellStyle name="Normal 3 3 10 10 10 2" xfId="27068" xr:uid="{00000000-0005-0000-0000-0000B3690000}"/>
    <cellStyle name="Normal 3 3 10 10 10 3" xfId="27069" xr:uid="{00000000-0005-0000-0000-0000B4690000}"/>
    <cellStyle name="Normal 3 3 10 10 11" xfId="27070" xr:uid="{00000000-0005-0000-0000-0000B5690000}"/>
    <cellStyle name="Normal 3 3 10 10 11 2" xfId="27071" xr:uid="{00000000-0005-0000-0000-0000B6690000}"/>
    <cellStyle name="Normal 3 3 10 10 11 3" xfId="27072" xr:uid="{00000000-0005-0000-0000-0000B7690000}"/>
    <cellStyle name="Normal 3 3 10 10 12" xfId="27073" xr:uid="{00000000-0005-0000-0000-0000B8690000}"/>
    <cellStyle name="Normal 3 3 10 10 12 2" xfId="27074" xr:uid="{00000000-0005-0000-0000-0000B9690000}"/>
    <cellStyle name="Normal 3 3 10 10 12 3" xfId="27075" xr:uid="{00000000-0005-0000-0000-0000BA690000}"/>
    <cellStyle name="Normal 3 3 10 10 13" xfId="27076" xr:uid="{00000000-0005-0000-0000-0000BB690000}"/>
    <cellStyle name="Normal 3 3 10 10 13 2" xfId="27077" xr:uid="{00000000-0005-0000-0000-0000BC690000}"/>
    <cellStyle name="Normal 3 3 10 10 13 3" xfId="27078" xr:uid="{00000000-0005-0000-0000-0000BD690000}"/>
    <cellStyle name="Normal 3 3 10 10 14" xfId="27079" xr:uid="{00000000-0005-0000-0000-0000BE690000}"/>
    <cellStyle name="Normal 3 3 10 10 14 2" xfId="27080" xr:uid="{00000000-0005-0000-0000-0000BF690000}"/>
    <cellStyle name="Normal 3 3 10 10 14 3" xfId="27081" xr:uid="{00000000-0005-0000-0000-0000C0690000}"/>
    <cellStyle name="Normal 3 3 10 10 15" xfId="27082" xr:uid="{00000000-0005-0000-0000-0000C1690000}"/>
    <cellStyle name="Normal 3 3 10 10 16" xfId="27083" xr:uid="{00000000-0005-0000-0000-0000C2690000}"/>
    <cellStyle name="Normal 3 3 10 10 2" xfId="27084" xr:uid="{00000000-0005-0000-0000-0000C3690000}"/>
    <cellStyle name="Normal 3 3 10 10 2 2" xfId="27085" xr:uid="{00000000-0005-0000-0000-0000C4690000}"/>
    <cellStyle name="Normal 3 3 10 10 2 3" xfId="27086" xr:uid="{00000000-0005-0000-0000-0000C5690000}"/>
    <cellStyle name="Normal 3 3 10 10 3" xfId="27087" xr:uid="{00000000-0005-0000-0000-0000C6690000}"/>
    <cellStyle name="Normal 3 3 10 10 3 2" xfId="27088" xr:uid="{00000000-0005-0000-0000-0000C7690000}"/>
    <cellStyle name="Normal 3 3 10 10 3 3" xfId="27089" xr:uid="{00000000-0005-0000-0000-0000C8690000}"/>
    <cellStyle name="Normal 3 3 10 10 4" xfId="27090" xr:uid="{00000000-0005-0000-0000-0000C9690000}"/>
    <cellStyle name="Normal 3 3 10 10 4 2" xfId="27091" xr:uid="{00000000-0005-0000-0000-0000CA690000}"/>
    <cellStyle name="Normal 3 3 10 10 4 3" xfId="27092" xr:uid="{00000000-0005-0000-0000-0000CB690000}"/>
    <cellStyle name="Normal 3 3 10 10 5" xfId="27093" xr:uid="{00000000-0005-0000-0000-0000CC690000}"/>
    <cellStyle name="Normal 3 3 10 10 5 2" xfId="27094" xr:uid="{00000000-0005-0000-0000-0000CD690000}"/>
    <cellStyle name="Normal 3 3 10 10 5 3" xfId="27095" xr:uid="{00000000-0005-0000-0000-0000CE690000}"/>
    <cellStyle name="Normal 3 3 10 10 6" xfId="27096" xr:uid="{00000000-0005-0000-0000-0000CF690000}"/>
    <cellStyle name="Normal 3 3 10 10 6 2" xfId="27097" xr:uid="{00000000-0005-0000-0000-0000D0690000}"/>
    <cellStyle name="Normal 3 3 10 10 6 3" xfId="27098" xr:uid="{00000000-0005-0000-0000-0000D1690000}"/>
    <cellStyle name="Normal 3 3 10 10 7" xfId="27099" xr:uid="{00000000-0005-0000-0000-0000D2690000}"/>
    <cellStyle name="Normal 3 3 10 10 7 2" xfId="27100" xr:uid="{00000000-0005-0000-0000-0000D3690000}"/>
    <cellStyle name="Normal 3 3 10 10 7 3" xfId="27101" xr:uid="{00000000-0005-0000-0000-0000D4690000}"/>
    <cellStyle name="Normal 3 3 10 10 8" xfId="27102" xr:uid="{00000000-0005-0000-0000-0000D5690000}"/>
    <cellStyle name="Normal 3 3 10 10 8 2" xfId="27103" xr:uid="{00000000-0005-0000-0000-0000D6690000}"/>
    <cellStyle name="Normal 3 3 10 10 8 3" xfId="27104" xr:uid="{00000000-0005-0000-0000-0000D7690000}"/>
    <cellStyle name="Normal 3 3 10 10 9" xfId="27105" xr:uid="{00000000-0005-0000-0000-0000D8690000}"/>
    <cellStyle name="Normal 3 3 10 10 9 2" xfId="27106" xr:uid="{00000000-0005-0000-0000-0000D9690000}"/>
    <cellStyle name="Normal 3 3 10 10 9 3" xfId="27107" xr:uid="{00000000-0005-0000-0000-0000DA690000}"/>
    <cellStyle name="Normal 3 3 10 11" xfId="27108" xr:uid="{00000000-0005-0000-0000-0000DB690000}"/>
    <cellStyle name="Normal 3 3 10 11 2" xfId="27109" xr:uid="{00000000-0005-0000-0000-0000DC690000}"/>
    <cellStyle name="Normal 3 3 10 11 3" xfId="27110" xr:uid="{00000000-0005-0000-0000-0000DD690000}"/>
    <cellStyle name="Normal 3 3 10 12" xfId="27111" xr:uid="{00000000-0005-0000-0000-0000DE690000}"/>
    <cellStyle name="Normal 3 3 10 12 2" xfId="27112" xr:uid="{00000000-0005-0000-0000-0000DF690000}"/>
    <cellStyle name="Normal 3 3 10 12 3" xfId="27113" xr:uid="{00000000-0005-0000-0000-0000E0690000}"/>
    <cellStyle name="Normal 3 3 10 13" xfId="27114" xr:uid="{00000000-0005-0000-0000-0000E1690000}"/>
    <cellStyle name="Normal 3 3 10 13 2" xfId="27115" xr:uid="{00000000-0005-0000-0000-0000E2690000}"/>
    <cellStyle name="Normal 3 3 10 13 3" xfId="27116" xr:uid="{00000000-0005-0000-0000-0000E3690000}"/>
    <cellStyle name="Normal 3 3 10 14" xfId="27117" xr:uid="{00000000-0005-0000-0000-0000E4690000}"/>
    <cellStyle name="Normal 3 3 10 14 2" xfId="27118" xr:uid="{00000000-0005-0000-0000-0000E5690000}"/>
    <cellStyle name="Normal 3 3 10 14 3" xfId="27119" xr:uid="{00000000-0005-0000-0000-0000E6690000}"/>
    <cellStyle name="Normal 3 3 10 15" xfId="27120" xr:uid="{00000000-0005-0000-0000-0000E7690000}"/>
    <cellStyle name="Normal 3 3 10 15 2" xfId="27121" xr:uid="{00000000-0005-0000-0000-0000E8690000}"/>
    <cellStyle name="Normal 3 3 10 15 3" xfId="27122" xr:uid="{00000000-0005-0000-0000-0000E9690000}"/>
    <cellStyle name="Normal 3 3 10 16" xfId="27123" xr:uid="{00000000-0005-0000-0000-0000EA690000}"/>
    <cellStyle name="Normal 3 3 10 16 2" xfId="27124" xr:uid="{00000000-0005-0000-0000-0000EB690000}"/>
    <cellStyle name="Normal 3 3 10 16 3" xfId="27125" xr:uid="{00000000-0005-0000-0000-0000EC690000}"/>
    <cellStyle name="Normal 3 3 10 17" xfId="27126" xr:uid="{00000000-0005-0000-0000-0000ED690000}"/>
    <cellStyle name="Normal 3 3 10 17 2" xfId="27127" xr:uid="{00000000-0005-0000-0000-0000EE690000}"/>
    <cellStyle name="Normal 3 3 10 17 3" xfId="27128" xr:uid="{00000000-0005-0000-0000-0000EF690000}"/>
    <cellStyle name="Normal 3 3 10 18" xfId="27129" xr:uid="{00000000-0005-0000-0000-0000F0690000}"/>
    <cellStyle name="Normal 3 3 10 18 2" xfId="27130" xr:uid="{00000000-0005-0000-0000-0000F1690000}"/>
    <cellStyle name="Normal 3 3 10 18 3" xfId="27131" xr:uid="{00000000-0005-0000-0000-0000F2690000}"/>
    <cellStyle name="Normal 3 3 10 19" xfId="27132" xr:uid="{00000000-0005-0000-0000-0000F3690000}"/>
    <cellStyle name="Normal 3 3 10 19 2" xfId="27133" xr:uid="{00000000-0005-0000-0000-0000F4690000}"/>
    <cellStyle name="Normal 3 3 10 19 3" xfId="27134" xr:uid="{00000000-0005-0000-0000-0000F5690000}"/>
    <cellStyle name="Normal 3 3 10 2" xfId="27135" xr:uid="{00000000-0005-0000-0000-0000F6690000}"/>
    <cellStyle name="Normal 3 3 10 2 10" xfId="27136" xr:uid="{00000000-0005-0000-0000-0000F7690000}"/>
    <cellStyle name="Normal 3 3 10 2 10 2" xfId="27137" xr:uid="{00000000-0005-0000-0000-0000F8690000}"/>
    <cellStyle name="Normal 3 3 10 2 10 3" xfId="27138" xr:uid="{00000000-0005-0000-0000-0000F9690000}"/>
    <cellStyle name="Normal 3 3 10 2 11" xfId="27139" xr:uid="{00000000-0005-0000-0000-0000FA690000}"/>
    <cellStyle name="Normal 3 3 10 2 11 2" xfId="27140" xr:uid="{00000000-0005-0000-0000-0000FB690000}"/>
    <cellStyle name="Normal 3 3 10 2 11 3" xfId="27141" xr:uid="{00000000-0005-0000-0000-0000FC690000}"/>
    <cellStyle name="Normal 3 3 10 2 12" xfId="27142" xr:uid="{00000000-0005-0000-0000-0000FD690000}"/>
    <cellStyle name="Normal 3 3 10 2 12 2" xfId="27143" xr:uid="{00000000-0005-0000-0000-0000FE690000}"/>
    <cellStyle name="Normal 3 3 10 2 12 3" xfId="27144" xr:uid="{00000000-0005-0000-0000-0000FF690000}"/>
    <cellStyle name="Normal 3 3 10 2 13" xfId="27145" xr:uid="{00000000-0005-0000-0000-0000006A0000}"/>
    <cellStyle name="Normal 3 3 10 2 13 2" xfId="27146" xr:uid="{00000000-0005-0000-0000-0000016A0000}"/>
    <cellStyle name="Normal 3 3 10 2 13 3" xfId="27147" xr:uid="{00000000-0005-0000-0000-0000026A0000}"/>
    <cellStyle name="Normal 3 3 10 2 14" xfId="27148" xr:uid="{00000000-0005-0000-0000-0000036A0000}"/>
    <cellStyle name="Normal 3 3 10 2 14 2" xfId="27149" xr:uid="{00000000-0005-0000-0000-0000046A0000}"/>
    <cellStyle name="Normal 3 3 10 2 14 3" xfId="27150" xr:uid="{00000000-0005-0000-0000-0000056A0000}"/>
    <cellStyle name="Normal 3 3 10 2 15" xfId="27151" xr:uid="{00000000-0005-0000-0000-0000066A0000}"/>
    <cellStyle name="Normal 3 3 10 2 15 2" xfId="27152" xr:uid="{00000000-0005-0000-0000-0000076A0000}"/>
    <cellStyle name="Normal 3 3 10 2 15 3" xfId="27153" xr:uid="{00000000-0005-0000-0000-0000086A0000}"/>
    <cellStyle name="Normal 3 3 10 2 16" xfId="27154" xr:uid="{00000000-0005-0000-0000-0000096A0000}"/>
    <cellStyle name="Normal 3 3 10 2 17" xfId="27155" xr:uid="{00000000-0005-0000-0000-00000A6A0000}"/>
    <cellStyle name="Normal 3 3 10 2 2" xfId="27156" xr:uid="{00000000-0005-0000-0000-00000B6A0000}"/>
    <cellStyle name="Normal 3 3 10 2 2 10" xfId="27157" xr:uid="{00000000-0005-0000-0000-00000C6A0000}"/>
    <cellStyle name="Normal 3 3 10 2 2 10 2" xfId="27158" xr:uid="{00000000-0005-0000-0000-00000D6A0000}"/>
    <cellStyle name="Normal 3 3 10 2 2 10 3" xfId="27159" xr:uid="{00000000-0005-0000-0000-00000E6A0000}"/>
    <cellStyle name="Normal 3 3 10 2 2 11" xfId="27160" xr:uid="{00000000-0005-0000-0000-00000F6A0000}"/>
    <cellStyle name="Normal 3 3 10 2 2 11 2" xfId="27161" xr:uid="{00000000-0005-0000-0000-0000106A0000}"/>
    <cellStyle name="Normal 3 3 10 2 2 11 3" xfId="27162" xr:uid="{00000000-0005-0000-0000-0000116A0000}"/>
    <cellStyle name="Normal 3 3 10 2 2 12" xfId="27163" xr:uid="{00000000-0005-0000-0000-0000126A0000}"/>
    <cellStyle name="Normal 3 3 10 2 2 12 2" xfId="27164" xr:uid="{00000000-0005-0000-0000-0000136A0000}"/>
    <cellStyle name="Normal 3 3 10 2 2 12 3" xfId="27165" xr:uid="{00000000-0005-0000-0000-0000146A0000}"/>
    <cellStyle name="Normal 3 3 10 2 2 13" xfId="27166" xr:uid="{00000000-0005-0000-0000-0000156A0000}"/>
    <cellStyle name="Normal 3 3 10 2 2 13 2" xfId="27167" xr:uid="{00000000-0005-0000-0000-0000166A0000}"/>
    <cellStyle name="Normal 3 3 10 2 2 13 3" xfId="27168" xr:uid="{00000000-0005-0000-0000-0000176A0000}"/>
    <cellStyle name="Normal 3 3 10 2 2 14" xfId="27169" xr:uid="{00000000-0005-0000-0000-0000186A0000}"/>
    <cellStyle name="Normal 3 3 10 2 2 14 2" xfId="27170" xr:uid="{00000000-0005-0000-0000-0000196A0000}"/>
    <cellStyle name="Normal 3 3 10 2 2 14 3" xfId="27171" xr:uid="{00000000-0005-0000-0000-00001A6A0000}"/>
    <cellStyle name="Normal 3 3 10 2 2 15" xfId="27172" xr:uid="{00000000-0005-0000-0000-00001B6A0000}"/>
    <cellStyle name="Normal 3 3 10 2 2 16" xfId="27173" xr:uid="{00000000-0005-0000-0000-00001C6A0000}"/>
    <cellStyle name="Normal 3 3 10 2 2 2" xfId="27174" xr:uid="{00000000-0005-0000-0000-00001D6A0000}"/>
    <cellStyle name="Normal 3 3 10 2 2 2 2" xfId="27175" xr:uid="{00000000-0005-0000-0000-00001E6A0000}"/>
    <cellStyle name="Normal 3 3 10 2 2 2 3" xfId="27176" xr:uid="{00000000-0005-0000-0000-00001F6A0000}"/>
    <cellStyle name="Normal 3 3 10 2 2 3" xfId="27177" xr:uid="{00000000-0005-0000-0000-0000206A0000}"/>
    <cellStyle name="Normal 3 3 10 2 2 3 2" xfId="27178" xr:uid="{00000000-0005-0000-0000-0000216A0000}"/>
    <cellStyle name="Normal 3 3 10 2 2 3 3" xfId="27179" xr:uid="{00000000-0005-0000-0000-0000226A0000}"/>
    <cellStyle name="Normal 3 3 10 2 2 4" xfId="27180" xr:uid="{00000000-0005-0000-0000-0000236A0000}"/>
    <cellStyle name="Normal 3 3 10 2 2 4 2" xfId="27181" xr:uid="{00000000-0005-0000-0000-0000246A0000}"/>
    <cellStyle name="Normal 3 3 10 2 2 4 3" xfId="27182" xr:uid="{00000000-0005-0000-0000-0000256A0000}"/>
    <cellStyle name="Normal 3 3 10 2 2 5" xfId="27183" xr:uid="{00000000-0005-0000-0000-0000266A0000}"/>
    <cellStyle name="Normal 3 3 10 2 2 5 2" xfId="27184" xr:uid="{00000000-0005-0000-0000-0000276A0000}"/>
    <cellStyle name="Normal 3 3 10 2 2 5 3" xfId="27185" xr:uid="{00000000-0005-0000-0000-0000286A0000}"/>
    <cellStyle name="Normal 3 3 10 2 2 6" xfId="27186" xr:uid="{00000000-0005-0000-0000-0000296A0000}"/>
    <cellStyle name="Normal 3 3 10 2 2 6 2" xfId="27187" xr:uid="{00000000-0005-0000-0000-00002A6A0000}"/>
    <cellStyle name="Normal 3 3 10 2 2 6 3" xfId="27188" xr:uid="{00000000-0005-0000-0000-00002B6A0000}"/>
    <cellStyle name="Normal 3 3 10 2 2 7" xfId="27189" xr:uid="{00000000-0005-0000-0000-00002C6A0000}"/>
    <cellStyle name="Normal 3 3 10 2 2 7 2" xfId="27190" xr:uid="{00000000-0005-0000-0000-00002D6A0000}"/>
    <cellStyle name="Normal 3 3 10 2 2 7 3" xfId="27191" xr:uid="{00000000-0005-0000-0000-00002E6A0000}"/>
    <cellStyle name="Normal 3 3 10 2 2 8" xfId="27192" xr:uid="{00000000-0005-0000-0000-00002F6A0000}"/>
    <cellStyle name="Normal 3 3 10 2 2 8 2" xfId="27193" xr:uid="{00000000-0005-0000-0000-0000306A0000}"/>
    <cellStyle name="Normal 3 3 10 2 2 8 3" xfId="27194" xr:uid="{00000000-0005-0000-0000-0000316A0000}"/>
    <cellStyle name="Normal 3 3 10 2 2 9" xfId="27195" xr:uid="{00000000-0005-0000-0000-0000326A0000}"/>
    <cellStyle name="Normal 3 3 10 2 2 9 2" xfId="27196" xr:uid="{00000000-0005-0000-0000-0000336A0000}"/>
    <cellStyle name="Normal 3 3 10 2 2 9 3" xfId="27197" xr:uid="{00000000-0005-0000-0000-0000346A0000}"/>
    <cellStyle name="Normal 3 3 10 2 3" xfId="27198" xr:uid="{00000000-0005-0000-0000-0000356A0000}"/>
    <cellStyle name="Normal 3 3 10 2 3 2" xfId="27199" xr:uid="{00000000-0005-0000-0000-0000366A0000}"/>
    <cellStyle name="Normal 3 3 10 2 3 3" xfId="27200" xr:uid="{00000000-0005-0000-0000-0000376A0000}"/>
    <cellStyle name="Normal 3 3 10 2 4" xfId="27201" xr:uid="{00000000-0005-0000-0000-0000386A0000}"/>
    <cellStyle name="Normal 3 3 10 2 4 2" xfId="27202" xr:uid="{00000000-0005-0000-0000-0000396A0000}"/>
    <cellStyle name="Normal 3 3 10 2 4 3" xfId="27203" xr:uid="{00000000-0005-0000-0000-00003A6A0000}"/>
    <cellStyle name="Normal 3 3 10 2 5" xfId="27204" xr:uid="{00000000-0005-0000-0000-00003B6A0000}"/>
    <cellStyle name="Normal 3 3 10 2 5 2" xfId="27205" xr:uid="{00000000-0005-0000-0000-00003C6A0000}"/>
    <cellStyle name="Normal 3 3 10 2 5 3" xfId="27206" xr:uid="{00000000-0005-0000-0000-00003D6A0000}"/>
    <cellStyle name="Normal 3 3 10 2 6" xfId="27207" xr:uid="{00000000-0005-0000-0000-00003E6A0000}"/>
    <cellStyle name="Normal 3 3 10 2 6 2" xfId="27208" xr:uid="{00000000-0005-0000-0000-00003F6A0000}"/>
    <cellStyle name="Normal 3 3 10 2 6 3" xfId="27209" xr:uid="{00000000-0005-0000-0000-0000406A0000}"/>
    <cellStyle name="Normal 3 3 10 2 7" xfId="27210" xr:uid="{00000000-0005-0000-0000-0000416A0000}"/>
    <cellStyle name="Normal 3 3 10 2 7 2" xfId="27211" xr:uid="{00000000-0005-0000-0000-0000426A0000}"/>
    <cellStyle name="Normal 3 3 10 2 7 3" xfId="27212" xr:uid="{00000000-0005-0000-0000-0000436A0000}"/>
    <cellStyle name="Normal 3 3 10 2 8" xfId="27213" xr:uid="{00000000-0005-0000-0000-0000446A0000}"/>
    <cellStyle name="Normal 3 3 10 2 8 2" xfId="27214" xr:uid="{00000000-0005-0000-0000-0000456A0000}"/>
    <cellStyle name="Normal 3 3 10 2 8 3" xfId="27215" xr:uid="{00000000-0005-0000-0000-0000466A0000}"/>
    <cellStyle name="Normal 3 3 10 2 9" xfId="27216" xr:uid="{00000000-0005-0000-0000-0000476A0000}"/>
    <cellStyle name="Normal 3 3 10 2 9 2" xfId="27217" xr:uid="{00000000-0005-0000-0000-0000486A0000}"/>
    <cellStyle name="Normal 3 3 10 2 9 3" xfId="27218" xr:uid="{00000000-0005-0000-0000-0000496A0000}"/>
    <cellStyle name="Normal 3 3 10 20" xfId="27219" xr:uid="{00000000-0005-0000-0000-00004A6A0000}"/>
    <cellStyle name="Normal 3 3 10 20 2" xfId="27220" xr:uid="{00000000-0005-0000-0000-00004B6A0000}"/>
    <cellStyle name="Normal 3 3 10 20 3" xfId="27221" xr:uid="{00000000-0005-0000-0000-00004C6A0000}"/>
    <cellStyle name="Normal 3 3 10 21" xfId="27222" xr:uid="{00000000-0005-0000-0000-00004D6A0000}"/>
    <cellStyle name="Normal 3 3 10 21 2" xfId="27223" xr:uid="{00000000-0005-0000-0000-00004E6A0000}"/>
    <cellStyle name="Normal 3 3 10 21 3" xfId="27224" xr:uid="{00000000-0005-0000-0000-00004F6A0000}"/>
    <cellStyle name="Normal 3 3 10 22" xfId="27225" xr:uid="{00000000-0005-0000-0000-0000506A0000}"/>
    <cellStyle name="Normal 3 3 10 22 2" xfId="27226" xr:uid="{00000000-0005-0000-0000-0000516A0000}"/>
    <cellStyle name="Normal 3 3 10 22 3" xfId="27227" xr:uid="{00000000-0005-0000-0000-0000526A0000}"/>
    <cellStyle name="Normal 3 3 10 23" xfId="27228" xr:uid="{00000000-0005-0000-0000-0000536A0000}"/>
    <cellStyle name="Normal 3 3 10 23 2" xfId="27229" xr:uid="{00000000-0005-0000-0000-0000546A0000}"/>
    <cellStyle name="Normal 3 3 10 23 3" xfId="27230" xr:uid="{00000000-0005-0000-0000-0000556A0000}"/>
    <cellStyle name="Normal 3 3 10 24" xfId="27231" xr:uid="{00000000-0005-0000-0000-0000566A0000}"/>
    <cellStyle name="Normal 3 3 10 25" xfId="27232" xr:uid="{00000000-0005-0000-0000-0000576A0000}"/>
    <cellStyle name="Normal 3 3 10 3" xfId="27233" xr:uid="{00000000-0005-0000-0000-0000586A0000}"/>
    <cellStyle name="Normal 3 3 10 3 10" xfId="27234" xr:uid="{00000000-0005-0000-0000-0000596A0000}"/>
    <cellStyle name="Normal 3 3 10 3 10 2" xfId="27235" xr:uid="{00000000-0005-0000-0000-00005A6A0000}"/>
    <cellStyle name="Normal 3 3 10 3 10 3" xfId="27236" xr:uid="{00000000-0005-0000-0000-00005B6A0000}"/>
    <cellStyle name="Normal 3 3 10 3 11" xfId="27237" xr:uid="{00000000-0005-0000-0000-00005C6A0000}"/>
    <cellStyle name="Normal 3 3 10 3 11 2" xfId="27238" xr:uid="{00000000-0005-0000-0000-00005D6A0000}"/>
    <cellStyle name="Normal 3 3 10 3 11 3" xfId="27239" xr:uid="{00000000-0005-0000-0000-00005E6A0000}"/>
    <cellStyle name="Normal 3 3 10 3 12" xfId="27240" xr:uid="{00000000-0005-0000-0000-00005F6A0000}"/>
    <cellStyle name="Normal 3 3 10 3 12 2" xfId="27241" xr:uid="{00000000-0005-0000-0000-0000606A0000}"/>
    <cellStyle name="Normal 3 3 10 3 12 3" xfId="27242" xr:uid="{00000000-0005-0000-0000-0000616A0000}"/>
    <cellStyle name="Normal 3 3 10 3 13" xfId="27243" xr:uid="{00000000-0005-0000-0000-0000626A0000}"/>
    <cellStyle name="Normal 3 3 10 3 13 2" xfId="27244" xr:uid="{00000000-0005-0000-0000-0000636A0000}"/>
    <cellStyle name="Normal 3 3 10 3 13 3" xfId="27245" xr:uid="{00000000-0005-0000-0000-0000646A0000}"/>
    <cellStyle name="Normal 3 3 10 3 14" xfId="27246" xr:uid="{00000000-0005-0000-0000-0000656A0000}"/>
    <cellStyle name="Normal 3 3 10 3 14 2" xfId="27247" xr:uid="{00000000-0005-0000-0000-0000666A0000}"/>
    <cellStyle name="Normal 3 3 10 3 14 3" xfId="27248" xr:uid="{00000000-0005-0000-0000-0000676A0000}"/>
    <cellStyle name="Normal 3 3 10 3 15" xfId="27249" xr:uid="{00000000-0005-0000-0000-0000686A0000}"/>
    <cellStyle name="Normal 3 3 10 3 15 2" xfId="27250" xr:uid="{00000000-0005-0000-0000-0000696A0000}"/>
    <cellStyle name="Normal 3 3 10 3 15 3" xfId="27251" xr:uid="{00000000-0005-0000-0000-00006A6A0000}"/>
    <cellStyle name="Normal 3 3 10 3 16" xfId="27252" xr:uid="{00000000-0005-0000-0000-00006B6A0000}"/>
    <cellStyle name="Normal 3 3 10 3 17" xfId="27253" xr:uid="{00000000-0005-0000-0000-00006C6A0000}"/>
    <cellStyle name="Normal 3 3 10 3 2" xfId="27254" xr:uid="{00000000-0005-0000-0000-00006D6A0000}"/>
    <cellStyle name="Normal 3 3 10 3 2 10" xfId="27255" xr:uid="{00000000-0005-0000-0000-00006E6A0000}"/>
    <cellStyle name="Normal 3 3 10 3 2 10 2" xfId="27256" xr:uid="{00000000-0005-0000-0000-00006F6A0000}"/>
    <cellStyle name="Normal 3 3 10 3 2 10 3" xfId="27257" xr:uid="{00000000-0005-0000-0000-0000706A0000}"/>
    <cellStyle name="Normal 3 3 10 3 2 11" xfId="27258" xr:uid="{00000000-0005-0000-0000-0000716A0000}"/>
    <cellStyle name="Normal 3 3 10 3 2 11 2" xfId="27259" xr:uid="{00000000-0005-0000-0000-0000726A0000}"/>
    <cellStyle name="Normal 3 3 10 3 2 11 3" xfId="27260" xr:uid="{00000000-0005-0000-0000-0000736A0000}"/>
    <cellStyle name="Normal 3 3 10 3 2 12" xfId="27261" xr:uid="{00000000-0005-0000-0000-0000746A0000}"/>
    <cellStyle name="Normal 3 3 10 3 2 12 2" xfId="27262" xr:uid="{00000000-0005-0000-0000-0000756A0000}"/>
    <cellStyle name="Normal 3 3 10 3 2 12 3" xfId="27263" xr:uid="{00000000-0005-0000-0000-0000766A0000}"/>
    <cellStyle name="Normal 3 3 10 3 2 13" xfId="27264" xr:uid="{00000000-0005-0000-0000-0000776A0000}"/>
    <cellStyle name="Normal 3 3 10 3 2 13 2" xfId="27265" xr:uid="{00000000-0005-0000-0000-0000786A0000}"/>
    <cellStyle name="Normal 3 3 10 3 2 13 3" xfId="27266" xr:uid="{00000000-0005-0000-0000-0000796A0000}"/>
    <cellStyle name="Normal 3 3 10 3 2 14" xfId="27267" xr:uid="{00000000-0005-0000-0000-00007A6A0000}"/>
    <cellStyle name="Normal 3 3 10 3 2 14 2" xfId="27268" xr:uid="{00000000-0005-0000-0000-00007B6A0000}"/>
    <cellStyle name="Normal 3 3 10 3 2 14 3" xfId="27269" xr:uid="{00000000-0005-0000-0000-00007C6A0000}"/>
    <cellStyle name="Normal 3 3 10 3 2 15" xfId="27270" xr:uid="{00000000-0005-0000-0000-00007D6A0000}"/>
    <cellStyle name="Normal 3 3 10 3 2 16" xfId="27271" xr:uid="{00000000-0005-0000-0000-00007E6A0000}"/>
    <cellStyle name="Normal 3 3 10 3 2 2" xfId="27272" xr:uid="{00000000-0005-0000-0000-00007F6A0000}"/>
    <cellStyle name="Normal 3 3 10 3 2 2 2" xfId="27273" xr:uid="{00000000-0005-0000-0000-0000806A0000}"/>
    <cellStyle name="Normal 3 3 10 3 2 2 3" xfId="27274" xr:uid="{00000000-0005-0000-0000-0000816A0000}"/>
    <cellStyle name="Normal 3 3 10 3 2 3" xfId="27275" xr:uid="{00000000-0005-0000-0000-0000826A0000}"/>
    <cellStyle name="Normal 3 3 10 3 2 3 2" xfId="27276" xr:uid="{00000000-0005-0000-0000-0000836A0000}"/>
    <cellStyle name="Normal 3 3 10 3 2 3 3" xfId="27277" xr:uid="{00000000-0005-0000-0000-0000846A0000}"/>
    <cellStyle name="Normal 3 3 10 3 2 4" xfId="27278" xr:uid="{00000000-0005-0000-0000-0000856A0000}"/>
    <cellStyle name="Normal 3 3 10 3 2 4 2" xfId="27279" xr:uid="{00000000-0005-0000-0000-0000866A0000}"/>
    <cellStyle name="Normal 3 3 10 3 2 4 3" xfId="27280" xr:uid="{00000000-0005-0000-0000-0000876A0000}"/>
    <cellStyle name="Normal 3 3 10 3 2 5" xfId="27281" xr:uid="{00000000-0005-0000-0000-0000886A0000}"/>
    <cellStyle name="Normal 3 3 10 3 2 5 2" xfId="27282" xr:uid="{00000000-0005-0000-0000-0000896A0000}"/>
    <cellStyle name="Normal 3 3 10 3 2 5 3" xfId="27283" xr:uid="{00000000-0005-0000-0000-00008A6A0000}"/>
    <cellStyle name="Normal 3 3 10 3 2 6" xfId="27284" xr:uid="{00000000-0005-0000-0000-00008B6A0000}"/>
    <cellStyle name="Normal 3 3 10 3 2 6 2" xfId="27285" xr:uid="{00000000-0005-0000-0000-00008C6A0000}"/>
    <cellStyle name="Normal 3 3 10 3 2 6 3" xfId="27286" xr:uid="{00000000-0005-0000-0000-00008D6A0000}"/>
    <cellStyle name="Normal 3 3 10 3 2 7" xfId="27287" xr:uid="{00000000-0005-0000-0000-00008E6A0000}"/>
    <cellStyle name="Normal 3 3 10 3 2 7 2" xfId="27288" xr:uid="{00000000-0005-0000-0000-00008F6A0000}"/>
    <cellStyle name="Normal 3 3 10 3 2 7 3" xfId="27289" xr:uid="{00000000-0005-0000-0000-0000906A0000}"/>
    <cellStyle name="Normal 3 3 10 3 2 8" xfId="27290" xr:uid="{00000000-0005-0000-0000-0000916A0000}"/>
    <cellStyle name="Normal 3 3 10 3 2 8 2" xfId="27291" xr:uid="{00000000-0005-0000-0000-0000926A0000}"/>
    <cellStyle name="Normal 3 3 10 3 2 8 3" xfId="27292" xr:uid="{00000000-0005-0000-0000-0000936A0000}"/>
    <cellStyle name="Normal 3 3 10 3 2 9" xfId="27293" xr:uid="{00000000-0005-0000-0000-0000946A0000}"/>
    <cellStyle name="Normal 3 3 10 3 2 9 2" xfId="27294" xr:uid="{00000000-0005-0000-0000-0000956A0000}"/>
    <cellStyle name="Normal 3 3 10 3 2 9 3" xfId="27295" xr:uid="{00000000-0005-0000-0000-0000966A0000}"/>
    <cellStyle name="Normal 3 3 10 3 3" xfId="27296" xr:uid="{00000000-0005-0000-0000-0000976A0000}"/>
    <cellStyle name="Normal 3 3 10 3 3 2" xfId="27297" xr:uid="{00000000-0005-0000-0000-0000986A0000}"/>
    <cellStyle name="Normal 3 3 10 3 3 3" xfId="27298" xr:uid="{00000000-0005-0000-0000-0000996A0000}"/>
    <cellStyle name="Normal 3 3 10 3 4" xfId="27299" xr:uid="{00000000-0005-0000-0000-00009A6A0000}"/>
    <cellStyle name="Normal 3 3 10 3 4 2" xfId="27300" xr:uid="{00000000-0005-0000-0000-00009B6A0000}"/>
    <cellStyle name="Normal 3 3 10 3 4 3" xfId="27301" xr:uid="{00000000-0005-0000-0000-00009C6A0000}"/>
    <cellStyle name="Normal 3 3 10 3 5" xfId="27302" xr:uid="{00000000-0005-0000-0000-00009D6A0000}"/>
    <cellStyle name="Normal 3 3 10 3 5 2" xfId="27303" xr:uid="{00000000-0005-0000-0000-00009E6A0000}"/>
    <cellStyle name="Normal 3 3 10 3 5 3" xfId="27304" xr:uid="{00000000-0005-0000-0000-00009F6A0000}"/>
    <cellStyle name="Normal 3 3 10 3 6" xfId="27305" xr:uid="{00000000-0005-0000-0000-0000A06A0000}"/>
    <cellStyle name="Normal 3 3 10 3 6 2" xfId="27306" xr:uid="{00000000-0005-0000-0000-0000A16A0000}"/>
    <cellStyle name="Normal 3 3 10 3 6 3" xfId="27307" xr:uid="{00000000-0005-0000-0000-0000A26A0000}"/>
    <cellStyle name="Normal 3 3 10 3 7" xfId="27308" xr:uid="{00000000-0005-0000-0000-0000A36A0000}"/>
    <cellStyle name="Normal 3 3 10 3 7 2" xfId="27309" xr:uid="{00000000-0005-0000-0000-0000A46A0000}"/>
    <cellStyle name="Normal 3 3 10 3 7 3" xfId="27310" xr:uid="{00000000-0005-0000-0000-0000A56A0000}"/>
    <cellStyle name="Normal 3 3 10 3 8" xfId="27311" xr:uid="{00000000-0005-0000-0000-0000A66A0000}"/>
    <cellStyle name="Normal 3 3 10 3 8 2" xfId="27312" xr:uid="{00000000-0005-0000-0000-0000A76A0000}"/>
    <cellStyle name="Normal 3 3 10 3 8 3" xfId="27313" xr:uid="{00000000-0005-0000-0000-0000A86A0000}"/>
    <cellStyle name="Normal 3 3 10 3 9" xfId="27314" xr:uid="{00000000-0005-0000-0000-0000A96A0000}"/>
    <cellStyle name="Normal 3 3 10 3 9 2" xfId="27315" xr:uid="{00000000-0005-0000-0000-0000AA6A0000}"/>
    <cellStyle name="Normal 3 3 10 3 9 3" xfId="27316" xr:uid="{00000000-0005-0000-0000-0000AB6A0000}"/>
    <cellStyle name="Normal 3 3 10 4" xfId="27317" xr:uid="{00000000-0005-0000-0000-0000AC6A0000}"/>
    <cellStyle name="Normal 3 3 10 4 10" xfId="27318" xr:uid="{00000000-0005-0000-0000-0000AD6A0000}"/>
    <cellStyle name="Normal 3 3 10 4 10 2" xfId="27319" xr:uid="{00000000-0005-0000-0000-0000AE6A0000}"/>
    <cellStyle name="Normal 3 3 10 4 10 3" xfId="27320" xr:uid="{00000000-0005-0000-0000-0000AF6A0000}"/>
    <cellStyle name="Normal 3 3 10 4 11" xfId="27321" xr:uid="{00000000-0005-0000-0000-0000B06A0000}"/>
    <cellStyle name="Normal 3 3 10 4 11 2" xfId="27322" xr:uid="{00000000-0005-0000-0000-0000B16A0000}"/>
    <cellStyle name="Normal 3 3 10 4 11 3" xfId="27323" xr:uid="{00000000-0005-0000-0000-0000B26A0000}"/>
    <cellStyle name="Normal 3 3 10 4 12" xfId="27324" xr:uid="{00000000-0005-0000-0000-0000B36A0000}"/>
    <cellStyle name="Normal 3 3 10 4 12 2" xfId="27325" xr:uid="{00000000-0005-0000-0000-0000B46A0000}"/>
    <cellStyle name="Normal 3 3 10 4 12 3" xfId="27326" xr:uid="{00000000-0005-0000-0000-0000B56A0000}"/>
    <cellStyle name="Normal 3 3 10 4 13" xfId="27327" xr:uid="{00000000-0005-0000-0000-0000B66A0000}"/>
    <cellStyle name="Normal 3 3 10 4 13 2" xfId="27328" xr:uid="{00000000-0005-0000-0000-0000B76A0000}"/>
    <cellStyle name="Normal 3 3 10 4 13 3" xfId="27329" xr:uid="{00000000-0005-0000-0000-0000B86A0000}"/>
    <cellStyle name="Normal 3 3 10 4 14" xfId="27330" xr:uid="{00000000-0005-0000-0000-0000B96A0000}"/>
    <cellStyle name="Normal 3 3 10 4 14 2" xfId="27331" xr:uid="{00000000-0005-0000-0000-0000BA6A0000}"/>
    <cellStyle name="Normal 3 3 10 4 14 3" xfId="27332" xr:uid="{00000000-0005-0000-0000-0000BB6A0000}"/>
    <cellStyle name="Normal 3 3 10 4 15" xfId="27333" xr:uid="{00000000-0005-0000-0000-0000BC6A0000}"/>
    <cellStyle name="Normal 3 3 10 4 15 2" xfId="27334" xr:uid="{00000000-0005-0000-0000-0000BD6A0000}"/>
    <cellStyle name="Normal 3 3 10 4 15 3" xfId="27335" xr:uid="{00000000-0005-0000-0000-0000BE6A0000}"/>
    <cellStyle name="Normal 3 3 10 4 16" xfId="27336" xr:uid="{00000000-0005-0000-0000-0000BF6A0000}"/>
    <cellStyle name="Normal 3 3 10 4 17" xfId="27337" xr:uid="{00000000-0005-0000-0000-0000C06A0000}"/>
    <cellStyle name="Normal 3 3 10 4 2" xfId="27338" xr:uid="{00000000-0005-0000-0000-0000C16A0000}"/>
    <cellStyle name="Normal 3 3 10 4 2 10" xfId="27339" xr:uid="{00000000-0005-0000-0000-0000C26A0000}"/>
    <cellStyle name="Normal 3 3 10 4 2 10 2" xfId="27340" xr:uid="{00000000-0005-0000-0000-0000C36A0000}"/>
    <cellStyle name="Normal 3 3 10 4 2 10 3" xfId="27341" xr:uid="{00000000-0005-0000-0000-0000C46A0000}"/>
    <cellStyle name="Normal 3 3 10 4 2 11" xfId="27342" xr:uid="{00000000-0005-0000-0000-0000C56A0000}"/>
    <cellStyle name="Normal 3 3 10 4 2 11 2" xfId="27343" xr:uid="{00000000-0005-0000-0000-0000C66A0000}"/>
    <cellStyle name="Normal 3 3 10 4 2 11 3" xfId="27344" xr:uid="{00000000-0005-0000-0000-0000C76A0000}"/>
    <cellStyle name="Normal 3 3 10 4 2 12" xfId="27345" xr:uid="{00000000-0005-0000-0000-0000C86A0000}"/>
    <cellStyle name="Normal 3 3 10 4 2 12 2" xfId="27346" xr:uid="{00000000-0005-0000-0000-0000C96A0000}"/>
    <cellStyle name="Normal 3 3 10 4 2 12 3" xfId="27347" xr:uid="{00000000-0005-0000-0000-0000CA6A0000}"/>
    <cellStyle name="Normal 3 3 10 4 2 13" xfId="27348" xr:uid="{00000000-0005-0000-0000-0000CB6A0000}"/>
    <cellStyle name="Normal 3 3 10 4 2 13 2" xfId="27349" xr:uid="{00000000-0005-0000-0000-0000CC6A0000}"/>
    <cellStyle name="Normal 3 3 10 4 2 13 3" xfId="27350" xr:uid="{00000000-0005-0000-0000-0000CD6A0000}"/>
    <cellStyle name="Normal 3 3 10 4 2 14" xfId="27351" xr:uid="{00000000-0005-0000-0000-0000CE6A0000}"/>
    <cellStyle name="Normal 3 3 10 4 2 14 2" xfId="27352" xr:uid="{00000000-0005-0000-0000-0000CF6A0000}"/>
    <cellStyle name="Normal 3 3 10 4 2 14 3" xfId="27353" xr:uid="{00000000-0005-0000-0000-0000D06A0000}"/>
    <cellStyle name="Normal 3 3 10 4 2 15" xfId="27354" xr:uid="{00000000-0005-0000-0000-0000D16A0000}"/>
    <cellStyle name="Normal 3 3 10 4 2 16" xfId="27355" xr:uid="{00000000-0005-0000-0000-0000D26A0000}"/>
    <cellStyle name="Normal 3 3 10 4 2 2" xfId="27356" xr:uid="{00000000-0005-0000-0000-0000D36A0000}"/>
    <cellStyle name="Normal 3 3 10 4 2 2 2" xfId="27357" xr:uid="{00000000-0005-0000-0000-0000D46A0000}"/>
    <cellStyle name="Normal 3 3 10 4 2 2 3" xfId="27358" xr:uid="{00000000-0005-0000-0000-0000D56A0000}"/>
    <cellStyle name="Normal 3 3 10 4 2 3" xfId="27359" xr:uid="{00000000-0005-0000-0000-0000D66A0000}"/>
    <cellStyle name="Normal 3 3 10 4 2 3 2" xfId="27360" xr:uid="{00000000-0005-0000-0000-0000D76A0000}"/>
    <cellStyle name="Normal 3 3 10 4 2 3 3" xfId="27361" xr:uid="{00000000-0005-0000-0000-0000D86A0000}"/>
    <cellStyle name="Normal 3 3 10 4 2 4" xfId="27362" xr:uid="{00000000-0005-0000-0000-0000D96A0000}"/>
    <cellStyle name="Normal 3 3 10 4 2 4 2" xfId="27363" xr:uid="{00000000-0005-0000-0000-0000DA6A0000}"/>
    <cellStyle name="Normal 3 3 10 4 2 4 3" xfId="27364" xr:uid="{00000000-0005-0000-0000-0000DB6A0000}"/>
    <cellStyle name="Normal 3 3 10 4 2 5" xfId="27365" xr:uid="{00000000-0005-0000-0000-0000DC6A0000}"/>
    <cellStyle name="Normal 3 3 10 4 2 5 2" xfId="27366" xr:uid="{00000000-0005-0000-0000-0000DD6A0000}"/>
    <cellStyle name="Normal 3 3 10 4 2 5 3" xfId="27367" xr:uid="{00000000-0005-0000-0000-0000DE6A0000}"/>
    <cellStyle name="Normal 3 3 10 4 2 6" xfId="27368" xr:uid="{00000000-0005-0000-0000-0000DF6A0000}"/>
    <cellStyle name="Normal 3 3 10 4 2 6 2" xfId="27369" xr:uid="{00000000-0005-0000-0000-0000E06A0000}"/>
    <cellStyle name="Normal 3 3 10 4 2 6 3" xfId="27370" xr:uid="{00000000-0005-0000-0000-0000E16A0000}"/>
    <cellStyle name="Normal 3 3 10 4 2 7" xfId="27371" xr:uid="{00000000-0005-0000-0000-0000E26A0000}"/>
    <cellStyle name="Normal 3 3 10 4 2 7 2" xfId="27372" xr:uid="{00000000-0005-0000-0000-0000E36A0000}"/>
    <cellStyle name="Normal 3 3 10 4 2 7 3" xfId="27373" xr:uid="{00000000-0005-0000-0000-0000E46A0000}"/>
    <cellStyle name="Normal 3 3 10 4 2 8" xfId="27374" xr:uid="{00000000-0005-0000-0000-0000E56A0000}"/>
    <cellStyle name="Normal 3 3 10 4 2 8 2" xfId="27375" xr:uid="{00000000-0005-0000-0000-0000E66A0000}"/>
    <cellStyle name="Normal 3 3 10 4 2 8 3" xfId="27376" xr:uid="{00000000-0005-0000-0000-0000E76A0000}"/>
    <cellStyle name="Normal 3 3 10 4 2 9" xfId="27377" xr:uid="{00000000-0005-0000-0000-0000E86A0000}"/>
    <cellStyle name="Normal 3 3 10 4 2 9 2" xfId="27378" xr:uid="{00000000-0005-0000-0000-0000E96A0000}"/>
    <cellStyle name="Normal 3 3 10 4 2 9 3" xfId="27379" xr:uid="{00000000-0005-0000-0000-0000EA6A0000}"/>
    <cellStyle name="Normal 3 3 10 4 3" xfId="27380" xr:uid="{00000000-0005-0000-0000-0000EB6A0000}"/>
    <cellStyle name="Normal 3 3 10 4 3 2" xfId="27381" xr:uid="{00000000-0005-0000-0000-0000EC6A0000}"/>
    <cellStyle name="Normal 3 3 10 4 3 3" xfId="27382" xr:uid="{00000000-0005-0000-0000-0000ED6A0000}"/>
    <cellStyle name="Normal 3 3 10 4 4" xfId="27383" xr:uid="{00000000-0005-0000-0000-0000EE6A0000}"/>
    <cellStyle name="Normal 3 3 10 4 4 2" xfId="27384" xr:uid="{00000000-0005-0000-0000-0000EF6A0000}"/>
    <cellStyle name="Normal 3 3 10 4 4 3" xfId="27385" xr:uid="{00000000-0005-0000-0000-0000F06A0000}"/>
    <cellStyle name="Normal 3 3 10 4 5" xfId="27386" xr:uid="{00000000-0005-0000-0000-0000F16A0000}"/>
    <cellStyle name="Normal 3 3 10 4 5 2" xfId="27387" xr:uid="{00000000-0005-0000-0000-0000F26A0000}"/>
    <cellStyle name="Normal 3 3 10 4 5 3" xfId="27388" xr:uid="{00000000-0005-0000-0000-0000F36A0000}"/>
    <cellStyle name="Normal 3 3 10 4 6" xfId="27389" xr:uid="{00000000-0005-0000-0000-0000F46A0000}"/>
    <cellStyle name="Normal 3 3 10 4 6 2" xfId="27390" xr:uid="{00000000-0005-0000-0000-0000F56A0000}"/>
    <cellStyle name="Normal 3 3 10 4 6 3" xfId="27391" xr:uid="{00000000-0005-0000-0000-0000F66A0000}"/>
    <cellStyle name="Normal 3 3 10 4 7" xfId="27392" xr:uid="{00000000-0005-0000-0000-0000F76A0000}"/>
    <cellStyle name="Normal 3 3 10 4 7 2" xfId="27393" xr:uid="{00000000-0005-0000-0000-0000F86A0000}"/>
    <cellStyle name="Normal 3 3 10 4 7 3" xfId="27394" xr:uid="{00000000-0005-0000-0000-0000F96A0000}"/>
    <cellStyle name="Normal 3 3 10 4 8" xfId="27395" xr:uid="{00000000-0005-0000-0000-0000FA6A0000}"/>
    <cellStyle name="Normal 3 3 10 4 8 2" xfId="27396" xr:uid="{00000000-0005-0000-0000-0000FB6A0000}"/>
    <cellStyle name="Normal 3 3 10 4 8 3" xfId="27397" xr:uid="{00000000-0005-0000-0000-0000FC6A0000}"/>
    <cellStyle name="Normal 3 3 10 4 9" xfId="27398" xr:uid="{00000000-0005-0000-0000-0000FD6A0000}"/>
    <cellStyle name="Normal 3 3 10 4 9 2" xfId="27399" xr:uid="{00000000-0005-0000-0000-0000FE6A0000}"/>
    <cellStyle name="Normal 3 3 10 4 9 3" xfId="27400" xr:uid="{00000000-0005-0000-0000-0000FF6A0000}"/>
    <cellStyle name="Normal 3 3 10 5" xfId="27401" xr:uid="{00000000-0005-0000-0000-0000006B0000}"/>
    <cellStyle name="Normal 3 3 10 5 10" xfId="27402" xr:uid="{00000000-0005-0000-0000-0000016B0000}"/>
    <cellStyle name="Normal 3 3 10 5 10 2" xfId="27403" xr:uid="{00000000-0005-0000-0000-0000026B0000}"/>
    <cellStyle name="Normal 3 3 10 5 10 3" xfId="27404" xr:uid="{00000000-0005-0000-0000-0000036B0000}"/>
    <cellStyle name="Normal 3 3 10 5 11" xfId="27405" xr:uid="{00000000-0005-0000-0000-0000046B0000}"/>
    <cellStyle name="Normal 3 3 10 5 11 2" xfId="27406" xr:uid="{00000000-0005-0000-0000-0000056B0000}"/>
    <cellStyle name="Normal 3 3 10 5 11 3" xfId="27407" xr:uid="{00000000-0005-0000-0000-0000066B0000}"/>
    <cellStyle name="Normal 3 3 10 5 12" xfId="27408" xr:uid="{00000000-0005-0000-0000-0000076B0000}"/>
    <cellStyle name="Normal 3 3 10 5 12 2" xfId="27409" xr:uid="{00000000-0005-0000-0000-0000086B0000}"/>
    <cellStyle name="Normal 3 3 10 5 12 3" xfId="27410" xr:uid="{00000000-0005-0000-0000-0000096B0000}"/>
    <cellStyle name="Normal 3 3 10 5 13" xfId="27411" xr:uid="{00000000-0005-0000-0000-00000A6B0000}"/>
    <cellStyle name="Normal 3 3 10 5 13 2" xfId="27412" xr:uid="{00000000-0005-0000-0000-00000B6B0000}"/>
    <cellStyle name="Normal 3 3 10 5 13 3" xfId="27413" xr:uid="{00000000-0005-0000-0000-00000C6B0000}"/>
    <cellStyle name="Normal 3 3 10 5 14" xfId="27414" xr:uid="{00000000-0005-0000-0000-00000D6B0000}"/>
    <cellStyle name="Normal 3 3 10 5 14 2" xfId="27415" xr:uid="{00000000-0005-0000-0000-00000E6B0000}"/>
    <cellStyle name="Normal 3 3 10 5 14 3" xfId="27416" xr:uid="{00000000-0005-0000-0000-00000F6B0000}"/>
    <cellStyle name="Normal 3 3 10 5 15" xfId="27417" xr:uid="{00000000-0005-0000-0000-0000106B0000}"/>
    <cellStyle name="Normal 3 3 10 5 16" xfId="27418" xr:uid="{00000000-0005-0000-0000-0000116B0000}"/>
    <cellStyle name="Normal 3 3 10 5 2" xfId="27419" xr:uid="{00000000-0005-0000-0000-0000126B0000}"/>
    <cellStyle name="Normal 3 3 10 5 2 2" xfId="27420" xr:uid="{00000000-0005-0000-0000-0000136B0000}"/>
    <cellStyle name="Normal 3 3 10 5 2 3" xfId="27421" xr:uid="{00000000-0005-0000-0000-0000146B0000}"/>
    <cellStyle name="Normal 3 3 10 5 3" xfId="27422" xr:uid="{00000000-0005-0000-0000-0000156B0000}"/>
    <cellStyle name="Normal 3 3 10 5 3 2" xfId="27423" xr:uid="{00000000-0005-0000-0000-0000166B0000}"/>
    <cellStyle name="Normal 3 3 10 5 3 3" xfId="27424" xr:uid="{00000000-0005-0000-0000-0000176B0000}"/>
    <cellStyle name="Normal 3 3 10 5 4" xfId="27425" xr:uid="{00000000-0005-0000-0000-0000186B0000}"/>
    <cellStyle name="Normal 3 3 10 5 4 2" xfId="27426" xr:uid="{00000000-0005-0000-0000-0000196B0000}"/>
    <cellStyle name="Normal 3 3 10 5 4 3" xfId="27427" xr:uid="{00000000-0005-0000-0000-00001A6B0000}"/>
    <cellStyle name="Normal 3 3 10 5 5" xfId="27428" xr:uid="{00000000-0005-0000-0000-00001B6B0000}"/>
    <cellStyle name="Normal 3 3 10 5 5 2" xfId="27429" xr:uid="{00000000-0005-0000-0000-00001C6B0000}"/>
    <cellStyle name="Normal 3 3 10 5 5 3" xfId="27430" xr:uid="{00000000-0005-0000-0000-00001D6B0000}"/>
    <cellStyle name="Normal 3 3 10 5 6" xfId="27431" xr:uid="{00000000-0005-0000-0000-00001E6B0000}"/>
    <cellStyle name="Normal 3 3 10 5 6 2" xfId="27432" xr:uid="{00000000-0005-0000-0000-00001F6B0000}"/>
    <cellStyle name="Normal 3 3 10 5 6 3" xfId="27433" xr:uid="{00000000-0005-0000-0000-0000206B0000}"/>
    <cellStyle name="Normal 3 3 10 5 7" xfId="27434" xr:uid="{00000000-0005-0000-0000-0000216B0000}"/>
    <cellStyle name="Normal 3 3 10 5 7 2" xfId="27435" xr:uid="{00000000-0005-0000-0000-0000226B0000}"/>
    <cellStyle name="Normal 3 3 10 5 7 3" xfId="27436" xr:uid="{00000000-0005-0000-0000-0000236B0000}"/>
    <cellStyle name="Normal 3 3 10 5 8" xfId="27437" xr:uid="{00000000-0005-0000-0000-0000246B0000}"/>
    <cellStyle name="Normal 3 3 10 5 8 2" xfId="27438" xr:uid="{00000000-0005-0000-0000-0000256B0000}"/>
    <cellStyle name="Normal 3 3 10 5 8 3" xfId="27439" xr:uid="{00000000-0005-0000-0000-0000266B0000}"/>
    <cellStyle name="Normal 3 3 10 5 9" xfId="27440" xr:uid="{00000000-0005-0000-0000-0000276B0000}"/>
    <cellStyle name="Normal 3 3 10 5 9 2" xfId="27441" xr:uid="{00000000-0005-0000-0000-0000286B0000}"/>
    <cellStyle name="Normal 3 3 10 5 9 3" xfId="27442" xr:uid="{00000000-0005-0000-0000-0000296B0000}"/>
    <cellStyle name="Normal 3 3 10 6" xfId="27443" xr:uid="{00000000-0005-0000-0000-00002A6B0000}"/>
    <cellStyle name="Normal 3 3 10 6 10" xfId="27444" xr:uid="{00000000-0005-0000-0000-00002B6B0000}"/>
    <cellStyle name="Normal 3 3 10 6 10 2" xfId="27445" xr:uid="{00000000-0005-0000-0000-00002C6B0000}"/>
    <cellStyle name="Normal 3 3 10 6 10 3" xfId="27446" xr:uid="{00000000-0005-0000-0000-00002D6B0000}"/>
    <cellStyle name="Normal 3 3 10 6 11" xfId="27447" xr:uid="{00000000-0005-0000-0000-00002E6B0000}"/>
    <cellStyle name="Normal 3 3 10 6 11 2" xfId="27448" xr:uid="{00000000-0005-0000-0000-00002F6B0000}"/>
    <cellStyle name="Normal 3 3 10 6 11 3" xfId="27449" xr:uid="{00000000-0005-0000-0000-0000306B0000}"/>
    <cellStyle name="Normal 3 3 10 6 12" xfId="27450" xr:uid="{00000000-0005-0000-0000-0000316B0000}"/>
    <cellStyle name="Normal 3 3 10 6 12 2" xfId="27451" xr:uid="{00000000-0005-0000-0000-0000326B0000}"/>
    <cellStyle name="Normal 3 3 10 6 12 3" xfId="27452" xr:uid="{00000000-0005-0000-0000-0000336B0000}"/>
    <cellStyle name="Normal 3 3 10 6 13" xfId="27453" xr:uid="{00000000-0005-0000-0000-0000346B0000}"/>
    <cellStyle name="Normal 3 3 10 6 13 2" xfId="27454" xr:uid="{00000000-0005-0000-0000-0000356B0000}"/>
    <cellStyle name="Normal 3 3 10 6 13 3" xfId="27455" xr:uid="{00000000-0005-0000-0000-0000366B0000}"/>
    <cellStyle name="Normal 3 3 10 6 14" xfId="27456" xr:uid="{00000000-0005-0000-0000-0000376B0000}"/>
    <cellStyle name="Normal 3 3 10 6 14 2" xfId="27457" xr:uid="{00000000-0005-0000-0000-0000386B0000}"/>
    <cellStyle name="Normal 3 3 10 6 14 3" xfId="27458" xr:uid="{00000000-0005-0000-0000-0000396B0000}"/>
    <cellStyle name="Normal 3 3 10 6 15" xfId="27459" xr:uid="{00000000-0005-0000-0000-00003A6B0000}"/>
    <cellStyle name="Normal 3 3 10 6 16" xfId="27460" xr:uid="{00000000-0005-0000-0000-00003B6B0000}"/>
    <cellStyle name="Normal 3 3 10 6 2" xfId="27461" xr:uid="{00000000-0005-0000-0000-00003C6B0000}"/>
    <cellStyle name="Normal 3 3 10 6 2 2" xfId="27462" xr:uid="{00000000-0005-0000-0000-00003D6B0000}"/>
    <cellStyle name="Normal 3 3 10 6 2 3" xfId="27463" xr:uid="{00000000-0005-0000-0000-00003E6B0000}"/>
    <cellStyle name="Normal 3 3 10 6 3" xfId="27464" xr:uid="{00000000-0005-0000-0000-00003F6B0000}"/>
    <cellStyle name="Normal 3 3 10 6 3 2" xfId="27465" xr:uid="{00000000-0005-0000-0000-0000406B0000}"/>
    <cellStyle name="Normal 3 3 10 6 3 3" xfId="27466" xr:uid="{00000000-0005-0000-0000-0000416B0000}"/>
    <cellStyle name="Normal 3 3 10 6 4" xfId="27467" xr:uid="{00000000-0005-0000-0000-0000426B0000}"/>
    <cellStyle name="Normal 3 3 10 6 4 2" xfId="27468" xr:uid="{00000000-0005-0000-0000-0000436B0000}"/>
    <cellStyle name="Normal 3 3 10 6 4 3" xfId="27469" xr:uid="{00000000-0005-0000-0000-0000446B0000}"/>
    <cellStyle name="Normal 3 3 10 6 5" xfId="27470" xr:uid="{00000000-0005-0000-0000-0000456B0000}"/>
    <cellStyle name="Normal 3 3 10 6 5 2" xfId="27471" xr:uid="{00000000-0005-0000-0000-0000466B0000}"/>
    <cellStyle name="Normal 3 3 10 6 5 3" xfId="27472" xr:uid="{00000000-0005-0000-0000-0000476B0000}"/>
    <cellStyle name="Normal 3 3 10 6 6" xfId="27473" xr:uid="{00000000-0005-0000-0000-0000486B0000}"/>
    <cellStyle name="Normal 3 3 10 6 6 2" xfId="27474" xr:uid="{00000000-0005-0000-0000-0000496B0000}"/>
    <cellStyle name="Normal 3 3 10 6 6 3" xfId="27475" xr:uid="{00000000-0005-0000-0000-00004A6B0000}"/>
    <cellStyle name="Normal 3 3 10 6 7" xfId="27476" xr:uid="{00000000-0005-0000-0000-00004B6B0000}"/>
    <cellStyle name="Normal 3 3 10 6 7 2" xfId="27477" xr:uid="{00000000-0005-0000-0000-00004C6B0000}"/>
    <cellStyle name="Normal 3 3 10 6 7 3" xfId="27478" xr:uid="{00000000-0005-0000-0000-00004D6B0000}"/>
    <cellStyle name="Normal 3 3 10 6 8" xfId="27479" xr:uid="{00000000-0005-0000-0000-00004E6B0000}"/>
    <cellStyle name="Normal 3 3 10 6 8 2" xfId="27480" xr:uid="{00000000-0005-0000-0000-00004F6B0000}"/>
    <cellStyle name="Normal 3 3 10 6 8 3" xfId="27481" xr:uid="{00000000-0005-0000-0000-0000506B0000}"/>
    <cellStyle name="Normal 3 3 10 6 9" xfId="27482" xr:uid="{00000000-0005-0000-0000-0000516B0000}"/>
    <cellStyle name="Normal 3 3 10 6 9 2" xfId="27483" xr:uid="{00000000-0005-0000-0000-0000526B0000}"/>
    <cellStyle name="Normal 3 3 10 6 9 3" xfId="27484" xr:uid="{00000000-0005-0000-0000-0000536B0000}"/>
    <cellStyle name="Normal 3 3 10 7" xfId="27485" xr:uid="{00000000-0005-0000-0000-0000546B0000}"/>
    <cellStyle name="Normal 3 3 10 7 10" xfId="27486" xr:uid="{00000000-0005-0000-0000-0000556B0000}"/>
    <cellStyle name="Normal 3 3 10 7 10 2" xfId="27487" xr:uid="{00000000-0005-0000-0000-0000566B0000}"/>
    <cellStyle name="Normal 3 3 10 7 10 3" xfId="27488" xr:uid="{00000000-0005-0000-0000-0000576B0000}"/>
    <cellStyle name="Normal 3 3 10 7 11" xfId="27489" xr:uid="{00000000-0005-0000-0000-0000586B0000}"/>
    <cellStyle name="Normal 3 3 10 7 11 2" xfId="27490" xr:uid="{00000000-0005-0000-0000-0000596B0000}"/>
    <cellStyle name="Normal 3 3 10 7 11 3" xfId="27491" xr:uid="{00000000-0005-0000-0000-00005A6B0000}"/>
    <cellStyle name="Normal 3 3 10 7 12" xfId="27492" xr:uid="{00000000-0005-0000-0000-00005B6B0000}"/>
    <cellStyle name="Normal 3 3 10 7 12 2" xfId="27493" xr:uid="{00000000-0005-0000-0000-00005C6B0000}"/>
    <cellStyle name="Normal 3 3 10 7 12 3" xfId="27494" xr:uid="{00000000-0005-0000-0000-00005D6B0000}"/>
    <cellStyle name="Normal 3 3 10 7 13" xfId="27495" xr:uid="{00000000-0005-0000-0000-00005E6B0000}"/>
    <cellStyle name="Normal 3 3 10 7 13 2" xfId="27496" xr:uid="{00000000-0005-0000-0000-00005F6B0000}"/>
    <cellStyle name="Normal 3 3 10 7 13 3" xfId="27497" xr:uid="{00000000-0005-0000-0000-0000606B0000}"/>
    <cellStyle name="Normal 3 3 10 7 14" xfId="27498" xr:uid="{00000000-0005-0000-0000-0000616B0000}"/>
    <cellStyle name="Normal 3 3 10 7 14 2" xfId="27499" xr:uid="{00000000-0005-0000-0000-0000626B0000}"/>
    <cellStyle name="Normal 3 3 10 7 14 3" xfId="27500" xr:uid="{00000000-0005-0000-0000-0000636B0000}"/>
    <cellStyle name="Normal 3 3 10 7 15" xfId="27501" xr:uid="{00000000-0005-0000-0000-0000646B0000}"/>
    <cellStyle name="Normal 3 3 10 7 16" xfId="27502" xr:uid="{00000000-0005-0000-0000-0000656B0000}"/>
    <cellStyle name="Normal 3 3 10 7 2" xfId="27503" xr:uid="{00000000-0005-0000-0000-0000666B0000}"/>
    <cellStyle name="Normal 3 3 10 7 2 2" xfId="27504" xr:uid="{00000000-0005-0000-0000-0000676B0000}"/>
    <cellStyle name="Normal 3 3 10 7 2 3" xfId="27505" xr:uid="{00000000-0005-0000-0000-0000686B0000}"/>
    <cellStyle name="Normal 3 3 10 7 3" xfId="27506" xr:uid="{00000000-0005-0000-0000-0000696B0000}"/>
    <cellStyle name="Normal 3 3 10 7 3 2" xfId="27507" xr:uid="{00000000-0005-0000-0000-00006A6B0000}"/>
    <cellStyle name="Normal 3 3 10 7 3 3" xfId="27508" xr:uid="{00000000-0005-0000-0000-00006B6B0000}"/>
    <cellStyle name="Normal 3 3 10 7 4" xfId="27509" xr:uid="{00000000-0005-0000-0000-00006C6B0000}"/>
    <cellStyle name="Normal 3 3 10 7 4 2" xfId="27510" xr:uid="{00000000-0005-0000-0000-00006D6B0000}"/>
    <cellStyle name="Normal 3 3 10 7 4 3" xfId="27511" xr:uid="{00000000-0005-0000-0000-00006E6B0000}"/>
    <cellStyle name="Normal 3 3 10 7 5" xfId="27512" xr:uid="{00000000-0005-0000-0000-00006F6B0000}"/>
    <cellStyle name="Normal 3 3 10 7 5 2" xfId="27513" xr:uid="{00000000-0005-0000-0000-0000706B0000}"/>
    <cellStyle name="Normal 3 3 10 7 5 3" xfId="27514" xr:uid="{00000000-0005-0000-0000-0000716B0000}"/>
    <cellStyle name="Normal 3 3 10 7 6" xfId="27515" xr:uid="{00000000-0005-0000-0000-0000726B0000}"/>
    <cellStyle name="Normal 3 3 10 7 6 2" xfId="27516" xr:uid="{00000000-0005-0000-0000-0000736B0000}"/>
    <cellStyle name="Normal 3 3 10 7 6 3" xfId="27517" xr:uid="{00000000-0005-0000-0000-0000746B0000}"/>
    <cellStyle name="Normal 3 3 10 7 7" xfId="27518" xr:uid="{00000000-0005-0000-0000-0000756B0000}"/>
    <cellStyle name="Normal 3 3 10 7 7 2" xfId="27519" xr:uid="{00000000-0005-0000-0000-0000766B0000}"/>
    <cellStyle name="Normal 3 3 10 7 7 3" xfId="27520" xr:uid="{00000000-0005-0000-0000-0000776B0000}"/>
    <cellStyle name="Normal 3 3 10 7 8" xfId="27521" xr:uid="{00000000-0005-0000-0000-0000786B0000}"/>
    <cellStyle name="Normal 3 3 10 7 8 2" xfId="27522" xr:uid="{00000000-0005-0000-0000-0000796B0000}"/>
    <cellStyle name="Normal 3 3 10 7 8 3" xfId="27523" xr:uid="{00000000-0005-0000-0000-00007A6B0000}"/>
    <cellStyle name="Normal 3 3 10 7 9" xfId="27524" xr:uid="{00000000-0005-0000-0000-00007B6B0000}"/>
    <cellStyle name="Normal 3 3 10 7 9 2" xfId="27525" xr:uid="{00000000-0005-0000-0000-00007C6B0000}"/>
    <cellStyle name="Normal 3 3 10 7 9 3" xfId="27526" xr:uid="{00000000-0005-0000-0000-00007D6B0000}"/>
    <cellStyle name="Normal 3 3 10 8" xfId="27527" xr:uid="{00000000-0005-0000-0000-00007E6B0000}"/>
    <cellStyle name="Normal 3 3 10 8 10" xfId="27528" xr:uid="{00000000-0005-0000-0000-00007F6B0000}"/>
    <cellStyle name="Normal 3 3 10 8 10 2" xfId="27529" xr:uid="{00000000-0005-0000-0000-0000806B0000}"/>
    <cellStyle name="Normal 3 3 10 8 10 3" xfId="27530" xr:uid="{00000000-0005-0000-0000-0000816B0000}"/>
    <cellStyle name="Normal 3 3 10 8 11" xfId="27531" xr:uid="{00000000-0005-0000-0000-0000826B0000}"/>
    <cellStyle name="Normal 3 3 10 8 11 2" xfId="27532" xr:uid="{00000000-0005-0000-0000-0000836B0000}"/>
    <cellStyle name="Normal 3 3 10 8 11 3" xfId="27533" xr:uid="{00000000-0005-0000-0000-0000846B0000}"/>
    <cellStyle name="Normal 3 3 10 8 12" xfId="27534" xr:uid="{00000000-0005-0000-0000-0000856B0000}"/>
    <cellStyle name="Normal 3 3 10 8 12 2" xfId="27535" xr:uid="{00000000-0005-0000-0000-0000866B0000}"/>
    <cellStyle name="Normal 3 3 10 8 12 3" xfId="27536" xr:uid="{00000000-0005-0000-0000-0000876B0000}"/>
    <cellStyle name="Normal 3 3 10 8 13" xfId="27537" xr:uid="{00000000-0005-0000-0000-0000886B0000}"/>
    <cellStyle name="Normal 3 3 10 8 13 2" xfId="27538" xr:uid="{00000000-0005-0000-0000-0000896B0000}"/>
    <cellStyle name="Normal 3 3 10 8 13 3" xfId="27539" xr:uid="{00000000-0005-0000-0000-00008A6B0000}"/>
    <cellStyle name="Normal 3 3 10 8 14" xfId="27540" xr:uid="{00000000-0005-0000-0000-00008B6B0000}"/>
    <cellStyle name="Normal 3 3 10 8 14 2" xfId="27541" xr:uid="{00000000-0005-0000-0000-00008C6B0000}"/>
    <cellStyle name="Normal 3 3 10 8 14 3" xfId="27542" xr:uid="{00000000-0005-0000-0000-00008D6B0000}"/>
    <cellStyle name="Normal 3 3 10 8 15" xfId="27543" xr:uid="{00000000-0005-0000-0000-00008E6B0000}"/>
    <cellStyle name="Normal 3 3 10 8 16" xfId="27544" xr:uid="{00000000-0005-0000-0000-00008F6B0000}"/>
    <cellStyle name="Normal 3 3 10 8 2" xfId="27545" xr:uid="{00000000-0005-0000-0000-0000906B0000}"/>
    <cellStyle name="Normal 3 3 10 8 2 2" xfId="27546" xr:uid="{00000000-0005-0000-0000-0000916B0000}"/>
    <cellStyle name="Normal 3 3 10 8 2 3" xfId="27547" xr:uid="{00000000-0005-0000-0000-0000926B0000}"/>
    <cellStyle name="Normal 3 3 10 8 3" xfId="27548" xr:uid="{00000000-0005-0000-0000-0000936B0000}"/>
    <cellStyle name="Normal 3 3 10 8 3 2" xfId="27549" xr:uid="{00000000-0005-0000-0000-0000946B0000}"/>
    <cellStyle name="Normal 3 3 10 8 3 3" xfId="27550" xr:uid="{00000000-0005-0000-0000-0000956B0000}"/>
    <cellStyle name="Normal 3 3 10 8 4" xfId="27551" xr:uid="{00000000-0005-0000-0000-0000966B0000}"/>
    <cellStyle name="Normal 3 3 10 8 4 2" xfId="27552" xr:uid="{00000000-0005-0000-0000-0000976B0000}"/>
    <cellStyle name="Normal 3 3 10 8 4 3" xfId="27553" xr:uid="{00000000-0005-0000-0000-0000986B0000}"/>
    <cellStyle name="Normal 3 3 10 8 5" xfId="27554" xr:uid="{00000000-0005-0000-0000-0000996B0000}"/>
    <cellStyle name="Normal 3 3 10 8 5 2" xfId="27555" xr:uid="{00000000-0005-0000-0000-00009A6B0000}"/>
    <cellStyle name="Normal 3 3 10 8 5 3" xfId="27556" xr:uid="{00000000-0005-0000-0000-00009B6B0000}"/>
    <cellStyle name="Normal 3 3 10 8 6" xfId="27557" xr:uid="{00000000-0005-0000-0000-00009C6B0000}"/>
    <cellStyle name="Normal 3 3 10 8 6 2" xfId="27558" xr:uid="{00000000-0005-0000-0000-00009D6B0000}"/>
    <cellStyle name="Normal 3 3 10 8 6 3" xfId="27559" xr:uid="{00000000-0005-0000-0000-00009E6B0000}"/>
    <cellStyle name="Normal 3 3 10 8 7" xfId="27560" xr:uid="{00000000-0005-0000-0000-00009F6B0000}"/>
    <cellStyle name="Normal 3 3 10 8 7 2" xfId="27561" xr:uid="{00000000-0005-0000-0000-0000A06B0000}"/>
    <cellStyle name="Normal 3 3 10 8 7 3" xfId="27562" xr:uid="{00000000-0005-0000-0000-0000A16B0000}"/>
    <cellStyle name="Normal 3 3 10 8 8" xfId="27563" xr:uid="{00000000-0005-0000-0000-0000A26B0000}"/>
    <cellStyle name="Normal 3 3 10 8 8 2" xfId="27564" xr:uid="{00000000-0005-0000-0000-0000A36B0000}"/>
    <cellStyle name="Normal 3 3 10 8 8 3" xfId="27565" xr:uid="{00000000-0005-0000-0000-0000A46B0000}"/>
    <cellStyle name="Normal 3 3 10 8 9" xfId="27566" xr:uid="{00000000-0005-0000-0000-0000A56B0000}"/>
    <cellStyle name="Normal 3 3 10 8 9 2" xfId="27567" xr:uid="{00000000-0005-0000-0000-0000A66B0000}"/>
    <cellStyle name="Normal 3 3 10 8 9 3" xfId="27568" xr:uid="{00000000-0005-0000-0000-0000A76B0000}"/>
    <cellStyle name="Normal 3 3 10 9" xfId="27569" xr:uid="{00000000-0005-0000-0000-0000A86B0000}"/>
    <cellStyle name="Normal 3 3 10 9 10" xfId="27570" xr:uid="{00000000-0005-0000-0000-0000A96B0000}"/>
    <cellStyle name="Normal 3 3 10 9 10 2" xfId="27571" xr:uid="{00000000-0005-0000-0000-0000AA6B0000}"/>
    <cellStyle name="Normal 3 3 10 9 10 3" xfId="27572" xr:uid="{00000000-0005-0000-0000-0000AB6B0000}"/>
    <cellStyle name="Normal 3 3 10 9 11" xfId="27573" xr:uid="{00000000-0005-0000-0000-0000AC6B0000}"/>
    <cellStyle name="Normal 3 3 10 9 11 2" xfId="27574" xr:uid="{00000000-0005-0000-0000-0000AD6B0000}"/>
    <cellStyle name="Normal 3 3 10 9 11 3" xfId="27575" xr:uid="{00000000-0005-0000-0000-0000AE6B0000}"/>
    <cellStyle name="Normal 3 3 10 9 12" xfId="27576" xr:uid="{00000000-0005-0000-0000-0000AF6B0000}"/>
    <cellStyle name="Normal 3 3 10 9 12 2" xfId="27577" xr:uid="{00000000-0005-0000-0000-0000B06B0000}"/>
    <cellStyle name="Normal 3 3 10 9 12 3" xfId="27578" xr:uid="{00000000-0005-0000-0000-0000B16B0000}"/>
    <cellStyle name="Normal 3 3 10 9 13" xfId="27579" xr:uid="{00000000-0005-0000-0000-0000B26B0000}"/>
    <cellStyle name="Normal 3 3 10 9 13 2" xfId="27580" xr:uid="{00000000-0005-0000-0000-0000B36B0000}"/>
    <cellStyle name="Normal 3 3 10 9 13 3" xfId="27581" xr:uid="{00000000-0005-0000-0000-0000B46B0000}"/>
    <cellStyle name="Normal 3 3 10 9 14" xfId="27582" xr:uid="{00000000-0005-0000-0000-0000B56B0000}"/>
    <cellStyle name="Normal 3 3 10 9 14 2" xfId="27583" xr:uid="{00000000-0005-0000-0000-0000B66B0000}"/>
    <cellStyle name="Normal 3 3 10 9 14 3" xfId="27584" xr:uid="{00000000-0005-0000-0000-0000B76B0000}"/>
    <cellStyle name="Normal 3 3 10 9 15" xfId="27585" xr:uid="{00000000-0005-0000-0000-0000B86B0000}"/>
    <cellStyle name="Normal 3 3 10 9 16" xfId="27586" xr:uid="{00000000-0005-0000-0000-0000B96B0000}"/>
    <cellStyle name="Normal 3 3 10 9 2" xfId="27587" xr:uid="{00000000-0005-0000-0000-0000BA6B0000}"/>
    <cellStyle name="Normal 3 3 10 9 2 2" xfId="27588" xr:uid="{00000000-0005-0000-0000-0000BB6B0000}"/>
    <cellStyle name="Normal 3 3 10 9 2 3" xfId="27589" xr:uid="{00000000-0005-0000-0000-0000BC6B0000}"/>
    <cellStyle name="Normal 3 3 10 9 3" xfId="27590" xr:uid="{00000000-0005-0000-0000-0000BD6B0000}"/>
    <cellStyle name="Normal 3 3 10 9 3 2" xfId="27591" xr:uid="{00000000-0005-0000-0000-0000BE6B0000}"/>
    <cellStyle name="Normal 3 3 10 9 3 3" xfId="27592" xr:uid="{00000000-0005-0000-0000-0000BF6B0000}"/>
    <cellStyle name="Normal 3 3 10 9 4" xfId="27593" xr:uid="{00000000-0005-0000-0000-0000C06B0000}"/>
    <cellStyle name="Normal 3 3 10 9 4 2" xfId="27594" xr:uid="{00000000-0005-0000-0000-0000C16B0000}"/>
    <cellStyle name="Normal 3 3 10 9 4 3" xfId="27595" xr:uid="{00000000-0005-0000-0000-0000C26B0000}"/>
    <cellStyle name="Normal 3 3 10 9 5" xfId="27596" xr:uid="{00000000-0005-0000-0000-0000C36B0000}"/>
    <cellStyle name="Normal 3 3 10 9 5 2" xfId="27597" xr:uid="{00000000-0005-0000-0000-0000C46B0000}"/>
    <cellStyle name="Normal 3 3 10 9 5 3" xfId="27598" xr:uid="{00000000-0005-0000-0000-0000C56B0000}"/>
    <cellStyle name="Normal 3 3 10 9 6" xfId="27599" xr:uid="{00000000-0005-0000-0000-0000C66B0000}"/>
    <cellStyle name="Normal 3 3 10 9 6 2" xfId="27600" xr:uid="{00000000-0005-0000-0000-0000C76B0000}"/>
    <cellStyle name="Normal 3 3 10 9 6 3" xfId="27601" xr:uid="{00000000-0005-0000-0000-0000C86B0000}"/>
    <cellStyle name="Normal 3 3 10 9 7" xfId="27602" xr:uid="{00000000-0005-0000-0000-0000C96B0000}"/>
    <cellStyle name="Normal 3 3 10 9 7 2" xfId="27603" xr:uid="{00000000-0005-0000-0000-0000CA6B0000}"/>
    <cellStyle name="Normal 3 3 10 9 7 3" xfId="27604" xr:uid="{00000000-0005-0000-0000-0000CB6B0000}"/>
    <cellStyle name="Normal 3 3 10 9 8" xfId="27605" xr:uid="{00000000-0005-0000-0000-0000CC6B0000}"/>
    <cellStyle name="Normal 3 3 10 9 8 2" xfId="27606" xr:uid="{00000000-0005-0000-0000-0000CD6B0000}"/>
    <cellStyle name="Normal 3 3 10 9 8 3" xfId="27607" xr:uid="{00000000-0005-0000-0000-0000CE6B0000}"/>
    <cellStyle name="Normal 3 3 10 9 9" xfId="27608" xr:uid="{00000000-0005-0000-0000-0000CF6B0000}"/>
    <cellStyle name="Normal 3 3 10 9 9 2" xfId="27609" xr:uid="{00000000-0005-0000-0000-0000D06B0000}"/>
    <cellStyle name="Normal 3 3 10 9 9 3" xfId="27610" xr:uid="{00000000-0005-0000-0000-0000D16B0000}"/>
    <cellStyle name="Normal 3 3 11" xfId="27611" xr:uid="{00000000-0005-0000-0000-0000D26B0000}"/>
    <cellStyle name="Normal 3 3 11 10" xfId="27612" xr:uid="{00000000-0005-0000-0000-0000D36B0000}"/>
    <cellStyle name="Normal 3 3 11 10 10" xfId="27613" xr:uid="{00000000-0005-0000-0000-0000D46B0000}"/>
    <cellStyle name="Normal 3 3 11 10 10 2" xfId="27614" xr:uid="{00000000-0005-0000-0000-0000D56B0000}"/>
    <cellStyle name="Normal 3 3 11 10 10 3" xfId="27615" xr:uid="{00000000-0005-0000-0000-0000D66B0000}"/>
    <cellStyle name="Normal 3 3 11 10 11" xfId="27616" xr:uid="{00000000-0005-0000-0000-0000D76B0000}"/>
    <cellStyle name="Normal 3 3 11 10 11 2" xfId="27617" xr:uid="{00000000-0005-0000-0000-0000D86B0000}"/>
    <cellStyle name="Normal 3 3 11 10 11 3" xfId="27618" xr:uid="{00000000-0005-0000-0000-0000D96B0000}"/>
    <cellStyle name="Normal 3 3 11 10 12" xfId="27619" xr:uid="{00000000-0005-0000-0000-0000DA6B0000}"/>
    <cellStyle name="Normal 3 3 11 10 12 2" xfId="27620" xr:uid="{00000000-0005-0000-0000-0000DB6B0000}"/>
    <cellStyle name="Normal 3 3 11 10 12 3" xfId="27621" xr:uid="{00000000-0005-0000-0000-0000DC6B0000}"/>
    <cellStyle name="Normal 3 3 11 10 13" xfId="27622" xr:uid="{00000000-0005-0000-0000-0000DD6B0000}"/>
    <cellStyle name="Normal 3 3 11 10 13 2" xfId="27623" xr:uid="{00000000-0005-0000-0000-0000DE6B0000}"/>
    <cellStyle name="Normal 3 3 11 10 13 3" xfId="27624" xr:uid="{00000000-0005-0000-0000-0000DF6B0000}"/>
    <cellStyle name="Normal 3 3 11 10 14" xfId="27625" xr:uid="{00000000-0005-0000-0000-0000E06B0000}"/>
    <cellStyle name="Normal 3 3 11 10 14 2" xfId="27626" xr:uid="{00000000-0005-0000-0000-0000E16B0000}"/>
    <cellStyle name="Normal 3 3 11 10 14 3" xfId="27627" xr:uid="{00000000-0005-0000-0000-0000E26B0000}"/>
    <cellStyle name="Normal 3 3 11 10 15" xfId="27628" xr:uid="{00000000-0005-0000-0000-0000E36B0000}"/>
    <cellStyle name="Normal 3 3 11 10 16" xfId="27629" xr:uid="{00000000-0005-0000-0000-0000E46B0000}"/>
    <cellStyle name="Normal 3 3 11 10 2" xfId="27630" xr:uid="{00000000-0005-0000-0000-0000E56B0000}"/>
    <cellStyle name="Normal 3 3 11 10 2 2" xfId="27631" xr:uid="{00000000-0005-0000-0000-0000E66B0000}"/>
    <cellStyle name="Normal 3 3 11 10 2 3" xfId="27632" xr:uid="{00000000-0005-0000-0000-0000E76B0000}"/>
    <cellStyle name="Normal 3 3 11 10 3" xfId="27633" xr:uid="{00000000-0005-0000-0000-0000E86B0000}"/>
    <cellStyle name="Normal 3 3 11 10 3 2" xfId="27634" xr:uid="{00000000-0005-0000-0000-0000E96B0000}"/>
    <cellStyle name="Normal 3 3 11 10 3 3" xfId="27635" xr:uid="{00000000-0005-0000-0000-0000EA6B0000}"/>
    <cellStyle name="Normal 3 3 11 10 4" xfId="27636" xr:uid="{00000000-0005-0000-0000-0000EB6B0000}"/>
    <cellStyle name="Normal 3 3 11 10 4 2" xfId="27637" xr:uid="{00000000-0005-0000-0000-0000EC6B0000}"/>
    <cellStyle name="Normal 3 3 11 10 4 3" xfId="27638" xr:uid="{00000000-0005-0000-0000-0000ED6B0000}"/>
    <cellStyle name="Normal 3 3 11 10 5" xfId="27639" xr:uid="{00000000-0005-0000-0000-0000EE6B0000}"/>
    <cellStyle name="Normal 3 3 11 10 5 2" xfId="27640" xr:uid="{00000000-0005-0000-0000-0000EF6B0000}"/>
    <cellStyle name="Normal 3 3 11 10 5 3" xfId="27641" xr:uid="{00000000-0005-0000-0000-0000F06B0000}"/>
    <cellStyle name="Normal 3 3 11 10 6" xfId="27642" xr:uid="{00000000-0005-0000-0000-0000F16B0000}"/>
    <cellStyle name="Normal 3 3 11 10 6 2" xfId="27643" xr:uid="{00000000-0005-0000-0000-0000F26B0000}"/>
    <cellStyle name="Normal 3 3 11 10 6 3" xfId="27644" xr:uid="{00000000-0005-0000-0000-0000F36B0000}"/>
    <cellStyle name="Normal 3 3 11 10 7" xfId="27645" xr:uid="{00000000-0005-0000-0000-0000F46B0000}"/>
    <cellStyle name="Normal 3 3 11 10 7 2" xfId="27646" xr:uid="{00000000-0005-0000-0000-0000F56B0000}"/>
    <cellStyle name="Normal 3 3 11 10 7 3" xfId="27647" xr:uid="{00000000-0005-0000-0000-0000F66B0000}"/>
    <cellStyle name="Normal 3 3 11 10 8" xfId="27648" xr:uid="{00000000-0005-0000-0000-0000F76B0000}"/>
    <cellStyle name="Normal 3 3 11 10 8 2" xfId="27649" xr:uid="{00000000-0005-0000-0000-0000F86B0000}"/>
    <cellStyle name="Normal 3 3 11 10 8 3" xfId="27650" xr:uid="{00000000-0005-0000-0000-0000F96B0000}"/>
    <cellStyle name="Normal 3 3 11 10 9" xfId="27651" xr:uid="{00000000-0005-0000-0000-0000FA6B0000}"/>
    <cellStyle name="Normal 3 3 11 10 9 2" xfId="27652" xr:uid="{00000000-0005-0000-0000-0000FB6B0000}"/>
    <cellStyle name="Normal 3 3 11 10 9 3" xfId="27653" xr:uid="{00000000-0005-0000-0000-0000FC6B0000}"/>
    <cellStyle name="Normal 3 3 11 11" xfId="27654" xr:uid="{00000000-0005-0000-0000-0000FD6B0000}"/>
    <cellStyle name="Normal 3 3 11 11 2" xfId="27655" xr:uid="{00000000-0005-0000-0000-0000FE6B0000}"/>
    <cellStyle name="Normal 3 3 11 11 3" xfId="27656" xr:uid="{00000000-0005-0000-0000-0000FF6B0000}"/>
    <cellStyle name="Normal 3 3 11 12" xfId="27657" xr:uid="{00000000-0005-0000-0000-0000006C0000}"/>
    <cellStyle name="Normal 3 3 11 12 2" xfId="27658" xr:uid="{00000000-0005-0000-0000-0000016C0000}"/>
    <cellStyle name="Normal 3 3 11 12 3" xfId="27659" xr:uid="{00000000-0005-0000-0000-0000026C0000}"/>
    <cellStyle name="Normal 3 3 11 13" xfId="27660" xr:uid="{00000000-0005-0000-0000-0000036C0000}"/>
    <cellStyle name="Normal 3 3 11 13 2" xfId="27661" xr:uid="{00000000-0005-0000-0000-0000046C0000}"/>
    <cellStyle name="Normal 3 3 11 13 3" xfId="27662" xr:uid="{00000000-0005-0000-0000-0000056C0000}"/>
    <cellStyle name="Normal 3 3 11 14" xfId="27663" xr:uid="{00000000-0005-0000-0000-0000066C0000}"/>
    <cellStyle name="Normal 3 3 11 14 2" xfId="27664" xr:uid="{00000000-0005-0000-0000-0000076C0000}"/>
    <cellStyle name="Normal 3 3 11 14 3" xfId="27665" xr:uid="{00000000-0005-0000-0000-0000086C0000}"/>
    <cellStyle name="Normal 3 3 11 15" xfId="27666" xr:uid="{00000000-0005-0000-0000-0000096C0000}"/>
    <cellStyle name="Normal 3 3 11 15 2" xfId="27667" xr:uid="{00000000-0005-0000-0000-00000A6C0000}"/>
    <cellStyle name="Normal 3 3 11 15 3" xfId="27668" xr:uid="{00000000-0005-0000-0000-00000B6C0000}"/>
    <cellStyle name="Normal 3 3 11 16" xfId="27669" xr:uid="{00000000-0005-0000-0000-00000C6C0000}"/>
    <cellStyle name="Normal 3 3 11 16 2" xfId="27670" xr:uid="{00000000-0005-0000-0000-00000D6C0000}"/>
    <cellStyle name="Normal 3 3 11 16 3" xfId="27671" xr:uid="{00000000-0005-0000-0000-00000E6C0000}"/>
    <cellStyle name="Normal 3 3 11 17" xfId="27672" xr:uid="{00000000-0005-0000-0000-00000F6C0000}"/>
    <cellStyle name="Normal 3 3 11 17 2" xfId="27673" xr:uid="{00000000-0005-0000-0000-0000106C0000}"/>
    <cellStyle name="Normal 3 3 11 17 3" xfId="27674" xr:uid="{00000000-0005-0000-0000-0000116C0000}"/>
    <cellStyle name="Normal 3 3 11 18" xfId="27675" xr:uid="{00000000-0005-0000-0000-0000126C0000}"/>
    <cellStyle name="Normal 3 3 11 18 2" xfId="27676" xr:uid="{00000000-0005-0000-0000-0000136C0000}"/>
    <cellStyle name="Normal 3 3 11 18 3" xfId="27677" xr:uid="{00000000-0005-0000-0000-0000146C0000}"/>
    <cellStyle name="Normal 3 3 11 19" xfId="27678" xr:uid="{00000000-0005-0000-0000-0000156C0000}"/>
    <cellStyle name="Normal 3 3 11 19 2" xfId="27679" xr:uid="{00000000-0005-0000-0000-0000166C0000}"/>
    <cellStyle name="Normal 3 3 11 19 3" xfId="27680" xr:uid="{00000000-0005-0000-0000-0000176C0000}"/>
    <cellStyle name="Normal 3 3 11 2" xfId="27681" xr:uid="{00000000-0005-0000-0000-0000186C0000}"/>
    <cellStyle name="Normal 3 3 11 2 10" xfId="27682" xr:uid="{00000000-0005-0000-0000-0000196C0000}"/>
    <cellStyle name="Normal 3 3 11 2 10 2" xfId="27683" xr:uid="{00000000-0005-0000-0000-00001A6C0000}"/>
    <cellStyle name="Normal 3 3 11 2 10 3" xfId="27684" xr:uid="{00000000-0005-0000-0000-00001B6C0000}"/>
    <cellStyle name="Normal 3 3 11 2 11" xfId="27685" xr:uid="{00000000-0005-0000-0000-00001C6C0000}"/>
    <cellStyle name="Normal 3 3 11 2 11 2" xfId="27686" xr:uid="{00000000-0005-0000-0000-00001D6C0000}"/>
    <cellStyle name="Normal 3 3 11 2 11 3" xfId="27687" xr:uid="{00000000-0005-0000-0000-00001E6C0000}"/>
    <cellStyle name="Normal 3 3 11 2 12" xfId="27688" xr:uid="{00000000-0005-0000-0000-00001F6C0000}"/>
    <cellStyle name="Normal 3 3 11 2 12 2" xfId="27689" xr:uid="{00000000-0005-0000-0000-0000206C0000}"/>
    <cellStyle name="Normal 3 3 11 2 12 3" xfId="27690" xr:uid="{00000000-0005-0000-0000-0000216C0000}"/>
    <cellStyle name="Normal 3 3 11 2 13" xfId="27691" xr:uid="{00000000-0005-0000-0000-0000226C0000}"/>
    <cellStyle name="Normal 3 3 11 2 13 2" xfId="27692" xr:uid="{00000000-0005-0000-0000-0000236C0000}"/>
    <cellStyle name="Normal 3 3 11 2 13 3" xfId="27693" xr:uid="{00000000-0005-0000-0000-0000246C0000}"/>
    <cellStyle name="Normal 3 3 11 2 14" xfId="27694" xr:uid="{00000000-0005-0000-0000-0000256C0000}"/>
    <cellStyle name="Normal 3 3 11 2 14 2" xfId="27695" xr:uid="{00000000-0005-0000-0000-0000266C0000}"/>
    <cellStyle name="Normal 3 3 11 2 14 3" xfId="27696" xr:uid="{00000000-0005-0000-0000-0000276C0000}"/>
    <cellStyle name="Normal 3 3 11 2 15" xfId="27697" xr:uid="{00000000-0005-0000-0000-0000286C0000}"/>
    <cellStyle name="Normal 3 3 11 2 15 2" xfId="27698" xr:uid="{00000000-0005-0000-0000-0000296C0000}"/>
    <cellStyle name="Normal 3 3 11 2 15 3" xfId="27699" xr:uid="{00000000-0005-0000-0000-00002A6C0000}"/>
    <cellStyle name="Normal 3 3 11 2 16" xfId="27700" xr:uid="{00000000-0005-0000-0000-00002B6C0000}"/>
    <cellStyle name="Normal 3 3 11 2 17" xfId="27701" xr:uid="{00000000-0005-0000-0000-00002C6C0000}"/>
    <cellStyle name="Normal 3 3 11 2 2" xfId="27702" xr:uid="{00000000-0005-0000-0000-00002D6C0000}"/>
    <cellStyle name="Normal 3 3 11 2 2 10" xfId="27703" xr:uid="{00000000-0005-0000-0000-00002E6C0000}"/>
    <cellStyle name="Normal 3 3 11 2 2 10 2" xfId="27704" xr:uid="{00000000-0005-0000-0000-00002F6C0000}"/>
    <cellStyle name="Normal 3 3 11 2 2 10 3" xfId="27705" xr:uid="{00000000-0005-0000-0000-0000306C0000}"/>
    <cellStyle name="Normal 3 3 11 2 2 11" xfId="27706" xr:uid="{00000000-0005-0000-0000-0000316C0000}"/>
    <cellStyle name="Normal 3 3 11 2 2 11 2" xfId="27707" xr:uid="{00000000-0005-0000-0000-0000326C0000}"/>
    <cellStyle name="Normal 3 3 11 2 2 11 3" xfId="27708" xr:uid="{00000000-0005-0000-0000-0000336C0000}"/>
    <cellStyle name="Normal 3 3 11 2 2 12" xfId="27709" xr:uid="{00000000-0005-0000-0000-0000346C0000}"/>
    <cellStyle name="Normal 3 3 11 2 2 12 2" xfId="27710" xr:uid="{00000000-0005-0000-0000-0000356C0000}"/>
    <cellStyle name="Normal 3 3 11 2 2 12 3" xfId="27711" xr:uid="{00000000-0005-0000-0000-0000366C0000}"/>
    <cellStyle name="Normal 3 3 11 2 2 13" xfId="27712" xr:uid="{00000000-0005-0000-0000-0000376C0000}"/>
    <cellStyle name="Normal 3 3 11 2 2 13 2" xfId="27713" xr:uid="{00000000-0005-0000-0000-0000386C0000}"/>
    <cellStyle name="Normal 3 3 11 2 2 13 3" xfId="27714" xr:uid="{00000000-0005-0000-0000-0000396C0000}"/>
    <cellStyle name="Normal 3 3 11 2 2 14" xfId="27715" xr:uid="{00000000-0005-0000-0000-00003A6C0000}"/>
    <cellStyle name="Normal 3 3 11 2 2 14 2" xfId="27716" xr:uid="{00000000-0005-0000-0000-00003B6C0000}"/>
    <cellStyle name="Normal 3 3 11 2 2 14 3" xfId="27717" xr:uid="{00000000-0005-0000-0000-00003C6C0000}"/>
    <cellStyle name="Normal 3 3 11 2 2 15" xfId="27718" xr:uid="{00000000-0005-0000-0000-00003D6C0000}"/>
    <cellStyle name="Normal 3 3 11 2 2 16" xfId="27719" xr:uid="{00000000-0005-0000-0000-00003E6C0000}"/>
    <cellStyle name="Normal 3 3 11 2 2 2" xfId="27720" xr:uid="{00000000-0005-0000-0000-00003F6C0000}"/>
    <cellStyle name="Normal 3 3 11 2 2 2 2" xfId="27721" xr:uid="{00000000-0005-0000-0000-0000406C0000}"/>
    <cellStyle name="Normal 3 3 11 2 2 2 3" xfId="27722" xr:uid="{00000000-0005-0000-0000-0000416C0000}"/>
    <cellStyle name="Normal 3 3 11 2 2 3" xfId="27723" xr:uid="{00000000-0005-0000-0000-0000426C0000}"/>
    <cellStyle name="Normal 3 3 11 2 2 3 2" xfId="27724" xr:uid="{00000000-0005-0000-0000-0000436C0000}"/>
    <cellStyle name="Normal 3 3 11 2 2 3 3" xfId="27725" xr:uid="{00000000-0005-0000-0000-0000446C0000}"/>
    <cellStyle name="Normal 3 3 11 2 2 4" xfId="27726" xr:uid="{00000000-0005-0000-0000-0000456C0000}"/>
    <cellStyle name="Normal 3 3 11 2 2 4 2" xfId="27727" xr:uid="{00000000-0005-0000-0000-0000466C0000}"/>
    <cellStyle name="Normal 3 3 11 2 2 4 3" xfId="27728" xr:uid="{00000000-0005-0000-0000-0000476C0000}"/>
    <cellStyle name="Normal 3 3 11 2 2 5" xfId="27729" xr:uid="{00000000-0005-0000-0000-0000486C0000}"/>
    <cellStyle name="Normal 3 3 11 2 2 5 2" xfId="27730" xr:uid="{00000000-0005-0000-0000-0000496C0000}"/>
    <cellStyle name="Normal 3 3 11 2 2 5 3" xfId="27731" xr:uid="{00000000-0005-0000-0000-00004A6C0000}"/>
    <cellStyle name="Normal 3 3 11 2 2 6" xfId="27732" xr:uid="{00000000-0005-0000-0000-00004B6C0000}"/>
    <cellStyle name="Normal 3 3 11 2 2 6 2" xfId="27733" xr:uid="{00000000-0005-0000-0000-00004C6C0000}"/>
    <cellStyle name="Normal 3 3 11 2 2 6 3" xfId="27734" xr:uid="{00000000-0005-0000-0000-00004D6C0000}"/>
    <cellStyle name="Normal 3 3 11 2 2 7" xfId="27735" xr:uid="{00000000-0005-0000-0000-00004E6C0000}"/>
    <cellStyle name="Normal 3 3 11 2 2 7 2" xfId="27736" xr:uid="{00000000-0005-0000-0000-00004F6C0000}"/>
    <cellStyle name="Normal 3 3 11 2 2 7 3" xfId="27737" xr:uid="{00000000-0005-0000-0000-0000506C0000}"/>
    <cellStyle name="Normal 3 3 11 2 2 8" xfId="27738" xr:uid="{00000000-0005-0000-0000-0000516C0000}"/>
    <cellStyle name="Normal 3 3 11 2 2 8 2" xfId="27739" xr:uid="{00000000-0005-0000-0000-0000526C0000}"/>
    <cellStyle name="Normal 3 3 11 2 2 8 3" xfId="27740" xr:uid="{00000000-0005-0000-0000-0000536C0000}"/>
    <cellStyle name="Normal 3 3 11 2 2 9" xfId="27741" xr:uid="{00000000-0005-0000-0000-0000546C0000}"/>
    <cellStyle name="Normal 3 3 11 2 2 9 2" xfId="27742" xr:uid="{00000000-0005-0000-0000-0000556C0000}"/>
    <cellStyle name="Normal 3 3 11 2 2 9 3" xfId="27743" xr:uid="{00000000-0005-0000-0000-0000566C0000}"/>
    <cellStyle name="Normal 3 3 11 2 3" xfId="27744" xr:uid="{00000000-0005-0000-0000-0000576C0000}"/>
    <cellStyle name="Normal 3 3 11 2 3 2" xfId="27745" xr:uid="{00000000-0005-0000-0000-0000586C0000}"/>
    <cellStyle name="Normal 3 3 11 2 3 3" xfId="27746" xr:uid="{00000000-0005-0000-0000-0000596C0000}"/>
    <cellStyle name="Normal 3 3 11 2 4" xfId="27747" xr:uid="{00000000-0005-0000-0000-00005A6C0000}"/>
    <cellStyle name="Normal 3 3 11 2 4 2" xfId="27748" xr:uid="{00000000-0005-0000-0000-00005B6C0000}"/>
    <cellStyle name="Normal 3 3 11 2 4 3" xfId="27749" xr:uid="{00000000-0005-0000-0000-00005C6C0000}"/>
    <cellStyle name="Normal 3 3 11 2 5" xfId="27750" xr:uid="{00000000-0005-0000-0000-00005D6C0000}"/>
    <cellStyle name="Normal 3 3 11 2 5 2" xfId="27751" xr:uid="{00000000-0005-0000-0000-00005E6C0000}"/>
    <cellStyle name="Normal 3 3 11 2 5 3" xfId="27752" xr:uid="{00000000-0005-0000-0000-00005F6C0000}"/>
    <cellStyle name="Normal 3 3 11 2 6" xfId="27753" xr:uid="{00000000-0005-0000-0000-0000606C0000}"/>
    <cellStyle name="Normal 3 3 11 2 6 2" xfId="27754" xr:uid="{00000000-0005-0000-0000-0000616C0000}"/>
    <cellStyle name="Normal 3 3 11 2 6 3" xfId="27755" xr:uid="{00000000-0005-0000-0000-0000626C0000}"/>
    <cellStyle name="Normal 3 3 11 2 7" xfId="27756" xr:uid="{00000000-0005-0000-0000-0000636C0000}"/>
    <cellStyle name="Normal 3 3 11 2 7 2" xfId="27757" xr:uid="{00000000-0005-0000-0000-0000646C0000}"/>
    <cellStyle name="Normal 3 3 11 2 7 3" xfId="27758" xr:uid="{00000000-0005-0000-0000-0000656C0000}"/>
    <cellStyle name="Normal 3 3 11 2 8" xfId="27759" xr:uid="{00000000-0005-0000-0000-0000666C0000}"/>
    <cellStyle name="Normal 3 3 11 2 8 2" xfId="27760" xr:uid="{00000000-0005-0000-0000-0000676C0000}"/>
    <cellStyle name="Normal 3 3 11 2 8 3" xfId="27761" xr:uid="{00000000-0005-0000-0000-0000686C0000}"/>
    <cellStyle name="Normal 3 3 11 2 9" xfId="27762" xr:uid="{00000000-0005-0000-0000-0000696C0000}"/>
    <cellStyle name="Normal 3 3 11 2 9 2" xfId="27763" xr:uid="{00000000-0005-0000-0000-00006A6C0000}"/>
    <cellStyle name="Normal 3 3 11 2 9 3" xfId="27764" xr:uid="{00000000-0005-0000-0000-00006B6C0000}"/>
    <cellStyle name="Normal 3 3 11 20" xfId="27765" xr:uid="{00000000-0005-0000-0000-00006C6C0000}"/>
    <cellStyle name="Normal 3 3 11 20 2" xfId="27766" xr:uid="{00000000-0005-0000-0000-00006D6C0000}"/>
    <cellStyle name="Normal 3 3 11 20 3" xfId="27767" xr:uid="{00000000-0005-0000-0000-00006E6C0000}"/>
    <cellStyle name="Normal 3 3 11 21" xfId="27768" xr:uid="{00000000-0005-0000-0000-00006F6C0000}"/>
    <cellStyle name="Normal 3 3 11 21 2" xfId="27769" xr:uid="{00000000-0005-0000-0000-0000706C0000}"/>
    <cellStyle name="Normal 3 3 11 21 3" xfId="27770" xr:uid="{00000000-0005-0000-0000-0000716C0000}"/>
    <cellStyle name="Normal 3 3 11 22" xfId="27771" xr:uid="{00000000-0005-0000-0000-0000726C0000}"/>
    <cellStyle name="Normal 3 3 11 22 2" xfId="27772" xr:uid="{00000000-0005-0000-0000-0000736C0000}"/>
    <cellStyle name="Normal 3 3 11 22 3" xfId="27773" xr:uid="{00000000-0005-0000-0000-0000746C0000}"/>
    <cellStyle name="Normal 3 3 11 23" xfId="27774" xr:uid="{00000000-0005-0000-0000-0000756C0000}"/>
    <cellStyle name="Normal 3 3 11 23 2" xfId="27775" xr:uid="{00000000-0005-0000-0000-0000766C0000}"/>
    <cellStyle name="Normal 3 3 11 23 3" xfId="27776" xr:uid="{00000000-0005-0000-0000-0000776C0000}"/>
    <cellStyle name="Normal 3 3 11 24" xfId="27777" xr:uid="{00000000-0005-0000-0000-0000786C0000}"/>
    <cellStyle name="Normal 3 3 11 25" xfId="27778" xr:uid="{00000000-0005-0000-0000-0000796C0000}"/>
    <cellStyle name="Normal 3 3 11 3" xfId="27779" xr:uid="{00000000-0005-0000-0000-00007A6C0000}"/>
    <cellStyle name="Normal 3 3 11 3 10" xfId="27780" xr:uid="{00000000-0005-0000-0000-00007B6C0000}"/>
    <cellStyle name="Normal 3 3 11 3 10 2" xfId="27781" xr:uid="{00000000-0005-0000-0000-00007C6C0000}"/>
    <cellStyle name="Normal 3 3 11 3 10 3" xfId="27782" xr:uid="{00000000-0005-0000-0000-00007D6C0000}"/>
    <cellStyle name="Normal 3 3 11 3 11" xfId="27783" xr:uid="{00000000-0005-0000-0000-00007E6C0000}"/>
    <cellStyle name="Normal 3 3 11 3 11 2" xfId="27784" xr:uid="{00000000-0005-0000-0000-00007F6C0000}"/>
    <cellStyle name="Normal 3 3 11 3 11 3" xfId="27785" xr:uid="{00000000-0005-0000-0000-0000806C0000}"/>
    <cellStyle name="Normal 3 3 11 3 12" xfId="27786" xr:uid="{00000000-0005-0000-0000-0000816C0000}"/>
    <cellStyle name="Normal 3 3 11 3 12 2" xfId="27787" xr:uid="{00000000-0005-0000-0000-0000826C0000}"/>
    <cellStyle name="Normal 3 3 11 3 12 3" xfId="27788" xr:uid="{00000000-0005-0000-0000-0000836C0000}"/>
    <cellStyle name="Normal 3 3 11 3 13" xfId="27789" xr:uid="{00000000-0005-0000-0000-0000846C0000}"/>
    <cellStyle name="Normal 3 3 11 3 13 2" xfId="27790" xr:uid="{00000000-0005-0000-0000-0000856C0000}"/>
    <cellStyle name="Normal 3 3 11 3 13 3" xfId="27791" xr:uid="{00000000-0005-0000-0000-0000866C0000}"/>
    <cellStyle name="Normal 3 3 11 3 14" xfId="27792" xr:uid="{00000000-0005-0000-0000-0000876C0000}"/>
    <cellStyle name="Normal 3 3 11 3 14 2" xfId="27793" xr:uid="{00000000-0005-0000-0000-0000886C0000}"/>
    <cellStyle name="Normal 3 3 11 3 14 3" xfId="27794" xr:uid="{00000000-0005-0000-0000-0000896C0000}"/>
    <cellStyle name="Normal 3 3 11 3 15" xfId="27795" xr:uid="{00000000-0005-0000-0000-00008A6C0000}"/>
    <cellStyle name="Normal 3 3 11 3 15 2" xfId="27796" xr:uid="{00000000-0005-0000-0000-00008B6C0000}"/>
    <cellStyle name="Normal 3 3 11 3 15 3" xfId="27797" xr:uid="{00000000-0005-0000-0000-00008C6C0000}"/>
    <cellStyle name="Normal 3 3 11 3 16" xfId="27798" xr:uid="{00000000-0005-0000-0000-00008D6C0000}"/>
    <cellStyle name="Normal 3 3 11 3 17" xfId="27799" xr:uid="{00000000-0005-0000-0000-00008E6C0000}"/>
    <cellStyle name="Normal 3 3 11 3 2" xfId="27800" xr:uid="{00000000-0005-0000-0000-00008F6C0000}"/>
    <cellStyle name="Normal 3 3 11 3 2 10" xfId="27801" xr:uid="{00000000-0005-0000-0000-0000906C0000}"/>
    <cellStyle name="Normal 3 3 11 3 2 10 2" xfId="27802" xr:uid="{00000000-0005-0000-0000-0000916C0000}"/>
    <cellStyle name="Normal 3 3 11 3 2 10 3" xfId="27803" xr:uid="{00000000-0005-0000-0000-0000926C0000}"/>
    <cellStyle name="Normal 3 3 11 3 2 11" xfId="27804" xr:uid="{00000000-0005-0000-0000-0000936C0000}"/>
    <cellStyle name="Normal 3 3 11 3 2 11 2" xfId="27805" xr:uid="{00000000-0005-0000-0000-0000946C0000}"/>
    <cellStyle name="Normal 3 3 11 3 2 11 3" xfId="27806" xr:uid="{00000000-0005-0000-0000-0000956C0000}"/>
    <cellStyle name="Normal 3 3 11 3 2 12" xfId="27807" xr:uid="{00000000-0005-0000-0000-0000966C0000}"/>
    <cellStyle name="Normal 3 3 11 3 2 12 2" xfId="27808" xr:uid="{00000000-0005-0000-0000-0000976C0000}"/>
    <cellStyle name="Normal 3 3 11 3 2 12 3" xfId="27809" xr:uid="{00000000-0005-0000-0000-0000986C0000}"/>
    <cellStyle name="Normal 3 3 11 3 2 13" xfId="27810" xr:uid="{00000000-0005-0000-0000-0000996C0000}"/>
    <cellStyle name="Normal 3 3 11 3 2 13 2" xfId="27811" xr:uid="{00000000-0005-0000-0000-00009A6C0000}"/>
    <cellStyle name="Normal 3 3 11 3 2 13 3" xfId="27812" xr:uid="{00000000-0005-0000-0000-00009B6C0000}"/>
    <cellStyle name="Normal 3 3 11 3 2 14" xfId="27813" xr:uid="{00000000-0005-0000-0000-00009C6C0000}"/>
    <cellStyle name="Normal 3 3 11 3 2 14 2" xfId="27814" xr:uid="{00000000-0005-0000-0000-00009D6C0000}"/>
    <cellStyle name="Normal 3 3 11 3 2 14 3" xfId="27815" xr:uid="{00000000-0005-0000-0000-00009E6C0000}"/>
    <cellStyle name="Normal 3 3 11 3 2 15" xfId="27816" xr:uid="{00000000-0005-0000-0000-00009F6C0000}"/>
    <cellStyle name="Normal 3 3 11 3 2 16" xfId="27817" xr:uid="{00000000-0005-0000-0000-0000A06C0000}"/>
    <cellStyle name="Normal 3 3 11 3 2 2" xfId="27818" xr:uid="{00000000-0005-0000-0000-0000A16C0000}"/>
    <cellStyle name="Normal 3 3 11 3 2 2 2" xfId="27819" xr:uid="{00000000-0005-0000-0000-0000A26C0000}"/>
    <cellStyle name="Normal 3 3 11 3 2 2 3" xfId="27820" xr:uid="{00000000-0005-0000-0000-0000A36C0000}"/>
    <cellStyle name="Normal 3 3 11 3 2 3" xfId="27821" xr:uid="{00000000-0005-0000-0000-0000A46C0000}"/>
    <cellStyle name="Normal 3 3 11 3 2 3 2" xfId="27822" xr:uid="{00000000-0005-0000-0000-0000A56C0000}"/>
    <cellStyle name="Normal 3 3 11 3 2 3 3" xfId="27823" xr:uid="{00000000-0005-0000-0000-0000A66C0000}"/>
    <cellStyle name="Normal 3 3 11 3 2 4" xfId="27824" xr:uid="{00000000-0005-0000-0000-0000A76C0000}"/>
    <cellStyle name="Normal 3 3 11 3 2 4 2" xfId="27825" xr:uid="{00000000-0005-0000-0000-0000A86C0000}"/>
    <cellStyle name="Normal 3 3 11 3 2 4 3" xfId="27826" xr:uid="{00000000-0005-0000-0000-0000A96C0000}"/>
    <cellStyle name="Normal 3 3 11 3 2 5" xfId="27827" xr:uid="{00000000-0005-0000-0000-0000AA6C0000}"/>
    <cellStyle name="Normal 3 3 11 3 2 5 2" xfId="27828" xr:uid="{00000000-0005-0000-0000-0000AB6C0000}"/>
    <cellStyle name="Normal 3 3 11 3 2 5 3" xfId="27829" xr:uid="{00000000-0005-0000-0000-0000AC6C0000}"/>
    <cellStyle name="Normal 3 3 11 3 2 6" xfId="27830" xr:uid="{00000000-0005-0000-0000-0000AD6C0000}"/>
    <cellStyle name="Normal 3 3 11 3 2 6 2" xfId="27831" xr:uid="{00000000-0005-0000-0000-0000AE6C0000}"/>
    <cellStyle name="Normal 3 3 11 3 2 6 3" xfId="27832" xr:uid="{00000000-0005-0000-0000-0000AF6C0000}"/>
    <cellStyle name="Normal 3 3 11 3 2 7" xfId="27833" xr:uid="{00000000-0005-0000-0000-0000B06C0000}"/>
    <cellStyle name="Normal 3 3 11 3 2 7 2" xfId="27834" xr:uid="{00000000-0005-0000-0000-0000B16C0000}"/>
    <cellStyle name="Normal 3 3 11 3 2 7 3" xfId="27835" xr:uid="{00000000-0005-0000-0000-0000B26C0000}"/>
    <cellStyle name="Normal 3 3 11 3 2 8" xfId="27836" xr:uid="{00000000-0005-0000-0000-0000B36C0000}"/>
    <cellStyle name="Normal 3 3 11 3 2 8 2" xfId="27837" xr:uid="{00000000-0005-0000-0000-0000B46C0000}"/>
    <cellStyle name="Normal 3 3 11 3 2 8 3" xfId="27838" xr:uid="{00000000-0005-0000-0000-0000B56C0000}"/>
    <cellStyle name="Normal 3 3 11 3 2 9" xfId="27839" xr:uid="{00000000-0005-0000-0000-0000B66C0000}"/>
    <cellStyle name="Normal 3 3 11 3 2 9 2" xfId="27840" xr:uid="{00000000-0005-0000-0000-0000B76C0000}"/>
    <cellStyle name="Normal 3 3 11 3 2 9 3" xfId="27841" xr:uid="{00000000-0005-0000-0000-0000B86C0000}"/>
    <cellStyle name="Normal 3 3 11 3 3" xfId="27842" xr:uid="{00000000-0005-0000-0000-0000B96C0000}"/>
    <cellStyle name="Normal 3 3 11 3 3 2" xfId="27843" xr:uid="{00000000-0005-0000-0000-0000BA6C0000}"/>
    <cellStyle name="Normal 3 3 11 3 3 3" xfId="27844" xr:uid="{00000000-0005-0000-0000-0000BB6C0000}"/>
    <cellStyle name="Normal 3 3 11 3 4" xfId="27845" xr:uid="{00000000-0005-0000-0000-0000BC6C0000}"/>
    <cellStyle name="Normal 3 3 11 3 4 2" xfId="27846" xr:uid="{00000000-0005-0000-0000-0000BD6C0000}"/>
    <cellStyle name="Normal 3 3 11 3 4 3" xfId="27847" xr:uid="{00000000-0005-0000-0000-0000BE6C0000}"/>
    <cellStyle name="Normal 3 3 11 3 5" xfId="27848" xr:uid="{00000000-0005-0000-0000-0000BF6C0000}"/>
    <cellStyle name="Normal 3 3 11 3 5 2" xfId="27849" xr:uid="{00000000-0005-0000-0000-0000C06C0000}"/>
    <cellStyle name="Normal 3 3 11 3 5 3" xfId="27850" xr:uid="{00000000-0005-0000-0000-0000C16C0000}"/>
    <cellStyle name="Normal 3 3 11 3 6" xfId="27851" xr:uid="{00000000-0005-0000-0000-0000C26C0000}"/>
    <cellStyle name="Normal 3 3 11 3 6 2" xfId="27852" xr:uid="{00000000-0005-0000-0000-0000C36C0000}"/>
    <cellStyle name="Normal 3 3 11 3 6 3" xfId="27853" xr:uid="{00000000-0005-0000-0000-0000C46C0000}"/>
    <cellStyle name="Normal 3 3 11 3 7" xfId="27854" xr:uid="{00000000-0005-0000-0000-0000C56C0000}"/>
    <cellStyle name="Normal 3 3 11 3 7 2" xfId="27855" xr:uid="{00000000-0005-0000-0000-0000C66C0000}"/>
    <cellStyle name="Normal 3 3 11 3 7 3" xfId="27856" xr:uid="{00000000-0005-0000-0000-0000C76C0000}"/>
    <cellStyle name="Normal 3 3 11 3 8" xfId="27857" xr:uid="{00000000-0005-0000-0000-0000C86C0000}"/>
    <cellStyle name="Normal 3 3 11 3 8 2" xfId="27858" xr:uid="{00000000-0005-0000-0000-0000C96C0000}"/>
    <cellStyle name="Normal 3 3 11 3 8 3" xfId="27859" xr:uid="{00000000-0005-0000-0000-0000CA6C0000}"/>
    <cellStyle name="Normal 3 3 11 3 9" xfId="27860" xr:uid="{00000000-0005-0000-0000-0000CB6C0000}"/>
    <cellStyle name="Normal 3 3 11 3 9 2" xfId="27861" xr:uid="{00000000-0005-0000-0000-0000CC6C0000}"/>
    <cellStyle name="Normal 3 3 11 3 9 3" xfId="27862" xr:uid="{00000000-0005-0000-0000-0000CD6C0000}"/>
    <cellStyle name="Normal 3 3 11 4" xfId="27863" xr:uid="{00000000-0005-0000-0000-0000CE6C0000}"/>
    <cellStyle name="Normal 3 3 11 4 10" xfId="27864" xr:uid="{00000000-0005-0000-0000-0000CF6C0000}"/>
    <cellStyle name="Normal 3 3 11 4 10 2" xfId="27865" xr:uid="{00000000-0005-0000-0000-0000D06C0000}"/>
    <cellStyle name="Normal 3 3 11 4 10 3" xfId="27866" xr:uid="{00000000-0005-0000-0000-0000D16C0000}"/>
    <cellStyle name="Normal 3 3 11 4 11" xfId="27867" xr:uid="{00000000-0005-0000-0000-0000D26C0000}"/>
    <cellStyle name="Normal 3 3 11 4 11 2" xfId="27868" xr:uid="{00000000-0005-0000-0000-0000D36C0000}"/>
    <cellStyle name="Normal 3 3 11 4 11 3" xfId="27869" xr:uid="{00000000-0005-0000-0000-0000D46C0000}"/>
    <cellStyle name="Normal 3 3 11 4 12" xfId="27870" xr:uid="{00000000-0005-0000-0000-0000D56C0000}"/>
    <cellStyle name="Normal 3 3 11 4 12 2" xfId="27871" xr:uid="{00000000-0005-0000-0000-0000D66C0000}"/>
    <cellStyle name="Normal 3 3 11 4 12 3" xfId="27872" xr:uid="{00000000-0005-0000-0000-0000D76C0000}"/>
    <cellStyle name="Normal 3 3 11 4 13" xfId="27873" xr:uid="{00000000-0005-0000-0000-0000D86C0000}"/>
    <cellStyle name="Normal 3 3 11 4 13 2" xfId="27874" xr:uid="{00000000-0005-0000-0000-0000D96C0000}"/>
    <cellStyle name="Normal 3 3 11 4 13 3" xfId="27875" xr:uid="{00000000-0005-0000-0000-0000DA6C0000}"/>
    <cellStyle name="Normal 3 3 11 4 14" xfId="27876" xr:uid="{00000000-0005-0000-0000-0000DB6C0000}"/>
    <cellStyle name="Normal 3 3 11 4 14 2" xfId="27877" xr:uid="{00000000-0005-0000-0000-0000DC6C0000}"/>
    <cellStyle name="Normal 3 3 11 4 14 3" xfId="27878" xr:uid="{00000000-0005-0000-0000-0000DD6C0000}"/>
    <cellStyle name="Normal 3 3 11 4 15" xfId="27879" xr:uid="{00000000-0005-0000-0000-0000DE6C0000}"/>
    <cellStyle name="Normal 3 3 11 4 15 2" xfId="27880" xr:uid="{00000000-0005-0000-0000-0000DF6C0000}"/>
    <cellStyle name="Normal 3 3 11 4 15 3" xfId="27881" xr:uid="{00000000-0005-0000-0000-0000E06C0000}"/>
    <cellStyle name="Normal 3 3 11 4 16" xfId="27882" xr:uid="{00000000-0005-0000-0000-0000E16C0000}"/>
    <cellStyle name="Normal 3 3 11 4 17" xfId="27883" xr:uid="{00000000-0005-0000-0000-0000E26C0000}"/>
    <cellStyle name="Normal 3 3 11 4 2" xfId="27884" xr:uid="{00000000-0005-0000-0000-0000E36C0000}"/>
    <cellStyle name="Normal 3 3 11 4 2 10" xfId="27885" xr:uid="{00000000-0005-0000-0000-0000E46C0000}"/>
    <cellStyle name="Normal 3 3 11 4 2 10 2" xfId="27886" xr:uid="{00000000-0005-0000-0000-0000E56C0000}"/>
    <cellStyle name="Normal 3 3 11 4 2 10 3" xfId="27887" xr:uid="{00000000-0005-0000-0000-0000E66C0000}"/>
    <cellStyle name="Normal 3 3 11 4 2 11" xfId="27888" xr:uid="{00000000-0005-0000-0000-0000E76C0000}"/>
    <cellStyle name="Normal 3 3 11 4 2 11 2" xfId="27889" xr:uid="{00000000-0005-0000-0000-0000E86C0000}"/>
    <cellStyle name="Normal 3 3 11 4 2 11 3" xfId="27890" xr:uid="{00000000-0005-0000-0000-0000E96C0000}"/>
    <cellStyle name="Normal 3 3 11 4 2 12" xfId="27891" xr:uid="{00000000-0005-0000-0000-0000EA6C0000}"/>
    <cellStyle name="Normal 3 3 11 4 2 12 2" xfId="27892" xr:uid="{00000000-0005-0000-0000-0000EB6C0000}"/>
    <cellStyle name="Normal 3 3 11 4 2 12 3" xfId="27893" xr:uid="{00000000-0005-0000-0000-0000EC6C0000}"/>
    <cellStyle name="Normal 3 3 11 4 2 13" xfId="27894" xr:uid="{00000000-0005-0000-0000-0000ED6C0000}"/>
    <cellStyle name="Normal 3 3 11 4 2 13 2" xfId="27895" xr:uid="{00000000-0005-0000-0000-0000EE6C0000}"/>
    <cellStyle name="Normal 3 3 11 4 2 13 3" xfId="27896" xr:uid="{00000000-0005-0000-0000-0000EF6C0000}"/>
    <cellStyle name="Normal 3 3 11 4 2 14" xfId="27897" xr:uid="{00000000-0005-0000-0000-0000F06C0000}"/>
    <cellStyle name="Normal 3 3 11 4 2 14 2" xfId="27898" xr:uid="{00000000-0005-0000-0000-0000F16C0000}"/>
    <cellStyle name="Normal 3 3 11 4 2 14 3" xfId="27899" xr:uid="{00000000-0005-0000-0000-0000F26C0000}"/>
    <cellStyle name="Normal 3 3 11 4 2 15" xfId="27900" xr:uid="{00000000-0005-0000-0000-0000F36C0000}"/>
    <cellStyle name="Normal 3 3 11 4 2 16" xfId="27901" xr:uid="{00000000-0005-0000-0000-0000F46C0000}"/>
    <cellStyle name="Normal 3 3 11 4 2 2" xfId="27902" xr:uid="{00000000-0005-0000-0000-0000F56C0000}"/>
    <cellStyle name="Normal 3 3 11 4 2 2 2" xfId="27903" xr:uid="{00000000-0005-0000-0000-0000F66C0000}"/>
    <cellStyle name="Normal 3 3 11 4 2 2 3" xfId="27904" xr:uid="{00000000-0005-0000-0000-0000F76C0000}"/>
    <cellStyle name="Normal 3 3 11 4 2 3" xfId="27905" xr:uid="{00000000-0005-0000-0000-0000F86C0000}"/>
    <cellStyle name="Normal 3 3 11 4 2 3 2" xfId="27906" xr:uid="{00000000-0005-0000-0000-0000F96C0000}"/>
    <cellStyle name="Normal 3 3 11 4 2 3 3" xfId="27907" xr:uid="{00000000-0005-0000-0000-0000FA6C0000}"/>
    <cellStyle name="Normal 3 3 11 4 2 4" xfId="27908" xr:uid="{00000000-0005-0000-0000-0000FB6C0000}"/>
    <cellStyle name="Normal 3 3 11 4 2 4 2" xfId="27909" xr:uid="{00000000-0005-0000-0000-0000FC6C0000}"/>
    <cellStyle name="Normal 3 3 11 4 2 4 3" xfId="27910" xr:uid="{00000000-0005-0000-0000-0000FD6C0000}"/>
    <cellStyle name="Normal 3 3 11 4 2 5" xfId="27911" xr:uid="{00000000-0005-0000-0000-0000FE6C0000}"/>
    <cellStyle name="Normal 3 3 11 4 2 5 2" xfId="27912" xr:uid="{00000000-0005-0000-0000-0000FF6C0000}"/>
    <cellStyle name="Normal 3 3 11 4 2 5 3" xfId="27913" xr:uid="{00000000-0005-0000-0000-0000006D0000}"/>
    <cellStyle name="Normal 3 3 11 4 2 6" xfId="27914" xr:uid="{00000000-0005-0000-0000-0000016D0000}"/>
    <cellStyle name="Normal 3 3 11 4 2 6 2" xfId="27915" xr:uid="{00000000-0005-0000-0000-0000026D0000}"/>
    <cellStyle name="Normal 3 3 11 4 2 6 3" xfId="27916" xr:uid="{00000000-0005-0000-0000-0000036D0000}"/>
    <cellStyle name="Normal 3 3 11 4 2 7" xfId="27917" xr:uid="{00000000-0005-0000-0000-0000046D0000}"/>
    <cellStyle name="Normal 3 3 11 4 2 7 2" xfId="27918" xr:uid="{00000000-0005-0000-0000-0000056D0000}"/>
    <cellStyle name="Normal 3 3 11 4 2 7 3" xfId="27919" xr:uid="{00000000-0005-0000-0000-0000066D0000}"/>
    <cellStyle name="Normal 3 3 11 4 2 8" xfId="27920" xr:uid="{00000000-0005-0000-0000-0000076D0000}"/>
    <cellStyle name="Normal 3 3 11 4 2 8 2" xfId="27921" xr:uid="{00000000-0005-0000-0000-0000086D0000}"/>
    <cellStyle name="Normal 3 3 11 4 2 8 3" xfId="27922" xr:uid="{00000000-0005-0000-0000-0000096D0000}"/>
    <cellStyle name="Normal 3 3 11 4 2 9" xfId="27923" xr:uid="{00000000-0005-0000-0000-00000A6D0000}"/>
    <cellStyle name="Normal 3 3 11 4 2 9 2" xfId="27924" xr:uid="{00000000-0005-0000-0000-00000B6D0000}"/>
    <cellStyle name="Normal 3 3 11 4 2 9 3" xfId="27925" xr:uid="{00000000-0005-0000-0000-00000C6D0000}"/>
    <cellStyle name="Normal 3 3 11 4 3" xfId="27926" xr:uid="{00000000-0005-0000-0000-00000D6D0000}"/>
    <cellStyle name="Normal 3 3 11 4 3 2" xfId="27927" xr:uid="{00000000-0005-0000-0000-00000E6D0000}"/>
    <cellStyle name="Normal 3 3 11 4 3 3" xfId="27928" xr:uid="{00000000-0005-0000-0000-00000F6D0000}"/>
    <cellStyle name="Normal 3 3 11 4 4" xfId="27929" xr:uid="{00000000-0005-0000-0000-0000106D0000}"/>
    <cellStyle name="Normal 3 3 11 4 4 2" xfId="27930" xr:uid="{00000000-0005-0000-0000-0000116D0000}"/>
    <cellStyle name="Normal 3 3 11 4 4 3" xfId="27931" xr:uid="{00000000-0005-0000-0000-0000126D0000}"/>
    <cellStyle name="Normal 3 3 11 4 5" xfId="27932" xr:uid="{00000000-0005-0000-0000-0000136D0000}"/>
    <cellStyle name="Normal 3 3 11 4 5 2" xfId="27933" xr:uid="{00000000-0005-0000-0000-0000146D0000}"/>
    <cellStyle name="Normal 3 3 11 4 5 3" xfId="27934" xr:uid="{00000000-0005-0000-0000-0000156D0000}"/>
    <cellStyle name="Normal 3 3 11 4 6" xfId="27935" xr:uid="{00000000-0005-0000-0000-0000166D0000}"/>
    <cellStyle name="Normal 3 3 11 4 6 2" xfId="27936" xr:uid="{00000000-0005-0000-0000-0000176D0000}"/>
    <cellStyle name="Normal 3 3 11 4 6 3" xfId="27937" xr:uid="{00000000-0005-0000-0000-0000186D0000}"/>
    <cellStyle name="Normal 3 3 11 4 7" xfId="27938" xr:uid="{00000000-0005-0000-0000-0000196D0000}"/>
    <cellStyle name="Normal 3 3 11 4 7 2" xfId="27939" xr:uid="{00000000-0005-0000-0000-00001A6D0000}"/>
    <cellStyle name="Normal 3 3 11 4 7 3" xfId="27940" xr:uid="{00000000-0005-0000-0000-00001B6D0000}"/>
    <cellStyle name="Normal 3 3 11 4 8" xfId="27941" xr:uid="{00000000-0005-0000-0000-00001C6D0000}"/>
    <cellStyle name="Normal 3 3 11 4 8 2" xfId="27942" xr:uid="{00000000-0005-0000-0000-00001D6D0000}"/>
    <cellStyle name="Normal 3 3 11 4 8 3" xfId="27943" xr:uid="{00000000-0005-0000-0000-00001E6D0000}"/>
    <cellStyle name="Normal 3 3 11 4 9" xfId="27944" xr:uid="{00000000-0005-0000-0000-00001F6D0000}"/>
    <cellStyle name="Normal 3 3 11 4 9 2" xfId="27945" xr:uid="{00000000-0005-0000-0000-0000206D0000}"/>
    <cellStyle name="Normal 3 3 11 4 9 3" xfId="27946" xr:uid="{00000000-0005-0000-0000-0000216D0000}"/>
    <cellStyle name="Normal 3 3 11 5" xfId="27947" xr:uid="{00000000-0005-0000-0000-0000226D0000}"/>
    <cellStyle name="Normal 3 3 11 5 10" xfId="27948" xr:uid="{00000000-0005-0000-0000-0000236D0000}"/>
    <cellStyle name="Normal 3 3 11 5 10 2" xfId="27949" xr:uid="{00000000-0005-0000-0000-0000246D0000}"/>
    <cellStyle name="Normal 3 3 11 5 10 3" xfId="27950" xr:uid="{00000000-0005-0000-0000-0000256D0000}"/>
    <cellStyle name="Normal 3 3 11 5 11" xfId="27951" xr:uid="{00000000-0005-0000-0000-0000266D0000}"/>
    <cellStyle name="Normal 3 3 11 5 11 2" xfId="27952" xr:uid="{00000000-0005-0000-0000-0000276D0000}"/>
    <cellStyle name="Normal 3 3 11 5 11 3" xfId="27953" xr:uid="{00000000-0005-0000-0000-0000286D0000}"/>
    <cellStyle name="Normal 3 3 11 5 12" xfId="27954" xr:uid="{00000000-0005-0000-0000-0000296D0000}"/>
    <cellStyle name="Normal 3 3 11 5 12 2" xfId="27955" xr:uid="{00000000-0005-0000-0000-00002A6D0000}"/>
    <cellStyle name="Normal 3 3 11 5 12 3" xfId="27956" xr:uid="{00000000-0005-0000-0000-00002B6D0000}"/>
    <cellStyle name="Normal 3 3 11 5 13" xfId="27957" xr:uid="{00000000-0005-0000-0000-00002C6D0000}"/>
    <cellStyle name="Normal 3 3 11 5 13 2" xfId="27958" xr:uid="{00000000-0005-0000-0000-00002D6D0000}"/>
    <cellStyle name="Normal 3 3 11 5 13 3" xfId="27959" xr:uid="{00000000-0005-0000-0000-00002E6D0000}"/>
    <cellStyle name="Normal 3 3 11 5 14" xfId="27960" xr:uid="{00000000-0005-0000-0000-00002F6D0000}"/>
    <cellStyle name="Normal 3 3 11 5 14 2" xfId="27961" xr:uid="{00000000-0005-0000-0000-0000306D0000}"/>
    <cellStyle name="Normal 3 3 11 5 14 3" xfId="27962" xr:uid="{00000000-0005-0000-0000-0000316D0000}"/>
    <cellStyle name="Normal 3 3 11 5 15" xfId="27963" xr:uid="{00000000-0005-0000-0000-0000326D0000}"/>
    <cellStyle name="Normal 3 3 11 5 16" xfId="27964" xr:uid="{00000000-0005-0000-0000-0000336D0000}"/>
    <cellStyle name="Normal 3 3 11 5 2" xfId="27965" xr:uid="{00000000-0005-0000-0000-0000346D0000}"/>
    <cellStyle name="Normal 3 3 11 5 2 2" xfId="27966" xr:uid="{00000000-0005-0000-0000-0000356D0000}"/>
    <cellStyle name="Normal 3 3 11 5 2 3" xfId="27967" xr:uid="{00000000-0005-0000-0000-0000366D0000}"/>
    <cellStyle name="Normal 3 3 11 5 3" xfId="27968" xr:uid="{00000000-0005-0000-0000-0000376D0000}"/>
    <cellStyle name="Normal 3 3 11 5 3 2" xfId="27969" xr:uid="{00000000-0005-0000-0000-0000386D0000}"/>
    <cellStyle name="Normal 3 3 11 5 3 3" xfId="27970" xr:uid="{00000000-0005-0000-0000-0000396D0000}"/>
    <cellStyle name="Normal 3 3 11 5 4" xfId="27971" xr:uid="{00000000-0005-0000-0000-00003A6D0000}"/>
    <cellStyle name="Normal 3 3 11 5 4 2" xfId="27972" xr:uid="{00000000-0005-0000-0000-00003B6D0000}"/>
    <cellStyle name="Normal 3 3 11 5 4 3" xfId="27973" xr:uid="{00000000-0005-0000-0000-00003C6D0000}"/>
    <cellStyle name="Normal 3 3 11 5 5" xfId="27974" xr:uid="{00000000-0005-0000-0000-00003D6D0000}"/>
    <cellStyle name="Normal 3 3 11 5 5 2" xfId="27975" xr:uid="{00000000-0005-0000-0000-00003E6D0000}"/>
    <cellStyle name="Normal 3 3 11 5 5 3" xfId="27976" xr:uid="{00000000-0005-0000-0000-00003F6D0000}"/>
    <cellStyle name="Normal 3 3 11 5 6" xfId="27977" xr:uid="{00000000-0005-0000-0000-0000406D0000}"/>
    <cellStyle name="Normal 3 3 11 5 6 2" xfId="27978" xr:uid="{00000000-0005-0000-0000-0000416D0000}"/>
    <cellStyle name="Normal 3 3 11 5 6 3" xfId="27979" xr:uid="{00000000-0005-0000-0000-0000426D0000}"/>
    <cellStyle name="Normal 3 3 11 5 7" xfId="27980" xr:uid="{00000000-0005-0000-0000-0000436D0000}"/>
    <cellStyle name="Normal 3 3 11 5 7 2" xfId="27981" xr:uid="{00000000-0005-0000-0000-0000446D0000}"/>
    <cellStyle name="Normal 3 3 11 5 7 3" xfId="27982" xr:uid="{00000000-0005-0000-0000-0000456D0000}"/>
    <cellStyle name="Normal 3 3 11 5 8" xfId="27983" xr:uid="{00000000-0005-0000-0000-0000466D0000}"/>
    <cellStyle name="Normal 3 3 11 5 8 2" xfId="27984" xr:uid="{00000000-0005-0000-0000-0000476D0000}"/>
    <cellStyle name="Normal 3 3 11 5 8 3" xfId="27985" xr:uid="{00000000-0005-0000-0000-0000486D0000}"/>
    <cellStyle name="Normal 3 3 11 5 9" xfId="27986" xr:uid="{00000000-0005-0000-0000-0000496D0000}"/>
    <cellStyle name="Normal 3 3 11 5 9 2" xfId="27987" xr:uid="{00000000-0005-0000-0000-00004A6D0000}"/>
    <cellStyle name="Normal 3 3 11 5 9 3" xfId="27988" xr:uid="{00000000-0005-0000-0000-00004B6D0000}"/>
    <cellStyle name="Normal 3 3 11 6" xfId="27989" xr:uid="{00000000-0005-0000-0000-00004C6D0000}"/>
    <cellStyle name="Normal 3 3 11 6 10" xfId="27990" xr:uid="{00000000-0005-0000-0000-00004D6D0000}"/>
    <cellStyle name="Normal 3 3 11 6 10 2" xfId="27991" xr:uid="{00000000-0005-0000-0000-00004E6D0000}"/>
    <cellStyle name="Normal 3 3 11 6 10 3" xfId="27992" xr:uid="{00000000-0005-0000-0000-00004F6D0000}"/>
    <cellStyle name="Normal 3 3 11 6 11" xfId="27993" xr:uid="{00000000-0005-0000-0000-0000506D0000}"/>
    <cellStyle name="Normal 3 3 11 6 11 2" xfId="27994" xr:uid="{00000000-0005-0000-0000-0000516D0000}"/>
    <cellStyle name="Normal 3 3 11 6 11 3" xfId="27995" xr:uid="{00000000-0005-0000-0000-0000526D0000}"/>
    <cellStyle name="Normal 3 3 11 6 12" xfId="27996" xr:uid="{00000000-0005-0000-0000-0000536D0000}"/>
    <cellStyle name="Normal 3 3 11 6 12 2" xfId="27997" xr:uid="{00000000-0005-0000-0000-0000546D0000}"/>
    <cellStyle name="Normal 3 3 11 6 12 3" xfId="27998" xr:uid="{00000000-0005-0000-0000-0000556D0000}"/>
    <cellStyle name="Normal 3 3 11 6 13" xfId="27999" xr:uid="{00000000-0005-0000-0000-0000566D0000}"/>
    <cellStyle name="Normal 3 3 11 6 13 2" xfId="28000" xr:uid="{00000000-0005-0000-0000-0000576D0000}"/>
    <cellStyle name="Normal 3 3 11 6 13 3" xfId="28001" xr:uid="{00000000-0005-0000-0000-0000586D0000}"/>
    <cellStyle name="Normal 3 3 11 6 14" xfId="28002" xr:uid="{00000000-0005-0000-0000-0000596D0000}"/>
    <cellStyle name="Normal 3 3 11 6 14 2" xfId="28003" xr:uid="{00000000-0005-0000-0000-00005A6D0000}"/>
    <cellStyle name="Normal 3 3 11 6 14 3" xfId="28004" xr:uid="{00000000-0005-0000-0000-00005B6D0000}"/>
    <cellStyle name="Normal 3 3 11 6 15" xfId="28005" xr:uid="{00000000-0005-0000-0000-00005C6D0000}"/>
    <cellStyle name="Normal 3 3 11 6 16" xfId="28006" xr:uid="{00000000-0005-0000-0000-00005D6D0000}"/>
    <cellStyle name="Normal 3 3 11 6 2" xfId="28007" xr:uid="{00000000-0005-0000-0000-00005E6D0000}"/>
    <cellStyle name="Normal 3 3 11 6 2 2" xfId="28008" xr:uid="{00000000-0005-0000-0000-00005F6D0000}"/>
    <cellStyle name="Normal 3 3 11 6 2 3" xfId="28009" xr:uid="{00000000-0005-0000-0000-0000606D0000}"/>
    <cellStyle name="Normal 3 3 11 6 3" xfId="28010" xr:uid="{00000000-0005-0000-0000-0000616D0000}"/>
    <cellStyle name="Normal 3 3 11 6 3 2" xfId="28011" xr:uid="{00000000-0005-0000-0000-0000626D0000}"/>
    <cellStyle name="Normal 3 3 11 6 3 3" xfId="28012" xr:uid="{00000000-0005-0000-0000-0000636D0000}"/>
    <cellStyle name="Normal 3 3 11 6 4" xfId="28013" xr:uid="{00000000-0005-0000-0000-0000646D0000}"/>
    <cellStyle name="Normal 3 3 11 6 4 2" xfId="28014" xr:uid="{00000000-0005-0000-0000-0000656D0000}"/>
    <cellStyle name="Normal 3 3 11 6 4 3" xfId="28015" xr:uid="{00000000-0005-0000-0000-0000666D0000}"/>
    <cellStyle name="Normal 3 3 11 6 5" xfId="28016" xr:uid="{00000000-0005-0000-0000-0000676D0000}"/>
    <cellStyle name="Normal 3 3 11 6 5 2" xfId="28017" xr:uid="{00000000-0005-0000-0000-0000686D0000}"/>
    <cellStyle name="Normal 3 3 11 6 5 3" xfId="28018" xr:uid="{00000000-0005-0000-0000-0000696D0000}"/>
    <cellStyle name="Normal 3 3 11 6 6" xfId="28019" xr:uid="{00000000-0005-0000-0000-00006A6D0000}"/>
    <cellStyle name="Normal 3 3 11 6 6 2" xfId="28020" xr:uid="{00000000-0005-0000-0000-00006B6D0000}"/>
    <cellStyle name="Normal 3 3 11 6 6 3" xfId="28021" xr:uid="{00000000-0005-0000-0000-00006C6D0000}"/>
    <cellStyle name="Normal 3 3 11 6 7" xfId="28022" xr:uid="{00000000-0005-0000-0000-00006D6D0000}"/>
    <cellStyle name="Normal 3 3 11 6 7 2" xfId="28023" xr:uid="{00000000-0005-0000-0000-00006E6D0000}"/>
    <cellStyle name="Normal 3 3 11 6 7 3" xfId="28024" xr:uid="{00000000-0005-0000-0000-00006F6D0000}"/>
    <cellStyle name="Normal 3 3 11 6 8" xfId="28025" xr:uid="{00000000-0005-0000-0000-0000706D0000}"/>
    <cellStyle name="Normal 3 3 11 6 8 2" xfId="28026" xr:uid="{00000000-0005-0000-0000-0000716D0000}"/>
    <cellStyle name="Normal 3 3 11 6 8 3" xfId="28027" xr:uid="{00000000-0005-0000-0000-0000726D0000}"/>
    <cellStyle name="Normal 3 3 11 6 9" xfId="28028" xr:uid="{00000000-0005-0000-0000-0000736D0000}"/>
    <cellStyle name="Normal 3 3 11 6 9 2" xfId="28029" xr:uid="{00000000-0005-0000-0000-0000746D0000}"/>
    <cellStyle name="Normal 3 3 11 6 9 3" xfId="28030" xr:uid="{00000000-0005-0000-0000-0000756D0000}"/>
    <cellStyle name="Normal 3 3 11 7" xfId="28031" xr:uid="{00000000-0005-0000-0000-0000766D0000}"/>
    <cellStyle name="Normal 3 3 11 7 10" xfId="28032" xr:uid="{00000000-0005-0000-0000-0000776D0000}"/>
    <cellStyle name="Normal 3 3 11 7 10 2" xfId="28033" xr:uid="{00000000-0005-0000-0000-0000786D0000}"/>
    <cellStyle name="Normal 3 3 11 7 10 3" xfId="28034" xr:uid="{00000000-0005-0000-0000-0000796D0000}"/>
    <cellStyle name="Normal 3 3 11 7 11" xfId="28035" xr:uid="{00000000-0005-0000-0000-00007A6D0000}"/>
    <cellStyle name="Normal 3 3 11 7 11 2" xfId="28036" xr:uid="{00000000-0005-0000-0000-00007B6D0000}"/>
    <cellStyle name="Normal 3 3 11 7 11 3" xfId="28037" xr:uid="{00000000-0005-0000-0000-00007C6D0000}"/>
    <cellStyle name="Normal 3 3 11 7 12" xfId="28038" xr:uid="{00000000-0005-0000-0000-00007D6D0000}"/>
    <cellStyle name="Normal 3 3 11 7 12 2" xfId="28039" xr:uid="{00000000-0005-0000-0000-00007E6D0000}"/>
    <cellStyle name="Normal 3 3 11 7 12 3" xfId="28040" xr:uid="{00000000-0005-0000-0000-00007F6D0000}"/>
    <cellStyle name="Normal 3 3 11 7 13" xfId="28041" xr:uid="{00000000-0005-0000-0000-0000806D0000}"/>
    <cellStyle name="Normal 3 3 11 7 13 2" xfId="28042" xr:uid="{00000000-0005-0000-0000-0000816D0000}"/>
    <cellStyle name="Normal 3 3 11 7 13 3" xfId="28043" xr:uid="{00000000-0005-0000-0000-0000826D0000}"/>
    <cellStyle name="Normal 3 3 11 7 14" xfId="28044" xr:uid="{00000000-0005-0000-0000-0000836D0000}"/>
    <cellStyle name="Normal 3 3 11 7 14 2" xfId="28045" xr:uid="{00000000-0005-0000-0000-0000846D0000}"/>
    <cellStyle name="Normal 3 3 11 7 14 3" xfId="28046" xr:uid="{00000000-0005-0000-0000-0000856D0000}"/>
    <cellStyle name="Normal 3 3 11 7 15" xfId="28047" xr:uid="{00000000-0005-0000-0000-0000866D0000}"/>
    <cellStyle name="Normal 3 3 11 7 16" xfId="28048" xr:uid="{00000000-0005-0000-0000-0000876D0000}"/>
    <cellStyle name="Normal 3 3 11 7 2" xfId="28049" xr:uid="{00000000-0005-0000-0000-0000886D0000}"/>
    <cellStyle name="Normal 3 3 11 7 2 2" xfId="28050" xr:uid="{00000000-0005-0000-0000-0000896D0000}"/>
    <cellStyle name="Normal 3 3 11 7 2 3" xfId="28051" xr:uid="{00000000-0005-0000-0000-00008A6D0000}"/>
    <cellStyle name="Normal 3 3 11 7 3" xfId="28052" xr:uid="{00000000-0005-0000-0000-00008B6D0000}"/>
    <cellStyle name="Normal 3 3 11 7 3 2" xfId="28053" xr:uid="{00000000-0005-0000-0000-00008C6D0000}"/>
    <cellStyle name="Normal 3 3 11 7 3 3" xfId="28054" xr:uid="{00000000-0005-0000-0000-00008D6D0000}"/>
    <cellStyle name="Normal 3 3 11 7 4" xfId="28055" xr:uid="{00000000-0005-0000-0000-00008E6D0000}"/>
    <cellStyle name="Normal 3 3 11 7 4 2" xfId="28056" xr:uid="{00000000-0005-0000-0000-00008F6D0000}"/>
    <cellStyle name="Normal 3 3 11 7 4 3" xfId="28057" xr:uid="{00000000-0005-0000-0000-0000906D0000}"/>
    <cellStyle name="Normal 3 3 11 7 5" xfId="28058" xr:uid="{00000000-0005-0000-0000-0000916D0000}"/>
    <cellStyle name="Normal 3 3 11 7 5 2" xfId="28059" xr:uid="{00000000-0005-0000-0000-0000926D0000}"/>
    <cellStyle name="Normal 3 3 11 7 5 3" xfId="28060" xr:uid="{00000000-0005-0000-0000-0000936D0000}"/>
    <cellStyle name="Normal 3 3 11 7 6" xfId="28061" xr:uid="{00000000-0005-0000-0000-0000946D0000}"/>
    <cellStyle name="Normal 3 3 11 7 6 2" xfId="28062" xr:uid="{00000000-0005-0000-0000-0000956D0000}"/>
    <cellStyle name="Normal 3 3 11 7 6 3" xfId="28063" xr:uid="{00000000-0005-0000-0000-0000966D0000}"/>
    <cellStyle name="Normal 3 3 11 7 7" xfId="28064" xr:uid="{00000000-0005-0000-0000-0000976D0000}"/>
    <cellStyle name="Normal 3 3 11 7 7 2" xfId="28065" xr:uid="{00000000-0005-0000-0000-0000986D0000}"/>
    <cellStyle name="Normal 3 3 11 7 7 3" xfId="28066" xr:uid="{00000000-0005-0000-0000-0000996D0000}"/>
    <cellStyle name="Normal 3 3 11 7 8" xfId="28067" xr:uid="{00000000-0005-0000-0000-00009A6D0000}"/>
    <cellStyle name="Normal 3 3 11 7 8 2" xfId="28068" xr:uid="{00000000-0005-0000-0000-00009B6D0000}"/>
    <cellStyle name="Normal 3 3 11 7 8 3" xfId="28069" xr:uid="{00000000-0005-0000-0000-00009C6D0000}"/>
    <cellStyle name="Normal 3 3 11 7 9" xfId="28070" xr:uid="{00000000-0005-0000-0000-00009D6D0000}"/>
    <cellStyle name="Normal 3 3 11 7 9 2" xfId="28071" xr:uid="{00000000-0005-0000-0000-00009E6D0000}"/>
    <cellStyle name="Normal 3 3 11 7 9 3" xfId="28072" xr:uid="{00000000-0005-0000-0000-00009F6D0000}"/>
    <cellStyle name="Normal 3 3 11 8" xfId="28073" xr:uid="{00000000-0005-0000-0000-0000A06D0000}"/>
    <cellStyle name="Normal 3 3 11 8 10" xfId="28074" xr:uid="{00000000-0005-0000-0000-0000A16D0000}"/>
    <cellStyle name="Normal 3 3 11 8 10 2" xfId="28075" xr:uid="{00000000-0005-0000-0000-0000A26D0000}"/>
    <cellStyle name="Normal 3 3 11 8 10 3" xfId="28076" xr:uid="{00000000-0005-0000-0000-0000A36D0000}"/>
    <cellStyle name="Normal 3 3 11 8 11" xfId="28077" xr:uid="{00000000-0005-0000-0000-0000A46D0000}"/>
    <cellStyle name="Normal 3 3 11 8 11 2" xfId="28078" xr:uid="{00000000-0005-0000-0000-0000A56D0000}"/>
    <cellStyle name="Normal 3 3 11 8 11 3" xfId="28079" xr:uid="{00000000-0005-0000-0000-0000A66D0000}"/>
    <cellStyle name="Normal 3 3 11 8 12" xfId="28080" xr:uid="{00000000-0005-0000-0000-0000A76D0000}"/>
    <cellStyle name="Normal 3 3 11 8 12 2" xfId="28081" xr:uid="{00000000-0005-0000-0000-0000A86D0000}"/>
    <cellStyle name="Normal 3 3 11 8 12 3" xfId="28082" xr:uid="{00000000-0005-0000-0000-0000A96D0000}"/>
    <cellStyle name="Normal 3 3 11 8 13" xfId="28083" xr:uid="{00000000-0005-0000-0000-0000AA6D0000}"/>
    <cellStyle name="Normal 3 3 11 8 13 2" xfId="28084" xr:uid="{00000000-0005-0000-0000-0000AB6D0000}"/>
    <cellStyle name="Normal 3 3 11 8 13 3" xfId="28085" xr:uid="{00000000-0005-0000-0000-0000AC6D0000}"/>
    <cellStyle name="Normal 3 3 11 8 14" xfId="28086" xr:uid="{00000000-0005-0000-0000-0000AD6D0000}"/>
    <cellStyle name="Normal 3 3 11 8 14 2" xfId="28087" xr:uid="{00000000-0005-0000-0000-0000AE6D0000}"/>
    <cellStyle name="Normal 3 3 11 8 14 3" xfId="28088" xr:uid="{00000000-0005-0000-0000-0000AF6D0000}"/>
    <cellStyle name="Normal 3 3 11 8 15" xfId="28089" xr:uid="{00000000-0005-0000-0000-0000B06D0000}"/>
    <cellStyle name="Normal 3 3 11 8 16" xfId="28090" xr:uid="{00000000-0005-0000-0000-0000B16D0000}"/>
    <cellStyle name="Normal 3 3 11 8 2" xfId="28091" xr:uid="{00000000-0005-0000-0000-0000B26D0000}"/>
    <cellStyle name="Normal 3 3 11 8 2 2" xfId="28092" xr:uid="{00000000-0005-0000-0000-0000B36D0000}"/>
    <cellStyle name="Normal 3 3 11 8 2 3" xfId="28093" xr:uid="{00000000-0005-0000-0000-0000B46D0000}"/>
    <cellStyle name="Normal 3 3 11 8 3" xfId="28094" xr:uid="{00000000-0005-0000-0000-0000B56D0000}"/>
    <cellStyle name="Normal 3 3 11 8 3 2" xfId="28095" xr:uid="{00000000-0005-0000-0000-0000B66D0000}"/>
    <cellStyle name="Normal 3 3 11 8 3 3" xfId="28096" xr:uid="{00000000-0005-0000-0000-0000B76D0000}"/>
    <cellStyle name="Normal 3 3 11 8 4" xfId="28097" xr:uid="{00000000-0005-0000-0000-0000B86D0000}"/>
    <cellStyle name="Normal 3 3 11 8 4 2" xfId="28098" xr:uid="{00000000-0005-0000-0000-0000B96D0000}"/>
    <cellStyle name="Normal 3 3 11 8 4 3" xfId="28099" xr:uid="{00000000-0005-0000-0000-0000BA6D0000}"/>
    <cellStyle name="Normal 3 3 11 8 5" xfId="28100" xr:uid="{00000000-0005-0000-0000-0000BB6D0000}"/>
    <cellStyle name="Normal 3 3 11 8 5 2" xfId="28101" xr:uid="{00000000-0005-0000-0000-0000BC6D0000}"/>
    <cellStyle name="Normal 3 3 11 8 5 3" xfId="28102" xr:uid="{00000000-0005-0000-0000-0000BD6D0000}"/>
    <cellStyle name="Normal 3 3 11 8 6" xfId="28103" xr:uid="{00000000-0005-0000-0000-0000BE6D0000}"/>
    <cellStyle name="Normal 3 3 11 8 6 2" xfId="28104" xr:uid="{00000000-0005-0000-0000-0000BF6D0000}"/>
    <cellStyle name="Normal 3 3 11 8 6 3" xfId="28105" xr:uid="{00000000-0005-0000-0000-0000C06D0000}"/>
    <cellStyle name="Normal 3 3 11 8 7" xfId="28106" xr:uid="{00000000-0005-0000-0000-0000C16D0000}"/>
    <cellStyle name="Normal 3 3 11 8 7 2" xfId="28107" xr:uid="{00000000-0005-0000-0000-0000C26D0000}"/>
    <cellStyle name="Normal 3 3 11 8 7 3" xfId="28108" xr:uid="{00000000-0005-0000-0000-0000C36D0000}"/>
    <cellStyle name="Normal 3 3 11 8 8" xfId="28109" xr:uid="{00000000-0005-0000-0000-0000C46D0000}"/>
    <cellStyle name="Normal 3 3 11 8 8 2" xfId="28110" xr:uid="{00000000-0005-0000-0000-0000C56D0000}"/>
    <cellStyle name="Normal 3 3 11 8 8 3" xfId="28111" xr:uid="{00000000-0005-0000-0000-0000C66D0000}"/>
    <cellStyle name="Normal 3 3 11 8 9" xfId="28112" xr:uid="{00000000-0005-0000-0000-0000C76D0000}"/>
    <cellStyle name="Normal 3 3 11 8 9 2" xfId="28113" xr:uid="{00000000-0005-0000-0000-0000C86D0000}"/>
    <cellStyle name="Normal 3 3 11 8 9 3" xfId="28114" xr:uid="{00000000-0005-0000-0000-0000C96D0000}"/>
    <cellStyle name="Normal 3 3 11 9" xfId="28115" xr:uid="{00000000-0005-0000-0000-0000CA6D0000}"/>
    <cellStyle name="Normal 3 3 11 9 10" xfId="28116" xr:uid="{00000000-0005-0000-0000-0000CB6D0000}"/>
    <cellStyle name="Normal 3 3 11 9 10 2" xfId="28117" xr:uid="{00000000-0005-0000-0000-0000CC6D0000}"/>
    <cellStyle name="Normal 3 3 11 9 10 3" xfId="28118" xr:uid="{00000000-0005-0000-0000-0000CD6D0000}"/>
    <cellStyle name="Normal 3 3 11 9 11" xfId="28119" xr:uid="{00000000-0005-0000-0000-0000CE6D0000}"/>
    <cellStyle name="Normal 3 3 11 9 11 2" xfId="28120" xr:uid="{00000000-0005-0000-0000-0000CF6D0000}"/>
    <cellStyle name="Normal 3 3 11 9 11 3" xfId="28121" xr:uid="{00000000-0005-0000-0000-0000D06D0000}"/>
    <cellStyle name="Normal 3 3 11 9 12" xfId="28122" xr:uid="{00000000-0005-0000-0000-0000D16D0000}"/>
    <cellStyle name="Normal 3 3 11 9 12 2" xfId="28123" xr:uid="{00000000-0005-0000-0000-0000D26D0000}"/>
    <cellStyle name="Normal 3 3 11 9 12 3" xfId="28124" xr:uid="{00000000-0005-0000-0000-0000D36D0000}"/>
    <cellStyle name="Normal 3 3 11 9 13" xfId="28125" xr:uid="{00000000-0005-0000-0000-0000D46D0000}"/>
    <cellStyle name="Normal 3 3 11 9 13 2" xfId="28126" xr:uid="{00000000-0005-0000-0000-0000D56D0000}"/>
    <cellStyle name="Normal 3 3 11 9 13 3" xfId="28127" xr:uid="{00000000-0005-0000-0000-0000D66D0000}"/>
    <cellStyle name="Normal 3 3 11 9 14" xfId="28128" xr:uid="{00000000-0005-0000-0000-0000D76D0000}"/>
    <cellStyle name="Normal 3 3 11 9 14 2" xfId="28129" xr:uid="{00000000-0005-0000-0000-0000D86D0000}"/>
    <cellStyle name="Normal 3 3 11 9 14 3" xfId="28130" xr:uid="{00000000-0005-0000-0000-0000D96D0000}"/>
    <cellStyle name="Normal 3 3 11 9 15" xfId="28131" xr:uid="{00000000-0005-0000-0000-0000DA6D0000}"/>
    <cellStyle name="Normal 3 3 11 9 16" xfId="28132" xr:uid="{00000000-0005-0000-0000-0000DB6D0000}"/>
    <cellStyle name="Normal 3 3 11 9 2" xfId="28133" xr:uid="{00000000-0005-0000-0000-0000DC6D0000}"/>
    <cellStyle name="Normal 3 3 11 9 2 2" xfId="28134" xr:uid="{00000000-0005-0000-0000-0000DD6D0000}"/>
    <cellStyle name="Normal 3 3 11 9 2 3" xfId="28135" xr:uid="{00000000-0005-0000-0000-0000DE6D0000}"/>
    <cellStyle name="Normal 3 3 11 9 3" xfId="28136" xr:uid="{00000000-0005-0000-0000-0000DF6D0000}"/>
    <cellStyle name="Normal 3 3 11 9 3 2" xfId="28137" xr:uid="{00000000-0005-0000-0000-0000E06D0000}"/>
    <cellStyle name="Normal 3 3 11 9 3 3" xfId="28138" xr:uid="{00000000-0005-0000-0000-0000E16D0000}"/>
    <cellStyle name="Normal 3 3 11 9 4" xfId="28139" xr:uid="{00000000-0005-0000-0000-0000E26D0000}"/>
    <cellStyle name="Normal 3 3 11 9 4 2" xfId="28140" xr:uid="{00000000-0005-0000-0000-0000E36D0000}"/>
    <cellStyle name="Normal 3 3 11 9 4 3" xfId="28141" xr:uid="{00000000-0005-0000-0000-0000E46D0000}"/>
    <cellStyle name="Normal 3 3 11 9 5" xfId="28142" xr:uid="{00000000-0005-0000-0000-0000E56D0000}"/>
    <cellStyle name="Normal 3 3 11 9 5 2" xfId="28143" xr:uid="{00000000-0005-0000-0000-0000E66D0000}"/>
    <cellStyle name="Normal 3 3 11 9 5 3" xfId="28144" xr:uid="{00000000-0005-0000-0000-0000E76D0000}"/>
    <cellStyle name="Normal 3 3 11 9 6" xfId="28145" xr:uid="{00000000-0005-0000-0000-0000E86D0000}"/>
    <cellStyle name="Normal 3 3 11 9 6 2" xfId="28146" xr:uid="{00000000-0005-0000-0000-0000E96D0000}"/>
    <cellStyle name="Normal 3 3 11 9 6 3" xfId="28147" xr:uid="{00000000-0005-0000-0000-0000EA6D0000}"/>
    <cellStyle name="Normal 3 3 11 9 7" xfId="28148" xr:uid="{00000000-0005-0000-0000-0000EB6D0000}"/>
    <cellStyle name="Normal 3 3 11 9 7 2" xfId="28149" xr:uid="{00000000-0005-0000-0000-0000EC6D0000}"/>
    <cellStyle name="Normal 3 3 11 9 7 3" xfId="28150" xr:uid="{00000000-0005-0000-0000-0000ED6D0000}"/>
    <cellStyle name="Normal 3 3 11 9 8" xfId="28151" xr:uid="{00000000-0005-0000-0000-0000EE6D0000}"/>
    <cellStyle name="Normal 3 3 11 9 8 2" xfId="28152" xr:uid="{00000000-0005-0000-0000-0000EF6D0000}"/>
    <cellStyle name="Normal 3 3 11 9 8 3" xfId="28153" xr:uid="{00000000-0005-0000-0000-0000F06D0000}"/>
    <cellStyle name="Normal 3 3 11 9 9" xfId="28154" xr:uid="{00000000-0005-0000-0000-0000F16D0000}"/>
    <cellStyle name="Normal 3 3 11 9 9 2" xfId="28155" xr:uid="{00000000-0005-0000-0000-0000F26D0000}"/>
    <cellStyle name="Normal 3 3 11 9 9 3" xfId="28156" xr:uid="{00000000-0005-0000-0000-0000F36D0000}"/>
    <cellStyle name="Normal 3 3 12" xfId="28157" xr:uid="{00000000-0005-0000-0000-0000F46D0000}"/>
    <cellStyle name="Normal 3 3 12 10" xfId="28158" xr:uid="{00000000-0005-0000-0000-0000F56D0000}"/>
    <cellStyle name="Normal 3 3 12 10 10" xfId="28159" xr:uid="{00000000-0005-0000-0000-0000F66D0000}"/>
    <cellStyle name="Normal 3 3 12 10 10 2" xfId="28160" xr:uid="{00000000-0005-0000-0000-0000F76D0000}"/>
    <cellStyle name="Normal 3 3 12 10 10 3" xfId="28161" xr:uid="{00000000-0005-0000-0000-0000F86D0000}"/>
    <cellStyle name="Normal 3 3 12 10 11" xfId="28162" xr:uid="{00000000-0005-0000-0000-0000F96D0000}"/>
    <cellStyle name="Normal 3 3 12 10 11 2" xfId="28163" xr:uid="{00000000-0005-0000-0000-0000FA6D0000}"/>
    <cellStyle name="Normal 3 3 12 10 11 3" xfId="28164" xr:uid="{00000000-0005-0000-0000-0000FB6D0000}"/>
    <cellStyle name="Normal 3 3 12 10 12" xfId="28165" xr:uid="{00000000-0005-0000-0000-0000FC6D0000}"/>
    <cellStyle name="Normal 3 3 12 10 12 2" xfId="28166" xr:uid="{00000000-0005-0000-0000-0000FD6D0000}"/>
    <cellStyle name="Normal 3 3 12 10 12 3" xfId="28167" xr:uid="{00000000-0005-0000-0000-0000FE6D0000}"/>
    <cellStyle name="Normal 3 3 12 10 13" xfId="28168" xr:uid="{00000000-0005-0000-0000-0000FF6D0000}"/>
    <cellStyle name="Normal 3 3 12 10 13 2" xfId="28169" xr:uid="{00000000-0005-0000-0000-0000006E0000}"/>
    <cellStyle name="Normal 3 3 12 10 13 3" xfId="28170" xr:uid="{00000000-0005-0000-0000-0000016E0000}"/>
    <cellStyle name="Normal 3 3 12 10 14" xfId="28171" xr:uid="{00000000-0005-0000-0000-0000026E0000}"/>
    <cellStyle name="Normal 3 3 12 10 14 2" xfId="28172" xr:uid="{00000000-0005-0000-0000-0000036E0000}"/>
    <cellStyle name="Normal 3 3 12 10 14 3" xfId="28173" xr:uid="{00000000-0005-0000-0000-0000046E0000}"/>
    <cellStyle name="Normal 3 3 12 10 15" xfId="28174" xr:uid="{00000000-0005-0000-0000-0000056E0000}"/>
    <cellStyle name="Normal 3 3 12 10 16" xfId="28175" xr:uid="{00000000-0005-0000-0000-0000066E0000}"/>
    <cellStyle name="Normal 3 3 12 10 2" xfId="28176" xr:uid="{00000000-0005-0000-0000-0000076E0000}"/>
    <cellStyle name="Normal 3 3 12 10 2 2" xfId="28177" xr:uid="{00000000-0005-0000-0000-0000086E0000}"/>
    <cellStyle name="Normal 3 3 12 10 2 3" xfId="28178" xr:uid="{00000000-0005-0000-0000-0000096E0000}"/>
    <cellStyle name="Normal 3 3 12 10 3" xfId="28179" xr:uid="{00000000-0005-0000-0000-00000A6E0000}"/>
    <cellStyle name="Normal 3 3 12 10 3 2" xfId="28180" xr:uid="{00000000-0005-0000-0000-00000B6E0000}"/>
    <cellStyle name="Normal 3 3 12 10 3 3" xfId="28181" xr:uid="{00000000-0005-0000-0000-00000C6E0000}"/>
    <cellStyle name="Normal 3 3 12 10 4" xfId="28182" xr:uid="{00000000-0005-0000-0000-00000D6E0000}"/>
    <cellStyle name="Normal 3 3 12 10 4 2" xfId="28183" xr:uid="{00000000-0005-0000-0000-00000E6E0000}"/>
    <cellStyle name="Normal 3 3 12 10 4 3" xfId="28184" xr:uid="{00000000-0005-0000-0000-00000F6E0000}"/>
    <cellStyle name="Normal 3 3 12 10 5" xfId="28185" xr:uid="{00000000-0005-0000-0000-0000106E0000}"/>
    <cellStyle name="Normal 3 3 12 10 5 2" xfId="28186" xr:uid="{00000000-0005-0000-0000-0000116E0000}"/>
    <cellStyle name="Normal 3 3 12 10 5 3" xfId="28187" xr:uid="{00000000-0005-0000-0000-0000126E0000}"/>
    <cellStyle name="Normal 3 3 12 10 6" xfId="28188" xr:uid="{00000000-0005-0000-0000-0000136E0000}"/>
    <cellStyle name="Normal 3 3 12 10 6 2" xfId="28189" xr:uid="{00000000-0005-0000-0000-0000146E0000}"/>
    <cellStyle name="Normal 3 3 12 10 6 3" xfId="28190" xr:uid="{00000000-0005-0000-0000-0000156E0000}"/>
    <cellStyle name="Normal 3 3 12 10 7" xfId="28191" xr:uid="{00000000-0005-0000-0000-0000166E0000}"/>
    <cellStyle name="Normal 3 3 12 10 7 2" xfId="28192" xr:uid="{00000000-0005-0000-0000-0000176E0000}"/>
    <cellStyle name="Normal 3 3 12 10 7 3" xfId="28193" xr:uid="{00000000-0005-0000-0000-0000186E0000}"/>
    <cellStyle name="Normal 3 3 12 10 8" xfId="28194" xr:uid="{00000000-0005-0000-0000-0000196E0000}"/>
    <cellStyle name="Normal 3 3 12 10 8 2" xfId="28195" xr:uid="{00000000-0005-0000-0000-00001A6E0000}"/>
    <cellStyle name="Normal 3 3 12 10 8 3" xfId="28196" xr:uid="{00000000-0005-0000-0000-00001B6E0000}"/>
    <cellStyle name="Normal 3 3 12 10 9" xfId="28197" xr:uid="{00000000-0005-0000-0000-00001C6E0000}"/>
    <cellStyle name="Normal 3 3 12 10 9 2" xfId="28198" xr:uid="{00000000-0005-0000-0000-00001D6E0000}"/>
    <cellStyle name="Normal 3 3 12 10 9 3" xfId="28199" xr:uid="{00000000-0005-0000-0000-00001E6E0000}"/>
    <cellStyle name="Normal 3 3 12 11" xfId="28200" xr:uid="{00000000-0005-0000-0000-00001F6E0000}"/>
    <cellStyle name="Normal 3 3 12 11 2" xfId="28201" xr:uid="{00000000-0005-0000-0000-0000206E0000}"/>
    <cellStyle name="Normal 3 3 12 11 3" xfId="28202" xr:uid="{00000000-0005-0000-0000-0000216E0000}"/>
    <cellStyle name="Normal 3 3 12 12" xfId="28203" xr:uid="{00000000-0005-0000-0000-0000226E0000}"/>
    <cellStyle name="Normal 3 3 12 12 2" xfId="28204" xr:uid="{00000000-0005-0000-0000-0000236E0000}"/>
    <cellStyle name="Normal 3 3 12 12 3" xfId="28205" xr:uid="{00000000-0005-0000-0000-0000246E0000}"/>
    <cellStyle name="Normal 3 3 12 13" xfId="28206" xr:uid="{00000000-0005-0000-0000-0000256E0000}"/>
    <cellStyle name="Normal 3 3 12 13 2" xfId="28207" xr:uid="{00000000-0005-0000-0000-0000266E0000}"/>
    <cellStyle name="Normal 3 3 12 13 3" xfId="28208" xr:uid="{00000000-0005-0000-0000-0000276E0000}"/>
    <cellStyle name="Normal 3 3 12 14" xfId="28209" xr:uid="{00000000-0005-0000-0000-0000286E0000}"/>
    <cellStyle name="Normal 3 3 12 14 2" xfId="28210" xr:uid="{00000000-0005-0000-0000-0000296E0000}"/>
    <cellStyle name="Normal 3 3 12 14 3" xfId="28211" xr:uid="{00000000-0005-0000-0000-00002A6E0000}"/>
    <cellStyle name="Normal 3 3 12 15" xfId="28212" xr:uid="{00000000-0005-0000-0000-00002B6E0000}"/>
    <cellStyle name="Normal 3 3 12 15 2" xfId="28213" xr:uid="{00000000-0005-0000-0000-00002C6E0000}"/>
    <cellStyle name="Normal 3 3 12 15 3" xfId="28214" xr:uid="{00000000-0005-0000-0000-00002D6E0000}"/>
    <cellStyle name="Normal 3 3 12 16" xfId="28215" xr:uid="{00000000-0005-0000-0000-00002E6E0000}"/>
    <cellStyle name="Normal 3 3 12 16 2" xfId="28216" xr:uid="{00000000-0005-0000-0000-00002F6E0000}"/>
    <cellStyle name="Normal 3 3 12 16 3" xfId="28217" xr:uid="{00000000-0005-0000-0000-0000306E0000}"/>
    <cellStyle name="Normal 3 3 12 17" xfId="28218" xr:uid="{00000000-0005-0000-0000-0000316E0000}"/>
    <cellStyle name="Normal 3 3 12 17 2" xfId="28219" xr:uid="{00000000-0005-0000-0000-0000326E0000}"/>
    <cellStyle name="Normal 3 3 12 17 3" xfId="28220" xr:uid="{00000000-0005-0000-0000-0000336E0000}"/>
    <cellStyle name="Normal 3 3 12 18" xfId="28221" xr:uid="{00000000-0005-0000-0000-0000346E0000}"/>
    <cellStyle name="Normal 3 3 12 18 2" xfId="28222" xr:uid="{00000000-0005-0000-0000-0000356E0000}"/>
    <cellStyle name="Normal 3 3 12 18 3" xfId="28223" xr:uid="{00000000-0005-0000-0000-0000366E0000}"/>
    <cellStyle name="Normal 3 3 12 19" xfId="28224" xr:uid="{00000000-0005-0000-0000-0000376E0000}"/>
    <cellStyle name="Normal 3 3 12 19 2" xfId="28225" xr:uid="{00000000-0005-0000-0000-0000386E0000}"/>
    <cellStyle name="Normal 3 3 12 19 3" xfId="28226" xr:uid="{00000000-0005-0000-0000-0000396E0000}"/>
    <cellStyle name="Normal 3 3 12 2" xfId="28227" xr:uid="{00000000-0005-0000-0000-00003A6E0000}"/>
    <cellStyle name="Normal 3 3 12 2 10" xfId="28228" xr:uid="{00000000-0005-0000-0000-00003B6E0000}"/>
    <cellStyle name="Normal 3 3 12 2 10 2" xfId="28229" xr:uid="{00000000-0005-0000-0000-00003C6E0000}"/>
    <cellStyle name="Normal 3 3 12 2 10 3" xfId="28230" xr:uid="{00000000-0005-0000-0000-00003D6E0000}"/>
    <cellStyle name="Normal 3 3 12 2 11" xfId="28231" xr:uid="{00000000-0005-0000-0000-00003E6E0000}"/>
    <cellStyle name="Normal 3 3 12 2 11 2" xfId="28232" xr:uid="{00000000-0005-0000-0000-00003F6E0000}"/>
    <cellStyle name="Normal 3 3 12 2 11 3" xfId="28233" xr:uid="{00000000-0005-0000-0000-0000406E0000}"/>
    <cellStyle name="Normal 3 3 12 2 12" xfId="28234" xr:uid="{00000000-0005-0000-0000-0000416E0000}"/>
    <cellStyle name="Normal 3 3 12 2 12 2" xfId="28235" xr:uid="{00000000-0005-0000-0000-0000426E0000}"/>
    <cellStyle name="Normal 3 3 12 2 12 3" xfId="28236" xr:uid="{00000000-0005-0000-0000-0000436E0000}"/>
    <cellStyle name="Normal 3 3 12 2 13" xfId="28237" xr:uid="{00000000-0005-0000-0000-0000446E0000}"/>
    <cellStyle name="Normal 3 3 12 2 13 2" xfId="28238" xr:uid="{00000000-0005-0000-0000-0000456E0000}"/>
    <cellStyle name="Normal 3 3 12 2 13 3" xfId="28239" xr:uid="{00000000-0005-0000-0000-0000466E0000}"/>
    <cellStyle name="Normal 3 3 12 2 14" xfId="28240" xr:uid="{00000000-0005-0000-0000-0000476E0000}"/>
    <cellStyle name="Normal 3 3 12 2 14 2" xfId="28241" xr:uid="{00000000-0005-0000-0000-0000486E0000}"/>
    <cellStyle name="Normal 3 3 12 2 14 3" xfId="28242" xr:uid="{00000000-0005-0000-0000-0000496E0000}"/>
    <cellStyle name="Normal 3 3 12 2 15" xfId="28243" xr:uid="{00000000-0005-0000-0000-00004A6E0000}"/>
    <cellStyle name="Normal 3 3 12 2 15 2" xfId="28244" xr:uid="{00000000-0005-0000-0000-00004B6E0000}"/>
    <cellStyle name="Normal 3 3 12 2 15 3" xfId="28245" xr:uid="{00000000-0005-0000-0000-00004C6E0000}"/>
    <cellStyle name="Normal 3 3 12 2 16" xfId="28246" xr:uid="{00000000-0005-0000-0000-00004D6E0000}"/>
    <cellStyle name="Normal 3 3 12 2 17" xfId="28247" xr:uid="{00000000-0005-0000-0000-00004E6E0000}"/>
    <cellStyle name="Normal 3 3 12 2 2" xfId="28248" xr:uid="{00000000-0005-0000-0000-00004F6E0000}"/>
    <cellStyle name="Normal 3 3 12 2 2 10" xfId="28249" xr:uid="{00000000-0005-0000-0000-0000506E0000}"/>
    <cellStyle name="Normal 3 3 12 2 2 10 2" xfId="28250" xr:uid="{00000000-0005-0000-0000-0000516E0000}"/>
    <cellStyle name="Normal 3 3 12 2 2 10 3" xfId="28251" xr:uid="{00000000-0005-0000-0000-0000526E0000}"/>
    <cellStyle name="Normal 3 3 12 2 2 11" xfId="28252" xr:uid="{00000000-0005-0000-0000-0000536E0000}"/>
    <cellStyle name="Normal 3 3 12 2 2 11 2" xfId="28253" xr:uid="{00000000-0005-0000-0000-0000546E0000}"/>
    <cellStyle name="Normal 3 3 12 2 2 11 3" xfId="28254" xr:uid="{00000000-0005-0000-0000-0000556E0000}"/>
    <cellStyle name="Normal 3 3 12 2 2 12" xfId="28255" xr:uid="{00000000-0005-0000-0000-0000566E0000}"/>
    <cellStyle name="Normal 3 3 12 2 2 12 2" xfId="28256" xr:uid="{00000000-0005-0000-0000-0000576E0000}"/>
    <cellStyle name="Normal 3 3 12 2 2 12 3" xfId="28257" xr:uid="{00000000-0005-0000-0000-0000586E0000}"/>
    <cellStyle name="Normal 3 3 12 2 2 13" xfId="28258" xr:uid="{00000000-0005-0000-0000-0000596E0000}"/>
    <cellStyle name="Normal 3 3 12 2 2 13 2" xfId="28259" xr:uid="{00000000-0005-0000-0000-00005A6E0000}"/>
    <cellStyle name="Normal 3 3 12 2 2 13 3" xfId="28260" xr:uid="{00000000-0005-0000-0000-00005B6E0000}"/>
    <cellStyle name="Normal 3 3 12 2 2 14" xfId="28261" xr:uid="{00000000-0005-0000-0000-00005C6E0000}"/>
    <cellStyle name="Normal 3 3 12 2 2 14 2" xfId="28262" xr:uid="{00000000-0005-0000-0000-00005D6E0000}"/>
    <cellStyle name="Normal 3 3 12 2 2 14 3" xfId="28263" xr:uid="{00000000-0005-0000-0000-00005E6E0000}"/>
    <cellStyle name="Normal 3 3 12 2 2 15" xfId="28264" xr:uid="{00000000-0005-0000-0000-00005F6E0000}"/>
    <cellStyle name="Normal 3 3 12 2 2 16" xfId="28265" xr:uid="{00000000-0005-0000-0000-0000606E0000}"/>
    <cellStyle name="Normal 3 3 12 2 2 2" xfId="28266" xr:uid="{00000000-0005-0000-0000-0000616E0000}"/>
    <cellStyle name="Normal 3 3 12 2 2 2 2" xfId="28267" xr:uid="{00000000-0005-0000-0000-0000626E0000}"/>
    <cellStyle name="Normal 3 3 12 2 2 2 3" xfId="28268" xr:uid="{00000000-0005-0000-0000-0000636E0000}"/>
    <cellStyle name="Normal 3 3 12 2 2 3" xfId="28269" xr:uid="{00000000-0005-0000-0000-0000646E0000}"/>
    <cellStyle name="Normal 3 3 12 2 2 3 2" xfId="28270" xr:uid="{00000000-0005-0000-0000-0000656E0000}"/>
    <cellStyle name="Normal 3 3 12 2 2 3 3" xfId="28271" xr:uid="{00000000-0005-0000-0000-0000666E0000}"/>
    <cellStyle name="Normal 3 3 12 2 2 4" xfId="28272" xr:uid="{00000000-0005-0000-0000-0000676E0000}"/>
    <cellStyle name="Normal 3 3 12 2 2 4 2" xfId="28273" xr:uid="{00000000-0005-0000-0000-0000686E0000}"/>
    <cellStyle name="Normal 3 3 12 2 2 4 3" xfId="28274" xr:uid="{00000000-0005-0000-0000-0000696E0000}"/>
    <cellStyle name="Normal 3 3 12 2 2 5" xfId="28275" xr:uid="{00000000-0005-0000-0000-00006A6E0000}"/>
    <cellStyle name="Normal 3 3 12 2 2 5 2" xfId="28276" xr:uid="{00000000-0005-0000-0000-00006B6E0000}"/>
    <cellStyle name="Normal 3 3 12 2 2 5 3" xfId="28277" xr:uid="{00000000-0005-0000-0000-00006C6E0000}"/>
    <cellStyle name="Normal 3 3 12 2 2 6" xfId="28278" xr:uid="{00000000-0005-0000-0000-00006D6E0000}"/>
    <cellStyle name="Normal 3 3 12 2 2 6 2" xfId="28279" xr:uid="{00000000-0005-0000-0000-00006E6E0000}"/>
    <cellStyle name="Normal 3 3 12 2 2 6 3" xfId="28280" xr:uid="{00000000-0005-0000-0000-00006F6E0000}"/>
    <cellStyle name="Normal 3 3 12 2 2 7" xfId="28281" xr:uid="{00000000-0005-0000-0000-0000706E0000}"/>
    <cellStyle name="Normal 3 3 12 2 2 7 2" xfId="28282" xr:uid="{00000000-0005-0000-0000-0000716E0000}"/>
    <cellStyle name="Normal 3 3 12 2 2 7 3" xfId="28283" xr:uid="{00000000-0005-0000-0000-0000726E0000}"/>
    <cellStyle name="Normal 3 3 12 2 2 8" xfId="28284" xr:uid="{00000000-0005-0000-0000-0000736E0000}"/>
    <cellStyle name="Normal 3 3 12 2 2 8 2" xfId="28285" xr:uid="{00000000-0005-0000-0000-0000746E0000}"/>
    <cellStyle name="Normal 3 3 12 2 2 8 3" xfId="28286" xr:uid="{00000000-0005-0000-0000-0000756E0000}"/>
    <cellStyle name="Normal 3 3 12 2 2 9" xfId="28287" xr:uid="{00000000-0005-0000-0000-0000766E0000}"/>
    <cellStyle name="Normal 3 3 12 2 2 9 2" xfId="28288" xr:uid="{00000000-0005-0000-0000-0000776E0000}"/>
    <cellStyle name="Normal 3 3 12 2 2 9 3" xfId="28289" xr:uid="{00000000-0005-0000-0000-0000786E0000}"/>
    <cellStyle name="Normal 3 3 12 2 3" xfId="28290" xr:uid="{00000000-0005-0000-0000-0000796E0000}"/>
    <cellStyle name="Normal 3 3 12 2 3 2" xfId="28291" xr:uid="{00000000-0005-0000-0000-00007A6E0000}"/>
    <cellStyle name="Normal 3 3 12 2 3 3" xfId="28292" xr:uid="{00000000-0005-0000-0000-00007B6E0000}"/>
    <cellStyle name="Normal 3 3 12 2 4" xfId="28293" xr:uid="{00000000-0005-0000-0000-00007C6E0000}"/>
    <cellStyle name="Normal 3 3 12 2 4 2" xfId="28294" xr:uid="{00000000-0005-0000-0000-00007D6E0000}"/>
    <cellStyle name="Normal 3 3 12 2 4 3" xfId="28295" xr:uid="{00000000-0005-0000-0000-00007E6E0000}"/>
    <cellStyle name="Normal 3 3 12 2 5" xfId="28296" xr:uid="{00000000-0005-0000-0000-00007F6E0000}"/>
    <cellStyle name="Normal 3 3 12 2 5 2" xfId="28297" xr:uid="{00000000-0005-0000-0000-0000806E0000}"/>
    <cellStyle name="Normal 3 3 12 2 5 3" xfId="28298" xr:uid="{00000000-0005-0000-0000-0000816E0000}"/>
    <cellStyle name="Normal 3 3 12 2 6" xfId="28299" xr:uid="{00000000-0005-0000-0000-0000826E0000}"/>
    <cellStyle name="Normal 3 3 12 2 6 2" xfId="28300" xr:uid="{00000000-0005-0000-0000-0000836E0000}"/>
    <cellStyle name="Normal 3 3 12 2 6 3" xfId="28301" xr:uid="{00000000-0005-0000-0000-0000846E0000}"/>
    <cellStyle name="Normal 3 3 12 2 7" xfId="28302" xr:uid="{00000000-0005-0000-0000-0000856E0000}"/>
    <cellStyle name="Normal 3 3 12 2 7 2" xfId="28303" xr:uid="{00000000-0005-0000-0000-0000866E0000}"/>
    <cellStyle name="Normal 3 3 12 2 7 3" xfId="28304" xr:uid="{00000000-0005-0000-0000-0000876E0000}"/>
    <cellStyle name="Normal 3 3 12 2 8" xfId="28305" xr:uid="{00000000-0005-0000-0000-0000886E0000}"/>
    <cellStyle name="Normal 3 3 12 2 8 2" xfId="28306" xr:uid="{00000000-0005-0000-0000-0000896E0000}"/>
    <cellStyle name="Normal 3 3 12 2 8 3" xfId="28307" xr:uid="{00000000-0005-0000-0000-00008A6E0000}"/>
    <cellStyle name="Normal 3 3 12 2 9" xfId="28308" xr:uid="{00000000-0005-0000-0000-00008B6E0000}"/>
    <cellStyle name="Normal 3 3 12 2 9 2" xfId="28309" xr:uid="{00000000-0005-0000-0000-00008C6E0000}"/>
    <cellStyle name="Normal 3 3 12 2 9 3" xfId="28310" xr:uid="{00000000-0005-0000-0000-00008D6E0000}"/>
    <cellStyle name="Normal 3 3 12 20" xfId="28311" xr:uid="{00000000-0005-0000-0000-00008E6E0000}"/>
    <cellStyle name="Normal 3 3 12 20 2" xfId="28312" xr:uid="{00000000-0005-0000-0000-00008F6E0000}"/>
    <cellStyle name="Normal 3 3 12 20 3" xfId="28313" xr:uid="{00000000-0005-0000-0000-0000906E0000}"/>
    <cellStyle name="Normal 3 3 12 21" xfId="28314" xr:uid="{00000000-0005-0000-0000-0000916E0000}"/>
    <cellStyle name="Normal 3 3 12 21 2" xfId="28315" xr:uid="{00000000-0005-0000-0000-0000926E0000}"/>
    <cellStyle name="Normal 3 3 12 21 3" xfId="28316" xr:uid="{00000000-0005-0000-0000-0000936E0000}"/>
    <cellStyle name="Normal 3 3 12 22" xfId="28317" xr:uid="{00000000-0005-0000-0000-0000946E0000}"/>
    <cellStyle name="Normal 3 3 12 22 2" xfId="28318" xr:uid="{00000000-0005-0000-0000-0000956E0000}"/>
    <cellStyle name="Normal 3 3 12 22 3" xfId="28319" xr:uid="{00000000-0005-0000-0000-0000966E0000}"/>
    <cellStyle name="Normal 3 3 12 23" xfId="28320" xr:uid="{00000000-0005-0000-0000-0000976E0000}"/>
    <cellStyle name="Normal 3 3 12 23 2" xfId="28321" xr:uid="{00000000-0005-0000-0000-0000986E0000}"/>
    <cellStyle name="Normal 3 3 12 23 3" xfId="28322" xr:uid="{00000000-0005-0000-0000-0000996E0000}"/>
    <cellStyle name="Normal 3 3 12 24" xfId="28323" xr:uid="{00000000-0005-0000-0000-00009A6E0000}"/>
    <cellStyle name="Normal 3 3 12 25" xfId="28324" xr:uid="{00000000-0005-0000-0000-00009B6E0000}"/>
    <cellStyle name="Normal 3 3 12 3" xfId="28325" xr:uid="{00000000-0005-0000-0000-00009C6E0000}"/>
    <cellStyle name="Normal 3 3 12 3 10" xfId="28326" xr:uid="{00000000-0005-0000-0000-00009D6E0000}"/>
    <cellStyle name="Normal 3 3 12 3 10 2" xfId="28327" xr:uid="{00000000-0005-0000-0000-00009E6E0000}"/>
    <cellStyle name="Normal 3 3 12 3 10 3" xfId="28328" xr:uid="{00000000-0005-0000-0000-00009F6E0000}"/>
    <cellStyle name="Normal 3 3 12 3 11" xfId="28329" xr:uid="{00000000-0005-0000-0000-0000A06E0000}"/>
    <cellStyle name="Normal 3 3 12 3 11 2" xfId="28330" xr:uid="{00000000-0005-0000-0000-0000A16E0000}"/>
    <cellStyle name="Normal 3 3 12 3 11 3" xfId="28331" xr:uid="{00000000-0005-0000-0000-0000A26E0000}"/>
    <cellStyle name="Normal 3 3 12 3 12" xfId="28332" xr:uid="{00000000-0005-0000-0000-0000A36E0000}"/>
    <cellStyle name="Normal 3 3 12 3 12 2" xfId="28333" xr:uid="{00000000-0005-0000-0000-0000A46E0000}"/>
    <cellStyle name="Normal 3 3 12 3 12 3" xfId="28334" xr:uid="{00000000-0005-0000-0000-0000A56E0000}"/>
    <cellStyle name="Normal 3 3 12 3 13" xfId="28335" xr:uid="{00000000-0005-0000-0000-0000A66E0000}"/>
    <cellStyle name="Normal 3 3 12 3 13 2" xfId="28336" xr:uid="{00000000-0005-0000-0000-0000A76E0000}"/>
    <cellStyle name="Normal 3 3 12 3 13 3" xfId="28337" xr:uid="{00000000-0005-0000-0000-0000A86E0000}"/>
    <cellStyle name="Normal 3 3 12 3 14" xfId="28338" xr:uid="{00000000-0005-0000-0000-0000A96E0000}"/>
    <cellStyle name="Normal 3 3 12 3 14 2" xfId="28339" xr:uid="{00000000-0005-0000-0000-0000AA6E0000}"/>
    <cellStyle name="Normal 3 3 12 3 14 3" xfId="28340" xr:uid="{00000000-0005-0000-0000-0000AB6E0000}"/>
    <cellStyle name="Normal 3 3 12 3 15" xfId="28341" xr:uid="{00000000-0005-0000-0000-0000AC6E0000}"/>
    <cellStyle name="Normal 3 3 12 3 15 2" xfId="28342" xr:uid="{00000000-0005-0000-0000-0000AD6E0000}"/>
    <cellStyle name="Normal 3 3 12 3 15 3" xfId="28343" xr:uid="{00000000-0005-0000-0000-0000AE6E0000}"/>
    <cellStyle name="Normal 3 3 12 3 16" xfId="28344" xr:uid="{00000000-0005-0000-0000-0000AF6E0000}"/>
    <cellStyle name="Normal 3 3 12 3 17" xfId="28345" xr:uid="{00000000-0005-0000-0000-0000B06E0000}"/>
    <cellStyle name="Normal 3 3 12 3 2" xfId="28346" xr:uid="{00000000-0005-0000-0000-0000B16E0000}"/>
    <cellStyle name="Normal 3 3 12 3 2 10" xfId="28347" xr:uid="{00000000-0005-0000-0000-0000B26E0000}"/>
    <cellStyle name="Normal 3 3 12 3 2 10 2" xfId="28348" xr:uid="{00000000-0005-0000-0000-0000B36E0000}"/>
    <cellStyle name="Normal 3 3 12 3 2 10 3" xfId="28349" xr:uid="{00000000-0005-0000-0000-0000B46E0000}"/>
    <cellStyle name="Normal 3 3 12 3 2 11" xfId="28350" xr:uid="{00000000-0005-0000-0000-0000B56E0000}"/>
    <cellStyle name="Normal 3 3 12 3 2 11 2" xfId="28351" xr:uid="{00000000-0005-0000-0000-0000B66E0000}"/>
    <cellStyle name="Normal 3 3 12 3 2 11 3" xfId="28352" xr:uid="{00000000-0005-0000-0000-0000B76E0000}"/>
    <cellStyle name="Normal 3 3 12 3 2 12" xfId="28353" xr:uid="{00000000-0005-0000-0000-0000B86E0000}"/>
    <cellStyle name="Normal 3 3 12 3 2 12 2" xfId="28354" xr:uid="{00000000-0005-0000-0000-0000B96E0000}"/>
    <cellStyle name="Normal 3 3 12 3 2 12 3" xfId="28355" xr:uid="{00000000-0005-0000-0000-0000BA6E0000}"/>
    <cellStyle name="Normal 3 3 12 3 2 13" xfId="28356" xr:uid="{00000000-0005-0000-0000-0000BB6E0000}"/>
    <cellStyle name="Normal 3 3 12 3 2 13 2" xfId="28357" xr:uid="{00000000-0005-0000-0000-0000BC6E0000}"/>
    <cellStyle name="Normal 3 3 12 3 2 13 3" xfId="28358" xr:uid="{00000000-0005-0000-0000-0000BD6E0000}"/>
    <cellStyle name="Normal 3 3 12 3 2 14" xfId="28359" xr:uid="{00000000-0005-0000-0000-0000BE6E0000}"/>
    <cellStyle name="Normal 3 3 12 3 2 14 2" xfId="28360" xr:uid="{00000000-0005-0000-0000-0000BF6E0000}"/>
    <cellStyle name="Normal 3 3 12 3 2 14 3" xfId="28361" xr:uid="{00000000-0005-0000-0000-0000C06E0000}"/>
    <cellStyle name="Normal 3 3 12 3 2 15" xfId="28362" xr:uid="{00000000-0005-0000-0000-0000C16E0000}"/>
    <cellStyle name="Normal 3 3 12 3 2 16" xfId="28363" xr:uid="{00000000-0005-0000-0000-0000C26E0000}"/>
    <cellStyle name="Normal 3 3 12 3 2 2" xfId="28364" xr:uid="{00000000-0005-0000-0000-0000C36E0000}"/>
    <cellStyle name="Normal 3 3 12 3 2 2 2" xfId="28365" xr:uid="{00000000-0005-0000-0000-0000C46E0000}"/>
    <cellStyle name="Normal 3 3 12 3 2 2 3" xfId="28366" xr:uid="{00000000-0005-0000-0000-0000C56E0000}"/>
    <cellStyle name="Normal 3 3 12 3 2 3" xfId="28367" xr:uid="{00000000-0005-0000-0000-0000C66E0000}"/>
    <cellStyle name="Normal 3 3 12 3 2 3 2" xfId="28368" xr:uid="{00000000-0005-0000-0000-0000C76E0000}"/>
    <cellStyle name="Normal 3 3 12 3 2 3 3" xfId="28369" xr:uid="{00000000-0005-0000-0000-0000C86E0000}"/>
    <cellStyle name="Normal 3 3 12 3 2 4" xfId="28370" xr:uid="{00000000-0005-0000-0000-0000C96E0000}"/>
    <cellStyle name="Normal 3 3 12 3 2 4 2" xfId="28371" xr:uid="{00000000-0005-0000-0000-0000CA6E0000}"/>
    <cellStyle name="Normal 3 3 12 3 2 4 3" xfId="28372" xr:uid="{00000000-0005-0000-0000-0000CB6E0000}"/>
    <cellStyle name="Normal 3 3 12 3 2 5" xfId="28373" xr:uid="{00000000-0005-0000-0000-0000CC6E0000}"/>
    <cellStyle name="Normal 3 3 12 3 2 5 2" xfId="28374" xr:uid="{00000000-0005-0000-0000-0000CD6E0000}"/>
    <cellStyle name="Normal 3 3 12 3 2 5 3" xfId="28375" xr:uid="{00000000-0005-0000-0000-0000CE6E0000}"/>
    <cellStyle name="Normal 3 3 12 3 2 6" xfId="28376" xr:uid="{00000000-0005-0000-0000-0000CF6E0000}"/>
    <cellStyle name="Normal 3 3 12 3 2 6 2" xfId="28377" xr:uid="{00000000-0005-0000-0000-0000D06E0000}"/>
    <cellStyle name="Normal 3 3 12 3 2 6 3" xfId="28378" xr:uid="{00000000-0005-0000-0000-0000D16E0000}"/>
    <cellStyle name="Normal 3 3 12 3 2 7" xfId="28379" xr:uid="{00000000-0005-0000-0000-0000D26E0000}"/>
    <cellStyle name="Normal 3 3 12 3 2 7 2" xfId="28380" xr:uid="{00000000-0005-0000-0000-0000D36E0000}"/>
    <cellStyle name="Normal 3 3 12 3 2 7 3" xfId="28381" xr:uid="{00000000-0005-0000-0000-0000D46E0000}"/>
    <cellStyle name="Normal 3 3 12 3 2 8" xfId="28382" xr:uid="{00000000-0005-0000-0000-0000D56E0000}"/>
    <cellStyle name="Normal 3 3 12 3 2 8 2" xfId="28383" xr:uid="{00000000-0005-0000-0000-0000D66E0000}"/>
    <cellStyle name="Normal 3 3 12 3 2 8 3" xfId="28384" xr:uid="{00000000-0005-0000-0000-0000D76E0000}"/>
    <cellStyle name="Normal 3 3 12 3 2 9" xfId="28385" xr:uid="{00000000-0005-0000-0000-0000D86E0000}"/>
    <cellStyle name="Normal 3 3 12 3 2 9 2" xfId="28386" xr:uid="{00000000-0005-0000-0000-0000D96E0000}"/>
    <cellStyle name="Normal 3 3 12 3 2 9 3" xfId="28387" xr:uid="{00000000-0005-0000-0000-0000DA6E0000}"/>
    <cellStyle name="Normal 3 3 12 3 3" xfId="28388" xr:uid="{00000000-0005-0000-0000-0000DB6E0000}"/>
    <cellStyle name="Normal 3 3 12 3 3 2" xfId="28389" xr:uid="{00000000-0005-0000-0000-0000DC6E0000}"/>
    <cellStyle name="Normal 3 3 12 3 3 3" xfId="28390" xr:uid="{00000000-0005-0000-0000-0000DD6E0000}"/>
    <cellStyle name="Normal 3 3 12 3 4" xfId="28391" xr:uid="{00000000-0005-0000-0000-0000DE6E0000}"/>
    <cellStyle name="Normal 3 3 12 3 4 2" xfId="28392" xr:uid="{00000000-0005-0000-0000-0000DF6E0000}"/>
    <cellStyle name="Normal 3 3 12 3 4 3" xfId="28393" xr:uid="{00000000-0005-0000-0000-0000E06E0000}"/>
    <cellStyle name="Normal 3 3 12 3 5" xfId="28394" xr:uid="{00000000-0005-0000-0000-0000E16E0000}"/>
    <cellStyle name="Normal 3 3 12 3 5 2" xfId="28395" xr:uid="{00000000-0005-0000-0000-0000E26E0000}"/>
    <cellStyle name="Normal 3 3 12 3 5 3" xfId="28396" xr:uid="{00000000-0005-0000-0000-0000E36E0000}"/>
    <cellStyle name="Normal 3 3 12 3 6" xfId="28397" xr:uid="{00000000-0005-0000-0000-0000E46E0000}"/>
    <cellStyle name="Normal 3 3 12 3 6 2" xfId="28398" xr:uid="{00000000-0005-0000-0000-0000E56E0000}"/>
    <cellStyle name="Normal 3 3 12 3 6 3" xfId="28399" xr:uid="{00000000-0005-0000-0000-0000E66E0000}"/>
    <cellStyle name="Normal 3 3 12 3 7" xfId="28400" xr:uid="{00000000-0005-0000-0000-0000E76E0000}"/>
    <cellStyle name="Normal 3 3 12 3 7 2" xfId="28401" xr:uid="{00000000-0005-0000-0000-0000E86E0000}"/>
    <cellStyle name="Normal 3 3 12 3 7 3" xfId="28402" xr:uid="{00000000-0005-0000-0000-0000E96E0000}"/>
    <cellStyle name="Normal 3 3 12 3 8" xfId="28403" xr:uid="{00000000-0005-0000-0000-0000EA6E0000}"/>
    <cellStyle name="Normal 3 3 12 3 8 2" xfId="28404" xr:uid="{00000000-0005-0000-0000-0000EB6E0000}"/>
    <cellStyle name="Normal 3 3 12 3 8 3" xfId="28405" xr:uid="{00000000-0005-0000-0000-0000EC6E0000}"/>
    <cellStyle name="Normal 3 3 12 3 9" xfId="28406" xr:uid="{00000000-0005-0000-0000-0000ED6E0000}"/>
    <cellStyle name="Normal 3 3 12 3 9 2" xfId="28407" xr:uid="{00000000-0005-0000-0000-0000EE6E0000}"/>
    <cellStyle name="Normal 3 3 12 3 9 3" xfId="28408" xr:uid="{00000000-0005-0000-0000-0000EF6E0000}"/>
    <cellStyle name="Normal 3 3 12 4" xfId="28409" xr:uid="{00000000-0005-0000-0000-0000F06E0000}"/>
    <cellStyle name="Normal 3 3 12 4 10" xfId="28410" xr:uid="{00000000-0005-0000-0000-0000F16E0000}"/>
    <cellStyle name="Normal 3 3 12 4 10 2" xfId="28411" xr:uid="{00000000-0005-0000-0000-0000F26E0000}"/>
    <cellStyle name="Normal 3 3 12 4 10 3" xfId="28412" xr:uid="{00000000-0005-0000-0000-0000F36E0000}"/>
    <cellStyle name="Normal 3 3 12 4 11" xfId="28413" xr:uid="{00000000-0005-0000-0000-0000F46E0000}"/>
    <cellStyle name="Normal 3 3 12 4 11 2" xfId="28414" xr:uid="{00000000-0005-0000-0000-0000F56E0000}"/>
    <cellStyle name="Normal 3 3 12 4 11 3" xfId="28415" xr:uid="{00000000-0005-0000-0000-0000F66E0000}"/>
    <cellStyle name="Normal 3 3 12 4 12" xfId="28416" xr:uid="{00000000-0005-0000-0000-0000F76E0000}"/>
    <cellStyle name="Normal 3 3 12 4 12 2" xfId="28417" xr:uid="{00000000-0005-0000-0000-0000F86E0000}"/>
    <cellStyle name="Normal 3 3 12 4 12 3" xfId="28418" xr:uid="{00000000-0005-0000-0000-0000F96E0000}"/>
    <cellStyle name="Normal 3 3 12 4 13" xfId="28419" xr:uid="{00000000-0005-0000-0000-0000FA6E0000}"/>
    <cellStyle name="Normal 3 3 12 4 13 2" xfId="28420" xr:uid="{00000000-0005-0000-0000-0000FB6E0000}"/>
    <cellStyle name="Normal 3 3 12 4 13 3" xfId="28421" xr:uid="{00000000-0005-0000-0000-0000FC6E0000}"/>
    <cellStyle name="Normal 3 3 12 4 14" xfId="28422" xr:uid="{00000000-0005-0000-0000-0000FD6E0000}"/>
    <cellStyle name="Normal 3 3 12 4 14 2" xfId="28423" xr:uid="{00000000-0005-0000-0000-0000FE6E0000}"/>
    <cellStyle name="Normal 3 3 12 4 14 3" xfId="28424" xr:uid="{00000000-0005-0000-0000-0000FF6E0000}"/>
    <cellStyle name="Normal 3 3 12 4 15" xfId="28425" xr:uid="{00000000-0005-0000-0000-0000006F0000}"/>
    <cellStyle name="Normal 3 3 12 4 15 2" xfId="28426" xr:uid="{00000000-0005-0000-0000-0000016F0000}"/>
    <cellStyle name="Normal 3 3 12 4 15 3" xfId="28427" xr:uid="{00000000-0005-0000-0000-0000026F0000}"/>
    <cellStyle name="Normal 3 3 12 4 16" xfId="28428" xr:uid="{00000000-0005-0000-0000-0000036F0000}"/>
    <cellStyle name="Normal 3 3 12 4 17" xfId="28429" xr:uid="{00000000-0005-0000-0000-0000046F0000}"/>
    <cellStyle name="Normal 3 3 12 4 2" xfId="28430" xr:uid="{00000000-0005-0000-0000-0000056F0000}"/>
    <cellStyle name="Normal 3 3 12 4 2 10" xfId="28431" xr:uid="{00000000-0005-0000-0000-0000066F0000}"/>
    <cellStyle name="Normal 3 3 12 4 2 10 2" xfId="28432" xr:uid="{00000000-0005-0000-0000-0000076F0000}"/>
    <cellStyle name="Normal 3 3 12 4 2 10 3" xfId="28433" xr:uid="{00000000-0005-0000-0000-0000086F0000}"/>
    <cellStyle name="Normal 3 3 12 4 2 11" xfId="28434" xr:uid="{00000000-0005-0000-0000-0000096F0000}"/>
    <cellStyle name="Normal 3 3 12 4 2 11 2" xfId="28435" xr:uid="{00000000-0005-0000-0000-00000A6F0000}"/>
    <cellStyle name="Normal 3 3 12 4 2 11 3" xfId="28436" xr:uid="{00000000-0005-0000-0000-00000B6F0000}"/>
    <cellStyle name="Normal 3 3 12 4 2 12" xfId="28437" xr:uid="{00000000-0005-0000-0000-00000C6F0000}"/>
    <cellStyle name="Normal 3 3 12 4 2 12 2" xfId="28438" xr:uid="{00000000-0005-0000-0000-00000D6F0000}"/>
    <cellStyle name="Normal 3 3 12 4 2 12 3" xfId="28439" xr:uid="{00000000-0005-0000-0000-00000E6F0000}"/>
    <cellStyle name="Normal 3 3 12 4 2 13" xfId="28440" xr:uid="{00000000-0005-0000-0000-00000F6F0000}"/>
    <cellStyle name="Normal 3 3 12 4 2 13 2" xfId="28441" xr:uid="{00000000-0005-0000-0000-0000106F0000}"/>
    <cellStyle name="Normal 3 3 12 4 2 13 3" xfId="28442" xr:uid="{00000000-0005-0000-0000-0000116F0000}"/>
    <cellStyle name="Normal 3 3 12 4 2 14" xfId="28443" xr:uid="{00000000-0005-0000-0000-0000126F0000}"/>
    <cellStyle name="Normal 3 3 12 4 2 14 2" xfId="28444" xr:uid="{00000000-0005-0000-0000-0000136F0000}"/>
    <cellStyle name="Normal 3 3 12 4 2 14 3" xfId="28445" xr:uid="{00000000-0005-0000-0000-0000146F0000}"/>
    <cellStyle name="Normal 3 3 12 4 2 15" xfId="28446" xr:uid="{00000000-0005-0000-0000-0000156F0000}"/>
    <cellStyle name="Normal 3 3 12 4 2 16" xfId="28447" xr:uid="{00000000-0005-0000-0000-0000166F0000}"/>
    <cellStyle name="Normal 3 3 12 4 2 2" xfId="28448" xr:uid="{00000000-0005-0000-0000-0000176F0000}"/>
    <cellStyle name="Normal 3 3 12 4 2 2 2" xfId="28449" xr:uid="{00000000-0005-0000-0000-0000186F0000}"/>
    <cellStyle name="Normal 3 3 12 4 2 2 3" xfId="28450" xr:uid="{00000000-0005-0000-0000-0000196F0000}"/>
    <cellStyle name="Normal 3 3 12 4 2 3" xfId="28451" xr:uid="{00000000-0005-0000-0000-00001A6F0000}"/>
    <cellStyle name="Normal 3 3 12 4 2 3 2" xfId="28452" xr:uid="{00000000-0005-0000-0000-00001B6F0000}"/>
    <cellStyle name="Normal 3 3 12 4 2 3 3" xfId="28453" xr:uid="{00000000-0005-0000-0000-00001C6F0000}"/>
    <cellStyle name="Normal 3 3 12 4 2 4" xfId="28454" xr:uid="{00000000-0005-0000-0000-00001D6F0000}"/>
    <cellStyle name="Normal 3 3 12 4 2 4 2" xfId="28455" xr:uid="{00000000-0005-0000-0000-00001E6F0000}"/>
    <cellStyle name="Normal 3 3 12 4 2 4 3" xfId="28456" xr:uid="{00000000-0005-0000-0000-00001F6F0000}"/>
    <cellStyle name="Normal 3 3 12 4 2 5" xfId="28457" xr:uid="{00000000-0005-0000-0000-0000206F0000}"/>
    <cellStyle name="Normal 3 3 12 4 2 5 2" xfId="28458" xr:uid="{00000000-0005-0000-0000-0000216F0000}"/>
    <cellStyle name="Normal 3 3 12 4 2 5 3" xfId="28459" xr:uid="{00000000-0005-0000-0000-0000226F0000}"/>
    <cellStyle name="Normal 3 3 12 4 2 6" xfId="28460" xr:uid="{00000000-0005-0000-0000-0000236F0000}"/>
    <cellStyle name="Normal 3 3 12 4 2 6 2" xfId="28461" xr:uid="{00000000-0005-0000-0000-0000246F0000}"/>
    <cellStyle name="Normal 3 3 12 4 2 6 3" xfId="28462" xr:uid="{00000000-0005-0000-0000-0000256F0000}"/>
    <cellStyle name="Normal 3 3 12 4 2 7" xfId="28463" xr:uid="{00000000-0005-0000-0000-0000266F0000}"/>
    <cellStyle name="Normal 3 3 12 4 2 7 2" xfId="28464" xr:uid="{00000000-0005-0000-0000-0000276F0000}"/>
    <cellStyle name="Normal 3 3 12 4 2 7 3" xfId="28465" xr:uid="{00000000-0005-0000-0000-0000286F0000}"/>
    <cellStyle name="Normal 3 3 12 4 2 8" xfId="28466" xr:uid="{00000000-0005-0000-0000-0000296F0000}"/>
    <cellStyle name="Normal 3 3 12 4 2 8 2" xfId="28467" xr:uid="{00000000-0005-0000-0000-00002A6F0000}"/>
    <cellStyle name="Normal 3 3 12 4 2 8 3" xfId="28468" xr:uid="{00000000-0005-0000-0000-00002B6F0000}"/>
    <cellStyle name="Normal 3 3 12 4 2 9" xfId="28469" xr:uid="{00000000-0005-0000-0000-00002C6F0000}"/>
    <cellStyle name="Normal 3 3 12 4 2 9 2" xfId="28470" xr:uid="{00000000-0005-0000-0000-00002D6F0000}"/>
    <cellStyle name="Normal 3 3 12 4 2 9 3" xfId="28471" xr:uid="{00000000-0005-0000-0000-00002E6F0000}"/>
    <cellStyle name="Normal 3 3 12 4 3" xfId="28472" xr:uid="{00000000-0005-0000-0000-00002F6F0000}"/>
    <cellStyle name="Normal 3 3 12 4 3 2" xfId="28473" xr:uid="{00000000-0005-0000-0000-0000306F0000}"/>
    <cellStyle name="Normal 3 3 12 4 3 3" xfId="28474" xr:uid="{00000000-0005-0000-0000-0000316F0000}"/>
    <cellStyle name="Normal 3 3 12 4 4" xfId="28475" xr:uid="{00000000-0005-0000-0000-0000326F0000}"/>
    <cellStyle name="Normal 3 3 12 4 4 2" xfId="28476" xr:uid="{00000000-0005-0000-0000-0000336F0000}"/>
    <cellStyle name="Normal 3 3 12 4 4 3" xfId="28477" xr:uid="{00000000-0005-0000-0000-0000346F0000}"/>
    <cellStyle name="Normal 3 3 12 4 5" xfId="28478" xr:uid="{00000000-0005-0000-0000-0000356F0000}"/>
    <cellStyle name="Normal 3 3 12 4 5 2" xfId="28479" xr:uid="{00000000-0005-0000-0000-0000366F0000}"/>
    <cellStyle name="Normal 3 3 12 4 5 3" xfId="28480" xr:uid="{00000000-0005-0000-0000-0000376F0000}"/>
    <cellStyle name="Normal 3 3 12 4 6" xfId="28481" xr:uid="{00000000-0005-0000-0000-0000386F0000}"/>
    <cellStyle name="Normal 3 3 12 4 6 2" xfId="28482" xr:uid="{00000000-0005-0000-0000-0000396F0000}"/>
    <cellStyle name="Normal 3 3 12 4 6 3" xfId="28483" xr:uid="{00000000-0005-0000-0000-00003A6F0000}"/>
    <cellStyle name="Normal 3 3 12 4 7" xfId="28484" xr:uid="{00000000-0005-0000-0000-00003B6F0000}"/>
    <cellStyle name="Normal 3 3 12 4 7 2" xfId="28485" xr:uid="{00000000-0005-0000-0000-00003C6F0000}"/>
    <cellStyle name="Normal 3 3 12 4 7 3" xfId="28486" xr:uid="{00000000-0005-0000-0000-00003D6F0000}"/>
    <cellStyle name="Normal 3 3 12 4 8" xfId="28487" xr:uid="{00000000-0005-0000-0000-00003E6F0000}"/>
    <cellStyle name="Normal 3 3 12 4 8 2" xfId="28488" xr:uid="{00000000-0005-0000-0000-00003F6F0000}"/>
    <cellStyle name="Normal 3 3 12 4 8 3" xfId="28489" xr:uid="{00000000-0005-0000-0000-0000406F0000}"/>
    <cellStyle name="Normal 3 3 12 4 9" xfId="28490" xr:uid="{00000000-0005-0000-0000-0000416F0000}"/>
    <cellStyle name="Normal 3 3 12 4 9 2" xfId="28491" xr:uid="{00000000-0005-0000-0000-0000426F0000}"/>
    <cellStyle name="Normal 3 3 12 4 9 3" xfId="28492" xr:uid="{00000000-0005-0000-0000-0000436F0000}"/>
    <cellStyle name="Normal 3 3 12 5" xfId="28493" xr:uid="{00000000-0005-0000-0000-0000446F0000}"/>
    <cellStyle name="Normal 3 3 12 5 10" xfId="28494" xr:uid="{00000000-0005-0000-0000-0000456F0000}"/>
    <cellStyle name="Normal 3 3 12 5 10 2" xfId="28495" xr:uid="{00000000-0005-0000-0000-0000466F0000}"/>
    <cellStyle name="Normal 3 3 12 5 10 3" xfId="28496" xr:uid="{00000000-0005-0000-0000-0000476F0000}"/>
    <cellStyle name="Normal 3 3 12 5 11" xfId="28497" xr:uid="{00000000-0005-0000-0000-0000486F0000}"/>
    <cellStyle name="Normal 3 3 12 5 11 2" xfId="28498" xr:uid="{00000000-0005-0000-0000-0000496F0000}"/>
    <cellStyle name="Normal 3 3 12 5 11 3" xfId="28499" xr:uid="{00000000-0005-0000-0000-00004A6F0000}"/>
    <cellStyle name="Normal 3 3 12 5 12" xfId="28500" xr:uid="{00000000-0005-0000-0000-00004B6F0000}"/>
    <cellStyle name="Normal 3 3 12 5 12 2" xfId="28501" xr:uid="{00000000-0005-0000-0000-00004C6F0000}"/>
    <cellStyle name="Normal 3 3 12 5 12 3" xfId="28502" xr:uid="{00000000-0005-0000-0000-00004D6F0000}"/>
    <cellStyle name="Normal 3 3 12 5 13" xfId="28503" xr:uid="{00000000-0005-0000-0000-00004E6F0000}"/>
    <cellStyle name="Normal 3 3 12 5 13 2" xfId="28504" xr:uid="{00000000-0005-0000-0000-00004F6F0000}"/>
    <cellStyle name="Normal 3 3 12 5 13 3" xfId="28505" xr:uid="{00000000-0005-0000-0000-0000506F0000}"/>
    <cellStyle name="Normal 3 3 12 5 14" xfId="28506" xr:uid="{00000000-0005-0000-0000-0000516F0000}"/>
    <cellStyle name="Normal 3 3 12 5 14 2" xfId="28507" xr:uid="{00000000-0005-0000-0000-0000526F0000}"/>
    <cellStyle name="Normal 3 3 12 5 14 3" xfId="28508" xr:uid="{00000000-0005-0000-0000-0000536F0000}"/>
    <cellStyle name="Normal 3 3 12 5 15" xfId="28509" xr:uid="{00000000-0005-0000-0000-0000546F0000}"/>
    <cellStyle name="Normal 3 3 12 5 16" xfId="28510" xr:uid="{00000000-0005-0000-0000-0000556F0000}"/>
    <cellStyle name="Normal 3 3 12 5 2" xfId="28511" xr:uid="{00000000-0005-0000-0000-0000566F0000}"/>
    <cellStyle name="Normal 3 3 12 5 2 2" xfId="28512" xr:uid="{00000000-0005-0000-0000-0000576F0000}"/>
    <cellStyle name="Normal 3 3 12 5 2 3" xfId="28513" xr:uid="{00000000-0005-0000-0000-0000586F0000}"/>
    <cellStyle name="Normal 3 3 12 5 3" xfId="28514" xr:uid="{00000000-0005-0000-0000-0000596F0000}"/>
    <cellStyle name="Normal 3 3 12 5 3 2" xfId="28515" xr:uid="{00000000-0005-0000-0000-00005A6F0000}"/>
    <cellStyle name="Normal 3 3 12 5 3 3" xfId="28516" xr:uid="{00000000-0005-0000-0000-00005B6F0000}"/>
    <cellStyle name="Normal 3 3 12 5 4" xfId="28517" xr:uid="{00000000-0005-0000-0000-00005C6F0000}"/>
    <cellStyle name="Normal 3 3 12 5 4 2" xfId="28518" xr:uid="{00000000-0005-0000-0000-00005D6F0000}"/>
    <cellStyle name="Normal 3 3 12 5 4 3" xfId="28519" xr:uid="{00000000-0005-0000-0000-00005E6F0000}"/>
    <cellStyle name="Normal 3 3 12 5 5" xfId="28520" xr:uid="{00000000-0005-0000-0000-00005F6F0000}"/>
    <cellStyle name="Normal 3 3 12 5 5 2" xfId="28521" xr:uid="{00000000-0005-0000-0000-0000606F0000}"/>
    <cellStyle name="Normal 3 3 12 5 5 3" xfId="28522" xr:uid="{00000000-0005-0000-0000-0000616F0000}"/>
    <cellStyle name="Normal 3 3 12 5 6" xfId="28523" xr:uid="{00000000-0005-0000-0000-0000626F0000}"/>
    <cellStyle name="Normal 3 3 12 5 6 2" xfId="28524" xr:uid="{00000000-0005-0000-0000-0000636F0000}"/>
    <cellStyle name="Normal 3 3 12 5 6 3" xfId="28525" xr:uid="{00000000-0005-0000-0000-0000646F0000}"/>
    <cellStyle name="Normal 3 3 12 5 7" xfId="28526" xr:uid="{00000000-0005-0000-0000-0000656F0000}"/>
    <cellStyle name="Normal 3 3 12 5 7 2" xfId="28527" xr:uid="{00000000-0005-0000-0000-0000666F0000}"/>
    <cellStyle name="Normal 3 3 12 5 7 3" xfId="28528" xr:uid="{00000000-0005-0000-0000-0000676F0000}"/>
    <cellStyle name="Normal 3 3 12 5 8" xfId="28529" xr:uid="{00000000-0005-0000-0000-0000686F0000}"/>
    <cellStyle name="Normal 3 3 12 5 8 2" xfId="28530" xr:uid="{00000000-0005-0000-0000-0000696F0000}"/>
    <cellStyle name="Normal 3 3 12 5 8 3" xfId="28531" xr:uid="{00000000-0005-0000-0000-00006A6F0000}"/>
    <cellStyle name="Normal 3 3 12 5 9" xfId="28532" xr:uid="{00000000-0005-0000-0000-00006B6F0000}"/>
    <cellStyle name="Normal 3 3 12 5 9 2" xfId="28533" xr:uid="{00000000-0005-0000-0000-00006C6F0000}"/>
    <cellStyle name="Normal 3 3 12 5 9 3" xfId="28534" xr:uid="{00000000-0005-0000-0000-00006D6F0000}"/>
    <cellStyle name="Normal 3 3 12 6" xfId="28535" xr:uid="{00000000-0005-0000-0000-00006E6F0000}"/>
    <cellStyle name="Normal 3 3 12 6 10" xfId="28536" xr:uid="{00000000-0005-0000-0000-00006F6F0000}"/>
    <cellStyle name="Normal 3 3 12 6 10 2" xfId="28537" xr:uid="{00000000-0005-0000-0000-0000706F0000}"/>
    <cellStyle name="Normal 3 3 12 6 10 3" xfId="28538" xr:uid="{00000000-0005-0000-0000-0000716F0000}"/>
    <cellStyle name="Normal 3 3 12 6 11" xfId="28539" xr:uid="{00000000-0005-0000-0000-0000726F0000}"/>
    <cellStyle name="Normal 3 3 12 6 11 2" xfId="28540" xr:uid="{00000000-0005-0000-0000-0000736F0000}"/>
    <cellStyle name="Normal 3 3 12 6 11 3" xfId="28541" xr:uid="{00000000-0005-0000-0000-0000746F0000}"/>
    <cellStyle name="Normal 3 3 12 6 12" xfId="28542" xr:uid="{00000000-0005-0000-0000-0000756F0000}"/>
    <cellStyle name="Normal 3 3 12 6 12 2" xfId="28543" xr:uid="{00000000-0005-0000-0000-0000766F0000}"/>
    <cellStyle name="Normal 3 3 12 6 12 3" xfId="28544" xr:uid="{00000000-0005-0000-0000-0000776F0000}"/>
    <cellStyle name="Normal 3 3 12 6 13" xfId="28545" xr:uid="{00000000-0005-0000-0000-0000786F0000}"/>
    <cellStyle name="Normal 3 3 12 6 13 2" xfId="28546" xr:uid="{00000000-0005-0000-0000-0000796F0000}"/>
    <cellStyle name="Normal 3 3 12 6 13 3" xfId="28547" xr:uid="{00000000-0005-0000-0000-00007A6F0000}"/>
    <cellStyle name="Normal 3 3 12 6 14" xfId="28548" xr:uid="{00000000-0005-0000-0000-00007B6F0000}"/>
    <cellStyle name="Normal 3 3 12 6 14 2" xfId="28549" xr:uid="{00000000-0005-0000-0000-00007C6F0000}"/>
    <cellStyle name="Normal 3 3 12 6 14 3" xfId="28550" xr:uid="{00000000-0005-0000-0000-00007D6F0000}"/>
    <cellStyle name="Normal 3 3 12 6 15" xfId="28551" xr:uid="{00000000-0005-0000-0000-00007E6F0000}"/>
    <cellStyle name="Normal 3 3 12 6 16" xfId="28552" xr:uid="{00000000-0005-0000-0000-00007F6F0000}"/>
    <cellStyle name="Normal 3 3 12 6 2" xfId="28553" xr:uid="{00000000-0005-0000-0000-0000806F0000}"/>
    <cellStyle name="Normal 3 3 12 6 2 2" xfId="28554" xr:uid="{00000000-0005-0000-0000-0000816F0000}"/>
    <cellStyle name="Normal 3 3 12 6 2 3" xfId="28555" xr:uid="{00000000-0005-0000-0000-0000826F0000}"/>
    <cellStyle name="Normal 3 3 12 6 3" xfId="28556" xr:uid="{00000000-0005-0000-0000-0000836F0000}"/>
    <cellStyle name="Normal 3 3 12 6 3 2" xfId="28557" xr:uid="{00000000-0005-0000-0000-0000846F0000}"/>
    <cellStyle name="Normal 3 3 12 6 3 3" xfId="28558" xr:uid="{00000000-0005-0000-0000-0000856F0000}"/>
    <cellStyle name="Normal 3 3 12 6 4" xfId="28559" xr:uid="{00000000-0005-0000-0000-0000866F0000}"/>
    <cellStyle name="Normal 3 3 12 6 4 2" xfId="28560" xr:uid="{00000000-0005-0000-0000-0000876F0000}"/>
    <cellStyle name="Normal 3 3 12 6 4 3" xfId="28561" xr:uid="{00000000-0005-0000-0000-0000886F0000}"/>
    <cellStyle name="Normal 3 3 12 6 5" xfId="28562" xr:uid="{00000000-0005-0000-0000-0000896F0000}"/>
    <cellStyle name="Normal 3 3 12 6 5 2" xfId="28563" xr:uid="{00000000-0005-0000-0000-00008A6F0000}"/>
    <cellStyle name="Normal 3 3 12 6 5 3" xfId="28564" xr:uid="{00000000-0005-0000-0000-00008B6F0000}"/>
    <cellStyle name="Normal 3 3 12 6 6" xfId="28565" xr:uid="{00000000-0005-0000-0000-00008C6F0000}"/>
    <cellStyle name="Normal 3 3 12 6 6 2" xfId="28566" xr:uid="{00000000-0005-0000-0000-00008D6F0000}"/>
    <cellStyle name="Normal 3 3 12 6 6 3" xfId="28567" xr:uid="{00000000-0005-0000-0000-00008E6F0000}"/>
    <cellStyle name="Normal 3 3 12 6 7" xfId="28568" xr:uid="{00000000-0005-0000-0000-00008F6F0000}"/>
    <cellStyle name="Normal 3 3 12 6 7 2" xfId="28569" xr:uid="{00000000-0005-0000-0000-0000906F0000}"/>
    <cellStyle name="Normal 3 3 12 6 7 3" xfId="28570" xr:uid="{00000000-0005-0000-0000-0000916F0000}"/>
    <cellStyle name="Normal 3 3 12 6 8" xfId="28571" xr:uid="{00000000-0005-0000-0000-0000926F0000}"/>
    <cellStyle name="Normal 3 3 12 6 8 2" xfId="28572" xr:uid="{00000000-0005-0000-0000-0000936F0000}"/>
    <cellStyle name="Normal 3 3 12 6 8 3" xfId="28573" xr:uid="{00000000-0005-0000-0000-0000946F0000}"/>
    <cellStyle name="Normal 3 3 12 6 9" xfId="28574" xr:uid="{00000000-0005-0000-0000-0000956F0000}"/>
    <cellStyle name="Normal 3 3 12 6 9 2" xfId="28575" xr:uid="{00000000-0005-0000-0000-0000966F0000}"/>
    <cellStyle name="Normal 3 3 12 6 9 3" xfId="28576" xr:uid="{00000000-0005-0000-0000-0000976F0000}"/>
    <cellStyle name="Normal 3 3 12 7" xfId="28577" xr:uid="{00000000-0005-0000-0000-0000986F0000}"/>
    <cellStyle name="Normal 3 3 12 7 10" xfId="28578" xr:uid="{00000000-0005-0000-0000-0000996F0000}"/>
    <cellStyle name="Normal 3 3 12 7 10 2" xfId="28579" xr:uid="{00000000-0005-0000-0000-00009A6F0000}"/>
    <cellStyle name="Normal 3 3 12 7 10 3" xfId="28580" xr:uid="{00000000-0005-0000-0000-00009B6F0000}"/>
    <cellStyle name="Normal 3 3 12 7 11" xfId="28581" xr:uid="{00000000-0005-0000-0000-00009C6F0000}"/>
    <cellStyle name="Normal 3 3 12 7 11 2" xfId="28582" xr:uid="{00000000-0005-0000-0000-00009D6F0000}"/>
    <cellStyle name="Normal 3 3 12 7 11 3" xfId="28583" xr:uid="{00000000-0005-0000-0000-00009E6F0000}"/>
    <cellStyle name="Normal 3 3 12 7 12" xfId="28584" xr:uid="{00000000-0005-0000-0000-00009F6F0000}"/>
    <cellStyle name="Normal 3 3 12 7 12 2" xfId="28585" xr:uid="{00000000-0005-0000-0000-0000A06F0000}"/>
    <cellStyle name="Normal 3 3 12 7 12 3" xfId="28586" xr:uid="{00000000-0005-0000-0000-0000A16F0000}"/>
    <cellStyle name="Normal 3 3 12 7 13" xfId="28587" xr:uid="{00000000-0005-0000-0000-0000A26F0000}"/>
    <cellStyle name="Normal 3 3 12 7 13 2" xfId="28588" xr:uid="{00000000-0005-0000-0000-0000A36F0000}"/>
    <cellStyle name="Normal 3 3 12 7 13 3" xfId="28589" xr:uid="{00000000-0005-0000-0000-0000A46F0000}"/>
    <cellStyle name="Normal 3 3 12 7 14" xfId="28590" xr:uid="{00000000-0005-0000-0000-0000A56F0000}"/>
    <cellStyle name="Normal 3 3 12 7 14 2" xfId="28591" xr:uid="{00000000-0005-0000-0000-0000A66F0000}"/>
    <cellStyle name="Normal 3 3 12 7 14 3" xfId="28592" xr:uid="{00000000-0005-0000-0000-0000A76F0000}"/>
    <cellStyle name="Normal 3 3 12 7 15" xfId="28593" xr:uid="{00000000-0005-0000-0000-0000A86F0000}"/>
    <cellStyle name="Normal 3 3 12 7 16" xfId="28594" xr:uid="{00000000-0005-0000-0000-0000A96F0000}"/>
    <cellStyle name="Normal 3 3 12 7 2" xfId="28595" xr:uid="{00000000-0005-0000-0000-0000AA6F0000}"/>
    <cellStyle name="Normal 3 3 12 7 2 2" xfId="28596" xr:uid="{00000000-0005-0000-0000-0000AB6F0000}"/>
    <cellStyle name="Normal 3 3 12 7 2 3" xfId="28597" xr:uid="{00000000-0005-0000-0000-0000AC6F0000}"/>
    <cellStyle name="Normal 3 3 12 7 3" xfId="28598" xr:uid="{00000000-0005-0000-0000-0000AD6F0000}"/>
    <cellStyle name="Normal 3 3 12 7 3 2" xfId="28599" xr:uid="{00000000-0005-0000-0000-0000AE6F0000}"/>
    <cellStyle name="Normal 3 3 12 7 3 3" xfId="28600" xr:uid="{00000000-0005-0000-0000-0000AF6F0000}"/>
    <cellStyle name="Normal 3 3 12 7 4" xfId="28601" xr:uid="{00000000-0005-0000-0000-0000B06F0000}"/>
    <cellStyle name="Normal 3 3 12 7 4 2" xfId="28602" xr:uid="{00000000-0005-0000-0000-0000B16F0000}"/>
    <cellStyle name="Normal 3 3 12 7 4 3" xfId="28603" xr:uid="{00000000-0005-0000-0000-0000B26F0000}"/>
    <cellStyle name="Normal 3 3 12 7 5" xfId="28604" xr:uid="{00000000-0005-0000-0000-0000B36F0000}"/>
    <cellStyle name="Normal 3 3 12 7 5 2" xfId="28605" xr:uid="{00000000-0005-0000-0000-0000B46F0000}"/>
    <cellStyle name="Normal 3 3 12 7 5 3" xfId="28606" xr:uid="{00000000-0005-0000-0000-0000B56F0000}"/>
    <cellStyle name="Normal 3 3 12 7 6" xfId="28607" xr:uid="{00000000-0005-0000-0000-0000B66F0000}"/>
    <cellStyle name="Normal 3 3 12 7 6 2" xfId="28608" xr:uid="{00000000-0005-0000-0000-0000B76F0000}"/>
    <cellStyle name="Normal 3 3 12 7 6 3" xfId="28609" xr:uid="{00000000-0005-0000-0000-0000B86F0000}"/>
    <cellStyle name="Normal 3 3 12 7 7" xfId="28610" xr:uid="{00000000-0005-0000-0000-0000B96F0000}"/>
    <cellStyle name="Normal 3 3 12 7 7 2" xfId="28611" xr:uid="{00000000-0005-0000-0000-0000BA6F0000}"/>
    <cellStyle name="Normal 3 3 12 7 7 3" xfId="28612" xr:uid="{00000000-0005-0000-0000-0000BB6F0000}"/>
    <cellStyle name="Normal 3 3 12 7 8" xfId="28613" xr:uid="{00000000-0005-0000-0000-0000BC6F0000}"/>
    <cellStyle name="Normal 3 3 12 7 8 2" xfId="28614" xr:uid="{00000000-0005-0000-0000-0000BD6F0000}"/>
    <cellStyle name="Normal 3 3 12 7 8 3" xfId="28615" xr:uid="{00000000-0005-0000-0000-0000BE6F0000}"/>
    <cellStyle name="Normal 3 3 12 7 9" xfId="28616" xr:uid="{00000000-0005-0000-0000-0000BF6F0000}"/>
    <cellStyle name="Normal 3 3 12 7 9 2" xfId="28617" xr:uid="{00000000-0005-0000-0000-0000C06F0000}"/>
    <cellStyle name="Normal 3 3 12 7 9 3" xfId="28618" xr:uid="{00000000-0005-0000-0000-0000C16F0000}"/>
    <cellStyle name="Normal 3 3 12 8" xfId="28619" xr:uid="{00000000-0005-0000-0000-0000C26F0000}"/>
    <cellStyle name="Normal 3 3 12 8 10" xfId="28620" xr:uid="{00000000-0005-0000-0000-0000C36F0000}"/>
    <cellStyle name="Normal 3 3 12 8 10 2" xfId="28621" xr:uid="{00000000-0005-0000-0000-0000C46F0000}"/>
    <cellStyle name="Normal 3 3 12 8 10 3" xfId="28622" xr:uid="{00000000-0005-0000-0000-0000C56F0000}"/>
    <cellStyle name="Normal 3 3 12 8 11" xfId="28623" xr:uid="{00000000-0005-0000-0000-0000C66F0000}"/>
    <cellStyle name="Normal 3 3 12 8 11 2" xfId="28624" xr:uid="{00000000-0005-0000-0000-0000C76F0000}"/>
    <cellStyle name="Normal 3 3 12 8 11 3" xfId="28625" xr:uid="{00000000-0005-0000-0000-0000C86F0000}"/>
    <cellStyle name="Normal 3 3 12 8 12" xfId="28626" xr:uid="{00000000-0005-0000-0000-0000C96F0000}"/>
    <cellStyle name="Normal 3 3 12 8 12 2" xfId="28627" xr:uid="{00000000-0005-0000-0000-0000CA6F0000}"/>
    <cellStyle name="Normal 3 3 12 8 12 3" xfId="28628" xr:uid="{00000000-0005-0000-0000-0000CB6F0000}"/>
    <cellStyle name="Normal 3 3 12 8 13" xfId="28629" xr:uid="{00000000-0005-0000-0000-0000CC6F0000}"/>
    <cellStyle name="Normal 3 3 12 8 13 2" xfId="28630" xr:uid="{00000000-0005-0000-0000-0000CD6F0000}"/>
    <cellStyle name="Normal 3 3 12 8 13 3" xfId="28631" xr:uid="{00000000-0005-0000-0000-0000CE6F0000}"/>
    <cellStyle name="Normal 3 3 12 8 14" xfId="28632" xr:uid="{00000000-0005-0000-0000-0000CF6F0000}"/>
    <cellStyle name="Normal 3 3 12 8 14 2" xfId="28633" xr:uid="{00000000-0005-0000-0000-0000D06F0000}"/>
    <cellStyle name="Normal 3 3 12 8 14 3" xfId="28634" xr:uid="{00000000-0005-0000-0000-0000D16F0000}"/>
    <cellStyle name="Normal 3 3 12 8 15" xfId="28635" xr:uid="{00000000-0005-0000-0000-0000D26F0000}"/>
    <cellStyle name="Normal 3 3 12 8 16" xfId="28636" xr:uid="{00000000-0005-0000-0000-0000D36F0000}"/>
    <cellStyle name="Normal 3 3 12 8 2" xfId="28637" xr:uid="{00000000-0005-0000-0000-0000D46F0000}"/>
    <cellStyle name="Normal 3 3 12 8 2 2" xfId="28638" xr:uid="{00000000-0005-0000-0000-0000D56F0000}"/>
    <cellStyle name="Normal 3 3 12 8 2 3" xfId="28639" xr:uid="{00000000-0005-0000-0000-0000D66F0000}"/>
    <cellStyle name="Normal 3 3 12 8 3" xfId="28640" xr:uid="{00000000-0005-0000-0000-0000D76F0000}"/>
    <cellStyle name="Normal 3 3 12 8 3 2" xfId="28641" xr:uid="{00000000-0005-0000-0000-0000D86F0000}"/>
    <cellStyle name="Normal 3 3 12 8 3 3" xfId="28642" xr:uid="{00000000-0005-0000-0000-0000D96F0000}"/>
    <cellStyle name="Normal 3 3 12 8 4" xfId="28643" xr:uid="{00000000-0005-0000-0000-0000DA6F0000}"/>
    <cellStyle name="Normal 3 3 12 8 4 2" xfId="28644" xr:uid="{00000000-0005-0000-0000-0000DB6F0000}"/>
    <cellStyle name="Normal 3 3 12 8 4 3" xfId="28645" xr:uid="{00000000-0005-0000-0000-0000DC6F0000}"/>
    <cellStyle name="Normal 3 3 12 8 5" xfId="28646" xr:uid="{00000000-0005-0000-0000-0000DD6F0000}"/>
    <cellStyle name="Normal 3 3 12 8 5 2" xfId="28647" xr:uid="{00000000-0005-0000-0000-0000DE6F0000}"/>
    <cellStyle name="Normal 3 3 12 8 5 3" xfId="28648" xr:uid="{00000000-0005-0000-0000-0000DF6F0000}"/>
    <cellStyle name="Normal 3 3 12 8 6" xfId="28649" xr:uid="{00000000-0005-0000-0000-0000E06F0000}"/>
    <cellStyle name="Normal 3 3 12 8 6 2" xfId="28650" xr:uid="{00000000-0005-0000-0000-0000E16F0000}"/>
    <cellStyle name="Normal 3 3 12 8 6 3" xfId="28651" xr:uid="{00000000-0005-0000-0000-0000E26F0000}"/>
    <cellStyle name="Normal 3 3 12 8 7" xfId="28652" xr:uid="{00000000-0005-0000-0000-0000E36F0000}"/>
    <cellStyle name="Normal 3 3 12 8 7 2" xfId="28653" xr:uid="{00000000-0005-0000-0000-0000E46F0000}"/>
    <cellStyle name="Normal 3 3 12 8 7 3" xfId="28654" xr:uid="{00000000-0005-0000-0000-0000E56F0000}"/>
    <cellStyle name="Normal 3 3 12 8 8" xfId="28655" xr:uid="{00000000-0005-0000-0000-0000E66F0000}"/>
    <cellStyle name="Normal 3 3 12 8 8 2" xfId="28656" xr:uid="{00000000-0005-0000-0000-0000E76F0000}"/>
    <cellStyle name="Normal 3 3 12 8 8 3" xfId="28657" xr:uid="{00000000-0005-0000-0000-0000E86F0000}"/>
    <cellStyle name="Normal 3 3 12 8 9" xfId="28658" xr:uid="{00000000-0005-0000-0000-0000E96F0000}"/>
    <cellStyle name="Normal 3 3 12 8 9 2" xfId="28659" xr:uid="{00000000-0005-0000-0000-0000EA6F0000}"/>
    <cellStyle name="Normal 3 3 12 8 9 3" xfId="28660" xr:uid="{00000000-0005-0000-0000-0000EB6F0000}"/>
    <cellStyle name="Normal 3 3 12 9" xfId="28661" xr:uid="{00000000-0005-0000-0000-0000EC6F0000}"/>
    <cellStyle name="Normal 3 3 12 9 10" xfId="28662" xr:uid="{00000000-0005-0000-0000-0000ED6F0000}"/>
    <cellStyle name="Normal 3 3 12 9 10 2" xfId="28663" xr:uid="{00000000-0005-0000-0000-0000EE6F0000}"/>
    <cellStyle name="Normal 3 3 12 9 10 3" xfId="28664" xr:uid="{00000000-0005-0000-0000-0000EF6F0000}"/>
    <cellStyle name="Normal 3 3 12 9 11" xfId="28665" xr:uid="{00000000-0005-0000-0000-0000F06F0000}"/>
    <cellStyle name="Normal 3 3 12 9 11 2" xfId="28666" xr:uid="{00000000-0005-0000-0000-0000F16F0000}"/>
    <cellStyle name="Normal 3 3 12 9 11 3" xfId="28667" xr:uid="{00000000-0005-0000-0000-0000F26F0000}"/>
    <cellStyle name="Normal 3 3 12 9 12" xfId="28668" xr:uid="{00000000-0005-0000-0000-0000F36F0000}"/>
    <cellStyle name="Normal 3 3 12 9 12 2" xfId="28669" xr:uid="{00000000-0005-0000-0000-0000F46F0000}"/>
    <cellStyle name="Normal 3 3 12 9 12 3" xfId="28670" xr:uid="{00000000-0005-0000-0000-0000F56F0000}"/>
    <cellStyle name="Normal 3 3 12 9 13" xfId="28671" xr:uid="{00000000-0005-0000-0000-0000F66F0000}"/>
    <cellStyle name="Normal 3 3 12 9 13 2" xfId="28672" xr:uid="{00000000-0005-0000-0000-0000F76F0000}"/>
    <cellStyle name="Normal 3 3 12 9 13 3" xfId="28673" xr:uid="{00000000-0005-0000-0000-0000F86F0000}"/>
    <cellStyle name="Normal 3 3 12 9 14" xfId="28674" xr:uid="{00000000-0005-0000-0000-0000F96F0000}"/>
    <cellStyle name="Normal 3 3 12 9 14 2" xfId="28675" xr:uid="{00000000-0005-0000-0000-0000FA6F0000}"/>
    <cellStyle name="Normal 3 3 12 9 14 3" xfId="28676" xr:uid="{00000000-0005-0000-0000-0000FB6F0000}"/>
    <cellStyle name="Normal 3 3 12 9 15" xfId="28677" xr:uid="{00000000-0005-0000-0000-0000FC6F0000}"/>
    <cellStyle name="Normal 3 3 12 9 16" xfId="28678" xr:uid="{00000000-0005-0000-0000-0000FD6F0000}"/>
    <cellStyle name="Normal 3 3 12 9 2" xfId="28679" xr:uid="{00000000-0005-0000-0000-0000FE6F0000}"/>
    <cellStyle name="Normal 3 3 12 9 2 2" xfId="28680" xr:uid="{00000000-0005-0000-0000-0000FF6F0000}"/>
    <cellStyle name="Normal 3 3 12 9 2 3" xfId="28681" xr:uid="{00000000-0005-0000-0000-000000700000}"/>
    <cellStyle name="Normal 3 3 12 9 3" xfId="28682" xr:uid="{00000000-0005-0000-0000-000001700000}"/>
    <cellStyle name="Normal 3 3 12 9 3 2" xfId="28683" xr:uid="{00000000-0005-0000-0000-000002700000}"/>
    <cellStyle name="Normal 3 3 12 9 3 3" xfId="28684" xr:uid="{00000000-0005-0000-0000-000003700000}"/>
    <cellStyle name="Normal 3 3 12 9 4" xfId="28685" xr:uid="{00000000-0005-0000-0000-000004700000}"/>
    <cellStyle name="Normal 3 3 12 9 4 2" xfId="28686" xr:uid="{00000000-0005-0000-0000-000005700000}"/>
    <cellStyle name="Normal 3 3 12 9 4 3" xfId="28687" xr:uid="{00000000-0005-0000-0000-000006700000}"/>
    <cellStyle name="Normal 3 3 12 9 5" xfId="28688" xr:uid="{00000000-0005-0000-0000-000007700000}"/>
    <cellStyle name="Normal 3 3 12 9 5 2" xfId="28689" xr:uid="{00000000-0005-0000-0000-000008700000}"/>
    <cellStyle name="Normal 3 3 12 9 5 3" xfId="28690" xr:uid="{00000000-0005-0000-0000-000009700000}"/>
    <cellStyle name="Normal 3 3 12 9 6" xfId="28691" xr:uid="{00000000-0005-0000-0000-00000A700000}"/>
    <cellStyle name="Normal 3 3 12 9 6 2" xfId="28692" xr:uid="{00000000-0005-0000-0000-00000B700000}"/>
    <cellStyle name="Normal 3 3 12 9 6 3" xfId="28693" xr:uid="{00000000-0005-0000-0000-00000C700000}"/>
    <cellStyle name="Normal 3 3 12 9 7" xfId="28694" xr:uid="{00000000-0005-0000-0000-00000D700000}"/>
    <cellStyle name="Normal 3 3 12 9 7 2" xfId="28695" xr:uid="{00000000-0005-0000-0000-00000E700000}"/>
    <cellStyle name="Normal 3 3 12 9 7 3" xfId="28696" xr:uid="{00000000-0005-0000-0000-00000F700000}"/>
    <cellStyle name="Normal 3 3 12 9 8" xfId="28697" xr:uid="{00000000-0005-0000-0000-000010700000}"/>
    <cellStyle name="Normal 3 3 12 9 8 2" xfId="28698" xr:uid="{00000000-0005-0000-0000-000011700000}"/>
    <cellStyle name="Normal 3 3 12 9 8 3" xfId="28699" xr:uid="{00000000-0005-0000-0000-000012700000}"/>
    <cellStyle name="Normal 3 3 12 9 9" xfId="28700" xr:uid="{00000000-0005-0000-0000-000013700000}"/>
    <cellStyle name="Normal 3 3 12 9 9 2" xfId="28701" xr:uid="{00000000-0005-0000-0000-000014700000}"/>
    <cellStyle name="Normal 3 3 12 9 9 3" xfId="28702" xr:uid="{00000000-0005-0000-0000-000015700000}"/>
    <cellStyle name="Normal 3 3 13" xfId="28703" xr:uid="{00000000-0005-0000-0000-000016700000}"/>
    <cellStyle name="Normal 3 3 13 10" xfId="28704" xr:uid="{00000000-0005-0000-0000-000017700000}"/>
    <cellStyle name="Normal 3 3 13 10 10" xfId="28705" xr:uid="{00000000-0005-0000-0000-000018700000}"/>
    <cellStyle name="Normal 3 3 13 10 10 2" xfId="28706" xr:uid="{00000000-0005-0000-0000-000019700000}"/>
    <cellStyle name="Normal 3 3 13 10 10 3" xfId="28707" xr:uid="{00000000-0005-0000-0000-00001A700000}"/>
    <cellStyle name="Normal 3 3 13 10 11" xfId="28708" xr:uid="{00000000-0005-0000-0000-00001B700000}"/>
    <cellStyle name="Normal 3 3 13 10 11 2" xfId="28709" xr:uid="{00000000-0005-0000-0000-00001C700000}"/>
    <cellStyle name="Normal 3 3 13 10 11 3" xfId="28710" xr:uid="{00000000-0005-0000-0000-00001D700000}"/>
    <cellStyle name="Normal 3 3 13 10 12" xfId="28711" xr:uid="{00000000-0005-0000-0000-00001E700000}"/>
    <cellStyle name="Normal 3 3 13 10 12 2" xfId="28712" xr:uid="{00000000-0005-0000-0000-00001F700000}"/>
    <cellStyle name="Normal 3 3 13 10 12 3" xfId="28713" xr:uid="{00000000-0005-0000-0000-000020700000}"/>
    <cellStyle name="Normal 3 3 13 10 13" xfId="28714" xr:uid="{00000000-0005-0000-0000-000021700000}"/>
    <cellStyle name="Normal 3 3 13 10 13 2" xfId="28715" xr:uid="{00000000-0005-0000-0000-000022700000}"/>
    <cellStyle name="Normal 3 3 13 10 13 3" xfId="28716" xr:uid="{00000000-0005-0000-0000-000023700000}"/>
    <cellStyle name="Normal 3 3 13 10 14" xfId="28717" xr:uid="{00000000-0005-0000-0000-000024700000}"/>
    <cellStyle name="Normal 3 3 13 10 14 2" xfId="28718" xr:uid="{00000000-0005-0000-0000-000025700000}"/>
    <cellStyle name="Normal 3 3 13 10 14 3" xfId="28719" xr:uid="{00000000-0005-0000-0000-000026700000}"/>
    <cellStyle name="Normal 3 3 13 10 15" xfId="28720" xr:uid="{00000000-0005-0000-0000-000027700000}"/>
    <cellStyle name="Normal 3 3 13 10 16" xfId="28721" xr:uid="{00000000-0005-0000-0000-000028700000}"/>
    <cellStyle name="Normal 3 3 13 10 2" xfId="28722" xr:uid="{00000000-0005-0000-0000-000029700000}"/>
    <cellStyle name="Normal 3 3 13 10 2 2" xfId="28723" xr:uid="{00000000-0005-0000-0000-00002A700000}"/>
    <cellStyle name="Normal 3 3 13 10 2 3" xfId="28724" xr:uid="{00000000-0005-0000-0000-00002B700000}"/>
    <cellStyle name="Normal 3 3 13 10 3" xfId="28725" xr:uid="{00000000-0005-0000-0000-00002C700000}"/>
    <cellStyle name="Normal 3 3 13 10 3 2" xfId="28726" xr:uid="{00000000-0005-0000-0000-00002D700000}"/>
    <cellStyle name="Normal 3 3 13 10 3 3" xfId="28727" xr:uid="{00000000-0005-0000-0000-00002E700000}"/>
    <cellStyle name="Normal 3 3 13 10 4" xfId="28728" xr:uid="{00000000-0005-0000-0000-00002F700000}"/>
    <cellStyle name="Normal 3 3 13 10 4 2" xfId="28729" xr:uid="{00000000-0005-0000-0000-000030700000}"/>
    <cellStyle name="Normal 3 3 13 10 4 3" xfId="28730" xr:uid="{00000000-0005-0000-0000-000031700000}"/>
    <cellStyle name="Normal 3 3 13 10 5" xfId="28731" xr:uid="{00000000-0005-0000-0000-000032700000}"/>
    <cellStyle name="Normal 3 3 13 10 5 2" xfId="28732" xr:uid="{00000000-0005-0000-0000-000033700000}"/>
    <cellStyle name="Normal 3 3 13 10 5 3" xfId="28733" xr:uid="{00000000-0005-0000-0000-000034700000}"/>
    <cellStyle name="Normal 3 3 13 10 6" xfId="28734" xr:uid="{00000000-0005-0000-0000-000035700000}"/>
    <cellStyle name="Normal 3 3 13 10 6 2" xfId="28735" xr:uid="{00000000-0005-0000-0000-000036700000}"/>
    <cellStyle name="Normal 3 3 13 10 6 3" xfId="28736" xr:uid="{00000000-0005-0000-0000-000037700000}"/>
    <cellStyle name="Normal 3 3 13 10 7" xfId="28737" xr:uid="{00000000-0005-0000-0000-000038700000}"/>
    <cellStyle name="Normal 3 3 13 10 7 2" xfId="28738" xr:uid="{00000000-0005-0000-0000-000039700000}"/>
    <cellStyle name="Normal 3 3 13 10 7 3" xfId="28739" xr:uid="{00000000-0005-0000-0000-00003A700000}"/>
    <cellStyle name="Normal 3 3 13 10 8" xfId="28740" xr:uid="{00000000-0005-0000-0000-00003B700000}"/>
    <cellStyle name="Normal 3 3 13 10 8 2" xfId="28741" xr:uid="{00000000-0005-0000-0000-00003C700000}"/>
    <cellStyle name="Normal 3 3 13 10 8 3" xfId="28742" xr:uid="{00000000-0005-0000-0000-00003D700000}"/>
    <cellStyle name="Normal 3 3 13 10 9" xfId="28743" xr:uid="{00000000-0005-0000-0000-00003E700000}"/>
    <cellStyle name="Normal 3 3 13 10 9 2" xfId="28744" xr:uid="{00000000-0005-0000-0000-00003F700000}"/>
    <cellStyle name="Normal 3 3 13 10 9 3" xfId="28745" xr:uid="{00000000-0005-0000-0000-000040700000}"/>
    <cellStyle name="Normal 3 3 13 11" xfId="28746" xr:uid="{00000000-0005-0000-0000-000041700000}"/>
    <cellStyle name="Normal 3 3 13 11 2" xfId="28747" xr:uid="{00000000-0005-0000-0000-000042700000}"/>
    <cellStyle name="Normal 3 3 13 11 3" xfId="28748" xr:uid="{00000000-0005-0000-0000-000043700000}"/>
    <cellStyle name="Normal 3 3 13 12" xfId="28749" xr:uid="{00000000-0005-0000-0000-000044700000}"/>
    <cellStyle name="Normal 3 3 13 12 2" xfId="28750" xr:uid="{00000000-0005-0000-0000-000045700000}"/>
    <cellStyle name="Normal 3 3 13 12 3" xfId="28751" xr:uid="{00000000-0005-0000-0000-000046700000}"/>
    <cellStyle name="Normal 3 3 13 13" xfId="28752" xr:uid="{00000000-0005-0000-0000-000047700000}"/>
    <cellStyle name="Normal 3 3 13 13 2" xfId="28753" xr:uid="{00000000-0005-0000-0000-000048700000}"/>
    <cellStyle name="Normal 3 3 13 13 3" xfId="28754" xr:uid="{00000000-0005-0000-0000-000049700000}"/>
    <cellStyle name="Normal 3 3 13 14" xfId="28755" xr:uid="{00000000-0005-0000-0000-00004A700000}"/>
    <cellStyle name="Normal 3 3 13 14 2" xfId="28756" xr:uid="{00000000-0005-0000-0000-00004B700000}"/>
    <cellStyle name="Normal 3 3 13 14 3" xfId="28757" xr:uid="{00000000-0005-0000-0000-00004C700000}"/>
    <cellStyle name="Normal 3 3 13 15" xfId="28758" xr:uid="{00000000-0005-0000-0000-00004D700000}"/>
    <cellStyle name="Normal 3 3 13 15 2" xfId="28759" xr:uid="{00000000-0005-0000-0000-00004E700000}"/>
    <cellStyle name="Normal 3 3 13 15 3" xfId="28760" xr:uid="{00000000-0005-0000-0000-00004F700000}"/>
    <cellStyle name="Normal 3 3 13 16" xfId="28761" xr:uid="{00000000-0005-0000-0000-000050700000}"/>
    <cellStyle name="Normal 3 3 13 16 2" xfId="28762" xr:uid="{00000000-0005-0000-0000-000051700000}"/>
    <cellStyle name="Normal 3 3 13 16 3" xfId="28763" xr:uid="{00000000-0005-0000-0000-000052700000}"/>
    <cellStyle name="Normal 3 3 13 17" xfId="28764" xr:uid="{00000000-0005-0000-0000-000053700000}"/>
    <cellStyle name="Normal 3 3 13 17 2" xfId="28765" xr:uid="{00000000-0005-0000-0000-000054700000}"/>
    <cellStyle name="Normal 3 3 13 17 3" xfId="28766" xr:uid="{00000000-0005-0000-0000-000055700000}"/>
    <cellStyle name="Normal 3 3 13 18" xfId="28767" xr:uid="{00000000-0005-0000-0000-000056700000}"/>
    <cellStyle name="Normal 3 3 13 18 2" xfId="28768" xr:uid="{00000000-0005-0000-0000-000057700000}"/>
    <cellStyle name="Normal 3 3 13 18 3" xfId="28769" xr:uid="{00000000-0005-0000-0000-000058700000}"/>
    <cellStyle name="Normal 3 3 13 19" xfId="28770" xr:uid="{00000000-0005-0000-0000-000059700000}"/>
    <cellStyle name="Normal 3 3 13 19 2" xfId="28771" xr:uid="{00000000-0005-0000-0000-00005A700000}"/>
    <cellStyle name="Normal 3 3 13 19 3" xfId="28772" xr:uid="{00000000-0005-0000-0000-00005B700000}"/>
    <cellStyle name="Normal 3 3 13 2" xfId="28773" xr:uid="{00000000-0005-0000-0000-00005C700000}"/>
    <cellStyle name="Normal 3 3 13 2 10" xfId="28774" xr:uid="{00000000-0005-0000-0000-00005D700000}"/>
    <cellStyle name="Normal 3 3 13 2 10 2" xfId="28775" xr:uid="{00000000-0005-0000-0000-00005E700000}"/>
    <cellStyle name="Normal 3 3 13 2 10 3" xfId="28776" xr:uid="{00000000-0005-0000-0000-00005F700000}"/>
    <cellStyle name="Normal 3 3 13 2 11" xfId="28777" xr:uid="{00000000-0005-0000-0000-000060700000}"/>
    <cellStyle name="Normal 3 3 13 2 11 2" xfId="28778" xr:uid="{00000000-0005-0000-0000-000061700000}"/>
    <cellStyle name="Normal 3 3 13 2 11 3" xfId="28779" xr:uid="{00000000-0005-0000-0000-000062700000}"/>
    <cellStyle name="Normal 3 3 13 2 12" xfId="28780" xr:uid="{00000000-0005-0000-0000-000063700000}"/>
    <cellStyle name="Normal 3 3 13 2 12 2" xfId="28781" xr:uid="{00000000-0005-0000-0000-000064700000}"/>
    <cellStyle name="Normal 3 3 13 2 12 3" xfId="28782" xr:uid="{00000000-0005-0000-0000-000065700000}"/>
    <cellStyle name="Normal 3 3 13 2 13" xfId="28783" xr:uid="{00000000-0005-0000-0000-000066700000}"/>
    <cellStyle name="Normal 3 3 13 2 13 2" xfId="28784" xr:uid="{00000000-0005-0000-0000-000067700000}"/>
    <cellStyle name="Normal 3 3 13 2 13 3" xfId="28785" xr:uid="{00000000-0005-0000-0000-000068700000}"/>
    <cellStyle name="Normal 3 3 13 2 14" xfId="28786" xr:uid="{00000000-0005-0000-0000-000069700000}"/>
    <cellStyle name="Normal 3 3 13 2 14 2" xfId="28787" xr:uid="{00000000-0005-0000-0000-00006A700000}"/>
    <cellStyle name="Normal 3 3 13 2 14 3" xfId="28788" xr:uid="{00000000-0005-0000-0000-00006B700000}"/>
    <cellStyle name="Normal 3 3 13 2 15" xfId="28789" xr:uid="{00000000-0005-0000-0000-00006C700000}"/>
    <cellStyle name="Normal 3 3 13 2 15 2" xfId="28790" xr:uid="{00000000-0005-0000-0000-00006D700000}"/>
    <cellStyle name="Normal 3 3 13 2 15 3" xfId="28791" xr:uid="{00000000-0005-0000-0000-00006E700000}"/>
    <cellStyle name="Normal 3 3 13 2 16" xfId="28792" xr:uid="{00000000-0005-0000-0000-00006F700000}"/>
    <cellStyle name="Normal 3 3 13 2 17" xfId="28793" xr:uid="{00000000-0005-0000-0000-000070700000}"/>
    <cellStyle name="Normal 3 3 13 2 2" xfId="28794" xr:uid="{00000000-0005-0000-0000-000071700000}"/>
    <cellStyle name="Normal 3 3 13 2 2 10" xfId="28795" xr:uid="{00000000-0005-0000-0000-000072700000}"/>
    <cellStyle name="Normal 3 3 13 2 2 10 2" xfId="28796" xr:uid="{00000000-0005-0000-0000-000073700000}"/>
    <cellStyle name="Normal 3 3 13 2 2 10 3" xfId="28797" xr:uid="{00000000-0005-0000-0000-000074700000}"/>
    <cellStyle name="Normal 3 3 13 2 2 11" xfId="28798" xr:uid="{00000000-0005-0000-0000-000075700000}"/>
    <cellStyle name="Normal 3 3 13 2 2 11 2" xfId="28799" xr:uid="{00000000-0005-0000-0000-000076700000}"/>
    <cellStyle name="Normal 3 3 13 2 2 11 3" xfId="28800" xr:uid="{00000000-0005-0000-0000-000077700000}"/>
    <cellStyle name="Normal 3 3 13 2 2 12" xfId="28801" xr:uid="{00000000-0005-0000-0000-000078700000}"/>
    <cellStyle name="Normal 3 3 13 2 2 12 2" xfId="28802" xr:uid="{00000000-0005-0000-0000-000079700000}"/>
    <cellStyle name="Normal 3 3 13 2 2 12 3" xfId="28803" xr:uid="{00000000-0005-0000-0000-00007A700000}"/>
    <cellStyle name="Normal 3 3 13 2 2 13" xfId="28804" xr:uid="{00000000-0005-0000-0000-00007B700000}"/>
    <cellStyle name="Normal 3 3 13 2 2 13 2" xfId="28805" xr:uid="{00000000-0005-0000-0000-00007C700000}"/>
    <cellStyle name="Normal 3 3 13 2 2 13 3" xfId="28806" xr:uid="{00000000-0005-0000-0000-00007D700000}"/>
    <cellStyle name="Normal 3 3 13 2 2 14" xfId="28807" xr:uid="{00000000-0005-0000-0000-00007E700000}"/>
    <cellStyle name="Normal 3 3 13 2 2 14 2" xfId="28808" xr:uid="{00000000-0005-0000-0000-00007F700000}"/>
    <cellStyle name="Normal 3 3 13 2 2 14 3" xfId="28809" xr:uid="{00000000-0005-0000-0000-000080700000}"/>
    <cellStyle name="Normal 3 3 13 2 2 15" xfId="28810" xr:uid="{00000000-0005-0000-0000-000081700000}"/>
    <cellStyle name="Normal 3 3 13 2 2 16" xfId="28811" xr:uid="{00000000-0005-0000-0000-000082700000}"/>
    <cellStyle name="Normal 3 3 13 2 2 2" xfId="28812" xr:uid="{00000000-0005-0000-0000-000083700000}"/>
    <cellStyle name="Normal 3 3 13 2 2 2 2" xfId="28813" xr:uid="{00000000-0005-0000-0000-000084700000}"/>
    <cellStyle name="Normal 3 3 13 2 2 2 3" xfId="28814" xr:uid="{00000000-0005-0000-0000-000085700000}"/>
    <cellStyle name="Normal 3 3 13 2 2 3" xfId="28815" xr:uid="{00000000-0005-0000-0000-000086700000}"/>
    <cellStyle name="Normal 3 3 13 2 2 3 2" xfId="28816" xr:uid="{00000000-0005-0000-0000-000087700000}"/>
    <cellStyle name="Normal 3 3 13 2 2 3 3" xfId="28817" xr:uid="{00000000-0005-0000-0000-000088700000}"/>
    <cellStyle name="Normal 3 3 13 2 2 4" xfId="28818" xr:uid="{00000000-0005-0000-0000-000089700000}"/>
    <cellStyle name="Normal 3 3 13 2 2 4 2" xfId="28819" xr:uid="{00000000-0005-0000-0000-00008A700000}"/>
    <cellStyle name="Normal 3 3 13 2 2 4 3" xfId="28820" xr:uid="{00000000-0005-0000-0000-00008B700000}"/>
    <cellStyle name="Normal 3 3 13 2 2 5" xfId="28821" xr:uid="{00000000-0005-0000-0000-00008C700000}"/>
    <cellStyle name="Normal 3 3 13 2 2 5 2" xfId="28822" xr:uid="{00000000-0005-0000-0000-00008D700000}"/>
    <cellStyle name="Normal 3 3 13 2 2 5 3" xfId="28823" xr:uid="{00000000-0005-0000-0000-00008E700000}"/>
    <cellStyle name="Normal 3 3 13 2 2 6" xfId="28824" xr:uid="{00000000-0005-0000-0000-00008F700000}"/>
    <cellStyle name="Normal 3 3 13 2 2 6 2" xfId="28825" xr:uid="{00000000-0005-0000-0000-000090700000}"/>
    <cellStyle name="Normal 3 3 13 2 2 6 3" xfId="28826" xr:uid="{00000000-0005-0000-0000-000091700000}"/>
    <cellStyle name="Normal 3 3 13 2 2 7" xfId="28827" xr:uid="{00000000-0005-0000-0000-000092700000}"/>
    <cellStyle name="Normal 3 3 13 2 2 7 2" xfId="28828" xr:uid="{00000000-0005-0000-0000-000093700000}"/>
    <cellStyle name="Normal 3 3 13 2 2 7 3" xfId="28829" xr:uid="{00000000-0005-0000-0000-000094700000}"/>
    <cellStyle name="Normal 3 3 13 2 2 8" xfId="28830" xr:uid="{00000000-0005-0000-0000-000095700000}"/>
    <cellStyle name="Normal 3 3 13 2 2 8 2" xfId="28831" xr:uid="{00000000-0005-0000-0000-000096700000}"/>
    <cellStyle name="Normal 3 3 13 2 2 8 3" xfId="28832" xr:uid="{00000000-0005-0000-0000-000097700000}"/>
    <cellStyle name="Normal 3 3 13 2 2 9" xfId="28833" xr:uid="{00000000-0005-0000-0000-000098700000}"/>
    <cellStyle name="Normal 3 3 13 2 2 9 2" xfId="28834" xr:uid="{00000000-0005-0000-0000-000099700000}"/>
    <cellStyle name="Normal 3 3 13 2 2 9 3" xfId="28835" xr:uid="{00000000-0005-0000-0000-00009A700000}"/>
    <cellStyle name="Normal 3 3 13 2 3" xfId="28836" xr:uid="{00000000-0005-0000-0000-00009B700000}"/>
    <cellStyle name="Normal 3 3 13 2 3 2" xfId="28837" xr:uid="{00000000-0005-0000-0000-00009C700000}"/>
    <cellStyle name="Normal 3 3 13 2 3 3" xfId="28838" xr:uid="{00000000-0005-0000-0000-00009D700000}"/>
    <cellStyle name="Normal 3 3 13 2 4" xfId="28839" xr:uid="{00000000-0005-0000-0000-00009E700000}"/>
    <cellStyle name="Normal 3 3 13 2 4 2" xfId="28840" xr:uid="{00000000-0005-0000-0000-00009F700000}"/>
    <cellStyle name="Normal 3 3 13 2 4 3" xfId="28841" xr:uid="{00000000-0005-0000-0000-0000A0700000}"/>
    <cellStyle name="Normal 3 3 13 2 5" xfId="28842" xr:uid="{00000000-0005-0000-0000-0000A1700000}"/>
    <cellStyle name="Normal 3 3 13 2 5 2" xfId="28843" xr:uid="{00000000-0005-0000-0000-0000A2700000}"/>
    <cellStyle name="Normal 3 3 13 2 5 3" xfId="28844" xr:uid="{00000000-0005-0000-0000-0000A3700000}"/>
    <cellStyle name="Normal 3 3 13 2 6" xfId="28845" xr:uid="{00000000-0005-0000-0000-0000A4700000}"/>
    <cellStyle name="Normal 3 3 13 2 6 2" xfId="28846" xr:uid="{00000000-0005-0000-0000-0000A5700000}"/>
    <cellStyle name="Normal 3 3 13 2 6 3" xfId="28847" xr:uid="{00000000-0005-0000-0000-0000A6700000}"/>
    <cellStyle name="Normal 3 3 13 2 7" xfId="28848" xr:uid="{00000000-0005-0000-0000-0000A7700000}"/>
    <cellStyle name="Normal 3 3 13 2 7 2" xfId="28849" xr:uid="{00000000-0005-0000-0000-0000A8700000}"/>
    <cellStyle name="Normal 3 3 13 2 7 3" xfId="28850" xr:uid="{00000000-0005-0000-0000-0000A9700000}"/>
    <cellStyle name="Normal 3 3 13 2 8" xfId="28851" xr:uid="{00000000-0005-0000-0000-0000AA700000}"/>
    <cellStyle name="Normal 3 3 13 2 8 2" xfId="28852" xr:uid="{00000000-0005-0000-0000-0000AB700000}"/>
    <cellStyle name="Normal 3 3 13 2 8 3" xfId="28853" xr:uid="{00000000-0005-0000-0000-0000AC700000}"/>
    <cellStyle name="Normal 3 3 13 2 9" xfId="28854" xr:uid="{00000000-0005-0000-0000-0000AD700000}"/>
    <cellStyle name="Normal 3 3 13 2 9 2" xfId="28855" xr:uid="{00000000-0005-0000-0000-0000AE700000}"/>
    <cellStyle name="Normal 3 3 13 2 9 3" xfId="28856" xr:uid="{00000000-0005-0000-0000-0000AF700000}"/>
    <cellStyle name="Normal 3 3 13 20" xfId="28857" xr:uid="{00000000-0005-0000-0000-0000B0700000}"/>
    <cellStyle name="Normal 3 3 13 20 2" xfId="28858" xr:uid="{00000000-0005-0000-0000-0000B1700000}"/>
    <cellStyle name="Normal 3 3 13 20 3" xfId="28859" xr:uid="{00000000-0005-0000-0000-0000B2700000}"/>
    <cellStyle name="Normal 3 3 13 21" xfId="28860" xr:uid="{00000000-0005-0000-0000-0000B3700000}"/>
    <cellStyle name="Normal 3 3 13 21 2" xfId="28861" xr:uid="{00000000-0005-0000-0000-0000B4700000}"/>
    <cellStyle name="Normal 3 3 13 21 3" xfId="28862" xr:uid="{00000000-0005-0000-0000-0000B5700000}"/>
    <cellStyle name="Normal 3 3 13 22" xfId="28863" xr:uid="{00000000-0005-0000-0000-0000B6700000}"/>
    <cellStyle name="Normal 3 3 13 22 2" xfId="28864" xr:uid="{00000000-0005-0000-0000-0000B7700000}"/>
    <cellStyle name="Normal 3 3 13 22 3" xfId="28865" xr:uid="{00000000-0005-0000-0000-0000B8700000}"/>
    <cellStyle name="Normal 3 3 13 23" xfId="28866" xr:uid="{00000000-0005-0000-0000-0000B9700000}"/>
    <cellStyle name="Normal 3 3 13 23 2" xfId="28867" xr:uid="{00000000-0005-0000-0000-0000BA700000}"/>
    <cellStyle name="Normal 3 3 13 23 3" xfId="28868" xr:uid="{00000000-0005-0000-0000-0000BB700000}"/>
    <cellStyle name="Normal 3 3 13 24" xfId="28869" xr:uid="{00000000-0005-0000-0000-0000BC700000}"/>
    <cellStyle name="Normal 3 3 13 25" xfId="28870" xr:uid="{00000000-0005-0000-0000-0000BD700000}"/>
    <cellStyle name="Normal 3 3 13 3" xfId="28871" xr:uid="{00000000-0005-0000-0000-0000BE700000}"/>
    <cellStyle name="Normal 3 3 13 3 10" xfId="28872" xr:uid="{00000000-0005-0000-0000-0000BF700000}"/>
    <cellStyle name="Normal 3 3 13 3 10 2" xfId="28873" xr:uid="{00000000-0005-0000-0000-0000C0700000}"/>
    <cellStyle name="Normal 3 3 13 3 10 3" xfId="28874" xr:uid="{00000000-0005-0000-0000-0000C1700000}"/>
    <cellStyle name="Normal 3 3 13 3 11" xfId="28875" xr:uid="{00000000-0005-0000-0000-0000C2700000}"/>
    <cellStyle name="Normal 3 3 13 3 11 2" xfId="28876" xr:uid="{00000000-0005-0000-0000-0000C3700000}"/>
    <cellStyle name="Normal 3 3 13 3 11 3" xfId="28877" xr:uid="{00000000-0005-0000-0000-0000C4700000}"/>
    <cellStyle name="Normal 3 3 13 3 12" xfId="28878" xr:uid="{00000000-0005-0000-0000-0000C5700000}"/>
    <cellStyle name="Normal 3 3 13 3 12 2" xfId="28879" xr:uid="{00000000-0005-0000-0000-0000C6700000}"/>
    <cellStyle name="Normal 3 3 13 3 12 3" xfId="28880" xr:uid="{00000000-0005-0000-0000-0000C7700000}"/>
    <cellStyle name="Normal 3 3 13 3 13" xfId="28881" xr:uid="{00000000-0005-0000-0000-0000C8700000}"/>
    <cellStyle name="Normal 3 3 13 3 13 2" xfId="28882" xr:uid="{00000000-0005-0000-0000-0000C9700000}"/>
    <cellStyle name="Normal 3 3 13 3 13 3" xfId="28883" xr:uid="{00000000-0005-0000-0000-0000CA700000}"/>
    <cellStyle name="Normal 3 3 13 3 14" xfId="28884" xr:uid="{00000000-0005-0000-0000-0000CB700000}"/>
    <cellStyle name="Normal 3 3 13 3 14 2" xfId="28885" xr:uid="{00000000-0005-0000-0000-0000CC700000}"/>
    <cellStyle name="Normal 3 3 13 3 14 3" xfId="28886" xr:uid="{00000000-0005-0000-0000-0000CD700000}"/>
    <cellStyle name="Normal 3 3 13 3 15" xfId="28887" xr:uid="{00000000-0005-0000-0000-0000CE700000}"/>
    <cellStyle name="Normal 3 3 13 3 15 2" xfId="28888" xr:uid="{00000000-0005-0000-0000-0000CF700000}"/>
    <cellStyle name="Normal 3 3 13 3 15 3" xfId="28889" xr:uid="{00000000-0005-0000-0000-0000D0700000}"/>
    <cellStyle name="Normal 3 3 13 3 16" xfId="28890" xr:uid="{00000000-0005-0000-0000-0000D1700000}"/>
    <cellStyle name="Normal 3 3 13 3 17" xfId="28891" xr:uid="{00000000-0005-0000-0000-0000D2700000}"/>
    <cellStyle name="Normal 3 3 13 3 2" xfId="28892" xr:uid="{00000000-0005-0000-0000-0000D3700000}"/>
    <cellStyle name="Normal 3 3 13 3 2 10" xfId="28893" xr:uid="{00000000-0005-0000-0000-0000D4700000}"/>
    <cellStyle name="Normal 3 3 13 3 2 10 2" xfId="28894" xr:uid="{00000000-0005-0000-0000-0000D5700000}"/>
    <cellStyle name="Normal 3 3 13 3 2 10 3" xfId="28895" xr:uid="{00000000-0005-0000-0000-0000D6700000}"/>
    <cellStyle name="Normal 3 3 13 3 2 11" xfId="28896" xr:uid="{00000000-0005-0000-0000-0000D7700000}"/>
    <cellStyle name="Normal 3 3 13 3 2 11 2" xfId="28897" xr:uid="{00000000-0005-0000-0000-0000D8700000}"/>
    <cellStyle name="Normal 3 3 13 3 2 11 3" xfId="28898" xr:uid="{00000000-0005-0000-0000-0000D9700000}"/>
    <cellStyle name="Normal 3 3 13 3 2 12" xfId="28899" xr:uid="{00000000-0005-0000-0000-0000DA700000}"/>
    <cellStyle name="Normal 3 3 13 3 2 12 2" xfId="28900" xr:uid="{00000000-0005-0000-0000-0000DB700000}"/>
    <cellStyle name="Normal 3 3 13 3 2 12 3" xfId="28901" xr:uid="{00000000-0005-0000-0000-0000DC700000}"/>
    <cellStyle name="Normal 3 3 13 3 2 13" xfId="28902" xr:uid="{00000000-0005-0000-0000-0000DD700000}"/>
    <cellStyle name="Normal 3 3 13 3 2 13 2" xfId="28903" xr:uid="{00000000-0005-0000-0000-0000DE700000}"/>
    <cellStyle name="Normal 3 3 13 3 2 13 3" xfId="28904" xr:uid="{00000000-0005-0000-0000-0000DF700000}"/>
    <cellStyle name="Normal 3 3 13 3 2 14" xfId="28905" xr:uid="{00000000-0005-0000-0000-0000E0700000}"/>
    <cellStyle name="Normal 3 3 13 3 2 14 2" xfId="28906" xr:uid="{00000000-0005-0000-0000-0000E1700000}"/>
    <cellStyle name="Normal 3 3 13 3 2 14 3" xfId="28907" xr:uid="{00000000-0005-0000-0000-0000E2700000}"/>
    <cellStyle name="Normal 3 3 13 3 2 15" xfId="28908" xr:uid="{00000000-0005-0000-0000-0000E3700000}"/>
    <cellStyle name="Normal 3 3 13 3 2 16" xfId="28909" xr:uid="{00000000-0005-0000-0000-0000E4700000}"/>
    <cellStyle name="Normal 3 3 13 3 2 2" xfId="28910" xr:uid="{00000000-0005-0000-0000-0000E5700000}"/>
    <cellStyle name="Normal 3 3 13 3 2 2 2" xfId="28911" xr:uid="{00000000-0005-0000-0000-0000E6700000}"/>
    <cellStyle name="Normal 3 3 13 3 2 2 3" xfId="28912" xr:uid="{00000000-0005-0000-0000-0000E7700000}"/>
    <cellStyle name="Normal 3 3 13 3 2 3" xfId="28913" xr:uid="{00000000-0005-0000-0000-0000E8700000}"/>
    <cellStyle name="Normal 3 3 13 3 2 3 2" xfId="28914" xr:uid="{00000000-0005-0000-0000-0000E9700000}"/>
    <cellStyle name="Normal 3 3 13 3 2 3 3" xfId="28915" xr:uid="{00000000-0005-0000-0000-0000EA700000}"/>
    <cellStyle name="Normal 3 3 13 3 2 4" xfId="28916" xr:uid="{00000000-0005-0000-0000-0000EB700000}"/>
    <cellStyle name="Normal 3 3 13 3 2 4 2" xfId="28917" xr:uid="{00000000-0005-0000-0000-0000EC700000}"/>
    <cellStyle name="Normal 3 3 13 3 2 4 3" xfId="28918" xr:uid="{00000000-0005-0000-0000-0000ED700000}"/>
    <cellStyle name="Normal 3 3 13 3 2 5" xfId="28919" xr:uid="{00000000-0005-0000-0000-0000EE700000}"/>
    <cellStyle name="Normal 3 3 13 3 2 5 2" xfId="28920" xr:uid="{00000000-0005-0000-0000-0000EF700000}"/>
    <cellStyle name="Normal 3 3 13 3 2 5 3" xfId="28921" xr:uid="{00000000-0005-0000-0000-0000F0700000}"/>
    <cellStyle name="Normal 3 3 13 3 2 6" xfId="28922" xr:uid="{00000000-0005-0000-0000-0000F1700000}"/>
    <cellStyle name="Normal 3 3 13 3 2 6 2" xfId="28923" xr:uid="{00000000-0005-0000-0000-0000F2700000}"/>
    <cellStyle name="Normal 3 3 13 3 2 6 3" xfId="28924" xr:uid="{00000000-0005-0000-0000-0000F3700000}"/>
    <cellStyle name="Normal 3 3 13 3 2 7" xfId="28925" xr:uid="{00000000-0005-0000-0000-0000F4700000}"/>
    <cellStyle name="Normal 3 3 13 3 2 7 2" xfId="28926" xr:uid="{00000000-0005-0000-0000-0000F5700000}"/>
    <cellStyle name="Normal 3 3 13 3 2 7 3" xfId="28927" xr:uid="{00000000-0005-0000-0000-0000F6700000}"/>
    <cellStyle name="Normal 3 3 13 3 2 8" xfId="28928" xr:uid="{00000000-0005-0000-0000-0000F7700000}"/>
    <cellStyle name="Normal 3 3 13 3 2 8 2" xfId="28929" xr:uid="{00000000-0005-0000-0000-0000F8700000}"/>
    <cellStyle name="Normal 3 3 13 3 2 8 3" xfId="28930" xr:uid="{00000000-0005-0000-0000-0000F9700000}"/>
    <cellStyle name="Normal 3 3 13 3 2 9" xfId="28931" xr:uid="{00000000-0005-0000-0000-0000FA700000}"/>
    <cellStyle name="Normal 3 3 13 3 2 9 2" xfId="28932" xr:uid="{00000000-0005-0000-0000-0000FB700000}"/>
    <cellStyle name="Normal 3 3 13 3 2 9 3" xfId="28933" xr:uid="{00000000-0005-0000-0000-0000FC700000}"/>
    <cellStyle name="Normal 3 3 13 3 3" xfId="28934" xr:uid="{00000000-0005-0000-0000-0000FD700000}"/>
    <cellStyle name="Normal 3 3 13 3 3 2" xfId="28935" xr:uid="{00000000-0005-0000-0000-0000FE700000}"/>
    <cellStyle name="Normal 3 3 13 3 3 3" xfId="28936" xr:uid="{00000000-0005-0000-0000-0000FF700000}"/>
    <cellStyle name="Normal 3 3 13 3 4" xfId="28937" xr:uid="{00000000-0005-0000-0000-000000710000}"/>
    <cellStyle name="Normal 3 3 13 3 4 2" xfId="28938" xr:uid="{00000000-0005-0000-0000-000001710000}"/>
    <cellStyle name="Normal 3 3 13 3 4 3" xfId="28939" xr:uid="{00000000-0005-0000-0000-000002710000}"/>
    <cellStyle name="Normal 3 3 13 3 5" xfId="28940" xr:uid="{00000000-0005-0000-0000-000003710000}"/>
    <cellStyle name="Normal 3 3 13 3 5 2" xfId="28941" xr:uid="{00000000-0005-0000-0000-000004710000}"/>
    <cellStyle name="Normal 3 3 13 3 5 3" xfId="28942" xr:uid="{00000000-0005-0000-0000-000005710000}"/>
    <cellStyle name="Normal 3 3 13 3 6" xfId="28943" xr:uid="{00000000-0005-0000-0000-000006710000}"/>
    <cellStyle name="Normal 3 3 13 3 6 2" xfId="28944" xr:uid="{00000000-0005-0000-0000-000007710000}"/>
    <cellStyle name="Normal 3 3 13 3 6 3" xfId="28945" xr:uid="{00000000-0005-0000-0000-000008710000}"/>
    <cellStyle name="Normal 3 3 13 3 7" xfId="28946" xr:uid="{00000000-0005-0000-0000-000009710000}"/>
    <cellStyle name="Normal 3 3 13 3 7 2" xfId="28947" xr:uid="{00000000-0005-0000-0000-00000A710000}"/>
    <cellStyle name="Normal 3 3 13 3 7 3" xfId="28948" xr:uid="{00000000-0005-0000-0000-00000B710000}"/>
    <cellStyle name="Normal 3 3 13 3 8" xfId="28949" xr:uid="{00000000-0005-0000-0000-00000C710000}"/>
    <cellStyle name="Normal 3 3 13 3 8 2" xfId="28950" xr:uid="{00000000-0005-0000-0000-00000D710000}"/>
    <cellStyle name="Normal 3 3 13 3 8 3" xfId="28951" xr:uid="{00000000-0005-0000-0000-00000E710000}"/>
    <cellStyle name="Normal 3 3 13 3 9" xfId="28952" xr:uid="{00000000-0005-0000-0000-00000F710000}"/>
    <cellStyle name="Normal 3 3 13 3 9 2" xfId="28953" xr:uid="{00000000-0005-0000-0000-000010710000}"/>
    <cellStyle name="Normal 3 3 13 3 9 3" xfId="28954" xr:uid="{00000000-0005-0000-0000-000011710000}"/>
    <cellStyle name="Normal 3 3 13 4" xfId="28955" xr:uid="{00000000-0005-0000-0000-000012710000}"/>
    <cellStyle name="Normal 3 3 13 4 10" xfId="28956" xr:uid="{00000000-0005-0000-0000-000013710000}"/>
    <cellStyle name="Normal 3 3 13 4 10 2" xfId="28957" xr:uid="{00000000-0005-0000-0000-000014710000}"/>
    <cellStyle name="Normal 3 3 13 4 10 3" xfId="28958" xr:uid="{00000000-0005-0000-0000-000015710000}"/>
    <cellStyle name="Normal 3 3 13 4 11" xfId="28959" xr:uid="{00000000-0005-0000-0000-000016710000}"/>
    <cellStyle name="Normal 3 3 13 4 11 2" xfId="28960" xr:uid="{00000000-0005-0000-0000-000017710000}"/>
    <cellStyle name="Normal 3 3 13 4 11 3" xfId="28961" xr:uid="{00000000-0005-0000-0000-000018710000}"/>
    <cellStyle name="Normal 3 3 13 4 12" xfId="28962" xr:uid="{00000000-0005-0000-0000-000019710000}"/>
    <cellStyle name="Normal 3 3 13 4 12 2" xfId="28963" xr:uid="{00000000-0005-0000-0000-00001A710000}"/>
    <cellStyle name="Normal 3 3 13 4 12 3" xfId="28964" xr:uid="{00000000-0005-0000-0000-00001B710000}"/>
    <cellStyle name="Normal 3 3 13 4 13" xfId="28965" xr:uid="{00000000-0005-0000-0000-00001C710000}"/>
    <cellStyle name="Normal 3 3 13 4 13 2" xfId="28966" xr:uid="{00000000-0005-0000-0000-00001D710000}"/>
    <cellStyle name="Normal 3 3 13 4 13 3" xfId="28967" xr:uid="{00000000-0005-0000-0000-00001E710000}"/>
    <cellStyle name="Normal 3 3 13 4 14" xfId="28968" xr:uid="{00000000-0005-0000-0000-00001F710000}"/>
    <cellStyle name="Normal 3 3 13 4 14 2" xfId="28969" xr:uid="{00000000-0005-0000-0000-000020710000}"/>
    <cellStyle name="Normal 3 3 13 4 14 3" xfId="28970" xr:uid="{00000000-0005-0000-0000-000021710000}"/>
    <cellStyle name="Normal 3 3 13 4 15" xfId="28971" xr:uid="{00000000-0005-0000-0000-000022710000}"/>
    <cellStyle name="Normal 3 3 13 4 15 2" xfId="28972" xr:uid="{00000000-0005-0000-0000-000023710000}"/>
    <cellStyle name="Normal 3 3 13 4 15 3" xfId="28973" xr:uid="{00000000-0005-0000-0000-000024710000}"/>
    <cellStyle name="Normal 3 3 13 4 16" xfId="28974" xr:uid="{00000000-0005-0000-0000-000025710000}"/>
    <cellStyle name="Normal 3 3 13 4 17" xfId="28975" xr:uid="{00000000-0005-0000-0000-000026710000}"/>
    <cellStyle name="Normal 3 3 13 4 2" xfId="28976" xr:uid="{00000000-0005-0000-0000-000027710000}"/>
    <cellStyle name="Normal 3 3 13 4 2 10" xfId="28977" xr:uid="{00000000-0005-0000-0000-000028710000}"/>
    <cellStyle name="Normal 3 3 13 4 2 10 2" xfId="28978" xr:uid="{00000000-0005-0000-0000-000029710000}"/>
    <cellStyle name="Normal 3 3 13 4 2 10 3" xfId="28979" xr:uid="{00000000-0005-0000-0000-00002A710000}"/>
    <cellStyle name="Normal 3 3 13 4 2 11" xfId="28980" xr:uid="{00000000-0005-0000-0000-00002B710000}"/>
    <cellStyle name="Normal 3 3 13 4 2 11 2" xfId="28981" xr:uid="{00000000-0005-0000-0000-00002C710000}"/>
    <cellStyle name="Normal 3 3 13 4 2 11 3" xfId="28982" xr:uid="{00000000-0005-0000-0000-00002D710000}"/>
    <cellStyle name="Normal 3 3 13 4 2 12" xfId="28983" xr:uid="{00000000-0005-0000-0000-00002E710000}"/>
    <cellStyle name="Normal 3 3 13 4 2 12 2" xfId="28984" xr:uid="{00000000-0005-0000-0000-00002F710000}"/>
    <cellStyle name="Normal 3 3 13 4 2 12 3" xfId="28985" xr:uid="{00000000-0005-0000-0000-000030710000}"/>
    <cellStyle name="Normal 3 3 13 4 2 13" xfId="28986" xr:uid="{00000000-0005-0000-0000-000031710000}"/>
    <cellStyle name="Normal 3 3 13 4 2 13 2" xfId="28987" xr:uid="{00000000-0005-0000-0000-000032710000}"/>
    <cellStyle name="Normal 3 3 13 4 2 13 3" xfId="28988" xr:uid="{00000000-0005-0000-0000-000033710000}"/>
    <cellStyle name="Normal 3 3 13 4 2 14" xfId="28989" xr:uid="{00000000-0005-0000-0000-000034710000}"/>
    <cellStyle name="Normal 3 3 13 4 2 14 2" xfId="28990" xr:uid="{00000000-0005-0000-0000-000035710000}"/>
    <cellStyle name="Normal 3 3 13 4 2 14 3" xfId="28991" xr:uid="{00000000-0005-0000-0000-000036710000}"/>
    <cellStyle name="Normal 3 3 13 4 2 15" xfId="28992" xr:uid="{00000000-0005-0000-0000-000037710000}"/>
    <cellStyle name="Normal 3 3 13 4 2 16" xfId="28993" xr:uid="{00000000-0005-0000-0000-000038710000}"/>
    <cellStyle name="Normal 3 3 13 4 2 2" xfId="28994" xr:uid="{00000000-0005-0000-0000-000039710000}"/>
    <cellStyle name="Normal 3 3 13 4 2 2 2" xfId="28995" xr:uid="{00000000-0005-0000-0000-00003A710000}"/>
    <cellStyle name="Normal 3 3 13 4 2 2 3" xfId="28996" xr:uid="{00000000-0005-0000-0000-00003B710000}"/>
    <cellStyle name="Normal 3 3 13 4 2 3" xfId="28997" xr:uid="{00000000-0005-0000-0000-00003C710000}"/>
    <cellStyle name="Normal 3 3 13 4 2 3 2" xfId="28998" xr:uid="{00000000-0005-0000-0000-00003D710000}"/>
    <cellStyle name="Normal 3 3 13 4 2 3 3" xfId="28999" xr:uid="{00000000-0005-0000-0000-00003E710000}"/>
    <cellStyle name="Normal 3 3 13 4 2 4" xfId="29000" xr:uid="{00000000-0005-0000-0000-00003F710000}"/>
    <cellStyle name="Normal 3 3 13 4 2 4 2" xfId="29001" xr:uid="{00000000-0005-0000-0000-000040710000}"/>
    <cellStyle name="Normal 3 3 13 4 2 4 3" xfId="29002" xr:uid="{00000000-0005-0000-0000-000041710000}"/>
    <cellStyle name="Normal 3 3 13 4 2 5" xfId="29003" xr:uid="{00000000-0005-0000-0000-000042710000}"/>
    <cellStyle name="Normal 3 3 13 4 2 5 2" xfId="29004" xr:uid="{00000000-0005-0000-0000-000043710000}"/>
    <cellStyle name="Normal 3 3 13 4 2 5 3" xfId="29005" xr:uid="{00000000-0005-0000-0000-000044710000}"/>
    <cellStyle name="Normal 3 3 13 4 2 6" xfId="29006" xr:uid="{00000000-0005-0000-0000-000045710000}"/>
    <cellStyle name="Normal 3 3 13 4 2 6 2" xfId="29007" xr:uid="{00000000-0005-0000-0000-000046710000}"/>
    <cellStyle name="Normal 3 3 13 4 2 6 3" xfId="29008" xr:uid="{00000000-0005-0000-0000-000047710000}"/>
    <cellStyle name="Normal 3 3 13 4 2 7" xfId="29009" xr:uid="{00000000-0005-0000-0000-000048710000}"/>
    <cellStyle name="Normal 3 3 13 4 2 7 2" xfId="29010" xr:uid="{00000000-0005-0000-0000-000049710000}"/>
    <cellStyle name="Normal 3 3 13 4 2 7 3" xfId="29011" xr:uid="{00000000-0005-0000-0000-00004A710000}"/>
    <cellStyle name="Normal 3 3 13 4 2 8" xfId="29012" xr:uid="{00000000-0005-0000-0000-00004B710000}"/>
    <cellStyle name="Normal 3 3 13 4 2 8 2" xfId="29013" xr:uid="{00000000-0005-0000-0000-00004C710000}"/>
    <cellStyle name="Normal 3 3 13 4 2 8 3" xfId="29014" xr:uid="{00000000-0005-0000-0000-00004D710000}"/>
    <cellStyle name="Normal 3 3 13 4 2 9" xfId="29015" xr:uid="{00000000-0005-0000-0000-00004E710000}"/>
    <cellStyle name="Normal 3 3 13 4 2 9 2" xfId="29016" xr:uid="{00000000-0005-0000-0000-00004F710000}"/>
    <cellStyle name="Normal 3 3 13 4 2 9 3" xfId="29017" xr:uid="{00000000-0005-0000-0000-000050710000}"/>
    <cellStyle name="Normal 3 3 13 4 3" xfId="29018" xr:uid="{00000000-0005-0000-0000-000051710000}"/>
    <cellStyle name="Normal 3 3 13 4 3 2" xfId="29019" xr:uid="{00000000-0005-0000-0000-000052710000}"/>
    <cellStyle name="Normal 3 3 13 4 3 3" xfId="29020" xr:uid="{00000000-0005-0000-0000-000053710000}"/>
    <cellStyle name="Normal 3 3 13 4 4" xfId="29021" xr:uid="{00000000-0005-0000-0000-000054710000}"/>
    <cellStyle name="Normal 3 3 13 4 4 2" xfId="29022" xr:uid="{00000000-0005-0000-0000-000055710000}"/>
    <cellStyle name="Normal 3 3 13 4 4 3" xfId="29023" xr:uid="{00000000-0005-0000-0000-000056710000}"/>
    <cellStyle name="Normal 3 3 13 4 5" xfId="29024" xr:uid="{00000000-0005-0000-0000-000057710000}"/>
    <cellStyle name="Normal 3 3 13 4 5 2" xfId="29025" xr:uid="{00000000-0005-0000-0000-000058710000}"/>
    <cellStyle name="Normal 3 3 13 4 5 3" xfId="29026" xr:uid="{00000000-0005-0000-0000-000059710000}"/>
    <cellStyle name="Normal 3 3 13 4 6" xfId="29027" xr:uid="{00000000-0005-0000-0000-00005A710000}"/>
    <cellStyle name="Normal 3 3 13 4 6 2" xfId="29028" xr:uid="{00000000-0005-0000-0000-00005B710000}"/>
    <cellStyle name="Normal 3 3 13 4 6 3" xfId="29029" xr:uid="{00000000-0005-0000-0000-00005C710000}"/>
    <cellStyle name="Normal 3 3 13 4 7" xfId="29030" xr:uid="{00000000-0005-0000-0000-00005D710000}"/>
    <cellStyle name="Normal 3 3 13 4 7 2" xfId="29031" xr:uid="{00000000-0005-0000-0000-00005E710000}"/>
    <cellStyle name="Normal 3 3 13 4 7 3" xfId="29032" xr:uid="{00000000-0005-0000-0000-00005F710000}"/>
    <cellStyle name="Normal 3 3 13 4 8" xfId="29033" xr:uid="{00000000-0005-0000-0000-000060710000}"/>
    <cellStyle name="Normal 3 3 13 4 8 2" xfId="29034" xr:uid="{00000000-0005-0000-0000-000061710000}"/>
    <cellStyle name="Normal 3 3 13 4 8 3" xfId="29035" xr:uid="{00000000-0005-0000-0000-000062710000}"/>
    <cellStyle name="Normal 3 3 13 4 9" xfId="29036" xr:uid="{00000000-0005-0000-0000-000063710000}"/>
    <cellStyle name="Normal 3 3 13 4 9 2" xfId="29037" xr:uid="{00000000-0005-0000-0000-000064710000}"/>
    <cellStyle name="Normal 3 3 13 4 9 3" xfId="29038" xr:uid="{00000000-0005-0000-0000-000065710000}"/>
    <cellStyle name="Normal 3 3 13 5" xfId="29039" xr:uid="{00000000-0005-0000-0000-000066710000}"/>
    <cellStyle name="Normal 3 3 13 5 10" xfId="29040" xr:uid="{00000000-0005-0000-0000-000067710000}"/>
    <cellStyle name="Normal 3 3 13 5 10 2" xfId="29041" xr:uid="{00000000-0005-0000-0000-000068710000}"/>
    <cellStyle name="Normal 3 3 13 5 10 3" xfId="29042" xr:uid="{00000000-0005-0000-0000-000069710000}"/>
    <cellStyle name="Normal 3 3 13 5 11" xfId="29043" xr:uid="{00000000-0005-0000-0000-00006A710000}"/>
    <cellStyle name="Normal 3 3 13 5 11 2" xfId="29044" xr:uid="{00000000-0005-0000-0000-00006B710000}"/>
    <cellStyle name="Normal 3 3 13 5 11 3" xfId="29045" xr:uid="{00000000-0005-0000-0000-00006C710000}"/>
    <cellStyle name="Normal 3 3 13 5 12" xfId="29046" xr:uid="{00000000-0005-0000-0000-00006D710000}"/>
    <cellStyle name="Normal 3 3 13 5 12 2" xfId="29047" xr:uid="{00000000-0005-0000-0000-00006E710000}"/>
    <cellStyle name="Normal 3 3 13 5 12 3" xfId="29048" xr:uid="{00000000-0005-0000-0000-00006F710000}"/>
    <cellStyle name="Normal 3 3 13 5 13" xfId="29049" xr:uid="{00000000-0005-0000-0000-000070710000}"/>
    <cellStyle name="Normal 3 3 13 5 13 2" xfId="29050" xr:uid="{00000000-0005-0000-0000-000071710000}"/>
    <cellStyle name="Normal 3 3 13 5 13 3" xfId="29051" xr:uid="{00000000-0005-0000-0000-000072710000}"/>
    <cellStyle name="Normal 3 3 13 5 14" xfId="29052" xr:uid="{00000000-0005-0000-0000-000073710000}"/>
    <cellStyle name="Normal 3 3 13 5 14 2" xfId="29053" xr:uid="{00000000-0005-0000-0000-000074710000}"/>
    <cellStyle name="Normal 3 3 13 5 14 3" xfId="29054" xr:uid="{00000000-0005-0000-0000-000075710000}"/>
    <cellStyle name="Normal 3 3 13 5 15" xfId="29055" xr:uid="{00000000-0005-0000-0000-000076710000}"/>
    <cellStyle name="Normal 3 3 13 5 16" xfId="29056" xr:uid="{00000000-0005-0000-0000-000077710000}"/>
    <cellStyle name="Normal 3 3 13 5 2" xfId="29057" xr:uid="{00000000-0005-0000-0000-000078710000}"/>
    <cellStyle name="Normal 3 3 13 5 2 2" xfId="29058" xr:uid="{00000000-0005-0000-0000-000079710000}"/>
    <cellStyle name="Normal 3 3 13 5 2 3" xfId="29059" xr:uid="{00000000-0005-0000-0000-00007A710000}"/>
    <cellStyle name="Normal 3 3 13 5 3" xfId="29060" xr:uid="{00000000-0005-0000-0000-00007B710000}"/>
    <cellStyle name="Normal 3 3 13 5 3 2" xfId="29061" xr:uid="{00000000-0005-0000-0000-00007C710000}"/>
    <cellStyle name="Normal 3 3 13 5 3 3" xfId="29062" xr:uid="{00000000-0005-0000-0000-00007D710000}"/>
    <cellStyle name="Normal 3 3 13 5 4" xfId="29063" xr:uid="{00000000-0005-0000-0000-00007E710000}"/>
    <cellStyle name="Normal 3 3 13 5 4 2" xfId="29064" xr:uid="{00000000-0005-0000-0000-00007F710000}"/>
    <cellStyle name="Normal 3 3 13 5 4 3" xfId="29065" xr:uid="{00000000-0005-0000-0000-000080710000}"/>
    <cellStyle name="Normal 3 3 13 5 5" xfId="29066" xr:uid="{00000000-0005-0000-0000-000081710000}"/>
    <cellStyle name="Normal 3 3 13 5 5 2" xfId="29067" xr:uid="{00000000-0005-0000-0000-000082710000}"/>
    <cellStyle name="Normal 3 3 13 5 5 3" xfId="29068" xr:uid="{00000000-0005-0000-0000-000083710000}"/>
    <cellStyle name="Normal 3 3 13 5 6" xfId="29069" xr:uid="{00000000-0005-0000-0000-000084710000}"/>
    <cellStyle name="Normal 3 3 13 5 6 2" xfId="29070" xr:uid="{00000000-0005-0000-0000-000085710000}"/>
    <cellStyle name="Normal 3 3 13 5 6 3" xfId="29071" xr:uid="{00000000-0005-0000-0000-000086710000}"/>
    <cellStyle name="Normal 3 3 13 5 7" xfId="29072" xr:uid="{00000000-0005-0000-0000-000087710000}"/>
    <cellStyle name="Normal 3 3 13 5 7 2" xfId="29073" xr:uid="{00000000-0005-0000-0000-000088710000}"/>
    <cellStyle name="Normal 3 3 13 5 7 3" xfId="29074" xr:uid="{00000000-0005-0000-0000-000089710000}"/>
    <cellStyle name="Normal 3 3 13 5 8" xfId="29075" xr:uid="{00000000-0005-0000-0000-00008A710000}"/>
    <cellStyle name="Normal 3 3 13 5 8 2" xfId="29076" xr:uid="{00000000-0005-0000-0000-00008B710000}"/>
    <cellStyle name="Normal 3 3 13 5 8 3" xfId="29077" xr:uid="{00000000-0005-0000-0000-00008C710000}"/>
    <cellStyle name="Normal 3 3 13 5 9" xfId="29078" xr:uid="{00000000-0005-0000-0000-00008D710000}"/>
    <cellStyle name="Normal 3 3 13 5 9 2" xfId="29079" xr:uid="{00000000-0005-0000-0000-00008E710000}"/>
    <cellStyle name="Normal 3 3 13 5 9 3" xfId="29080" xr:uid="{00000000-0005-0000-0000-00008F710000}"/>
    <cellStyle name="Normal 3 3 13 6" xfId="29081" xr:uid="{00000000-0005-0000-0000-000090710000}"/>
    <cellStyle name="Normal 3 3 13 6 10" xfId="29082" xr:uid="{00000000-0005-0000-0000-000091710000}"/>
    <cellStyle name="Normal 3 3 13 6 10 2" xfId="29083" xr:uid="{00000000-0005-0000-0000-000092710000}"/>
    <cellStyle name="Normal 3 3 13 6 10 3" xfId="29084" xr:uid="{00000000-0005-0000-0000-000093710000}"/>
    <cellStyle name="Normal 3 3 13 6 11" xfId="29085" xr:uid="{00000000-0005-0000-0000-000094710000}"/>
    <cellStyle name="Normal 3 3 13 6 11 2" xfId="29086" xr:uid="{00000000-0005-0000-0000-000095710000}"/>
    <cellStyle name="Normal 3 3 13 6 11 3" xfId="29087" xr:uid="{00000000-0005-0000-0000-000096710000}"/>
    <cellStyle name="Normal 3 3 13 6 12" xfId="29088" xr:uid="{00000000-0005-0000-0000-000097710000}"/>
    <cellStyle name="Normal 3 3 13 6 12 2" xfId="29089" xr:uid="{00000000-0005-0000-0000-000098710000}"/>
    <cellStyle name="Normal 3 3 13 6 12 3" xfId="29090" xr:uid="{00000000-0005-0000-0000-000099710000}"/>
    <cellStyle name="Normal 3 3 13 6 13" xfId="29091" xr:uid="{00000000-0005-0000-0000-00009A710000}"/>
    <cellStyle name="Normal 3 3 13 6 13 2" xfId="29092" xr:uid="{00000000-0005-0000-0000-00009B710000}"/>
    <cellStyle name="Normal 3 3 13 6 13 3" xfId="29093" xr:uid="{00000000-0005-0000-0000-00009C710000}"/>
    <cellStyle name="Normal 3 3 13 6 14" xfId="29094" xr:uid="{00000000-0005-0000-0000-00009D710000}"/>
    <cellStyle name="Normal 3 3 13 6 14 2" xfId="29095" xr:uid="{00000000-0005-0000-0000-00009E710000}"/>
    <cellStyle name="Normal 3 3 13 6 14 3" xfId="29096" xr:uid="{00000000-0005-0000-0000-00009F710000}"/>
    <cellStyle name="Normal 3 3 13 6 15" xfId="29097" xr:uid="{00000000-0005-0000-0000-0000A0710000}"/>
    <cellStyle name="Normal 3 3 13 6 16" xfId="29098" xr:uid="{00000000-0005-0000-0000-0000A1710000}"/>
    <cellStyle name="Normal 3 3 13 6 2" xfId="29099" xr:uid="{00000000-0005-0000-0000-0000A2710000}"/>
    <cellStyle name="Normal 3 3 13 6 2 2" xfId="29100" xr:uid="{00000000-0005-0000-0000-0000A3710000}"/>
    <cellStyle name="Normal 3 3 13 6 2 3" xfId="29101" xr:uid="{00000000-0005-0000-0000-0000A4710000}"/>
    <cellStyle name="Normal 3 3 13 6 3" xfId="29102" xr:uid="{00000000-0005-0000-0000-0000A5710000}"/>
    <cellStyle name="Normal 3 3 13 6 3 2" xfId="29103" xr:uid="{00000000-0005-0000-0000-0000A6710000}"/>
    <cellStyle name="Normal 3 3 13 6 3 3" xfId="29104" xr:uid="{00000000-0005-0000-0000-0000A7710000}"/>
    <cellStyle name="Normal 3 3 13 6 4" xfId="29105" xr:uid="{00000000-0005-0000-0000-0000A8710000}"/>
    <cellStyle name="Normal 3 3 13 6 4 2" xfId="29106" xr:uid="{00000000-0005-0000-0000-0000A9710000}"/>
    <cellStyle name="Normal 3 3 13 6 4 3" xfId="29107" xr:uid="{00000000-0005-0000-0000-0000AA710000}"/>
    <cellStyle name="Normal 3 3 13 6 5" xfId="29108" xr:uid="{00000000-0005-0000-0000-0000AB710000}"/>
    <cellStyle name="Normal 3 3 13 6 5 2" xfId="29109" xr:uid="{00000000-0005-0000-0000-0000AC710000}"/>
    <cellStyle name="Normal 3 3 13 6 5 3" xfId="29110" xr:uid="{00000000-0005-0000-0000-0000AD710000}"/>
    <cellStyle name="Normal 3 3 13 6 6" xfId="29111" xr:uid="{00000000-0005-0000-0000-0000AE710000}"/>
    <cellStyle name="Normal 3 3 13 6 6 2" xfId="29112" xr:uid="{00000000-0005-0000-0000-0000AF710000}"/>
    <cellStyle name="Normal 3 3 13 6 6 3" xfId="29113" xr:uid="{00000000-0005-0000-0000-0000B0710000}"/>
    <cellStyle name="Normal 3 3 13 6 7" xfId="29114" xr:uid="{00000000-0005-0000-0000-0000B1710000}"/>
    <cellStyle name="Normal 3 3 13 6 7 2" xfId="29115" xr:uid="{00000000-0005-0000-0000-0000B2710000}"/>
    <cellStyle name="Normal 3 3 13 6 7 3" xfId="29116" xr:uid="{00000000-0005-0000-0000-0000B3710000}"/>
    <cellStyle name="Normal 3 3 13 6 8" xfId="29117" xr:uid="{00000000-0005-0000-0000-0000B4710000}"/>
    <cellStyle name="Normal 3 3 13 6 8 2" xfId="29118" xr:uid="{00000000-0005-0000-0000-0000B5710000}"/>
    <cellStyle name="Normal 3 3 13 6 8 3" xfId="29119" xr:uid="{00000000-0005-0000-0000-0000B6710000}"/>
    <cellStyle name="Normal 3 3 13 6 9" xfId="29120" xr:uid="{00000000-0005-0000-0000-0000B7710000}"/>
    <cellStyle name="Normal 3 3 13 6 9 2" xfId="29121" xr:uid="{00000000-0005-0000-0000-0000B8710000}"/>
    <cellStyle name="Normal 3 3 13 6 9 3" xfId="29122" xr:uid="{00000000-0005-0000-0000-0000B9710000}"/>
    <cellStyle name="Normal 3 3 13 7" xfId="29123" xr:uid="{00000000-0005-0000-0000-0000BA710000}"/>
    <cellStyle name="Normal 3 3 13 7 10" xfId="29124" xr:uid="{00000000-0005-0000-0000-0000BB710000}"/>
    <cellStyle name="Normal 3 3 13 7 10 2" xfId="29125" xr:uid="{00000000-0005-0000-0000-0000BC710000}"/>
    <cellStyle name="Normal 3 3 13 7 10 3" xfId="29126" xr:uid="{00000000-0005-0000-0000-0000BD710000}"/>
    <cellStyle name="Normal 3 3 13 7 11" xfId="29127" xr:uid="{00000000-0005-0000-0000-0000BE710000}"/>
    <cellStyle name="Normal 3 3 13 7 11 2" xfId="29128" xr:uid="{00000000-0005-0000-0000-0000BF710000}"/>
    <cellStyle name="Normal 3 3 13 7 11 3" xfId="29129" xr:uid="{00000000-0005-0000-0000-0000C0710000}"/>
    <cellStyle name="Normal 3 3 13 7 12" xfId="29130" xr:uid="{00000000-0005-0000-0000-0000C1710000}"/>
    <cellStyle name="Normal 3 3 13 7 12 2" xfId="29131" xr:uid="{00000000-0005-0000-0000-0000C2710000}"/>
    <cellStyle name="Normal 3 3 13 7 12 3" xfId="29132" xr:uid="{00000000-0005-0000-0000-0000C3710000}"/>
    <cellStyle name="Normal 3 3 13 7 13" xfId="29133" xr:uid="{00000000-0005-0000-0000-0000C4710000}"/>
    <cellStyle name="Normal 3 3 13 7 13 2" xfId="29134" xr:uid="{00000000-0005-0000-0000-0000C5710000}"/>
    <cellStyle name="Normal 3 3 13 7 13 3" xfId="29135" xr:uid="{00000000-0005-0000-0000-0000C6710000}"/>
    <cellStyle name="Normal 3 3 13 7 14" xfId="29136" xr:uid="{00000000-0005-0000-0000-0000C7710000}"/>
    <cellStyle name="Normal 3 3 13 7 14 2" xfId="29137" xr:uid="{00000000-0005-0000-0000-0000C8710000}"/>
    <cellStyle name="Normal 3 3 13 7 14 3" xfId="29138" xr:uid="{00000000-0005-0000-0000-0000C9710000}"/>
    <cellStyle name="Normal 3 3 13 7 15" xfId="29139" xr:uid="{00000000-0005-0000-0000-0000CA710000}"/>
    <cellStyle name="Normal 3 3 13 7 16" xfId="29140" xr:uid="{00000000-0005-0000-0000-0000CB710000}"/>
    <cellStyle name="Normal 3 3 13 7 2" xfId="29141" xr:uid="{00000000-0005-0000-0000-0000CC710000}"/>
    <cellStyle name="Normal 3 3 13 7 2 2" xfId="29142" xr:uid="{00000000-0005-0000-0000-0000CD710000}"/>
    <cellStyle name="Normal 3 3 13 7 2 3" xfId="29143" xr:uid="{00000000-0005-0000-0000-0000CE710000}"/>
    <cellStyle name="Normal 3 3 13 7 3" xfId="29144" xr:uid="{00000000-0005-0000-0000-0000CF710000}"/>
    <cellStyle name="Normal 3 3 13 7 3 2" xfId="29145" xr:uid="{00000000-0005-0000-0000-0000D0710000}"/>
    <cellStyle name="Normal 3 3 13 7 3 3" xfId="29146" xr:uid="{00000000-0005-0000-0000-0000D1710000}"/>
    <cellStyle name="Normal 3 3 13 7 4" xfId="29147" xr:uid="{00000000-0005-0000-0000-0000D2710000}"/>
    <cellStyle name="Normal 3 3 13 7 4 2" xfId="29148" xr:uid="{00000000-0005-0000-0000-0000D3710000}"/>
    <cellStyle name="Normal 3 3 13 7 4 3" xfId="29149" xr:uid="{00000000-0005-0000-0000-0000D4710000}"/>
    <cellStyle name="Normal 3 3 13 7 5" xfId="29150" xr:uid="{00000000-0005-0000-0000-0000D5710000}"/>
    <cellStyle name="Normal 3 3 13 7 5 2" xfId="29151" xr:uid="{00000000-0005-0000-0000-0000D6710000}"/>
    <cellStyle name="Normal 3 3 13 7 5 3" xfId="29152" xr:uid="{00000000-0005-0000-0000-0000D7710000}"/>
    <cellStyle name="Normal 3 3 13 7 6" xfId="29153" xr:uid="{00000000-0005-0000-0000-0000D8710000}"/>
    <cellStyle name="Normal 3 3 13 7 6 2" xfId="29154" xr:uid="{00000000-0005-0000-0000-0000D9710000}"/>
    <cellStyle name="Normal 3 3 13 7 6 3" xfId="29155" xr:uid="{00000000-0005-0000-0000-0000DA710000}"/>
    <cellStyle name="Normal 3 3 13 7 7" xfId="29156" xr:uid="{00000000-0005-0000-0000-0000DB710000}"/>
    <cellStyle name="Normal 3 3 13 7 7 2" xfId="29157" xr:uid="{00000000-0005-0000-0000-0000DC710000}"/>
    <cellStyle name="Normal 3 3 13 7 7 3" xfId="29158" xr:uid="{00000000-0005-0000-0000-0000DD710000}"/>
    <cellStyle name="Normal 3 3 13 7 8" xfId="29159" xr:uid="{00000000-0005-0000-0000-0000DE710000}"/>
    <cellStyle name="Normal 3 3 13 7 8 2" xfId="29160" xr:uid="{00000000-0005-0000-0000-0000DF710000}"/>
    <cellStyle name="Normal 3 3 13 7 8 3" xfId="29161" xr:uid="{00000000-0005-0000-0000-0000E0710000}"/>
    <cellStyle name="Normal 3 3 13 7 9" xfId="29162" xr:uid="{00000000-0005-0000-0000-0000E1710000}"/>
    <cellStyle name="Normal 3 3 13 7 9 2" xfId="29163" xr:uid="{00000000-0005-0000-0000-0000E2710000}"/>
    <cellStyle name="Normal 3 3 13 7 9 3" xfId="29164" xr:uid="{00000000-0005-0000-0000-0000E3710000}"/>
    <cellStyle name="Normal 3 3 13 8" xfId="29165" xr:uid="{00000000-0005-0000-0000-0000E4710000}"/>
    <cellStyle name="Normal 3 3 13 8 10" xfId="29166" xr:uid="{00000000-0005-0000-0000-0000E5710000}"/>
    <cellStyle name="Normal 3 3 13 8 10 2" xfId="29167" xr:uid="{00000000-0005-0000-0000-0000E6710000}"/>
    <cellStyle name="Normal 3 3 13 8 10 3" xfId="29168" xr:uid="{00000000-0005-0000-0000-0000E7710000}"/>
    <cellStyle name="Normal 3 3 13 8 11" xfId="29169" xr:uid="{00000000-0005-0000-0000-0000E8710000}"/>
    <cellStyle name="Normal 3 3 13 8 11 2" xfId="29170" xr:uid="{00000000-0005-0000-0000-0000E9710000}"/>
    <cellStyle name="Normal 3 3 13 8 11 3" xfId="29171" xr:uid="{00000000-0005-0000-0000-0000EA710000}"/>
    <cellStyle name="Normal 3 3 13 8 12" xfId="29172" xr:uid="{00000000-0005-0000-0000-0000EB710000}"/>
    <cellStyle name="Normal 3 3 13 8 12 2" xfId="29173" xr:uid="{00000000-0005-0000-0000-0000EC710000}"/>
    <cellStyle name="Normal 3 3 13 8 12 3" xfId="29174" xr:uid="{00000000-0005-0000-0000-0000ED710000}"/>
    <cellStyle name="Normal 3 3 13 8 13" xfId="29175" xr:uid="{00000000-0005-0000-0000-0000EE710000}"/>
    <cellStyle name="Normal 3 3 13 8 13 2" xfId="29176" xr:uid="{00000000-0005-0000-0000-0000EF710000}"/>
    <cellStyle name="Normal 3 3 13 8 13 3" xfId="29177" xr:uid="{00000000-0005-0000-0000-0000F0710000}"/>
    <cellStyle name="Normal 3 3 13 8 14" xfId="29178" xr:uid="{00000000-0005-0000-0000-0000F1710000}"/>
    <cellStyle name="Normal 3 3 13 8 14 2" xfId="29179" xr:uid="{00000000-0005-0000-0000-0000F2710000}"/>
    <cellStyle name="Normal 3 3 13 8 14 3" xfId="29180" xr:uid="{00000000-0005-0000-0000-0000F3710000}"/>
    <cellStyle name="Normal 3 3 13 8 15" xfId="29181" xr:uid="{00000000-0005-0000-0000-0000F4710000}"/>
    <cellStyle name="Normal 3 3 13 8 16" xfId="29182" xr:uid="{00000000-0005-0000-0000-0000F5710000}"/>
    <cellStyle name="Normal 3 3 13 8 2" xfId="29183" xr:uid="{00000000-0005-0000-0000-0000F6710000}"/>
    <cellStyle name="Normal 3 3 13 8 2 2" xfId="29184" xr:uid="{00000000-0005-0000-0000-0000F7710000}"/>
    <cellStyle name="Normal 3 3 13 8 2 3" xfId="29185" xr:uid="{00000000-0005-0000-0000-0000F8710000}"/>
    <cellStyle name="Normal 3 3 13 8 3" xfId="29186" xr:uid="{00000000-0005-0000-0000-0000F9710000}"/>
    <cellStyle name="Normal 3 3 13 8 3 2" xfId="29187" xr:uid="{00000000-0005-0000-0000-0000FA710000}"/>
    <cellStyle name="Normal 3 3 13 8 3 3" xfId="29188" xr:uid="{00000000-0005-0000-0000-0000FB710000}"/>
    <cellStyle name="Normal 3 3 13 8 4" xfId="29189" xr:uid="{00000000-0005-0000-0000-0000FC710000}"/>
    <cellStyle name="Normal 3 3 13 8 4 2" xfId="29190" xr:uid="{00000000-0005-0000-0000-0000FD710000}"/>
    <cellStyle name="Normal 3 3 13 8 4 3" xfId="29191" xr:uid="{00000000-0005-0000-0000-0000FE710000}"/>
    <cellStyle name="Normal 3 3 13 8 5" xfId="29192" xr:uid="{00000000-0005-0000-0000-0000FF710000}"/>
    <cellStyle name="Normal 3 3 13 8 5 2" xfId="29193" xr:uid="{00000000-0005-0000-0000-000000720000}"/>
    <cellStyle name="Normal 3 3 13 8 5 3" xfId="29194" xr:uid="{00000000-0005-0000-0000-000001720000}"/>
    <cellStyle name="Normal 3 3 13 8 6" xfId="29195" xr:uid="{00000000-0005-0000-0000-000002720000}"/>
    <cellStyle name="Normal 3 3 13 8 6 2" xfId="29196" xr:uid="{00000000-0005-0000-0000-000003720000}"/>
    <cellStyle name="Normal 3 3 13 8 6 3" xfId="29197" xr:uid="{00000000-0005-0000-0000-000004720000}"/>
    <cellStyle name="Normal 3 3 13 8 7" xfId="29198" xr:uid="{00000000-0005-0000-0000-000005720000}"/>
    <cellStyle name="Normal 3 3 13 8 7 2" xfId="29199" xr:uid="{00000000-0005-0000-0000-000006720000}"/>
    <cellStyle name="Normal 3 3 13 8 7 3" xfId="29200" xr:uid="{00000000-0005-0000-0000-000007720000}"/>
    <cellStyle name="Normal 3 3 13 8 8" xfId="29201" xr:uid="{00000000-0005-0000-0000-000008720000}"/>
    <cellStyle name="Normal 3 3 13 8 8 2" xfId="29202" xr:uid="{00000000-0005-0000-0000-000009720000}"/>
    <cellStyle name="Normal 3 3 13 8 8 3" xfId="29203" xr:uid="{00000000-0005-0000-0000-00000A720000}"/>
    <cellStyle name="Normal 3 3 13 8 9" xfId="29204" xr:uid="{00000000-0005-0000-0000-00000B720000}"/>
    <cellStyle name="Normal 3 3 13 8 9 2" xfId="29205" xr:uid="{00000000-0005-0000-0000-00000C720000}"/>
    <cellStyle name="Normal 3 3 13 8 9 3" xfId="29206" xr:uid="{00000000-0005-0000-0000-00000D720000}"/>
    <cellStyle name="Normal 3 3 13 9" xfId="29207" xr:uid="{00000000-0005-0000-0000-00000E720000}"/>
    <cellStyle name="Normal 3 3 13 9 10" xfId="29208" xr:uid="{00000000-0005-0000-0000-00000F720000}"/>
    <cellStyle name="Normal 3 3 13 9 10 2" xfId="29209" xr:uid="{00000000-0005-0000-0000-000010720000}"/>
    <cellStyle name="Normal 3 3 13 9 10 3" xfId="29210" xr:uid="{00000000-0005-0000-0000-000011720000}"/>
    <cellStyle name="Normal 3 3 13 9 11" xfId="29211" xr:uid="{00000000-0005-0000-0000-000012720000}"/>
    <cellStyle name="Normal 3 3 13 9 11 2" xfId="29212" xr:uid="{00000000-0005-0000-0000-000013720000}"/>
    <cellStyle name="Normal 3 3 13 9 11 3" xfId="29213" xr:uid="{00000000-0005-0000-0000-000014720000}"/>
    <cellStyle name="Normal 3 3 13 9 12" xfId="29214" xr:uid="{00000000-0005-0000-0000-000015720000}"/>
    <cellStyle name="Normal 3 3 13 9 12 2" xfId="29215" xr:uid="{00000000-0005-0000-0000-000016720000}"/>
    <cellStyle name="Normal 3 3 13 9 12 3" xfId="29216" xr:uid="{00000000-0005-0000-0000-000017720000}"/>
    <cellStyle name="Normal 3 3 13 9 13" xfId="29217" xr:uid="{00000000-0005-0000-0000-000018720000}"/>
    <cellStyle name="Normal 3 3 13 9 13 2" xfId="29218" xr:uid="{00000000-0005-0000-0000-000019720000}"/>
    <cellStyle name="Normal 3 3 13 9 13 3" xfId="29219" xr:uid="{00000000-0005-0000-0000-00001A720000}"/>
    <cellStyle name="Normal 3 3 13 9 14" xfId="29220" xr:uid="{00000000-0005-0000-0000-00001B720000}"/>
    <cellStyle name="Normal 3 3 13 9 14 2" xfId="29221" xr:uid="{00000000-0005-0000-0000-00001C720000}"/>
    <cellStyle name="Normal 3 3 13 9 14 3" xfId="29222" xr:uid="{00000000-0005-0000-0000-00001D720000}"/>
    <cellStyle name="Normal 3 3 13 9 15" xfId="29223" xr:uid="{00000000-0005-0000-0000-00001E720000}"/>
    <cellStyle name="Normal 3 3 13 9 16" xfId="29224" xr:uid="{00000000-0005-0000-0000-00001F720000}"/>
    <cellStyle name="Normal 3 3 13 9 2" xfId="29225" xr:uid="{00000000-0005-0000-0000-000020720000}"/>
    <cellStyle name="Normal 3 3 13 9 2 2" xfId="29226" xr:uid="{00000000-0005-0000-0000-000021720000}"/>
    <cellStyle name="Normal 3 3 13 9 2 3" xfId="29227" xr:uid="{00000000-0005-0000-0000-000022720000}"/>
    <cellStyle name="Normal 3 3 13 9 3" xfId="29228" xr:uid="{00000000-0005-0000-0000-000023720000}"/>
    <cellStyle name="Normal 3 3 13 9 3 2" xfId="29229" xr:uid="{00000000-0005-0000-0000-000024720000}"/>
    <cellStyle name="Normal 3 3 13 9 3 3" xfId="29230" xr:uid="{00000000-0005-0000-0000-000025720000}"/>
    <cellStyle name="Normal 3 3 13 9 4" xfId="29231" xr:uid="{00000000-0005-0000-0000-000026720000}"/>
    <cellStyle name="Normal 3 3 13 9 4 2" xfId="29232" xr:uid="{00000000-0005-0000-0000-000027720000}"/>
    <cellStyle name="Normal 3 3 13 9 4 3" xfId="29233" xr:uid="{00000000-0005-0000-0000-000028720000}"/>
    <cellStyle name="Normal 3 3 13 9 5" xfId="29234" xr:uid="{00000000-0005-0000-0000-000029720000}"/>
    <cellStyle name="Normal 3 3 13 9 5 2" xfId="29235" xr:uid="{00000000-0005-0000-0000-00002A720000}"/>
    <cellStyle name="Normal 3 3 13 9 5 3" xfId="29236" xr:uid="{00000000-0005-0000-0000-00002B720000}"/>
    <cellStyle name="Normal 3 3 13 9 6" xfId="29237" xr:uid="{00000000-0005-0000-0000-00002C720000}"/>
    <cellStyle name="Normal 3 3 13 9 6 2" xfId="29238" xr:uid="{00000000-0005-0000-0000-00002D720000}"/>
    <cellStyle name="Normal 3 3 13 9 6 3" xfId="29239" xr:uid="{00000000-0005-0000-0000-00002E720000}"/>
    <cellStyle name="Normal 3 3 13 9 7" xfId="29240" xr:uid="{00000000-0005-0000-0000-00002F720000}"/>
    <cellStyle name="Normal 3 3 13 9 7 2" xfId="29241" xr:uid="{00000000-0005-0000-0000-000030720000}"/>
    <cellStyle name="Normal 3 3 13 9 7 3" xfId="29242" xr:uid="{00000000-0005-0000-0000-000031720000}"/>
    <cellStyle name="Normal 3 3 13 9 8" xfId="29243" xr:uid="{00000000-0005-0000-0000-000032720000}"/>
    <cellStyle name="Normal 3 3 13 9 8 2" xfId="29244" xr:uid="{00000000-0005-0000-0000-000033720000}"/>
    <cellStyle name="Normal 3 3 13 9 8 3" xfId="29245" xr:uid="{00000000-0005-0000-0000-000034720000}"/>
    <cellStyle name="Normal 3 3 13 9 9" xfId="29246" xr:uid="{00000000-0005-0000-0000-000035720000}"/>
    <cellStyle name="Normal 3 3 13 9 9 2" xfId="29247" xr:uid="{00000000-0005-0000-0000-000036720000}"/>
    <cellStyle name="Normal 3 3 13 9 9 3" xfId="29248" xr:uid="{00000000-0005-0000-0000-000037720000}"/>
    <cellStyle name="Normal 3 3 14" xfId="29249" xr:uid="{00000000-0005-0000-0000-000038720000}"/>
    <cellStyle name="Normal 3 3 14 10" xfId="29250" xr:uid="{00000000-0005-0000-0000-000039720000}"/>
    <cellStyle name="Normal 3 3 14 10 10" xfId="29251" xr:uid="{00000000-0005-0000-0000-00003A720000}"/>
    <cellStyle name="Normal 3 3 14 10 10 2" xfId="29252" xr:uid="{00000000-0005-0000-0000-00003B720000}"/>
    <cellStyle name="Normal 3 3 14 10 10 3" xfId="29253" xr:uid="{00000000-0005-0000-0000-00003C720000}"/>
    <cellStyle name="Normal 3 3 14 10 11" xfId="29254" xr:uid="{00000000-0005-0000-0000-00003D720000}"/>
    <cellStyle name="Normal 3 3 14 10 11 2" xfId="29255" xr:uid="{00000000-0005-0000-0000-00003E720000}"/>
    <cellStyle name="Normal 3 3 14 10 11 3" xfId="29256" xr:uid="{00000000-0005-0000-0000-00003F720000}"/>
    <cellStyle name="Normal 3 3 14 10 12" xfId="29257" xr:uid="{00000000-0005-0000-0000-000040720000}"/>
    <cellStyle name="Normal 3 3 14 10 12 2" xfId="29258" xr:uid="{00000000-0005-0000-0000-000041720000}"/>
    <cellStyle name="Normal 3 3 14 10 12 3" xfId="29259" xr:uid="{00000000-0005-0000-0000-000042720000}"/>
    <cellStyle name="Normal 3 3 14 10 13" xfId="29260" xr:uid="{00000000-0005-0000-0000-000043720000}"/>
    <cellStyle name="Normal 3 3 14 10 13 2" xfId="29261" xr:uid="{00000000-0005-0000-0000-000044720000}"/>
    <cellStyle name="Normal 3 3 14 10 13 3" xfId="29262" xr:uid="{00000000-0005-0000-0000-000045720000}"/>
    <cellStyle name="Normal 3 3 14 10 14" xfId="29263" xr:uid="{00000000-0005-0000-0000-000046720000}"/>
    <cellStyle name="Normal 3 3 14 10 14 2" xfId="29264" xr:uid="{00000000-0005-0000-0000-000047720000}"/>
    <cellStyle name="Normal 3 3 14 10 14 3" xfId="29265" xr:uid="{00000000-0005-0000-0000-000048720000}"/>
    <cellStyle name="Normal 3 3 14 10 15" xfId="29266" xr:uid="{00000000-0005-0000-0000-000049720000}"/>
    <cellStyle name="Normal 3 3 14 10 16" xfId="29267" xr:uid="{00000000-0005-0000-0000-00004A720000}"/>
    <cellStyle name="Normal 3 3 14 10 2" xfId="29268" xr:uid="{00000000-0005-0000-0000-00004B720000}"/>
    <cellStyle name="Normal 3 3 14 10 2 2" xfId="29269" xr:uid="{00000000-0005-0000-0000-00004C720000}"/>
    <cellStyle name="Normal 3 3 14 10 2 3" xfId="29270" xr:uid="{00000000-0005-0000-0000-00004D720000}"/>
    <cellStyle name="Normal 3 3 14 10 3" xfId="29271" xr:uid="{00000000-0005-0000-0000-00004E720000}"/>
    <cellStyle name="Normal 3 3 14 10 3 2" xfId="29272" xr:uid="{00000000-0005-0000-0000-00004F720000}"/>
    <cellStyle name="Normal 3 3 14 10 3 3" xfId="29273" xr:uid="{00000000-0005-0000-0000-000050720000}"/>
    <cellStyle name="Normal 3 3 14 10 4" xfId="29274" xr:uid="{00000000-0005-0000-0000-000051720000}"/>
    <cellStyle name="Normal 3 3 14 10 4 2" xfId="29275" xr:uid="{00000000-0005-0000-0000-000052720000}"/>
    <cellStyle name="Normal 3 3 14 10 4 3" xfId="29276" xr:uid="{00000000-0005-0000-0000-000053720000}"/>
    <cellStyle name="Normal 3 3 14 10 5" xfId="29277" xr:uid="{00000000-0005-0000-0000-000054720000}"/>
    <cellStyle name="Normal 3 3 14 10 5 2" xfId="29278" xr:uid="{00000000-0005-0000-0000-000055720000}"/>
    <cellStyle name="Normal 3 3 14 10 5 3" xfId="29279" xr:uid="{00000000-0005-0000-0000-000056720000}"/>
    <cellStyle name="Normal 3 3 14 10 6" xfId="29280" xr:uid="{00000000-0005-0000-0000-000057720000}"/>
    <cellStyle name="Normal 3 3 14 10 6 2" xfId="29281" xr:uid="{00000000-0005-0000-0000-000058720000}"/>
    <cellStyle name="Normal 3 3 14 10 6 3" xfId="29282" xr:uid="{00000000-0005-0000-0000-000059720000}"/>
    <cellStyle name="Normal 3 3 14 10 7" xfId="29283" xr:uid="{00000000-0005-0000-0000-00005A720000}"/>
    <cellStyle name="Normal 3 3 14 10 7 2" xfId="29284" xr:uid="{00000000-0005-0000-0000-00005B720000}"/>
    <cellStyle name="Normal 3 3 14 10 7 3" xfId="29285" xr:uid="{00000000-0005-0000-0000-00005C720000}"/>
    <cellStyle name="Normal 3 3 14 10 8" xfId="29286" xr:uid="{00000000-0005-0000-0000-00005D720000}"/>
    <cellStyle name="Normal 3 3 14 10 8 2" xfId="29287" xr:uid="{00000000-0005-0000-0000-00005E720000}"/>
    <cellStyle name="Normal 3 3 14 10 8 3" xfId="29288" xr:uid="{00000000-0005-0000-0000-00005F720000}"/>
    <cellStyle name="Normal 3 3 14 10 9" xfId="29289" xr:uid="{00000000-0005-0000-0000-000060720000}"/>
    <cellStyle name="Normal 3 3 14 10 9 2" xfId="29290" xr:uid="{00000000-0005-0000-0000-000061720000}"/>
    <cellStyle name="Normal 3 3 14 10 9 3" xfId="29291" xr:uid="{00000000-0005-0000-0000-000062720000}"/>
    <cellStyle name="Normal 3 3 14 11" xfId="29292" xr:uid="{00000000-0005-0000-0000-000063720000}"/>
    <cellStyle name="Normal 3 3 14 11 2" xfId="29293" xr:uid="{00000000-0005-0000-0000-000064720000}"/>
    <cellStyle name="Normal 3 3 14 11 3" xfId="29294" xr:uid="{00000000-0005-0000-0000-000065720000}"/>
    <cellStyle name="Normal 3 3 14 12" xfId="29295" xr:uid="{00000000-0005-0000-0000-000066720000}"/>
    <cellStyle name="Normal 3 3 14 12 2" xfId="29296" xr:uid="{00000000-0005-0000-0000-000067720000}"/>
    <cellStyle name="Normal 3 3 14 12 3" xfId="29297" xr:uid="{00000000-0005-0000-0000-000068720000}"/>
    <cellStyle name="Normal 3 3 14 13" xfId="29298" xr:uid="{00000000-0005-0000-0000-000069720000}"/>
    <cellStyle name="Normal 3 3 14 13 2" xfId="29299" xr:uid="{00000000-0005-0000-0000-00006A720000}"/>
    <cellStyle name="Normal 3 3 14 13 3" xfId="29300" xr:uid="{00000000-0005-0000-0000-00006B720000}"/>
    <cellStyle name="Normal 3 3 14 14" xfId="29301" xr:uid="{00000000-0005-0000-0000-00006C720000}"/>
    <cellStyle name="Normal 3 3 14 14 2" xfId="29302" xr:uid="{00000000-0005-0000-0000-00006D720000}"/>
    <cellStyle name="Normal 3 3 14 14 3" xfId="29303" xr:uid="{00000000-0005-0000-0000-00006E720000}"/>
    <cellStyle name="Normal 3 3 14 15" xfId="29304" xr:uid="{00000000-0005-0000-0000-00006F720000}"/>
    <cellStyle name="Normal 3 3 14 15 2" xfId="29305" xr:uid="{00000000-0005-0000-0000-000070720000}"/>
    <cellStyle name="Normal 3 3 14 15 3" xfId="29306" xr:uid="{00000000-0005-0000-0000-000071720000}"/>
    <cellStyle name="Normal 3 3 14 16" xfId="29307" xr:uid="{00000000-0005-0000-0000-000072720000}"/>
    <cellStyle name="Normal 3 3 14 16 2" xfId="29308" xr:uid="{00000000-0005-0000-0000-000073720000}"/>
    <cellStyle name="Normal 3 3 14 16 3" xfId="29309" xr:uid="{00000000-0005-0000-0000-000074720000}"/>
    <cellStyle name="Normal 3 3 14 17" xfId="29310" xr:uid="{00000000-0005-0000-0000-000075720000}"/>
    <cellStyle name="Normal 3 3 14 17 2" xfId="29311" xr:uid="{00000000-0005-0000-0000-000076720000}"/>
    <cellStyle name="Normal 3 3 14 17 3" xfId="29312" xr:uid="{00000000-0005-0000-0000-000077720000}"/>
    <cellStyle name="Normal 3 3 14 18" xfId="29313" xr:uid="{00000000-0005-0000-0000-000078720000}"/>
    <cellStyle name="Normal 3 3 14 18 2" xfId="29314" xr:uid="{00000000-0005-0000-0000-000079720000}"/>
    <cellStyle name="Normal 3 3 14 18 3" xfId="29315" xr:uid="{00000000-0005-0000-0000-00007A720000}"/>
    <cellStyle name="Normal 3 3 14 19" xfId="29316" xr:uid="{00000000-0005-0000-0000-00007B720000}"/>
    <cellStyle name="Normal 3 3 14 19 2" xfId="29317" xr:uid="{00000000-0005-0000-0000-00007C720000}"/>
    <cellStyle name="Normal 3 3 14 19 3" xfId="29318" xr:uid="{00000000-0005-0000-0000-00007D720000}"/>
    <cellStyle name="Normal 3 3 14 2" xfId="29319" xr:uid="{00000000-0005-0000-0000-00007E720000}"/>
    <cellStyle name="Normal 3 3 14 2 10" xfId="29320" xr:uid="{00000000-0005-0000-0000-00007F720000}"/>
    <cellStyle name="Normal 3 3 14 2 10 2" xfId="29321" xr:uid="{00000000-0005-0000-0000-000080720000}"/>
    <cellStyle name="Normal 3 3 14 2 10 3" xfId="29322" xr:uid="{00000000-0005-0000-0000-000081720000}"/>
    <cellStyle name="Normal 3 3 14 2 11" xfId="29323" xr:uid="{00000000-0005-0000-0000-000082720000}"/>
    <cellStyle name="Normal 3 3 14 2 11 2" xfId="29324" xr:uid="{00000000-0005-0000-0000-000083720000}"/>
    <cellStyle name="Normal 3 3 14 2 11 3" xfId="29325" xr:uid="{00000000-0005-0000-0000-000084720000}"/>
    <cellStyle name="Normal 3 3 14 2 12" xfId="29326" xr:uid="{00000000-0005-0000-0000-000085720000}"/>
    <cellStyle name="Normal 3 3 14 2 12 2" xfId="29327" xr:uid="{00000000-0005-0000-0000-000086720000}"/>
    <cellStyle name="Normal 3 3 14 2 12 3" xfId="29328" xr:uid="{00000000-0005-0000-0000-000087720000}"/>
    <cellStyle name="Normal 3 3 14 2 13" xfId="29329" xr:uid="{00000000-0005-0000-0000-000088720000}"/>
    <cellStyle name="Normal 3 3 14 2 13 2" xfId="29330" xr:uid="{00000000-0005-0000-0000-000089720000}"/>
    <cellStyle name="Normal 3 3 14 2 13 3" xfId="29331" xr:uid="{00000000-0005-0000-0000-00008A720000}"/>
    <cellStyle name="Normal 3 3 14 2 14" xfId="29332" xr:uid="{00000000-0005-0000-0000-00008B720000}"/>
    <cellStyle name="Normal 3 3 14 2 14 2" xfId="29333" xr:uid="{00000000-0005-0000-0000-00008C720000}"/>
    <cellStyle name="Normal 3 3 14 2 14 3" xfId="29334" xr:uid="{00000000-0005-0000-0000-00008D720000}"/>
    <cellStyle name="Normal 3 3 14 2 15" xfId="29335" xr:uid="{00000000-0005-0000-0000-00008E720000}"/>
    <cellStyle name="Normal 3 3 14 2 15 2" xfId="29336" xr:uid="{00000000-0005-0000-0000-00008F720000}"/>
    <cellStyle name="Normal 3 3 14 2 15 3" xfId="29337" xr:uid="{00000000-0005-0000-0000-000090720000}"/>
    <cellStyle name="Normal 3 3 14 2 16" xfId="29338" xr:uid="{00000000-0005-0000-0000-000091720000}"/>
    <cellStyle name="Normal 3 3 14 2 17" xfId="29339" xr:uid="{00000000-0005-0000-0000-000092720000}"/>
    <cellStyle name="Normal 3 3 14 2 2" xfId="29340" xr:uid="{00000000-0005-0000-0000-000093720000}"/>
    <cellStyle name="Normal 3 3 14 2 2 10" xfId="29341" xr:uid="{00000000-0005-0000-0000-000094720000}"/>
    <cellStyle name="Normal 3 3 14 2 2 10 2" xfId="29342" xr:uid="{00000000-0005-0000-0000-000095720000}"/>
    <cellStyle name="Normal 3 3 14 2 2 10 3" xfId="29343" xr:uid="{00000000-0005-0000-0000-000096720000}"/>
    <cellStyle name="Normal 3 3 14 2 2 11" xfId="29344" xr:uid="{00000000-0005-0000-0000-000097720000}"/>
    <cellStyle name="Normal 3 3 14 2 2 11 2" xfId="29345" xr:uid="{00000000-0005-0000-0000-000098720000}"/>
    <cellStyle name="Normal 3 3 14 2 2 11 3" xfId="29346" xr:uid="{00000000-0005-0000-0000-000099720000}"/>
    <cellStyle name="Normal 3 3 14 2 2 12" xfId="29347" xr:uid="{00000000-0005-0000-0000-00009A720000}"/>
    <cellStyle name="Normal 3 3 14 2 2 12 2" xfId="29348" xr:uid="{00000000-0005-0000-0000-00009B720000}"/>
    <cellStyle name="Normal 3 3 14 2 2 12 3" xfId="29349" xr:uid="{00000000-0005-0000-0000-00009C720000}"/>
    <cellStyle name="Normal 3 3 14 2 2 13" xfId="29350" xr:uid="{00000000-0005-0000-0000-00009D720000}"/>
    <cellStyle name="Normal 3 3 14 2 2 13 2" xfId="29351" xr:uid="{00000000-0005-0000-0000-00009E720000}"/>
    <cellStyle name="Normal 3 3 14 2 2 13 3" xfId="29352" xr:uid="{00000000-0005-0000-0000-00009F720000}"/>
    <cellStyle name="Normal 3 3 14 2 2 14" xfId="29353" xr:uid="{00000000-0005-0000-0000-0000A0720000}"/>
    <cellStyle name="Normal 3 3 14 2 2 14 2" xfId="29354" xr:uid="{00000000-0005-0000-0000-0000A1720000}"/>
    <cellStyle name="Normal 3 3 14 2 2 14 3" xfId="29355" xr:uid="{00000000-0005-0000-0000-0000A2720000}"/>
    <cellStyle name="Normal 3 3 14 2 2 15" xfId="29356" xr:uid="{00000000-0005-0000-0000-0000A3720000}"/>
    <cellStyle name="Normal 3 3 14 2 2 16" xfId="29357" xr:uid="{00000000-0005-0000-0000-0000A4720000}"/>
    <cellStyle name="Normal 3 3 14 2 2 2" xfId="29358" xr:uid="{00000000-0005-0000-0000-0000A5720000}"/>
    <cellStyle name="Normal 3 3 14 2 2 2 2" xfId="29359" xr:uid="{00000000-0005-0000-0000-0000A6720000}"/>
    <cellStyle name="Normal 3 3 14 2 2 2 3" xfId="29360" xr:uid="{00000000-0005-0000-0000-0000A7720000}"/>
    <cellStyle name="Normal 3 3 14 2 2 3" xfId="29361" xr:uid="{00000000-0005-0000-0000-0000A8720000}"/>
    <cellStyle name="Normal 3 3 14 2 2 3 2" xfId="29362" xr:uid="{00000000-0005-0000-0000-0000A9720000}"/>
    <cellStyle name="Normal 3 3 14 2 2 3 3" xfId="29363" xr:uid="{00000000-0005-0000-0000-0000AA720000}"/>
    <cellStyle name="Normal 3 3 14 2 2 4" xfId="29364" xr:uid="{00000000-0005-0000-0000-0000AB720000}"/>
    <cellStyle name="Normal 3 3 14 2 2 4 2" xfId="29365" xr:uid="{00000000-0005-0000-0000-0000AC720000}"/>
    <cellStyle name="Normal 3 3 14 2 2 4 3" xfId="29366" xr:uid="{00000000-0005-0000-0000-0000AD720000}"/>
    <cellStyle name="Normal 3 3 14 2 2 5" xfId="29367" xr:uid="{00000000-0005-0000-0000-0000AE720000}"/>
    <cellStyle name="Normal 3 3 14 2 2 5 2" xfId="29368" xr:uid="{00000000-0005-0000-0000-0000AF720000}"/>
    <cellStyle name="Normal 3 3 14 2 2 5 3" xfId="29369" xr:uid="{00000000-0005-0000-0000-0000B0720000}"/>
    <cellStyle name="Normal 3 3 14 2 2 6" xfId="29370" xr:uid="{00000000-0005-0000-0000-0000B1720000}"/>
    <cellStyle name="Normal 3 3 14 2 2 6 2" xfId="29371" xr:uid="{00000000-0005-0000-0000-0000B2720000}"/>
    <cellStyle name="Normal 3 3 14 2 2 6 3" xfId="29372" xr:uid="{00000000-0005-0000-0000-0000B3720000}"/>
    <cellStyle name="Normal 3 3 14 2 2 7" xfId="29373" xr:uid="{00000000-0005-0000-0000-0000B4720000}"/>
    <cellStyle name="Normal 3 3 14 2 2 7 2" xfId="29374" xr:uid="{00000000-0005-0000-0000-0000B5720000}"/>
    <cellStyle name="Normal 3 3 14 2 2 7 3" xfId="29375" xr:uid="{00000000-0005-0000-0000-0000B6720000}"/>
    <cellStyle name="Normal 3 3 14 2 2 8" xfId="29376" xr:uid="{00000000-0005-0000-0000-0000B7720000}"/>
    <cellStyle name="Normal 3 3 14 2 2 8 2" xfId="29377" xr:uid="{00000000-0005-0000-0000-0000B8720000}"/>
    <cellStyle name="Normal 3 3 14 2 2 8 3" xfId="29378" xr:uid="{00000000-0005-0000-0000-0000B9720000}"/>
    <cellStyle name="Normal 3 3 14 2 2 9" xfId="29379" xr:uid="{00000000-0005-0000-0000-0000BA720000}"/>
    <cellStyle name="Normal 3 3 14 2 2 9 2" xfId="29380" xr:uid="{00000000-0005-0000-0000-0000BB720000}"/>
    <cellStyle name="Normal 3 3 14 2 2 9 3" xfId="29381" xr:uid="{00000000-0005-0000-0000-0000BC720000}"/>
    <cellStyle name="Normal 3 3 14 2 3" xfId="29382" xr:uid="{00000000-0005-0000-0000-0000BD720000}"/>
    <cellStyle name="Normal 3 3 14 2 3 2" xfId="29383" xr:uid="{00000000-0005-0000-0000-0000BE720000}"/>
    <cellStyle name="Normal 3 3 14 2 3 3" xfId="29384" xr:uid="{00000000-0005-0000-0000-0000BF720000}"/>
    <cellStyle name="Normal 3 3 14 2 4" xfId="29385" xr:uid="{00000000-0005-0000-0000-0000C0720000}"/>
    <cellStyle name="Normal 3 3 14 2 4 2" xfId="29386" xr:uid="{00000000-0005-0000-0000-0000C1720000}"/>
    <cellStyle name="Normal 3 3 14 2 4 3" xfId="29387" xr:uid="{00000000-0005-0000-0000-0000C2720000}"/>
    <cellStyle name="Normal 3 3 14 2 5" xfId="29388" xr:uid="{00000000-0005-0000-0000-0000C3720000}"/>
    <cellStyle name="Normal 3 3 14 2 5 2" xfId="29389" xr:uid="{00000000-0005-0000-0000-0000C4720000}"/>
    <cellStyle name="Normal 3 3 14 2 5 3" xfId="29390" xr:uid="{00000000-0005-0000-0000-0000C5720000}"/>
    <cellStyle name="Normal 3 3 14 2 6" xfId="29391" xr:uid="{00000000-0005-0000-0000-0000C6720000}"/>
    <cellStyle name="Normal 3 3 14 2 6 2" xfId="29392" xr:uid="{00000000-0005-0000-0000-0000C7720000}"/>
    <cellStyle name="Normal 3 3 14 2 6 3" xfId="29393" xr:uid="{00000000-0005-0000-0000-0000C8720000}"/>
    <cellStyle name="Normal 3 3 14 2 7" xfId="29394" xr:uid="{00000000-0005-0000-0000-0000C9720000}"/>
    <cellStyle name="Normal 3 3 14 2 7 2" xfId="29395" xr:uid="{00000000-0005-0000-0000-0000CA720000}"/>
    <cellStyle name="Normal 3 3 14 2 7 3" xfId="29396" xr:uid="{00000000-0005-0000-0000-0000CB720000}"/>
    <cellStyle name="Normal 3 3 14 2 8" xfId="29397" xr:uid="{00000000-0005-0000-0000-0000CC720000}"/>
    <cellStyle name="Normal 3 3 14 2 8 2" xfId="29398" xr:uid="{00000000-0005-0000-0000-0000CD720000}"/>
    <cellStyle name="Normal 3 3 14 2 8 3" xfId="29399" xr:uid="{00000000-0005-0000-0000-0000CE720000}"/>
    <cellStyle name="Normal 3 3 14 2 9" xfId="29400" xr:uid="{00000000-0005-0000-0000-0000CF720000}"/>
    <cellStyle name="Normal 3 3 14 2 9 2" xfId="29401" xr:uid="{00000000-0005-0000-0000-0000D0720000}"/>
    <cellStyle name="Normal 3 3 14 2 9 3" xfId="29402" xr:uid="{00000000-0005-0000-0000-0000D1720000}"/>
    <cellStyle name="Normal 3 3 14 20" xfId="29403" xr:uid="{00000000-0005-0000-0000-0000D2720000}"/>
    <cellStyle name="Normal 3 3 14 20 2" xfId="29404" xr:uid="{00000000-0005-0000-0000-0000D3720000}"/>
    <cellStyle name="Normal 3 3 14 20 3" xfId="29405" xr:uid="{00000000-0005-0000-0000-0000D4720000}"/>
    <cellStyle name="Normal 3 3 14 21" xfId="29406" xr:uid="{00000000-0005-0000-0000-0000D5720000}"/>
    <cellStyle name="Normal 3 3 14 21 2" xfId="29407" xr:uid="{00000000-0005-0000-0000-0000D6720000}"/>
    <cellStyle name="Normal 3 3 14 21 3" xfId="29408" xr:uid="{00000000-0005-0000-0000-0000D7720000}"/>
    <cellStyle name="Normal 3 3 14 22" xfId="29409" xr:uid="{00000000-0005-0000-0000-0000D8720000}"/>
    <cellStyle name="Normal 3 3 14 22 2" xfId="29410" xr:uid="{00000000-0005-0000-0000-0000D9720000}"/>
    <cellStyle name="Normal 3 3 14 22 3" xfId="29411" xr:uid="{00000000-0005-0000-0000-0000DA720000}"/>
    <cellStyle name="Normal 3 3 14 23" xfId="29412" xr:uid="{00000000-0005-0000-0000-0000DB720000}"/>
    <cellStyle name="Normal 3 3 14 23 2" xfId="29413" xr:uid="{00000000-0005-0000-0000-0000DC720000}"/>
    <cellStyle name="Normal 3 3 14 23 3" xfId="29414" xr:uid="{00000000-0005-0000-0000-0000DD720000}"/>
    <cellStyle name="Normal 3 3 14 24" xfId="29415" xr:uid="{00000000-0005-0000-0000-0000DE720000}"/>
    <cellStyle name="Normal 3 3 14 25" xfId="29416" xr:uid="{00000000-0005-0000-0000-0000DF720000}"/>
    <cellStyle name="Normal 3 3 14 3" xfId="29417" xr:uid="{00000000-0005-0000-0000-0000E0720000}"/>
    <cellStyle name="Normal 3 3 14 3 10" xfId="29418" xr:uid="{00000000-0005-0000-0000-0000E1720000}"/>
    <cellStyle name="Normal 3 3 14 3 10 2" xfId="29419" xr:uid="{00000000-0005-0000-0000-0000E2720000}"/>
    <cellStyle name="Normal 3 3 14 3 10 3" xfId="29420" xr:uid="{00000000-0005-0000-0000-0000E3720000}"/>
    <cellStyle name="Normal 3 3 14 3 11" xfId="29421" xr:uid="{00000000-0005-0000-0000-0000E4720000}"/>
    <cellStyle name="Normal 3 3 14 3 11 2" xfId="29422" xr:uid="{00000000-0005-0000-0000-0000E5720000}"/>
    <cellStyle name="Normal 3 3 14 3 11 3" xfId="29423" xr:uid="{00000000-0005-0000-0000-0000E6720000}"/>
    <cellStyle name="Normal 3 3 14 3 12" xfId="29424" xr:uid="{00000000-0005-0000-0000-0000E7720000}"/>
    <cellStyle name="Normal 3 3 14 3 12 2" xfId="29425" xr:uid="{00000000-0005-0000-0000-0000E8720000}"/>
    <cellStyle name="Normal 3 3 14 3 12 3" xfId="29426" xr:uid="{00000000-0005-0000-0000-0000E9720000}"/>
    <cellStyle name="Normal 3 3 14 3 13" xfId="29427" xr:uid="{00000000-0005-0000-0000-0000EA720000}"/>
    <cellStyle name="Normal 3 3 14 3 13 2" xfId="29428" xr:uid="{00000000-0005-0000-0000-0000EB720000}"/>
    <cellStyle name="Normal 3 3 14 3 13 3" xfId="29429" xr:uid="{00000000-0005-0000-0000-0000EC720000}"/>
    <cellStyle name="Normal 3 3 14 3 14" xfId="29430" xr:uid="{00000000-0005-0000-0000-0000ED720000}"/>
    <cellStyle name="Normal 3 3 14 3 14 2" xfId="29431" xr:uid="{00000000-0005-0000-0000-0000EE720000}"/>
    <cellStyle name="Normal 3 3 14 3 14 3" xfId="29432" xr:uid="{00000000-0005-0000-0000-0000EF720000}"/>
    <cellStyle name="Normal 3 3 14 3 15" xfId="29433" xr:uid="{00000000-0005-0000-0000-0000F0720000}"/>
    <cellStyle name="Normal 3 3 14 3 15 2" xfId="29434" xr:uid="{00000000-0005-0000-0000-0000F1720000}"/>
    <cellStyle name="Normal 3 3 14 3 15 3" xfId="29435" xr:uid="{00000000-0005-0000-0000-0000F2720000}"/>
    <cellStyle name="Normal 3 3 14 3 16" xfId="29436" xr:uid="{00000000-0005-0000-0000-0000F3720000}"/>
    <cellStyle name="Normal 3 3 14 3 17" xfId="29437" xr:uid="{00000000-0005-0000-0000-0000F4720000}"/>
    <cellStyle name="Normal 3 3 14 3 2" xfId="29438" xr:uid="{00000000-0005-0000-0000-0000F5720000}"/>
    <cellStyle name="Normal 3 3 14 3 2 10" xfId="29439" xr:uid="{00000000-0005-0000-0000-0000F6720000}"/>
    <cellStyle name="Normal 3 3 14 3 2 10 2" xfId="29440" xr:uid="{00000000-0005-0000-0000-0000F7720000}"/>
    <cellStyle name="Normal 3 3 14 3 2 10 3" xfId="29441" xr:uid="{00000000-0005-0000-0000-0000F8720000}"/>
    <cellStyle name="Normal 3 3 14 3 2 11" xfId="29442" xr:uid="{00000000-0005-0000-0000-0000F9720000}"/>
    <cellStyle name="Normal 3 3 14 3 2 11 2" xfId="29443" xr:uid="{00000000-0005-0000-0000-0000FA720000}"/>
    <cellStyle name="Normal 3 3 14 3 2 11 3" xfId="29444" xr:uid="{00000000-0005-0000-0000-0000FB720000}"/>
    <cellStyle name="Normal 3 3 14 3 2 12" xfId="29445" xr:uid="{00000000-0005-0000-0000-0000FC720000}"/>
    <cellStyle name="Normal 3 3 14 3 2 12 2" xfId="29446" xr:uid="{00000000-0005-0000-0000-0000FD720000}"/>
    <cellStyle name="Normal 3 3 14 3 2 12 3" xfId="29447" xr:uid="{00000000-0005-0000-0000-0000FE720000}"/>
    <cellStyle name="Normal 3 3 14 3 2 13" xfId="29448" xr:uid="{00000000-0005-0000-0000-0000FF720000}"/>
    <cellStyle name="Normal 3 3 14 3 2 13 2" xfId="29449" xr:uid="{00000000-0005-0000-0000-000000730000}"/>
    <cellStyle name="Normal 3 3 14 3 2 13 3" xfId="29450" xr:uid="{00000000-0005-0000-0000-000001730000}"/>
    <cellStyle name="Normal 3 3 14 3 2 14" xfId="29451" xr:uid="{00000000-0005-0000-0000-000002730000}"/>
    <cellStyle name="Normal 3 3 14 3 2 14 2" xfId="29452" xr:uid="{00000000-0005-0000-0000-000003730000}"/>
    <cellStyle name="Normal 3 3 14 3 2 14 3" xfId="29453" xr:uid="{00000000-0005-0000-0000-000004730000}"/>
    <cellStyle name="Normal 3 3 14 3 2 15" xfId="29454" xr:uid="{00000000-0005-0000-0000-000005730000}"/>
    <cellStyle name="Normal 3 3 14 3 2 16" xfId="29455" xr:uid="{00000000-0005-0000-0000-000006730000}"/>
    <cellStyle name="Normal 3 3 14 3 2 2" xfId="29456" xr:uid="{00000000-0005-0000-0000-000007730000}"/>
    <cellStyle name="Normal 3 3 14 3 2 2 2" xfId="29457" xr:uid="{00000000-0005-0000-0000-000008730000}"/>
    <cellStyle name="Normal 3 3 14 3 2 2 3" xfId="29458" xr:uid="{00000000-0005-0000-0000-000009730000}"/>
    <cellStyle name="Normal 3 3 14 3 2 3" xfId="29459" xr:uid="{00000000-0005-0000-0000-00000A730000}"/>
    <cellStyle name="Normal 3 3 14 3 2 3 2" xfId="29460" xr:uid="{00000000-0005-0000-0000-00000B730000}"/>
    <cellStyle name="Normal 3 3 14 3 2 3 3" xfId="29461" xr:uid="{00000000-0005-0000-0000-00000C730000}"/>
    <cellStyle name="Normal 3 3 14 3 2 4" xfId="29462" xr:uid="{00000000-0005-0000-0000-00000D730000}"/>
    <cellStyle name="Normal 3 3 14 3 2 4 2" xfId="29463" xr:uid="{00000000-0005-0000-0000-00000E730000}"/>
    <cellStyle name="Normal 3 3 14 3 2 4 3" xfId="29464" xr:uid="{00000000-0005-0000-0000-00000F730000}"/>
    <cellStyle name="Normal 3 3 14 3 2 5" xfId="29465" xr:uid="{00000000-0005-0000-0000-000010730000}"/>
    <cellStyle name="Normal 3 3 14 3 2 5 2" xfId="29466" xr:uid="{00000000-0005-0000-0000-000011730000}"/>
    <cellStyle name="Normal 3 3 14 3 2 5 3" xfId="29467" xr:uid="{00000000-0005-0000-0000-000012730000}"/>
    <cellStyle name="Normal 3 3 14 3 2 6" xfId="29468" xr:uid="{00000000-0005-0000-0000-000013730000}"/>
    <cellStyle name="Normal 3 3 14 3 2 6 2" xfId="29469" xr:uid="{00000000-0005-0000-0000-000014730000}"/>
    <cellStyle name="Normal 3 3 14 3 2 6 3" xfId="29470" xr:uid="{00000000-0005-0000-0000-000015730000}"/>
    <cellStyle name="Normal 3 3 14 3 2 7" xfId="29471" xr:uid="{00000000-0005-0000-0000-000016730000}"/>
    <cellStyle name="Normal 3 3 14 3 2 7 2" xfId="29472" xr:uid="{00000000-0005-0000-0000-000017730000}"/>
    <cellStyle name="Normal 3 3 14 3 2 7 3" xfId="29473" xr:uid="{00000000-0005-0000-0000-000018730000}"/>
    <cellStyle name="Normal 3 3 14 3 2 8" xfId="29474" xr:uid="{00000000-0005-0000-0000-000019730000}"/>
    <cellStyle name="Normal 3 3 14 3 2 8 2" xfId="29475" xr:uid="{00000000-0005-0000-0000-00001A730000}"/>
    <cellStyle name="Normal 3 3 14 3 2 8 3" xfId="29476" xr:uid="{00000000-0005-0000-0000-00001B730000}"/>
    <cellStyle name="Normal 3 3 14 3 2 9" xfId="29477" xr:uid="{00000000-0005-0000-0000-00001C730000}"/>
    <cellStyle name="Normal 3 3 14 3 2 9 2" xfId="29478" xr:uid="{00000000-0005-0000-0000-00001D730000}"/>
    <cellStyle name="Normal 3 3 14 3 2 9 3" xfId="29479" xr:uid="{00000000-0005-0000-0000-00001E730000}"/>
    <cellStyle name="Normal 3 3 14 3 3" xfId="29480" xr:uid="{00000000-0005-0000-0000-00001F730000}"/>
    <cellStyle name="Normal 3 3 14 3 3 2" xfId="29481" xr:uid="{00000000-0005-0000-0000-000020730000}"/>
    <cellStyle name="Normal 3 3 14 3 3 3" xfId="29482" xr:uid="{00000000-0005-0000-0000-000021730000}"/>
    <cellStyle name="Normal 3 3 14 3 4" xfId="29483" xr:uid="{00000000-0005-0000-0000-000022730000}"/>
    <cellStyle name="Normal 3 3 14 3 4 2" xfId="29484" xr:uid="{00000000-0005-0000-0000-000023730000}"/>
    <cellStyle name="Normal 3 3 14 3 4 3" xfId="29485" xr:uid="{00000000-0005-0000-0000-000024730000}"/>
    <cellStyle name="Normal 3 3 14 3 5" xfId="29486" xr:uid="{00000000-0005-0000-0000-000025730000}"/>
    <cellStyle name="Normal 3 3 14 3 5 2" xfId="29487" xr:uid="{00000000-0005-0000-0000-000026730000}"/>
    <cellStyle name="Normal 3 3 14 3 5 3" xfId="29488" xr:uid="{00000000-0005-0000-0000-000027730000}"/>
    <cellStyle name="Normal 3 3 14 3 6" xfId="29489" xr:uid="{00000000-0005-0000-0000-000028730000}"/>
    <cellStyle name="Normal 3 3 14 3 6 2" xfId="29490" xr:uid="{00000000-0005-0000-0000-000029730000}"/>
    <cellStyle name="Normal 3 3 14 3 6 3" xfId="29491" xr:uid="{00000000-0005-0000-0000-00002A730000}"/>
    <cellStyle name="Normal 3 3 14 3 7" xfId="29492" xr:uid="{00000000-0005-0000-0000-00002B730000}"/>
    <cellStyle name="Normal 3 3 14 3 7 2" xfId="29493" xr:uid="{00000000-0005-0000-0000-00002C730000}"/>
    <cellStyle name="Normal 3 3 14 3 7 3" xfId="29494" xr:uid="{00000000-0005-0000-0000-00002D730000}"/>
    <cellStyle name="Normal 3 3 14 3 8" xfId="29495" xr:uid="{00000000-0005-0000-0000-00002E730000}"/>
    <cellStyle name="Normal 3 3 14 3 8 2" xfId="29496" xr:uid="{00000000-0005-0000-0000-00002F730000}"/>
    <cellStyle name="Normal 3 3 14 3 8 3" xfId="29497" xr:uid="{00000000-0005-0000-0000-000030730000}"/>
    <cellStyle name="Normal 3 3 14 3 9" xfId="29498" xr:uid="{00000000-0005-0000-0000-000031730000}"/>
    <cellStyle name="Normal 3 3 14 3 9 2" xfId="29499" xr:uid="{00000000-0005-0000-0000-000032730000}"/>
    <cellStyle name="Normal 3 3 14 3 9 3" xfId="29500" xr:uid="{00000000-0005-0000-0000-000033730000}"/>
    <cellStyle name="Normal 3 3 14 4" xfId="29501" xr:uid="{00000000-0005-0000-0000-000034730000}"/>
    <cellStyle name="Normal 3 3 14 4 10" xfId="29502" xr:uid="{00000000-0005-0000-0000-000035730000}"/>
    <cellStyle name="Normal 3 3 14 4 10 2" xfId="29503" xr:uid="{00000000-0005-0000-0000-000036730000}"/>
    <cellStyle name="Normal 3 3 14 4 10 3" xfId="29504" xr:uid="{00000000-0005-0000-0000-000037730000}"/>
    <cellStyle name="Normal 3 3 14 4 11" xfId="29505" xr:uid="{00000000-0005-0000-0000-000038730000}"/>
    <cellStyle name="Normal 3 3 14 4 11 2" xfId="29506" xr:uid="{00000000-0005-0000-0000-000039730000}"/>
    <cellStyle name="Normal 3 3 14 4 11 3" xfId="29507" xr:uid="{00000000-0005-0000-0000-00003A730000}"/>
    <cellStyle name="Normal 3 3 14 4 12" xfId="29508" xr:uid="{00000000-0005-0000-0000-00003B730000}"/>
    <cellStyle name="Normal 3 3 14 4 12 2" xfId="29509" xr:uid="{00000000-0005-0000-0000-00003C730000}"/>
    <cellStyle name="Normal 3 3 14 4 12 3" xfId="29510" xr:uid="{00000000-0005-0000-0000-00003D730000}"/>
    <cellStyle name="Normal 3 3 14 4 13" xfId="29511" xr:uid="{00000000-0005-0000-0000-00003E730000}"/>
    <cellStyle name="Normal 3 3 14 4 13 2" xfId="29512" xr:uid="{00000000-0005-0000-0000-00003F730000}"/>
    <cellStyle name="Normal 3 3 14 4 13 3" xfId="29513" xr:uid="{00000000-0005-0000-0000-000040730000}"/>
    <cellStyle name="Normal 3 3 14 4 14" xfId="29514" xr:uid="{00000000-0005-0000-0000-000041730000}"/>
    <cellStyle name="Normal 3 3 14 4 14 2" xfId="29515" xr:uid="{00000000-0005-0000-0000-000042730000}"/>
    <cellStyle name="Normal 3 3 14 4 14 3" xfId="29516" xr:uid="{00000000-0005-0000-0000-000043730000}"/>
    <cellStyle name="Normal 3 3 14 4 15" xfId="29517" xr:uid="{00000000-0005-0000-0000-000044730000}"/>
    <cellStyle name="Normal 3 3 14 4 15 2" xfId="29518" xr:uid="{00000000-0005-0000-0000-000045730000}"/>
    <cellStyle name="Normal 3 3 14 4 15 3" xfId="29519" xr:uid="{00000000-0005-0000-0000-000046730000}"/>
    <cellStyle name="Normal 3 3 14 4 16" xfId="29520" xr:uid="{00000000-0005-0000-0000-000047730000}"/>
    <cellStyle name="Normal 3 3 14 4 17" xfId="29521" xr:uid="{00000000-0005-0000-0000-000048730000}"/>
    <cellStyle name="Normal 3 3 14 4 2" xfId="29522" xr:uid="{00000000-0005-0000-0000-000049730000}"/>
    <cellStyle name="Normal 3 3 14 4 2 10" xfId="29523" xr:uid="{00000000-0005-0000-0000-00004A730000}"/>
    <cellStyle name="Normal 3 3 14 4 2 10 2" xfId="29524" xr:uid="{00000000-0005-0000-0000-00004B730000}"/>
    <cellStyle name="Normal 3 3 14 4 2 10 3" xfId="29525" xr:uid="{00000000-0005-0000-0000-00004C730000}"/>
    <cellStyle name="Normal 3 3 14 4 2 11" xfId="29526" xr:uid="{00000000-0005-0000-0000-00004D730000}"/>
    <cellStyle name="Normal 3 3 14 4 2 11 2" xfId="29527" xr:uid="{00000000-0005-0000-0000-00004E730000}"/>
    <cellStyle name="Normal 3 3 14 4 2 11 3" xfId="29528" xr:uid="{00000000-0005-0000-0000-00004F730000}"/>
    <cellStyle name="Normal 3 3 14 4 2 12" xfId="29529" xr:uid="{00000000-0005-0000-0000-000050730000}"/>
    <cellStyle name="Normal 3 3 14 4 2 12 2" xfId="29530" xr:uid="{00000000-0005-0000-0000-000051730000}"/>
    <cellStyle name="Normal 3 3 14 4 2 12 3" xfId="29531" xr:uid="{00000000-0005-0000-0000-000052730000}"/>
    <cellStyle name="Normal 3 3 14 4 2 13" xfId="29532" xr:uid="{00000000-0005-0000-0000-000053730000}"/>
    <cellStyle name="Normal 3 3 14 4 2 13 2" xfId="29533" xr:uid="{00000000-0005-0000-0000-000054730000}"/>
    <cellStyle name="Normal 3 3 14 4 2 13 3" xfId="29534" xr:uid="{00000000-0005-0000-0000-000055730000}"/>
    <cellStyle name="Normal 3 3 14 4 2 14" xfId="29535" xr:uid="{00000000-0005-0000-0000-000056730000}"/>
    <cellStyle name="Normal 3 3 14 4 2 14 2" xfId="29536" xr:uid="{00000000-0005-0000-0000-000057730000}"/>
    <cellStyle name="Normal 3 3 14 4 2 14 3" xfId="29537" xr:uid="{00000000-0005-0000-0000-000058730000}"/>
    <cellStyle name="Normal 3 3 14 4 2 15" xfId="29538" xr:uid="{00000000-0005-0000-0000-000059730000}"/>
    <cellStyle name="Normal 3 3 14 4 2 16" xfId="29539" xr:uid="{00000000-0005-0000-0000-00005A730000}"/>
    <cellStyle name="Normal 3 3 14 4 2 2" xfId="29540" xr:uid="{00000000-0005-0000-0000-00005B730000}"/>
    <cellStyle name="Normal 3 3 14 4 2 2 2" xfId="29541" xr:uid="{00000000-0005-0000-0000-00005C730000}"/>
    <cellStyle name="Normal 3 3 14 4 2 2 3" xfId="29542" xr:uid="{00000000-0005-0000-0000-00005D730000}"/>
    <cellStyle name="Normal 3 3 14 4 2 3" xfId="29543" xr:uid="{00000000-0005-0000-0000-00005E730000}"/>
    <cellStyle name="Normal 3 3 14 4 2 3 2" xfId="29544" xr:uid="{00000000-0005-0000-0000-00005F730000}"/>
    <cellStyle name="Normal 3 3 14 4 2 3 3" xfId="29545" xr:uid="{00000000-0005-0000-0000-000060730000}"/>
    <cellStyle name="Normal 3 3 14 4 2 4" xfId="29546" xr:uid="{00000000-0005-0000-0000-000061730000}"/>
    <cellStyle name="Normal 3 3 14 4 2 4 2" xfId="29547" xr:uid="{00000000-0005-0000-0000-000062730000}"/>
    <cellStyle name="Normal 3 3 14 4 2 4 3" xfId="29548" xr:uid="{00000000-0005-0000-0000-000063730000}"/>
    <cellStyle name="Normal 3 3 14 4 2 5" xfId="29549" xr:uid="{00000000-0005-0000-0000-000064730000}"/>
    <cellStyle name="Normal 3 3 14 4 2 5 2" xfId="29550" xr:uid="{00000000-0005-0000-0000-000065730000}"/>
    <cellStyle name="Normal 3 3 14 4 2 5 3" xfId="29551" xr:uid="{00000000-0005-0000-0000-000066730000}"/>
    <cellStyle name="Normal 3 3 14 4 2 6" xfId="29552" xr:uid="{00000000-0005-0000-0000-000067730000}"/>
    <cellStyle name="Normal 3 3 14 4 2 6 2" xfId="29553" xr:uid="{00000000-0005-0000-0000-000068730000}"/>
    <cellStyle name="Normal 3 3 14 4 2 6 3" xfId="29554" xr:uid="{00000000-0005-0000-0000-000069730000}"/>
    <cellStyle name="Normal 3 3 14 4 2 7" xfId="29555" xr:uid="{00000000-0005-0000-0000-00006A730000}"/>
    <cellStyle name="Normal 3 3 14 4 2 7 2" xfId="29556" xr:uid="{00000000-0005-0000-0000-00006B730000}"/>
    <cellStyle name="Normal 3 3 14 4 2 7 3" xfId="29557" xr:uid="{00000000-0005-0000-0000-00006C730000}"/>
    <cellStyle name="Normal 3 3 14 4 2 8" xfId="29558" xr:uid="{00000000-0005-0000-0000-00006D730000}"/>
    <cellStyle name="Normal 3 3 14 4 2 8 2" xfId="29559" xr:uid="{00000000-0005-0000-0000-00006E730000}"/>
    <cellStyle name="Normal 3 3 14 4 2 8 3" xfId="29560" xr:uid="{00000000-0005-0000-0000-00006F730000}"/>
    <cellStyle name="Normal 3 3 14 4 2 9" xfId="29561" xr:uid="{00000000-0005-0000-0000-000070730000}"/>
    <cellStyle name="Normal 3 3 14 4 2 9 2" xfId="29562" xr:uid="{00000000-0005-0000-0000-000071730000}"/>
    <cellStyle name="Normal 3 3 14 4 2 9 3" xfId="29563" xr:uid="{00000000-0005-0000-0000-000072730000}"/>
    <cellStyle name="Normal 3 3 14 4 3" xfId="29564" xr:uid="{00000000-0005-0000-0000-000073730000}"/>
    <cellStyle name="Normal 3 3 14 4 3 2" xfId="29565" xr:uid="{00000000-0005-0000-0000-000074730000}"/>
    <cellStyle name="Normal 3 3 14 4 3 3" xfId="29566" xr:uid="{00000000-0005-0000-0000-000075730000}"/>
    <cellStyle name="Normal 3 3 14 4 4" xfId="29567" xr:uid="{00000000-0005-0000-0000-000076730000}"/>
    <cellStyle name="Normal 3 3 14 4 4 2" xfId="29568" xr:uid="{00000000-0005-0000-0000-000077730000}"/>
    <cellStyle name="Normal 3 3 14 4 4 3" xfId="29569" xr:uid="{00000000-0005-0000-0000-000078730000}"/>
    <cellStyle name="Normal 3 3 14 4 5" xfId="29570" xr:uid="{00000000-0005-0000-0000-000079730000}"/>
    <cellStyle name="Normal 3 3 14 4 5 2" xfId="29571" xr:uid="{00000000-0005-0000-0000-00007A730000}"/>
    <cellStyle name="Normal 3 3 14 4 5 3" xfId="29572" xr:uid="{00000000-0005-0000-0000-00007B730000}"/>
    <cellStyle name="Normal 3 3 14 4 6" xfId="29573" xr:uid="{00000000-0005-0000-0000-00007C730000}"/>
    <cellStyle name="Normal 3 3 14 4 6 2" xfId="29574" xr:uid="{00000000-0005-0000-0000-00007D730000}"/>
    <cellStyle name="Normal 3 3 14 4 6 3" xfId="29575" xr:uid="{00000000-0005-0000-0000-00007E730000}"/>
    <cellStyle name="Normal 3 3 14 4 7" xfId="29576" xr:uid="{00000000-0005-0000-0000-00007F730000}"/>
    <cellStyle name="Normal 3 3 14 4 7 2" xfId="29577" xr:uid="{00000000-0005-0000-0000-000080730000}"/>
    <cellStyle name="Normal 3 3 14 4 7 3" xfId="29578" xr:uid="{00000000-0005-0000-0000-000081730000}"/>
    <cellStyle name="Normal 3 3 14 4 8" xfId="29579" xr:uid="{00000000-0005-0000-0000-000082730000}"/>
    <cellStyle name="Normal 3 3 14 4 8 2" xfId="29580" xr:uid="{00000000-0005-0000-0000-000083730000}"/>
    <cellStyle name="Normal 3 3 14 4 8 3" xfId="29581" xr:uid="{00000000-0005-0000-0000-000084730000}"/>
    <cellStyle name="Normal 3 3 14 4 9" xfId="29582" xr:uid="{00000000-0005-0000-0000-000085730000}"/>
    <cellStyle name="Normal 3 3 14 4 9 2" xfId="29583" xr:uid="{00000000-0005-0000-0000-000086730000}"/>
    <cellStyle name="Normal 3 3 14 4 9 3" xfId="29584" xr:uid="{00000000-0005-0000-0000-000087730000}"/>
    <cellStyle name="Normal 3 3 14 5" xfId="29585" xr:uid="{00000000-0005-0000-0000-000088730000}"/>
    <cellStyle name="Normal 3 3 14 5 10" xfId="29586" xr:uid="{00000000-0005-0000-0000-000089730000}"/>
    <cellStyle name="Normal 3 3 14 5 10 2" xfId="29587" xr:uid="{00000000-0005-0000-0000-00008A730000}"/>
    <cellStyle name="Normal 3 3 14 5 10 3" xfId="29588" xr:uid="{00000000-0005-0000-0000-00008B730000}"/>
    <cellStyle name="Normal 3 3 14 5 11" xfId="29589" xr:uid="{00000000-0005-0000-0000-00008C730000}"/>
    <cellStyle name="Normal 3 3 14 5 11 2" xfId="29590" xr:uid="{00000000-0005-0000-0000-00008D730000}"/>
    <cellStyle name="Normal 3 3 14 5 11 3" xfId="29591" xr:uid="{00000000-0005-0000-0000-00008E730000}"/>
    <cellStyle name="Normal 3 3 14 5 12" xfId="29592" xr:uid="{00000000-0005-0000-0000-00008F730000}"/>
    <cellStyle name="Normal 3 3 14 5 12 2" xfId="29593" xr:uid="{00000000-0005-0000-0000-000090730000}"/>
    <cellStyle name="Normal 3 3 14 5 12 3" xfId="29594" xr:uid="{00000000-0005-0000-0000-000091730000}"/>
    <cellStyle name="Normal 3 3 14 5 13" xfId="29595" xr:uid="{00000000-0005-0000-0000-000092730000}"/>
    <cellStyle name="Normal 3 3 14 5 13 2" xfId="29596" xr:uid="{00000000-0005-0000-0000-000093730000}"/>
    <cellStyle name="Normal 3 3 14 5 13 3" xfId="29597" xr:uid="{00000000-0005-0000-0000-000094730000}"/>
    <cellStyle name="Normal 3 3 14 5 14" xfId="29598" xr:uid="{00000000-0005-0000-0000-000095730000}"/>
    <cellStyle name="Normal 3 3 14 5 14 2" xfId="29599" xr:uid="{00000000-0005-0000-0000-000096730000}"/>
    <cellStyle name="Normal 3 3 14 5 14 3" xfId="29600" xr:uid="{00000000-0005-0000-0000-000097730000}"/>
    <cellStyle name="Normal 3 3 14 5 15" xfId="29601" xr:uid="{00000000-0005-0000-0000-000098730000}"/>
    <cellStyle name="Normal 3 3 14 5 16" xfId="29602" xr:uid="{00000000-0005-0000-0000-000099730000}"/>
    <cellStyle name="Normal 3 3 14 5 2" xfId="29603" xr:uid="{00000000-0005-0000-0000-00009A730000}"/>
    <cellStyle name="Normal 3 3 14 5 2 2" xfId="29604" xr:uid="{00000000-0005-0000-0000-00009B730000}"/>
    <cellStyle name="Normal 3 3 14 5 2 3" xfId="29605" xr:uid="{00000000-0005-0000-0000-00009C730000}"/>
    <cellStyle name="Normal 3 3 14 5 3" xfId="29606" xr:uid="{00000000-0005-0000-0000-00009D730000}"/>
    <cellStyle name="Normal 3 3 14 5 3 2" xfId="29607" xr:uid="{00000000-0005-0000-0000-00009E730000}"/>
    <cellStyle name="Normal 3 3 14 5 3 3" xfId="29608" xr:uid="{00000000-0005-0000-0000-00009F730000}"/>
    <cellStyle name="Normal 3 3 14 5 4" xfId="29609" xr:uid="{00000000-0005-0000-0000-0000A0730000}"/>
    <cellStyle name="Normal 3 3 14 5 4 2" xfId="29610" xr:uid="{00000000-0005-0000-0000-0000A1730000}"/>
    <cellStyle name="Normal 3 3 14 5 4 3" xfId="29611" xr:uid="{00000000-0005-0000-0000-0000A2730000}"/>
    <cellStyle name="Normal 3 3 14 5 5" xfId="29612" xr:uid="{00000000-0005-0000-0000-0000A3730000}"/>
    <cellStyle name="Normal 3 3 14 5 5 2" xfId="29613" xr:uid="{00000000-0005-0000-0000-0000A4730000}"/>
    <cellStyle name="Normal 3 3 14 5 5 3" xfId="29614" xr:uid="{00000000-0005-0000-0000-0000A5730000}"/>
    <cellStyle name="Normal 3 3 14 5 6" xfId="29615" xr:uid="{00000000-0005-0000-0000-0000A6730000}"/>
    <cellStyle name="Normal 3 3 14 5 6 2" xfId="29616" xr:uid="{00000000-0005-0000-0000-0000A7730000}"/>
    <cellStyle name="Normal 3 3 14 5 6 3" xfId="29617" xr:uid="{00000000-0005-0000-0000-0000A8730000}"/>
    <cellStyle name="Normal 3 3 14 5 7" xfId="29618" xr:uid="{00000000-0005-0000-0000-0000A9730000}"/>
    <cellStyle name="Normal 3 3 14 5 7 2" xfId="29619" xr:uid="{00000000-0005-0000-0000-0000AA730000}"/>
    <cellStyle name="Normal 3 3 14 5 7 3" xfId="29620" xr:uid="{00000000-0005-0000-0000-0000AB730000}"/>
    <cellStyle name="Normal 3 3 14 5 8" xfId="29621" xr:uid="{00000000-0005-0000-0000-0000AC730000}"/>
    <cellStyle name="Normal 3 3 14 5 8 2" xfId="29622" xr:uid="{00000000-0005-0000-0000-0000AD730000}"/>
    <cellStyle name="Normal 3 3 14 5 8 3" xfId="29623" xr:uid="{00000000-0005-0000-0000-0000AE730000}"/>
    <cellStyle name="Normal 3 3 14 5 9" xfId="29624" xr:uid="{00000000-0005-0000-0000-0000AF730000}"/>
    <cellStyle name="Normal 3 3 14 5 9 2" xfId="29625" xr:uid="{00000000-0005-0000-0000-0000B0730000}"/>
    <cellStyle name="Normal 3 3 14 5 9 3" xfId="29626" xr:uid="{00000000-0005-0000-0000-0000B1730000}"/>
    <cellStyle name="Normal 3 3 14 6" xfId="29627" xr:uid="{00000000-0005-0000-0000-0000B2730000}"/>
    <cellStyle name="Normal 3 3 14 6 10" xfId="29628" xr:uid="{00000000-0005-0000-0000-0000B3730000}"/>
    <cellStyle name="Normal 3 3 14 6 10 2" xfId="29629" xr:uid="{00000000-0005-0000-0000-0000B4730000}"/>
    <cellStyle name="Normal 3 3 14 6 10 3" xfId="29630" xr:uid="{00000000-0005-0000-0000-0000B5730000}"/>
    <cellStyle name="Normal 3 3 14 6 11" xfId="29631" xr:uid="{00000000-0005-0000-0000-0000B6730000}"/>
    <cellStyle name="Normal 3 3 14 6 11 2" xfId="29632" xr:uid="{00000000-0005-0000-0000-0000B7730000}"/>
    <cellStyle name="Normal 3 3 14 6 11 3" xfId="29633" xr:uid="{00000000-0005-0000-0000-0000B8730000}"/>
    <cellStyle name="Normal 3 3 14 6 12" xfId="29634" xr:uid="{00000000-0005-0000-0000-0000B9730000}"/>
    <cellStyle name="Normal 3 3 14 6 12 2" xfId="29635" xr:uid="{00000000-0005-0000-0000-0000BA730000}"/>
    <cellStyle name="Normal 3 3 14 6 12 3" xfId="29636" xr:uid="{00000000-0005-0000-0000-0000BB730000}"/>
    <cellStyle name="Normal 3 3 14 6 13" xfId="29637" xr:uid="{00000000-0005-0000-0000-0000BC730000}"/>
    <cellStyle name="Normal 3 3 14 6 13 2" xfId="29638" xr:uid="{00000000-0005-0000-0000-0000BD730000}"/>
    <cellStyle name="Normal 3 3 14 6 13 3" xfId="29639" xr:uid="{00000000-0005-0000-0000-0000BE730000}"/>
    <cellStyle name="Normal 3 3 14 6 14" xfId="29640" xr:uid="{00000000-0005-0000-0000-0000BF730000}"/>
    <cellStyle name="Normal 3 3 14 6 14 2" xfId="29641" xr:uid="{00000000-0005-0000-0000-0000C0730000}"/>
    <cellStyle name="Normal 3 3 14 6 14 3" xfId="29642" xr:uid="{00000000-0005-0000-0000-0000C1730000}"/>
    <cellStyle name="Normal 3 3 14 6 15" xfId="29643" xr:uid="{00000000-0005-0000-0000-0000C2730000}"/>
    <cellStyle name="Normal 3 3 14 6 16" xfId="29644" xr:uid="{00000000-0005-0000-0000-0000C3730000}"/>
    <cellStyle name="Normal 3 3 14 6 2" xfId="29645" xr:uid="{00000000-0005-0000-0000-0000C4730000}"/>
    <cellStyle name="Normal 3 3 14 6 2 2" xfId="29646" xr:uid="{00000000-0005-0000-0000-0000C5730000}"/>
    <cellStyle name="Normal 3 3 14 6 2 3" xfId="29647" xr:uid="{00000000-0005-0000-0000-0000C6730000}"/>
    <cellStyle name="Normal 3 3 14 6 3" xfId="29648" xr:uid="{00000000-0005-0000-0000-0000C7730000}"/>
    <cellStyle name="Normal 3 3 14 6 3 2" xfId="29649" xr:uid="{00000000-0005-0000-0000-0000C8730000}"/>
    <cellStyle name="Normal 3 3 14 6 3 3" xfId="29650" xr:uid="{00000000-0005-0000-0000-0000C9730000}"/>
    <cellStyle name="Normal 3 3 14 6 4" xfId="29651" xr:uid="{00000000-0005-0000-0000-0000CA730000}"/>
    <cellStyle name="Normal 3 3 14 6 4 2" xfId="29652" xr:uid="{00000000-0005-0000-0000-0000CB730000}"/>
    <cellStyle name="Normal 3 3 14 6 4 3" xfId="29653" xr:uid="{00000000-0005-0000-0000-0000CC730000}"/>
    <cellStyle name="Normal 3 3 14 6 5" xfId="29654" xr:uid="{00000000-0005-0000-0000-0000CD730000}"/>
    <cellStyle name="Normal 3 3 14 6 5 2" xfId="29655" xr:uid="{00000000-0005-0000-0000-0000CE730000}"/>
    <cellStyle name="Normal 3 3 14 6 5 3" xfId="29656" xr:uid="{00000000-0005-0000-0000-0000CF730000}"/>
    <cellStyle name="Normal 3 3 14 6 6" xfId="29657" xr:uid="{00000000-0005-0000-0000-0000D0730000}"/>
    <cellStyle name="Normal 3 3 14 6 6 2" xfId="29658" xr:uid="{00000000-0005-0000-0000-0000D1730000}"/>
    <cellStyle name="Normal 3 3 14 6 6 3" xfId="29659" xr:uid="{00000000-0005-0000-0000-0000D2730000}"/>
    <cellStyle name="Normal 3 3 14 6 7" xfId="29660" xr:uid="{00000000-0005-0000-0000-0000D3730000}"/>
    <cellStyle name="Normal 3 3 14 6 7 2" xfId="29661" xr:uid="{00000000-0005-0000-0000-0000D4730000}"/>
    <cellStyle name="Normal 3 3 14 6 7 3" xfId="29662" xr:uid="{00000000-0005-0000-0000-0000D5730000}"/>
    <cellStyle name="Normal 3 3 14 6 8" xfId="29663" xr:uid="{00000000-0005-0000-0000-0000D6730000}"/>
    <cellStyle name="Normal 3 3 14 6 8 2" xfId="29664" xr:uid="{00000000-0005-0000-0000-0000D7730000}"/>
    <cellStyle name="Normal 3 3 14 6 8 3" xfId="29665" xr:uid="{00000000-0005-0000-0000-0000D8730000}"/>
    <cellStyle name="Normal 3 3 14 6 9" xfId="29666" xr:uid="{00000000-0005-0000-0000-0000D9730000}"/>
    <cellStyle name="Normal 3 3 14 6 9 2" xfId="29667" xr:uid="{00000000-0005-0000-0000-0000DA730000}"/>
    <cellStyle name="Normal 3 3 14 6 9 3" xfId="29668" xr:uid="{00000000-0005-0000-0000-0000DB730000}"/>
    <cellStyle name="Normal 3 3 14 7" xfId="29669" xr:uid="{00000000-0005-0000-0000-0000DC730000}"/>
    <cellStyle name="Normal 3 3 14 7 10" xfId="29670" xr:uid="{00000000-0005-0000-0000-0000DD730000}"/>
    <cellStyle name="Normal 3 3 14 7 10 2" xfId="29671" xr:uid="{00000000-0005-0000-0000-0000DE730000}"/>
    <cellStyle name="Normal 3 3 14 7 10 3" xfId="29672" xr:uid="{00000000-0005-0000-0000-0000DF730000}"/>
    <cellStyle name="Normal 3 3 14 7 11" xfId="29673" xr:uid="{00000000-0005-0000-0000-0000E0730000}"/>
    <cellStyle name="Normal 3 3 14 7 11 2" xfId="29674" xr:uid="{00000000-0005-0000-0000-0000E1730000}"/>
    <cellStyle name="Normal 3 3 14 7 11 3" xfId="29675" xr:uid="{00000000-0005-0000-0000-0000E2730000}"/>
    <cellStyle name="Normal 3 3 14 7 12" xfId="29676" xr:uid="{00000000-0005-0000-0000-0000E3730000}"/>
    <cellStyle name="Normal 3 3 14 7 12 2" xfId="29677" xr:uid="{00000000-0005-0000-0000-0000E4730000}"/>
    <cellStyle name="Normal 3 3 14 7 12 3" xfId="29678" xr:uid="{00000000-0005-0000-0000-0000E5730000}"/>
    <cellStyle name="Normal 3 3 14 7 13" xfId="29679" xr:uid="{00000000-0005-0000-0000-0000E6730000}"/>
    <cellStyle name="Normal 3 3 14 7 13 2" xfId="29680" xr:uid="{00000000-0005-0000-0000-0000E7730000}"/>
    <cellStyle name="Normal 3 3 14 7 13 3" xfId="29681" xr:uid="{00000000-0005-0000-0000-0000E8730000}"/>
    <cellStyle name="Normal 3 3 14 7 14" xfId="29682" xr:uid="{00000000-0005-0000-0000-0000E9730000}"/>
    <cellStyle name="Normal 3 3 14 7 14 2" xfId="29683" xr:uid="{00000000-0005-0000-0000-0000EA730000}"/>
    <cellStyle name="Normal 3 3 14 7 14 3" xfId="29684" xr:uid="{00000000-0005-0000-0000-0000EB730000}"/>
    <cellStyle name="Normal 3 3 14 7 15" xfId="29685" xr:uid="{00000000-0005-0000-0000-0000EC730000}"/>
    <cellStyle name="Normal 3 3 14 7 16" xfId="29686" xr:uid="{00000000-0005-0000-0000-0000ED730000}"/>
    <cellStyle name="Normal 3 3 14 7 2" xfId="29687" xr:uid="{00000000-0005-0000-0000-0000EE730000}"/>
    <cellStyle name="Normal 3 3 14 7 2 2" xfId="29688" xr:uid="{00000000-0005-0000-0000-0000EF730000}"/>
    <cellStyle name="Normal 3 3 14 7 2 3" xfId="29689" xr:uid="{00000000-0005-0000-0000-0000F0730000}"/>
    <cellStyle name="Normal 3 3 14 7 3" xfId="29690" xr:uid="{00000000-0005-0000-0000-0000F1730000}"/>
    <cellStyle name="Normal 3 3 14 7 3 2" xfId="29691" xr:uid="{00000000-0005-0000-0000-0000F2730000}"/>
    <cellStyle name="Normal 3 3 14 7 3 3" xfId="29692" xr:uid="{00000000-0005-0000-0000-0000F3730000}"/>
    <cellStyle name="Normal 3 3 14 7 4" xfId="29693" xr:uid="{00000000-0005-0000-0000-0000F4730000}"/>
    <cellStyle name="Normal 3 3 14 7 4 2" xfId="29694" xr:uid="{00000000-0005-0000-0000-0000F5730000}"/>
    <cellStyle name="Normal 3 3 14 7 4 3" xfId="29695" xr:uid="{00000000-0005-0000-0000-0000F6730000}"/>
    <cellStyle name="Normal 3 3 14 7 5" xfId="29696" xr:uid="{00000000-0005-0000-0000-0000F7730000}"/>
    <cellStyle name="Normal 3 3 14 7 5 2" xfId="29697" xr:uid="{00000000-0005-0000-0000-0000F8730000}"/>
    <cellStyle name="Normal 3 3 14 7 5 3" xfId="29698" xr:uid="{00000000-0005-0000-0000-0000F9730000}"/>
    <cellStyle name="Normal 3 3 14 7 6" xfId="29699" xr:uid="{00000000-0005-0000-0000-0000FA730000}"/>
    <cellStyle name="Normal 3 3 14 7 6 2" xfId="29700" xr:uid="{00000000-0005-0000-0000-0000FB730000}"/>
    <cellStyle name="Normal 3 3 14 7 6 3" xfId="29701" xr:uid="{00000000-0005-0000-0000-0000FC730000}"/>
    <cellStyle name="Normal 3 3 14 7 7" xfId="29702" xr:uid="{00000000-0005-0000-0000-0000FD730000}"/>
    <cellStyle name="Normal 3 3 14 7 7 2" xfId="29703" xr:uid="{00000000-0005-0000-0000-0000FE730000}"/>
    <cellStyle name="Normal 3 3 14 7 7 3" xfId="29704" xr:uid="{00000000-0005-0000-0000-0000FF730000}"/>
    <cellStyle name="Normal 3 3 14 7 8" xfId="29705" xr:uid="{00000000-0005-0000-0000-000000740000}"/>
    <cellStyle name="Normal 3 3 14 7 8 2" xfId="29706" xr:uid="{00000000-0005-0000-0000-000001740000}"/>
    <cellStyle name="Normal 3 3 14 7 8 3" xfId="29707" xr:uid="{00000000-0005-0000-0000-000002740000}"/>
    <cellStyle name="Normal 3 3 14 7 9" xfId="29708" xr:uid="{00000000-0005-0000-0000-000003740000}"/>
    <cellStyle name="Normal 3 3 14 7 9 2" xfId="29709" xr:uid="{00000000-0005-0000-0000-000004740000}"/>
    <cellStyle name="Normal 3 3 14 7 9 3" xfId="29710" xr:uid="{00000000-0005-0000-0000-000005740000}"/>
    <cellStyle name="Normal 3 3 14 8" xfId="29711" xr:uid="{00000000-0005-0000-0000-000006740000}"/>
    <cellStyle name="Normal 3 3 14 8 10" xfId="29712" xr:uid="{00000000-0005-0000-0000-000007740000}"/>
    <cellStyle name="Normal 3 3 14 8 10 2" xfId="29713" xr:uid="{00000000-0005-0000-0000-000008740000}"/>
    <cellStyle name="Normal 3 3 14 8 10 3" xfId="29714" xr:uid="{00000000-0005-0000-0000-000009740000}"/>
    <cellStyle name="Normal 3 3 14 8 11" xfId="29715" xr:uid="{00000000-0005-0000-0000-00000A740000}"/>
    <cellStyle name="Normal 3 3 14 8 11 2" xfId="29716" xr:uid="{00000000-0005-0000-0000-00000B740000}"/>
    <cellStyle name="Normal 3 3 14 8 11 3" xfId="29717" xr:uid="{00000000-0005-0000-0000-00000C740000}"/>
    <cellStyle name="Normal 3 3 14 8 12" xfId="29718" xr:uid="{00000000-0005-0000-0000-00000D740000}"/>
    <cellStyle name="Normal 3 3 14 8 12 2" xfId="29719" xr:uid="{00000000-0005-0000-0000-00000E740000}"/>
    <cellStyle name="Normal 3 3 14 8 12 3" xfId="29720" xr:uid="{00000000-0005-0000-0000-00000F740000}"/>
    <cellStyle name="Normal 3 3 14 8 13" xfId="29721" xr:uid="{00000000-0005-0000-0000-000010740000}"/>
    <cellStyle name="Normal 3 3 14 8 13 2" xfId="29722" xr:uid="{00000000-0005-0000-0000-000011740000}"/>
    <cellStyle name="Normal 3 3 14 8 13 3" xfId="29723" xr:uid="{00000000-0005-0000-0000-000012740000}"/>
    <cellStyle name="Normal 3 3 14 8 14" xfId="29724" xr:uid="{00000000-0005-0000-0000-000013740000}"/>
    <cellStyle name="Normal 3 3 14 8 14 2" xfId="29725" xr:uid="{00000000-0005-0000-0000-000014740000}"/>
    <cellStyle name="Normal 3 3 14 8 14 3" xfId="29726" xr:uid="{00000000-0005-0000-0000-000015740000}"/>
    <cellStyle name="Normal 3 3 14 8 15" xfId="29727" xr:uid="{00000000-0005-0000-0000-000016740000}"/>
    <cellStyle name="Normal 3 3 14 8 16" xfId="29728" xr:uid="{00000000-0005-0000-0000-000017740000}"/>
    <cellStyle name="Normal 3 3 14 8 2" xfId="29729" xr:uid="{00000000-0005-0000-0000-000018740000}"/>
    <cellStyle name="Normal 3 3 14 8 2 2" xfId="29730" xr:uid="{00000000-0005-0000-0000-000019740000}"/>
    <cellStyle name="Normal 3 3 14 8 2 3" xfId="29731" xr:uid="{00000000-0005-0000-0000-00001A740000}"/>
    <cellStyle name="Normal 3 3 14 8 3" xfId="29732" xr:uid="{00000000-0005-0000-0000-00001B740000}"/>
    <cellStyle name="Normal 3 3 14 8 3 2" xfId="29733" xr:uid="{00000000-0005-0000-0000-00001C740000}"/>
    <cellStyle name="Normal 3 3 14 8 3 3" xfId="29734" xr:uid="{00000000-0005-0000-0000-00001D740000}"/>
    <cellStyle name="Normal 3 3 14 8 4" xfId="29735" xr:uid="{00000000-0005-0000-0000-00001E740000}"/>
    <cellStyle name="Normal 3 3 14 8 4 2" xfId="29736" xr:uid="{00000000-0005-0000-0000-00001F740000}"/>
    <cellStyle name="Normal 3 3 14 8 4 3" xfId="29737" xr:uid="{00000000-0005-0000-0000-000020740000}"/>
    <cellStyle name="Normal 3 3 14 8 5" xfId="29738" xr:uid="{00000000-0005-0000-0000-000021740000}"/>
    <cellStyle name="Normal 3 3 14 8 5 2" xfId="29739" xr:uid="{00000000-0005-0000-0000-000022740000}"/>
    <cellStyle name="Normal 3 3 14 8 5 3" xfId="29740" xr:uid="{00000000-0005-0000-0000-000023740000}"/>
    <cellStyle name="Normal 3 3 14 8 6" xfId="29741" xr:uid="{00000000-0005-0000-0000-000024740000}"/>
    <cellStyle name="Normal 3 3 14 8 6 2" xfId="29742" xr:uid="{00000000-0005-0000-0000-000025740000}"/>
    <cellStyle name="Normal 3 3 14 8 6 3" xfId="29743" xr:uid="{00000000-0005-0000-0000-000026740000}"/>
    <cellStyle name="Normal 3 3 14 8 7" xfId="29744" xr:uid="{00000000-0005-0000-0000-000027740000}"/>
    <cellStyle name="Normal 3 3 14 8 7 2" xfId="29745" xr:uid="{00000000-0005-0000-0000-000028740000}"/>
    <cellStyle name="Normal 3 3 14 8 7 3" xfId="29746" xr:uid="{00000000-0005-0000-0000-000029740000}"/>
    <cellStyle name="Normal 3 3 14 8 8" xfId="29747" xr:uid="{00000000-0005-0000-0000-00002A740000}"/>
    <cellStyle name="Normal 3 3 14 8 8 2" xfId="29748" xr:uid="{00000000-0005-0000-0000-00002B740000}"/>
    <cellStyle name="Normal 3 3 14 8 8 3" xfId="29749" xr:uid="{00000000-0005-0000-0000-00002C740000}"/>
    <cellStyle name="Normal 3 3 14 8 9" xfId="29750" xr:uid="{00000000-0005-0000-0000-00002D740000}"/>
    <cellStyle name="Normal 3 3 14 8 9 2" xfId="29751" xr:uid="{00000000-0005-0000-0000-00002E740000}"/>
    <cellStyle name="Normal 3 3 14 8 9 3" xfId="29752" xr:uid="{00000000-0005-0000-0000-00002F740000}"/>
    <cellStyle name="Normal 3 3 14 9" xfId="29753" xr:uid="{00000000-0005-0000-0000-000030740000}"/>
    <cellStyle name="Normal 3 3 14 9 10" xfId="29754" xr:uid="{00000000-0005-0000-0000-000031740000}"/>
    <cellStyle name="Normal 3 3 14 9 10 2" xfId="29755" xr:uid="{00000000-0005-0000-0000-000032740000}"/>
    <cellStyle name="Normal 3 3 14 9 10 3" xfId="29756" xr:uid="{00000000-0005-0000-0000-000033740000}"/>
    <cellStyle name="Normal 3 3 14 9 11" xfId="29757" xr:uid="{00000000-0005-0000-0000-000034740000}"/>
    <cellStyle name="Normal 3 3 14 9 11 2" xfId="29758" xr:uid="{00000000-0005-0000-0000-000035740000}"/>
    <cellStyle name="Normal 3 3 14 9 11 3" xfId="29759" xr:uid="{00000000-0005-0000-0000-000036740000}"/>
    <cellStyle name="Normal 3 3 14 9 12" xfId="29760" xr:uid="{00000000-0005-0000-0000-000037740000}"/>
    <cellStyle name="Normal 3 3 14 9 12 2" xfId="29761" xr:uid="{00000000-0005-0000-0000-000038740000}"/>
    <cellStyle name="Normal 3 3 14 9 12 3" xfId="29762" xr:uid="{00000000-0005-0000-0000-000039740000}"/>
    <cellStyle name="Normal 3 3 14 9 13" xfId="29763" xr:uid="{00000000-0005-0000-0000-00003A740000}"/>
    <cellStyle name="Normal 3 3 14 9 13 2" xfId="29764" xr:uid="{00000000-0005-0000-0000-00003B740000}"/>
    <cellStyle name="Normal 3 3 14 9 13 3" xfId="29765" xr:uid="{00000000-0005-0000-0000-00003C740000}"/>
    <cellStyle name="Normal 3 3 14 9 14" xfId="29766" xr:uid="{00000000-0005-0000-0000-00003D740000}"/>
    <cellStyle name="Normal 3 3 14 9 14 2" xfId="29767" xr:uid="{00000000-0005-0000-0000-00003E740000}"/>
    <cellStyle name="Normal 3 3 14 9 14 3" xfId="29768" xr:uid="{00000000-0005-0000-0000-00003F740000}"/>
    <cellStyle name="Normal 3 3 14 9 15" xfId="29769" xr:uid="{00000000-0005-0000-0000-000040740000}"/>
    <cellStyle name="Normal 3 3 14 9 16" xfId="29770" xr:uid="{00000000-0005-0000-0000-000041740000}"/>
    <cellStyle name="Normal 3 3 14 9 2" xfId="29771" xr:uid="{00000000-0005-0000-0000-000042740000}"/>
    <cellStyle name="Normal 3 3 14 9 2 2" xfId="29772" xr:uid="{00000000-0005-0000-0000-000043740000}"/>
    <cellStyle name="Normal 3 3 14 9 2 3" xfId="29773" xr:uid="{00000000-0005-0000-0000-000044740000}"/>
    <cellStyle name="Normal 3 3 14 9 3" xfId="29774" xr:uid="{00000000-0005-0000-0000-000045740000}"/>
    <cellStyle name="Normal 3 3 14 9 3 2" xfId="29775" xr:uid="{00000000-0005-0000-0000-000046740000}"/>
    <cellStyle name="Normal 3 3 14 9 3 3" xfId="29776" xr:uid="{00000000-0005-0000-0000-000047740000}"/>
    <cellStyle name="Normal 3 3 14 9 4" xfId="29777" xr:uid="{00000000-0005-0000-0000-000048740000}"/>
    <cellStyle name="Normal 3 3 14 9 4 2" xfId="29778" xr:uid="{00000000-0005-0000-0000-000049740000}"/>
    <cellStyle name="Normal 3 3 14 9 4 3" xfId="29779" xr:uid="{00000000-0005-0000-0000-00004A740000}"/>
    <cellStyle name="Normal 3 3 14 9 5" xfId="29780" xr:uid="{00000000-0005-0000-0000-00004B740000}"/>
    <cellStyle name="Normal 3 3 14 9 5 2" xfId="29781" xr:uid="{00000000-0005-0000-0000-00004C740000}"/>
    <cellStyle name="Normal 3 3 14 9 5 3" xfId="29782" xr:uid="{00000000-0005-0000-0000-00004D740000}"/>
    <cellStyle name="Normal 3 3 14 9 6" xfId="29783" xr:uid="{00000000-0005-0000-0000-00004E740000}"/>
    <cellStyle name="Normal 3 3 14 9 6 2" xfId="29784" xr:uid="{00000000-0005-0000-0000-00004F740000}"/>
    <cellStyle name="Normal 3 3 14 9 6 3" xfId="29785" xr:uid="{00000000-0005-0000-0000-000050740000}"/>
    <cellStyle name="Normal 3 3 14 9 7" xfId="29786" xr:uid="{00000000-0005-0000-0000-000051740000}"/>
    <cellStyle name="Normal 3 3 14 9 7 2" xfId="29787" xr:uid="{00000000-0005-0000-0000-000052740000}"/>
    <cellStyle name="Normal 3 3 14 9 7 3" xfId="29788" xr:uid="{00000000-0005-0000-0000-000053740000}"/>
    <cellStyle name="Normal 3 3 14 9 8" xfId="29789" xr:uid="{00000000-0005-0000-0000-000054740000}"/>
    <cellStyle name="Normal 3 3 14 9 8 2" xfId="29790" xr:uid="{00000000-0005-0000-0000-000055740000}"/>
    <cellStyle name="Normal 3 3 14 9 8 3" xfId="29791" xr:uid="{00000000-0005-0000-0000-000056740000}"/>
    <cellStyle name="Normal 3 3 14 9 9" xfId="29792" xr:uid="{00000000-0005-0000-0000-000057740000}"/>
    <cellStyle name="Normal 3 3 14 9 9 2" xfId="29793" xr:uid="{00000000-0005-0000-0000-000058740000}"/>
    <cellStyle name="Normal 3 3 14 9 9 3" xfId="29794" xr:uid="{00000000-0005-0000-0000-000059740000}"/>
    <cellStyle name="Normal 3 3 15" xfId="29795" xr:uid="{00000000-0005-0000-0000-00005A740000}"/>
    <cellStyle name="Normal 3 3 15 10" xfId="29796" xr:uid="{00000000-0005-0000-0000-00005B740000}"/>
    <cellStyle name="Normal 3 3 15 10 10" xfId="29797" xr:uid="{00000000-0005-0000-0000-00005C740000}"/>
    <cellStyle name="Normal 3 3 15 10 10 2" xfId="29798" xr:uid="{00000000-0005-0000-0000-00005D740000}"/>
    <cellStyle name="Normal 3 3 15 10 10 3" xfId="29799" xr:uid="{00000000-0005-0000-0000-00005E740000}"/>
    <cellStyle name="Normal 3 3 15 10 11" xfId="29800" xr:uid="{00000000-0005-0000-0000-00005F740000}"/>
    <cellStyle name="Normal 3 3 15 10 11 2" xfId="29801" xr:uid="{00000000-0005-0000-0000-000060740000}"/>
    <cellStyle name="Normal 3 3 15 10 11 3" xfId="29802" xr:uid="{00000000-0005-0000-0000-000061740000}"/>
    <cellStyle name="Normal 3 3 15 10 12" xfId="29803" xr:uid="{00000000-0005-0000-0000-000062740000}"/>
    <cellStyle name="Normal 3 3 15 10 12 2" xfId="29804" xr:uid="{00000000-0005-0000-0000-000063740000}"/>
    <cellStyle name="Normal 3 3 15 10 12 3" xfId="29805" xr:uid="{00000000-0005-0000-0000-000064740000}"/>
    <cellStyle name="Normal 3 3 15 10 13" xfId="29806" xr:uid="{00000000-0005-0000-0000-000065740000}"/>
    <cellStyle name="Normal 3 3 15 10 13 2" xfId="29807" xr:uid="{00000000-0005-0000-0000-000066740000}"/>
    <cellStyle name="Normal 3 3 15 10 13 3" xfId="29808" xr:uid="{00000000-0005-0000-0000-000067740000}"/>
    <cellStyle name="Normal 3 3 15 10 14" xfId="29809" xr:uid="{00000000-0005-0000-0000-000068740000}"/>
    <cellStyle name="Normal 3 3 15 10 14 2" xfId="29810" xr:uid="{00000000-0005-0000-0000-000069740000}"/>
    <cellStyle name="Normal 3 3 15 10 14 3" xfId="29811" xr:uid="{00000000-0005-0000-0000-00006A740000}"/>
    <cellStyle name="Normal 3 3 15 10 15" xfId="29812" xr:uid="{00000000-0005-0000-0000-00006B740000}"/>
    <cellStyle name="Normal 3 3 15 10 16" xfId="29813" xr:uid="{00000000-0005-0000-0000-00006C740000}"/>
    <cellStyle name="Normal 3 3 15 10 2" xfId="29814" xr:uid="{00000000-0005-0000-0000-00006D740000}"/>
    <cellStyle name="Normal 3 3 15 10 2 2" xfId="29815" xr:uid="{00000000-0005-0000-0000-00006E740000}"/>
    <cellStyle name="Normal 3 3 15 10 2 3" xfId="29816" xr:uid="{00000000-0005-0000-0000-00006F740000}"/>
    <cellStyle name="Normal 3 3 15 10 3" xfId="29817" xr:uid="{00000000-0005-0000-0000-000070740000}"/>
    <cellStyle name="Normal 3 3 15 10 3 2" xfId="29818" xr:uid="{00000000-0005-0000-0000-000071740000}"/>
    <cellStyle name="Normal 3 3 15 10 3 3" xfId="29819" xr:uid="{00000000-0005-0000-0000-000072740000}"/>
    <cellStyle name="Normal 3 3 15 10 4" xfId="29820" xr:uid="{00000000-0005-0000-0000-000073740000}"/>
    <cellStyle name="Normal 3 3 15 10 4 2" xfId="29821" xr:uid="{00000000-0005-0000-0000-000074740000}"/>
    <cellStyle name="Normal 3 3 15 10 4 3" xfId="29822" xr:uid="{00000000-0005-0000-0000-000075740000}"/>
    <cellStyle name="Normal 3 3 15 10 5" xfId="29823" xr:uid="{00000000-0005-0000-0000-000076740000}"/>
    <cellStyle name="Normal 3 3 15 10 5 2" xfId="29824" xr:uid="{00000000-0005-0000-0000-000077740000}"/>
    <cellStyle name="Normal 3 3 15 10 5 3" xfId="29825" xr:uid="{00000000-0005-0000-0000-000078740000}"/>
    <cellStyle name="Normal 3 3 15 10 6" xfId="29826" xr:uid="{00000000-0005-0000-0000-000079740000}"/>
    <cellStyle name="Normal 3 3 15 10 6 2" xfId="29827" xr:uid="{00000000-0005-0000-0000-00007A740000}"/>
    <cellStyle name="Normal 3 3 15 10 6 3" xfId="29828" xr:uid="{00000000-0005-0000-0000-00007B740000}"/>
    <cellStyle name="Normal 3 3 15 10 7" xfId="29829" xr:uid="{00000000-0005-0000-0000-00007C740000}"/>
    <cellStyle name="Normal 3 3 15 10 7 2" xfId="29830" xr:uid="{00000000-0005-0000-0000-00007D740000}"/>
    <cellStyle name="Normal 3 3 15 10 7 3" xfId="29831" xr:uid="{00000000-0005-0000-0000-00007E740000}"/>
    <cellStyle name="Normal 3 3 15 10 8" xfId="29832" xr:uid="{00000000-0005-0000-0000-00007F740000}"/>
    <cellStyle name="Normal 3 3 15 10 8 2" xfId="29833" xr:uid="{00000000-0005-0000-0000-000080740000}"/>
    <cellStyle name="Normal 3 3 15 10 8 3" xfId="29834" xr:uid="{00000000-0005-0000-0000-000081740000}"/>
    <cellStyle name="Normal 3 3 15 10 9" xfId="29835" xr:uid="{00000000-0005-0000-0000-000082740000}"/>
    <cellStyle name="Normal 3 3 15 10 9 2" xfId="29836" xr:uid="{00000000-0005-0000-0000-000083740000}"/>
    <cellStyle name="Normal 3 3 15 10 9 3" xfId="29837" xr:uid="{00000000-0005-0000-0000-000084740000}"/>
    <cellStyle name="Normal 3 3 15 11" xfId="29838" xr:uid="{00000000-0005-0000-0000-000085740000}"/>
    <cellStyle name="Normal 3 3 15 11 2" xfId="29839" xr:uid="{00000000-0005-0000-0000-000086740000}"/>
    <cellStyle name="Normal 3 3 15 11 3" xfId="29840" xr:uid="{00000000-0005-0000-0000-000087740000}"/>
    <cellStyle name="Normal 3 3 15 12" xfId="29841" xr:uid="{00000000-0005-0000-0000-000088740000}"/>
    <cellStyle name="Normal 3 3 15 12 2" xfId="29842" xr:uid="{00000000-0005-0000-0000-000089740000}"/>
    <cellStyle name="Normal 3 3 15 12 3" xfId="29843" xr:uid="{00000000-0005-0000-0000-00008A740000}"/>
    <cellStyle name="Normal 3 3 15 13" xfId="29844" xr:uid="{00000000-0005-0000-0000-00008B740000}"/>
    <cellStyle name="Normal 3 3 15 13 2" xfId="29845" xr:uid="{00000000-0005-0000-0000-00008C740000}"/>
    <cellStyle name="Normal 3 3 15 13 3" xfId="29846" xr:uid="{00000000-0005-0000-0000-00008D740000}"/>
    <cellStyle name="Normal 3 3 15 14" xfId="29847" xr:uid="{00000000-0005-0000-0000-00008E740000}"/>
    <cellStyle name="Normal 3 3 15 14 2" xfId="29848" xr:uid="{00000000-0005-0000-0000-00008F740000}"/>
    <cellStyle name="Normal 3 3 15 14 3" xfId="29849" xr:uid="{00000000-0005-0000-0000-000090740000}"/>
    <cellStyle name="Normal 3 3 15 15" xfId="29850" xr:uid="{00000000-0005-0000-0000-000091740000}"/>
    <cellStyle name="Normal 3 3 15 15 2" xfId="29851" xr:uid="{00000000-0005-0000-0000-000092740000}"/>
    <cellStyle name="Normal 3 3 15 15 3" xfId="29852" xr:uid="{00000000-0005-0000-0000-000093740000}"/>
    <cellStyle name="Normal 3 3 15 16" xfId="29853" xr:uid="{00000000-0005-0000-0000-000094740000}"/>
    <cellStyle name="Normal 3 3 15 16 2" xfId="29854" xr:uid="{00000000-0005-0000-0000-000095740000}"/>
    <cellStyle name="Normal 3 3 15 16 3" xfId="29855" xr:uid="{00000000-0005-0000-0000-000096740000}"/>
    <cellStyle name="Normal 3 3 15 17" xfId="29856" xr:uid="{00000000-0005-0000-0000-000097740000}"/>
    <cellStyle name="Normal 3 3 15 17 2" xfId="29857" xr:uid="{00000000-0005-0000-0000-000098740000}"/>
    <cellStyle name="Normal 3 3 15 17 3" xfId="29858" xr:uid="{00000000-0005-0000-0000-000099740000}"/>
    <cellStyle name="Normal 3 3 15 18" xfId="29859" xr:uid="{00000000-0005-0000-0000-00009A740000}"/>
    <cellStyle name="Normal 3 3 15 18 2" xfId="29860" xr:uid="{00000000-0005-0000-0000-00009B740000}"/>
    <cellStyle name="Normal 3 3 15 18 3" xfId="29861" xr:uid="{00000000-0005-0000-0000-00009C740000}"/>
    <cellStyle name="Normal 3 3 15 19" xfId="29862" xr:uid="{00000000-0005-0000-0000-00009D740000}"/>
    <cellStyle name="Normal 3 3 15 19 2" xfId="29863" xr:uid="{00000000-0005-0000-0000-00009E740000}"/>
    <cellStyle name="Normal 3 3 15 19 3" xfId="29864" xr:uid="{00000000-0005-0000-0000-00009F740000}"/>
    <cellStyle name="Normal 3 3 15 2" xfId="29865" xr:uid="{00000000-0005-0000-0000-0000A0740000}"/>
    <cellStyle name="Normal 3 3 15 2 10" xfId="29866" xr:uid="{00000000-0005-0000-0000-0000A1740000}"/>
    <cellStyle name="Normal 3 3 15 2 10 2" xfId="29867" xr:uid="{00000000-0005-0000-0000-0000A2740000}"/>
    <cellStyle name="Normal 3 3 15 2 10 3" xfId="29868" xr:uid="{00000000-0005-0000-0000-0000A3740000}"/>
    <cellStyle name="Normal 3 3 15 2 11" xfId="29869" xr:uid="{00000000-0005-0000-0000-0000A4740000}"/>
    <cellStyle name="Normal 3 3 15 2 11 2" xfId="29870" xr:uid="{00000000-0005-0000-0000-0000A5740000}"/>
    <cellStyle name="Normal 3 3 15 2 11 3" xfId="29871" xr:uid="{00000000-0005-0000-0000-0000A6740000}"/>
    <cellStyle name="Normal 3 3 15 2 12" xfId="29872" xr:uid="{00000000-0005-0000-0000-0000A7740000}"/>
    <cellStyle name="Normal 3 3 15 2 12 2" xfId="29873" xr:uid="{00000000-0005-0000-0000-0000A8740000}"/>
    <cellStyle name="Normal 3 3 15 2 12 3" xfId="29874" xr:uid="{00000000-0005-0000-0000-0000A9740000}"/>
    <cellStyle name="Normal 3 3 15 2 13" xfId="29875" xr:uid="{00000000-0005-0000-0000-0000AA740000}"/>
    <cellStyle name="Normal 3 3 15 2 13 2" xfId="29876" xr:uid="{00000000-0005-0000-0000-0000AB740000}"/>
    <cellStyle name="Normal 3 3 15 2 13 3" xfId="29877" xr:uid="{00000000-0005-0000-0000-0000AC740000}"/>
    <cellStyle name="Normal 3 3 15 2 14" xfId="29878" xr:uid="{00000000-0005-0000-0000-0000AD740000}"/>
    <cellStyle name="Normal 3 3 15 2 14 2" xfId="29879" xr:uid="{00000000-0005-0000-0000-0000AE740000}"/>
    <cellStyle name="Normal 3 3 15 2 14 3" xfId="29880" xr:uid="{00000000-0005-0000-0000-0000AF740000}"/>
    <cellStyle name="Normal 3 3 15 2 15" xfId="29881" xr:uid="{00000000-0005-0000-0000-0000B0740000}"/>
    <cellStyle name="Normal 3 3 15 2 15 2" xfId="29882" xr:uid="{00000000-0005-0000-0000-0000B1740000}"/>
    <cellStyle name="Normal 3 3 15 2 15 3" xfId="29883" xr:uid="{00000000-0005-0000-0000-0000B2740000}"/>
    <cellStyle name="Normal 3 3 15 2 16" xfId="29884" xr:uid="{00000000-0005-0000-0000-0000B3740000}"/>
    <cellStyle name="Normal 3 3 15 2 17" xfId="29885" xr:uid="{00000000-0005-0000-0000-0000B4740000}"/>
    <cellStyle name="Normal 3 3 15 2 2" xfId="29886" xr:uid="{00000000-0005-0000-0000-0000B5740000}"/>
    <cellStyle name="Normal 3 3 15 2 2 10" xfId="29887" xr:uid="{00000000-0005-0000-0000-0000B6740000}"/>
    <cellStyle name="Normal 3 3 15 2 2 10 2" xfId="29888" xr:uid="{00000000-0005-0000-0000-0000B7740000}"/>
    <cellStyle name="Normal 3 3 15 2 2 10 3" xfId="29889" xr:uid="{00000000-0005-0000-0000-0000B8740000}"/>
    <cellStyle name="Normal 3 3 15 2 2 11" xfId="29890" xr:uid="{00000000-0005-0000-0000-0000B9740000}"/>
    <cellStyle name="Normal 3 3 15 2 2 11 2" xfId="29891" xr:uid="{00000000-0005-0000-0000-0000BA740000}"/>
    <cellStyle name="Normal 3 3 15 2 2 11 3" xfId="29892" xr:uid="{00000000-0005-0000-0000-0000BB740000}"/>
    <cellStyle name="Normal 3 3 15 2 2 12" xfId="29893" xr:uid="{00000000-0005-0000-0000-0000BC740000}"/>
    <cellStyle name="Normal 3 3 15 2 2 12 2" xfId="29894" xr:uid="{00000000-0005-0000-0000-0000BD740000}"/>
    <cellStyle name="Normal 3 3 15 2 2 12 3" xfId="29895" xr:uid="{00000000-0005-0000-0000-0000BE740000}"/>
    <cellStyle name="Normal 3 3 15 2 2 13" xfId="29896" xr:uid="{00000000-0005-0000-0000-0000BF740000}"/>
    <cellStyle name="Normal 3 3 15 2 2 13 2" xfId="29897" xr:uid="{00000000-0005-0000-0000-0000C0740000}"/>
    <cellStyle name="Normal 3 3 15 2 2 13 3" xfId="29898" xr:uid="{00000000-0005-0000-0000-0000C1740000}"/>
    <cellStyle name="Normal 3 3 15 2 2 14" xfId="29899" xr:uid="{00000000-0005-0000-0000-0000C2740000}"/>
    <cellStyle name="Normal 3 3 15 2 2 14 2" xfId="29900" xr:uid="{00000000-0005-0000-0000-0000C3740000}"/>
    <cellStyle name="Normal 3 3 15 2 2 14 3" xfId="29901" xr:uid="{00000000-0005-0000-0000-0000C4740000}"/>
    <cellStyle name="Normal 3 3 15 2 2 15" xfId="29902" xr:uid="{00000000-0005-0000-0000-0000C5740000}"/>
    <cellStyle name="Normal 3 3 15 2 2 16" xfId="29903" xr:uid="{00000000-0005-0000-0000-0000C6740000}"/>
    <cellStyle name="Normal 3 3 15 2 2 2" xfId="29904" xr:uid="{00000000-0005-0000-0000-0000C7740000}"/>
    <cellStyle name="Normal 3 3 15 2 2 2 2" xfId="29905" xr:uid="{00000000-0005-0000-0000-0000C8740000}"/>
    <cellStyle name="Normal 3 3 15 2 2 2 3" xfId="29906" xr:uid="{00000000-0005-0000-0000-0000C9740000}"/>
    <cellStyle name="Normal 3 3 15 2 2 3" xfId="29907" xr:uid="{00000000-0005-0000-0000-0000CA740000}"/>
    <cellStyle name="Normal 3 3 15 2 2 3 2" xfId="29908" xr:uid="{00000000-0005-0000-0000-0000CB740000}"/>
    <cellStyle name="Normal 3 3 15 2 2 3 3" xfId="29909" xr:uid="{00000000-0005-0000-0000-0000CC740000}"/>
    <cellStyle name="Normal 3 3 15 2 2 4" xfId="29910" xr:uid="{00000000-0005-0000-0000-0000CD740000}"/>
    <cellStyle name="Normal 3 3 15 2 2 4 2" xfId="29911" xr:uid="{00000000-0005-0000-0000-0000CE740000}"/>
    <cellStyle name="Normal 3 3 15 2 2 4 3" xfId="29912" xr:uid="{00000000-0005-0000-0000-0000CF740000}"/>
    <cellStyle name="Normal 3 3 15 2 2 5" xfId="29913" xr:uid="{00000000-0005-0000-0000-0000D0740000}"/>
    <cellStyle name="Normal 3 3 15 2 2 5 2" xfId="29914" xr:uid="{00000000-0005-0000-0000-0000D1740000}"/>
    <cellStyle name="Normal 3 3 15 2 2 5 3" xfId="29915" xr:uid="{00000000-0005-0000-0000-0000D2740000}"/>
    <cellStyle name="Normal 3 3 15 2 2 6" xfId="29916" xr:uid="{00000000-0005-0000-0000-0000D3740000}"/>
    <cellStyle name="Normal 3 3 15 2 2 6 2" xfId="29917" xr:uid="{00000000-0005-0000-0000-0000D4740000}"/>
    <cellStyle name="Normal 3 3 15 2 2 6 3" xfId="29918" xr:uid="{00000000-0005-0000-0000-0000D5740000}"/>
    <cellStyle name="Normal 3 3 15 2 2 7" xfId="29919" xr:uid="{00000000-0005-0000-0000-0000D6740000}"/>
    <cellStyle name="Normal 3 3 15 2 2 7 2" xfId="29920" xr:uid="{00000000-0005-0000-0000-0000D7740000}"/>
    <cellStyle name="Normal 3 3 15 2 2 7 3" xfId="29921" xr:uid="{00000000-0005-0000-0000-0000D8740000}"/>
    <cellStyle name="Normal 3 3 15 2 2 8" xfId="29922" xr:uid="{00000000-0005-0000-0000-0000D9740000}"/>
    <cellStyle name="Normal 3 3 15 2 2 8 2" xfId="29923" xr:uid="{00000000-0005-0000-0000-0000DA740000}"/>
    <cellStyle name="Normal 3 3 15 2 2 8 3" xfId="29924" xr:uid="{00000000-0005-0000-0000-0000DB740000}"/>
    <cellStyle name="Normal 3 3 15 2 2 9" xfId="29925" xr:uid="{00000000-0005-0000-0000-0000DC740000}"/>
    <cellStyle name="Normal 3 3 15 2 2 9 2" xfId="29926" xr:uid="{00000000-0005-0000-0000-0000DD740000}"/>
    <cellStyle name="Normal 3 3 15 2 2 9 3" xfId="29927" xr:uid="{00000000-0005-0000-0000-0000DE740000}"/>
    <cellStyle name="Normal 3 3 15 2 3" xfId="29928" xr:uid="{00000000-0005-0000-0000-0000DF740000}"/>
    <cellStyle name="Normal 3 3 15 2 3 2" xfId="29929" xr:uid="{00000000-0005-0000-0000-0000E0740000}"/>
    <cellStyle name="Normal 3 3 15 2 3 3" xfId="29930" xr:uid="{00000000-0005-0000-0000-0000E1740000}"/>
    <cellStyle name="Normal 3 3 15 2 4" xfId="29931" xr:uid="{00000000-0005-0000-0000-0000E2740000}"/>
    <cellStyle name="Normal 3 3 15 2 4 2" xfId="29932" xr:uid="{00000000-0005-0000-0000-0000E3740000}"/>
    <cellStyle name="Normal 3 3 15 2 4 3" xfId="29933" xr:uid="{00000000-0005-0000-0000-0000E4740000}"/>
    <cellStyle name="Normal 3 3 15 2 5" xfId="29934" xr:uid="{00000000-0005-0000-0000-0000E5740000}"/>
    <cellStyle name="Normal 3 3 15 2 5 2" xfId="29935" xr:uid="{00000000-0005-0000-0000-0000E6740000}"/>
    <cellStyle name="Normal 3 3 15 2 5 3" xfId="29936" xr:uid="{00000000-0005-0000-0000-0000E7740000}"/>
    <cellStyle name="Normal 3 3 15 2 6" xfId="29937" xr:uid="{00000000-0005-0000-0000-0000E8740000}"/>
    <cellStyle name="Normal 3 3 15 2 6 2" xfId="29938" xr:uid="{00000000-0005-0000-0000-0000E9740000}"/>
    <cellStyle name="Normal 3 3 15 2 6 3" xfId="29939" xr:uid="{00000000-0005-0000-0000-0000EA740000}"/>
    <cellStyle name="Normal 3 3 15 2 7" xfId="29940" xr:uid="{00000000-0005-0000-0000-0000EB740000}"/>
    <cellStyle name="Normal 3 3 15 2 7 2" xfId="29941" xr:uid="{00000000-0005-0000-0000-0000EC740000}"/>
    <cellStyle name="Normal 3 3 15 2 7 3" xfId="29942" xr:uid="{00000000-0005-0000-0000-0000ED740000}"/>
    <cellStyle name="Normal 3 3 15 2 8" xfId="29943" xr:uid="{00000000-0005-0000-0000-0000EE740000}"/>
    <cellStyle name="Normal 3 3 15 2 8 2" xfId="29944" xr:uid="{00000000-0005-0000-0000-0000EF740000}"/>
    <cellStyle name="Normal 3 3 15 2 8 3" xfId="29945" xr:uid="{00000000-0005-0000-0000-0000F0740000}"/>
    <cellStyle name="Normal 3 3 15 2 9" xfId="29946" xr:uid="{00000000-0005-0000-0000-0000F1740000}"/>
    <cellStyle name="Normal 3 3 15 2 9 2" xfId="29947" xr:uid="{00000000-0005-0000-0000-0000F2740000}"/>
    <cellStyle name="Normal 3 3 15 2 9 3" xfId="29948" xr:uid="{00000000-0005-0000-0000-0000F3740000}"/>
    <cellStyle name="Normal 3 3 15 20" xfId="29949" xr:uid="{00000000-0005-0000-0000-0000F4740000}"/>
    <cellStyle name="Normal 3 3 15 20 2" xfId="29950" xr:uid="{00000000-0005-0000-0000-0000F5740000}"/>
    <cellStyle name="Normal 3 3 15 20 3" xfId="29951" xr:uid="{00000000-0005-0000-0000-0000F6740000}"/>
    <cellStyle name="Normal 3 3 15 21" xfId="29952" xr:uid="{00000000-0005-0000-0000-0000F7740000}"/>
    <cellStyle name="Normal 3 3 15 21 2" xfId="29953" xr:uid="{00000000-0005-0000-0000-0000F8740000}"/>
    <cellStyle name="Normal 3 3 15 21 3" xfId="29954" xr:uid="{00000000-0005-0000-0000-0000F9740000}"/>
    <cellStyle name="Normal 3 3 15 22" xfId="29955" xr:uid="{00000000-0005-0000-0000-0000FA740000}"/>
    <cellStyle name="Normal 3 3 15 22 2" xfId="29956" xr:uid="{00000000-0005-0000-0000-0000FB740000}"/>
    <cellStyle name="Normal 3 3 15 22 3" xfId="29957" xr:uid="{00000000-0005-0000-0000-0000FC740000}"/>
    <cellStyle name="Normal 3 3 15 23" xfId="29958" xr:uid="{00000000-0005-0000-0000-0000FD740000}"/>
    <cellStyle name="Normal 3 3 15 23 2" xfId="29959" xr:uid="{00000000-0005-0000-0000-0000FE740000}"/>
    <cellStyle name="Normal 3 3 15 23 3" xfId="29960" xr:uid="{00000000-0005-0000-0000-0000FF740000}"/>
    <cellStyle name="Normal 3 3 15 24" xfId="29961" xr:uid="{00000000-0005-0000-0000-000000750000}"/>
    <cellStyle name="Normal 3 3 15 25" xfId="29962" xr:uid="{00000000-0005-0000-0000-000001750000}"/>
    <cellStyle name="Normal 3 3 15 3" xfId="29963" xr:uid="{00000000-0005-0000-0000-000002750000}"/>
    <cellStyle name="Normal 3 3 15 3 10" xfId="29964" xr:uid="{00000000-0005-0000-0000-000003750000}"/>
    <cellStyle name="Normal 3 3 15 3 10 2" xfId="29965" xr:uid="{00000000-0005-0000-0000-000004750000}"/>
    <cellStyle name="Normal 3 3 15 3 10 3" xfId="29966" xr:uid="{00000000-0005-0000-0000-000005750000}"/>
    <cellStyle name="Normal 3 3 15 3 11" xfId="29967" xr:uid="{00000000-0005-0000-0000-000006750000}"/>
    <cellStyle name="Normal 3 3 15 3 11 2" xfId="29968" xr:uid="{00000000-0005-0000-0000-000007750000}"/>
    <cellStyle name="Normal 3 3 15 3 11 3" xfId="29969" xr:uid="{00000000-0005-0000-0000-000008750000}"/>
    <cellStyle name="Normal 3 3 15 3 12" xfId="29970" xr:uid="{00000000-0005-0000-0000-000009750000}"/>
    <cellStyle name="Normal 3 3 15 3 12 2" xfId="29971" xr:uid="{00000000-0005-0000-0000-00000A750000}"/>
    <cellStyle name="Normal 3 3 15 3 12 3" xfId="29972" xr:uid="{00000000-0005-0000-0000-00000B750000}"/>
    <cellStyle name="Normal 3 3 15 3 13" xfId="29973" xr:uid="{00000000-0005-0000-0000-00000C750000}"/>
    <cellStyle name="Normal 3 3 15 3 13 2" xfId="29974" xr:uid="{00000000-0005-0000-0000-00000D750000}"/>
    <cellStyle name="Normal 3 3 15 3 13 3" xfId="29975" xr:uid="{00000000-0005-0000-0000-00000E750000}"/>
    <cellStyle name="Normal 3 3 15 3 14" xfId="29976" xr:uid="{00000000-0005-0000-0000-00000F750000}"/>
    <cellStyle name="Normal 3 3 15 3 14 2" xfId="29977" xr:uid="{00000000-0005-0000-0000-000010750000}"/>
    <cellStyle name="Normal 3 3 15 3 14 3" xfId="29978" xr:uid="{00000000-0005-0000-0000-000011750000}"/>
    <cellStyle name="Normal 3 3 15 3 15" xfId="29979" xr:uid="{00000000-0005-0000-0000-000012750000}"/>
    <cellStyle name="Normal 3 3 15 3 15 2" xfId="29980" xr:uid="{00000000-0005-0000-0000-000013750000}"/>
    <cellStyle name="Normal 3 3 15 3 15 3" xfId="29981" xr:uid="{00000000-0005-0000-0000-000014750000}"/>
    <cellStyle name="Normal 3 3 15 3 16" xfId="29982" xr:uid="{00000000-0005-0000-0000-000015750000}"/>
    <cellStyle name="Normal 3 3 15 3 17" xfId="29983" xr:uid="{00000000-0005-0000-0000-000016750000}"/>
    <cellStyle name="Normal 3 3 15 3 2" xfId="29984" xr:uid="{00000000-0005-0000-0000-000017750000}"/>
    <cellStyle name="Normal 3 3 15 3 2 10" xfId="29985" xr:uid="{00000000-0005-0000-0000-000018750000}"/>
    <cellStyle name="Normal 3 3 15 3 2 10 2" xfId="29986" xr:uid="{00000000-0005-0000-0000-000019750000}"/>
    <cellStyle name="Normal 3 3 15 3 2 10 3" xfId="29987" xr:uid="{00000000-0005-0000-0000-00001A750000}"/>
    <cellStyle name="Normal 3 3 15 3 2 11" xfId="29988" xr:uid="{00000000-0005-0000-0000-00001B750000}"/>
    <cellStyle name="Normal 3 3 15 3 2 11 2" xfId="29989" xr:uid="{00000000-0005-0000-0000-00001C750000}"/>
    <cellStyle name="Normal 3 3 15 3 2 11 3" xfId="29990" xr:uid="{00000000-0005-0000-0000-00001D750000}"/>
    <cellStyle name="Normal 3 3 15 3 2 12" xfId="29991" xr:uid="{00000000-0005-0000-0000-00001E750000}"/>
    <cellStyle name="Normal 3 3 15 3 2 12 2" xfId="29992" xr:uid="{00000000-0005-0000-0000-00001F750000}"/>
    <cellStyle name="Normal 3 3 15 3 2 12 3" xfId="29993" xr:uid="{00000000-0005-0000-0000-000020750000}"/>
    <cellStyle name="Normal 3 3 15 3 2 13" xfId="29994" xr:uid="{00000000-0005-0000-0000-000021750000}"/>
    <cellStyle name="Normal 3 3 15 3 2 13 2" xfId="29995" xr:uid="{00000000-0005-0000-0000-000022750000}"/>
    <cellStyle name="Normal 3 3 15 3 2 13 3" xfId="29996" xr:uid="{00000000-0005-0000-0000-000023750000}"/>
    <cellStyle name="Normal 3 3 15 3 2 14" xfId="29997" xr:uid="{00000000-0005-0000-0000-000024750000}"/>
    <cellStyle name="Normal 3 3 15 3 2 14 2" xfId="29998" xr:uid="{00000000-0005-0000-0000-000025750000}"/>
    <cellStyle name="Normal 3 3 15 3 2 14 3" xfId="29999" xr:uid="{00000000-0005-0000-0000-000026750000}"/>
    <cellStyle name="Normal 3 3 15 3 2 15" xfId="30000" xr:uid="{00000000-0005-0000-0000-000027750000}"/>
    <cellStyle name="Normal 3 3 15 3 2 16" xfId="30001" xr:uid="{00000000-0005-0000-0000-000028750000}"/>
    <cellStyle name="Normal 3 3 15 3 2 2" xfId="30002" xr:uid="{00000000-0005-0000-0000-000029750000}"/>
    <cellStyle name="Normal 3 3 15 3 2 2 2" xfId="30003" xr:uid="{00000000-0005-0000-0000-00002A750000}"/>
    <cellStyle name="Normal 3 3 15 3 2 2 3" xfId="30004" xr:uid="{00000000-0005-0000-0000-00002B750000}"/>
    <cellStyle name="Normal 3 3 15 3 2 3" xfId="30005" xr:uid="{00000000-0005-0000-0000-00002C750000}"/>
    <cellStyle name="Normal 3 3 15 3 2 3 2" xfId="30006" xr:uid="{00000000-0005-0000-0000-00002D750000}"/>
    <cellStyle name="Normal 3 3 15 3 2 3 3" xfId="30007" xr:uid="{00000000-0005-0000-0000-00002E750000}"/>
    <cellStyle name="Normal 3 3 15 3 2 4" xfId="30008" xr:uid="{00000000-0005-0000-0000-00002F750000}"/>
    <cellStyle name="Normal 3 3 15 3 2 4 2" xfId="30009" xr:uid="{00000000-0005-0000-0000-000030750000}"/>
    <cellStyle name="Normal 3 3 15 3 2 4 3" xfId="30010" xr:uid="{00000000-0005-0000-0000-000031750000}"/>
    <cellStyle name="Normal 3 3 15 3 2 5" xfId="30011" xr:uid="{00000000-0005-0000-0000-000032750000}"/>
    <cellStyle name="Normal 3 3 15 3 2 5 2" xfId="30012" xr:uid="{00000000-0005-0000-0000-000033750000}"/>
    <cellStyle name="Normal 3 3 15 3 2 5 3" xfId="30013" xr:uid="{00000000-0005-0000-0000-000034750000}"/>
    <cellStyle name="Normal 3 3 15 3 2 6" xfId="30014" xr:uid="{00000000-0005-0000-0000-000035750000}"/>
    <cellStyle name="Normal 3 3 15 3 2 6 2" xfId="30015" xr:uid="{00000000-0005-0000-0000-000036750000}"/>
    <cellStyle name="Normal 3 3 15 3 2 6 3" xfId="30016" xr:uid="{00000000-0005-0000-0000-000037750000}"/>
    <cellStyle name="Normal 3 3 15 3 2 7" xfId="30017" xr:uid="{00000000-0005-0000-0000-000038750000}"/>
    <cellStyle name="Normal 3 3 15 3 2 7 2" xfId="30018" xr:uid="{00000000-0005-0000-0000-000039750000}"/>
    <cellStyle name="Normal 3 3 15 3 2 7 3" xfId="30019" xr:uid="{00000000-0005-0000-0000-00003A750000}"/>
    <cellStyle name="Normal 3 3 15 3 2 8" xfId="30020" xr:uid="{00000000-0005-0000-0000-00003B750000}"/>
    <cellStyle name="Normal 3 3 15 3 2 8 2" xfId="30021" xr:uid="{00000000-0005-0000-0000-00003C750000}"/>
    <cellStyle name="Normal 3 3 15 3 2 8 3" xfId="30022" xr:uid="{00000000-0005-0000-0000-00003D750000}"/>
    <cellStyle name="Normal 3 3 15 3 2 9" xfId="30023" xr:uid="{00000000-0005-0000-0000-00003E750000}"/>
    <cellStyle name="Normal 3 3 15 3 2 9 2" xfId="30024" xr:uid="{00000000-0005-0000-0000-00003F750000}"/>
    <cellStyle name="Normal 3 3 15 3 2 9 3" xfId="30025" xr:uid="{00000000-0005-0000-0000-000040750000}"/>
    <cellStyle name="Normal 3 3 15 3 3" xfId="30026" xr:uid="{00000000-0005-0000-0000-000041750000}"/>
    <cellStyle name="Normal 3 3 15 3 3 2" xfId="30027" xr:uid="{00000000-0005-0000-0000-000042750000}"/>
    <cellStyle name="Normal 3 3 15 3 3 3" xfId="30028" xr:uid="{00000000-0005-0000-0000-000043750000}"/>
    <cellStyle name="Normal 3 3 15 3 4" xfId="30029" xr:uid="{00000000-0005-0000-0000-000044750000}"/>
    <cellStyle name="Normal 3 3 15 3 4 2" xfId="30030" xr:uid="{00000000-0005-0000-0000-000045750000}"/>
    <cellStyle name="Normal 3 3 15 3 4 3" xfId="30031" xr:uid="{00000000-0005-0000-0000-000046750000}"/>
    <cellStyle name="Normal 3 3 15 3 5" xfId="30032" xr:uid="{00000000-0005-0000-0000-000047750000}"/>
    <cellStyle name="Normal 3 3 15 3 5 2" xfId="30033" xr:uid="{00000000-0005-0000-0000-000048750000}"/>
    <cellStyle name="Normal 3 3 15 3 5 3" xfId="30034" xr:uid="{00000000-0005-0000-0000-000049750000}"/>
    <cellStyle name="Normal 3 3 15 3 6" xfId="30035" xr:uid="{00000000-0005-0000-0000-00004A750000}"/>
    <cellStyle name="Normal 3 3 15 3 6 2" xfId="30036" xr:uid="{00000000-0005-0000-0000-00004B750000}"/>
    <cellStyle name="Normal 3 3 15 3 6 3" xfId="30037" xr:uid="{00000000-0005-0000-0000-00004C750000}"/>
    <cellStyle name="Normal 3 3 15 3 7" xfId="30038" xr:uid="{00000000-0005-0000-0000-00004D750000}"/>
    <cellStyle name="Normal 3 3 15 3 7 2" xfId="30039" xr:uid="{00000000-0005-0000-0000-00004E750000}"/>
    <cellStyle name="Normal 3 3 15 3 7 3" xfId="30040" xr:uid="{00000000-0005-0000-0000-00004F750000}"/>
    <cellStyle name="Normal 3 3 15 3 8" xfId="30041" xr:uid="{00000000-0005-0000-0000-000050750000}"/>
    <cellStyle name="Normal 3 3 15 3 8 2" xfId="30042" xr:uid="{00000000-0005-0000-0000-000051750000}"/>
    <cellStyle name="Normal 3 3 15 3 8 3" xfId="30043" xr:uid="{00000000-0005-0000-0000-000052750000}"/>
    <cellStyle name="Normal 3 3 15 3 9" xfId="30044" xr:uid="{00000000-0005-0000-0000-000053750000}"/>
    <cellStyle name="Normal 3 3 15 3 9 2" xfId="30045" xr:uid="{00000000-0005-0000-0000-000054750000}"/>
    <cellStyle name="Normal 3 3 15 3 9 3" xfId="30046" xr:uid="{00000000-0005-0000-0000-000055750000}"/>
    <cellStyle name="Normal 3 3 15 4" xfId="30047" xr:uid="{00000000-0005-0000-0000-000056750000}"/>
    <cellStyle name="Normal 3 3 15 4 10" xfId="30048" xr:uid="{00000000-0005-0000-0000-000057750000}"/>
    <cellStyle name="Normal 3 3 15 4 10 2" xfId="30049" xr:uid="{00000000-0005-0000-0000-000058750000}"/>
    <cellStyle name="Normal 3 3 15 4 10 3" xfId="30050" xr:uid="{00000000-0005-0000-0000-000059750000}"/>
    <cellStyle name="Normal 3 3 15 4 11" xfId="30051" xr:uid="{00000000-0005-0000-0000-00005A750000}"/>
    <cellStyle name="Normal 3 3 15 4 11 2" xfId="30052" xr:uid="{00000000-0005-0000-0000-00005B750000}"/>
    <cellStyle name="Normal 3 3 15 4 11 3" xfId="30053" xr:uid="{00000000-0005-0000-0000-00005C750000}"/>
    <cellStyle name="Normal 3 3 15 4 12" xfId="30054" xr:uid="{00000000-0005-0000-0000-00005D750000}"/>
    <cellStyle name="Normal 3 3 15 4 12 2" xfId="30055" xr:uid="{00000000-0005-0000-0000-00005E750000}"/>
    <cellStyle name="Normal 3 3 15 4 12 3" xfId="30056" xr:uid="{00000000-0005-0000-0000-00005F750000}"/>
    <cellStyle name="Normal 3 3 15 4 13" xfId="30057" xr:uid="{00000000-0005-0000-0000-000060750000}"/>
    <cellStyle name="Normal 3 3 15 4 13 2" xfId="30058" xr:uid="{00000000-0005-0000-0000-000061750000}"/>
    <cellStyle name="Normal 3 3 15 4 13 3" xfId="30059" xr:uid="{00000000-0005-0000-0000-000062750000}"/>
    <cellStyle name="Normal 3 3 15 4 14" xfId="30060" xr:uid="{00000000-0005-0000-0000-000063750000}"/>
    <cellStyle name="Normal 3 3 15 4 14 2" xfId="30061" xr:uid="{00000000-0005-0000-0000-000064750000}"/>
    <cellStyle name="Normal 3 3 15 4 14 3" xfId="30062" xr:uid="{00000000-0005-0000-0000-000065750000}"/>
    <cellStyle name="Normal 3 3 15 4 15" xfId="30063" xr:uid="{00000000-0005-0000-0000-000066750000}"/>
    <cellStyle name="Normal 3 3 15 4 15 2" xfId="30064" xr:uid="{00000000-0005-0000-0000-000067750000}"/>
    <cellStyle name="Normal 3 3 15 4 15 3" xfId="30065" xr:uid="{00000000-0005-0000-0000-000068750000}"/>
    <cellStyle name="Normal 3 3 15 4 16" xfId="30066" xr:uid="{00000000-0005-0000-0000-000069750000}"/>
    <cellStyle name="Normal 3 3 15 4 17" xfId="30067" xr:uid="{00000000-0005-0000-0000-00006A750000}"/>
    <cellStyle name="Normal 3 3 15 4 2" xfId="30068" xr:uid="{00000000-0005-0000-0000-00006B750000}"/>
    <cellStyle name="Normal 3 3 15 4 2 10" xfId="30069" xr:uid="{00000000-0005-0000-0000-00006C750000}"/>
    <cellStyle name="Normal 3 3 15 4 2 10 2" xfId="30070" xr:uid="{00000000-0005-0000-0000-00006D750000}"/>
    <cellStyle name="Normal 3 3 15 4 2 10 3" xfId="30071" xr:uid="{00000000-0005-0000-0000-00006E750000}"/>
    <cellStyle name="Normal 3 3 15 4 2 11" xfId="30072" xr:uid="{00000000-0005-0000-0000-00006F750000}"/>
    <cellStyle name="Normal 3 3 15 4 2 11 2" xfId="30073" xr:uid="{00000000-0005-0000-0000-000070750000}"/>
    <cellStyle name="Normal 3 3 15 4 2 11 3" xfId="30074" xr:uid="{00000000-0005-0000-0000-000071750000}"/>
    <cellStyle name="Normal 3 3 15 4 2 12" xfId="30075" xr:uid="{00000000-0005-0000-0000-000072750000}"/>
    <cellStyle name="Normal 3 3 15 4 2 12 2" xfId="30076" xr:uid="{00000000-0005-0000-0000-000073750000}"/>
    <cellStyle name="Normal 3 3 15 4 2 12 3" xfId="30077" xr:uid="{00000000-0005-0000-0000-000074750000}"/>
    <cellStyle name="Normal 3 3 15 4 2 13" xfId="30078" xr:uid="{00000000-0005-0000-0000-000075750000}"/>
    <cellStyle name="Normal 3 3 15 4 2 13 2" xfId="30079" xr:uid="{00000000-0005-0000-0000-000076750000}"/>
    <cellStyle name="Normal 3 3 15 4 2 13 3" xfId="30080" xr:uid="{00000000-0005-0000-0000-000077750000}"/>
    <cellStyle name="Normal 3 3 15 4 2 14" xfId="30081" xr:uid="{00000000-0005-0000-0000-000078750000}"/>
    <cellStyle name="Normal 3 3 15 4 2 14 2" xfId="30082" xr:uid="{00000000-0005-0000-0000-000079750000}"/>
    <cellStyle name="Normal 3 3 15 4 2 14 3" xfId="30083" xr:uid="{00000000-0005-0000-0000-00007A750000}"/>
    <cellStyle name="Normal 3 3 15 4 2 15" xfId="30084" xr:uid="{00000000-0005-0000-0000-00007B750000}"/>
    <cellStyle name="Normal 3 3 15 4 2 16" xfId="30085" xr:uid="{00000000-0005-0000-0000-00007C750000}"/>
    <cellStyle name="Normal 3 3 15 4 2 2" xfId="30086" xr:uid="{00000000-0005-0000-0000-00007D750000}"/>
    <cellStyle name="Normal 3 3 15 4 2 2 2" xfId="30087" xr:uid="{00000000-0005-0000-0000-00007E750000}"/>
    <cellStyle name="Normal 3 3 15 4 2 2 3" xfId="30088" xr:uid="{00000000-0005-0000-0000-00007F750000}"/>
    <cellStyle name="Normal 3 3 15 4 2 3" xfId="30089" xr:uid="{00000000-0005-0000-0000-000080750000}"/>
    <cellStyle name="Normal 3 3 15 4 2 3 2" xfId="30090" xr:uid="{00000000-0005-0000-0000-000081750000}"/>
    <cellStyle name="Normal 3 3 15 4 2 3 3" xfId="30091" xr:uid="{00000000-0005-0000-0000-000082750000}"/>
    <cellStyle name="Normal 3 3 15 4 2 4" xfId="30092" xr:uid="{00000000-0005-0000-0000-000083750000}"/>
    <cellStyle name="Normal 3 3 15 4 2 4 2" xfId="30093" xr:uid="{00000000-0005-0000-0000-000084750000}"/>
    <cellStyle name="Normal 3 3 15 4 2 4 3" xfId="30094" xr:uid="{00000000-0005-0000-0000-000085750000}"/>
    <cellStyle name="Normal 3 3 15 4 2 5" xfId="30095" xr:uid="{00000000-0005-0000-0000-000086750000}"/>
    <cellStyle name="Normal 3 3 15 4 2 5 2" xfId="30096" xr:uid="{00000000-0005-0000-0000-000087750000}"/>
    <cellStyle name="Normal 3 3 15 4 2 5 3" xfId="30097" xr:uid="{00000000-0005-0000-0000-000088750000}"/>
    <cellStyle name="Normal 3 3 15 4 2 6" xfId="30098" xr:uid="{00000000-0005-0000-0000-000089750000}"/>
    <cellStyle name="Normal 3 3 15 4 2 6 2" xfId="30099" xr:uid="{00000000-0005-0000-0000-00008A750000}"/>
    <cellStyle name="Normal 3 3 15 4 2 6 3" xfId="30100" xr:uid="{00000000-0005-0000-0000-00008B750000}"/>
    <cellStyle name="Normal 3 3 15 4 2 7" xfId="30101" xr:uid="{00000000-0005-0000-0000-00008C750000}"/>
    <cellStyle name="Normal 3 3 15 4 2 7 2" xfId="30102" xr:uid="{00000000-0005-0000-0000-00008D750000}"/>
    <cellStyle name="Normal 3 3 15 4 2 7 3" xfId="30103" xr:uid="{00000000-0005-0000-0000-00008E750000}"/>
    <cellStyle name="Normal 3 3 15 4 2 8" xfId="30104" xr:uid="{00000000-0005-0000-0000-00008F750000}"/>
    <cellStyle name="Normal 3 3 15 4 2 8 2" xfId="30105" xr:uid="{00000000-0005-0000-0000-000090750000}"/>
    <cellStyle name="Normal 3 3 15 4 2 8 3" xfId="30106" xr:uid="{00000000-0005-0000-0000-000091750000}"/>
    <cellStyle name="Normal 3 3 15 4 2 9" xfId="30107" xr:uid="{00000000-0005-0000-0000-000092750000}"/>
    <cellStyle name="Normal 3 3 15 4 2 9 2" xfId="30108" xr:uid="{00000000-0005-0000-0000-000093750000}"/>
    <cellStyle name="Normal 3 3 15 4 2 9 3" xfId="30109" xr:uid="{00000000-0005-0000-0000-000094750000}"/>
    <cellStyle name="Normal 3 3 15 4 3" xfId="30110" xr:uid="{00000000-0005-0000-0000-000095750000}"/>
    <cellStyle name="Normal 3 3 15 4 3 2" xfId="30111" xr:uid="{00000000-0005-0000-0000-000096750000}"/>
    <cellStyle name="Normal 3 3 15 4 3 3" xfId="30112" xr:uid="{00000000-0005-0000-0000-000097750000}"/>
    <cellStyle name="Normal 3 3 15 4 4" xfId="30113" xr:uid="{00000000-0005-0000-0000-000098750000}"/>
    <cellStyle name="Normal 3 3 15 4 4 2" xfId="30114" xr:uid="{00000000-0005-0000-0000-000099750000}"/>
    <cellStyle name="Normal 3 3 15 4 4 3" xfId="30115" xr:uid="{00000000-0005-0000-0000-00009A750000}"/>
    <cellStyle name="Normal 3 3 15 4 5" xfId="30116" xr:uid="{00000000-0005-0000-0000-00009B750000}"/>
    <cellStyle name="Normal 3 3 15 4 5 2" xfId="30117" xr:uid="{00000000-0005-0000-0000-00009C750000}"/>
    <cellStyle name="Normal 3 3 15 4 5 3" xfId="30118" xr:uid="{00000000-0005-0000-0000-00009D750000}"/>
    <cellStyle name="Normal 3 3 15 4 6" xfId="30119" xr:uid="{00000000-0005-0000-0000-00009E750000}"/>
    <cellStyle name="Normal 3 3 15 4 6 2" xfId="30120" xr:uid="{00000000-0005-0000-0000-00009F750000}"/>
    <cellStyle name="Normal 3 3 15 4 6 3" xfId="30121" xr:uid="{00000000-0005-0000-0000-0000A0750000}"/>
    <cellStyle name="Normal 3 3 15 4 7" xfId="30122" xr:uid="{00000000-0005-0000-0000-0000A1750000}"/>
    <cellStyle name="Normal 3 3 15 4 7 2" xfId="30123" xr:uid="{00000000-0005-0000-0000-0000A2750000}"/>
    <cellStyle name="Normal 3 3 15 4 7 3" xfId="30124" xr:uid="{00000000-0005-0000-0000-0000A3750000}"/>
    <cellStyle name="Normal 3 3 15 4 8" xfId="30125" xr:uid="{00000000-0005-0000-0000-0000A4750000}"/>
    <cellStyle name="Normal 3 3 15 4 8 2" xfId="30126" xr:uid="{00000000-0005-0000-0000-0000A5750000}"/>
    <cellStyle name="Normal 3 3 15 4 8 3" xfId="30127" xr:uid="{00000000-0005-0000-0000-0000A6750000}"/>
    <cellStyle name="Normal 3 3 15 4 9" xfId="30128" xr:uid="{00000000-0005-0000-0000-0000A7750000}"/>
    <cellStyle name="Normal 3 3 15 4 9 2" xfId="30129" xr:uid="{00000000-0005-0000-0000-0000A8750000}"/>
    <cellStyle name="Normal 3 3 15 4 9 3" xfId="30130" xr:uid="{00000000-0005-0000-0000-0000A9750000}"/>
    <cellStyle name="Normal 3 3 15 5" xfId="30131" xr:uid="{00000000-0005-0000-0000-0000AA750000}"/>
    <cellStyle name="Normal 3 3 15 5 10" xfId="30132" xr:uid="{00000000-0005-0000-0000-0000AB750000}"/>
    <cellStyle name="Normal 3 3 15 5 10 2" xfId="30133" xr:uid="{00000000-0005-0000-0000-0000AC750000}"/>
    <cellStyle name="Normal 3 3 15 5 10 3" xfId="30134" xr:uid="{00000000-0005-0000-0000-0000AD750000}"/>
    <cellStyle name="Normal 3 3 15 5 11" xfId="30135" xr:uid="{00000000-0005-0000-0000-0000AE750000}"/>
    <cellStyle name="Normal 3 3 15 5 11 2" xfId="30136" xr:uid="{00000000-0005-0000-0000-0000AF750000}"/>
    <cellStyle name="Normal 3 3 15 5 11 3" xfId="30137" xr:uid="{00000000-0005-0000-0000-0000B0750000}"/>
    <cellStyle name="Normal 3 3 15 5 12" xfId="30138" xr:uid="{00000000-0005-0000-0000-0000B1750000}"/>
    <cellStyle name="Normal 3 3 15 5 12 2" xfId="30139" xr:uid="{00000000-0005-0000-0000-0000B2750000}"/>
    <cellStyle name="Normal 3 3 15 5 12 3" xfId="30140" xr:uid="{00000000-0005-0000-0000-0000B3750000}"/>
    <cellStyle name="Normal 3 3 15 5 13" xfId="30141" xr:uid="{00000000-0005-0000-0000-0000B4750000}"/>
    <cellStyle name="Normal 3 3 15 5 13 2" xfId="30142" xr:uid="{00000000-0005-0000-0000-0000B5750000}"/>
    <cellStyle name="Normal 3 3 15 5 13 3" xfId="30143" xr:uid="{00000000-0005-0000-0000-0000B6750000}"/>
    <cellStyle name="Normal 3 3 15 5 14" xfId="30144" xr:uid="{00000000-0005-0000-0000-0000B7750000}"/>
    <cellStyle name="Normal 3 3 15 5 14 2" xfId="30145" xr:uid="{00000000-0005-0000-0000-0000B8750000}"/>
    <cellStyle name="Normal 3 3 15 5 14 3" xfId="30146" xr:uid="{00000000-0005-0000-0000-0000B9750000}"/>
    <cellStyle name="Normal 3 3 15 5 15" xfId="30147" xr:uid="{00000000-0005-0000-0000-0000BA750000}"/>
    <cellStyle name="Normal 3 3 15 5 16" xfId="30148" xr:uid="{00000000-0005-0000-0000-0000BB750000}"/>
    <cellStyle name="Normal 3 3 15 5 2" xfId="30149" xr:uid="{00000000-0005-0000-0000-0000BC750000}"/>
    <cellStyle name="Normal 3 3 15 5 2 2" xfId="30150" xr:uid="{00000000-0005-0000-0000-0000BD750000}"/>
    <cellStyle name="Normal 3 3 15 5 2 3" xfId="30151" xr:uid="{00000000-0005-0000-0000-0000BE750000}"/>
    <cellStyle name="Normal 3 3 15 5 3" xfId="30152" xr:uid="{00000000-0005-0000-0000-0000BF750000}"/>
    <cellStyle name="Normal 3 3 15 5 3 2" xfId="30153" xr:uid="{00000000-0005-0000-0000-0000C0750000}"/>
    <cellStyle name="Normal 3 3 15 5 3 3" xfId="30154" xr:uid="{00000000-0005-0000-0000-0000C1750000}"/>
    <cellStyle name="Normal 3 3 15 5 4" xfId="30155" xr:uid="{00000000-0005-0000-0000-0000C2750000}"/>
    <cellStyle name="Normal 3 3 15 5 4 2" xfId="30156" xr:uid="{00000000-0005-0000-0000-0000C3750000}"/>
    <cellStyle name="Normal 3 3 15 5 4 3" xfId="30157" xr:uid="{00000000-0005-0000-0000-0000C4750000}"/>
    <cellStyle name="Normal 3 3 15 5 5" xfId="30158" xr:uid="{00000000-0005-0000-0000-0000C5750000}"/>
    <cellStyle name="Normal 3 3 15 5 5 2" xfId="30159" xr:uid="{00000000-0005-0000-0000-0000C6750000}"/>
    <cellStyle name="Normal 3 3 15 5 5 3" xfId="30160" xr:uid="{00000000-0005-0000-0000-0000C7750000}"/>
    <cellStyle name="Normal 3 3 15 5 6" xfId="30161" xr:uid="{00000000-0005-0000-0000-0000C8750000}"/>
    <cellStyle name="Normal 3 3 15 5 6 2" xfId="30162" xr:uid="{00000000-0005-0000-0000-0000C9750000}"/>
    <cellStyle name="Normal 3 3 15 5 6 3" xfId="30163" xr:uid="{00000000-0005-0000-0000-0000CA750000}"/>
    <cellStyle name="Normal 3 3 15 5 7" xfId="30164" xr:uid="{00000000-0005-0000-0000-0000CB750000}"/>
    <cellStyle name="Normal 3 3 15 5 7 2" xfId="30165" xr:uid="{00000000-0005-0000-0000-0000CC750000}"/>
    <cellStyle name="Normal 3 3 15 5 7 3" xfId="30166" xr:uid="{00000000-0005-0000-0000-0000CD750000}"/>
    <cellStyle name="Normal 3 3 15 5 8" xfId="30167" xr:uid="{00000000-0005-0000-0000-0000CE750000}"/>
    <cellStyle name="Normal 3 3 15 5 8 2" xfId="30168" xr:uid="{00000000-0005-0000-0000-0000CF750000}"/>
    <cellStyle name="Normal 3 3 15 5 8 3" xfId="30169" xr:uid="{00000000-0005-0000-0000-0000D0750000}"/>
    <cellStyle name="Normal 3 3 15 5 9" xfId="30170" xr:uid="{00000000-0005-0000-0000-0000D1750000}"/>
    <cellStyle name="Normal 3 3 15 5 9 2" xfId="30171" xr:uid="{00000000-0005-0000-0000-0000D2750000}"/>
    <cellStyle name="Normal 3 3 15 5 9 3" xfId="30172" xr:uid="{00000000-0005-0000-0000-0000D3750000}"/>
    <cellStyle name="Normal 3 3 15 6" xfId="30173" xr:uid="{00000000-0005-0000-0000-0000D4750000}"/>
    <cellStyle name="Normal 3 3 15 6 10" xfId="30174" xr:uid="{00000000-0005-0000-0000-0000D5750000}"/>
    <cellStyle name="Normal 3 3 15 6 10 2" xfId="30175" xr:uid="{00000000-0005-0000-0000-0000D6750000}"/>
    <cellStyle name="Normal 3 3 15 6 10 3" xfId="30176" xr:uid="{00000000-0005-0000-0000-0000D7750000}"/>
    <cellStyle name="Normal 3 3 15 6 11" xfId="30177" xr:uid="{00000000-0005-0000-0000-0000D8750000}"/>
    <cellStyle name="Normal 3 3 15 6 11 2" xfId="30178" xr:uid="{00000000-0005-0000-0000-0000D9750000}"/>
    <cellStyle name="Normal 3 3 15 6 11 3" xfId="30179" xr:uid="{00000000-0005-0000-0000-0000DA750000}"/>
    <cellStyle name="Normal 3 3 15 6 12" xfId="30180" xr:uid="{00000000-0005-0000-0000-0000DB750000}"/>
    <cellStyle name="Normal 3 3 15 6 12 2" xfId="30181" xr:uid="{00000000-0005-0000-0000-0000DC750000}"/>
    <cellStyle name="Normal 3 3 15 6 12 3" xfId="30182" xr:uid="{00000000-0005-0000-0000-0000DD750000}"/>
    <cellStyle name="Normal 3 3 15 6 13" xfId="30183" xr:uid="{00000000-0005-0000-0000-0000DE750000}"/>
    <cellStyle name="Normal 3 3 15 6 13 2" xfId="30184" xr:uid="{00000000-0005-0000-0000-0000DF750000}"/>
    <cellStyle name="Normal 3 3 15 6 13 3" xfId="30185" xr:uid="{00000000-0005-0000-0000-0000E0750000}"/>
    <cellStyle name="Normal 3 3 15 6 14" xfId="30186" xr:uid="{00000000-0005-0000-0000-0000E1750000}"/>
    <cellStyle name="Normal 3 3 15 6 14 2" xfId="30187" xr:uid="{00000000-0005-0000-0000-0000E2750000}"/>
    <cellStyle name="Normal 3 3 15 6 14 3" xfId="30188" xr:uid="{00000000-0005-0000-0000-0000E3750000}"/>
    <cellStyle name="Normal 3 3 15 6 15" xfId="30189" xr:uid="{00000000-0005-0000-0000-0000E4750000}"/>
    <cellStyle name="Normal 3 3 15 6 16" xfId="30190" xr:uid="{00000000-0005-0000-0000-0000E5750000}"/>
    <cellStyle name="Normal 3 3 15 6 2" xfId="30191" xr:uid="{00000000-0005-0000-0000-0000E6750000}"/>
    <cellStyle name="Normal 3 3 15 6 2 2" xfId="30192" xr:uid="{00000000-0005-0000-0000-0000E7750000}"/>
    <cellStyle name="Normal 3 3 15 6 2 3" xfId="30193" xr:uid="{00000000-0005-0000-0000-0000E8750000}"/>
    <cellStyle name="Normal 3 3 15 6 3" xfId="30194" xr:uid="{00000000-0005-0000-0000-0000E9750000}"/>
    <cellStyle name="Normal 3 3 15 6 3 2" xfId="30195" xr:uid="{00000000-0005-0000-0000-0000EA750000}"/>
    <cellStyle name="Normal 3 3 15 6 3 3" xfId="30196" xr:uid="{00000000-0005-0000-0000-0000EB750000}"/>
    <cellStyle name="Normal 3 3 15 6 4" xfId="30197" xr:uid="{00000000-0005-0000-0000-0000EC750000}"/>
    <cellStyle name="Normal 3 3 15 6 4 2" xfId="30198" xr:uid="{00000000-0005-0000-0000-0000ED750000}"/>
    <cellStyle name="Normal 3 3 15 6 4 3" xfId="30199" xr:uid="{00000000-0005-0000-0000-0000EE750000}"/>
    <cellStyle name="Normal 3 3 15 6 5" xfId="30200" xr:uid="{00000000-0005-0000-0000-0000EF750000}"/>
    <cellStyle name="Normal 3 3 15 6 5 2" xfId="30201" xr:uid="{00000000-0005-0000-0000-0000F0750000}"/>
    <cellStyle name="Normal 3 3 15 6 5 3" xfId="30202" xr:uid="{00000000-0005-0000-0000-0000F1750000}"/>
    <cellStyle name="Normal 3 3 15 6 6" xfId="30203" xr:uid="{00000000-0005-0000-0000-0000F2750000}"/>
    <cellStyle name="Normal 3 3 15 6 6 2" xfId="30204" xr:uid="{00000000-0005-0000-0000-0000F3750000}"/>
    <cellStyle name="Normal 3 3 15 6 6 3" xfId="30205" xr:uid="{00000000-0005-0000-0000-0000F4750000}"/>
    <cellStyle name="Normal 3 3 15 6 7" xfId="30206" xr:uid="{00000000-0005-0000-0000-0000F5750000}"/>
    <cellStyle name="Normal 3 3 15 6 7 2" xfId="30207" xr:uid="{00000000-0005-0000-0000-0000F6750000}"/>
    <cellStyle name="Normal 3 3 15 6 7 3" xfId="30208" xr:uid="{00000000-0005-0000-0000-0000F7750000}"/>
    <cellStyle name="Normal 3 3 15 6 8" xfId="30209" xr:uid="{00000000-0005-0000-0000-0000F8750000}"/>
    <cellStyle name="Normal 3 3 15 6 8 2" xfId="30210" xr:uid="{00000000-0005-0000-0000-0000F9750000}"/>
    <cellStyle name="Normal 3 3 15 6 8 3" xfId="30211" xr:uid="{00000000-0005-0000-0000-0000FA750000}"/>
    <cellStyle name="Normal 3 3 15 6 9" xfId="30212" xr:uid="{00000000-0005-0000-0000-0000FB750000}"/>
    <cellStyle name="Normal 3 3 15 6 9 2" xfId="30213" xr:uid="{00000000-0005-0000-0000-0000FC750000}"/>
    <cellStyle name="Normal 3 3 15 6 9 3" xfId="30214" xr:uid="{00000000-0005-0000-0000-0000FD750000}"/>
    <cellStyle name="Normal 3 3 15 7" xfId="30215" xr:uid="{00000000-0005-0000-0000-0000FE750000}"/>
    <cellStyle name="Normal 3 3 15 7 10" xfId="30216" xr:uid="{00000000-0005-0000-0000-0000FF750000}"/>
    <cellStyle name="Normal 3 3 15 7 10 2" xfId="30217" xr:uid="{00000000-0005-0000-0000-000000760000}"/>
    <cellStyle name="Normal 3 3 15 7 10 3" xfId="30218" xr:uid="{00000000-0005-0000-0000-000001760000}"/>
    <cellStyle name="Normal 3 3 15 7 11" xfId="30219" xr:uid="{00000000-0005-0000-0000-000002760000}"/>
    <cellStyle name="Normal 3 3 15 7 11 2" xfId="30220" xr:uid="{00000000-0005-0000-0000-000003760000}"/>
    <cellStyle name="Normal 3 3 15 7 11 3" xfId="30221" xr:uid="{00000000-0005-0000-0000-000004760000}"/>
    <cellStyle name="Normal 3 3 15 7 12" xfId="30222" xr:uid="{00000000-0005-0000-0000-000005760000}"/>
    <cellStyle name="Normal 3 3 15 7 12 2" xfId="30223" xr:uid="{00000000-0005-0000-0000-000006760000}"/>
    <cellStyle name="Normal 3 3 15 7 12 3" xfId="30224" xr:uid="{00000000-0005-0000-0000-000007760000}"/>
    <cellStyle name="Normal 3 3 15 7 13" xfId="30225" xr:uid="{00000000-0005-0000-0000-000008760000}"/>
    <cellStyle name="Normal 3 3 15 7 13 2" xfId="30226" xr:uid="{00000000-0005-0000-0000-000009760000}"/>
    <cellStyle name="Normal 3 3 15 7 13 3" xfId="30227" xr:uid="{00000000-0005-0000-0000-00000A760000}"/>
    <cellStyle name="Normal 3 3 15 7 14" xfId="30228" xr:uid="{00000000-0005-0000-0000-00000B760000}"/>
    <cellStyle name="Normal 3 3 15 7 14 2" xfId="30229" xr:uid="{00000000-0005-0000-0000-00000C760000}"/>
    <cellStyle name="Normal 3 3 15 7 14 3" xfId="30230" xr:uid="{00000000-0005-0000-0000-00000D760000}"/>
    <cellStyle name="Normal 3 3 15 7 15" xfId="30231" xr:uid="{00000000-0005-0000-0000-00000E760000}"/>
    <cellStyle name="Normal 3 3 15 7 16" xfId="30232" xr:uid="{00000000-0005-0000-0000-00000F760000}"/>
    <cellStyle name="Normal 3 3 15 7 2" xfId="30233" xr:uid="{00000000-0005-0000-0000-000010760000}"/>
    <cellStyle name="Normal 3 3 15 7 2 2" xfId="30234" xr:uid="{00000000-0005-0000-0000-000011760000}"/>
    <cellStyle name="Normal 3 3 15 7 2 3" xfId="30235" xr:uid="{00000000-0005-0000-0000-000012760000}"/>
    <cellStyle name="Normal 3 3 15 7 3" xfId="30236" xr:uid="{00000000-0005-0000-0000-000013760000}"/>
    <cellStyle name="Normal 3 3 15 7 3 2" xfId="30237" xr:uid="{00000000-0005-0000-0000-000014760000}"/>
    <cellStyle name="Normal 3 3 15 7 3 3" xfId="30238" xr:uid="{00000000-0005-0000-0000-000015760000}"/>
    <cellStyle name="Normal 3 3 15 7 4" xfId="30239" xr:uid="{00000000-0005-0000-0000-000016760000}"/>
    <cellStyle name="Normal 3 3 15 7 4 2" xfId="30240" xr:uid="{00000000-0005-0000-0000-000017760000}"/>
    <cellStyle name="Normal 3 3 15 7 4 3" xfId="30241" xr:uid="{00000000-0005-0000-0000-000018760000}"/>
    <cellStyle name="Normal 3 3 15 7 5" xfId="30242" xr:uid="{00000000-0005-0000-0000-000019760000}"/>
    <cellStyle name="Normal 3 3 15 7 5 2" xfId="30243" xr:uid="{00000000-0005-0000-0000-00001A760000}"/>
    <cellStyle name="Normal 3 3 15 7 5 3" xfId="30244" xr:uid="{00000000-0005-0000-0000-00001B760000}"/>
    <cellStyle name="Normal 3 3 15 7 6" xfId="30245" xr:uid="{00000000-0005-0000-0000-00001C760000}"/>
    <cellStyle name="Normal 3 3 15 7 6 2" xfId="30246" xr:uid="{00000000-0005-0000-0000-00001D760000}"/>
    <cellStyle name="Normal 3 3 15 7 6 3" xfId="30247" xr:uid="{00000000-0005-0000-0000-00001E760000}"/>
    <cellStyle name="Normal 3 3 15 7 7" xfId="30248" xr:uid="{00000000-0005-0000-0000-00001F760000}"/>
    <cellStyle name="Normal 3 3 15 7 7 2" xfId="30249" xr:uid="{00000000-0005-0000-0000-000020760000}"/>
    <cellStyle name="Normal 3 3 15 7 7 3" xfId="30250" xr:uid="{00000000-0005-0000-0000-000021760000}"/>
    <cellStyle name="Normal 3 3 15 7 8" xfId="30251" xr:uid="{00000000-0005-0000-0000-000022760000}"/>
    <cellStyle name="Normal 3 3 15 7 8 2" xfId="30252" xr:uid="{00000000-0005-0000-0000-000023760000}"/>
    <cellStyle name="Normal 3 3 15 7 8 3" xfId="30253" xr:uid="{00000000-0005-0000-0000-000024760000}"/>
    <cellStyle name="Normal 3 3 15 7 9" xfId="30254" xr:uid="{00000000-0005-0000-0000-000025760000}"/>
    <cellStyle name="Normal 3 3 15 7 9 2" xfId="30255" xr:uid="{00000000-0005-0000-0000-000026760000}"/>
    <cellStyle name="Normal 3 3 15 7 9 3" xfId="30256" xr:uid="{00000000-0005-0000-0000-000027760000}"/>
    <cellStyle name="Normal 3 3 15 8" xfId="30257" xr:uid="{00000000-0005-0000-0000-000028760000}"/>
    <cellStyle name="Normal 3 3 15 8 10" xfId="30258" xr:uid="{00000000-0005-0000-0000-000029760000}"/>
    <cellStyle name="Normal 3 3 15 8 10 2" xfId="30259" xr:uid="{00000000-0005-0000-0000-00002A760000}"/>
    <cellStyle name="Normal 3 3 15 8 10 3" xfId="30260" xr:uid="{00000000-0005-0000-0000-00002B760000}"/>
    <cellStyle name="Normal 3 3 15 8 11" xfId="30261" xr:uid="{00000000-0005-0000-0000-00002C760000}"/>
    <cellStyle name="Normal 3 3 15 8 11 2" xfId="30262" xr:uid="{00000000-0005-0000-0000-00002D760000}"/>
    <cellStyle name="Normal 3 3 15 8 11 3" xfId="30263" xr:uid="{00000000-0005-0000-0000-00002E760000}"/>
    <cellStyle name="Normal 3 3 15 8 12" xfId="30264" xr:uid="{00000000-0005-0000-0000-00002F760000}"/>
    <cellStyle name="Normal 3 3 15 8 12 2" xfId="30265" xr:uid="{00000000-0005-0000-0000-000030760000}"/>
    <cellStyle name="Normal 3 3 15 8 12 3" xfId="30266" xr:uid="{00000000-0005-0000-0000-000031760000}"/>
    <cellStyle name="Normal 3 3 15 8 13" xfId="30267" xr:uid="{00000000-0005-0000-0000-000032760000}"/>
    <cellStyle name="Normal 3 3 15 8 13 2" xfId="30268" xr:uid="{00000000-0005-0000-0000-000033760000}"/>
    <cellStyle name="Normal 3 3 15 8 13 3" xfId="30269" xr:uid="{00000000-0005-0000-0000-000034760000}"/>
    <cellStyle name="Normal 3 3 15 8 14" xfId="30270" xr:uid="{00000000-0005-0000-0000-000035760000}"/>
    <cellStyle name="Normal 3 3 15 8 14 2" xfId="30271" xr:uid="{00000000-0005-0000-0000-000036760000}"/>
    <cellStyle name="Normal 3 3 15 8 14 3" xfId="30272" xr:uid="{00000000-0005-0000-0000-000037760000}"/>
    <cellStyle name="Normal 3 3 15 8 15" xfId="30273" xr:uid="{00000000-0005-0000-0000-000038760000}"/>
    <cellStyle name="Normal 3 3 15 8 16" xfId="30274" xr:uid="{00000000-0005-0000-0000-000039760000}"/>
    <cellStyle name="Normal 3 3 15 8 2" xfId="30275" xr:uid="{00000000-0005-0000-0000-00003A760000}"/>
    <cellStyle name="Normal 3 3 15 8 2 2" xfId="30276" xr:uid="{00000000-0005-0000-0000-00003B760000}"/>
    <cellStyle name="Normal 3 3 15 8 2 3" xfId="30277" xr:uid="{00000000-0005-0000-0000-00003C760000}"/>
    <cellStyle name="Normal 3 3 15 8 3" xfId="30278" xr:uid="{00000000-0005-0000-0000-00003D760000}"/>
    <cellStyle name="Normal 3 3 15 8 3 2" xfId="30279" xr:uid="{00000000-0005-0000-0000-00003E760000}"/>
    <cellStyle name="Normal 3 3 15 8 3 3" xfId="30280" xr:uid="{00000000-0005-0000-0000-00003F760000}"/>
    <cellStyle name="Normal 3 3 15 8 4" xfId="30281" xr:uid="{00000000-0005-0000-0000-000040760000}"/>
    <cellStyle name="Normal 3 3 15 8 4 2" xfId="30282" xr:uid="{00000000-0005-0000-0000-000041760000}"/>
    <cellStyle name="Normal 3 3 15 8 4 3" xfId="30283" xr:uid="{00000000-0005-0000-0000-000042760000}"/>
    <cellStyle name="Normal 3 3 15 8 5" xfId="30284" xr:uid="{00000000-0005-0000-0000-000043760000}"/>
    <cellStyle name="Normal 3 3 15 8 5 2" xfId="30285" xr:uid="{00000000-0005-0000-0000-000044760000}"/>
    <cellStyle name="Normal 3 3 15 8 5 3" xfId="30286" xr:uid="{00000000-0005-0000-0000-000045760000}"/>
    <cellStyle name="Normal 3 3 15 8 6" xfId="30287" xr:uid="{00000000-0005-0000-0000-000046760000}"/>
    <cellStyle name="Normal 3 3 15 8 6 2" xfId="30288" xr:uid="{00000000-0005-0000-0000-000047760000}"/>
    <cellStyle name="Normal 3 3 15 8 6 3" xfId="30289" xr:uid="{00000000-0005-0000-0000-000048760000}"/>
    <cellStyle name="Normal 3 3 15 8 7" xfId="30290" xr:uid="{00000000-0005-0000-0000-000049760000}"/>
    <cellStyle name="Normal 3 3 15 8 7 2" xfId="30291" xr:uid="{00000000-0005-0000-0000-00004A760000}"/>
    <cellStyle name="Normal 3 3 15 8 7 3" xfId="30292" xr:uid="{00000000-0005-0000-0000-00004B760000}"/>
    <cellStyle name="Normal 3 3 15 8 8" xfId="30293" xr:uid="{00000000-0005-0000-0000-00004C760000}"/>
    <cellStyle name="Normal 3 3 15 8 8 2" xfId="30294" xr:uid="{00000000-0005-0000-0000-00004D760000}"/>
    <cellStyle name="Normal 3 3 15 8 8 3" xfId="30295" xr:uid="{00000000-0005-0000-0000-00004E760000}"/>
    <cellStyle name="Normal 3 3 15 8 9" xfId="30296" xr:uid="{00000000-0005-0000-0000-00004F760000}"/>
    <cellStyle name="Normal 3 3 15 8 9 2" xfId="30297" xr:uid="{00000000-0005-0000-0000-000050760000}"/>
    <cellStyle name="Normal 3 3 15 8 9 3" xfId="30298" xr:uid="{00000000-0005-0000-0000-000051760000}"/>
    <cellStyle name="Normal 3 3 15 9" xfId="30299" xr:uid="{00000000-0005-0000-0000-000052760000}"/>
    <cellStyle name="Normal 3 3 15 9 10" xfId="30300" xr:uid="{00000000-0005-0000-0000-000053760000}"/>
    <cellStyle name="Normal 3 3 15 9 10 2" xfId="30301" xr:uid="{00000000-0005-0000-0000-000054760000}"/>
    <cellStyle name="Normal 3 3 15 9 10 3" xfId="30302" xr:uid="{00000000-0005-0000-0000-000055760000}"/>
    <cellStyle name="Normal 3 3 15 9 11" xfId="30303" xr:uid="{00000000-0005-0000-0000-000056760000}"/>
    <cellStyle name="Normal 3 3 15 9 11 2" xfId="30304" xr:uid="{00000000-0005-0000-0000-000057760000}"/>
    <cellStyle name="Normal 3 3 15 9 11 3" xfId="30305" xr:uid="{00000000-0005-0000-0000-000058760000}"/>
    <cellStyle name="Normal 3 3 15 9 12" xfId="30306" xr:uid="{00000000-0005-0000-0000-000059760000}"/>
    <cellStyle name="Normal 3 3 15 9 12 2" xfId="30307" xr:uid="{00000000-0005-0000-0000-00005A760000}"/>
    <cellStyle name="Normal 3 3 15 9 12 3" xfId="30308" xr:uid="{00000000-0005-0000-0000-00005B760000}"/>
    <cellStyle name="Normal 3 3 15 9 13" xfId="30309" xr:uid="{00000000-0005-0000-0000-00005C760000}"/>
    <cellStyle name="Normal 3 3 15 9 13 2" xfId="30310" xr:uid="{00000000-0005-0000-0000-00005D760000}"/>
    <cellStyle name="Normal 3 3 15 9 13 3" xfId="30311" xr:uid="{00000000-0005-0000-0000-00005E760000}"/>
    <cellStyle name="Normal 3 3 15 9 14" xfId="30312" xr:uid="{00000000-0005-0000-0000-00005F760000}"/>
    <cellStyle name="Normal 3 3 15 9 14 2" xfId="30313" xr:uid="{00000000-0005-0000-0000-000060760000}"/>
    <cellStyle name="Normal 3 3 15 9 14 3" xfId="30314" xr:uid="{00000000-0005-0000-0000-000061760000}"/>
    <cellStyle name="Normal 3 3 15 9 15" xfId="30315" xr:uid="{00000000-0005-0000-0000-000062760000}"/>
    <cellStyle name="Normal 3 3 15 9 16" xfId="30316" xr:uid="{00000000-0005-0000-0000-000063760000}"/>
    <cellStyle name="Normal 3 3 15 9 2" xfId="30317" xr:uid="{00000000-0005-0000-0000-000064760000}"/>
    <cellStyle name="Normal 3 3 15 9 2 2" xfId="30318" xr:uid="{00000000-0005-0000-0000-000065760000}"/>
    <cellStyle name="Normal 3 3 15 9 2 3" xfId="30319" xr:uid="{00000000-0005-0000-0000-000066760000}"/>
    <cellStyle name="Normal 3 3 15 9 3" xfId="30320" xr:uid="{00000000-0005-0000-0000-000067760000}"/>
    <cellStyle name="Normal 3 3 15 9 3 2" xfId="30321" xr:uid="{00000000-0005-0000-0000-000068760000}"/>
    <cellStyle name="Normal 3 3 15 9 3 3" xfId="30322" xr:uid="{00000000-0005-0000-0000-000069760000}"/>
    <cellStyle name="Normal 3 3 15 9 4" xfId="30323" xr:uid="{00000000-0005-0000-0000-00006A760000}"/>
    <cellStyle name="Normal 3 3 15 9 4 2" xfId="30324" xr:uid="{00000000-0005-0000-0000-00006B760000}"/>
    <cellStyle name="Normal 3 3 15 9 4 3" xfId="30325" xr:uid="{00000000-0005-0000-0000-00006C760000}"/>
    <cellStyle name="Normal 3 3 15 9 5" xfId="30326" xr:uid="{00000000-0005-0000-0000-00006D760000}"/>
    <cellStyle name="Normal 3 3 15 9 5 2" xfId="30327" xr:uid="{00000000-0005-0000-0000-00006E760000}"/>
    <cellStyle name="Normal 3 3 15 9 5 3" xfId="30328" xr:uid="{00000000-0005-0000-0000-00006F760000}"/>
    <cellStyle name="Normal 3 3 15 9 6" xfId="30329" xr:uid="{00000000-0005-0000-0000-000070760000}"/>
    <cellStyle name="Normal 3 3 15 9 6 2" xfId="30330" xr:uid="{00000000-0005-0000-0000-000071760000}"/>
    <cellStyle name="Normal 3 3 15 9 6 3" xfId="30331" xr:uid="{00000000-0005-0000-0000-000072760000}"/>
    <cellStyle name="Normal 3 3 15 9 7" xfId="30332" xr:uid="{00000000-0005-0000-0000-000073760000}"/>
    <cellStyle name="Normal 3 3 15 9 7 2" xfId="30333" xr:uid="{00000000-0005-0000-0000-000074760000}"/>
    <cellStyle name="Normal 3 3 15 9 7 3" xfId="30334" xr:uid="{00000000-0005-0000-0000-000075760000}"/>
    <cellStyle name="Normal 3 3 15 9 8" xfId="30335" xr:uid="{00000000-0005-0000-0000-000076760000}"/>
    <cellStyle name="Normal 3 3 15 9 8 2" xfId="30336" xr:uid="{00000000-0005-0000-0000-000077760000}"/>
    <cellStyle name="Normal 3 3 15 9 8 3" xfId="30337" xr:uid="{00000000-0005-0000-0000-000078760000}"/>
    <cellStyle name="Normal 3 3 15 9 9" xfId="30338" xr:uid="{00000000-0005-0000-0000-000079760000}"/>
    <cellStyle name="Normal 3 3 15 9 9 2" xfId="30339" xr:uid="{00000000-0005-0000-0000-00007A760000}"/>
    <cellStyle name="Normal 3 3 15 9 9 3" xfId="30340" xr:uid="{00000000-0005-0000-0000-00007B760000}"/>
    <cellStyle name="Normal 3 3 16" xfId="30341" xr:uid="{00000000-0005-0000-0000-00007C760000}"/>
    <cellStyle name="Normal 3 3 16 10" xfId="30342" xr:uid="{00000000-0005-0000-0000-00007D760000}"/>
    <cellStyle name="Normal 3 3 16 10 10" xfId="30343" xr:uid="{00000000-0005-0000-0000-00007E760000}"/>
    <cellStyle name="Normal 3 3 16 10 10 2" xfId="30344" xr:uid="{00000000-0005-0000-0000-00007F760000}"/>
    <cellStyle name="Normal 3 3 16 10 10 3" xfId="30345" xr:uid="{00000000-0005-0000-0000-000080760000}"/>
    <cellStyle name="Normal 3 3 16 10 11" xfId="30346" xr:uid="{00000000-0005-0000-0000-000081760000}"/>
    <cellStyle name="Normal 3 3 16 10 11 2" xfId="30347" xr:uid="{00000000-0005-0000-0000-000082760000}"/>
    <cellStyle name="Normal 3 3 16 10 11 3" xfId="30348" xr:uid="{00000000-0005-0000-0000-000083760000}"/>
    <cellStyle name="Normal 3 3 16 10 12" xfId="30349" xr:uid="{00000000-0005-0000-0000-000084760000}"/>
    <cellStyle name="Normal 3 3 16 10 12 2" xfId="30350" xr:uid="{00000000-0005-0000-0000-000085760000}"/>
    <cellStyle name="Normal 3 3 16 10 12 3" xfId="30351" xr:uid="{00000000-0005-0000-0000-000086760000}"/>
    <cellStyle name="Normal 3 3 16 10 13" xfId="30352" xr:uid="{00000000-0005-0000-0000-000087760000}"/>
    <cellStyle name="Normal 3 3 16 10 13 2" xfId="30353" xr:uid="{00000000-0005-0000-0000-000088760000}"/>
    <cellStyle name="Normal 3 3 16 10 13 3" xfId="30354" xr:uid="{00000000-0005-0000-0000-000089760000}"/>
    <cellStyle name="Normal 3 3 16 10 14" xfId="30355" xr:uid="{00000000-0005-0000-0000-00008A760000}"/>
    <cellStyle name="Normal 3 3 16 10 14 2" xfId="30356" xr:uid="{00000000-0005-0000-0000-00008B760000}"/>
    <cellStyle name="Normal 3 3 16 10 14 3" xfId="30357" xr:uid="{00000000-0005-0000-0000-00008C760000}"/>
    <cellStyle name="Normal 3 3 16 10 15" xfId="30358" xr:uid="{00000000-0005-0000-0000-00008D760000}"/>
    <cellStyle name="Normal 3 3 16 10 16" xfId="30359" xr:uid="{00000000-0005-0000-0000-00008E760000}"/>
    <cellStyle name="Normal 3 3 16 10 2" xfId="30360" xr:uid="{00000000-0005-0000-0000-00008F760000}"/>
    <cellStyle name="Normal 3 3 16 10 2 2" xfId="30361" xr:uid="{00000000-0005-0000-0000-000090760000}"/>
    <cellStyle name="Normal 3 3 16 10 2 3" xfId="30362" xr:uid="{00000000-0005-0000-0000-000091760000}"/>
    <cellStyle name="Normal 3 3 16 10 3" xfId="30363" xr:uid="{00000000-0005-0000-0000-000092760000}"/>
    <cellStyle name="Normal 3 3 16 10 3 2" xfId="30364" xr:uid="{00000000-0005-0000-0000-000093760000}"/>
    <cellStyle name="Normal 3 3 16 10 3 3" xfId="30365" xr:uid="{00000000-0005-0000-0000-000094760000}"/>
    <cellStyle name="Normal 3 3 16 10 4" xfId="30366" xr:uid="{00000000-0005-0000-0000-000095760000}"/>
    <cellStyle name="Normal 3 3 16 10 4 2" xfId="30367" xr:uid="{00000000-0005-0000-0000-000096760000}"/>
    <cellStyle name="Normal 3 3 16 10 4 3" xfId="30368" xr:uid="{00000000-0005-0000-0000-000097760000}"/>
    <cellStyle name="Normal 3 3 16 10 5" xfId="30369" xr:uid="{00000000-0005-0000-0000-000098760000}"/>
    <cellStyle name="Normal 3 3 16 10 5 2" xfId="30370" xr:uid="{00000000-0005-0000-0000-000099760000}"/>
    <cellStyle name="Normal 3 3 16 10 5 3" xfId="30371" xr:uid="{00000000-0005-0000-0000-00009A760000}"/>
    <cellStyle name="Normal 3 3 16 10 6" xfId="30372" xr:uid="{00000000-0005-0000-0000-00009B760000}"/>
    <cellStyle name="Normal 3 3 16 10 6 2" xfId="30373" xr:uid="{00000000-0005-0000-0000-00009C760000}"/>
    <cellStyle name="Normal 3 3 16 10 6 3" xfId="30374" xr:uid="{00000000-0005-0000-0000-00009D760000}"/>
    <cellStyle name="Normal 3 3 16 10 7" xfId="30375" xr:uid="{00000000-0005-0000-0000-00009E760000}"/>
    <cellStyle name="Normal 3 3 16 10 7 2" xfId="30376" xr:uid="{00000000-0005-0000-0000-00009F760000}"/>
    <cellStyle name="Normal 3 3 16 10 7 3" xfId="30377" xr:uid="{00000000-0005-0000-0000-0000A0760000}"/>
    <cellStyle name="Normal 3 3 16 10 8" xfId="30378" xr:uid="{00000000-0005-0000-0000-0000A1760000}"/>
    <cellStyle name="Normal 3 3 16 10 8 2" xfId="30379" xr:uid="{00000000-0005-0000-0000-0000A2760000}"/>
    <cellStyle name="Normal 3 3 16 10 8 3" xfId="30380" xr:uid="{00000000-0005-0000-0000-0000A3760000}"/>
    <cellStyle name="Normal 3 3 16 10 9" xfId="30381" xr:uid="{00000000-0005-0000-0000-0000A4760000}"/>
    <cellStyle name="Normal 3 3 16 10 9 2" xfId="30382" xr:uid="{00000000-0005-0000-0000-0000A5760000}"/>
    <cellStyle name="Normal 3 3 16 10 9 3" xfId="30383" xr:uid="{00000000-0005-0000-0000-0000A6760000}"/>
    <cellStyle name="Normal 3 3 16 11" xfId="30384" xr:uid="{00000000-0005-0000-0000-0000A7760000}"/>
    <cellStyle name="Normal 3 3 16 11 2" xfId="30385" xr:uid="{00000000-0005-0000-0000-0000A8760000}"/>
    <cellStyle name="Normal 3 3 16 11 3" xfId="30386" xr:uid="{00000000-0005-0000-0000-0000A9760000}"/>
    <cellStyle name="Normal 3 3 16 12" xfId="30387" xr:uid="{00000000-0005-0000-0000-0000AA760000}"/>
    <cellStyle name="Normal 3 3 16 12 2" xfId="30388" xr:uid="{00000000-0005-0000-0000-0000AB760000}"/>
    <cellStyle name="Normal 3 3 16 12 3" xfId="30389" xr:uid="{00000000-0005-0000-0000-0000AC760000}"/>
    <cellStyle name="Normal 3 3 16 13" xfId="30390" xr:uid="{00000000-0005-0000-0000-0000AD760000}"/>
    <cellStyle name="Normal 3 3 16 13 2" xfId="30391" xr:uid="{00000000-0005-0000-0000-0000AE760000}"/>
    <cellStyle name="Normal 3 3 16 13 3" xfId="30392" xr:uid="{00000000-0005-0000-0000-0000AF760000}"/>
    <cellStyle name="Normal 3 3 16 14" xfId="30393" xr:uid="{00000000-0005-0000-0000-0000B0760000}"/>
    <cellStyle name="Normal 3 3 16 14 2" xfId="30394" xr:uid="{00000000-0005-0000-0000-0000B1760000}"/>
    <cellStyle name="Normal 3 3 16 14 3" xfId="30395" xr:uid="{00000000-0005-0000-0000-0000B2760000}"/>
    <cellStyle name="Normal 3 3 16 15" xfId="30396" xr:uid="{00000000-0005-0000-0000-0000B3760000}"/>
    <cellStyle name="Normal 3 3 16 15 2" xfId="30397" xr:uid="{00000000-0005-0000-0000-0000B4760000}"/>
    <cellStyle name="Normal 3 3 16 15 3" xfId="30398" xr:uid="{00000000-0005-0000-0000-0000B5760000}"/>
    <cellStyle name="Normal 3 3 16 16" xfId="30399" xr:uid="{00000000-0005-0000-0000-0000B6760000}"/>
    <cellStyle name="Normal 3 3 16 16 2" xfId="30400" xr:uid="{00000000-0005-0000-0000-0000B7760000}"/>
    <cellStyle name="Normal 3 3 16 16 3" xfId="30401" xr:uid="{00000000-0005-0000-0000-0000B8760000}"/>
    <cellStyle name="Normal 3 3 16 17" xfId="30402" xr:uid="{00000000-0005-0000-0000-0000B9760000}"/>
    <cellStyle name="Normal 3 3 16 17 2" xfId="30403" xr:uid="{00000000-0005-0000-0000-0000BA760000}"/>
    <cellStyle name="Normal 3 3 16 17 3" xfId="30404" xr:uid="{00000000-0005-0000-0000-0000BB760000}"/>
    <cellStyle name="Normal 3 3 16 18" xfId="30405" xr:uid="{00000000-0005-0000-0000-0000BC760000}"/>
    <cellStyle name="Normal 3 3 16 18 2" xfId="30406" xr:uid="{00000000-0005-0000-0000-0000BD760000}"/>
    <cellStyle name="Normal 3 3 16 18 3" xfId="30407" xr:uid="{00000000-0005-0000-0000-0000BE760000}"/>
    <cellStyle name="Normal 3 3 16 19" xfId="30408" xr:uid="{00000000-0005-0000-0000-0000BF760000}"/>
    <cellStyle name="Normal 3 3 16 19 2" xfId="30409" xr:uid="{00000000-0005-0000-0000-0000C0760000}"/>
    <cellStyle name="Normal 3 3 16 19 3" xfId="30410" xr:uid="{00000000-0005-0000-0000-0000C1760000}"/>
    <cellStyle name="Normal 3 3 16 2" xfId="30411" xr:uid="{00000000-0005-0000-0000-0000C2760000}"/>
    <cellStyle name="Normal 3 3 16 2 10" xfId="30412" xr:uid="{00000000-0005-0000-0000-0000C3760000}"/>
    <cellStyle name="Normal 3 3 16 2 10 2" xfId="30413" xr:uid="{00000000-0005-0000-0000-0000C4760000}"/>
    <cellStyle name="Normal 3 3 16 2 10 3" xfId="30414" xr:uid="{00000000-0005-0000-0000-0000C5760000}"/>
    <cellStyle name="Normal 3 3 16 2 11" xfId="30415" xr:uid="{00000000-0005-0000-0000-0000C6760000}"/>
    <cellStyle name="Normal 3 3 16 2 11 2" xfId="30416" xr:uid="{00000000-0005-0000-0000-0000C7760000}"/>
    <cellStyle name="Normal 3 3 16 2 11 3" xfId="30417" xr:uid="{00000000-0005-0000-0000-0000C8760000}"/>
    <cellStyle name="Normal 3 3 16 2 12" xfId="30418" xr:uid="{00000000-0005-0000-0000-0000C9760000}"/>
    <cellStyle name="Normal 3 3 16 2 12 2" xfId="30419" xr:uid="{00000000-0005-0000-0000-0000CA760000}"/>
    <cellStyle name="Normal 3 3 16 2 12 3" xfId="30420" xr:uid="{00000000-0005-0000-0000-0000CB760000}"/>
    <cellStyle name="Normal 3 3 16 2 13" xfId="30421" xr:uid="{00000000-0005-0000-0000-0000CC760000}"/>
    <cellStyle name="Normal 3 3 16 2 13 2" xfId="30422" xr:uid="{00000000-0005-0000-0000-0000CD760000}"/>
    <cellStyle name="Normal 3 3 16 2 13 3" xfId="30423" xr:uid="{00000000-0005-0000-0000-0000CE760000}"/>
    <cellStyle name="Normal 3 3 16 2 14" xfId="30424" xr:uid="{00000000-0005-0000-0000-0000CF760000}"/>
    <cellStyle name="Normal 3 3 16 2 14 2" xfId="30425" xr:uid="{00000000-0005-0000-0000-0000D0760000}"/>
    <cellStyle name="Normal 3 3 16 2 14 3" xfId="30426" xr:uid="{00000000-0005-0000-0000-0000D1760000}"/>
    <cellStyle name="Normal 3 3 16 2 15" xfId="30427" xr:uid="{00000000-0005-0000-0000-0000D2760000}"/>
    <cellStyle name="Normal 3 3 16 2 15 2" xfId="30428" xr:uid="{00000000-0005-0000-0000-0000D3760000}"/>
    <cellStyle name="Normal 3 3 16 2 15 3" xfId="30429" xr:uid="{00000000-0005-0000-0000-0000D4760000}"/>
    <cellStyle name="Normal 3 3 16 2 16" xfId="30430" xr:uid="{00000000-0005-0000-0000-0000D5760000}"/>
    <cellStyle name="Normal 3 3 16 2 17" xfId="30431" xr:uid="{00000000-0005-0000-0000-0000D6760000}"/>
    <cellStyle name="Normal 3 3 16 2 2" xfId="30432" xr:uid="{00000000-0005-0000-0000-0000D7760000}"/>
    <cellStyle name="Normal 3 3 16 2 2 10" xfId="30433" xr:uid="{00000000-0005-0000-0000-0000D8760000}"/>
    <cellStyle name="Normal 3 3 16 2 2 10 2" xfId="30434" xr:uid="{00000000-0005-0000-0000-0000D9760000}"/>
    <cellStyle name="Normal 3 3 16 2 2 10 3" xfId="30435" xr:uid="{00000000-0005-0000-0000-0000DA760000}"/>
    <cellStyle name="Normal 3 3 16 2 2 11" xfId="30436" xr:uid="{00000000-0005-0000-0000-0000DB760000}"/>
    <cellStyle name="Normal 3 3 16 2 2 11 2" xfId="30437" xr:uid="{00000000-0005-0000-0000-0000DC760000}"/>
    <cellStyle name="Normal 3 3 16 2 2 11 3" xfId="30438" xr:uid="{00000000-0005-0000-0000-0000DD760000}"/>
    <cellStyle name="Normal 3 3 16 2 2 12" xfId="30439" xr:uid="{00000000-0005-0000-0000-0000DE760000}"/>
    <cellStyle name="Normal 3 3 16 2 2 12 2" xfId="30440" xr:uid="{00000000-0005-0000-0000-0000DF760000}"/>
    <cellStyle name="Normal 3 3 16 2 2 12 3" xfId="30441" xr:uid="{00000000-0005-0000-0000-0000E0760000}"/>
    <cellStyle name="Normal 3 3 16 2 2 13" xfId="30442" xr:uid="{00000000-0005-0000-0000-0000E1760000}"/>
    <cellStyle name="Normal 3 3 16 2 2 13 2" xfId="30443" xr:uid="{00000000-0005-0000-0000-0000E2760000}"/>
    <cellStyle name="Normal 3 3 16 2 2 13 3" xfId="30444" xr:uid="{00000000-0005-0000-0000-0000E3760000}"/>
    <cellStyle name="Normal 3 3 16 2 2 14" xfId="30445" xr:uid="{00000000-0005-0000-0000-0000E4760000}"/>
    <cellStyle name="Normal 3 3 16 2 2 14 2" xfId="30446" xr:uid="{00000000-0005-0000-0000-0000E5760000}"/>
    <cellStyle name="Normal 3 3 16 2 2 14 3" xfId="30447" xr:uid="{00000000-0005-0000-0000-0000E6760000}"/>
    <cellStyle name="Normal 3 3 16 2 2 15" xfId="30448" xr:uid="{00000000-0005-0000-0000-0000E7760000}"/>
    <cellStyle name="Normal 3 3 16 2 2 16" xfId="30449" xr:uid="{00000000-0005-0000-0000-0000E8760000}"/>
    <cellStyle name="Normal 3 3 16 2 2 2" xfId="30450" xr:uid="{00000000-0005-0000-0000-0000E9760000}"/>
    <cellStyle name="Normal 3 3 16 2 2 2 2" xfId="30451" xr:uid="{00000000-0005-0000-0000-0000EA760000}"/>
    <cellStyle name="Normal 3 3 16 2 2 2 3" xfId="30452" xr:uid="{00000000-0005-0000-0000-0000EB760000}"/>
    <cellStyle name="Normal 3 3 16 2 2 3" xfId="30453" xr:uid="{00000000-0005-0000-0000-0000EC760000}"/>
    <cellStyle name="Normal 3 3 16 2 2 3 2" xfId="30454" xr:uid="{00000000-0005-0000-0000-0000ED760000}"/>
    <cellStyle name="Normal 3 3 16 2 2 3 3" xfId="30455" xr:uid="{00000000-0005-0000-0000-0000EE760000}"/>
    <cellStyle name="Normal 3 3 16 2 2 4" xfId="30456" xr:uid="{00000000-0005-0000-0000-0000EF760000}"/>
    <cellStyle name="Normal 3 3 16 2 2 4 2" xfId="30457" xr:uid="{00000000-0005-0000-0000-0000F0760000}"/>
    <cellStyle name="Normal 3 3 16 2 2 4 3" xfId="30458" xr:uid="{00000000-0005-0000-0000-0000F1760000}"/>
    <cellStyle name="Normal 3 3 16 2 2 5" xfId="30459" xr:uid="{00000000-0005-0000-0000-0000F2760000}"/>
    <cellStyle name="Normal 3 3 16 2 2 5 2" xfId="30460" xr:uid="{00000000-0005-0000-0000-0000F3760000}"/>
    <cellStyle name="Normal 3 3 16 2 2 5 3" xfId="30461" xr:uid="{00000000-0005-0000-0000-0000F4760000}"/>
    <cellStyle name="Normal 3 3 16 2 2 6" xfId="30462" xr:uid="{00000000-0005-0000-0000-0000F5760000}"/>
    <cellStyle name="Normal 3 3 16 2 2 6 2" xfId="30463" xr:uid="{00000000-0005-0000-0000-0000F6760000}"/>
    <cellStyle name="Normal 3 3 16 2 2 6 3" xfId="30464" xr:uid="{00000000-0005-0000-0000-0000F7760000}"/>
    <cellStyle name="Normal 3 3 16 2 2 7" xfId="30465" xr:uid="{00000000-0005-0000-0000-0000F8760000}"/>
    <cellStyle name="Normal 3 3 16 2 2 7 2" xfId="30466" xr:uid="{00000000-0005-0000-0000-0000F9760000}"/>
    <cellStyle name="Normal 3 3 16 2 2 7 3" xfId="30467" xr:uid="{00000000-0005-0000-0000-0000FA760000}"/>
    <cellStyle name="Normal 3 3 16 2 2 8" xfId="30468" xr:uid="{00000000-0005-0000-0000-0000FB760000}"/>
    <cellStyle name="Normal 3 3 16 2 2 8 2" xfId="30469" xr:uid="{00000000-0005-0000-0000-0000FC760000}"/>
    <cellStyle name="Normal 3 3 16 2 2 8 3" xfId="30470" xr:uid="{00000000-0005-0000-0000-0000FD760000}"/>
    <cellStyle name="Normal 3 3 16 2 2 9" xfId="30471" xr:uid="{00000000-0005-0000-0000-0000FE760000}"/>
    <cellStyle name="Normal 3 3 16 2 2 9 2" xfId="30472" xr:uid="{00000000-0005-0000-0000-0000FF760000}"/>
    <cellStyle name="Normal 3 3 16 2 2 9 3" xfId="30473" xr:uid="{00000000-0005-0000-0000-000000770000}"/>
    <cellStyle name="Normal 3 3 16 2 3" xfId="30474" xr:uid="{00000000-0005-0000-0000-000001770000}"/>
    <cellStyle name="Normal 3 3 16 2 3 2" xfId="30475" xr:uid="{00000000-0005-0000-0000-000002770000}"/>
    <cellStyle name="Normal 3 3 16 2 3 3" xfId="30476" xr:uid="{00000000-0005-0000-0000-000003770000}"/>
    <cellStyle name="Normal 3 3 16 2 4" xfId="30477" xr:uid="{00000000-0005-0000-0000-000004770000}"/>
    <cellStyle name="Normal 3 3 16 2 4 2" xfId="30478" xr:uid="{00000000-0005-0000-0000-000005770000}"/>
    <cellStyle name="Normal 3 3 16 2 4 3" xfId="30479" xr:uid="{00000000-0005-0000-0000-000006770000}"/>
    <cellStyle name="Normal 3 3 16 2 5" xfId="30480" xr:uid="{00000000-0005-0000-0000-000007770000}"/>
    <cellStyle name="Normal 3 3 16 2 5 2" xfId="30481" xr:uid="{00000000-0005-0000-0000-000008770000}"/>
    <cellStyle name="Normal 3 3 16 2 5 3" xfId="30482" xr:uid="{00000000-0005-0000-0000-000009770000}"/>
    <cellStyle name="Normal 3 3 16 2 6" xfId="30483" xr:uid="{00000000-0005-0000-0000-00000A770000}"/>
    <cellStyle name="Normal 3 3 16 2 6 2" xfId="30484" xr:uid="{00000000-0005-0000-0000-00000B770000}"/>
    <cellStyle name="Normal 3 3 16 2 6 3" xfId="30485" xr:uid="{00000000-0005-0000-0000-00000C770000}"/>
    <cellStyle name="Normal 3 3 16 2 7" xfId="30486" xr:uid="{00000000-0005-0000-0000-00000D770000}"/>
    <cellStyle name="Normal 3 3 16 2 7 2" xfId="30487" xr:uid="{00000000-0005-0000-0000-00000E770000}"/>
    <cellStyle name="Normal 3 3 16 2 7 3" xfId="30488" xr:uid="{00000000-0005-0000-0000-00000F770000}"/>
    <cellStyle name="Normal 3 3 16 2 8" xfId="30489" xr:uid="{00000000-0005-0000-0000-000010770000}"/>
    <cellStyle name="Normal 3 3 16 2 8 2" xfId="30490" xr:uid="{00000000-0005-0000-0000-000011770000}"/>
    <cellStyle name="Normal 3 3 16 2 8 3" xfId="30491" xr:uid="{00000000-0005-0000-0000-000012770000}"/>
    <cellStyle name="Normal 3 3 16 2 9" xfId="30492" xr:uid="{00000000-0005-0000-0000-000013770000}"/>
    <cellStyle name="Normal 3 3 16 2 9 2" xfId="30493" xr:uid="{00000000-0005-0000-0000-000014770000}"/>
    <cellStyle name="Normal 3 3 16 2 9 3" xfId="30494" xr:uid="{00000000-0005-0000-0000-000015770000}"/>
    <cellStyle name="Normal 3 3 16 20" xfId="30495" xr:uid="{00000000-0005-0000-0000-000016770000}"/>
    <cellStyle name="Normal 3 3 16 20 2" xfId="30496" xr:uid="{00000000-0005-0000-0000-000017770000}"/>
    <cellStyle name="Normal 3 3 16 20 3" xfId="30497" xr:uid="{00000000-0005-0000-0000-000018770000}"/>
    <cellStyle name="Normal 3 3 16 21" xfId="30498" xr:uid="{00000000-0005-0000-0000-000019770000}"/>
    <cellStyle name="Normal 3 3 16 21 2" xfId="30499" xr:uid="{00000000-0005-0000-0000-00001A770000}"/>
    <cellStyle name="Normal 3 3 16 21 3" xfId="30500" xr:uid="{00000000-0005-0000-0000-00001B770000}"/>
    <cellStyle name="Normal 3 3 16 22" xfId="30501" xr:uid="{00000000-0005-0000-0000-00001C770000}"/>
    <cellStyle name="Normal 3 3 16 22 2" xfId="30502" xr:uid="{00000000-0005-0000-0000-00001D770000}"/>
    <cellStyle name="Normal 3 3 16 22 3" xfId="30503" xr:uid="{00000000-0005-0000-0000-00001E770000}"/>
    <cellStyle name="Normal 3 3 16 23" xfId="30504" xr:uid="{00000000-0005-0000-0000-00001F770000}"/>
    <cellStyle name="Normal 3 3 16 23 2" xfId="30505" xr:uid="{00000000-0005-0000-0000-000020770000}"/>
    <cellStyle name="Normal 3 3 16 23 3" xfId="30506" xr:uid="{00000000-0005-0000-0000-000021770000}"/>
    <cellStyle name="Normal 3 3 16 24" xfId="30507" xr:uid="{00000000-0005-0000-0000-000022770000}"/>
    <cellStyle name="Normal 3 3 16 25" xfId="30508" xr:uid="{00000000-0005-0000-0000-000023770000}"/>
    <cellStyle name="Normal 3 3 16 3" xfId="30509" xr:uid="{00000000-0005-0000-0000-000024770000}"/>
    <cellStyle name="Normal 3 3 16 3 10" xfId="30510" xr:uid="{00000000-0005-0000-0000-000025770000}"/>
    <cellStyle name="Normal 3 3 16 3 10 2" xfId="30511" xr:uid="{00000000-0005-0000-0000-000026770000}"/>
    <cellStyle name="Normal 3 3 16 3 10 3" xfId="30512" xr:uid="{00000000-0005-0000-0000-000027770000}"/>
    <cellStyle name="Normal 3 3 16 3 11" xfId="30513" xr:uid="{00000000-0005-0000-0000-000028770000}"/>
    <cellStyle name="Normal 3 3 16 3 11 2" xfId="30514" xr:uid="{00000000-0005-0000-0000-000029770000}"/>
    <cellStyle name="Normal 3 3 16 3 11 3" xfId="30515" xr:uid="{00000000-0005-0000-0000-00002A770000}"/>
    <cellStyle name="Normal 3 3 16 3 12" xfId="30516" xr:uid="{00000000-0005-0000-0000-00002B770000}"/>
    <cellStyle name="Normal 3 3 16 3 12 2" xfId="30517" xr:uid="{00000000-0005-0000-0000-00002C770000}"/>
    <cellStyle name="Normal 3 3 16 3 12 3" xfId="30518" xr:uid="{00000000-0005-0000-0000-00002D770000}"/>
    <cellStyle name="Normal 3 3 16 3 13" xfId="30519" xr:uid="{00000000-0005-0000-0000-00002E770000}"/>
    <cellStyle name="Normal 3 3 16 3 13 2" xfId="30520" xr:uid="{00000000-0005-0000-0000-00002F770000}"/>
    <cellStyle name="Normal 3 3 16 3 13 3" xfId="30521" xr:uid="{00000000-0005-0000-0000-000030770000}"/>
    <cellStyle name="Normal 3 3 16 3 14" xfId="30522" xr:uid="{00000000-0005-0000-0000-000031770000}"/>
    <cellStyle name="Normal 3 3 16 3 14 2" xfId="30523" xr:uid="{00000000-0005-0000-0000-000032770000}"/>
    <cellStyle name="Normal 3 3 16 3 14 3" xfId="30524" xr:uid="{00000000-0005-0000-0000-000033770000}"/>
    <cellStyle name="Normal 3 3 16 3 15" xfId="30525" xr:uid="{00000000-0005-0000-0000-000034770000}"/>
    <cellStyle name="Normal 3 3 16 3 15 2" xfId="30526" xr:uid="{00000000-0005-0000-0000-000035770000}"/>
    <cellStyle name="Normal 3 3 16 3 15 3" xfId="30527" xr:uid="{00000000-0005-0000-0000-000036770000}"/>
    <cellStyle name="Normal 3 3 16 3 16" xfId="30528" xr:uid="{00000000-0005-0000-0000-000037770000}"/>
    <cellStyle name="Normal 3 3 16 3 17" xfId="30529" xr:uid="{00000000-0005-0000-0000-000038770000}"/>
    <cellStyle name="Normal 3 3 16 3 2" xfId="30530" xr:uid="{00000000-0005-0000-0000-000039770000}"/>
    <cellStyle name="Normal 3 3 16 3 2 10" xfId="30531" xr:uid="{00000000-0005-0000-0000-00003A770000}"/>
    <cellStyle name="Normal 3 3 16 3 2 10 2" xfId="30532" xr:uid="{00000000-0005-0000-0000-00003B770000}"/>
    <cellStyle name="Normal 3 3 16 3 2 10 3" xfId="30533" xr:uid="{00000000-0005-0000-0000-00003C770000}"/>
    <cellStyle name="Normal 3 3 16 3 2 11" xfId="30534" xr:uid="{00000000-0005-0000-0000-00003D770000}"/>
    <cellStyle name="Normal 3 3 16 3 2 11 2" xfId="30535" xr:uid="{00000000-0005-0000-0000-00003E770000}"/>
    <cellStyle name="Normal 3 3 16 3 2 11 3" xfId="30536" xr:uid="{00000000-0005-0000-0000-00003F770000}"/>
    <cellStyle name="Normal 3 3 16 3 2 12" xfId="30537" xr:uid="{00000000-0005-0000-0000-000040770000}"/>
    <cellStyle name="Normal 3 3 16 3 2 12 2" xfId="30538" xr:uid="{00000000-0005-0000-0000-000041770000}"/>
    <cellStyle name="Normal 3 3 16 3 2 12 3" xfId="30539" xr:uid="{00000000-0005-0000-0000-000042770000}"/>
    <cellStyle name="Normal 3 3 16 3 2 13" xfId="30540" xr:uid="{00000000-0005-0000-0000-000043770000}"/>
    <cellStyle name="Normal 3 3 16 3 2 13 2" xfId="30541" xr:uid="{00000000-0005-0000-0000-000044770000}"/>
    <cellStyle name="Normal 3 3 16 3 2 13 3" xfId="30542" xr:uid="{00000000-0005-0000-0000-000045770000}"/>
    <cellStyle name="Normal 3 3 16 3 2 14" xfId="30543" xr:uid="{00000000-0005-0000-0000-000046770000}"/>
    <cellStyle name="Normal 3 3 16 3 2 14 2" xfId="30544" xr:uid="{00000000-0005-0000-0000-000047770000}"/>
    <cellStyle name="Normal 3 3 16 3 2 14 3" xfId="30545" xr:uid="{00000000-0005-0000-0000-000048770000}"/>
    <cellStyle name="Normal 3 3 16 3 2 15" xfId="30546" xr:uid="{00000000-0005-0000-0000-000049770000}"/>
    <cellStyle name="Normal 3 3 16 3 2 16" xfId="30547" xr:uid="{00000000-0005-0000-0000-00004A770000}"/>
    <cellStyle name="Normal 3 3 16 3 2 2" xfId="30548" xr:uid="{00000000-0005-0000-0000-00004B770000}"/>
    <cellStyle name="Normal 3 3 16 3 2 2 2" xfId="30549" xr:uid="{00000000-0005-0000-0000-00004C770000}"/>
    <cellStyle name="Normal 3 3 16 3 2 2 3" xfId="30550" xr:uid="{00000000-0005-0000-0000-00004D770000}"/>
    <cellStyle name="Normal 3 3 16 3 2 3" xfId="30551" xr:uid="{00000000-0005-0000-0000-00004E770000}"/>
    <cellStyle name="Normal 3 3 16 3 2 3 2" xfId="30552" xr:uid="{00000000-0005-0000-0000-00004F770000}"/>
    <cellStyle name="Normal 3 3 16 3 2 3 3" xfId="30553" xr:uid="{00000000-0005-0000-0000-000050770000}"/>
    <cellStyle name="Normal 3 3 16 3 2 4" xfId="30554" xr:uid="{00000000-0005-0000-0000-000051770000}"/>
    <cellStyle name="Normal 3 3 16 3 2 4 2" xfId="30555" xr:uid="{00000000-0005-0000-0000-000052770000}"/>
    <cellStyle name="Normal 3 3 16 3 2 4 3" xfId="30556" xr:uid="{00000000-0005-0000-0000-000053770000}"/>
    <cellStyle name="Normal 3 3 16 3 2 5" xfId="30557" xr:uid="{00000000-0005-0000-0000-000054770000}"/>
    <cellStyle name="Normal 3 3 16 3 2 5 2" xfId="30558" xr:uid="{00000000-0005-0000-0000-000055770000}"/>
    <cellStyle name="Normal 3 3 16 3 2 5 3" xfId="30559" xr:uid="{00000000-0005-0000-0000-000056770000}"/>
    <cellStyle name="Normal 3 3 16 3 2 6" xfId="30560" xr:uid="{00000000-0005-0000-0000-000057770000}"/>
    <cellStyle name="Normal 3 3 16 3 2 6 2" xfId="30561" xr:uid="{00000000-0005-0000-0000-000058770000}"/>
    <cellStyle name="Normal 3 3 16 3 2 6 3" xfId="30562" xr:uid="{00000000-0005-0000-0000-000059770000}"/>
    <cellStyle name="Normal 3 3 16 3 2 7" xfId="30563" xr:uid="{00000000-0005-0000-0000-00005A770000}"/>
    <cellStyle name="Normal 3 3 16 3 2 7 2" xfId="30564" xr:uid="{00000000-0005-0000-0000-00005B770000}"/>
    <cellStyle name="Normal 3 3 16 3 2 7 3" xfId="30565" xr:uid="{00000000-0005-0000-0000-00005C770000}"/>
    <cellStyle name="Normal 3 3 16 3 2 8" xfId="30566" xr:uid="{00000000-0005-0000-0000-00005D770000}"/>
    <cellStyle name="Normal 3 3 16 3 2 8 2" xfId="30567" xr:uid="{00000000-0005-0000-0000-00005E770000}"/>
    <cellStyle name="Normal 3 3 16 3 2 8 3" xfId="30568" xr:uid="{00000000-0005-0000-0000-00005F770000}"/>
    <cellStyle name="Normal 3 3 16 3 2 9" xfId="30569" xr:uid="{00000000-0005-0000-0000-000060770000}"/>
    <cellStyle name="Normal 3 3 16 3 2 9 2" xfId="30570" xr:uid="{00000000-0005-0000-0000-000061770000}"/>
    <cellStyle name="Normal 3 3 16 3 2 9 3" xfId="30571" xr:uid="{00000000-0005-0000-0000-000062770000}"/>
    <cellStyle name="Normal 3 3 16 3 3" xfId="30572" xr:uid="{00000000-0005-0000-0000-000063770000}"/>
    <cellStyle name="Normal 3 3 16 3 3 2" xfId="30573" xr:uid="{00000000-0005-0000-0000-000064770000}"/>
    <cellStyle name="Normal 3 3 16 3 3 3" xfId="30574" xr:uid="{00000000-0005-0000-0000-000065770000}"/>
    <cellStyle name="Normal 3 3 16 3 4" xfId="30575" xr:uid="{00000000-0005-0000-0000-000066770000}"/>
    <cellStyle name="Normal 3 3 16 3 4 2" xfId="30576" xr:uid="{00000000-0005-0000-0000-000067770000}"/>
    <cellStyle name="Normal 3 3 16 3 4 3" xfId="30577" xr:uid="{00000000-0005-0000-0000-000068770000}"/>
    <cellStyle name="Normal 3 3 16 3 5" xfId="30578" xr:uid="{00000000-0005-0000-0000-000069770000}"/>
    <cellStyle name="Normal 3 3 16 3 5 2" xfId="30579" xr:uid="{00000000-0005-0000-0000-00006A770000}"/>
    <cellStyle name="Normal 3 3 16 3 5 3" xfId="30580" xr:uid="{00000000-0005-0000-0000-00006B770000}"/>
    <cellStyle name="Normal 3 3 16 3 6" xfId="30581" xr:uid="{00000000-0005-0000-0000-00006C770000}"/>
    <cellStyle name="Normal 3 3 16 3 6 2" xfId="30582" xr:uid="{00000000-0005-0000-0000-00006D770000}"/>
    <cellStyle name="Normal 3 3 16 3 6 3" xfId="30583" xr:uid="{00000000-0005-0000-0000-00006E770000}"/>
    <cellStyle name="Normal 3 3 16 3 7" xfId="30584" xr:uid="{00000000-0005-0000-0000-00006F770000}"/>
    <cellStyle name="Normal 3 3 16 3 7 2" xfId="30585" xr:uid="{00000000-0005-0000-0000-000070770000}"/>
    <cellStyle name="Normal 3 3 16 3 7 3" xfId="30586" xr:uid="{00000000-0005-0000-0000-000071770000}"/>
    <cellStyle name="Normal 3 3 16 3 8" xfId="30587" xr:uid="{00000000-0005-0000-0000-000072770000}"/>
    <cellStyle name="Normal 3 3 16 3 8 2" xfId="30588" xr:uid="{00000000-0005-0000-0000-000073770000}"/>
    <cellStyle name="Normal 3 3 16 3 8 3" xfId="30589" xr:uid="{00000000-0005-0000-0000-000074770000}"/>
    <cellStyle name="Normal 3 3 16 3 9" xfId="30590" xr:uid="{00000000-0005-0000-0000-000075770000}"/>
    <cellStyle name="Normal 3 3 16 3 9 2" xfId="30591" xr:uid="{00000000-0005-0000-0000-000076770000}"/>
    <cellStyle name="Normal 3 3 16 3 9 3" xfId="30592" xr:uid="{00000000-0005-0000-0000-000077770000}"/>
    <cellStyle name="Normal 3 3 16 4" xfId="30593" xr:uid="{00000000-0005-0000-0000-000078770000}"/>
    <cellStyle name="Normal 3 3 16 4 10" xfId="30594" xr:uid="{00000000-0005-0000-0000-000079770000}"/>
    <cellStyle name="Normal 3 3 16 4 10 2" xfId="30595" xr:uid="{00000000-0005-0000-0000-00007A770000}"/>
    <cellStyle name="Normal 3 3 16 4 10 3" xfId="30596" xr:uid="{00000000-0005-0000-0000-00007B770000}"/>
    <cellStyle name="Normal 3 3 16 4 11" xfId="30597" xr:uid="{00000000-0005-0000-0000-00007C770000}"/>
    <cellStyle name="Normal 3 3 16 4 11 2" xfId="30598" xr:uid="{00000000-0005-0000-0000-00007D770000}"/>
    <cellStyle name="Normal 3 3 16 4 11 3" xfId="30599" xr:uid="{00000000-0005-0000-0000-00007E770000}"/>
    <cellStyle name="Normal 3 3 16 4 12" xfId="30600" xr:uid="{00000000-0005-0000-0000-00007F770000}"/>
    <cellStyle name="Normal 3 3 16 4 12 2" xfId="30601" xr:uid="{00000000-0005-0000-0000-000080770000}"/>
    <cellStyle name="Normal 3 3 16 4 12 3" xfId="30602" xr:uid="{00000000-0005-0000-0000-000081770000}"/>
    <cellStyle name="Normal 3 3 16 4 13" xfId="30603" xr:uid="{00000000-0005-0000-0000-000082770000}"/>
    <cellStyle name="Normal 3 3 16 4 13 2" xfId="30604" xr:uid="{00000000-0005-0000-0000-000083770000}"/>
    <cellStyle name="Normal 3 3 16 4 13 3" xfId="30605" xr:uid="{00000000-0005-0000-0000-000084770000}"/>
    <cellStyle name="Normal 3 3 16 4 14" xfId="30606" xr:uid="{00000000-0005-0000-0000-000085770000}"/>
    <cellStyle name="Normal 3 3 16 4 14 2" xfId="30607" xr:uid="{00000000-0005-0000-0000-000086770000}"/>
    <cellStyle name="Normal 3 3 16 4 14 3" xfId="30608" xr:uid="{00000000-0005-0000-0000-000087770000}"/>
    <cellStyle name="Normal 3 3 16 4 15" xfId="30609" xr:uid="{00000000-0005-0000-0000-000088770000}"/>
    <cellStyle name="Normal 3 3 16 4 15 2" xfId="30610" xr:uid="{00000000-0005-0000-0000-000089770000}"/>
    <cellStyle name="Normal 3 3 16 4 15 3" xfId="30611" xr:uid="{00000000-0005-0000-0000-00008A770000}"/>
    <cellStyle name="Normal 3 3 16 4 16" xfId="30612" xr:uid="{00000000-0005-0000-0000-00008B770000}"/>
    <cellStyle name="Normal 3 3 16 4 17" xfId="30613" xr:uid="{00000000-0005-0000-0000-00008C770000}"/>
    <cellStyle name="Normal 3 3 16 4 2" xfId="30614" xr:uid="{00000000-0005-0000-0000-00008D770000}"/>
    <cellStyle name="Normal 3 3 16 4 2 10" xfId="30615" xr:uid="{00000000-0005-0000-0000-00008E770000}"/>
    <cellStyle name="Normal 3 3 16 4 2 10 2" xfId="30616" xr:uid="{00000000-0005-0000-0000-00008F770000}"/>
    <cellStyle name="Normal 3 3 16 4 2 10 3" xfId="30617" xr:uid="{00000000-0005-0000-0000-000090770000}"/>
    <cellStyle name="Normal 3 3 16 4 2 11" xfId="30618" xr:uid="{00000000-0005-0000-0000-000091770000}"/>
    <cellStyle name="Normal 3 3 16 4 2 11 2" xfId="30619" xr:uid="{00000000-0005-0000-0000-000092770000}"/>
    <cellStyle name="Normal 3 3 16 4 2 11 3" xfId="30620" xr:uid="{00000000-0005-0000-0000-000093770000}"/>
    <cellStyle name="Normal 3 3 16 4 2 12" xfId="30621" xr:uid="{00000000-0005-0000-0000-000094770000}"/>
    <cellStyle name="Normal 3 3 16 4 2 12 2" xfId="30622" xr:uid="{00000000-0005-0000-0000-000095770000}"/>
    <cellStyle name="Normal 3 3 16 4 2 12 3" xfId="30623" xr:uid="{00000000-0005-0000-0000-000096770000}"/>
    <cellStyle name="Normal 3 3 16 4 2 13" xfId="30624" xr:uid="{00000000-0005-0000-0000-000097770000}"/>
    <cellStyle name="Normal 3 3 16 4 2 13 2" xfId="30625" xr:uid="{00000000-0005-0000-0000-000098770000}"/>
    <cellStyle name="Normal 3 3 16 4 2 13 3" xfId="30626" xr:uid="{00000000-0005-0000-0000-000099770000}"/>
    <cellStyle name="Normal 3 3 16 4 2 14" xfId="30627" xr:uid="{00000000-0005-0000-0000-00009A770000}"/>
    <cellStyle name="Normal 3 3 16 4 2 14 2" xfId="30628" xr:uid="{00000000-0005-0000-0000-00009B770000}"/>
    <cellStyle name="Normal 3 3 16 4 2 14 3" xfId="30629" xr:uid="{00000000-0005-0000-0000-00009C770000}"/>
    <cellStyle name="Normal 3 3 16 4 2 15" xfId="30630" xr:uid="{00000000-0005-0000-0000-00009D770000}"/>
    <cellStyle name="Normal 3 3 16 4 2 16" xfId="30631" xr:uid="{00000000-0005-0000-0000-00009E770000}"/>
    <cellStyle name="Normal 3 3 16 4 2 2" xfId="30632" xr:uid="{00000000-0005-0000-0000-00009F770000}"/>
    <cellStyle name="Normal 3 3 16 4 2 2 2" xfId="30633" xr:uid="{00000000-0005-0000-0000-0000A0770000}"/>
    <cellStyle name="Normal 3 3 16 4 2 2 3" xfId="30634" xr:uid="{00000000-0005-0000-0000-0000A1770000}"/>
    <cellStyle name="Normal 3 3 16 4 2 3" xfId="30635" xr:uid="{00000000-0005-0000-0000-0000A2770000}"/>
    <cellStyle name="Normal 3 3 16 4 2 3 2" xfId="30636" xr:uid="{00000000-0005-0000-0000-0000A3770000}"/>
    <cellStyle name="Normal 3 3 16 4 2 3 3" xfId="30637" xr:uid="{00000000-0005-0000-0000-0000A4770000}"/>
    <cellStyle name="Normal 3 3 16 4 2 4" xfId="30638" xr:uid="{00000000-0005-0000-0000-0000A5770000}"/>
    <cellStyle name="Normal 3 3 16 4 2 4 2" xfId="30639" xr:uid="{00000000-0005-0000-0000-0000A6770000}"/>
    <cellStyle name="Normal 3 3 16 4 2 4 3" xfId="30640" xr:uid="{00000000-0005-0000-0000-0000A7770000}"/>
    <cellStyle name="Normal 3 3 16 4 2 5" xfId="30641" xr:uid="{00000000-0005-0000-0000-0000A8770000}"/>
    <cellStyle name="Normal 3 3 16 4 2 5 2" xfId="30642" xr:uid="{00000000-0005-0000-0000-0000A9770000}"/>
    <cellStyle name="Normal 3 3 16 4 2 5 3" xfId="30643" xr:uid="{00000000-0005-0000-0000-0000AA770000}"/>
    <cellStyle name="Normal 3 3 16 4 2 6" xfId="30644" xr:uid="{00000000-0005-0000-0000-0000AB770000}"/>
    <cellStyle name="Normal 3 3 16 4 2 6 2" xfId="30645" xr:uid="{00000000-0005-0000-0000-0000AC770000}"/>
    <cellStyle name="Normal 3 3 16 4 2 6 3" xfId="30646" xr:uid="{00000000-0005-0000-0000-0000AD770000}"/>
    <cellStyle name="Normal 3 3 16 4 2 7" xfId="30647" xr:uid="{00000000-0005-0000-0000-0000AE770000}"/>
    <cellStyle name="Normal 3 3 16 4 2 7 2" xfId="30648" xr:uid="{00000000-0005-0000-0000-0000AF770000}"/>
    <cellStyle name="Normal 3 3 16 4 2 7 3" xfId="30649" xr:uid="{00000000-0005-0000-0000-0000B0770000}"/>
    <cellStyle name="Normal 3 3 16 4 2 8" xfId="30650" xr:uid="{00000000-0005-0000-0000-0000B1770000}"/>
    <cellStyle name="Normal 3 3 16 4 2 8 2" xfId="30651" xr:uid="{00000000-0005-0000-0000-0000B2770000}"/>
    <cellStyle name="Normal 3 3 16 4 2 8 3" xfId="30652" xr:uid="{00000000-0005-0000-0000-0000B3770000}"/>
    <cellStyle name="Normal 3 3 16 4 2 9" xfId="30653" xr:uid="{00000000-0005-0000-0000-0000B4770000}"/>
    <cellStyle name="Normal 3 3 16 4 2 9 2" xfId="30654" xr:uid="{00000000-0005-0000-0000-0000B5770000}"/>
    <cellStyle name="Normal 3 3 16 4 2 9 3" xfId="30655" xr:uid="{00000000-0005-0000-0000-0000B6770000}"/>
    <cellStyle name="Normal 3 3 16 4 3" xfId="30656" xr:uid="{00000000-0005-0000-0000-0000B7770000}"/>
    <cellStyle name="Normal 3 3 16 4 3 2" xfId="30657" xr:uid="{00000000-0005-0000-0000-0000B8770000}"/>
    <cellStyle name="Normal 3 3 16 4 3 3" xfId="30658" xr:uid="{00000000-0005-0000-0000-0000B9770000}"/>
    <cellStyle name="Normal 3 3 16 4 4" xfId="30659" xr:uid="{00000000-0005-0000-0000-0000BA770000}"/>
    <cellStyle name="Normal 3 3 16 4 4 2" xfId="30660" xr:uid="{00000000-0005-0000-0000-0000BB770000}"/>
    <cellStyle name="Normal 3 3 16 4 4 3" xfId="30661" xr:uid="{00000000-0005-0000-0000-0000BC770000}"/>
    <cellStyle name="Normal 3 3 16 4 5" xfId="30662" xr:uid="{00000000-0005-0000-0000-0000BD770000}"/>
    <cellStyle name="Normal 3 3 16 4 5 2" xfId="30663" xr:uid="{00000000-0005-0000-0000-0000BE770000}"/>
    <cellStyle name="Normal 3 3 16 4 5 3" xfId="30664" xr:uid="{00000000-0005-0000-0000-0000BF770000}"/>
    <cellStyle name="Normal 3 3 16 4 6" xfId="30665" xr:uid="{00000000-0005-0000-0000-0000C0770000}"/>
    <cellStyle name="Normal 3 3 16 4 6 2" xfId="30666" xr:uid="{00000000-0005-0000-0000-0000C1770000}"/>
    <cellStyle name="Normal 3 3 16 4 6 3" xfId="30667" xr:uid="{00000000-0005-0000-0000-0000C2770000}"/>
    <cellStyle name="Normal 3 3 16 4 7" xfId="30668" xr:uid="{00000000-0005-0000-0000-0000C3770000}"/>
    <cellStyle name="Normal 3 3 16 4 7 2" xfId="30669" xr:uid="{00000000-0005-0000-0000-0000C4770000}"/>
    <cellStyle name="Normal 3 3 16 4 7 3" xfId="30670" xr:uid="{00000000-0005-0000-0000-0000C5770000}"/>
    <cellStyle name="Normal 3 3 16 4 8" xfId="30671" xr:uid="{00000000-0005-0000-0000-0000C6770000}"/>
    <cellStyle name="Normal 3 3 16 4 8 2" xfId="30672" xr:uid="{00000000-0005-0000-0000-0000C7770000}"/>
    <cellStyle name="Normal 3 3 16 4 8 3" xfId="30673" xr:uid="{00000000-0005-0000-0000-0000C8770000}"/>
    <cellStyle name="Normal 3 3 16 4 9" xfId="30674" xr:uid="{00000000-0005-0000-0000-0000C9770000}"/>
    <cellStyle name="Normal 3 3 16 4 9 2" xfId="30675" xr:uid="{00000000-0005-0000-0000-0000CA770000}"/>
    <cellStyle name="Normal 3 3 16 4 9 3" xfId="30676" xr:uid="{00000000-0005-0000-0000-0000CB770000}"/>
    <cellStyle name="Normal 3 3 16 5" xfId="30677" xr:uid="{00000000-0005-0000-0000-0000CC770000}"/>
    <cellStyle name="Normal 3 3 16 5 10" xfId="30678" xr:uid="{00000000-0005-0000-0000-0000CD770000}"/>
    <cellStyle name="Normal 3 3 16 5 10 2" xfId="30679" xr:uid="{00000000-0005-0000-0000-0000CE770000}"/>
    <cellStyle name="Normal 3 3 16 5 10 3" xfId="30680" xr:uid="{00000000-0005-0000-0000-0000CF770000}"/>
    <cellStyle name="Normal 3 3 16 5 11" xfId="30681" xr:uid="{00000000-0005-0000-0000-0000D0770000}"/>
    <cellStyle name="Normal 3 3 16 5 11 2" xfId="30682" xr:uid="{00000000-0005-0000-0000-0000D1770000}"/>
    <cellStyle name="Normal 3 3 16 5 11 3" xfId="30683" xr:uid="{00000000-0005-0000-0000-0000D2770000}"/>
    <cellStyle name="Normal 3 3 16 5 12" xfId="30684" xr:uid="{00000000-0005-0000-0000-0000D3770000}"/>
    <cellStyle name="Normal 3 3 16 5 12 2" xfId="30685" xr:uid="{00000000-0005-0000-0000-0000D4770000}"/>
    <cellStyle name="Normal 3 3 16 5 12 3" xfId="30686" xr:uid="{00000000-0005-0000-0000-0000D5770000}"/>
    <cellStyle name="Normal 3 3 16 5 13" xfId="30687" xr:uid="{00000000-0005-0000-0000-0000D6770000}"/>
    <cellStyle name="Normal 3 3 16 5 13 2" xfId="30688" xr:uid="{00000000-0005-0000-0000-0000D7770000}"/>
    <cellStyle name="Normal 3 3 16 5 13 3" xfId="30689" xr:uid="{00000000-0005-0000-0000-0000D8770000}"/>
    <cellStyle name="Normal 3 3 16 5 14" xfId="30690" xr:uid="{00000000-0005-0000-0000-0000D9770000}"/>
    <cellStyle name="Normal 3 3 16 5 14 2" xfId="30691" xr:uid="{00000000-0005-0000-0000-0000DA770000}"/>
    <cellStyle name="Normal 3 3 16 5 14 3" xfId="30692" xr:uid="{00000000-0005-0000-0000-0000DB770000}"/>
    <cellStyle name="Normal 3 3 16 5 15" xfId="30693" xr:uid="{00000000-0005-0000-0000-0000DC770000}"/>
    <cellStyle name="Normal 3 3 16 5 16" xfId="30694" xr:uid="{00000000-0005-0000-0000-0000DD770000}"/>
    <cellStyle name="Normal 3 3 16 5 2" xfId="30695" xr:uid="{00000000-0005-0000-0000-0000DE770000}"/>
    <cellStyle name="Normal 3 3 16 5 2 2" xfId="30696" xr:uid="{00000000-0005-0000-0000-0000DF770000}"/>
    <cellStyle name="Normal 3 3 16 5 2 3" xfId="30697" xr:uid="{00000000-0005-0000-0000-0000E0770000}"/>
    <cellStyle name="Normal 3 3 16 5 3" xfId="30698" xr:uid="{00000000-0005-0000-0000-0000E1770000}"/>
    <cellStyle name="Normal 3 3 16 5 3 2" xfId="30699" xr:uid="{00000000-0005-0000-0000-0000E2770000}"/>
    <cellStyle name="Normal 3 3 16 5 3 3" xfId="30700" xr:uid="{00000000-0005-0000-0000-0000E3770000}"/>
    <cellStyle name="Normal 3 3 16 5 4" xfId="30701" xr:uid="{00000000-0005-0000-0000-0000E4770000}"/>
    <cellStyle name="Normal 3 3 16 5 4 2" xfId="30702" xr:uid="{00000000-0005-0000-0000-0000E5770000}"/>
    <cellStyle name="Normal 3 3 16 5 4 3" xfId="30703" xr:uid="{00000000-0005-0000-0000-0000E6770000}"/>
    <cellStyle name="Normal 3 3 16 5 5" xfId="30704" xr:uid="{00000000-0005-0000-0000-0000E7770000}"/>
    <cellStyle name="Normal 3 3 16 5 5 2" xfId="30705" xr:uid="{00000000-0005-0000-0000-0000E8770000}"/>
    <cellStyle name="Normal 3 3 16 5 5 3" xfId="30706" xr:uid="{00000000-0005-0000-0000-0000E9770000}"/>
    <cellStyle name="Normal 3 3 16 5 6" xfId="30707" xr:uid="{00000000-0005-0000-0000-0000EA770000}"/>
    <cellStyle name="Normal 3 3 16 5 6 2" xfId="30708" xr:uid="{00000000-0005-0000-0000-0000EB770000}"/>
    <cellStyle name="Normal 3 3 16 5 6 3" xfId="30709" xr:uid="{00000000-0005-0000-0000-0000EC770000}"/>
    <cellStyle name="Normal 3 3 16 5 7" xfId="30710" xr:uid="{00000000-0005-0000-0000-0000ED770000}"/>
    <cellStyle name="Normal 3 3 16 5 7 2" xfId="30711" xr:uid="{00000000-0005-0000-0000-0000EE770000}"/>
    <cellStyle name="Normal 3 3 16 5 7 3" xfId="30712" xr:uid="{00000000-0005-0000-0000-0000EF770000}"/>
    <cellStyle name="Normal 3 3 16 5 8" xfId="30713" xr:uid="{00000000-0005-0000-0000-0000F0770000}"/>
    <cellStyle name="Normal 3 3 16 5 8 2" xfId="30714" xr:uid="{00000000-0005-0000-0000-0000F1770000}"/>
    <cellStyle name="Normal 3 3 16 5 8 3" xfId="30715" xr:uid="{00000000-0005-0000-0000-0000F2770000}"/>
    <cellStyle name="Normal 3 3 16 5 9" xfId="30716" xr:uid="{00000000-0005-0000-0000-0000F3770000}"/>
    <cellStyle name="Normal 3 3 16 5 9 2" xfId="30717" xr:uid="{00000000-0005-0000-0000-0000F4770000}"/>
    <cellStyle name="Normal 3 3 16 5 9 3" xfId="30718" xr:uid="{00000000-0005-0000-0000-0000F5770000}"/>
    <cellStyle name="Normal 3 3 16 6" xfId="30719" xr:uid="{00000000-0005-0000-0000-0000F6770000}"/>
    <cellStyle name="Normal 3 3 16 6 10" xfId="30720" xr:uid="{00000000-0005-0000-0000-0000F7770000}"/>
    <cellStyle name="Normal 3 3 16 6 10 2" xfId="30721" xr:uid="{00000000-0005-0000-0000-0000F8770000}"/>
    <cellStyle name="Normal 3 3 16 6 10 3" xfId="30722" xr:uid="{00000000-0005-0000-0000-0000F9770000}"/>
    <cellStyle name="Normal 3 3 16 6 11" xfId="30723" xr:uid="{00000000-0005-0000-0000-0000FA770000}"/>
    <cellStyle name="Normal 3 3 16 6 11 2" xfId="30724" xr:uid="{00000000-0005-0000-0000-0000FB770000}"/>
    <cellStyle name="Normal 3 3 16 6 11 3" xfId="30725" xr:uid="{00000000-0005-0000-0000-0000FC770000}"/>
    <cellStyle name="Normal 3 3 16 6 12" xfId="30726" xr:uid="{00000000-0005-0000-0000-0000FD770000}"/>
    <cellStyle name="Normal 3 3 16 6 12 2" xfId="30727" xr:uid="{00000000-0005-0000-0000-0000FE770000}"/>
    <cellStyle name="Normal 3 3 16 6 12 3" xfId="30728" xr:uid="{00000000-0005-0000-0000-0000FF770000}"/>
    <cellStyle name="Normal 3 3 16 6 13" xfId="30729" xr:uid="{00000000-0005-0000-0000-000000780000}"/>
    <cellStyle name="Normal 3 3 16 6 13 2" xfId="30730" xr:uid="{00000000-0005-0000-0000-000001780000}"/>
    <cellStyle name="Normal 3 3 16 6 13 3" xfId="30731" xr:uid="{00000000-0005-0000-0000-000002780000}"/>
    <cellStyle name="Normal 3 3 16 6 14" xfId="30732" xr:uid="{00000000-0005-0000-0000-000003780000}"/>
    <cellStyle name="Normal 3 3 16 6 14 2" xfId="30733" xr:uid="{00000000-0005-0000-0000-000004780000}"/>
    <cellStyle name="Normal 3 3 16 6 14 3" xfId="30734" xr:uid="{00000000-0005-0000-0000-000005780000}"/>
    <cellStyle name="Normal 3 3 16 6 15" xfId="30735" xr:uid="{00000000-0005-0000-0000-000006780000}"/>
    <cellStyle name="Normal 3 3 16 6 16" xfId="30736" xr:uid="{00000000-0005-0000-0000-000007780000}"/>
    <cellStyle name="Normal 3 3 16 6 2" xfId="30737" xr:uid="{00000000-0005-0000-0000-000008780000}"/>
    <cellStyle name="Normal 3 3 16 6 2 2" xfId="30738" xr:uid="{00000000-0005-0000-0000-000009780000}"/>
    <cellStyle name="Normal 3 3 16 6 2 3" xfId="30739" xr:uid="{00000000-0005-0000-0000-00000A780000}"/>
    <cellStyle name="Normal 3 3 16 6 3" xfId="30740" xr:uid="{00000000-0005-0000-0000-00000B780000}"/>
    <cellStyle name="Normal 3 3 16 6 3 2" xfId="30741" xr:uid="{00000000-0005-0000-0000-00000C780000}"/>
    <cellStyle name="Normal 3 3 16 6 3 3" xfId="30742" xr:uid="{00000000-0005-0000-0000-00000D780000}"/>
    <cellStyle name="Normal 3 3 16 6 4" xfId="30743" xr:uid="{00000000-0005-0000-0000-00000E780000}"/>
    <cellStyle name="Normal 3 3 16 6 4 2" xfId="30744" xr:uid="{00000000-0005-0000-0000-00000F780000}"/>
    <cellStyle name="Normal 3 3 16 6 4 3" xfId="30745" xr:uid="{00000000-0005-0000-0000-000010780000}"/>
    <cellStyle name="Normal 3 3 16 6 5" xfId="30746" xr:uid="{00000000-0005-0000-0000-000011780000}"/>
    <cellStyle name="Normal 3 3 16 6 5 2" xfId="30747" xr:uid="{00000000-0005-0000-0000-000012780000}"/>
    <cellStyle name="Normal 3 3 16 6 5 3" xfId="30748" xr:uid="{00000000-0005-0000-0000-000013780000}"/>
    <cellStyle name="Normal 3 3 16 6 6" xfId="30749" xr:uid="{00000000-0005-0000-0000-000014780000}"/>
    <cellStyle name="Normal 3 3 16 6 6 2" xfId="30750" xr:uid="{00000000-0005-0000-0000-000015780000}"/>
    <cellStyle name="Normal 3 3 16 6 6 3" xfId="30751" xr:uid="{00000000-0005-0000-0000-000016780000}"/>
    <cellStyle name="Normal 3 3 16 6 7" xfId="30752" xr:uid="{00000000-0005-0000-0000-000017780000}"/>
    <cellStyle name="Normal 3 3 16 6 7 2" xfId="30753" xr:uid="{00000000-0005-0000-0000-000018780000}"/>
    <cellStyle name="Normal 3 3 16 6 7 3" xfId="30754" xr:uid="{00000000-0005-0000-0000-000019780000}"/>
    <cellStyle name="Normal 3 3 16 6 8" xfId="30755" xr:uid="{00000000-0005-0000-0000-00001A780000}"/>
    <cellStyle name="Normal 3 3 16 6 8 2" xfId="30756" xr:uid="{00000000-0005-0000-0000-00001B780000}"/>
    <cellStyle name="Normal 3 3 16 6 8 3" xfId="30757" xr:uid="{00000000-0005-0000-0000-00001C780000}"/>
    <cellStyle name="Normal 3 3 16 6 9" xfId="30758" xr:uid="{00000000-0005-0000-0000-00001D780000}"/>
    <cellStyle name="Normal 3 3 16 6 9 2" xfId="30759" xr:uid="{00000000-0005-0000-0000-00001E780000}"/>
    <cellStyle name="Normal 3 3 16 6 9 3" xfId="30760" xr:uid="{00000000-0005-0000-0000-00001F780000}"/>
    <cellStyle name="Normal 3 3 16 7" xfId="30761" xr:uid="{00000000-0005-0000-0000-000020780000}"/>
    <cellStyle name="Normal 3 3 16 7 10" xfId="30762" xr:uid="{00000000-0005-0000-0000-000021780000}"/>
    <cellStyle name="Normal 3 3 16 7 10 2" xfId="30763" xr:uid="{00000000-0005-0000-0000-000022780000}"/>
    <cellStyle name="Normal 3 3 16 7 10 3" xfId="30764" xr:uid="{00000000-0005-0000-0000-000023780000}"/>
    <cellStyle name="Normal 3 3 16 7 11" xfId="30765" xr:uid="{00000000-0005-0000-0000-000024780000}"/>
    <cellStyle name="Normal 3 3 16 7 11 2" xfId="30766" xr:uid="{00000000-0005-0000-0000-000025780000}"/>
    <cellStyle name="Normal 3 3 16 7 11 3" xfId="30767" xr:uid="{00000000-0005-0000-0000-000026780000}"/>
    <cellStyle name="Normal 3 3 16 7 12" xfId="30768" xr:uid="{00000000-0005-0000-0000-000027780000}"/>
    <cellStyle name="Normal 3 3 16 7 12 2" xfId="30769" xr:uid="{00000000-0005-0000-0000-000028780000}"/>
    <cellStyle name="Normal 3 3 16 7 12 3" xfId="30770" xr:uid="{00000000-0005-0000-0000-000029780000}"/>
    <cellStyle name="Normal 3 3 16 7 13" xfId="30771" xr:uid="{00000000-0005-0000-0000-00002A780000}"/>
    <cellStyle name="Normal 3 3 16 7 13 2" xfId="30772" xr:uid="{00000000-0005-0000-0000-00002B780000}"/>
    <cellStyle name="Normal 3 3 16 7 13 3" xfId="30773" xr:uid="{00000000-0005-0000-0000-00002C780000}"/>
    <cellStyle name="Normal 3 3 16 7 14" xfId="30774" xr:uid="{00000000-0005-0000-0000-00002D780000}"/>
    <cellStyle name="Normal 3 3 16 7 14 2" xfId="30775" xr:uid="{00000000-0005-0000-0000-00002E780000}"/>
    <cellStyle name="Normal 3 3 16 7 14 3" xfId="30776" xr:uid="{00000000-0005-0000-0000-00002F780000}"/>
    <cellStyle name="Normal 3 3 16 7 15" xfId="30777" xr:uid="{00000000-0005-0000-0000-000030780000}"/>
    <cellStyle name="Normal 3 3 16 7 16" xfId="30778" xr:uid="{00000000-0005-0000-0000-000031780000}"/>
    <cellStyle name="Normal 3 3 16 7 2" xfId="30779" xr:uid="{00000000-0005-0000-0000-000032780000}"/>
    <cellStyle name="Normal 3 3 16 7 2 2" xfId="30780" xr:uid="{00000000-0005-0000-0000-000033780000}"/>
    <cellStyle name="Normal 3 3 16 7 2 3" xfId="30781" xr:uid="{00000000-0005-0000-0000-000034780000}"/>
    <cellStyle name="Normal 3 3 16 7 3" xfId="30782" xr:uid="{00000000-0005-0000-0000-000035780000}"/>
    <cellStyle name="Normal 3 3 16 7 3 2" xfId="30783" xr:uid="{00000000-0005-0000-0000-000036780000}"/>
    <cellStyle name="Normal 3 3 16 7 3 3" xfId="30784" xr:uid="{00000000-0005-0000-0000-000037780000}"/>
    <cellStyle name="Normal 3 3 16 7 4" xfId="30785" xr:uid="{00000000-0005-0000-0000-000038780000}"/>
    <cellStyle name="Normal 3 3 16 7 4 2" xfId="30786" xr:uid="{00000000-0005-0000-0000-000039780000}"/>
    <cellStyle name="Normal 3 3 16 7 4 3" xfId="30787" xr:uid="{00000000-0005-0000-0000-00003A780000}"/>
    <cellStyle name="Normal 3 3 16 7 5" xfId="30788" xr:uid="{00000000-0005-0000-0000-00003B780000}"/>
    <cellStyle name="Normal 3 3 16 7 5 2" xfId="30789" xr:uid="{00000000-0005-0000-0000-00003C780000}"/>
    <cellStyle name="Normal 3 3 16 7 5 3" xfId="30790" xr:uid="{00000000-0005-0000-0000-00003D780000}"/>
    <cellStyle name="Normal 3 3 16 7 6" xfId="30791" xr:uid="{00000000-0005-0000-0000-00003E780000}"/>
    <cellStyle name="Normal 3 3 16 7 6 2" xfId="30792" xr:uid="{00000000-0005-0000-0000-00003F780000}"/>
    <cellStyle name="Normal 3 3 16 7 6 3" xfId="30793" xr:uid="{00000000-0005-0000-0000-000040780000}"/>
    <cellStyle name="Normal 3 3 16 7 7" xfId="30794" xr:uid="{00000000-0005-0000-0000-000041780000}"/>
    <cellStyle name="Normal 3 3 16 7 7 2" xfId="30795" xr:uid="{00000000-0005-0000-0000-000042780000}"/>
    <cellStyle name="Normal 3 3 16 7 7 3" xfId="30796" xr:uid="{00000000-0005-0000-0000-000043780000}"/>
    <cellStyle name="Normal 3 3 16 7 8" xfId="30797" xr:uid="{00000000-0005-0000-0000-000044780000}"/>
    <cellStyle name="Normal 3 3 16 7 8 2" xfId="30798" xr:uid="{00000000-0005-0000-0000-000045780000}"/>
    <cellStyle name="Normal 3 3 16 7 8 3" xfId="30799" xr:uid="{00000000-0005-0000-0000-000046780000}"/>
    <cellStyle name="Normal 3 3 16 7 9" xfId="30800" xr:uid="{00000000-0005-0000-0000-000047780000}"/>
    <cellStyle name="Normal 3 3 16 7 9 2" xfId="30801" xr:uid="{00000000-0005-0000-0000-000048780000}"/>
    <cellStyle name="Normal 3 3 16 7 9 3" xfId="30802" xr:uid="{00000000-0005-0000-0000-000049780000}"/>
    <cellStyle name="Normal 3 3 16 8" xfId="30803" xr:uid="{00000000-0005-0000-0000-00004A780000}"/>
    <cellStyle name="Normal 3 3 16 8 10" xfId="30804" xr:uid="{00000000-0005-0000-0000-00004B780000}"/>
    <cellStyle name="Normal 3 3 16 8 10 2" xfId="30805" xr:uid="{00000000-0005-0000-0000-00004C780000}"/>
    <cellStyle name="Normal 3 3 16 8 10 3" xfId="30806" xr:uid="{00000000-0005-0000-0000-00004D780000}"/>
    <cellStyle name="Normal 3 3 16 8 11" xfId="30807" xr:uid="{00000000-0005-0000-0000-00004E780000}"/>
    <cellStyle name="Normal 3 3 16 8 11 2" xfId="30808" xr:uid="{00000000-0005-0000-0000-00004F780000}"/>
    <cellStyle name="Normal 3 3 16 8 11 3" xfId="30809" xr:uid="{00000000-0005-0000-0000-000050780000}"/>
    <cellStyle name="Normal 3 3 16 8 12" xfId="30810" xr:uid="{00000000-0005-0000-0000-000051780000}"/>
    <cellStyle name="Normal 3 3 16 8 12 2" xfId="30811" xr:uid="{00000000-0005-0000-0000-000052780000}"/>
    <cellStyle name="Normal 3 3 16 8 12 3" xfId="30812" xr:uid="{00000000-0005-0000-0000-000053780000}"/>
    <cellStyle name="Normal 3 3 16 8 13" xfId="30813" xr:uid="{00000000-0005-0000-0000-000054780000}"/>
    <cellStyle name="Normal 3 3 16 8 13 2" xfId="30814" xr:uid="{00000000-0005-0000-0000-000055780000}"/>
    <cellStyle name="Normal 3 3 16 8 13 3" xfId="30815" xr:uid="{00000000-0005-0000-0000-000056780000}"/>
    <cellStyle name="Normal 3 3 16 8 14" xfId="30816" xr:uid="{00000000-0005-0000-0000-000057780000}"/>
    <cellStyle name="Normal 3 3 16 8 14 2" xfId="30817" xr:uid="{00000000-0005-0000-0000-000058780000}"/>
    <cellStyle name="Normal 3 3 16 8 14 3" xfId="30818" xr:uid="{00000000-0005-0000-0000-000059780000}"/>
    <cellStyle name="Normal 3 3 16 8 15" xfId="30819" xr:uid="{00000000-0005-0000-0000-00005A780000}"/>
    <cellStyle name="Normal 3 3 16 8 16" xfId="30820" xr:uid="{00000000-0005-0000-0000-00005B780000}"/>
    <cellStyle name="Normal 3 3 16 8 2" xfId="30821" xr:uid="{00000000-0005-0000-0000-00005C780000}"/>
    <cellStyle name="Normal 3 3 16 8 2 2" xfId="30822" xr:uid="{00000000-0005-0000-0000-00005D780000}"/>
    <cellStyle name="Normal 3 3 16 8 2 3" xfId="30823" xr:uid="{00000000-0005-0000-0000-00005E780000}"/>
    <cellStyle name="Normal 3 3 16 8 3" xfId="30824" xr:uid="{00000000-0005-0000-0000-00005F780000}"/>
    <cellStyle name="Normal 3 3 16 8 3 2" xfId="30825" xr:uid="{00000000-0005-0000-0000-000060780000}"/>
    <cellStyle name="Normal 3 3 16 8 3 3" xfId="30826" xr:uid="{00000000-0005-0000-0000-000061780000}"/>
    <cellStyle name="Normal 3 3 16 8 4" xfId="30827" xr:uid="{00000000-0005-0000-0000-000062780000}"/>
    <cellStyle name="Normal 3 3 16 8 4 2" xfId="30828" xr:uid="{00000000-0005-0000-0000-000063780000}"/>
    <cellStyle name="Normal 3 3 16 8 4 3" xfId="30829" xr:uid="{00000000-0005-0000-0000-000064780000}"/>
    <cellStyle name="Normal 3 3 16 8 5" xfId="30830" xr:uid="{00000000-0005-0000-0000-000065780000}"/>
    <cellStyle name="Normal 3 3 16 8 5 2" xfId="30831" xr:uid="{00000000-0005-0000-0000-000066780000}"/>
    <cellStyle name="Normal 3 3 16 8 5 3" xfId="30832" xr:uid="{00000000-0005-0000-0000-000067780000}"/>
    <cellStyle name="Normal 3 3 16 8 6" xfId="30833" xr:uid="{00000000-0005-0000-0000-000068780000}"/>
    <cellStyle name="Normal 3 3 16 8 6 2" xfId="30834" xr:uid="{00000000-0005-0000-0000-000069780000}"/>
    <cellStyle name="Normal 3 3 16 8 6 3" xfId="30835" xr:uid="{00000000-0005-0000-0000-00006A780000}"/>
    <cellStyle name="Normal 3 3 16 8 7" xfId="30836" xr:uid="{00000000-0005-0000-0000-00006B780000}"/>
    <cellStyle name="Normal 3 3 16 8 7 2" xfId="30837" xr:uid="{00000000-0005-0000-0000-00006C780000}"/>
    <cellStyle name="Normal 3 3 16 8 7 3" xfId="30838" xr:uid="{00000000-0005-0000-0000-00006D780000}"/>
    <cellStyle name="Normal 3 3 16 8 8" xfId="30839" xr:uid="{00000000-0005-0000-0000-00006E780000}"/>
    <cellStyle name="Normal 3 3 16 8 8 2" xfId="30840" xr:uid="{00000000-0005-0000-0000-00006F780000}"/>
    <cellStyle name="Normal 3 3 16 8 8 3" xfId="30841" xr:uid="{00000000-0005-0000-0000-000070780000}"/>
    <cellStyle name="Normal 3 3 16 8 9" xfId="30842" xr:uid="{00000000-0005-0000-0000-000071780000}"/>
    <cellStyle name="Normal 3 3 16 8 9 2" xfId="30843" xr:uid="{00000000-0005-0000-0000-000072780000}"/>
    <cellStyle name="Normal 3 3 16 8 9 3" xfId="30844" xr:uid="{00000000-0005-0000-0000-000073780000}"/>
    <cellStyle name="Normal 3 3 16 9" xfId="30845" xr:uid="{00000000-0005-0000-0000-000074780000}"/>
    <cellStyle name="Normal 3 3 16 9 10" xfId="30846" xr:uid="{00000000-0005-0000-0000-000075780000}"/>
    <cellStyle name="Normal 3 3 16 9 10 2" xfId="30847" xr:uid="{00000000-0005-0000-0000-000076780000}"/>
    <cellStyle name="Normal 3 3 16 9 10 3" xfId="30848" xr:uid="{00000000-0005-0000-0000-000077780000}"/>
    <cellStyle name="Normal 3 3 16 9 11" xfId="30849" xr:uid="{00000000-0005-0000-0000-000078780000}"/>
    <cellStyle name="Normal 3 3 16 9 11 2" xfId="30850" xr:uid="{00000000-0005-0000-0000-000079780000}"/>
    <cellStyle name="Normal 3 3 16 9 11 3" xfId="30851" xr:uid="{00000000-0005-0000-0000-00007A780000}"/>
    <cellStyle name="Normal 3 3 16 9 12" xfId="30852" xr:uid="{00000000-0005-0000-0000-00007B780000}"/>
    <cellStyle name="Normal 3 3 16 9 12 2" xfId="30853" xr:uid="{00000000-0005-0000-0000-00007C780000}"/>
    <cellStyle name="Normal 3 3 16 9 12 3" xfId="30854" xr:uid="{00000000-0005-0000-0000-00007D780000}"/>
    <cellStyle name="Normal 3 3 16 9 13" xfId="30855" xr:uid="{00000000-0005-0000-0000-00007E780000}"/>
    <cellStyle name="Normal 3 3 16 9 13 2" xfId="30856" xr:uid="{00000000-0005-0000-0000-00007F780000}"/>
    <cellStyle name="Normal 3 3 16 9 13 3" xfId="30857" xr:uid="{00000000-0005-0000-0000-000080780000}"/>
    <cellStyle name="Normal 3 3 16 9 14" xfId="30858" xr:uid="{00000000-0005-0000-0000-000081780000}"/>
    <cellStyle name="Normal 3 3 16 9 14 2" xfId="30859" xr:uid="{00000000-0005-0000-0000-000082780000}"/>
    <cellStyle name="Normal 3 3 16 9 14 3" xfId="30860" xr:uid="{00000000-0005-0000-0000-000083780000}"/>
    <cellStyle name="Normal 3 3 16 9 15" xfId="30861" xr:uid="{00000000-0005-0000-0000-000084780000}"/>
    <cellStyle name="Normal 3 3 16 9 16" xfId="30862" xr:uid="{00000000-0005-0000-0000-000085780000}"/>
    <cellStyle name="Normal 3 3 16 9 2" xfId="30863" xr:uid="{00000000-0005-0000-0000-000086780000}"/>
    <cellStyle name="Normal 3 3 16 9 2 2" xfId="30864" xr:uid="{00000000-0005-0000-0000-000087780000}"/>
    <cellStyle name="Normal 3 3 16 9 2 3" xfId="30865" xr:uid="{00000000-0005-0000-0000-000088780000}"/>
    <cellStyle name="Normal 3 3 16 9 3" xfId="30866" xr:uid="{00000000-0005-0000-0000-000089780000}"/>
    <cellStyle name="Normal 3 3 16 9 3 2" xfId="30867" xr:uid="{00000000-0005-0000-0000-00008A780000}"/>
    <cellStyle name="Normal 3 3 16 9 3 3" xfId="30868" xr:uid="{00000000-0005-0000-0000-00008B780000}"/>
    <cellStyle name="Normal 3 3 16 9 4" xfId="30869" xr:uid="{00000000-0005-0000-0000-00008C780000}"/>
    <cellStyle name="Normal 3 3 16 9 4 2" xfId="30870" xr:uid="{00000000-0005-0000-0000-00008D780000}"/>
    <cellStyle name="Normal 3 3 16 9 4 3" xfId="30871" xr:uid="{00000000-0005-0000-0000-00008E780000}"/>
    <cellStyle name="Normal 3 3 16 9 5" xfId="30872" xr:uid="{00000000-0005-0000-0000-00008F780000}"/>
    <cellStyle name="Normal 3 3 16 9 5 2" xfId="30873" xr:uid="{00000000-0005-0000-0000-000090780000}"/>
    <cellStyle name="Normal 3 3 16 9 5 3" xfId="30874" xr:uid="{00000000-0005-0000-0000-000091780000}"/>
    <cellStyle name="Normal 3 3 16 9 6" xfId="30875" xr:uid="{00000000-0005-0000-0000-000092780000}"/>
    <cellStyle name="Normal 3 3 16 9 6 2" xfId="30876" xr:uid="{00000000-0005-0000-0000-000093780000}"/>
    <cellStyle name="Normal 3 3 16 9 6 3" xfId="30877" xr:uid="{00000000-0005-0000-0000-000094780000}"/>
    <cellStyle name="Normal 3 3 16 9 7" xfId="30878" xr:uid="{00000000-0005-0000-0000-000095780000}"/>
    <cellStyle name="Normal 3 3 16 9 7 2" xfId="30879" xr:uid="{00000000-0005-0000-0000-000096780000}"/>
    <cellStyle name="Normal 3 3 16 9 7 3" xfId="30880" xr:uid="{00000000-0005-0000-0000-000097780000}"/>
    <cellStyle name="Normal 3 3 16 9 8" xfId="30881" xr:uid="{00000000-0005-0000-0000-000098780000}"/>
    <cellStyle name="Normal 3 3 16 9 8 2" xfId="30882" xr:uid="{00000000-0005-0000-0000-000099780000}"/>
    <cellStyle name="Normal 3 3 16 9 8 3" xfId="30883" xr:uid="{00000000-0005-0000-0000-00009A780000}"/>
    <cellStyle name="Normal 3 3 16 9 9" xfId="30884" xr:uid="{00000000-0005-0000-0000-00009B780000}"/>
    <cellStyle name="Normal 3 3 16 9 9 2" xfId="30885" xr:uid="{00000000-0005-0000-0000-00009C780000}"/>
    <cellStyle name="Normal 3 3 16 9 9 3" xfId="30886" xr:uid="{00000000-0005-0000-0000-00009D780000}"/>
    <cellStyle name="Normal 3 3 17" xfId="30887" xr:uid="{00000000-0005-0000-0000-00009E780000}"/>
    <cellStyle name="Normal 3 3 17 10" xfId="30888" xr:uid="{00000000-0005-0000-0000-00009F780000}"/>
    <cellStyle name="Normal 3 3 17 10 10" xfId="30889" xr:uid="{00000000-0005-0000-0000-0000A0780000}"/>
    <cellStyle name="Normal 3 3 17 10 10 2" xfId="30890" xr:uid="{00000000-0005-0000-0000-0000A1780000}"/>
    <cellStyle name="Normal 3 3 17 10 10 3" xfId="30891" xr:uid="{00000000-0005-0000-0000-0000A2780000}"/>
    <cellStyle name="Normal 3 3 17 10 11" xfId="30892" xr:uid="{00000000-0005-0000-0000-0000A3780000}"/>
    <cellStyle name="Normal 3 3 17 10 11 2" xfId="30893" xr:uid="{00000000-0005-0000-0000-0000A4780000}"/>
    <cellStyle name="Normal 3 3 17 10 11 3" xfId="30894" xr:uid="{00000000-0005-0000-0000-0000A5780000}"/>
    <cellStyle name="Normal 3 3 17 10 12" xfId="30895" xr:uid="{00000000-0005-0000-0000-0000A6780000}"/>
    <cellStyle name="Normal 3 3 17 10 12 2" xfId="30896" xr:uid="{00000000-0005-0000-0000-0000A7780000}"/>
    <cellStyle name="Normal 3 3 17 10 12 3" xfId="30897" xr:uid="{00000000-0005-0000-0000-0000A8780000}"/>
    <cellStyle name="Normal 3 3 17 10 13" xfId="30898" xr:uid="{00000000-0005-0000-0000-0000A9780000}"/>
    <cellStyle name="Normal 3 3 17 10 13 2" xfId="30899" xr:uid="{00000000-0005-0000-0000-0000AA780000}"/>
    <cellStyle name="Normal 3 3 17 10 13 3" xfId="30900" xr:uid="{00000000-0005-0000-0000-0000AB780000}"/>
    <cellStyle name="Normal 3 3 17 10 14" xfId="30901" xr:uid="{00000000-0005-0000-0000-0000AC780000}"/>
    <cellStyle name="Normal 3 3 17 10 14 2" xfId="30902" xr:uid="{00000000-0005-0000-0000-0000AD780000}"/>
    <cellStyle name="Normal 3 3 17 10 14 3" xfId="30903" xr:uid="{00000000-0005-0000-0000-0000AE780000}"/>
    <cellStyle name="Normal 3 3 17 10 15" xfId="30904" xr:uid="{00000000-0005-0000-0000-0000AF780000}"/>
    <cellStyle name="Normal 3 3 17 10 16" xfId="30905" xr:uid="{00000000-0005-0000-0000-0000B0780000}"/>
    <cellStyle name="Normal 3 3 17 10 2" xfId="30906" xr:uid="{00000000-0005-0000-0000-0000B1780000}"/>
    <cellStyle name="Normal 3 3 17 10 2 2" xfId="30907" xr:uid="{00000000-0005-0000-0000-0000B2780000}"/>
    <cellStyle name="Normal 3 3 17 10 2 3" xfId="30908" xr:uid="{00000000-0005-0000-0000-0000B3780000}"/>
    <cellStyle name="Normal 3 3 17 10 3" xfId="30909" xr:uid="{00000000-0005-0000-0000-0000B4780000}"/>
    <cellStyle name="Normal 3 3 17 10 3 2" xfId="30910" xr:uid="{00000000-0005-0000-0000-0000B5780000}"/>
    <cellStyle name="Normal 3 3 17 10 3 3" xfId="30911" xr:uid="{00000000-0005-0000-0000-0000B6780000}"/>
    <cellStyle name="Normal 3 3 17 10 4" xfId="30912" xr:uid="{00000000-0005-0000-0000-0000B7780000}"/>
    <cellStyle name="Normal 3 3 17 10 4 2" xfId="30913" xr:uid="{00000000-0005-0000-0000-0000B8780000}"/>
    <cellStyle name="Normal 3 3 17 10 4 3" xfId="30914" xr:uid="{00000000-0005-0000-0000-0000B9780000}"/>
    <cellStyle name="Normal 3 3 17 10 5" xfId="30915" xr:uid="{00000000-0005-0000-0000-0000BA780000}"/>
    <cellStyle name="Normal 3 3 17 10 5 2" xfId="30916" xr:uid="{00000000-0005-0000-0000-0000BB780000}"/>
    <cellStyle name="Normal 3 3 17 10 5 3" xfId="30917" xr:uid="{00000000-0005-0000-0000-0000BC780000}"/>
    <cellStyle name="Normal 3 3 17 10 6" xfId="30918" xr:uid="{00000000-0005-0000-0000-0000BD780000}"/>
    <cellStyle name="Normal 3 3 17 10 6 2" xfId="30919" xr:uid="{00000000-0005-0000-0000-0000BE780000}"/>
    <cellStyle name="Normal 3 3 17 10 6 3" xfId="30920" xr:uid="{00000000-0005-0000-0000-0000BF780000}"/>
    <cellStyle name="Normal 3 3 17 10 7" xfId="30921" xr:uid="{00000000-0005-0000-0000-0000C0780000}"/>
    <cellStyle name="Normal 3 3 17 10 7 2" xfId="30922" xr:uid="{00000000-0005-0000-0000-0000C1780000}"/>
    <cellStyle name="Normal 3 3 17 10 7 3" xfId="30923" xr:uid="{00000000-0005-0000-0000-0000C2780000}"/>
    <cellStyle name="Normal 3 3 17 10 8" xfId="30924" xr:uid="{00000000-0005-0000-0000-0000C3780000}"/>
    <cellStyle name="Normal 3 3 17 10 8 2" xfId="30925" xr:uid="{00000000-0005-0000-0000-0000C4780000}"/>
    <cellStyle name="Normal 3 3 17 10 8 3" xfId="30926" xr:uid="{00000000-0005-0000-0000-0000C5780000}"/>
    <cellStyle name="Normal 3 3 17 10 9" xfId="30927" xr:uid="{00000000-0005-0000-0000-0000C6780000}"/>
    <cellStyle name="Normal 3 3 17 10 9 2" xfId="30928" xr:uid="{00000000-0005-0000-0000-0000C7780000}"/>
    <cellStyle name="Normal 3 3 17 10 9 3" xfId="30929" xr:uid="{00000000-0005-0000-0000-0000C8780000}"/>
    <cellStyle name="Normal 3 3 17 11" xfId="30930" xr:uid="{00000000-0005-0000-0000-0000C9780000}"/>
    <cellStyle name="Normal 3 3 17 11 2" xfId="30931" xr:uid="{00000000-0005-0000-0000-0000CA780000}"/>
    <cellStyle name="Normal 3 3 17 11 3" xfId="30932" xr:uid="{00000000-0005-0000-0000-0000CB780000}"/>
    <cellStyle name="Normal 3 3 17 12" xfId="30933" xr:uid="{00000000-0005-0000-0000-0000CC780000}"/>
    <cellStyle name="Normal 3 3 17 12 2" xfId="30934" xr:uid="{00000000-0005-0000-0000-0000CD780000}"/>
    <cellStyle name="Normal 3 3 17 12 3" xfId="30935" xr:uid="{00000000-0005-0000-0000-0000CE780000}"/>
    <cellStyle name="Normal 3 3 17 13" xfId="30936" xr:uid="{00000000-0005-0000-0000-0000CF780000}"/>
    <cellStyle name="Normal 3 3 17 13 2" xfId="30937" xr:uid="{00000000-0005-0000-0000-0000D0780000}"/>
    <cellStyle name="Normal 3 3 17 13 3" xfId="30938" xr:uid="{00000000-0005-0000-0000-0000D1780000}"/>
    <cellStyle name="Normal 3 3 17 14" xfId="30939" xr:uid="{00000000-0005-0000-0000-0000D2780000}"/>
    <cellStyle name="Normal 3 3 17 14 2" xfId="30940" xr:uid="{00000000-0005-0000-0000-0000D3780000}"/>
    <cellStyle name="Normal 3 3 17 14 3" xfId="30941" xr:uid="{00000000-0005-0000-0000-0000D4780000}"/>
    <cellStyle name="Normal 3 3 17 15" xfId="30942" xr:uid="{00000000-0005-0000-0000-0000D5780000}"/>
    <cellStyle name="Normal 3 3 17 15 2" xfId="30943" xr:uid="{00000000-0005-0000-0000-0000D6780000}"/>
    <cellStyle name="Normal 3 3 17 15 3" xfId="30944" xr:uid="{00000000-0005-0000-0000-0000D7780000}"/>
    <cellStyle name="Normal 3 3 17 16" xfId="30945" xr:uid="{00000000-0005-0000-0000-0000D8780000}"/>
    <cellStyle name="Normal 3 3 17 16 2" xfId="30946" xr:uid="{00000000-0005-0000-0000-0000D9780000}"/>
    <cellStyle name="Normal 3 3 17 16 3" xfId="30947" xr:uid="{00000000-0005-0000-0000-0000DA780000}"/>
    <cellStyle name="Normal 3 3 17 17" xfId="30948" xr:uid="{00000000-0005-0000-0000-0000DB780000}"/>
    <cellStyle name="Normal 3 3 17 17 2" xfId="30949" xr:uid="{00000000-0005-0000-0000-0000DC780000}"/>
    <cellStyle name="Normal 3 3 17 17 3" xfId="30950" xr:uid="{00000000-0005-0000-0000-0000DD780000}"/>
    <cellStyle name="Normal 3 3 17 18" xfId="30951" xr:uid="{00000000-0005-0000-0000-0000DE780000}"/>
    <cellStyle name="Normal 3 3 17 18 2" xfId="30952" xr:uid="{00000000-0005-0000-0000-0000DF780000}"/>
    <cellStyle name="Normal 3 3 17 18 3" xfId="30953" xr:uid="{00000000-0005-0000-0000-0000E0780000}"/>
    <cellStyle name="Normal 3 3 17 19" xfId="30954" xr:uid="{00000000-0005-0000-0000-0000E1780000}"/>
    <cellStyle name="Normal 3 3 17 19 2" xfId="30955" xr:uid="{00000000-0005-0000-0000-0000E2780000}"/>
    <cellStyle name="Normal 3 3 17 19 3" xfId="30956" xr:uid="{00000000-0005-0000-0000-0000E3780000}"/>
    <cellStyle name="Normal 3 3 17 2" xfId="30957" xr:uid="{00000000-0005-0000-0000-0000E4780000}"/>
    <cellStyle name="Normal 3 3 17 2 10" xfId="30958" xr:uid="{00000000-0005-0000-0000-0000E5780000}"/>
    <cellStyle name="Normal 3 3 17 2 10 2" xfId="30959" xr:uid="{00000000-0005-0000-0000-0000E6780000}"/>
    <cellStyle name="Normal 3 3 17 2 10 3" xfId="30960" xr:uid="{00000000-0005-0000-0000-0000E7780000}"/>
    <cellStyle name="Normal 3 3 17 2 11" xfId="30961" xr:uid="{00000000-0005-0000-0000-0000E8780000}"/>
    <cellStyle name="Normal 3 3 17 2 11 2" xfId="30962" xr:uid="{00000000-0005-0000-0000-0000E9780000}"/>
    <cellStyle name="Normal 3 3 17 2 11 3" xfId="30963" xr:uid="{00000000-0005-0000-0000-0000EA780000}"/>
    <cellStyle name="Normal 3 3 17 2 12" xfId="30964" xr:uid="{00000000-0005-0000-0000-0000EB780000}"/>
    <cellStyle name="Normal 3 3 17 2 12 2" xfId="30965" xr:uid="{00000000-0005-0000-0000-0000EC780000}"/>
    <cellStyle name="Normal 3 3 17 2 12 3" xfId="30966" xr:uid="{00000000-0005-0000-0000-0000ED780000}"/>
    <cellStyle name="Normal 3 3 17 2 13" xfId="30967" xr:uid="{00000000-0005-0000-0000-0000EE780000}"/>
    <cellStyle name="Normal 3 3 17 2 13 2" xfId="30968" xr:uid="{00000000-0005-0000-0000-0000EF780000}"/>
    <cellStyle name="Normal 3 3 17 2 13 3" xfId="30969" xr:uid="{00000000-0005-0000-0000-0000F0780000}"/>
    <cellStyle name="Normal 3 3 17 2 14" xfId="30970" xr:uid="{00000000-0005-0000-0000-0000F1780000}"/>
    <cellStyle name="Normal 3 3 17 2 14 2" xfId="30971" xr:uid="{00000000-0005-0000-0000-0000F2780000}"/>
    <cellStyle name="Normal 3 3 17 2 14 3" xfId="30972" xr:uid="{00000000-0005-0000-0000-0000F3780000}"/>
    <cellStyle name="Normal 3 3 17 2 15" xfId="30973" xr:uid="{00000000-0005-0000-0000-0000F4780000}"/>
    <cellStyle name="Normal 3 3 17 2 15 2" xfId="30974" xr:uid="{00000000-0005-0000-0000-0000F5780000}"/>
    <cellStyle name="Normal 3 3 17 2 15 3" xfId="30975" xr:uid="{00000000-0005-0000-0000-0000F6780000}"/>
    <cellStyle name="Normal 3 3 17 2 16" xfId="30976" xr:uid="{00000000-0005-0000-0000-0000F7780000}"/>
    <cellStyle name="Normal 3 3 17 2 17" xfId="30977" xr:uid="{00000000-0005-0000-0000-0000F8780000}"/>
    <cellStyle name="Normal 3 3 17 2 2" xfId="30978" xr:uid="{00000000-0005-0000-0000-0000F9780000}"/>
    <cellStyle name="Normal 3 3 17 2 2 10" xfId="30979" xr:uid="{00000000-0005-0000-0000-0000FA780000}"/>
    <cellStyle name="Normal 3 3 17 2 2 10 2" xfId="30980" xr:uid="{00000000-0005-0000-0000-0000FB780000}"/>
    <cellStyle name="Normal 3 3 17 2 2 10 3" xfId="30981" xr:uid="{00000000-0005-0000-0000-0000FC780000}"/>
    <cellStyle name="Normal 3 3 17 2 2 11" xfId="30982" xr:uid="{00000000-0005-0000-0000-0000FD780000}"/>
    <cellStyle name="Normal 3 3 17 2 2 11 2" xfId="30983" xr:uid="{00000000-0005-0000-0000-0000FE780000}"/>
    <cellStyle name="Normal 3 3 17 2 2 11 3" xfId="30984" xr:uid="{00000000-0005-0000-0000-0000FF780000}"/>
    <cellStyle name="Normal 3 3 17 2 2 12" xfId="30985" xr:uid="{00000000-0005-0000-0000-000000790000}"/>
    <cellStyle name="Normal 3 3 17 2 2 12 2" xfId="30986" xr:uid="{00000000-0005-0000-0000-000001790000}"/>
    <cellStyle name="Normal 3 3 17 2 2 12 3" xfId="30987" xr:uid="{00000000-0005-0000-0000-000002790000}"/>
    <cellStyle name="Normal 3 3 17 2 2 13" xfId="30988" xr:uid="{00000000-0005-0000-0000-000003790000}"/>
    <cellStyle name="Normal 3 3 17 2 2 13 2" xfId="30989" xr:uid="{00000000-0005-0000-0000-000004790000}"/>
    <cellStyle name="Normal 3 3 17 2 2 13 3" xfId="30990" xr:uid="{00000000-0005-0000-0000-000005790000}"/>
    <cellStyle name="Normal 3 3 17 2 2 14" xfId="30991" xr:uid="{00000000-0005-0000-0000-000006790000}"/>
    <cellStyle name="Normal 3 3 17 2 2 14 2" xfId="30992" xr:uid="{00000000-0005-0000-0000-000007790000}"/>
    <cellStyle name="Normal 3 3 17 2 2 14 3" xfId="30993" xr:uid="{00000000-0005-0000-0000-000008790000}"/>
    <cellStyle name="Normal 3 3 17 2 2 15" xfId="30994" xr:uid="{00000000-0005-0000-0000-000009790000}"/>
    <cellStyle name="Normal 3 3 17 2 2 16" xfId="30995" xr:uid="{00000000-0005-0000-0000-00000A790000}"/>
    <cellStyle name="Normal 3 3 17 2 2 2" xfId="30996" xr:uid="{00000000-0005-0000-0000-00000B790000}"/>
    <cellStyle name="Normal 3 3 17 2 2 2 2" xfId="30997" xr:uid="{00000000-0005-0000-0000-00000C790000}"/>
    <cellStyle name="Normal 3 3 17 2 2 2 3" xfId="30998" xr:uid="{00000000-0005-0000-0000-00000D790000}"/>
    <cellStyle name="Normal 3 3 17 2 2 3" xfId="30999" xr:uid="{00000000-0005-0000-0000-00000E790000}"/>
    <cellStyle name="Normal 3 3 17 2 2 3 2" xfId="31000" xr:uid="{00000000-0005-0000-0000-00000F790000}"/>
    <cellStyle name="Normal 3 3 17 2 2 3 3" xfId="31001" xr:uid="{00000000-0005-0000-0000-000010790000}"/>
    <cellStyle name="Normal 3 3 17 2 2 4" xfId="31002" xr:uid="{00000000-0005-0000-0000-000011790000}"/>
    <cellStyle name="Normal 3 3 17 2 2 4 2" xfId="31003" xr:uid="{00000000-0005-0000-0000-000012790000}"/>
    <cellStyle name="Normal 3 3 17 2 2 4 3" xfId="31004" xr:uid="{00000000-0005-0000-0000-000013790000}"/>
    <cellStyle name="Normal 3 3 17 2 2 5" xfId="31005" xr:uid="{00000000-0005-0000-0000-000014790000}"/>
    <cellStyle name="Normal 3 3 17 2 2 5 2" xfId="31006" xr:uid="{00000000-0005-0000-0000-000015790000}"/>
    <cellStyle name="Normal 3 3 17 2 2 5 3" xfId="31007" xr:uid="{00000000-0005-0000-0000-000016790000}"/>
    <cellStyle name="Normal 3 3 17 2 2 6" xfId="31008" xr:uid="{00000000-0005-0000-0000-000017790000}"/>
    <cellStyle name="Normal 3 3 17 2 2 6 2" xfId="31009" xr:uid="{00000000-0005-0000-0000-000018790000}"/>
    <cellStyle name="Normal 3 3 17 2 2 6 3" xfId="31010" xr:uid="{00000000-0005-0000-0000-000019790000}"/>
    <cellStyle name="Normal 3 3 17 2 2 7" xfId="31011" xr:uid="{00000000-0005-0000-0000-00001A790000}"/>
    <cellStyle name="Normal 3 3 17 2 2 7 2" xfId="31012" xr:uid="{00000000-0005-0000-0000-00001B790000}"/>
    <cellStyle name="Normal 3 3 17 2 2 7 3" xfId="31013" xr:uid="{00000000-0005-0000-0000-00001C790000}"/>
    <cellStyle name="Normal 3 3 17 2 2 8" xfId="31014" xr:uid="{00000000-0005-0000-0000-00001D790000}"/>
    <cellStyle name="Normal 3 3 17 2 2 8 2" xfId="31015" xr:uid="{00000000-0005-0000-0000-00001E790000}"/>
    <cellStyle name="Normal 3 3 17 2 2 8 3" xfId="31016" xr:uid="{00000000-0005-0000-0000-00001F790000}"/>
    <cellStyle name="Normal 3 3 17 2 2 9" xfId="31017" xr:uid="{00000000-0005-0000-0000-000020790000}"/>
    <cellStyle name="Normal 3 3 17 2 2 9 2" xfId="31018" xr:uid="{00000000-0005-0000-0000-000021790000}"/>
    <cellStyle name="Normal 3 3 17 2 2 9 3" xfId="31019" xr:uid="{00000000-0005-0000-0000-000022790000}"/>
    <cellStyle name="Normal 3 3 17 2 3" xfId="31020" xr:uid="{00000000-0005-0000-0000-000023790000}"/>
    <cellStyle name="Normal 3 3 17 2 3 2" xfId="31021" xr:uid="{00000000-0005-0000-0000-000024790000}"/>
    <cellStyle name="Normal 3 3 17 2 3 3" xfId="31022" xr:uid="{00000000-0005-0000-0000-000025790000}"/>
    <cellStyle name="Normal 3 3 17 2 4" xfId="31023" xr:uid="{00000000-0005-0000-0000-000026790000}"/>
    <cellStyle name="Normal 3 3 17 2 4 2" xfId="31024" xr:uid="{00000000-0005-0000-0000-000027790000}"/>
    <cellStyle name="Normal 3 3 17 2 4 3" xfId="31025" xr:uid="{00000000-0005-0000-0000-000028790000}"/>
    <cellStyle name="Normal 3 3 17 2 5" xfId="31026" xr:uid="{00000000-0005-0000-0000-000029790000}"/>
    <cellStyle name="Normal 3 3 17 2 5 2" xfId="31027" xr:uid="{00000000-0005-0000-0000-00002A790000}"/>
    <cellStyle name="Normal 3 3 17 2 5 3" xfId="31028" xr:uid="{00000000-0005-0000-0000-00002B790000}"/>
    <cellStyle name="Normal 3 3 17 2 6" xfId="31029" xr:uid="{00000000-0005-0000-0000-00002C790000}"/>
    <cellStyle name="Normal 3 3 17 2 6 2" xfId="31030" xr:uid="{00000000-0005-0000-0000-00002D790000}"/>
    <cellStyle name="Normal 3 3 17 2 6 3" xfId="31031" xr:uid="{00000000-0005-0000-0000-00002E790000}"/>
    <cellStyle name="Normal 3 3 17 2 7" xfId="31032" xr:uid="{00000000-0005-0000-0000-00002F790000}"/>
    <cellStyle name="Normal 3 3 17 2 7 2" xfId="31033" xr:uid="{00000000-0005-0000-0000-000030790000}"/>
    <cellStyle name="Normal 3 3 17 2 7 3" xfId="31034" xr:uid="{00000000-0005-0000-0000-000031790000}"/>
    <cellStyle name="Normal 3 3 17 2 8" xfId="31035" xr:uid="{00000000-0005-0000-0000-000032790000}"/>
    <cellStyle name="Normal 3 3 17 2 8 2" xfId="31036" xr:uid="{00000000-0005-0000-0000-000033790000}"/>
    <cellStyle name="Normal 3 3 17 2 8 3" xfId="31037" xr:uid="{00000000-0005-0000-0000-000034790000}"/>
    <cellStyle name="Normal 3 3 17 2 9" xfId="31038" xr:uid="{00000000-0005-0000-0000-000035790000}"/>
    <cellStyle name="Normal 3 3 17 2 9 2" xfId="31039" xr:uid="{00000000-0005-0000-0000-000036790000}"/>
    <cellStyle name="Normal 3 3 17 2 9 3" xfId="31040" xr:uid="{00000000-0005-0000-0000-000037790000}"/>
    <cellStyle name="Normal 3 3 17 20" xfId="31041" xr:uid="{00000000-0005-0000-0000-000038790000}"/>
    <cellStyle name="Normal 3 3 17 20 2" xfId="31042" xr:uid="{00000000-0005-0000-0000-000039790000}"/>
    <cellStyle name="Normal 3 3 17 20 3" xfId="31043" xr:uid="{00000000-0005-0000-0000-00003A790000}"/>
    <cellStyle name="Normal 3 3 17 21" xfId="31044" xr:uid="{00000000-0005-0000-0000-00003B790000}"/>
    <cellStyle name="Normal 3 3 17 21 2" xfId="31045" xr:uid="{00000000-0005-0000-0000-00003C790000}"/>
    <cellStyle name="Normal 3 3 17 21 3" xfId="31046" xr:uid="{00000000-0005-0000-0000-00003D790000}"/>
    <cellStyle name="Normal 3 3 17 22" xfId="31047" xr:uid="{00000000-0005-0000-0000-00003E790000}"/>
    <cellStyle name="Normal 3 3 17 22 2" xfId="31048" xr:uid="{00000000-0005-0000-0000-00003F790000}"/>
    <cellStyle name="Normal 3 3 17 22 3" xfId="31049" xr:uid="{00000000-0005-0000-0000-000040790000}"/>
    <cellStyle name="Normal 3 3 17 23" xfId="31050" xr:uid="{00000000-0005-0000-0000-000041790000}"/>
    <cellStyle name="Normal 3 3 17 23 2" xfId="31051" xr:uid="{00000000-0005-0000-0000-000042790000}"/>
    <cellStyle name="Normal 3 3 17 23 3" xfId="31052" xr:uid="{00000000-0005-0000-0000-000043790000}"/>
    <cellStyle name="Normal 3 3 17 24" xfId="31053" xr:uid="{00000000-0005-0000-0000-000044790000}"/>
    <cellStyle name="Normal 3 3 17 25" xfId="31054" xr:uid="{00000000-0005-0000-0000-000045790000}"/>
    <cellStyle name="Normal 3 3 17 3" xfId="31055" xr:uid="{00000000-0005-0000-0000-000046790000}"/>
    <cellStyle name="Normal 3 3 17 3 10" xfId="31056" xr:uid="{00000000-0005-0000-0000-000047790000}"/>
    <cellStyle name="Normal 3 3 17 3 10 2" xfId="31057" xr:uid="{00000000-0005-0000-0000-000048790000}"/>
    <cellStyle name="Normal 3 3 17 3 10 3" xfId="31058" xr:uid="{00000000-0005-0000-0000-000049790000}"/>
    <cellStyle name="Normal 3 3 17 3 11" xfId="31059" xr:uid="{00000000-0005-0000-0000-00004A790000}"/>
    <cellStyle name="Normal 3 3 17 3 11 2" xfId="31060" xr:uid="{00000000-0005-0000-0000-00004B790000}"/>
    <cellStyle name="Normal 3 3 17 3 11 3" xfId="31061" xr:uid="{00000000-0005-0000-0000-00004C790000}"/>
    <cellStyle name="Normal 3 3 17 3 12" xfId="31062" xr:uid="{00000000-0005-0000-0000-00004D790000}"/>
    <cellStyle name="Normal 3 3 17 3 12 2" xfId="31063" xr:uid="{00000000-0005-0000-0000-00004E790000}"/>
    <cellStyle name="Normal 3 3 17 3 12 3" xfId="31064" xr:uid="{00000000-0005-0000-0000-00004F790000}"/>
    <cellStyle name="Normal 3 3 17 3 13" xfId="31065" xr:uid="{00000000-0005-0000-0000-000050790000}"/>
    <cellStyle name="Normal 3 3 17 3 13 2" xfId="31066" xr:uid="{00000000-0005-0000-0000-000051790000}"/>
    <cellStyle name="Normal 3 3 17 3 13 3" xfId="31067" xr:uid="{00000000-0005-0000-0000-000052790000}"/>
    <cellStyle name="Normal 3 3 17 3 14" xfId="31068" xr:uid="{00000000-0005-0000-0000-000053790000}"/>
    <cellStyle name="Normal 3 3 17 3 14 2" xfId="31069" xr:uid="{00000000-0005-0000-0000-000054790000}"/>
    <cellStyle name="Normal 3 3 17 3 14 3" xfId="31070" xr:uid="{00000000-0005-0000-0000-000055790000}"/>
    <cellStyle name="Normal 3 3 17 3 15" xfId="31071" xr:uid="{00000000-0005-0000-0000-000056790000}"/>
    <cellStyle name="Normal 3 3 17 3 15 2" xfId="31072" xr:uid="{00000000-0005-0000-0000-000057790000}"/>
    <cellStyle name="Normal 3 3 17 3 15 3" xfId="31073" xr:uid="{00000000-0005-0000-0000-000058790000}"/>
    <cellStyle name="Normal 3 3 17 3 16" xfId="31074" xr:uid="{00000000-0005-0000-0000-000059790000}"/>
    <cellStyle name="Normal 3 3 17 3 17" xfId="31075" xr:uid="{00000000-0005-0000-0000-00005A790000}"/>
    <cellStyle name="Normal 3 3 17 3 2" xfId="31076" xr:uid="{00000000-0005-0000-0000-00005B790000}"/>
    <cellStyle name="Normal 3 3 17 3 2 10" xfId="31077" xr:uid="{00000000-0005-0000-0000-00005C790000}"/>
    <cellStyle name="Normal 3 3 17 3 2 10 2" xfId="31078" xr:uid="{00000000-0005-0000-0000-00005D790000}"/>
    <cellStyle name="Normal 3 3 17 3 2 10 3" xfId="31079" xr:uid="{00000000-0005-0000-0000-00005E790000}"/>
    <cellStyle name="Normal 3 3 17 3 2 11" xfId="31080" xr:uid="{00000000-0005-0000-0000-00005F790000}"/>
    <cellStyle name="Normal 3 3 17 3 2 11 2" xfId="31081" xr:uid="{00000000-0005-0000-0000-000060790000}"/>
    <cellStyle name="Normal 3 3 17 3 2 11 3" xfId="31082" xr:uid="{00000000-0005-0000-0000-000061790000}"/>
    <cellStyle name="Normal 3 3 17 3 2 12" xfId="31083" xr:uid="{00000000-0005-0000-0000-000062790000}"/>
    <cellStyle name="Normal 3 3 17 3 2 12 2" xfId="31084" xr:uid="{00000000-0005-0000-0000-000063790000}"/>
    <cellStyle name="Normal 3 3 17 3 2 12 3" xfId="31085" xr:uid="{00000000-0005-0000-0000-000064790000}"/>
    <cellStyle name="Normal 3 3 17 3 2 13" xfId="31086" xr:uid="{00000000-0005-0000-0000-000065790000}"/>
    <cellStyle name="Normal 3 3 17 3 2 13 2" xfId="31087" xr:uid="{00000000-0005-0000-0000-000066790000}"/>
    <cellStyle name="Normal 3 3 17 3 2 13 3" xfId="31088" xr:uid="{00000000-0005-0000-0000-000067790000}"/>
    <cellStyle name="Normal 3 3 17 3 2 14" xfId="31089" xr:uid="{00000000-0005-0000-0000-000068790000}"/>
    <cellStyle name="Normal 3 3 17 3 2 14 2" xfId="31090" xr:uid="{00000000-0005-0000-0000-000069790000}"/>
    <cellStyle name="Normal 3 3 17 3 2 14 3" xfId="31091" xr:uid="{00000000-0005-0000-0000-00006A790000}"/>
    <cellStyle name="Normal 3 3 17 3 2 15" xfId="31092" xr:uid="{00000000-0005-0000-0000-00006B790000}"/>
    <cellStyle name="Normal 3 3 17 3 2 16" xfId="31093" xr:uid="{00000000-0005-0000-0000-00006C790000}"/>
    <cellStyle name="Normal 3 3 17 3 2 2" xfId="31094" xr:uid="{00000000-0005-0000-0000-00006D790000}"/>
    <cellStyle name="Normal 3 3 17 3 2 2 2" xfId="31095" xr:uid="{00000000-0005-0000-0000-00006E790000}"/>
    <cellStyle name="Normal 3 3 17 3 2 2 3" xfId="31096" xr:uid="{00000000-0005-0000-0000-00006F790000}"/>
    <cellStyle name="Normal 3 3 17 3 2 3" xfId="31097" xr:uid="{00000000-0005-0000-0000-000070790000}"/>
    <cellStyle name="Normal 3 3 17 3 2 3 2" xfId="31098" xr:uid="{00000000-0005-0000-0000-000071790000}"/>
    <cellStyle name="Normal 3 3 17 3 2 3 3" xfId="31099" xr:uid="{00000000-0005-0000-0000-000072790000}"/>
    <cellStyle name="Normal 3 3 17 3 2 4" xfId="31100" xr:uid="{00000000-0005-0000-0000-000073790000}"/>
    <cellStyle name="Normal 3 3 17 3 2 4 2" xfId="31101" xr:uid="{00000000-0005-0000-0000-000074790000}"/>
    <cellStyle name="Normal 3 3 17 3 2 4 3" xfId="31102" xr:uid="{00000000-0005-0000-0000-000075790000}"/>
    <cellStyle name="Normal 3 3 17 3 2 5" xfId="31103" xr:uid="{00000000-0005-0000-0000-000076790000}"/>
    <cellStyle name="Normal 3 3 17 3 2 5 2" xfId="31104" xr:uid="{00000000-0005-0000-0000-000077790000}"/>
    <cellStyle name="Normal 3 3 17 3 2 5 3" xfId="31105" xr:uid="{00000000-0005-0000-0000-000078790000}"/>
    <cellStyle name="Normal 3 3 17 3 2 6" xfId="31106" xr:uid="{00000000-0005-0000-0000-000079790000}"/>
    <cellStyle name="Normal 3 3 17 3 2 6 2" xfId="31107" xr:uid="{00000000-0005-0000-0000-00007A790000}"/>
    <cellStyle name="Normal 3 3 17 3 2 6 3" xfId="31108" xr:uid="{00000000-0005-0000-0000-00007B790000}"/>
    <cellStyle name="Normal 3 3 17 3 2 7" xfId="31109" xr:uid="{00000000-0005-0000-0000-00007C790000}"/>
    <cellStyle name="Normal 3 3 17 3 2 7 2" xfId="31110" xr:uid="{00000000-0005-0000-0000-00007D790000}"/>
    <cellStyle name="Normal 3 3 17 3 2 7 3" xfId="31111" xr:uid="{00000000-0005-0000-0000-00007E790000}"/>
    <cellStyle name="Normal 3 3 17 3 2 8" xfId="31112" xr:uid="{00000000-0005-0000-0000-00007F790000}"/>
    <cellStyle name="Normal 3 3 17 3 2 8 2" xfId="31113" xr:uid="{00000000-0005-0000-0000-000080790000}"/>
    <cellStyle name="Normal 3 3 17 3 2 8 3" xfId="31114" xr:uid="{00000000-0005-0000-0000-000081790000}"/>
    <cellStyle name="Normal 3 3 17 3 2 9" xfId="31115" xr:uid="{00000000-0005-0000-0000-000082790000}"/>
    <cellStyle name="Normal 3 3 17 3 2 9 2" xfId="31116" xr:uid="{00000000-0005-0000-0000-000083790000}"/>
    <cellStyle name="Normal 3 3 17 3 2 9 3" xfId="31117" xr:uid="{00000000-0005-0000-0000-000084790000}"/>
    <cellStyle name="Normal 3 3 17 3 3" xfId="31118" xr:uid="{00000000-0005-0000-0000-000085790000}"/>
    <cellStyle name="Normal 3 3 17 3 3 2" xfId="31119" xr:uid="{00000000-0005-0000-0000-000086790000}"/>
    <cellStyle name="Normal 3 3 17 3 3 3" xfId="31120" xr:uid="{00000000-0005-0000-0000-000087790000}"/>
    <cellStyle name="Normal 3 3 17 3 4" xfId="31121" xr:uid="{00000000-0005-0000-0000-000088790000}"/>
    <cellStyle name="Normal 3 3 17 3 4 2" xfId="31122" xr:uid="{00000000-0005-0000-0000-000089790000}"/>
    <cellStyle name="Normal 3 3 17 3 4 3" xfId="31123" xr:uid="{00000000-0005-0000-0000-00008A790000}"/>
    <cellStyle name="Normal 3 3 17 3 5" xfId="31124" xr:uid="{00000000-0005-0000-0000-00008B790000}"/>
    <cellStyle name="Normal 3 3 17 3 5 2" xfId="31125" xr:uid="{00000000-0005-0000-0000-00008C790000}"/>
    <cellStyle name="Normal 3 3 17 3 5 3" xfId="31126" xr:uid="{00000000-0005-0000-0000-00008D790000}"/>
    <cellStyle name="Normal 3 3 17 3 6" xfId="31127" xr:uid="{00000000-0005-0000-0000-00008E790000}"/>
    <cellStyle name="Normal 3 3 17 3 6 2" xfId="31128" xr:uid="{00000000-0005-0000-0000-00008F790000}"/>
    <cellStyle name="Normal 3 3 17 3 6 3" xfId="31129" xr:uid="{00000000-0005-0000-0000-000090790000}"/>
    <cellStyle name="Normal 3 3 17 3 7" xfId="31130" xr:uid="{00000000-0005-0000-0000-000091790000}"/>
    <cellStyle name="Normal 3 3 17 3 7 2" xfId="31131" xr:uid="{00000000-0005-0000-0000-000092790000}"/>
    <cellStyle name="Normal 3 3 17 3 7 3" xfId="31132" xr:uid="{00000000-0005-0000-0000-000093790000}"/>
    <cellStyle name="Normal 3 3 17 3 8" xfId="31133" xr:uid="{00000000-0005-0000-0000-000094790000}"/>
    <cellStyle name="Normal 3 3 17 3 8 2" xfId="31134" xr:uid="{00000000-0005-0000-0000-000095790000}"/>
    <cellStyle name="Normal 3 3 17 3 8 3" xfId="31135" xr:uid="{00000000-0005-0000-0000-000096790000}"/>
    <cellStyle name="Normal 3 3 17 3 9" xfId="31136" xr:uid="{00000000-0005-0000-0000-000097790000}"/>
    <cellStyle name="Normal 3 3 17 3 9 2" xfId="31137" xr:uid="{00000000-0005-0000-0000-000098790000}"/>
    <cellStyle name="Normal 3 3 17 3 9 3" xfId="31138" xr:uid="{00000000-0005-0000-0000-000099790000}"/>
    <cellStyle name="Normal 3 3 17 4" xfId="31139" xr:uid="{00000000-0005-0000-0000-00009A790000}"/>
    <cellStyle name="Normal 3 3 17 4 10" xfId="31140" xr:uid="{00000000-0005-0000-0000-00009B790000}"/>
    <cellStyle name="Normal 3 3 17 4 10 2" xfId="31141" xr:uid="{00000000-0005-0000-0000-00009C790000}"/>
    <cellStyle name="Normal 3 3 17 4 10 3" xfId="31142" xr:uid="{00000000-0005-0000-0000-00009D790000}"/>
    <cellStyle name="Normal 3 3 17 4 11" xfId="31143" xr:uid="{00000000-0005-0000-0000-00009E790000}"/>
    <cellStyle name="Normal 3 3 17 4 11 2" xfId="31144" xr:uid="{00000000-0005-0000-0000-00009F790000}"/>
    <cellStyle name="Normal 3 3 17 4 11 3" xfId="31145" xr:uid="{00000000-0005-0000-0000-0000A0790000}"/>
    <cellStyle name="Normal 3 3 17 4 12" xfId="31146" xr:uid="{00000000-0005-0000-0000-0000A1790000}"/>
    <cellStyle name="Normal 3 3 17 4 12 2" xfId="31147" xr:uid="{00000000-0005-0000-0000-0000A2790000}"/>
    <cellStyle name="Normal 3 3 17 4 12 3" xfId="31148" xr:uid="{00000000-0005-0000-0000-0000A3790000}"/>
    <cellStyle name="Normal 3 3 17 4 13" xfId="31149" xr:uid="{00000000-0005-0000-0000-0000A4790000}"/>
    <cellStyle name="Normal 3 3 17 4 13 2" xfId="31150" xr:uid="{00000000-0005-0000-0000-0000A5790000}"/>
    <cellStyle name="Normal 3 3 17 4 13 3" xfId="31151" xr:uid="{00000000-0005-0000-0000-0000A6790000}"/>
    <cellStyle name="Normal 3 3 17 4 14" xfId="31152" xr:uid="{00000000-0005-0000-0000-0000A7790000}"/>
    <cellStyle name="Normal 3 3 17 4 14 2" xfId="31153" xr:uid="{00000000-0005-0000-0000-0000A8790000}"/>
    <cellStyle name="Normal 3 3 17 4 14 3" xfId="31154" xr:uid="{00000000-0005-0000-0000-0000A9790000}"/>
    <cellStyle name="Normal 3 3 17 4 15" xfId="31155" xr:uid="{00000000-0005-0000-0000-0000AA790000}"/>
    <cellStyle name="Normal 3 3 17 4 15 2" xfId="31156" xr:uid="{00000000-0005-0000-0000-0000AB790000}"/>
    <cellStyle name="Normal 3 3 17 4 15 3" xfId="31157" xr:uid="{00000000-0005-0000-0000-0000AC790000}"/>
    <cellStyle name="Normal 3 3 17 4 16" xfId="31158" xr:uid="{00000000-0005-0000-0000-0000AD790000}"/>
    <cellStyle name="Normal 3 3 17 4 17" xfId="31159" xr:uid="{00000000-0005-0000-0000-0000AE790000}"/>
    <cellStyle name="Normal 3 3 17 4 2" xfId="31160" xr:uid="{00000000-0005-0000-0000-0000AF790000}"/>
    <cellStyle name="Normal 3 3 17 4 2 10" xfId="31161" xr:uid="{00000000-0005-0000-0000-0000B0790000}"/>
    <cellStyle name="Normal 3 3 17 4 2 10 2" xfId="31162" xr:uid="{00000000-0005-0000-0000-0000B1790000}"/>
    <cellStyle name="Normal 3 3 17 4 2 10 3" xfId="31163" xr:uid="{00000000-0005-0000-0000-0000B2790000}"/>
    <cellStyle name="Normal 3 3 17 4 2 11" xfId="31164" xr:uid="{00000000-0005-0000-0000-0000B3790000}"/>
    <cellStyle name="Normal 3 3 17 4 2 11 2" xfId="31165" xr:uid="{00000000-0005-0000-0000-0000B4790000}"/>
    <cellStyle name="Normal 3 3 17 4 2 11 3" xfId="31166" xr:uid="{00000000-0005-0000-0000-0000B5790000}"/>
    <cellStyle name="Normal 3 3 17 4 2 12" xfId="31167" xr:uid="{00000000-0005-0000-0000-0000B6790000}"/>
    <cellStyle name="Normal 3 3 17 4 2 12 2" xfId="31168" xr:uid="{00000000-0005-0000-0000-0000B7790000}"/>
    <cellStyle name="Normal 3 3 17 4 2 12 3" xfId="31169" xr:uid="{00000000-0005-0000-0000-0000B8790000}"/>
    <cellStyle name="Normal 3 3 17 4 2 13" xfId="31170" xr:uid="{00000000-0005-0000-0000-0000B9790000}"/>
    <cellStyle name="Normal 3 3 17 4 2 13 2" xfId="31171" xr:uid="{00000000-0005-0000-0000-0000BA790000}"/>
    <cellStyle name="Normal 3 3 17 4 2 13 3" xfId="31172" xr:uid="{00000000-0005-0000-0000-0000BB790000}"/>
    <cellStyle name="Normal 3 3 17 4 2 14" xfId="31173" xr:uid="{00000000-0005-0000-0000-0000BC790000}"/>
    <cellStyle name="Normal 3 3 17 4 2 14 2" xfId="31174" xr:uid="{00000000-0005-0000-0000-0000BD790000}"/>
    <cellStyle name="Normal 3 3 17 4 2 14 3" xfId="31175" xr:uid="{00000000-0005-0000-0000-0000BE790000}"/>
    <cellStyle name="Normal 3 3 17 4 2 15" xfId="31176" xr:uid="{00000000-0005-0000-0000-0000BF790000}"/>
    <cellStyle name="Normal 3 3 17 4 2 16" xfId="31177" xr:uid="{00000000-0005-0000-0000-0000C0790000}"/>
    <cellStyle name="Normal 3 3 17 4 2 2" xfId="31178" xr:uid="{00000000-0005-0000-0000-0000C1790000}"/>
    <cellStyle name="Normal 3 3 17 4 2 2 2" xfId="31179" xr:uid="{00000000-0005-0000-0000-0000C2790000}"/>
    <cellStyle name="Normal 3 3 17 4 2 2 3" xfId="31180" xr:uid="{00000000-0005-0000-0000-0000C3790000}"/>
    <cellStyle name="Normal 3 3 17 4 2 3" xfId="31181" xr:uid="{00000000-0005-0000-0000-0000C4790000}"/>
    <cellStyle name="Normal 3 3 17 4 2 3 2" xfId="31182" xr:uid="{00000000-0005-0000-0000-0000C5790000}"/>
    <cellStyle name="Normal 3 3 17 4 2 3 3" xfId="31183" xr:uid="{00000000-0005-0000-0000-0000C6790000}"/>
    <cellStyle name="Normal 3 3 17 4 2 4" xfId="31184" xr:uid="{00000000-0005-0000-0000-0000C7790000}"/>
    <cellStyle name="Normal 3 3 17 4 2 4 2" xfId="31185" xr:uid="{00000000-0005-0000-0000-0000C8790000}"/>
    <cellStyle name="Normal 3 3 17 4 2 4 3" xfId="31186" xr:uid="{00000000-0005-0000-0000-0000C9790000}"/>
    <cellStyle name="Normal 3 3 17 4 2 5" xfId="31187" xr:uid="{00000000-0005-0000-0000-0000CA790000}"/>
    <cellStyle name="Normal 3 3 17 4 2 5 2" xfId="31188" xr:uid="{00000000-0005-0000-0000-0000CB790000}"/>
    <cellStyle name="Normal 3 3 17 4 2 5 3" xfId="31189" xr:uid="{00000000-0005-0000-0000-0000CC790000}"/>
    <cellStyle name="Normal 3 3 17 4 2 6" xfId="31190" xr:uid="{00000000-0005-0000-0000-0000CD790000}"/>
    <cellStyle name="Normal 3 3 17 4 2 6 2" xfId="31191" xr:uid="{00000000-0005-0000-0000-0000CE790000}"/>
    <cellStyle name="Normal 3 3 17 4 2 6 3" xfId="31192" xr:uid="{00000000-0005-0000-0000-0000CF790000}"/>
    <cellStyle name="Normal 3 3 17 4 2 7" xfId="31193" xr:uid="{00000000-0005-0000-0000-0000D0790000}"/>
    <cellStyle name="Normal 3 3 17 4 2 7 2" xfId="31194" xr:uid="{00000000-0005-0000-0000-0000D1790000}"/>
    <cellStyle name="Normal 3 3 17 4 2 7 3" xfId="31195" xr:uid="{00000000-0005-0000-0000-0000D2790000}"/>
    <cellStyle name="Normal 3 3 17 4 2 8" xfId="31196" xr:uid="{00000000-0005-0000-0000-0000D3790000}"/>
    <cellStyle name="Normal 3 3 17 4 2 8 2" xfId="31197" xr:uid="{00000000-0005-0000-0000-0000D4790000}"/>
    <cellStyle name="Normal 3 3 17 4 2 8 3" xfId="31198" xr:uid="{00000000-0005-0000-0000-0000D5790000}"/>
    <cellStyle name="Normal 3 3 17 4 2 9" xfId="31199" xr:uid="{00000000-0005-0000-0000-0000D6790000}"/>
    <cellStyle name="Normal 3 3 17 4 2 9 2" xfId="31200" xr:uid="{00000000-0005-0000-0000-0000D7790000}"/>
    <cellStyle name="Normal 3 3 17 4 2 9 3" xfId="31201" xr:uid="{00000000-0005-0000-0000-0000D8790000}"/>
    <cellStyle name="Normal 3 3 17 4 3" xfId="31202" xr:uid="{00000000-0005-0000-0000-0000D9790000}"/>
    <cellStyle name="Normal 3 3 17 4 3 2" xfId="31203" xr:uid="{00000000-0005-0000-0000-0000DA790000}"/>
    <cellStyle name="Normal 3 3 17 4 3 3" xfId="31204" xr:uid="{00000000-0005-0000-0000-0000DB790000}"/>
    <cellStyle name="Normal 3 3 17 4 4" xfId="31205" xr:uid="{00000000-0005-0000-0000-0000DC790000}"/>
    <cellStyle name="Normal 3 3 17 4 4 2" xfId="31206" xr:uid="{00000000-0005-0000-0000-0000DD790000}"/>
    <cellStyle name="Normal 3 3 17 4 4 3" xfId="31207" xr:uid="{00000000-0005-0000-0000-0000DE790000}"/>
    <cellStyle name="Normal 3 3 17 4 5" xfId="31208" xr:uid="{00000000-0005-0000-0000-0000DF790000}"/>
    <cellStyle name="Normal 3 3 17 4 5 2" xfId="31209" xr:uid="{00000000-0005-0000-0000-0000E0790000}"/>
    <cellStyle name="Normal 3 3 17 4 5 3" xfId="31210" xr:uid="{00000000-0005-0000-0000-0000E1790000}"/>
    <cellStyle name="Normal 3 3 17 4 6" xfId="31211" xr:uid="{00000000-0005-0000-0000-0000E2790000}"/>
    <cellStyle name="Normal 3 3 17 4 6 2" xfId="31212" xr:uid="{00000000-0005-0000-0000-0000E3790000}"/>
    <cellStyle name="Normal 3 3 17 4 6 3" xfId="31213" xr:uid="{00000000-0005-0000-0000-0000E4790000}"/>
    <cellStyle name="Normal 3 3 17 4 7" xfId="31214" xr:uid="{00000000-0005-0000-0000-0000E5790000}"/>
    <cellStyle name="Normal 3 3 17 4 7 2" xfId="31215" xr:uid="{00000000-0005-0000-0000-0000E6790000}"/>
    <cellStyle name="Normal 3 3 17 4 7 3" xfId="31216" xr:uid="{00000000-0005-0000-0000-0000E7790000}"/>
    <cellStyle name="Normal 3 3 17 4 8" xfId="31217" xr:uid="{00000000-0005-0000-0000-0000E8790000}"/>
    <cellStyle name="Normal 3 3 17 4 8 2" xfId="31218" xr:uid="{00000000-0005-0000-0000-0000E9790000}"/>
    <cellStyle name="Normal 3 3 17 4 8 3" xfId="31219" xr:uid="{00000000-0005-0000-0000-0000EA790000}"/>
    <cellStyle name="Normal 3 3 17 4 9" xfId="31220" xr:uid="{00000000-0005-0000-0000-0000EB790000}"/>
    <cellStyle name="Normal 3 3 17 4 9 2" xfId="31221" xr:uid="{00000000-0005-0000-0000-0000EC790000}"/>
    <cellStyle name="Normal 3 3 17 4 9 3" xfId="31222" xr:uid="{00000000-0005-0000-0000-0000ED790000}"/>
    <cellStyle name="Normal 3 3 17 5" xfId="31223" xr:uid="{00000000-0005-0000-0000-0000EE790000}"/>
    <cellStyle name="Normal 3 3 17 5 10" xfId="31224" xr:uid="{00000000-0005-0000-0000-0000EF790000}"/>
    <cellStyle name="Normal 3 3 17 5 10 2" xfId="31225" xr:uid="{00000000-0005-0000-0000-0000F0790000}"/>
    <cellStyle name="Normal 3 3 17 5 10 3" xfId="31226" xr:uid="{00000000-0005-0000-0000-0000F1790000}"/>
    <cellStyle name="Normal 3 3 17 5 11" xfId="31227" xr:uid="{00000000-0005-0000-0000-0000F2790000}"/>
    <cellStyle name="Normal 3 3 17 5 11 2" xfId="31228" xr:uid="{00000000-0005-0000-0000-0000F3790000}"/>
    <cellStyle name="Normal 3 3 17 5 11 3" xfId="31229" xr:uid="{00000000-0005-0000-0000-0000F4790000}"/>
    <cellStyle name="Normal 3 3 17 5 12" xfId="31230" xr:uid="{00000000-0005-0000-0000-0000F5790000}"/>
    <cellStyle name="Normal 3 3 17 5 12 2" xfId="31231" xr:uid="{00000000-0005-0000-0000-0000F6790000}"/>
    <cellStyle name="Normal 3 3 17 5 12 3" xfId="31232" xr:uid="{00000000-0005-0000-0000-0000F7790000}"/>
    <cellStyle name="Normal 3 3 17 5 13" xfId="31233" xr:uid="{00000000-0005-0000-0000-0000F8790000}"/>
    <cellStyle name="Normal 3 3 17 5 13 2" xfId="31234" xr:uid="{00000000-0005-0000-0000-0000F9790000}"/>
    <cellStyle name="Normal 3 3 17 5 13 3" xfId="31235" xr:uid="{00000000-0005-0000-0000-0000FA790000}"/>
    <cellStyle name="Normal 3 3 17 5 14" xfId="31236" xr:uid="{00000000-0005-0000-0000-0000FB790000}"/>
    <cellStyle name="Normal 3 3 17 5 14 2" xfId="31237" xr:uid="{00000000-0005-0000-0000-0000FC790000}"/>
    <cellStyle name="Normal 3 3 17 5 14 3" xfId="31238" xr:uid="{00000000-0005-0000-0000-0000FD790000}"/>
    <cellStyle name="Normal 3 3 17 5 15" xfId="31239" xr:uid="{00000000-0005-0000-0000-0000FE790000}"/>
    <cellStyle name="Normal 3 3 17 5 16" xfId="31240" xr:uid="{00000000-0005-0000-0000-0000FF790000}"/>
    <cellStyle name="Normal 3 3 17 5 2" xfId="31241" xr:uid="{00000000-0005-0000-0000-0000007A0000}"/>
    <cellStyle name="Normal 3 3 17 5 2 2" xfId="31242" xr:uid="{00000000-0005-0000-0000-0000017A0000}"/>
    <cellStyle name="Normal 3 3 17 5 2 3" xfId="31243" xr:uid="{00000000-0005-0000-0000-0000027A0000}"/>
    <cellStyle name="Normal 3 3 17 5 3" xfId="31244" xr:uid="{00000000-0005-0000-0000-0000037A0000}"/>
    <cellStyle name="Normal 3 3 17 5 3 2" xfId="31245" xr:uid="{00000000-0005-0000-0000-0000047A0000}"/>
    <cellStyle name="Normal 3 3 17 5 3 3" xfId="31246" xr:uid="{00000000-0005-0000-0000-0000057A0000}"/>
    <cellStyle name="Normal 3 3 17 5 4" xfId="31247" xr:uid="{00000000-0005-0000-0000-0000067A0000}"/>
    <cellStyle name="Normal 3 3 17 5 4 2" xfId="31248" xr:uid="{00000000-0005-0000-0000-0000077A0000}"/>
    <cellStyle name="Normal 3 3 17 5 4 3" xfId="31249" xr:uid="{00000000-0005-0000-0000-0000087A0000}"/>
    <cellStyle name="Normal 3 3 17 5 5" xfId="31250" xr:uid="{00000000-0005-0000-0000-0000097A0000}"/>
    <cellStyle name="Normal 3 3 17 5 5 2" xfId="31251" xr:uid="{00000000-0005-0000-0000-00000A7A0000}"/>
    <cellStyle name="Normal 3 3 17 5 5 3" xfId="31252" xr:uid="{00000000-0005-0000-0000-00000B7A0000}"/>
    <cellStyle name="Normal 3 3 17 5 6" xfId="31253" xr:uid="{00000000-0005-0000-0000-00000C7A0000}"/>
    <cellStyle name="Normal 3 3 17 5 6 2" xfId="31254" xr:uid="{00000000-0005-0000-0000-00000D7A0000}"/>
    <cellStyle name="Normal 3 3 17 5 6 3" xfId="31255" xr:uid="{00000000-0005-0000-0000-00000E7A0000}"/>
    <cellStyle name="Normal 3 3 17 5 7" xfId="31256" xr:uid="{00000000-0005-0000-0000-00000F7A0000}"/>
    <cellStyle name="Normal 3 3 17 5 7 2" xfId="31257" xr:uid="{00000000-0005-0000-0000-0000107A0000}"/>
    <cellStyle name="Normal 3 3 17 5 7 3" xfId="31258" xr:uid="{00000000-0005-0000-0000-0000117A0000}"/>
    <cellStyle name="Normal 3 3 17 5 8" xfId="31259" xr:uid="{00000000-0005-0000-0000-0000127A0000}"/>
    <cellStyle name="Normal 3 3 17 5 8 2" xfId="31260" xr:uid="{00000000-0005-0000-0000-0000137A0000}"/>
    <cellStyle name="Normal 3 3 17 5 8 3" xfId="31261" xr:uid="{00000000-0005-0000-0000-0000147A0000}"/>
    <cellStyle name="Normal 3 3 17 5 9" xfId="31262" xr:uid="{00000000-0005-0000-0000-0000157A0000}"/>
    <cellStyle name="Normal 3 3 17 5 9 2" xfId="31263" xr:uid="{00000000-0005-0000-0000-0000167A0000}"/>
    <cellStyle name="Normal 3 3 17 5 9 3" xfId="31264" xr:uid="{00000000-0005-0000-0000-0000177A0000}"/>
    <cellStyle name="Normal 3 3 17 6" xfId="31265" xr:uid="{00000000-0005-0000-0000-0000187A0000}"/>
    <cellStyle name="Normal 3 3 17 6 10" xfId="31266" xr:uid="{00000000-0005-0000-0000-0000197A0000}"/>
    <cellStyle name="Normal 3 3 17 6 10 2" xfId="31267" xr:uid="{00000000-0005-0000-0000-00001A7A0000}"/>
    <cellStyle name="Normal 3 3 17 6 10 3" xfId="31268" xr:uid="{00000000-0005-0000-0000-00001B7A0000}"/>
    <cellStyle name="Normal 3 3 17 6 11" xfId="31269" xr:uid="{00000000-0005-0000-0000-00001C7A0000}"/>
    <cellStyle name="Normal 3 3 17 6 11 2" xfId="31270" xr:uid="{00000000-0005-0000-0000-00001D7A0000}"/>
    <cellStyle name="Normal 3 3 17 6 11 3" xfId="31271" xr:uid="{00000000-0005-0000-0000-00001E7A0000}"/>
    <cellStyle name="Normal 3 3 17 6 12" xfId="31272" xr:uid="{00000000-0005-0000-0000-00001F7A0000}"/>
    <cellStyle name="Normal 3 3 17 6 12 2" xfId="31273" xr:uid="{00000000-0005-0000-0000-0000207A0000}"/>
    <cellStyle name="Normal 3 3 17 6 12 3" xfId="31274" xr:uid="{00000000-0005-0000-0000-0000217A0000}"/>
    <cellStyle name="Normal 3 3 17 6 13" xfId="31275" xr:uid="{00000000-0005-0000-0000-0000227A0000}"/>
    <cellStyle name="Normal 3 3 17 6 13 2" xfId="31276" xr:uid="{00000000-0005-0000-0000-0000237A0000}"/>
    <cellStyle name="Normal 3 3 17 6 13 3" xfId="31277" xr:uid="{00000000-0005-0000-0000-0000247A0000}"/>
    <cellStyle name="Normal 3 3 17 6 14" xfId="31278" xr:uid="{00000000-0005-0000-0000-0000257A0000}"/>
    <cellStyle name="Normal 3 3 17 6 14 2" xfId="31279" xr:uid="{00000000-0005-0000-0000-0000267A0000}"/>
    <cellStyle name="Normal 3 3 17 6 14 3" xfId="31280" xr:uid="{00000000-0005-0000-0000-0000277A0000}"/>
    <cellStyle name="Normal 3 3 17 6 15" xfId="31281" xr:uid="{00000000-0005-0000-0000-0000287A0000}"/>
    <cellStyle name="Normal 3 3 17 6 16" xfId="31282" xr:uid="{00000000-0005-0000-0000-0000297A0000}"/>
    <cellStyle name="Normal 3 3 17 6 2" xfId="31283" xr:uid="{00000000-0005-0000-0000-00002A7A0000}"/>
    <cellStyle name="Normal 3 3 17 6 2 2" xfId="31284" xr:uid="{00000000-0005-0000-0000-00002B7A0000}"/>
    <cellStyle name="Normal 3 3 17 6 2 3" xfId="31285" xr:uid="{00000000-0005-0000-0000-00002C7A0000}"/>
    <cellStyle name="Normal 3 3 17 6 3" xfId="31286" xr:uid="{00000000-0005-0000-0000-00002D7A0000}"/>
    <cellStyle name="Normal 3 3 17 6 3 2" xfId="31287" xr:uid="{00000000-0005-0000-0000-00002E7A0000}"/>
    <cellStyle name="Normal 3 3 17 6 3 3" xfId="31288" xr:uid="{00000000-0005-0000-0000-00002F7A0000}"/>
    <cellStyle name="Normal 3 3 17 6 4" xfId="31289" xr:uid="{00000000-0005-0000-0000-0000307A0000}"/>
    <cellStyle name="Normal 3 3 17 6 4 2" xfId="31290" xr:uid="{00000000-0005-0000-0000-0000317A0000}"/>
    <cellStyle name="Normal 3 3 17 6 4 3" xfId="31291" xr:uid="{00000000-0005-0000-0000-0000327A0000}"/>
    <cellStyle name="Normal 3 3 17 6 5" xfId="31292" xr:uid="{00000000-0005-0000-0000-0000337A0000}"/>
    <cellStyle name="Normal 3 3 17 6 5 2" xfId="31293" xr:uid="{00000000-0005-0000-0000-0000347A0000}"/>
    <cellStyle name="Normal 3 3 17 6 5 3" xfId="31294" xr:uid="{00000000-0005-0000-0000-0000357A0000}"/>
    <cellStyle name="Normal 3 3 17 6 6" xfId="31295" xr:uid="{00000000-0005-0000-0000-0000367A0000}"/>
    <cellStyle name="Normal 3 3 17 6 6 2" xfId="31296" xr:uid="{00000000-0005-0000-0000-0000377A0000}"/>
    <cellStyle name="Normal 3 3 17 6 6 3" xfId="31297" xr:uid="{00000000-0005-0000-0000-0000387A0000}"/>
    <cellStyle name="Normal 3 3 17 6 7" xfId="31298" xr:uid="{00000000-0005-0000-0000-0000397A0000}"/>
    <cellStyle name="Normal 3 3 17 6 7 2" xfId="31299" xr:uid="{00000000-0005-0000-0000-00003A7A0000}"/>
    <cellStyle name="Normal 3 3 17 6 7 3" xfId="31300" xr:uid="{00000000-0005-0000-0000-00003B7A0000}"/>
    <cellStyle name="Normal 3 3 17 6 8" xfId="31301" xr:uid="{00000000-0005-0000-0000-00003C7A0000}"/>
    <cellStyle name="Normal 3 3 17 6 8 2" xfId="31302" xr:uid="{00000000-0005-0000-0000-00003D7A0000}"/>
    <cellStyle name="Normal 3 3 17 6 8 3" xfId="31303" xr:uid="{00000000-0005-0000-0000-00003E7A0000}"/>
    <cellStyle name="Normal 3 3 17 6 9" xfId="31304" xr:uid="{00000000-0005-0000-0000-00003F7A0000}"/>
    <cellStyle name="Normal 3 3 17 6 9 2" xfId="31305" xr:uid="{00000000-0005-0000-0000-0000407A0000}"/>
    <cellStyle name="Normal 3 3 17 6 9 3" xfId="31306" xr:uid="{00000000-0005-0000-0000-0000417A0000}"/>
    <cellStyle name="Normal 3 3 17 7" xfId="31307" xr:uid="{00000000-0005-0000-0000-0000427A0000}"/>
    <cellStyle name="Normal 3 3 17 7 10" xfId="31308" xr:uid="{00000000-0005-0000-0000-0000437A0000}"/>
    <cellStyle name="Normal 3 3 17 7 10 2" xfId="31309" xr:uid="{00000000-0005-0000-0000-0000447A0000}"/>
    <cellStyle name="Normal 3 3 17 7 10 3" xfId="31310" xr:uid="{00000000-0005-0000-0000-0000457A0000}"/>
    <cellStyle name="Normal 3 3 17 7 11" xfId="31311" xr:uid="{00000000-0005-0000-0000-0000467A0000}"/>
    <cellStyle name="Normal 3 3 17 7 11 2" xfId="31312" xr:uid="{00000000-0005-0000-0000-0000477A0000}"/>
    <cellStyle name="Normal 3 3 17 7 11 3" xfId="31313" xr:uid="{00000000-0005-0000-0000-0000487A0000}"/>
    <cellStyle name="Normal 3 3 17 7 12" xfId="31314" xr:uid="{00000000-0005-0000-0000-0000497A0000}"/>
    <cellStyle name="Normal 3 3 17 7 12 2" xfId="31315" xr:uid="{00000000-0005-0000-0000-00004A7A0000}"/>
    <cellStyle name="Normal 3 3 17 7 12 3" xfId="31316" xr:uid="{00000000-0005-0000-0000-00004B7A0000}"/>
    <cellStyle name="Normal 3 3 17 7 13" xfId="31317" xr:uid="{00000000-0005-0000-0000-00004C7A0000}"/>
    <cellStyle name="Normal 3 3 17 7 13 2" xfId="31318" xr:uid="{00000000-0005-0000-0000-00004D7A0000}"/>
    <cellStyle name="Normal 3 3 17 7 13 3" xfId="31319" xr:uid="{00000000-0005-0000-0000-00004E7A0000}"/>
    <cellStyle name="Normal 3 3 17 7 14" xfId="31320" xr:uid="{00000000-0005-0000-0000-00004F7A0000}"/>
    <cellStyle name="Normal 3 3 17 7 14 2" xfId="31321" xr:uid="{00000000-0005-0000-0000-0000507A0000}"/>
    <cellStyle name="Normal 3 3 17 7 14 3" xfId="31322" xr:uid="{00000000-0005-0000-0000-0000517A0000}"/>
    <cellStyle name="Normal 3 3 17 7 15" xfId="31323" xr:uid="{00000000-0005-0000-0000-0000527A0000}"/>
    <cellStyle name="Normal 3 3 17 7 16" xfId="31324" xr:uid="{00000000-0005-0000-0000-0000537A0000}"/>
    <cellStyle name="Normal 3 3 17 7 2" xfId="31325" xr:uid="{00000000-0005-0000-0000-0000547A0000}"/>
    <cellStyle name="Normal 3 3 17 7 2 2" xfId="31326" xr:uid="{00000000-0005-0000-0000-0000557A0000}"/>
    <cellStyle name="Normal 3 3 17 7 2 3" xfId="31327" xr:uid="{00000000-0005-0000-0000-0000567A0000}"/>
    <cellStyle name="Normal 3 3 17 7 3" xfId="31328" xr:uid="{00000000-0005-0000-0000-0000577A0000}"/>
    <cellStyle name="Normal 3 3 17 7 3 2" xfId="31329" xr:uid="{00000000-0005-0000-0000-0000587A0000}"/>
    <cellStyle name="Normal 3 3 17 7 3 3" xfId="31330" xr:uid="{00000000-0005-0000-0000-0000597A0000}"/>
    <cellStyle name="Normal 3 3 17 7 4" xfId="31331" xr:uid="{00000000-0005-0000-0000-00005A7A0000}"/>
    <cellStyle name="Normal 3 3 17 7 4 2" xfId="31332" xr:uid="{00000000-0005-0000-0000-00005B7A0000}"/>
    <cellStyle name="Normal 3 3 17 7 4 3" xfId="31333" xr:uid="{00000000-0005-0000-0000-00005C7A0000}"/>
    <cellStyle name="Normal 3 3 17 7 5" xfId="31334" xr:uid="{00000000-0005-0000-0000-00005D7A0000}"/>
    <cellStyle name="Normal 3 3 17 7 5 2" xfId="31335" xr:uid="{00000000-0005-0000-0000-00005E7A0000}"/>
    <cellStyle name="Normal 3 3 17 7 5 3" xfId="31336" xr:uid="{00000000-0005-0000-0000-00005F7A0000}"/>
    <cellStyle name="Normal 3 3 17 7 6" xfId="31337" xr:uid="{00000000-0005-0000-0000-0000607A0000}"/>
    <cellStyle name="Normal 3 3 17 7 6 2" xfId="31338" xr:uid="{00000000-0005-0000-0000-0000617A0000}"/>
    <cellStyle name="Normal 3 3 17 7 6 3" xfId="31339" xr:uid="{00000000-0005-0000-0000-0000627A0000}"/>
    <cellStyle name="Normal 3 3 17 7 7" xfId="31340" xr:uid="{00000000-0005-0000-0000-0000637A0000}"/>
    <cellStyle name="Normal 3 3 17 7 7 2" xfId="31341" xr:uid="{00000000-0005-0000-0000-0000647A0000}"/>
    <cellStyle name="Normal 3 3 17 7 7 3" xfId="31342" xr:uid="{00000000-0005-0000-0000-0000657A0000}"/>
    <cellStyle name="Normal 3 3 17 7 8" xfId="31343" xr:uid="{00000000-0005-0000-0000-0000667A0000}"/>
    <cellStyle name="Normal 3 3 17 7 8 2" xfId="31344" xr:uid="{00000000-0005-0000-0000-0000677A0000}"/>
    <cellStyle name="Normal 3 3 17 7 8 3" xfId="31345" xr:uid="{00000000-0005-0000-0000-0000687A0000}"/>
    <cellStyle name="Normal 3 3 17 7 9" xfId="31346" xr:uid="{00000000-0005-0000-0000-0000697A0000}"/>
    <cellStyle name="Normal 3 3 17 7 9 2" xfId="31347" xr:uid="{00000000-0005-0000-0000-00006A7A0000}"/>
    <cellStyle name="Normal 3 3 17 7 9 3" xfId="31348" xr:uid="{00000000-0005-0000-0000-00006B7A0000}"/>
    <cellStyle name="Normal 3 3 17 8" xfId="31349" xr:uid="{00000000-0005-0000-0000-00006C7A0000}"/>
    <cellStyle name="Normal 3 3 17 8 10" xfId="31350" xr:uid="{00000000-0005-0000-0000-00006D7A0000}"/>
    <cellStyle name="Normal 3 3 17 8 10 2" xfId="31351" xr:uid="{00000000-0005-0000-0000-00006E7A0000}"/>
    <cellStyle name="Normal 3 3 17 8 10 3" xfId="31352" xr:uid="{00000000-0005-0000-0000-00006F7A0000}"/>
    <cellStyle name="Normal 3 3 17 8 11" xfId="31353" xr:uid="{00000000-0005-0000-0000-0000707A0000}"/>
    <cellStyle name="Normal 3 3 17 8 11 2" xfId="31354" xr:uid="{00000000-0005-0000-0000-0000717A0000}"/>
    <cellStyle name="Normal 3 3 17 8 11 3" xfId="31355" xr:uid="{00000000-0005-0000-0000-0000727A0000}"/>
    <cellStyle name="Normal 3 3 17 8 12" xfId="31356" xr:uid="{00000000-0005-0000-0000-0000737A0000}"/>
    <cellStyle name="Normal 3 3 17 8 12 2" xfId="31357" xr:uid="{00000000-0005-0000-0000-0000747A0000}"/>
    <cellStyle name="Normal 3 3 17 8 12 3" xfId="31358" xr:uid="{00000000-0005-0000-0000-0000757A0000}"/>
    <cellStyle name="Normal 3 3 17 8 13" xfId="31359" xr:uid="{00000000-0005-0000-0000-0000767A0000}"/>
    <cellStyle name="Normal 3 3 17 8 13 2" xfId="31360" xr:uid="{00000000-0005-0000-0000-0000777A0000}"/>
    <cellStyle name="Normal 3 3 17 8 13 3" xfId="31361" xr:uid="{00000000-0005-0000-0000-0000787A0000}"/>
    <cellStyle name="Normal 3 3 17 8 14" xfId="31362" xr:uid="{00000000-0005-0000-0000-0000797A0000}"/>
    <cellStyle name="Normal 3 3 17 8 14 2" xfId="31363" xr:uid="{00000000-0005-0000-0000-00007A7A0000}"/>
    <cellStyle name="Normal 3 3 17 8 14 3" xfId="31364" xr:uid="{00000000-0005-0000-0000-00007B7A0000}"/>
    <cellStyle name="Normal 3 3 17 8 15" xfId="31365" xr:uid="{00000000-0005-0000-0000-00007C7A0000}"/>
    <cellStyle name="Normal 3 3 17 8 16" xfId="31366" xr:uid="{00000000-0005-0000-0000-00007D7A0000}"/>
    <cellStyle name="Normal 3 3 17 8 2" xfId="31367" xr:uid="{00000000-0005-0000-0000-00007E7A0000}"/>
    <cellStyle name="Normal 3 3 17 8 2 2" xfId="31368" xr:uid="{00000000-0005-0000-0000-00007F7A0000}"/>
    <cellStyle name="Normal 3 3 17 8 2 3" xfId="31369" xr:uid="{00000000-0005-0000-0000-0000807A0000}"/>
    <cellStyle name="Normal 3 3 17 8 3" xfId="31370" xr:uid="{00000000-0005-0000-0000-0000817A0000}"/>
    <cellStyle name="Normal 3 3 17 8 3 2" xfId="31371" xr:uid="{00000000-0005-0000-0000-0000827A0000}"/>
    <cellStyle name="Normal 3 3 17 8 3 3" xfId="31372" xr:uid="{00000000-0005-0000-0000-0000837A0000}"/>
    <cellStyle name="Normal 3 3 17 8 4" xfId="31373" xr:uid="{00000000-0005-0000-0000-0000847A0000}"/>
    <cellStyle name="Normal 3 3 17 8 4 2" xfId="31374" xr:uid="{00000000-0005-0000-0000-0000857A0000}"/>
    <cellStyle name="Normal 3 3 17 8 4 3" xfId="31375" xr:uid="{00000000-0005-0000-0000-0000867A0000}"/>
    <cellStyle name="Normal 3 3 17 8 5" xfId="31376" xr:uid="{00000000-0005-0000-0000-0000877A0000}"/>
    <cellStyle name="Normal 3 3 17 8 5 2" xfId="31377" xr:uid="{00000000-0005-0000-0000-0000887A0000}"/>
    <cellStyle name="Normal 3 3 17 8 5 3" xfId="31378" xr:uid="{00000000-0005-0000-0000-0000897A0000}"/>
    <cellStyle name="Normal 3 3 17 8 6" xfId="31379" xr:uid="{00000000-0005-0000-0000-00008A7A0000}"/>
    <cellStyle name="Normal 3 3 17 8 6 2" xfId="31380" xr:uid="{00000000-0005-0000-0000-00008B7A0000}"/>
    <cellStyle name="Normal 3 3 17 8 6 3" xfId="31381" xr:uid="{00000000-0005-0000-0000-00008C7A0000}"/>
    <cellStyle name="Normal 3 3 17 8 7" xfId="31382" xr:uid="{00000000-0005-0000-0000-00008D7A0000}"/>
    <cellStyle name="Normal 3 3 17 8 7 2" xfId="31383" xr:uid="{00000000-0005-0000-0000-00008E7A0000}"/>
    <cellStyle name="Normal 3 3 17 8 7 3" xfId="31384" xr:uid="{00000000-0005-0000-0000-00008F7A0000}"/>
    <cellStyle name="Normal 3 3 17 8 8" xfId="31385" xr:uid="{00000000-0005-0000-0000-0000907A0000}"/>
    <cellStyle name="Normal 3 3 17 8 8 2" xfId="31386" xr:uid="{00000000-0005-0000-0000-0000917A0000}"/>
    <cellStyle name="Normal 3 3 17 8 8 3" xfId="31387" xr:uid="{00000000-0005-0000-0000-0000927A0000}"/>
    <cellStyle name="Normal 3 3 17 8 9" xfId="31388" xr:uid="{00000000-0005-0000-0000-0000937A0000}"/>
    <cellStyle name="Normal 3 3 17 8 9 2" xfId="31389" xr:uid="{00000000-0005-0000-0000-0000947A0000}"/>
    <cellStyle name="Normal 3 3 17 8 9 3" xfId="31390" xr:uid="{00000000-0005-0000-0000-0000957A0000}"/>
    <cellStyle name="Normal 3 3 17 9" xfId="31391" xr:uid="{00000000-0005-0000-0000-0000967A0000}"/>
    <cellStyle name="Normal 3 3 17 9 10" xfId="31392" xr:uid="{00000000-0005-0000-0000-0000977A0000}"/>
    <cellStyle name="Normal 3 3 17 9 10 2" xfId="31393" xr:uid="{00000000-0005-0000-0000-0000987A0000}"/>
    <cellStyle name="Normal 3 3 17 9 10 3" xfId="31394" xr:uid="{00000000-0005-0000-0000-0000997A0000}"/>
    <cellStyle name="Normal 3 3 17 9 11" xfId="31395" xr:uid="{00000000-0005-0000-0000-00009A7A0000}"/>
    <cellStyle name="Normal 3 3 17 9 11 2" xfId="31396" xr:uid="{00000000-0005-0000-0000-00009B7A0000}"/>
    <cellStyle name="Normal 3 3 17 9 11 3" xfId="31397" xr:uid="{00000000-0005-0000-0000-00009C7A0000}"/>
    <cellStyle name="Normal 3 3 17 9 12" xfId="31398" xr:uid="{00000000-0005-0000-0000-00009D7A0000}"/>
    <cellStyle name="Normal 3 3 17 9 12 2" xfId="31399" xr:uid="{00000000-0005-0000-0000-00009E7A0000}"/>
    <cellStyle name="Normal 3 3 17 9 12 3" xfId="31400" xr:uid="{00000000-0005-0000-0000-00009F7A0000}"/>
    <cellStyle name="Normal 3 3 17 9 13" xfId="31401" xr:uid="{00000000-0005-0000-0000-0000A07A0000}"/>
    <cellStyle name="Normal 3 3 17 9 13 2" xfId="31402" xr:uid="{00000000-0005-0000-0000-0000A17A0000}"/>
    <cellStyle name="Normal 3 3 17 9 13 3" xfId="31403" xr:uid="{00000000-0005-0000-0000-0000A27A0000}"/>
    <cellStyle name="Normal 3 3 17 9 14" xfId="31404" xr:uid="{00000000-0005-0000-0000-0000A37A0000}"/>
    <cellStyle name="Normal 3 3 17 9 14 2" xfId="31405" xr:uid="{00000000-0005-0000-0000-0000A47A0000}"/>
    <cellStyle name="Normal 3 3 17 9 14 3" xfId="31406" xr:uid="{00000000-0005-0000-0000-0000A57A0000}"/>
    <cellStyle name="Normal 3 3 17 9 15" xfId="31407" xr:uid="{00000000-0005-0000-0000-0000A67A0000}"/>
    <cellStyle name="Normal 3 3 17 9 16" xfId="31408" xr:uid="{00000000-0005-0000-0000-0000A77A0000}"/>
    <cellStyle name="Normal 3 3 17 9 2" xfId="31409" xr:uid="{00000000-0005-0000-0000-0000A87A0000}"/>
    <cellStyle name="Normal 3 3 17 9 2 2" xfId="31410" xr:uid="{00000000-0005-0000-0000-0000A97A0000}"/>
    <cellStyle name="Normal 3 3 17 9 2 3" xfId="31411" xr:uid="{00000000-0005-0000-0000-0000AA7A0000}"/>
    <cellStyle name="Normal 3 3 17 9 3" xfId="31412" xr:uid="{00000000-0005-0000-0000-0000AB7A0000}"/>
    <cellStyle name="Normal 3 3 17 9 3 2" xfId="31413" xr:uid="{00000000-0005-0000-0000-0000AC7A0000}"/>
    <cellStyle name="Normal 3 3 17 9 3 3" xfId="31414" xr:uid="{00000000-0005-0000-0000-0000AD7A0000}"/>
    <cellStyle name="Normal 3 3 17 9 4" xfId="31415" xr:uid="{00000000-0005-0000-0000-0000AE7A0000}"/>
    <cellStyle name="Normal 3 3 17 9 4 2" xfId="31416" xr:uid="{00000000-0005-0000-0000-0000AF7A0000}"/>
    <cellStyle name="Normal 3 3 17 9 4 3" xfId="31417" xr:uid="{00000000-0005-0000-0000-0000B07A0000}"/>
    <cellStyle name="Normal 3 3 17 9 5" xfId="31418" xr:uid="{00000000-0005-0000-0000-0000B17A0000}"/>
    <cellStyle name="Normal 3 3 17 9 5 2" xfId="31419" xr:uid="{00000000-0005-0000-0000-0000B27A0000}"/>
    <cellStyle name="Normal 3 3 17 9 5 3" xfId="31420" xr:uid="{00000000-0005-0000-0000-0000B37A0000}"/>
    <cellStyle name="Normal 3 3 17 9 6" xfId="31421" xr:uid="{00000000-0005-0000-0000-0000B47A0000}"/>
    <cellStyle name="Normal 3 3 17 9 6 2" xfId="31422" xr:uid="{00000000-0005-0000-0000-0000B57A0000}"/>
    <cellStyle name="Normal 3 3 17 9 6 3" xfId="31423" xr:uid="{00000000-0005-0000-0000-0000B67A0000}"/>
    <cellStyle name="Normal 3 3 17 9 7" xfId="31424" xr:uid="{00000000-0005-0000-0000-0000B77A0000}"/>
    <cellStyle name="Normal 3 3 17 9 7 2" xfId="31425" xr:uid="{00000000-0005-0000-0000-0000B87A0000}"/>
    <cellStyle name="Normal 3 3 17 9 7 3" xfId="31426" xr:uid="{00000000-0005-0000-0000-0000B97A0000}"/>
    <cellStyle name="Normal 3 3 17 9 8" xfId="31427" xr:uid="{00000000-0005-0000-0000-0000BA7A0000}"/>
    <cellStyle name="Normal 3 3 17 9 8 2" xfId="31428" xr:uid="{00000000-0005-0000-0000-0000BB7A0000}"/>
    <cellStyle name="Normal 3 3 17 9 8 3" xfId="31429" xr:uid="{00000000-0005-0000-0000-0000BC7A0000}"/>
    <cellStyle name="Normal 3 3 17 9 9" xfId="31430" xr:uid="{00000000-0005-0000-0000-0000BD7A0000}"/>
    <cellStyle name="Normal 3 3 17 9 9 2" xfId="31431" xr:uid="{00000000-0005-0000-0000-0000BE7A0000}"/>
    <cellStyle name="Normal 3 3 17 9 9 3" xfId="31432" xr:uid="{00000000-0005-0000-0000-0000BF7A0000}"/>
    <cellStyle name="Normal 3 3 18" xfId="31433" xr:uid="{00000000-0005-0000-0000-0000C07A0000}"/>
    <cellStyle name="Normal 3 3 18 10" xfId="31434" xr:uid="{00000000-0005-0000-0000-0000C17A0000}"/>
    <cellStyle name="Normal 3 3 18 10 10" xfId="31435" xr:uid="{00000000-0005-0000-0000-0000C27A0000}"/>
    <cellStyle name="Normal 3 3 18 10 10 2" xfId="31436" xr:uid="{00000000-0005-0000-0000-0000C37A0000}"/>
    <cellStyle name="Normal 3 3 18 10 10 3" xfId="31437" xr:uid="{00000000-0005-0000-0000-0000C47A0000}"/>
    <cellStyle name="Normal 3 3 18 10 11" xfId="31438" xr:uid="{00000000-0005-0000-0000-0000C57A0000}"/>
    <cellStyle name="Normal 3 3 18 10 11 2" xfId="31439" xr:uid="{00000000-0005-0000-0000-0000C67A0000}"/>
    <cellStyle name="Normal 3 3 18 10 11 3" xfId="31440" xr:uid="{00000000-0005-0000-0000-0000C77A0000}"/>
    <cellStyle name="Normal 3 3 18 10 12" xfId="31441" xr:uid="{00000000-0005-0000-0000-0000C87A0000}"/>
    <cellStyle name="Normal 3 3 18 10 12 2" xfId="31442" xr:uid="{00000000-0005-0000-0000-0000C97A0000}"/>
    <cellStyle name="Normal 3 3 18 10 12 3" xfId="31443" xr:uid="{00000000-0005-0000-0000-0000CA7A0000}"/>
    <cellStyle name="Normal 3 3 18 10 13" xfId="31444" xr:uid="{00000000-0005-0000-0000-0000CB7A0000}"/>
    <cellStyle name="Normal 3 3 18 10 13 2" xfId="31445" xr:uid="{00000000-0005-0000-0000-0000CC7A0000}"/>
    <cellStyle name="Normal 3 3 18 10 13 3" xfId="31446" xr:uid="{00000000-0005-0000-0000-0000CD7A0000}"/>
    <cellStyle name="Normal 3 3 18 10 14" xfId="31447" xr:uid="{00000000-0005-0000-0000-0000CE7A0000}"/>
    <cellStyle name="Normal 3 3 18 10 14 2" xfId="31448" xr:uid="{00000000-0005-0000-0000-0000CF7A0000}"/>
    <cellStyle name="Normal 3 3 18 10 14 3" xfId="31449" xr:uid="{00000000-0005-0000-0000-0000D07A0000}"/>
    <cellStyle name="Normal 3 3 18 10 15" xfId="31450" xr:uid="{00000000-0005-0000-0000-0000D17A0000}"/>
    <cellStyle name="Normal 3 3 18 10 16" xfId="31451" xr:uid="{00000000-0005-0000-0000-0000D27A0000}"/>
    <cellStyle name="Normal 3 3 18 10 2" xfId="31452" xr:uid="{00000000-0005-0000-0000-0000D37A0000}"/>
    <cellStyle name="Normal 3 3 18 10 2 2" xfId="31453" xr:uid="{00000000-0005-0000-0000-0000D47A0000}"/>
    <cellStyle name="Normal 3 3 18 10 2 3" xfId="31454" xr:uid="{00000000-0005-0000-0000-0000D57A0000}"/>
    <cellStyle name="Normal 3 3 18 10 3" xfId="31455" xr:uid="{00000000-0005-0000-0000-0000D67A0000}"/>
    <cellStyle name="Normal 3 3 18 10 3 2" xfId="31456" xr:uid="{00000000-0005-0000-0000-0000D77A0000}"/>
    <cellStyle name="Normal 3 3 18 10 3 3" xfId="31457" xr:uid="{00000000-0005-0000-0000-0000D87A0000}"/>
    <cellStyle name="Normal 3 3 18 10 4" xfId="31458" xr:uid="{00000000-0005-0000-0000-0000D97A0000}"/>
    <cellStyle name="Normal 3 3 18 10 4 2" xfId="31459" xr:uid="{00000000-0005-0000-0000-0000DA7A0000}"/>
    <cellStyle name="Normal 3 3 18 10 4 3" xfId="31460" xr:uid="{00000000-0005-0000-0000-0000DB7A0000}"/>
    <cellStyle name="Normal 3 3 18 10 5" xfId="31461" xr:uid="{00000000-0005-0000-0000-0000DC7A0000}"/>
    <cellStyle name="Normal 3 3 18 10 5 2" xfId="31462" xr:uid="{00000000-0005-0000-0000-0000DD7A0000}"/>
    <cellStyle name="Normal 3 3 18 10 5 3" xfId="31463" xr:uid="{00000000-0005-0000-0000-0000DE7A0000}"/>
    <cellStyle name="Normal 3 3 18 10 6" xfId="31464" xr:uid="{00000000-0005-0000-0000-0000DF7A0000}"/>
    <cellStyle name="Normal 3 3 18 10 6 2" xfId="31465" xr:uid="{00000000-0005-0000-0000-0000E07A0000}"/>
    <cellStyle name="Normal 3 3 18 10 6 3" xfId="31466" xr:uid="{00000000-0005-0000-0000-0000E17A0000}"/>
    <cellStyle name="Normal 3 3 18 10 7" xfId="31467" xr:uid="{00000000-0005-0000-0000-0000E27A0000}"/>
    <cellStyle name="Normal 3 3 18 10 7 2" xfId="31468" xr:uid="{00000000-0005-0000-0000-0000E37A0000}"/>
    <cellStyle name="Normal 3 3 18 10 7 3" xfId="31469" xr:uid="{00000000-0005-0000-0000-0000E47A0000}"/>
    <cellStyle name="Normal 3 3 18 10 8" xfId="31470" xr:uid="{00000000-0005-0000-0000-0000E57A0000}"/>
    <cellStyle name="Normal 3 3 18 10 8 2" xfId="31471" xr:uid="{00000000-0005-0000-0000-0000E67A0000}"/>
    <cellStyle name="Normal 3 3 18 10 8 3" xfId="31472" xr:uid="{00000000-0005-0000-0000-0000E77A0000}"/>
    <cellStyle name="Normal 3 3 18 10 9" xfId="31473" xr:uid="{00000000-0005-0000-0000-0000E87A0000}"/>
    <cellStyle name="Normal 3 3 18 10 9 2" xfId="31474" xr:uid="{00000000-0005-0000-0000-0000E97A0000}"/>
    <cellStyle name="Normal 3 3 18 10 9 3" xfId="31475" xr:uid="{00000000-0005-0000-0000-0000EA7A0000}"/>
    <cellStyle name="Normal 3 3 18 11" xfId="31476" xr:uid="{00000000-0005-0000-0000-0000EB7A0000}"/>
    <cellStyle name="Normal 3 3 18 11 2" xfId="31477" xr:uid="{00000000-0005-0000-0000-0000EC7A0000}"/>
    <cellStyle name="Normal 3 3 18 11 3" xfId="31478" xr:uid="{00000000-0005-0000-0000-0000ED7A0000}"/>
    <cellStyle name="Normal 3 3 18 12" xfId="31479" xr:uid="{00000000-0005-0000-0000-0000EE7A0000}"/>
    <cellStyle name="Normal 3 3 18 12 2" xfId="31480" xr:uid="{00000000-0005-0000-0000-0000EF7A0000}"/>
    <cellStyle name="Normal 3 3 18 12 3" xfId="31481" xr:uid="{00000000-0005-0000-0000-0000F07A0000}"/>
    <cellStyle name="Normal 3 3 18 13" xfId="31482" xr:uid="{00000000-0005-0000-0000-0000F17A0000}"/>
    <cellStyle name="Normal 3 3 18 13 2" xfId="31483" xr:uid="{00000000-0005-0000-0000-0000F27A0000}"/>
    <cellStyle name="Normal 3 3 18 13 3" xfId="31484" xr:uid="{00000000-0005-0000-0000-0000F37A0000}"/>
    <cellStyle name="Normal 3 3 18 14" xfId="31485" xr:uid="{00000000-0005-0000-0000-0000F47A0000}"/>
    <cellStyle name="Normal 3 3 18 14 2" xfId="31486" xr:uid="{00000000-0005-0000-0000-0000F57A0000}"/>
    <cellStyle name="Normal 3 3 18 14 3" xfId="31487" xr:uid="{00000000-0005-0000-0000-0000F67A0000}"/>
    <cellStyle name="Normal 3 3 18 15" xfId="31488" xr:uid="{00000000-0005-0000-0000-0000F77A0000}"/>
    <cellStyle name="Normal 3 3 18 15 2" xfId="31489" xr:uid="{00000000-0005-0000-0000-0000F87A0000}"/>
    <cellStyle name="Normal 3 3 18 15 3" xfId="31490" xr:uid="{00000000-0005-0000-0000-0000F97A0000}"/>
    <cellStyle name="Normal 3 3 18 16" xfId="31491" xr:uid="{00000000-0005-0000-0000-0000FA7A0000}"/>
    <cellStyle name="Normal 3 3 18 16 2" xfId="31492" xr:uid="{00000000-0005-0000-0000-0000FB7A0000}"/>
    <cellStyle name="Normal 3 3 18 16 3" xfId="31493" xr:uid="{00000000-0005-0000-0000-0000FC7A0000}"/>
    <cellStyle name="Normal 3 3 18 17" xfId="31494" xr:uid="{00000000-0005-0000-0000-0000FD7A0000}"/>
    <cellStyle name="Normal 3 3 18 17 2" xfId="31495" xr:uid="{00000000-0005-0000-0000-0000FE7A0000}"/>
    <cellStyle name="Normal 3 3 18 17 3" xfId="31496" xr:uid="{00000000-0005-0000-0000-0000FF7A0000}"/>
    <cellStyle name="Normal 3 3 18 18" xfId="31497" xr:uid="{00000000-0005-0000-0000-0000007B0000}"/>
    <cellStyle name="Normal 3 3 18 18 2" xfId="31498" xr:uid="{00000000-0005-0000-0000-0000017B0000}"/>
    <cellStyle name="Normal 3 3 18 18 3" xfId="31499" xr:uid="{00000000-0005-0000-0000-0000027B0000}"/>
    <cellStyle name="Normal 3 3 18 19" xfId="31500" xr:uid="{00000000-0005-0000-0000-0000037B0000}"/>
    <cellStyle name="Normal 3 3 18 19 2" xfId="31501" xr:uid="{00000000-0005-0000-0000-0000047B0000}"/>
    <cellStyle name="Normal 3 3 18 19 3" xfId="31502" xr:uid="{00000000-0005-0000-0000-0000057B0000}"/>
    <cellStyle name="Normal 3 3 18 2" xfId="31503" xr:uid="{00000000-0005-0000-0000-0000067B0000}"/>
    <cellStyle name="Normal 3 3 18 2 10" xfId="31504" xr:uid="{00000000-0005-0000-0000-0000077B0000}"/>
    <cellStyle name="Normal 3 3 18 2 10 2" xfId="31505" xr:uid="{00000000-0005-0000-0000-0000087B0000}"/>
    <cellStyle name="Normal 3 3 18 2 10 3" xfId="31506" xr:uid="{00000000-0005-0000-0000-0000097B0000}"/>
    <cellStyle name="Normal 3 3 18 2 11" xfId="31507" xr:uid="{00000000-0005-0000-0000-00000A7B0000}"/>
    <cellStyle name="Normal 3 3 18 2 11 2" xfId="31508" xr:uid="{00000000-0005-0000-0000-00000B7B0000}"/>
    <cellStyle name="Normal 3 3 18 2 11 3" xfId="31509" xr:uid="{00000000-0005-0000-0000-00000C7B0000}"/>
    <cellStyle name="Normal 3 3 18 2 12" xfId="31510" xr:uid="{00000000-0005-0000-0000-00000D7B0000}"/>
    <cellStyle name="Normal 3 3 18 2 12 2" xfId="31511" xr:uid="{00000000-0005-0000-0000-00000E7B0000}"/>
    <cellStyle name="Normal 3 3 18 2 12 3" xfId="31512" xr:uid="{00000000-0005-0000-0000-00000F7B0000}"/>
    <cellStyle name="Normal 3 3 18 2 13" xfId="31513" xr:uid="{00000000-0005-0000-0000-0000107B0000}"/>
    <cellStyle name="Normal 3 3 18 2 13 2" xfId="31514" xr:uid="{00000000-0005-0000-0000-0000117B0000}"/>
    <cellStyle name="Normal 3 3 18 2 13 3" xfId="31515" xr:uid="{00000000-0005-0000-0000-0000127B0000}"/>
    <cellStyle name="Normal 3 3 18 2 14" xfId="31516" xr:uid="{00000000-0005-0000-0000-0000137B0000}"/>
    <cellStyle name="Normal 3 3 18 2 14 2" xfId="31517" xr:uid="{00000000-0005-0000-0000-0000147B0000}"/>
    <cellStyle name="Normal 3 3 18 2 14 3" xfId="31518" xr:uid="{00000000-0005-0000-0000-0000157B0000}"/>
    <cellStyle name="Normal 3 3 18 2 15" xfId="31519" xr:uid="{00000000-0005-0000-0000-0000167B0000}"/>
    <cellStyle name="Normal 3 3 18 2 15 2" xfId="31520" xr:uid="{00000000-0005-0000-0000-0000177B0000}"/>
    <cellStyle name="Normal 3 3 18 2 15 3" xfId="31521" xr:uid="{00000000-0005-0000-0000-0000187B0000}"/>
    <cellStyle name="Normal 3 3 18 2 16" xfId="31522" xr:uid="{00000000-0005-0000-0000-0000197B0000}"/>
    <cellStyle name="Normal 3 3 18 2 17" xfId="31523" xr:uid="{00000000-0005-0000-0000-00001A7B0000}"/>
    <cellStyle name="Normal 3 3 18 2 2" xfId="31524" xr:uid="{00000000-0005-0000-0000-00001B7B0000}"/>
    <cellStyle name="Normal 3 3 18 2 2 10" xfId="31525" xr:uid="{00000000-0005-0000-0000-00001C7B0000}"/>
    <cellStyle name="Normal 3 3 18 2 2 10 2" xfId="31526" xr:uid="{00000000-0005-0000-0000-00001D7B0000}"/>
    <cellStyle name="Normal 3 3 18 2 2 10 3" xfId="31527" xr:uid="{00000000-0005-0000-0000-00001E7B0000}"/>
    <cellStyle name="Normal 3 3 18 2 2 11" xfId="31528" xr:uid="{00000000-0005-0000-0000-00001F7B0000}"/>
    <cellStyle name="Normal 3 3 18 2 2 11 2" xfId="31529" xr:uid="{00000000-0005-0000-0000-0000207B0000}"/>
    <cellStyle name="Normal 3 3 18 2 2 11 3" xfId="31530" xr:uid="{00000000-0005-0000-0000-0000217B0000}"/>
    <cellStyle name="Normal 3 3 18 2 2 12" xfId="31531" xr:uid="{00000000-0005-0000-0000-0000227B0000}"/>
    <cellStyle name="Normal 3 3 18 2 2 12 2" xfId="31532" xr:uid="{00000000-0005-0000-0000-0000237B0000}"/>
    <cellStyle name="Normal 3 3 18 2 2 12 3" xfId="31533" xr:uid="{00000000-0005-0000-0000-0000247B0000}"/>
    <cellStyle name="Normal 3 3 18 2 2 13" xfId="31534" xr:uid="{00000000-0005-0000-0000-0000257B0000}"/>
    <cellStyle name="Normal 3 3 18 2 2 13 2" xfId="31535" xr:uid="{00000000-0005-0000-0000-0000267B0000}"/>
    <cellStyle name="Normal 3 3 18 2 2 13 3" xfId="31536" xr:uid="{00000000-0005-0000-0000-0000277B0000}"/>
    <cellStyle name="Normal 3 3 18 2 2 14" xfId="31537" xr:uid="{00000000-0005-0000-0000-0000287B0000}"/>
    <cellStyle name="Normal 3 3 18 2 2 14 2" xfId="31538" xr:uid="{00000000-0005-0000-0000-0000297B0000}"/>
    <cellStyle name="Normal 3 3 18 2 2 14 3" xfId="31539" xr:uid="{00000000-0005-0000-0000-00002A7B0000}"/>
    <cellStyle name="Normal 3 3 18 2 2 15" xfId="31540" xr:uid="{00000000-0005-0000-0000-00002B7B0000}"/>
    <cellStyle name="Normal 3 3 18 2 2 16" xfId="31541" xr:uid="{00000000-0005-0000-0000-00002C7B0000}"/>
    <cellStyle name="Normal 3 3 18 2 2 2" xfId="31542" xr:uid="{00000000-0005-0000-0000-00002D7B0000}"/>
    <cellStyle name="Normal 3 3 18 2 2 2 2" xfId="31543" xr:uid="{00000000-0005-0000-0000-00002E7B0000}"/>
    <cellStyle name="Normal 3 3 18 2 2 2 3" xfId="31544" xr:uid="{00000000-0005-0000-0000-00002F7B0000}"/>
    <cellStyle name="Normal 3 3 18 2 2 3" xfId="31545" xr:uid="{00000000-0005-0000-0000-0000307B0000}"/>
    <cellStyle name="Normal 3 3 18 2 2 3 2" xfId="31546" xr:uid="{00000000-0005-0000-0000-0000317B0000}"/>
    <cellStyle name="Normal 3 3 18 2 2 3 3" xfId="31547" xr:uid="{00000000-0005-0000-0000-0000327B0000}"/>
    <cellStyle name="Normal 3 3 18 2 2 4" xfId="31548" xr:uid="{00000000-0005-0000-0000-0000337B0000}"/>
    <cellStyle name="Normal 3 3 18 2 2 4 2" xfId="31549" xr:uid="{00000000-0005-0000-0000-0000347B0000}"/>
    <cellStyle name="Normal 3 3 18 2 2 4 3" xfId="31550" xr:uid="{00000000-0005-0000-0000-0000357B0000}"/>
    <cellStyle name="Normal 3 3 18 2 2 5" xfId="31551" xr:uid="{00000000-0005-0000-0000-0000367B0000}"/>
    <cellStyle name="Normal 3 3 18 2 2 5 2" xfId="31552" xr:uid="{00000000-0005-0000-0000-0000377B0000}"/>
    <cellStyle name="Normal 3 3 18 2 2 5 3" xfId="31553" xr:uid="{00000000-0005-0000-0000-0000387B0000}"/>
    <cellStyle name="Normal 3 3 18 2 2 6" xfId="31554" xr:uid="{00000000-0005-0000-0000-0000397B0000}"/>
    <cellStyle name="Normal 3 3 18 2 2 6 2" xfId="31555" xr:uid="{00000000-0005-0000-0000-00003A7B0000}"/>
    <cellStyle name="Normal 3 3 18 2 2 6 3" xfId="31556" xr:uid="{00000000-0005-0000-0000-00003B7B0000}"/>
    <cellStyle name="Normal 3 3 18 2 2 7" xfId="31557" xr:uid="{00000000-0005-0000-0000-00003C7B0000}"/>
    <cellStyle name="Normal 3 3 18 2 2 7 2" xfId="31558" xr:uid="{00000000-0005-0000-0000-00003D7B0000}"/>
    <cellStyle name="Normal 3 3 18 2 2 7 3" xfId="31559" xr:uid="{00000000-0005-0000-0000-00003E7B0000}"/>
    <cellStyle name="Normal 3 3 18 2 2 8" xfId="31560" xr:uid="{00000000-0005-0000-0000-00003F7B0000}"/>
    <cellStyle name="Normal 3 3 18 2 2 8 2" xfId="31561" xr:uid="{00000000-0005-0000-0000-0000407B0000}"/>
    <cellStyle name="Normal 3 3 18 2 2 8 3" xfId="31562" xr:uid="{00000000-0005-0000-0000-0000417B0000}"/>
    <cellStyle name="Normal 3 3 18 2 2 9" xfId="31563" xr:uid="{00000000-0005-0000-0000-0000427B0000}"/>
    <cellStyle name="Normal 3 3 18 2 2 9 2" xfId="31564" xr:uid="{00000000-0005-0000-0000-0000437B0000}"/>
    <cellStyle name="Normal 3 3 18 2 2 9 3" xfId="31565" xr:uid="{00000000-0005-0000-0000-0000447B0000}"/>
    <cellStyle name="Normal 3 3 18 2 3" xfId="31566" xr:uid="{00000000-0005-0000-0000-0000457B0000}"/>
    <cellStyle name="Normal 3 3 18 2 3 2" xfId="31567" xr:uid="{00000000-0005-0000-0000-0000467B0000}"/>
    <cellStyle name="Normal 3 3 18 2 3 3" xfId="31568" xr:uid="{00000000-0005-0000-0000-0000477B0000}"/>
    <cellStyle name="Normal 3 3 18 2 4" xfId="31569" xr:uid="{00000000-0005-0000-0000-0000487B0000}"/>
    <cellStyle name="Normal 3 3 18 2 4 2" xfId="31570" xr:uid="{00000000-0005-0000-0000-0000497B0000}"/>
    <cellStyle name="Normal 3 3 18 2 4 3" xfId="31571" xr:uid="{00000000-0005-0000-0000-00004A7B0000}"/>
    <cellStyle name="Normal 3 3 18 2 5" xfId="31572" xr:uid="{00000000-0005-0000-0000-00004B7B0000}"/>
    <cellStyle name="Normal 3 3 18 2 5 2" xfId="31573" xr:uid="{00000000-0005-0000-0000-00004C7B0000}"/>
    <cellStyle name="Normal 3 3 18 2 5 3" xfId="31574" xr:uid="{00000000-0005-0000-0000-00004D7B0000}"/>
    <cellStyle name="Normal 3 3 18 2 6" xfId="31575" xr:uid="{00000000-0005-0000-0000-00004E7B0000}"/>
    <cellStyle name="Normal 3 3 18 2 6 2" xfId="31576" xr:uid="{00000000-0005-0000-0000-00004F7B0000}"/>
    <cellStyle name="Normal 3 3 18 2 6 3" xfId="31577" xr:uid="{00000000-0005-0000-0000-0000507B0000}"/>
    <cellStyle name="Normal 3 3 18 2 7" xfId="31578" xr:uid="{00000000-0005-0000-0000-0000517B0000}"/>
    <cellStyle name="Normal 3 3 18 2 7 2" xfId="31579" xr:uid="{00000000-0005-0000-0000-0000527B0000}"/>
    <cellStyle name="Normal 3 3 18 2 7 3" xfId="31580" xr:uid="{00000000-0005-0000-0000-0000537B0000}"/>
    <cellStyle name="Normal 3 3 18 2 8" xfId="31581" xr:uid="{00000000-0005-0000-0000-0000547B0000}"/>
    <cellStyle name="Normal 3 3 18 2 8 2" xfId="31582" xr:uid="{00000000-0005-0000-0000-0000557B0000}"/>
    <cellStyle name="Normal 3 3 18 2 8 3" xfId="31583" xr:uid="{00000000-0005-0000-0000-0000567B0000}"/>
    <cellStyle name="Normal 3 3 18 2 9" xfId="31584" xr:uid="{00000000-0005-0000-0000-0000577B0000}"/>
    <cellStyle name="Normal 3 3 18 2 9 2" xfId="31585" xr:uid="{00000000-0005-0000-0000-0000587B0000}"/>
    <cellStyle name="Normal 3 3 18 2 9 3" xfId="31586" xr:uid="{00000000-0005-0000-0000-0000597B0000}"/>
    <cellStyle name="Normal 3 3 18 20" xfId="31587" xr:uid="{00000000-0005-0000-0000-00005A7B0000}"/>
    <cellStyle name="Normal 3 3 18 20 2" xfId="31588" xr:uid="{00000000-0005-0000-0000-00005B7B0000}"/>
    <cellStyle name="Normal 3 3 18 20 3" xfId="31589" xr:uid="{00000000-0005-0000-0000-00005C7B0000}"/>
    <cellStyle name="Normal 3 3 18 21" xfId="31590" xr:uid="{00000000-0005-0000-0000-00005D7B0000}"/>
    <cellStyle name="Normal 3 3 18 21 2" xfId="31591" xr:uid="{00000000-0005-0000-0000-00005E7B0000}"/>
    <cellStyle name="Normal 3 3 18 21 3" xfId="31592" xr:uid="{00000000-0005-0000-0000-00005F7B0000}"/>
    <cellStyle name="Normal 3 3 18 22" xfId="31593" xr:uid="{00000000-0005-0000-0000-0000607B0000}"/>
    <cellStyle name="Normal 3 3 18 22 2" xfId="31594" xr:uid="{00000000-0005-0000-0000-0000617B0000}"/>
    <cellStyle name="Normal 3 3 18 22 3" xfId="31595" xr:uid="{00000000-0005-0000-0000-0000627B0000}"/>
    <cellStyle name="Normal 3 3 18 23" xfId="31596" xr:uid="{00000000-0005-0000-0000-0000637B0000}"/>
    <cellStyle name="Normal 3 3 18 23 2" xfId="31597" xr:uid="{00000000-0005-0000-0000-0000647B0000}"/>
    <cellStyle name="Normal 3 3 18 23 3" xfId="31598" xr:uid="{00000000-0005-0000-0000-0000657B0000}"/>
    <cellStyle name="Normal 3 3 18 24" xfId="31599" xr:uid="{00000000-0005-0000-0000-0000667B0000}"/>
    <cellStyle name="Normal 3 3 18 25" xfId="31600" xr:uid="{00000000-0005-0000-0000-0000677B0000}"/>
    <cellStyle name="Normal 3 3 18 3" xfId="31601" xr:uid="{00000000-0005-0000-0000-0000687B0000}"/>
    <cellStyle name="Normal 3 3 18 3 10" xfId="31602" xr:uid="{00000000-0005-0000-0000-0000697B0000}"/>
    <cellStyle name="Normal 3 3 18 3 10 2" xfId="31603" xr:uid="{00000000-0005-0000-0000-00006A7B0000}"/>
    <cellStyle name="Normal 3 3 18 3 10 3" xfId="31604" xr:uid="{00000000-0005-0000-0000-00006B7B0000}"/>
    <cellStyle name="Normal 3 3 18 3 11" xfId="31605" xr:uid="{00000000-0005-0000-0000-00006C7B0000}"/>
    <cellStyle name="Normal 3 3 18 3 11 2" xfId="31606" xr:uid="{00000000-0005-0000-0000-00006D7B0000}"/>
    <cellStyle name="Normal 3 3 18 3 11 3" xfId="31607" xr:uid="{00000000-0005-0000-0000-00006E7B0000}"/>
    <cellStyle name="Normal 3 3 18 3 12" xfId="31608" xr:uid="{00000000-0005-0000-0000-00006F7B0000}"/>
    <cellStyle name="Normal 3 3 18 3 12 2" xfId="31609" xr:uid="{00000000-0005-0000-0000-0000707B0000}"/>
    <cellStyle name="Normal 3 3 18 3 12 3" xfId="31610" xr:uid="{00000000-0005-0000-0000-0000717B0000}"/>
    <cellStyle name="Normal 3 3 18 3 13" xfId="31611" xr:uid="{00000000-0005-0000-0000-0000727B0000}"/>
    <cellStyle name="Normal 3 3 18 3 13 2" xfId="31612" xr:uid="{00000000-0005-0000-0000-0000737B0000}"/>
    <cellStyle name="Normal 3 3 18 3 13 3" xfId="31613" xr:uid="{00000000-0005-0000-0000-0000747B0000}"/>
    <cellStyle name="Normal 3 3 18 3 14" xfId="31614" xr:uid="{00000000-0005-0000-0000-0000757B0000}"/>
    <cellStyle name="Normal 3 3 18 3 14 2" xfId="31615" xr:uid="{00000000-0005-0000-0000-0000767B0000}"/>
    <cellStyle name="Normal 3 3 18 3 14 3" xfId="31616" xr:uid="{00000000-0005-0000-0000-0000777B0000}"/>
    <cellStyle name="Normal 3 3 18 3 15" xfId="31617" xr:uid="{00000000-0005-0000-0000-0000787B0000}"/>
    <cellStyle name="Normal 3 3 18 3 15 2" xfId="31618" xr:uid="{00000000-0005-0000-0000-0000797B0000}"/>
    <cellStyle name="Normal 3 3 18 3 15 3" xfId="31619" xr:uid="{00000000-0005-0000-0000-00007A7B0000}"/>
    <cellStyle name="Normal 3 3 18 3 16" xfId="31620" xr:uid="{00000000-0005-0000-0000-00007B7B0000}"/>
    <cellStyle name="Normal 3 3 18 3 17" xfId="31621" xr:uid="{00000000-0005-0000-0000-00007C7B0000}"/>
    <cellStyle name="Normal 3 3 18 3 2" xfId="31622" xr:uid="{00000000-0005-0000-0000-00007D7B0000}"/>
    <cellStyle name="Normal 3 3 18 3 2 10" xfId="31623" xr:uid="{00000000-0005-0000-0000-00007E7B0000}"/>
    <cellStyle name="Normal 3 3 18 3 2 10 2" xfId="31624" xr:uid="{00000000-0005-0000-0000-00007F7B0000}"/>
    <cellStyle name="Normal 3 3 18 3 2 10 3" xfId="31625" xr:uid="{00000000-0005-0000-0000-0000807B0000}"/>
    <cellStyle name="Normal 3 3 18 3 2 11" xfId="31626" xr:uid="{00000000-0005-0000-0000-0000817B0000}"/>
    <cellStyle name="Normal 3 3 18 3 2 11 2" xfId="31627" xr:uid="{00000000-0005-0000-0000-0000827B0000}"/>
    <cellStyle name="Normal 3 3 18 3 2 11 3" xfId="31628" xr:uid="{00000000-0005-0000-0000-0000837B0000}"/>
    <cellStyle name="Normal 3 3 18 3 2 12" xfId="31629" xr:uid="{00000000-0005-0000-0000-0000847B0000}"/>
    <cellStyle name="Normal 3 3 18 3 2 12 2" xfId="31630" xr:uid="{00000000-0005-0000-0000-0000857B0000}"/>
    <cellStyle name="Normal 3 3 18 3 2 12 3" xfId="31631" xr:uid="{00000000-0005-0000-0000-0000867B0000}"/>
    <cellStyle name="Normal 3 3 18 3 2 13" xfId="31632" xr:uid="{00000000-0005-0000-0000-0000877B0000}"/>
    <cellStyle name="Normal 3 3 18 3 2 13 2" xfId="31633" xr:uid="{00000000-0005-0000-0000-0000887B0000}"/>
    <cellStyle name="Normal 3 3 18 3 2 13 3" xfId="31634" xr:uid="{00000000-0005-0000-0000-0000897B0000}"/>
    <cellStyle name="Normal 3 3 18 3 2 14" xfId="31635" xr:uid="{00000000-0005-0000-0000-00008A7B0000}"/>
    <cellStyle name="Normal 3 3 18 3 2 14 2" xfId="31636" xr:uid="{00000000-0005-0000-0000-00008B7B0000}"/>
    <cellStyle name="Normal 3 3 18 3 2 14 3" xfId="31637" xr:uid="{00000000-0005-0000-0000-00008C7B0000}"/>
    <cellStyle name="Normal 3 3 18 3 2 15" xfId="31638" xr:uid="{00000000-0005-0000-0000-00008D7B0000}"/>
    <cellStyle name="Normal 3 3 18 3 2 16" xfId="31639" xr:uid="{00000000-0005-0000-0000-00008E7B0000}"/>
    <cellStyle name="Normal 3 3 18 3 2 2" xfId="31640" xr:uid="{00000000-0005-0000-0000-00008F7B0000}"/>
    <cellStyle name="Normal 3 3 18 3 2 2 2" xfId="31641" xr:uid="{00000000-0005-0000-0000-0000907B0000}"/>
    <cellStyle name="Normal 3 3 18 3 2 2 3" xfId="31642" xr:uid="{00000000-0005-0000-0000-0000917B0000}"/>
    <cellStyle name="Normal 3 3 18 3 2 3" xfId="31643" xr:uid="{00000000-0005-0000-0000-0000927B0000}"/>
    <cellStyle name="Normal 3 3 18 3 2 3 2" xfId="31644" xr:uid="{00000000-0005-0000-0000-0000937B0000}"/>
    <cellStyle name="Normal 3 3 18 3 2 3 3" xfId="31645" xr:uid="{00000000-0005-0000-0000-0000947B0000}"/>
    <cellStyle name="Normal 3 3 18 3 2 4" xfId="31646" xr:uid="{00000000-0005-0000-0000-0000957B0000}"/>
    <cellStyle name="Normal 3 3 18 3 2 4 2" xfId="31647" xr:uid="{00000000-0005-0000-0000-0000967B0000}"/>
    <cellStyle name="Normal 3 3 18 3 2 4 3" xfId="31648" xr:uid="{00000000-0005-0000-0000-0000977B0000}"/>
    <cellStyle name="Normal 3 3 18 3 2 5" xfId="31649" xr:uid="{00000000-0005-0000-0000-0000987B0000}"/>
    <cellStyle name="Normal 3 3 18 3 2 5 2" xfId="31650" xr:uid="{00000000-0005-0000-0000-0000997B0000}"/>
    <cellStyle name="Normal 3 3 18 3 2 5 3" xfId="31651" xr:uid="{00000000-0005-0000-0000-00009A7B0000}"/>
    <cellStyle name="Normal 3 3 18 3 2 6" xfId="31652" xr:uid="{00000000-0005-0000-0000-00009B7B0000}"/>
    <cellStyle name="Normal 3 3 18 3 2 6 2" xfId="31653" xr:uid="{00000000-0005-0000-0000-00009C7B0000}"/>
    <cellStyle name="Normal 3 3 18 3 2 6 3" xfId="31654" xr:uid="{00000000-0005-0000-0000-00009D7B0000}"/>
    <cellStyle name="Normal 3 3 18 3 2 7" xfId="31655" xr:uid="{00000000-0005-0000-0000-00009E7B0000}"/>
    <cellStyle name="Normal 3 3 18 3 2 7 2" xfId="31656" xr:uid="{00000000-0005-0000-0000-00009F7B0000}"/>
    <cellStyle name="Normal 3 3 18 3 2 7 3" xfId="31657" xr:uid="{00000000-0005-0000-0000-0000A07B0000}"/>
    <cellStyle name="Normal 3 3 18 3 2 8" xfId="31658" xr:uid="{00000000-0005-0000-0000-0000A17B0000}"/>
    <cellStyle name="Normal 3 3 18 3 2 8 2" xfId="31659" xr:uid="{00000000-0005-0000-0000-0000A27B0000}"/>
    <cellStyle name="Normal 3 3 18 3 2 8 3" xfId="31660" xr:uid="{00000000-0005-0000-0000-0000A37B0000}"/>
    <cellStyle name="Normal 3 3 18 3 2 9" xfId="31661" xr:uid="{00000000-0005-0000-0000-0000A47B0000}"/>
    <cellStyle name="Normal 3 3 18 3 2 9 2" xfId="31662" xr:uid="{00000000-0005-0000-0000-0000A57B0000}"/>
    <cellStyle name="Normal 3 3 18 3 2 9 3" xfId="31663" xr:uid="{00000000-0005-0000-0000-0000A67B0000}"/>
    <cellStyle name="Normal 3 3 18 3 3" xfId="31664" xr:uid="{00000000-0005-0000-0000-0000A77B0000}"/>
    <cellStyle name="Normal 3 3 18 3 3 2" xfId="31665" xr:uid="{00000000-0005-0000-0000-0000A87B0000}"/>
    <cellStyle name="Normal 3 3 18 3 3 3" xfId="31666" xr:uid="{00000000-0005-0000-0000-0000A97B0000}"/>
    <cellStyle name="Normal 3 3 18 3 4" xfId="31667" xr:uid="{00000000-0005-0000-0000-0000AA7B0000}"/>
    <cellStyle name="Normal 3 3 18 3 4 2" xfId="31668" xr:uid="{00000000-0005-0000-0000-0000AB7B0000}"/>
    <cellStyle name="Normal 3 3 18 3 4 3" xfId="31669" xr:uid="{00000000-0005-0000-0000-0000AC7B0000}"/>
    <cellStyle name="Normal 3 3 18 3 5" xfId="31670" xr:uid="{00000000-0005-0000-0000-0000AD7B0000}"/>
    <cellStyle name="Normal 3 3 18 3 5 2" xfId="31671" xr:uid="{00000000-0005-0000-0000-0000AE7B0000}"/>
    <cellStyle name="Normal 3 3 18 3 5 3" xfId="31672" xr:uid="{00000000-0005-0000-0000-0000AF7B0000}"/>
    <cellStyle name="Normal 3 3 18 3 6" xfId="31673" xr:uid="{00000000-0005-0000-0000-0000B07B0000}"/>
    <cellStyle name="Normal 3 3 18 3 6 2" xfId="31674" xr:uid="{00000000-0005-0000-0000-0000B17B0000}"/>
    <cellStyle name="Normal 3 3 18 3 6 3" xfId="31675" xr:uid="{00000000-0005-0000-0000-0000B27B0000}"/>
    <cellStyle name="Normal 3 3 18 3 7" xfId="31676" xr:uid="{00000000-0005-0000-0000-0000B37B0000}"/>
    <cellStyle name="Normal 3 3 18 3 7 2" xfId="31677" xr:uid="{00000000-0005-0000-0000-0000B47B0000}"/>
    <cellStyle name="Normal 3 3 18 3 7 3" xfId="31678" xr:uid="{00000000-0005-0000-0000-0000B57B0000}"/>
    <cellStyle name="Normal 3 3 18 3 8" xfId="31679" xr:uid="{00000000-0005-0000-0000-0000B67B0000}"/>
    <cellStyle name="Normal 3 3 18 3 8 2" xfId="31680" xr:uid="{00000000-0005-0000-0000-0000B77B0000}"/>
    <cellStyle name="Normal 3 3 18 3 8 3" xfId="31681" xr:uid="{00000000-0005-0000-0000-0000B87B0000}"/>
    <cellStyle name="Normal 3 3 18 3 9" xfId="31682" xr:uid="{00000000-0005-0000-0000-0000B97B0000}"/>
    <cellStyle name="Normal 3 3 18 3 9 2" xfId="31683" xr:uid="{00000000-0005-0000-0000-0000BA7B0000}"/>
    <cellStyle name="Normal 3 3 18 3 9 3" xfId="31684" xr:uid="{00000000-0005-0000-0000-0000BB7B0000}"/>
    <cellStyle name="Normal 3 3 18 4" xfId="31685" xr:uid="{00000000-0005-0000-0000-0000BC7B0000}"/>
    <cellStyle name="Normal 3 3 18 4 10" xfId="31686" xr:uid="{00000000-0005-0000-0000-0000BD7B0000}"/>
    <cellStyle name="Normal 3 3 18 4 10 2" xfId="31687" xr:uid="{00000000-0005-0000-0000-0000BE7B0000}"/>
    <cellStyle name="Normal 3 3 18 4 10 3" xfId="31688" xr:uid="{00000000-0005-0000-0000-0000BF7B0000}"/>
    <cellStyle name="Normal 3 3 18 4 11" xfId="31689" xr:uid="{00000000-0005-0000-0000-0000C07B0000}"/>
    <cellStyle name="Normal 3 3 18 4 11 2" xfId="31690" xr:uid="{00000000-0005-0000-0000-0000C17B0000}"/>
    <cellStyle name="Normal 3 3 18 4 11 3" xfId="31691" xr:uid="{00000000-0005-0000-0000-0000C27B0000}"/>
    <cellStyle name="Normal 3 3 18 4 12" xfId="31692" xr:uid="{00000000-0005-0000-0000-0000C37B0000}"/>
    <cellStyle name="Normal 3 3 18 4 12 2" xfId="31693" xr:uid="{00000000-0005-0000-0000-0000C47B0000}"/>
    <cellStyle name="Normal 3 3 18 4 12 3" xfId="31694" xr:uid="{00000000-0005-0000-0000-0000C57B0000}"/>
    <cellStyle name="Normal 3 3 18 4 13" xfId="31695" xr:uid="{00000000-0005-0000-0000-0000C67B0000}"/>
    <cellStyle name="Normal 3 3 18 4 13 2" xfId="31696" xr:uid="{00000000-0005-0000-0000-0000C77B0000}"/>
    <cellStyle name="Normal 3 3 18 4 13 3" xfId="31697" xr:uid="{00000000-0005-0000-0000-0000C87B0000}"/>
    <cellStyle name="Normal 3 3 18 4 14" xfId="31698" xr:uid="{00000000-0005-0000-0000-0000C97B0000}"/>
    <cellStyle name="Normal 3 3 18 4 14 2" xfId="31699" xr:uid="{00000000-0005-0000-0000-0000CA7B0000}"/>
    <cellStyle name="Normal 3 3 18 4 14 3" xfId="31700" xr:uid="{00000000-0005-0000-0000-0000CB7B0000}"/>
    <cellStyle name="Normal 3 3 18 4 15" xfId="31701" xr:uid="{00000000-0005-0000-0000-0000CC7B0000}"/>
    <cellStyle name="Normal 3 3 18 4 15 2" xfId="31702" xr:uid="{00000000-0005-0000-0000-0000CD7B0000}"/>
    <cellStyle name="Normal 3 3 18 4 15 3" xfId="31703" xr:uid="{00000000-0005-0000-0000-0000CE7B0000}"/>
    <cellStyle name="Normal 3 3 18 4 16" xfId="31704" xr:uid="{00000000-0005-0000-0000-0000CF7B0000}"/>
    <cellStyle name="Normal 3 3 18 4 17" xfId="31705" xr:uid="{00000000-0005-0000-0000-0000D07B0000}"/>
    <cellStyle name="Normal 3 3 18 4 2" xfId="31706" xr:uid="{00000000-0005-0000-0000-0000D17B0000}"/>
    <cellStyle name="Normal 3 3 18 4 2 10" xfId="31707" xr:uid="{00000000-0005-0000-0000-0000D27B0000}"/>
    <cellStyle name="Normal 3 3 18 4 2 10 2" xfId="31708" xr:uid="{00000000-0005-0000-0000-0000D37B0000}"/>
    <cellStyle name="Normal 3 3 18 4 2 10 3" xfId="31709" xr:uid="{00000000-0005-0000-0000-0000D47B0000}"/>
    <cellStyle name="Normal 3 3 18 4 2 11" xfId="31710" xr:uid="{00000000-0005-0000-0000-0000D57B0000}"/>
    <cellStyle name="Normal 3 3 18 4 2 11 2" xfId="31711" xr:uid="{00000000-0005-0000-0000-0000D67B0000}"/>
    <cellStyle name="Normal 3 3 18 4 2 11 3" xfId="31712" xr:uid="{00000000-0005-0000-0000-0000D77B0000}"/>
    <cellStyle name="Normal 3 3 18 4 2 12" xfId="31713" xr:uid="{00000000-0005-0000-0000-0000D87B0000}"/>
    <cellStyle name="Normal 3 3 18 4 2 12 2" xfId="31714" xr:uid="{00000000-0005-0000-0000-0000D97B0000}"/>
    <cellStyle name="Normal 3 3 18 4 2 12 3" xfId="31715" xr:uid="{00000000-0005-0000-0000-0000DA7B0000}"/>
    <cellStyle name="Normal 3 3 18 4 2 13" xfId="31716" xr:uid="{00000000-0005-0000-0000-0000DB7B0000}"/>
    <cellStyle name="Normal 3 3 18 4 2 13 2" xfId="31717" xr:uid="{00000000-0005-0000-0000-0000DC7B0000}"/>
    <cellStyle name="Normal 3 3 18 4 2 13 3" xfId="31718" xr:uid="{00000000-0005-0000-0000-0000DD7B0000}"/>
    <cellStyle name="Normal 3 3 18 4 2 14" xfId="31719" xr:uid="{00000000-0005-0000-0000-0000DE7B0000}"/>
    <cellStyle name="Normal 3 3 18 4 2 14 2" xfId="31720" xr:uid="{00000000-0005-0000-0000-0000DF7B0000}"/>
    <cellStyle name="Normal 3 3 18 4 2 14 3" xfId="31721" xr:uid="{00000000-0005-0000-0000-0000E07B0000}"/>
    <cellStyle name="Normal 3 3 18 4 2 15" xfId="31722" xr:uid="{00000000-0005-0000-0000-0000E17B0000}"/>
    <cellStyle name="Normal 3 3 18 4 2 16" xfId="31723" xr:uid="{00000000-0005-0000-0000-0000E27B0000}"/>
    <cellStyle name="Normal 3 3 18 4 2 2" xfId="31724" xr:uid="{00000000-0005-0000-0000-0000E37B0000}"/>
    <cellStyle name="Normal 3 3 18 4 2 2 2" xfId="31725" xr:uid="{00000000-0005-0000-0000-0000E47B0000}"/>
    <cellStyle name="Normal 3 3 18 4 2 2 3" xfId="31726" xr:uid="{00000000-0005-0000-0000-0000E57B0000}"/>
    <cellStyle name="Normal 3 3 18 4 2 3" xfId="31727" xr:uid="{00000000-0005-0000-0000-0000E67B0000}"/>
    <cellStyle name="Normal 3 3 18 4 2 3 2" xfId="31728" xr:uid="{00000000-0005-0000-0000-0000E77B0000}"/>
    <cellStyle name="Normal 3 3 18 4 2 3 3" xfId="31729" xr:uid="{00000000-0005-0000-0000-0000E87B0000}"/>
    <cellStyle name="Normal 3 3 18 4 2 4" xfId="31730" xr:uid="{00000000-0005-0000-0000-0000E97B0000}"/>
    <cellStyle name="Normal 3 3 18 4 2 4 2" xfId="31731" xr:uid="{00000000-0005-0000-0000-0000EA7B0000}"/>
    <cellStyle name="Normal 3 3 18 4 2 4 3" xfId="31732" xr:uid="{00000000-0005-0000-0000-0000EB7B0000}"/>
    <cellStyle name="Normal 3 3 18 4 2 5" xfId="31733" xr:uid="{00000000-0005-0000-0000-0000EC7B0000}"/>
    <cellStyle name="Normal 3 3 18 4 2 5 2" xfId="31734" xr:uid="{00000000-0005-0000-0000-0000ED7B0000}"/>
    <cellStyle name="Normal 3 3 18 4 2 5 3" xfId="31735" xr:uid="{00000000-0005-0000-0000-0000EE7B0000}"/>
    <cellStyle name="Normal 3 3 18 4 2 6" xfId="31736" xr:uid="{00000000-0005-0000-0000-0000EF7B0000}"/>
    <cellStyle name="Normal 3 3 18 4 2 6 2" xfId="31737" xr:uid="{00000000-0005-0000-0000-0000F07B0000}"/>
    <cellStyle name="Normal 3 3 18 4 2 6 3" xfId="31738" xr:uid="{00000000-0005-0000-0000-0000F17B0000}"/>
    <cellStyle name="Normal 3 3 18 4 2 7" xfId="31739" xr:uid="{00000000-0005-0000-0000-0000F27B0000}"/>
    <cellStyle name="Normal 3 3 18 4 2 7 2" xfId="31740" xr:uid="{00000000-0005-0000-0000-0000F37B0000}"/>
    <cellStyle name="Normal 3 3 18 4 2 7 3" xfId="31741" xr:uid="{00000000-0005-0000-0000-0000F47B0000}"/>
    <cellStyle name="Normal 3 3 18 4 2 8" xfId="31742" xr:uid="{00000000-0005-0000-0000-0000F57B0000}"/>
    <cellStyle name="Normal 3 3 18 4 2 8 2" xfId="31743" xr:uid="{00000000-0005-0000-0000-0000F67B0000}"/>
    <cellStyle name="Normal 3 3 18 4 2 8 3" xfId="31744" xr:uid="{00000000-0005-0000-0000-0000F77B0000}"/>
    <cellStyle name="Normal 3 3 18 4 2 9" xfId="31745" xr:uid="{00000000-0005-0000-0000-0000F87B0000}"/>
    <cellStyle name="Normal 3 3 18 4 2 9 2" xfId="31746" xr:uid="{00000000-0005-0000-0000-0000F97B0000}"/>
    <cellStyle name="Normal 3 3 18 4 2 9 3" xfId="31747" xr:uid="{00000000-0005-0000-0000-0000FA7B0000}"/>
    <cellStyle name="Normal 3 3 18 4 3" xfId="31748" xr:uid="{00000000-0005-0000-0000-0000FB7B0000}"/>
    <cellStyle name="Normal 3 3 18 4 3 2" xfId="31749" xr:uid="{00000000-0005-0000-0000-0000FC7B0000}"/>
    <cellStyle name="Normal 3 3 18 4 3 3" xfId="31750" xr:uid="{00000000-0005-0000-0000-0000FD7B0000}"/>
    <cellStyle name="Normal 3 3 18 4 4" xfId="31751" xr:uid="{00000000-0005-0000-0000-0000FE7B0000}"/>
    <cellStyle name="Normal 3 3 18 4 4 2" xfId="31752" xr:uid="{00000000-0005-0000-0000-0000FF7B0000}"/>
    <cellStyle name="Normal 3 3 18 4 4 3" xfId="31753" xr:uid="{00000000-0005-0000-0000-0000007C0000}"/>
    <cellStyle name="Normal 3 3 18 4 5" xfId="31754" xr:uid="{00000000-0005-0000-0000-0000017C0000}"/>
    <cellStyle name="Normal 3 3 18 4 5 2" xfId="31755" xr:uid="{00000000-0005-0000-0000-0000027C0000}"/>
    <cellStyle name="Normal 3 3 18 4 5 3" xfId="31756" xr:uid="{00000000-0005-0000-0000-0000037C0000}"/>
    <cellStyle name="Normal 3 3 18 4 6" xfId="31757" xr:uid="{00000000-0005-0000-0000-0000047C0000}"/>
    <cellStyle name="Normal 3 3 18 4 6 2" xfId="31758" xr:uid="{00000000-0005-0000-0000-0000057C0000}"/>
    <cellStyle name="Normal 3 3 18 4 6 3" xfId="31759" xr:uid="{00000000-0005-0000-0000-0000067C0000}"/>
    <cellStyle name="Normal 3 3 18 4 7" xfId="31760" xr:uid="{00000000-0005-0000-0000-0000077C0000}"/>
    <cellStyle name="Normal 3 3 18 4 7 2" xfId="31761" xr:uid="{00000000-0005-0000-0000-0000087C0000}"/>
    <cellStyle name="Normal 3 3 18 4 7 3" xfId="31762" xr:uid="{00000000-0005-0000-0000-0000097C0000}"/>
    <cellStyle name="Normal 3 3 18 4 8" xfId="31763" xr:uid="{00000000-0005-0000-0000-00000A7C0000}"/>
    <cellStyle name="Normal 3 3 18 4 8 2" xfId="31764" xr:uid="{00000000-0005-0000-0000-00000B7C0000}"/>
    <cellStyle name="Normal 3 3 18 4 8 3" xfId="31765" xr:uid="{00000000-0005-0000-0000-00000C7C0000}"/>
    <cellStyle name="Normal 3 3 18 4 9" xfId="31766" xr:uid="{00000000-0005-0000-0000-00000D7C0000}"/>
    <cellStyle name="Normal 3 3 18 4 9 2" xfId="31767" xr:uid="{00000000-0005-0000-0000-00000E7C0000}"/>
    <cellStyle name="Normal 3 3 18 4 9 3" xfId="31768" xr:uid="{00000000-0005-0000-0000-00000F7C0000}"/>
    <cellStyle name="Normal 3 3 18 5" xfId="31769" xr:uid="{00000000-0005-0000-0000-0000107C0000}"/>
    <cellStyle name="Normal 3 3 18 5 10" xfId="31770" xr:uid="{00000000-0005-0000-0000-0000117C0000}"/>
    <cellStyle name="Normal 3 3 18 5 10 2" xfId="31771" xr:uid="{00000000-0005-0000-0000-0000127C0000}"/>
    <cellStyle name="Normal 3 3 18 5 10 3" xfId="31772" xr:uid="{00000000-0005-0000-0000-0000137C0000}"/>
    <cellStyle name="Normal 3 3 18 5 11" xfId="31773" xr:uid="{00000000-0005-0000-0000-0000147C0000}"/>
    <cellStyle name="Normal 3 3 18 5 11 2" xfId="31774" xr:uid="{00000000-0005-0000-0000-0000157C0000}"/>
    <cellStyle name="Normal 3 3 18 5 11 3" xfId="31775" xr:uid="{00000000-0005-0000-0000-0000167C0000}"/>
    <cellStyle name="Normal 3 3 18 5 12" xfId="31776" xr:uid="{00000000-0005-0000-0000-0000177C0000}"/>
    <cellStyle name="Normal 3 3 18 5 12 2" xfId="31777" xr:uid="{00000000-0005-0000-0000-0000187C0000}"/>
    <cellStyle name="Normal 3 3 18 5 12 3" xfId="31778" xr:uid="{00000000-0005-0000-0000-0000197C0000}"/>
    <cellStyle name="Normal 3 3 18 5 13" xfId="31779" xr:uid="{00000000-0005-0000-0000-00001A7C0000}"/>
    <cellStyle name="Normal 3 3 18 5 13 2" xfId="31780" xr:uid="{00000000-0005-0000-0000-00001B7C0000}"/>
    <cellStyle name="Normal 3 3 18 5 13 3" xfId="31781" xr:uid="{00000000-0005-0000-0000-00001C7C0000}"/>
    <cellStyle name="Normal 3 3 18 5 14" xfId="31782" xr:uid="{00000000-0005-0000-0000-00001D7C0000}"/>
    <cellStyle name="Normal 3 3 18 5 14 2" xfId="31783" xr:uid="{00000000-0005-0000-0000-00001E7C0000}"/>
    <cellStyle name="Normal 3 3 18 5 14 3" xfId="31784" xr:uid="{00000000-0005-0000-0000-00001F7C0000}"/>
    <cellStyle name="Normal 3 3 18 5 15" xfId="31785" xr:uid="{00000000-0005-0000-0000-0000207C0000}"/>
    <cellStyle name="Normal 3 3 18 5 16" xfId="31786" xr:uid="{00000000-0005-0000-0000-0000217C0000}"/>
    <cellStyle name="Normal 3 3 18 5 2" xfId="31787" xr:uid="{00000000-0005-0000-0000-0000227C0000}"/>
    <cellStyle name="Normal 3 3 18 5 2 2" xfId="31788" xr:uid="{00000000-0005-0000-0000-0000237C0000}"/>
    <cellStyle name="Normal 3 3 18 5 2 3" xfId="31789" xr:uid="{00000000-0005-0000-0000-0000247C0000}"/>
    <cellStyle name="Normal 3 3 18 5 3" xfId="31790" xr:uid="{00000000-0005-0000-0000-0000257C0000}"/>
    <cellStyle name="Normal 3 3 18 5 3 2" xfId="31791" xr:uid="{00000000-0005-0000-0000-0000267C0000}"/>
    <cellStyle name="Normal 3 3 18 5 3 3" xfId="31792" xr:uid="{00000000-0005-0000-0000-0000277C0000}"/>
    <cellStyle name="Normal 3 3 18 5 4" xfId="31793" xr:uid="{00000000-0005-0000-0000-0000287C0000}"/>
    <cellStyle name="Normal 3 3 18 5 4 2" xfId="31794" xr:uid="{00000000-0005-0000-0000-0000297C0000}"/>
    <cellStyle name="Normal 3 3 18 5 4 3" xfId="31795" xr:uid="{00000000-0005-0000-0000-00002A7C0000}"/>
    <cellStyle name="Normal 3 3 18 5 5" xfId="31796" xr:uid="{00000000-0005-0000-0000-00002B7C0000}"/>
    <cellStyle name="Normal 3 3 18 5 5 2" xfId="31797" xr:uid="{00000000-0005-0000-0000-00002C7C0000}"/>
    <cellStyle name="Normal 3 3 18 5 5 3" xfId="31798" xr:uid="{00000000-0005-0000-0000-00002D7C0000}"/>
    <cellStyle name="Normal 3 3 18 5 6" xfId="31799" xr:uid="{00000000-0005-0000-0000-00002E7C0000}"/>
    <cellStyle name="Normal 3 3 18 5 6 2" xfId="31800" xr:uid="{00000000-0005-0000-0000-00002F7C0000}"/>
    <cellStyle name="Normal 3 3 18 5 6 3" xfId="31801" xr:uid="{00000000-0005-0000-0000-0000307C0000}"/>
    <cellStyle name="Normal 3 3 18 5 7" xfId="31802" xr:uid="{00000000-0005-0000-0000-0000317C0000}"/>
    <cellStyle name="Normal 3 3 18 5 7 2" xfId="31803" xr:uid="{00000000-0005-0000-0000-0000327C0000}"/>
    <cellStyle name="Normal 3 3 18 5 7 3" xfId="31804" xr:uid="{00000000-0005-0000-0000-0000337C0000}"/>
    <cellStyle name="Normal 3 3 18 5 8" xfId="31805" xr:uid="{00000000-0005-0000-0000-0000347C0000}"/>
    <cellStyle name="Normal 3 3 18 5 8 2" xfId="31806" xr:uid="{00000000-0005-0000-0000-0000357C0000}"/>
    <cellStyle name="Normal 3 3 18 5 8 3" xfId="31807" xr:uid="{00000000-0005-0000-0000-0000367C0000}"/>
    <cellStyle name="Normal 3 3 18 5 9" xfId="31808" xr:uid="{00000000-0005-0000-0000-0000377C0000}"/>
    <cellStyle name="Normal 3 3 18 5 9 2" xfId="31809" xr:uid="{00000000-0005-0000-0000-0000387C0000}"/>
    <cellStyle name="Normal 3 3 18 5 9 3" xfId="31810" xr:uid="{00000000-0005-0000-0000-0000397C0000}"/>
    <cellStyle name="Normal 3 3 18 6" xfId="31811" xr:uid="{00000000-0005-0000-0000-00003A7C0000}"/>
    <cellStyle name="Normal 3 3 18 6 10" xfId="31812" xr:uid="{00000000-0005-0000-0000-00003B7C0000}"/>
    <cellStyle name="Normal 3 3 18 6 10 2" xfId="31813" xr:uid="{00000000-0005-0000-0000-00003C7C0000}"/>
    <cellStyle name="Normal 3 3 18 6 10 3" xfId="31814" xr:uid="{00000000-0005-0000-0000-00003D7C0000}"/>
    <cellStyle name="Normal 3 3 18 6 11" xfId="31815" xr:uid="{00000000-0005-0000-0000-00003E7C0000}"/>
    <cellStyle name="Normal 3 3 18 6 11 2" xfId="31816" xr:uid="{00000000-0005-0000-0000-00003F7C0000}"/>
    <cellStyle name="Normal 3 3 18 6 11 3" xfId="31817" xr:uid="{00000000-0005-0000-0000-0000407C0000}"/>
    <cellStyle name="Normal 3 3 18 6 12" xfId="31818" xr:uid="{00000000-0005-0000-0000-0000417C0000}"/>
    <cellStyle name="Normal 3 3 18 6 12 2" xfId="31819" xr:uid="{00000000-0005-0000-0000-0000427C0000}"/>
    <cellStyle name="Normal 3 3 18 6 12 3" xfId="31820" xr:uid="{00000000-0005-0000-0000-0000437C0000}"/>
    <cellStyle name="Normal 3 3 18 6 13" xfId="31821" xr:uid="{00000000-0005-0000-0000-0000447C0000}"/>
    <cellStyle name="Normal 3 3 18 6 13 2" xfId="31822" xr:uid="{00000000-0005-0000-0000-0000457C0000}"/>
    <cellStyle name="Normal 3 3 18 6 13 3" xfId="31823" xr:uid="{00000000-0005-0000-0000-0000467C0000}"/>
    <cellStyle name="Normal 3 3 18 6 14" xfId="31824" xr:uid="{00000000-0005-0000-0000-0000477C0000}"/>
    <cellStyle name="Normal 3 3 18 6 14 2" xfId="31825" xr:uid="{00000000-0005-0000-0000-0000487C0000}"/>
    <cellStyle name="Normal 3 3 18 6 14 3" xfId="31826" xr:uid="{00000000-0005-0000-0000-0000497C0000}"/>
    <cellStyle name="Normal 3 3 18 6 15" xfId="31827" xr:uid="{00000000-0005-0000-0000-00004A7C0000}"/>
    <cellStyle name="Normal 3 3 18 6 16" xfId="31828" xr:uid="{00000000-0005-0000-0000-00004B7C0000}"/>
    <cellStyle name="Normal 3 3 18 6 2" xfId="31829" xr:uid="{00000000-0005-0000-0000-00004C7C0000}"/>
    <cellStyle name="Normal 3 3 18 6 2 2" xfId="31830" xr:uid="{00000000-0005-0000-0000-00004D7C0000}"/>
    <cellStyle name="Normal 3 3 18 6 2 3" xfId="31831" xr:uid="{00000000-0005-0000-0000-00004E7C0000}"/>
    <cellStyle name="Normal 3 3 18 6 3" xfId="31832" xr:uid="{00000000-0005-0000-0000-00004F7C0000}"/>
    <cellStyle name="Normal 3 3 18 6 3 2" xfId="31833" xr:uid="{00000000-0005-0000-0000-0000507C0000}"/>
    <cellStyle name="Normal 3 3 18 6 3 3" xfId="31834" xr:uid="{00000000-0005-0000-0000-0000517C0000}"/>
    <cellStyle name="Normal 3 3 18 6 4" xfId="31835" xr:uid="{00000000-0005-0000-0000-0000527C0000}"/>
    <cellStyle name="Normal 3 3 18 6 4 2" xfId="31836" xr:uid="{00000000-0005-0000-0000-0000537C0000}"/>
    <cellStyle name="Normal 3 3 18 6 4 3" xfId="31837" xr:uid="{00000000-0005-0000-0000-0000547C0000}"/>
    <cellStyle name="Normal 3 3 18 6 5" xfId="31838" xr:uid="{00000000-0005-0000-0000-0000557C0000}"/>
    <cellStyle name="Normal 3 3 18 6 5 2" xfId="31839" xr:uid="{00000000-0005-0000-0000-0000567C0000}"/>
    <cellStyle name="Normal 3 3 18 6 5 3" xfId="31840" xr:uid="{00000000-0005-0000-0000-0000577C0000}"/>
    <cellStyle name="Normal 3 3 18 6 6" xfId="31841" xr:uid="{00000000-0005-0000-0000-0000587C0000}"/>
    <cellStyle name="Normal 3 3 18 6 6 2" xfId="31842" xr:uid="{00000000-0005-0000-0000-0000597C0000}"/>
    <cellStyle name="Normal 3 3 18 6 6 3" xfId="31843" xr:uid="{00000000-0005-0000-0000-00005A7C0000}"/>
    <cellStyle name="Normal 3 3 18 6 7" xfId="31844" xr:uid="{00000000-0005-0000-0000-00005B7C0000}"/>
    <cellStyle name="Normal 3 3 18 6 7 2" xfId="31845" xr:uid="{00000000-0005-0000-0000-00005C7C0000}"/>
    <cellStyle name="Normal 3 3 18 6 7 3" xfId="31846" xr:uid="{00000000-0005-0000-0000-00005D7C0000}"/>
    <cellStyle name="Normal 3 3 18 6 8" xfId="31847" xr:uid="{00000000-0005-0000-0000-00005E7C0000}"/>
    <cellStyle name="Normal 3 3 18 6 8 2" xfId="31848" xr:uid="{00000000-0005-0000-0000-00005F7C0000}"/>
    <cellStyle name="Normal 3 3 18 6 8 3" xfId="31849" xr:uid="{00000000-0005-0000-0000-0000607C0000}"/>
    <cellStyle name="Normal 3 3 18 6 9" xfId="31850" xr:uid="{00000000-0005-0000-0000-0000617C0000}"/>
    <cellStyle name="Normal 3 3 18 6 9 2" xfId="31851" xr:uid="{00000000-0005-0000-0000-0000627C0000}"/>
    <cellStyle name="Normal 3 3 18 6 9 3" xfId="31852" xr:uid="{00000000-0005-0000-0000-0000637C0000}"/>
    <cellStyle name="Normal 3 3 18 7" xfId="31853" xr:uid="{00000000-0005-0000-0000-0000647C0000}"/>
    <cellStyle name="Normal 3 3 18 7 10" xfId="31854" xr:uid="{00000000-0005-0000-0000-0000657C0000}"/>
    <cellStyle name="Normal 3 3 18 7 10 2" xfId="31855" xr:uid="{00000000-0005-0000-0000-0000667C0000}"/>
    <cellStyle name="Normal 3 3 18 7 10 3" xfId="31856" xr:uid="{00000000-0005-0000-0000-0000677C0000}"/>
    <cellStyle name="Normal 3 3 18 7 11" xfId="31857" xr:uid="{00000000-0005-0000-0000-0000687C0000}"/>
    <cellStyle name="Normal 3 3 18 7 11 2" xfId="31858" xr:uid="{00000000-0005-0000-0000-0000697C0000}"/>
    <cellStyle name="Normal 3 3 18 7 11 3" xfId="31859" xr:uid="{00000000-0005-0000-0000-00006A7C0000}"/>
    <cellStyle name="Normal 3 3 18 7 12" xfId="31860" xr:uid="{00000000-0005-0000-0000-00006B7C0000}"/>
    <cellStyle name="Normal 3 3 18 7 12 2" xfId="31861" xr:uid="{00000000-0005-0000-0000-00006C7C0000}"/>
    <cellStyle name="Normal 3 3 18 7 12 3" xfId="31862" xr:uid="{00000000-0005-0000-0000-00006D7C0000}"/>
    <cellStyle name="Normal 3 3 18 7 13" xfId="31863" xr:uid="{00000000-0005-0000-0000-00006E7C0000}"/>
    <cellStyle name="Normal 3 3 18 7 13 2" xfId="31864" xr:uid="{00000000-0005-0000-0000-00006F7C0000}"/>
    <cellStyle name="Normal 3 3 18 7 13 3" xfId="31865" xr:uid="{00000000-0005-0000-0000-0000707C0000}"/>
    <cellStyle name="Normal 3 3 18 7 14" xfId="31866" xr:uid="{00000000-0005-0000-0000-0000717C0000}"/>
    <cellStyle name="Normal 3 3 18 7 14 2" xfId="31867" xr:uid="{00000000-0005-0000-0000-0000727C0000}"/>
    <cellStyle name="Normal 3 3 18 7 14 3" xfId="31868" xr:uid="{00000000-0005-0000-0000-0000737C0000}"/>
    <cellStyle name="Normal 3 3 18 7 15" xfId="31869" xr:uid="{00000000-0005-0000-0000-0000747C0000}"/>
    <cellStyle name="Normal 3 3 18 7 16" xfId="31870" xr:uid="{00000000-0005-0000-0000-0000757C0000}"/>
    <cellStyle name="Normal 3 3 18 7 2" xfId="31871" xr:uid="{00000000-0005-0000-0000-0000767C0000}"/>
    <cellStyle name="Normal 3 3 18 7 2 2" xfId="31872" xr:uid="{00000000-0005-0000-0000-0000777C0000}"/>
    <cellStyle name="Normal 3 3 18 7 2 3" xfId="31873" xr:uid="{00000000-0005-0000-0000-0000787C0000}"/>
    <cellStyle name="Normal 3 3 18 7 3" xfId="31874" xr:uid="{00000000-0005-0000-0000-0000797C0000}"/>
    <cellStyle name="Normal 3 3 18 7 3 2" xfId="31875" xr:uid="{00000000-0005-0000-0000-00007A7C0000}"/>
    <cellStyle name="Normal 3 3 18 7 3 3" xfId="31876" xr:uid="{00000000-0005-0000-0000-00007B7C0000}"/>
    <cellStyle name="Normal 3 3 18 7 4" xfId="31877" xr:uid="{00000000-0005-0000-0000-00007C7C0000}"/>
    <cellStyle name="Normal 3 3 18 7 4 2" xfId="31878" xr:uid="{00000000-0005-0000-0000-00007D7C0000}"/>
    <cellStyle name="Normal 3 3 18 7 4 3" xfId="31879" xr:uid="{00000000-0005-0000-0000-00007E7C0000}"/>
    <cellStyle name="Normal 3 3 18 7 5" xfId="31880" xr:uid="{00000000-0005-0000-0000-00007F7C0000}"/>
    <cellStyle name="Normal 3 3 18 7 5 2" xfId="31881" xr:uid="{00000000-0005-0000-0000-0000807C0000}"/>
    <cellStyle name="Normal 3 3 18 7 5 3" xfId="31882" xr:uid="{00000000-0005-0000-0000-0000817C0000}"/>
    <cellStyle name="Normal 3 3 18 7 6" xfId="31883" xr:uid="{00000000-0005-0000-0000-0000827C0000}"/>
    <cellStyle name="Normal 3 3 18 7 6 2" xfId="31884" xr:uid="{00000000-0005-0000-0000-0000837C0000}"/>
    <cellStyle name="Normal 3 3 18 7 6 3" xfId="31885" xr:uid="{00000000-0005-0000-0000-0000847C0000}"/>
    <cellStyle name="Normal 3 3 18 7 7" xfId="31886" xr:uid="{00000000-0005-0000-0000-0000857C0000}"/>
    <cellStyle name="Normal 3 3 18 7 7 2" xfId="31887" xr:uid="{00000000-0005-0000-0000-0000867C0000}"/>
    <cellStyle name="Normal 3 3 18 7 7 3" xfId="31888" xr:uid="{00000000-0005-0000-0000-0000877C0000}"/>
    <cellStyle name="Normal 3 3 18 7 8" xfId="31889" xr:uid="{00000000-0005-0000-0000-0000887C0000}"/>
    <cellStyle name="Normal 3 3 18 7 8 2" xfId="31890" xr:uid="{00000000-0005-0000-0000-0000897C0000}"/>
    <cellStyle name="Normal 3 3 18 7 8 3" xfId="31891" xr:uid="{00000000-0005-0000-0000-00008A7C0000}"/>
    <cellStyle name="Normal 3 3 18 7 9" xfId="31892" xr:uid="{00000000-0005-0000-0000-00008B7C0000}"/>
    <cellStyle name="Normal 3 3 18 7 9 2" xfId="31893" xr:uid="{00000000-0005-0000-0000-00008C7C0000}"/>
    <cellStyle name="Normal 3 3 18 7 9 3" xfId="31894" xr:uid="{00000000-0005-0000-0000-00008D7C0000}"/>
    <cellStyle name="Normal 3 3 18 8" xfId="31895" xr:uid="{00000000-0005-0000-0000-00008E7C0000}"/>
    <cellStyle name="Normal 3 3 18 8 10" xfId="31896" xr:uid="{00000000-0005-0000-0000-00008F7C0000}"/>
    <cellStyle name="Normal 3 3 18 8 10 2" xfId="31897" xr:uid="{00000000-0005-0000-0000-0000907C0000}"/>
    <cellStyle name="Normal 3 3 18 8 10 3" xfId="31898" xr:uid="{00000000-0005-0000-0000-0000917C0000}"/>
    <cellStyle name="Normal 3 3 18 8 11" xfId="31899" xr:uid="{00000000-0005-0000-0000-0000927C0000}"/>
    <cellStyle name="Normal 3 3 18 8 11 2" xfId="31900" xr:uid="{00000000-0005-0000-0000-0000937C0000}"/>
    <cellStyle name="Normal 3 3 18 8 11 3" xfId="31901" xr:uid="{00000000-0005-0000-0000-0000947C0000}"/>
    <cellStyle name="Normal 3 3 18 8 12" xfId="31902" xr:uid="{00000000-0005-0000-0000-0000957C0000}"/>
    <cellStyle name="Normal 3 3 18 8 12 2" xfId="31903" xr:uid="{00000000-0005-0000-0000-0000967C0000}"/>
    <cellStyle name="Normal 3 3 18 8 12 3" xfId="31904" xr:uid="{00000000-0005-0000-0000-0000977C0000}"/>
    <cellStyle name="Normal 3 3 18 8 13" xfId="31905" xr:uid="{00000000-0005-0000-0000-0000987C0000}"/>
    <cellStyle name="Normal 3 3 18 8 13 2" xfId="31906" xr:uid="{00000000-0005-0000-0000-0000997C0000}"/>
    <cellStyle name="Normal 3 3 18 8 13 3" xfId="31907" xr:uid="{00000000-0005-0000-0000-00009A7C0000}"/>
    <cellStyle name="Normal 3 3 18 8 14" xfId="31908" xr:uid="{00000000-0005-0000-0000-00009B7C0000}"/>
    <cellStyle name="Normal 3 3 18 8 14 2" xfId="31909" xr:uid="{00000000-0005-0000-0000-00009C7C0000}"/>
    <cellStyle name="Normal 3 3 18 8 14 3" xfId="31910" xr:uid="{00000000-0005-0000-0000-00009D7C0000}"/>
    <cellStyle name="Normal 3 3 18 8 15" xfId="31911" xr:uid="{00000000-0005-0000-0000-00009E7C0000}"/>
    <cellStyle name="Normal 3 3 18 8 16" xfId="31912" xr:uid="{00000000-0005-0000-0000-00009F7C0000}"/>
    <cellStyle name="Normal 3 3 18 8 2" xfId="31913" xr:uid="{00000000-0005-0000-0000-0000A07C0000}"/>
    <cellStyle name="Normal 3 3 18 8 2 2" xfId="31914" xr:uid="{00000000-0005-0000-0000-0000A17C0000}"/>
    <cellStyle name="Normal 3 3 18 8 2 3" xfId="31915" xr:uid="{00000000-0005-0000-0000-0000A27C0000}"/>
    <cellStyle name="Normal 3 3 18 8 3" xfId="31916" xr:uid="{00000000-0005-0000-0000-0000A37C0000}"/>
    <cellStyle name="Normal 3 3 18 8 3 2" xfId="31917" xr:uid="{00000000-0005-0000-0000-0000A47C0000}"/>
    <cellStyle name="Normal 3 3 18 8 3 3" xfId="31918" xr:uid="{00000000-0005-0000-0000-0000A57C0000}"/>
    <cellStyle name="Normal 3 3 18 8 4" xfId="31919" xr:uid="{00000000-0005-0000-0000-0000A67C0000}"/>
    <cellStyle name="Normal 3 3 18 8 4 2" xfId="31920" xr:uid="{00000000-0005-0000-0000-0000A77C0000}"/>
    <cellStyle name="Normal 3 3 18 8 4 3" xfId="31921" xr:uid="{00000000-0005-0000-0000-0000A87C0000}"/>
    <cellStyle name="Normal 3 3 18 8 5" xfId="31922" xr:uid="{00000000-0005-0000-0000-0000A97C0000}"/>
    <cellStyle name="Normal 3 3 18 8 5 2" xfId="31923" xr:uid="{00000000-0005-0000-0000-0000AA7C0000}"/>
    <cellStyle name="Normal 3 3 18 8 5 3" xfId="31924" xr:uid="{00000000-0005-0000-0000-0000AB7C0000}"/>
    <cellStyle name="Normal 3 3 18 8 6" xfId="31925" xr:uid="{00000000-0005-0000-0000-0000AC7C0000}"/>
    <cellStyle name="Normal 3 3 18 8 6 2" xfId="31926" xr:uid="{00000000-0005-0000-0000-0000AD7C0000}"/>
    <cellStyle name="Normal 3 3 18 8 6 3" xfId="31927" xr:uid="{00000000-0005-0000-0000-0000AE7C0000}"/>
    <cellStyle name="Normal 3 3 18 8 7" xfId="31928" xr:uid="{00000000-0005-0000-0000-0000AF7C0000}"/>
    <cellStyle name="Normal 3 3 18 8 7 2" xfId="31929" xr:uid="{00000000-0005-0000-0000-0000B07C0000}"/>
    <cellStyle name="Normal 3 3 18 8 7 3" xfId="31930" xr:uid="{00000000-0005-0000-0000-0000B17C0000}"/>
    <cellStyle name="Normal 3 3 18 8 8" xfId="31931" xr:uid="{00000000-0005-0000-0000-0000B27C0000}"/>
    <cellStyle name="Normal 3 3 18 8 8 2" xfId="31932" xr:uid="{00000000-0005-0000-0000-0000B37C0000}"/>
    <cellStyle name="Normal 3 3 18 8 8 3" xfId="31933" xr:uid="{00000000-0005-0000-0000-0000B47C0000}"/>
    <cellStyle name="Normal 3 3 18 8 9" xfId="31934" xr:uid="{00000000-0005-0000-0000-0000B57C0000}"/>
    <cellStyle name="Normal 3 3 18 8 9 2" xfId="31935" xr:uid="{00000000-0005-0000-0000-0000B67C0000}"/>
    <cellStyle name="Normal 3 3 18 8 9 3" xfId="31936" xr:uid="{00000000-0005-0000-0000-0000B77C0000}"/>
    <cellStyle name="Normal 3 3 18 9" xfId="31937" xr:uid="{00000000-0005-0000-0000-0000B87C0000}"/>
    <cellStyle name="Normal 3 3 18 9 10" xfId="31938" xr:uid="{00000000-0005-0000-0000-0000B97C0000}"/>
    <cellStyle name="Normal 3 3 18 9 10 2" xfId="31939" xr:uid="{00000000-0005-0000-0000-0000BA7C0000}"/>
    <cellStyle name="Normal 3 3 18 9 10 3" xfId="31940" xr:uid="{00000000-0005-0000-0000-0000BB7C0000}"/>
    <cellStyle name="Normal 3 3 18 9 11" xfId="31941" xr:uid="{00000000-0005-0000-0000-0000BC7C0000}"/>
    <cellStyle name="Normal 3 3 18 9 11 2" xfId="31942" xr:uid="{00000000-0005-0000-0000-0000BD7C0000}"/>
    <cellStyle name="Normal 3 3 18 9 11 3" xfId="31943" xr:uid="{00000000-0005-0000-0000-0000BE7C0000}"/>
    <cellStyle name="Normal 3 3 18 9 12" xfId="31944" xr:uid="{00000000-0005-0000-0000-0000BF7C0000}"/>
    <cellStyle name="Normal 3 3 18 9 12 2" xfId="31945" xr:uid="{00000000-0005-0000-0000-0000C07C0000}"/>
    <cellStyle name="Normal 3 3 18 9 12 3" xfId="31946" xr:uid="{00000000-0005-0000-0000-0000C17C0000}"/>
    <cellStyle name="Normal 3 3 18 9 13" xfId="31947" xr:uid="{00000000-0005-0000-0000-0000C27C0000}"/>
    <cellStyle name="Normal 3 3 18 9 13 2" xfId="31948" xr:uid="{00000000-0005-0000-0000-0000C37C0000}"/>
    <cellStyle name="Normal 3 3 18 9 13 3" xfId="31949" xr:uid="{00000000-0005-0000-0000-0000C47C0000}"/>
    <cellStyle name="Normal 3 3 18 9 14" xfId="31950" xr:uid="{00000000-0005-0000-0000-0000C57C0000}"/>
    <cellStyle name="Normal 3 3 18 9 14 2" xfId="31951" xr:uid="{00000000-0005-0000-0000-0000C67C0000}"/>
    <cellStyle name="Normal 3 3 18 9 14 3" xfId="31952" xr:uid="{00000000-0005-0000-0000-0000C77C0000}"/>
    <cellStyle name="Normal 3 3 18 9 15" xfId="31953" xr:uid="{00000000-0005-0000-0000-0000C87C0000}"/>
    <cellStyle name="Normal 3 3 18 9 16" xfId="31954" xr:uid="{00000000-0005-0000-0000-0000C97C0000}"/>
    <cellStyle name="Normal 3 3 18 9 2" xfId="31955" xr:uid="{00000000-0005-0000-0000-0000CA7C0000}"/>
    <cellStyle name="Normal 3 3 18 9 2 2" xfId="31956" xr:uid="{00000000-0005-0000-0000-0000CB7C0000}"/>
    <cellStyle name="Normal 3 3 18 9 2 3" xfId="31957" xr:uid="{00000000-0005-0000-0000-0000CC7C0000}"/>
    <cellStyle name="Normal 3 3 18 9 3" xfId="31958" xr:uid="{00000000-0005-0000-0000-0000CD7C0000}"/>
    <cellStyle name="Normal 3 3 18 9 3 2" xfId="31959" xr:uid="{00000000-0005-0000-0000-0000CE7C0000}"/>
    <cellStyle name="Normal 3 3 18 9 3 3" xfId="31960" xr:uid="{00000000-0005-0000-0000-0000CF7C0000}"/>
    <cellStyle name="Normal 3 3 18 9 4" xfId="31961" xr:uid="{00000000-0005-0000-0000-0000D07C0000}"/>
    <cellStyle name="Normal 3 3 18 9 4 2" xfId="31962" xr:uid="{00000000-0005-0000-0000-0000D17C0000}"/>
    <cellStyle name="Normal 3 3 18 9 4 3" xfId="31963" xr:uid="{00000000-0005-0000-0000-0000D27C0000}"/>
    <cellStyle name="Normal 3 3 18 9 5" xfId="31964" xr:uid="{00000000-0005-0000-0000-0000D37C0000}"/>
    <cellStyle name="Normal 3 3 18 9 5 2" xfId="31965" xr:uid="{00000000-0005-0000-0000-0000D47C0000}"/>
    <cellStyle name="Normal 3 3 18 9 5 3" xfId="31966" xr:uid="{00000000-0005-0000-0000-0000D57C0000}"/>
    <cellStyle name="Normal 3 3 18 9 6" xfId="31967" xr:uid="{00000000-0005-0000-0000-0000D67C0000}"/>
    <cellStyle name="Normal 3 3 18 9 6 2" xfId="31968" xr:uid="{00000000-0005-0000-0000-0000D77C0000}"/>
    <cellStyle name="Normal 3 3 18 9 6 3" xfId="31969" xr:uid="{00000000-0005-0000-0000-0000D87C0000}"/>
    <cellStyle name="Normal 3 3 18 9 7" xfId="31970" xr:uid="{00000000-0005-0000-0000-0000D97C0000}"/>
    <cellStyle name="Normal 3 3 18 9 7 2" xfId="31971" xr:uid="{00000000-0005-0000-0000-0000DA7C0000}"/>
    <cellStyle name="Normal 3 3 18 9 7 3" xfId="31972" xr:uid="{00000000-0005-0000-0000-0000DB7C0000}"/>
    <cellStyle name="Normal 3 3 18 9 8" xfId="31973" xr:uid="{00000000-0005-0000-0000-0000DC7C0000}"/>
    <cellStyle name="Normal 3 3 18 9 8 2" xfId="31974" xr:uid="{00000000-0005-0000-0000-0000DD7C0000}"/>
    <cellStyle name="Normal 3 3 18 9 8 3" xfId="31975" xr:uid="{00000000-0005-0000-0000-0000DE7C0000}"/>
    <cellStyle name="Normal 3 3 18 9 9" xfId="31976" xr:uid="{00000000-0005-0000-0000-0000DF7C0000}"/>
    <cellStyle name="Normal 3 3 18 9 9 2" xfId="31977" xr:uid="{00000000-0005-0000-0000-0000E07C0000}"/>
    <cellStyle name="Normal 3 3 18 9 9 3" xfId="31978" xr:uid="{00000000-0005-0000-0000-0000E17C0000}"/>
    <cellStyle name="Normal 3 3 19" xfId="31979" xr:uid="{00000000-0005-0000-0000-0000E27C0000}"/>
    <cellStyle name="Normal 3 3 19 10" xfId="31980" xr:uid="{00000000-0005-0000-0000-0000E37C0000}"/>
    <cellStyle name="Normal 3 3 19 10 2" xfId="31981" xr:uid="{00000000-0005-0000-0000-0000E47C0000}"/>
    <cellStyle name="Normal 3 3 19 10 3" xfId="31982" xr:uid="{00000000-0005-0000-0000-0000E57C0000}"/>
    <cellStyle name="Normal 3 3 19 11" xfId="31983" xr:uid="{00000000-0005-0000-0000-0000E67C0000}"/>
    <cellStyle name="Normal 3 3 19 11 2" xfId="31984" xr:uid="{00000000-0005-0000-0000-0000E77C0000}"/>
    <cellStyle name="Normal 3 3 19 11 3" xfId="31985" xr:uid="{00000000-0005-0000-0000-0000E87C0000}"/>
    <cellStyle name="Normal 3 3 19 12" xfId="31986" xr:uid="{00000000-0005-0000-0000-0000E97C0000}"/>
    <cellStyle name="Normal 3 3 19 12 2" xfId="31987" xr:uid="{00000000-0005-0000-0000-0000EA7C0000}"/>
    <cellStyle name="Normal 3 3 19 12 3" xfId="31988" xr:uid="{00000000-0005-0000-0000-0000EB7C0000}"/>
    <cellStyle name="Normal 3 3 19 13" xfId="31989" xr:uid="{00000000-0005-0000-0000-0000EC7C0000}"/>
    <cellStyle name="Normal 3 3 19 13 2" xfId="31990" xr:uid="{00000000-0005-0000-0000-0000ED7C0000}"/>
    <cellStyle name="Normal 3 3 19 13 3" xfId="31991" xr:uid="{00000000-0005-0000-0000-0000EE7C0000}"/>
    <cellStyle name="Normal 3 3 19 14" xfId="31992" xr:uid="{00000000-0005-0000-0000-0000EF7C0000}"/>
    <cellStyle name="Normal 3 3 19 14 2" xfId="31993" xr:uid="{00000000-0005-0000-0000-0000F07C0000}"/>
    <cellStyle name="Normal 3 3 19 14 3" xfId="31994" xr:uid="{00000000-0005-0000-0000-0000F17C0000}"/>
    <cellStyle name="Normal 3 3 19 15" xfId="31995" xr:uid="{00000000-0005-0000-0000-0000F27C0000}"/>
    <cellStyle name="Normal 3 3 19 15 2" xfId="31996" xr:uid="{00000000-0005-0000-0000-0000F37C0000}"/>
    <cellStyle name="Normal 3 3 19 15 3" xfId="31997" xr:uid="{00000000-0005-0000-0000-0000F47C0000}"/>
    <cellStyle name="Normal 3 3 19 16" xfId="31998" xr:uid="{00000000-0005-0000-0000-0000F57C0000}"/>
    <cellStyle name="Normal 3 3 19 17" xfId="31999" xr:uid="{00000000-0005-0000-0000-0000F67C0000}"/>
    <cellStyle name="Normal 3 3 19 2" xfId="32000" xr:uid="{00000000-0005-0000-0000-0000F77C0000}"/>
    <cellStyle name="Normal 3 3 19 2 10" xfId="32001" xr:uid="{00000000-0005-0000-0000-0000F87C0000}"/>
    <cellStyle name="Normal 3 3 19 2 10 2" xfId="32002" xr:uid="{00000000-0005-0000-0000-0000F97C0000}"/>
    <cellStyle name="Normal 3 3 19 2 10 3" xfId="32003" xr:uid="{00000000-0005-0000-0000-0000FA7C0000}"/>
    <cellStyle name="Normal 3 3 19 2 11" xfId="32004" xr:uid="{00000000-0005-0000-0000-0000FB7C0000}"/>
    <cellStyle name="Normal 3 3 19 2 11 2" xfId="32005" xr:uid="{00000000-0005-0000-0000-0000FC7C0000}"/>
    <cellStyle name="Normal 3 3 19 2 11 3" xfId="32006" xr:uid="{00000000-0005-0000-0000-0000FD7C0000}"/>
    <cellStyle name="Normal 3 3 19 2 12" xfId="32007" xr:uid="{00000000-0005-0000-0000-0000FE7C0000}"/>
    <cellStyle name="Normal 3 3 19 2 12 2" xfId="32008" xr:uid="{00000000-0005-0000-0000-0000FF7C0000}"/>
    <cellStyle name="Normal 3 3 19 2 12 3" xfId="32009" xr:uid="{00000000-0005-0000-0000-0000007D0000}"/>
    <cellStyle name="Normal 3 3 19 2 13" xfId="32010" xr:uid="{00000000-0005-0000-0000-0000017D0000}"/>
    <cellStyle name="Normal 3 3 19 2 13 2" xfId="32011" xr:uid="{00000000-0005-0000-0000-0000027D0000}"/>
    <cellStyle name="Normal 3 3 19 2 13 3" xfId="32012" xr:uid="{00000000-0005-0000-0000-0000037D0000}"/>
    <cellStyle name="Normal 3 3 19 2 14" xfId="32013" xr:uid="{00000000-0005-0000-0000-0000047D0000}"/>
    <cellStyle name="Normal 3 3 19 2 14 2" xfId="32014" xr:uid="{00000000-0005-0000-0000-0000057D0000}"/>
    <cellStyle name="Normal 3 3 19 2 14 3" xfId="32015" xr:uid="{00000000-0005-0000-0000-0000067D0000}"/>
    <cellStyle name="Normal 3 3 19 2 15" xfId="32016" xr:uid="{00000000-0005-0000-0000-0000077D0000}"/>
    <cellStyle name="Normal 3 3 19 2 16" xfId="32017" xr:uid="{00000000-0005-0000-0000-0000087D0000}"/>
    <cellStyle name="Normal 3 3 19 2 2" xfId="32018" xr:uid="{00000000-0005-0000-0000-0000097D0000}"/>
    <cellStyle name="Normal 3 3 19 2 2 2" xfId="32019" xr:uid="{00000000-0005-0000-0000-00000A7D0000}"/>
    <cellStyle name="Normal 3 3 19 2 2 3" xfId="32020" xr:uid="{00000000-0005-0000-0000-00000B7D0000}"/>
    <cellStyle name="Normal 3 3 19 2 3" xfId="32021" xr:uid="{00000000-0005-0000-0000-00000C7D0000}"/>
    <cellStyle name="Normal 3 3 19 2 3 2" xfId="32022" xr:uid="{00000000-0005-0000-0000-00000D7D0000}"/>
    <cellStyle name="Normal 3 3 19 2 3 3" xfId="32023" xr:uid="{00000000-0005-0000-0000-00000E7D0000}"/>
    <cellStyle name="Normal 3 3 19 2 4" xfId="32024" xr:uid="{00000000-0005-0000-0000-00000F7D0000}"/>
    <cellStyle name="Normal 3 3 19 2 4 2" xfId="32025" xr:uid="{00000000-0005-0000-0000-0000107D0000}"/>
    <cellStyle name="Normal 3 3 19 2 4 3" xfId="32026" xr:uid="{00000000-0005-0000-0000-0000117D0000}"/>
    <cellStyle name="Normal 3 3 19 2 5" xfId="32027" xr:uid="{00000000-0005-0000-0000-0000127D0000}"/>
    <cellStyle name="Normal 3 3 19 2 5 2" xfId="32028" xr:uid="{00000000-0005-0000-0000-0000137D0000}"/>
    <cellStyle name="Normal 3 3 19 2 5 3" xfId="32029" xr:uid="{00000000-0005-0000-0000-0000147D0000}"/>
    <cellStyle name="Normal 3 3 19 2 6" xfId="32030" xr:uid="{00000000-0005-0000-0000-0000157D0000}"/>
    <cellStyle name="Normal 3 3 19 2 6 2" xfId="32031" xr:uid="{00000000-0005-0000-0000-0000167D0000}"/>
    <cellStyle name="Normal 3 3 19 2 6 3" xfId="32032" xr:uid="{00000000-0005-0000-0000-0000177D0000}"/>
    <cellStyle name="Normal 3 3 19 2 7" xfId="32033" xr:uid="{00000000-0005-0000-0000-0000187D0000}"/>
    <cellStyle name="Normal 3 3 19 2 7 2" xfId="32034" xr:uid="{00000000-0005-0000-0000-0000197D0000}"/>
    <cellStyle name="Normal 3 3 19 2 7 3" xfId="32035" xr:uid="{00000000-0005-0000-0000-00001A7D0000}"/>
    <cellStyle name="Normal 3 3 19 2 8" xfId="32036" xr:uid="{00000000-0005-0000-0000-00001B7D0000}"/>
    <cellStyle name="Normal 3 3 19 2 8 2" xfId="32037" xr:uid="{00000000-0005-0000-0000-00001C7D0000}"/>
    <cellStyle name="Normal 3 3 19 2 8 3" xfId="32038" xr:uid="{00000000-0005-0000-0000-00001D7D0000}"/>
    <cellStyle name="Normal 3 3 19 2 9" xfId="32039" xr:uid="{00000000-0005-0000-0000-00001E7D0000}"/>
    <cellStyle name="Normal 3 3 19 2 9 2" xfId="32040" xr:uid="{00000000-0005-0000-0000-00001F7D0000}"/>
    <cellStyle name="Normal 3 3 19 2 9 3" xfId="32041" xr:uid="{00000000-0005-0000-0000-0000207D0000}"/>
    <cellStyle name="Normal 3 3 19 3" xfId="32042" xr:uid="{00000000-0005-0000-0000-0000217D0000}"/>
    <cellStyle name="Normal 3 3 19 3 2" xfId="32043" xr:uid="{00000000-0005-0000-0000-0000227D0000}"/>
    <cellStyle name="Normal 3 3 19 3 3" xfId="32044" xr:uid="{00000000-0005-0000-0000-0000237D0000}"/>
    <cellStyle name="Normal 3 3 19 4" xfId="32045" xr:uid="{00000000-0005-0000-0000-0000247D0000}"/>
    <cellStyle name="Normal 3 3 19 4 2" xfId="32046" xr:uid="{00000000-0005-0000-0000-0000257D0000}"/>
    <cellStyle name="Normal 3 3 19 4 3" xfId="32047" xr:uid="{00000000-0005-0000-0000-0000267D0000}"/>
    <cellStyle name="Normal 3 3 19 5" xfId="32048" xr:uid="{00000000-0005-0000-0000-0000277D0000}"/>
    <cellStyle name="Normal 3 3 19 5 2" xfId="32049" xr:uid="{00000000-0005-0000-0000-0000287D0000}"/>
    <cellStyle name="Normal 3 3 19 5 3" xfId="32050" xr:uid="{00000000-0005-0000-0000-0000297D0000}"/>
    <cellStyle name="Normal 3 3 19 6" xfId="32051" xr:uid="{00000000-0005-0000-0000-00002A7D0000}"/>
    <cellStyle name="Normal 3 3 19 6 2" xfId="32052" xr:uid="{00000000-0005-0000-0000-00002B7D0000}"/>
    <cellStyle name="Normal 3 3 19 6 3" xfId="32053" xr:uid="{00000000-0005-0000-0000-00002C7D0000}"/>
    <cellStyle name="Normal 3 3 19 7" xfId="32054" xr:uid="{00000000-0005-0000-0000-00002D7D0000}"/>
    <cellStyle name="Normal 3 3 19 7 2" xfId="32055" xr:uid="{00000000-0005-0000-0000-00002E7D0000}"/>
    <cellStyle name="Normal 3 3 19 7 3" xfId="32056" xr:uid="{00000000-0005-0000-0000-00002F7D0000}"/>
    <cellStyle name="Normal 3 3 19 8" xfId="32057" xr:uid="{00000000-0005-0000-0000-0000307D0000}"/>
    <cellStyle name="Normal 3 3 19 8 2" xfId="32058" xr:uid="{00000000-0005-0000-0000-0000317D0000}"/>
    <cellStyle name="Normal 3 3 19 8 3" xfId="32059" xr:uid="{00000000-0005-0000-0000-0000327D0000}"/>
    <cellStyle name="Normal 3 3 19 9" xfId="32060" xr:uid="{00000000-0005-0000-0000-0000337D0000}"/>
    <cellStyle name="Normal 3 3 19 9 2" xfId="32061" xr:uid="{00000000-0005-0000-0000-0000347D0000}"/>
    <cellStyle name="Normal 3 3 19 9 3" xfId="32062" xr:uid="{00000000-0005-0000-0000-0000357D0000}"/>
    <cellStyle name="Normal 3 3 2" xfId="32063" xr:uid="{00000000-0005-0000-0000-0000367D0000}"/>
    <cellStyle name="Normal 3 3 2 10" xfId="32064" xr:uid="{00000000-0005-0000-0000-0000377D0000}"/>
    <cellStyle name="Normal 3 3 2 10 10" xfId="32065" xr:uid="{00000000-0005-0000-0000-0000387D0000}"/>
    <cellStyle name="Normal 3 3 2 10 10 2" xfId="32066" xr:uid="{00000000-0005-0000-0000-0000397D0000}"/>
    <cellStyle name="Normal 3 3 2 10 10 3" xfId="32067" xr:uid="{00000000-0005-0000-0000-00003A7D0000}"/>
    <cellStyle name="Normal 3 3 2 10 11" xfId="32068" xr:uid="{00000000-0005-0000-0000-00003B7D0000}"/>
    <cellStyle name="Normal 3 3 2 10 11 2" xfId="32069" xr:uid="{00000000-0005-0000-0000-00003C7D0000}"/>
    <cellStyle name="Normal 3 3 2 10 11 3" xfId="32070" xr:uid="{00000000-0005-0000-0000-00003D7D0000}"/>
    <cellStyle name="Normal 3 3 2 10 12" xfId="32071" xr:uid="{00000000-0005-0000-0000-00003E7D0000}"/>
    <cellStyle name="Normal 3 3 2 10 12 2" xfId="32072" xr:uid="{00000000-0005-0000-0000-00003F7D0000}"/>
    <cellStyle name="Normal 3 3 2 10 12 3" xfId="32073" xr:uid="{00000000-0005-0000-0000-0000407D0000}"/>
    <cellStyle name="Normal 3 3 2 10 13" xfId="32074" xr:uid="{00000000-0005-0000-0000-0000417D0000}"/>
    <cellStyle name="Normal 3 3 2 10 13 2" xfId="32075" xr:uid="{00000000-0005-0000-0000-0000427D0000}"/>
    <cellStyle name="Normal 3 3 2 10 13 3" xfId="32076" xr:uid="{00000000-0005-0000-0000-0000437D0000}"/>
    <cellStyle name="Normal 3 3 2 10 14" xfId="32077" xr:uid="{00000000-0005-0000-0000-0000447D0000}"/>
    <cellStyle name="Normal 3 3 2 10 14 2" xfId="32078" xr:uid="{00000000-0005-0000-0000-0000457D0000}"/>
    <cellStyle name="Normal 3 3 2 10 14 3" xfId="32079" xr:uid="{00000000-0005-0000-0000-0000467D0000}"/>
    <cellStyle name="Normal 3 3 2 10 15" xfId="32080" xr:uid="{00000000-0005-0000-0000-0000477D0000}"/>
    <cellStyle name="Normal 3 3 2 10 16" xfId="32081" xr:uid="{00000000-0005-0000-0000-0000487D0000}"/>
    <cellStyle name="Normal 3 3 2 10 2" xfId="32082" xr:uid="{00000000-0005-0000-0000-0000497D0000}"/>
    <cellStyle name="Normal 3 3 2 10 2 2" xfId="32083" xr:uid="{00000000-0005-0000-0000-00004A7D0000}"/>
    <cellStyle name="Normal 3 3 2 10 2 3" xfId="32084" xr:uid="{00000000-0005-0000-0000-00004B7D0000}"/>
    <cellStyle name="Normal 3 3 2 10 3" xfId="32085" xr:uid="{00000000-0005-0000-0000-00004C7D0000}"/>
    <cellStyle name="Normal 3 3 2 10 3 2" xfId="32086" xr:uid="{00000000-0005-0000-0000-00004D7D0000}"/>
    <cellStyle name="Normal 3 3 2 10 3 3" xfId="32087" xr:uid="{00000000-0005-0000-0000-00004E7D0000}"/>
    <cellStyle name="Normal 3 3 2 10 4" xfId="32088" xr:uid="{00000000-0005-0000-0000-00004F7D0000}"/>
    <cellStyle name="Normal 3 3 2 10 4 2" xfId="32089" xr:uid="{00000000-0005-0000-0000-0000507D0000}"/>
    <cellStyle name="Normal 3 3 2 10 4 3" xfId="32090" xr:uid="{00000000-0005-0000-0000-0000517D0000}"/>
    <cellStyle name="Normal 3 3 2 10 5" xfId="32091" xr:uid="{00000000-0005-0000-0000-0000527D0000}"/>
    <cellStyle name="Normal 3 3 2 10 5 2" xfId="32092" xr:uid="{00000000-0005-0000-0000-0000537D0000}"/>
    <cellStyle name="Normal 3 3 2 10 5 3" xfId="32093" xr:uid="{00000000-0005-0000-0000-0000547D0000}"/>
    <cellStyle name="Normal 3 3 2 10 6" xfId="32094" xr:uid="{00000000-0005-0000-0000-0000557D0000}"/>
    <cellStyle name="Normal 3 3 2 10 6 2" xfId="32095" xr:uid="{00000000-0005-0000-0000-0000567D0000}"/>
    <cellStyle name="Normal 3 3 2 10 6 3" xfId="32096" xr:uid="{00000000-0005-0000-0000-0000577D0000}"/>
    <cellStyle name="Normal 3 3 2 10 7" xfId="32097" xr:uid="{00000000-0005-0000-0000-0000587D0000}"/>
    <cellStyle name="Normal 3 3 2 10 7 2" xfId="32098" xr:uid="{00000000-0005-0000-0000-0000597D0000}"/>
    <cellStyle name="Normal 3 3 2 10 7 3" xfId="32099" xr:uid="{00000000-0005-0000-0000-00005A7D0000}"/>
    <cellStyle name="Normal 3 3 2 10 8" xfId="32100" xr:uid="{00000000-0005-0000-0000-00005B7D0000}"/>
    <cellStyle name="Normal 3 3 2 10 8 2" xfId="32101" xr:uid="{00000000-0005-0000-0000-00005C7D0000}"/>
    <cellStyle name="Normal 3 3 2 10 8 3" xfId="32102" xr:uid="{00000000-0005-0000-0000-00005D7D0000}"/>
    <cellStyle name="Normal 3 3 2 10 9" xfId="32103" xr:uid="{00000000-0005-0000-0000-00005E7D0000}"/>
    <cellStyle name="Normal 3 3 2 10 9 2" xfId="32104" xr:uid="{00000000-0005-0000-0000-00005F7D0000}"/>
    <cellStyle name="Normal 3 3 2 10 9 3" xfId="32105" xr:uid="{00000000-0005-0000-0000-0000607D0000}"/>
    <cellStyle name="Normal 3 3 2 11" xfId="32106" xr:uid="{00000000-0005-0000-0000-0000617D0000}"/>
    <cellStyle name="Normal 3 3 2 11 10" xfId="32107" xr:uid="{00000000-0005-0000-0000-0000627D0000}"/>
    <cellStyle name="Normal 3 3 2 11 10 2" xfId="32108" xr:uid="{00000000-0005-0000-0000-0000637D0000}"/>
    <cellStyle name="Normal 3 3 2 11 10 3" xfId="32109" xr:uid="{00000000-0005-0000-0000-0000647D0000}"/>
    <cellStyle name="Normal 3 3 2 11 11" xfId="32110" xr:uid="{00000000-0005-0000-0000-0000657D0000}"/>
    <cellStyle name="Normal 3 3 2 11 11 2" xfId="32111" xr:uid="{00000000-0005-0000-0000-0000667D0000}"/>
    <cellStyle name="Normal 3 3 2 11 11 3" xfId="32112" xr:uid="{00000000-0005-0000-0000-0000677D0000}"/>
    <cellStyle name="Normal 3 3 2 11 12" xfId="32113" xr:uid="{00000000-0005-0000-0000-0000687D0000}"/>
    <cellStyle name="Normal 3 3 2 11 12 2" xfId="32114" xr:uid="{00000000-0005-0000-0000-0000697D0000}"/>
    <cellStyle name="Normal 3 3 2 11 12 3" xfId="32115" xr:uid="{00000000-0005-0000-0000-00006A7D0000}"/>
    <cellStyle name="Normal 3 3 2 11 13" xfId="32116" xr:uid="{00000000-0005-0000-0000-00006B7D0000}"/>
    <cellStyle name="Normal 3 3 2 11 13 2" xfId="32117" xr:uid="{00000000-0005-0000-0000-00006C7D0000}"/>
    <cellStyle name="Normal 3 3 2 11 13 3" xfId="32118" xr:uid="{00000000-0005-0000-0000-00006D7D0000}"/>
    <cellStyle name="Normal 3 3 2 11 14" xfId="32119" xr:uid="{00000000-0005-0000-0000-00006E7D0000}"/>
    <cellStyle name="Normal 3 3 2 11 14 2" xfId="32120" xr:uid="{00000000-0005-0000-0000-00006F7D0000}"/>
    <cellStyle name="Normal 3 3 2 11 14 3" xfId="32121" xr:uid="{00000000-0005-0000-0000-0000707D0000}"/>
    <cellStyle name="Normal 3 3 2 11 15" xfId="32122" xr:uid="{00000000-0005-0000-0000-0000717D0000}"/>
    <cellStyle name="Normal 3 3 2 11 16" xfId="32123" xr:uid="{00000000-0005-0000-0000-0000727D0000}"/>
    <cellStyle name="Normal 3 3 2 11 2" xfId="32124" xr:uid="{00000000-0005-0000-0000-0000737D0000}"/>
    <cellStyle name="Normal 3 3 2 11 2 2" xfId="32125" xr:uid="{00000000-0005-0000-0000-0000747D0000}"/>
    <cellStyle name="Normal 3 3 2 11 2 3" xfId="32126" xr:uid="{00000000-0005-0000-0000-0000757D0000}"/>
    <cellStyle name="Normal 3 3 2 11 3" xfId="32127" xr:uid="{00000000-0005-0000-0000-0000767D0000}"/>
    <cellStyle name="Normal 3 3 2 11 3 2" xfId="32128" xr:uid="{00000000-0005-0000-0000-0000777D0000}"/>
    <cellStyle name="Normal 3 3 2 11 3 3" xfId="32129" xr:uid="{00000000-0005-0000-0000-0000787D0000}"/>
    <cellStyle name="Normal 3 3 2 11 4" xfId="32130" xr:uid="{00000000-0005-0000-0000-0000797D0000}"/>
    <cellStyle name="Normal 3 3 2 11 4 2" xfId="32131" xr:uid="{00000000-0005-0000-0000-00007A7D0000}"/>
    <cellStyle name="Normal 3 3 2 11 4 3" xfId="32132" xr:uid="{00000000-0005-0000-0000-00007B7D0000}"/>
    <cellStyle name="Normal 3 3 2 11 5" xfId="32133" xr:uid="{00000000-0005-0000-0000-00007C7D0000}"/>
    <cellStyle name="Normal 3 3 2 11 5 2" xfId="32134" xr:uid="{00000000-0005-0000-0000-00007D7D0000}"/>
    <cellStyle name="Normal 3 3 2 11 5 3" xfId="32135" xr:uid="{00000000-0005-0000-0000-00007E7D0000}"/>
    <cellStyle name="Normal 3 3 2 11 6" xfId="32136" xr:uid="{00000000-0005-0000-0000-00007F7D0000}"/>
    <cellStyle name="Normal 3 3 2 11 6 2" xfId="32137" xr:uid="{00000000-0005-0000-0000-0000807D0000}"/>
    <cellStyle name="Normal 3 3 2 11 6 3" xfId="32138" xr:uid="{00000000-0005-0000-0000-0000817D0000}"/>
    <cellStyle name="Normal 3 3 2 11 7" xfId="32139" xr:uid="{00000000-0005-0000-0000-0000827D0000}"/>
    <cellStyle name="Normal 3 3 2 11 7 2" xfId="32140" xr:uid="{00000000-0005-0000-0000-0000837D0000}"/>
    <cellStyle name="Normal 3 3 2 11 7 3" xfId="32141" xr:uid="{00000000-0005-0000-0000-0000847D0000}"/>
    <cellStyle name="Normal 3 3 2 11 8" xfId="32142" xr:uid="{00000000-0005-0000-0000-0000857D0000}"/>
    <cellStyle name="Normal 3 3 2 11 8 2" xfId="32143" xr:uid="{00000000-0005-0000-0000-0000867D0000}"/>
    <cellStyle name="Normal 3 3 2 11 8 3" xfId="32144" xr:uid="{00000000-0005-0000-0000-0000877D0000}"/>
    <cellStyle name="Normal 3 3 2 11 9" xfId="32145" xr:uid="{00000000-0005-0000-0000-0000887D0000}"/>
    <cellStyle name="Normal 3 3 2 11 9 2" xfId="32146" xr:uid="{00000000-0005-0000-0000-0000897D0000}"/>
    <cellStyle name="Normal 3 3 2 11 9 3" xfId="32147" xr:uid="{00000000-0005-0000-0000-00008A7D0000}"/>
    <cellStyle name="Normal 3 3 2 12" xfId="32148" xr:uid="{00000000-0005-0000-0000-00008B7D0000}"/>
    <cellStyle name="Normal 3 3 2 12 10" xfId="32149" xr:uid="{00000000-0005-0000-0000-00008C7D0000}"/>
    <cellStyle name="Normal 3 3 2 12 10 2" xfId="32150" xr:uid="{00000000-0005-0000-0000-00008D7D0000}"/>
    <cellStyle name="Normal 3 3 2 12 10 3" xfId="32151" xr:uid="{00000000-0005-0000-0000-00008E7D0000}"/>
    <cellStyle name="Normal 3 3 2 12 11" xfId="32152" xr:uid="{00000000-0005-0000-0000-00008F7D0000}"/>
    <cellStyle name="Normal 3 3 2 12 11 2" xfId="32153" xr:uid="{00000000-0005-0000-0000-0000907D0000}"/>
    <cellStyle name="Normal 3 3 2 12 11 3" xfId="32154" xr:uid="{00000000-0005-0000-0000-0000917D0000}"/>
    <cellStyle name="Normal 3 3 2 12 12" xfId="32155" xr:uid="{00000000-0005-0000-0000-0000927D0000}"/>
    <cellStyle name="Normal 3 3 2 12 12 2" xfId="32156" xr:uid="{00000000-0005-0000-0000-0000937D0000}"/>
    <cellStyle name="Normal 3 3 2 12 12 3" xfId="32157" xr:uid="{00000000-0005-0000-0000-0000947D0000}"/>
    <cellStyle name="Normal 3 3 2 12 13" xfId="32158" xr:uid="{00000000-0005-0000-0000-0000957D0000}"/>
    <cellStyle name="Normal 3 3 2 12 13 2" xfId="32159" xr:uid="{00000000-0005-0000-0000-0000967D0000}"/>
    <cellStyle name="Normal 3 3 2 12 13 3" xfId="32160" xr:uid="{00000000-0005-0000-0000-0000977D0000}"/>
    <cellStyle name="Normal 3 3 2 12 14" xfId="32161" xr:uid="{00000000-0005-0000-0000-0000987D0000}"/>
    <cellStyle name="Normal 3 3 2 12 14 2" xfId="32162" xr:uid="{00000000-0005-0000-0000-0000997D0000}"/>
    <cellStyle name="Normal 3 3 2 12 14 3" xfId="32163" xr:uid="{00000000-0005-0000-0000-00009A7D0000}"/>
    <cellStyle name="Normal 3 3 2 12 15" xfId="32164" xr:uid="{00000000-0005-0000-0000-00009B7D0000}"/>
    <cellStyle name="Normal 3 3 2 12 16" xfId="32165" xr:uid="{00000000-0005-0000-0000-00009C7D0000}"/>
    <cellStyle name="Normal 3 3 2 12 2" xfId="32166" xr:uid="{00000000-0005-0000-0000-00009D7D0000}"/>
    <cellStyle name="Normal 3 3 2 12 2 2" xfId="32167" xr:uid="{00000000-0005-0000-0000-00009E7D0000}"/>
    <cellStyle name="Normal 3 3 2 12 2 3" xfId="32168" xr:uid="{00000000-0005-0000-0000-00009F7D0000}"/>
    <cellStyle name="Normal 3 3 2 12 3" xfId="32169" xr:uid="{00000000-0005-0000-0000-0000A07D0000}"/>
    <cellStyle name="Normal 3 3 2 12 3 2" xfId="32170" xr:uid="{00000000-0005-0000-0000-0000A17D0000}"/>
    <cellStyle name="Normal 3 3 2 12 3 3" xfId="32171" xr:uid="{00000000-0005-0000-0000-0000A27D0000}"/>
    <cellStyle name="Normal 3 3 2 12 4" xfId="32172" xr:uid="{00000000-0005-0000-0000-0000A37D0000}"/>
    <cellStyle name="Normal 3 3 2 12 4 2" xfId="32173" xr:uid="{00000000-0005-0000-0000-0000A47D0000}"/>
    <cellStyle name="Normal 3 3 2 12 4 3" xfId="32174" xr:uid="{00000000-0005-0000-0000-0000A57D0000}"/>
    <cellStyle name="Normal 3 3 2 12 5" xfId="32175" xr:uid="{00000000-0005-0000-0000-0000A67D0000}"/>
    <cellStyle name="Normal 3 3 2 12 5 2" xfId="32176" xr:uid="{00000000-0005-0000-0000-0000A77D0000}"/>
    <cellStyle name="Normal 3 3 2 12 5 3" xfId="32177" xr:uid="{00000000-0005-0000-0000-0000A87D0000}"/>
    <cellStyle name="Normal 3 3 2 12 6" xfId="32178" xr:uid="{00000000-0005-0000-0000-0000A97D0000}"/>
    <cellStyle name="Normal 3 3 2 12 6 2" xfId="32179" xr:uid="{00000000-0005-0000-0000-0000AA7D0000}"/>
    <cellStyle name="Normal 3 3 2 12 6 3" xfId="32180" xr:uid="{00000000-0005-0000-0000-0000AB7D0000}"/>
    <cellStyle name="Normal 3 3 2 12 7" xfId="32181" xr:uid="{00000000-0005-0000-0000-0000AC7D0000}"/>
    <cellStyle name="Normal 3 3 2 12 7 2" xfId="32182" xr:uid="{00000000-0005-0000-0000-0000AD7D0000}"/>
    <cellStyle name="Normal 3 3 2 12 7 3" xfId="32183" xr:uid="{00000000-0005-0000-0000-0000AE7D0000}"/>
    <cellStyle name="Normal 3 3 2 12 8" xfId="32184" xr:uid="{00000000-0005-0000-0000-0000AF7D0000}"/>
    <cellStyle name="Normal 3 3 2 12 8 2" xfId="32185" xr:uid="{00000000-0005-0000-0000-0000B07D0000}"/>
    <cellStyle name="Normal 3 3 2 12 8 3" xfId="32186" xr:uid="{00000000-0005-0000-0000-0000B17D0000}"/>
    <cellStyle name="Normal 3 3 2 12 9" xfId="32187" xr:uid="{00000000-0005-0000-0000-0000B27D0000}"/>
    <cellStyle name="Normal 3 3 2 12 9 2" xfId="32188" xr:uid="{00000000-0005-0000-0000-0000B37D0000}"/>
    <cellStyle name="Normal 3 3 2 12 9 3" xfId="32189" xr:uid="{00000000-0005-0000-0000-0000B47D0000}"/>
    <cellStyle name="Normal 3 3 2 13" xfId="32190" xr:uid="{00000000-0005-0000-0000-0000B57D0000}"/>
    <cellStyle name="Normal 3 3 2 13 10" xfId="32191" xr:uid="{00000000-0005-0000-0000-0000B67D0000}"/>
    <cellStyle name="Normal 3 3 2 13 10 2" xfId="32192" xr:uid="{00000000-0005-0000-0000-0000B77D0000}"/>
    <cellStyle name="Normal 3 3 2 13 10 3" xfId="32193" xr:uid="{00000000-0005-0000-0000-0000B87D0000}"/>
    <cellStyle name="Normal 3 3 2 13 11" xfId="32194" xr:uid="{00000000-0005-0000-0000-0000B97D0000}"/>
    <cellStyle name="Normal 3 3 2 13 11 2" xfId="32195" xr:uid="{00000000-0005-0000-0000-0000BA7D0000}"/>
    <cellStyle name="Normal 3 3 2 13 11 3" xfId="32196" xr:uid="{00000000-0005-0000-0000-0000BB7D0000}"/>
    <cellStyle name="Normal 3 3 2 13 12" xfId="32197" xr:uid="{00000000-0005-0000-0000-0000BC7D0000}"/>
    <cellStyle name="Normal 3 3 2 13 12 2" xfId="32198" xr:uid="{00000000-0005-0000-0000-0000BD7D0000}"/>
    <cellStyle name="Normal 3 3 2 13 12 3" xfId="32199" xr:uid="{00000000-0005-0000-0000-0000BE7D0000}"/>
    <cellStyle name="Normal 3 3 2 13 13" xfId="32200" xr:uid="{00000000-0005-0000-0000-0000BF7D0000}"/>
    <cellStyle name="Normal 3 3 2 13 13 2" xfId="32201" xr:uid="{00000000-0005-0000-0000-0000C07D0000}"/>
    <cellStyle name="Normal 3 3 2 13 13 3" xfId="32202" xr:uid="{00000000-0005-0000-0000-0000C17D0000}"/>
    <cellStyle name="Normal 3 3 2 13 14" xfId="32203" xr:uid="{00000000-0005-0000-0000-0000C27D0000}"/>
    <cellStyle name="Normal 3 3 2 13 14 2" xfId="32204" xr:uid="{00000000-0005-0000-0000-0000C37D0000}"/>
    <cellStyle name="Normal 3 3 2 13 14 3" xfId="32205" xr:uid="{00000000-0005-0000-0000-0000C47D0000}"/>
    <cellStyle name="Normal 3 3 2 13 15" xfId="32206" xr:uid="{00000000-0005-0000-0000-0000C57D0000}"/>
    <cellStyle name="Normal 3 3 2 13 16" xfId="32207" xr:uid="{00000000-0005-0000-0000-0000C67D0000}"/>
    <cellStyle name="Normal 3 3 2 13 2" xfId="32208" xr:uid="{00000000-0005-0000-0000-0000C77D0000}"/>
    <cellStyle name="Normal 3 3 2 13 2 2" xfId="32209" xr:uid="{00000000-0005-0000-0000-0000C87D0000}"/>
    <cellStyle name="Normal 3 3 2 13 2 3" xfId="32210" xr:uid="{00000000-0005-0000-0000-0000C97D0000}"/>
    <cellStyle name="Normal 3 3 2 13 3" xfId="32211" xr:uid="{00000000-0005-0000-0000-0000CA7D0000}"/>
    <cellStyle name="Normal 3 3 2 13 3 2" xfId="32212" xr:uid="{00000000-0005-0000-0000-0000CB7D0000}"/>
    <cellStyle name="Normal 3 3 2 13 3 3" xfId="32213" xr:uid="{00000000-0005-0000-0000-0000CC7D0000}"/>
    <cellStyle name="Normal 3 3 2 13 4" xfId="32214" xr:uid="{00000000-0005-0000-0000-0000CD7D0000}"/>
    <cellStyle name="Normal 3 3 2 13 4 2" xfId="32215" xr:uid="{00000000-0005-0000-0000-0000CE7D0000}"/>
    <cellStyle name="Normal 3 3 2 13 4 3" xfId="32216" xr:uid="{00000000-0005-0000-0000-0000CF7D0000}"/>
    <cellStyle name="Normal 3 3 2 13 5" xfId="32217" xr:uid="{00000000-0005-0000-0000-0000D07D0000}"/>
    <cellStyle name="Normal 3 3 2 13 5 2" xfId="32218" xr:uid="{00000000-0005-0000-0000-0000D17D0000}"/>
    <cellStyle name="Normal 3 3 2 13 5 3" xfId="32219" xr:uid="{00000000-0005-0000-0000-0000D27D0000}"/>
    <cellStyle name="Normal 3 3 2 13 6" xfId="32220" xr:uid="{00000000-0005-0000-0000-0000D37D0000}"/>
    <cellStyle name="Normal 3 3 2 13 6 2" xfId="32221" xr:uid="{00000000-0005-0000-0000-0000D47D0000}"/>
    <cellStyle name="Normal 3 3 2 13 6 3" xfId="32222" xr:uid="{00000000-0005-0000-0000-0000D57D0000}"/>
    <cellStyle name="Normal 3 3 2 13 7" xfId="32223" xr:uid="{00000000-0005-0000-0000-0000D67D0000}"/>
    <cellStyle name="Normal 3 3 2 13 7 2" xfId="32224" xr:uid="{00000000-0005-0000-0000-0000D77D0000}"/>
    <cellStyle name="Normal 3 3 2 13 7 3" xfId="32225" xr:uid="{00000000-0005-0000-0000-0000D87D0000}"/>
    <cellStyle name="Normal 3 3 2 13 8" xfId="32226" xr:uid="{00000000-0005-0000-0000-0000D97D0000}"/>
    <cellStyle name="Normal 3 3 2 13 8 2" xfId="32227" xr:uid="{00000000-0005-0000-0000-0000DA7D0000}"/>
    <cellStyle name="Normal 3 3 2 13 8 3" xfId="32228" xr:uid="{00000000-0005-0000-0000-0000DB7D0000}"/>
    <cellStyle name="Normal 3 3 2 13 9" xfId="32229" xr:uid="{00000000-0005-0000-0000-0000DC7D0000}"/>
    <cellStyle name="Normal 3 3 2 13 9 2" xfId="32230" xr:uid="{00000000-0005-0000-0000-0000DD7D0000}"/>
    <cellStyle name="Normal 3 3 2 13 9 3" xfId="32231" xr:uid="{00000000-0005-0000-0000-0000DE7D0000}"/>
    <cellStyle name="Normal 3 3 2 14" xfId="32232" xr:uid="{00000000-0005-0000-0000-0000DF7D0000}"/>
    <cellStyle name="Normal 3 3 2 14 10" xfId="32233" xr:uid="{00000000-0005-0000-0000-0000E07D0000}"/>
    <cellStyle name="Normal 3 3 2 14 10 2" xfId="32234" xr:uid="{00000000-0005-0000-0000-0000E17D0000}"/>
    <cellStyle name="Normal 3 3 2 14 10 3" xfId="32235" xr:uid="{00000000-0005-0000-0000-0000E27D0000}"/>
    <cellStyle name="Normal 3 3 2 14 11" xfId="32236" xr:uid="{00000000-0005-0000-0000-0000E37D0000}"/>
    <cellStyle name="Normal 3 3 2 14 11 2" xfId="32237" xr:uid="{00000000-0005-0000-0000-0000E47D0000}"/>
    <cellStyle name="Normal 3 3 2 14 11 3" xfId="32238" xr:uid="{00000000-0005-0000-0000-0000E57D0000}"/>
    <cellStyle name="Normal 3 3 2 14 12" xfId="32239" xr:uid="{00000000-0005-0000-0000-0000E67D0000}"/>
    <cellStyle name="Normal 3 3 2 14 12 2" xfId="32240" xr:uid="{00000000-0005-0000-0000-0000E77D0000}"/>
    <cellStyle name="Normal 3 3 2 14 12 3" xfId="32241" xr:uid="{00000000-0005-0000-0000-0000E87D0000}"/>
    <cellStyle name="Normal 3 3 2 14 13" xfId="32242" xr:uid="{00000000-0005-0000-0000-0000E97D0000}"/>
    <cellStyle name="Normal 3 3 2 14 13 2" xfId="32243" xr:uid="{00000000-0005-0000-0000-0000EA7D0000}"/>
    <cellStyle name="Normal 3 3 2 14 13 3" xfId="32244" xr:uid="{00000000-0005-0000-0000-0000EB7D0000}"/>
    <cellStyle name="Normal 3 3 2 14 14" xfId="32245" xr:uid="{00000000-0005-0000-0000-0000EC7D0000}"/>
    <cellStyle name="Normal 3 3 2 14 14 2" xfId="32246" xr:uid="{00000000-0005-0000-0000-0000ED7D0000}"/>
    <cellStyle name="Normal 3 3 2 14 14 3" xfId="32247" xr:uid="{00000000-0005-0000-0000-0000EE7D0000}"/>
    <cellStyle name="Normal 3 3 2 14 15" xfId="32248" xr:uid="{00000000-0005-0000-0000-0000EF7D0000}"/>
    <cellStyle name="Normal 3 3 2 14 16" xfId="32249" xr:uid="{00000000-0005-0000-0000-0000F07D0000}"/>
    <cellStyle name="Normal 3 3 2 14 2" xfId="32250" xr:uid="{00000000-0005-0000-0000-0000F17D0000}"/>
    <cellStyle name="Normal 3 3 2 14 2 2" xfId="32251" xr:uid="{00000000-0005-0000-0000-0000F27D0000}"/>
    <cellStyle name="Normal 3 3 2 14 2 3" xfId="32252" xr:uid="{00000000-0005-0000-0000-0000F37D0000}"/>
    <cellStyle name="Normal 3 3 2 14 3" xfId="32253" xr:uid="{00000000-0005-0000-0000-0000F47D0000}"/>
    <cellStyle name="Normal 3 3 2 14 3 2" xfId="32254" xr:uid="{00000000-0005-0000-0000-0000F57D0000}"/>
    <cellStyle name="Normal 3 3 2 14 3 3" xfId="32255" xr:uid="{00000000-0005-0000-0000-0000F67D0000}"/>
    <cellStyle name="Normal 3 3 2 14 4" xfId="32256" xr:uid="{00000000-0005-0000-0000-0000F77D0000}"/>
    <cellStyle name="Normal 3 3 2 14 4 2" xfId="32257" xr:uid="{00000000-0005-0000-0000-0000F87D0000}"/>
    <cellStyle name="Normal 3 3 2 14 4 3" xfId="32258" xr:uid="{00000000-0005-0000-0000-0000F97D0000}"/>
    <cellStyle name="Normal 3 3 2 14 5" xfId="32259" xr:uid="{00000000-0005-0000-0000-0000FA7D0000}"/>
    <cellStyle name="Normal 3 3 2 14 5 2" xfId="32260" xr:uid="{00000000-0005-0000-0000-0000FB7D0000}"/>
    <cellStyle name="Normal 3 3 2 14 5 3" xfId="32261" xr:uid="{00000000-0005-0000-0000-0000FC7D0000}"/>
    <cellStyle name="Normal 3 3 2 14 6" xfId="32262" xr:uid="{00000000-0005-0000-0000-0000FD7D0000}"/>
    <cellStyle name="Normal 3 3 2 14 6 2" xfId="32263" xr:uid="{00000000-0005-0000-0000-0000FE7D0000}"/>
    <cellStyle name="Normal 3 3 2 14 6 3" xfId="32264" xr:uid="{00000000-0005-0000-0000-0000FF7D0000}"/>
    <cellStyle name="Normal 3 3 2 14 7" xfId="32265" xr:uid="{00000000-0005-0000-0000-0000007E0000}"/>
    <cellStyle name="Normal 3 3 2 14 7 2" xfId="32266" xr:uid="{00000000-0005-0000-0000-0000017E0000}"/>
    <cellStyle name="Normal 3 3 2 14 7 3" xfId="32267" xr:uid="{00000000-0005-0000-0000-0000027E0000}"/>
    <cellStyle name="Normal 3 3 2 14 8" xfId="32268" xr:uid="{00000000-0005-0000-0000-0000037E0000}"/>
    <cellStyle name="Normal 3 3 2 14 8 2" xfId="32269" xr:uid="{00000000-0005-0000-0000-0000047E0000}"/>
    <cellStyle name="Normal 3 3 2 14 8 3" xfId="32270" xr:uid="{00000000-0005-0000-0000-0000057E0000}"/>
    <cellStyle name="Normal 3 3 2 14 9" xfId="32271" xr:uid="{00000000-0005-0000-0000-0000067E0000}"/>
    <cellStyle name="Normal 3 3 2 14 9 2" xfId="32272" xr:uid="{00000000-0005-0000-0000-0000077E0000}"/>
    <cellStyle name="Normal 3 3 2 14 9 3" xfId="32273" xr:uid="{00000000-0005-0000-0000-0000087E0000}"/>
    <cellStyle name="Normal 3 3 2 15" xfId="32274" xr:uid="{00000000-0005-0000-0000-0000097E0000}"/>
    <cellStyle name="Normal 3 3 2 16" xfId="32275" xr:uid="{00000000-0005-0000-0000-00000A7E0000}"/>
    <cellStyle name="Normal 3 3 2 17" xfId="32276" xr:uid="{00000000-0005-0000-0000-00000B7E0000}"/>
    <cellStyle name="Normal 3 3 2 17 10" xfId="32277" xr:uid="{00000000-0005-0000-0000-00000C7E0000}"/>
    <cellStyle name="Normal 3 3 2 17 10 2" xfId="32278" xr:uid="{00000000-0005-0000-0000-00000D7E0000}"/>
    <cellStyle name="Normal 3 3 2 17 10 3" xfId="32279" xr:uid="{00000000-0005-0000-0000-00000E7E0000}"/>
    <cellStyle name="Normal 3 3 2 17 11" xfId="32280" xr:uid="{00000000-0005-0000-0000-00000F7E0000}"/>
    <cellStyle name="Normal 3 3 2 17 11 2" xfId="32281" xr:uid="{00000000-0005-0000-0000-0000107E0000}"/>
    <cellStyle name="Normal 3 3 2 17 11 3" xfId="32282" xr:uid="{00000000-0005-0000-0000-0000117E0000}"/>
    <cellStyle name="Normal 3 3 2 17 12" xfId="32283" xr:uid="{00000000-0005-0000-0000-0000127E0000}"/>
    <cellStyle name="Normal 3 3 2 17 12 2" xfId="32284" xr:uid="{00000000-0005-0000-0000-0000137E0000}"/>
    <cellStyle name="Normal 3 3 2 17 12 3" xfId="32285" xr:uid="{00000000-0005-0000-0000-0000147E0000}"/>
    <cellStyle name="Normal 3 3 2 17 13" xfId="32286" xr:uid="{00000000-0005-0000-0000-0000157E0000}"/>
    <cellStyle name="Normal 3 3 2 17 13 2" xfId="32287" xr:uid="{00000000-0005-0000-0000-0000167E0000}"/>
    <cellStyle name="Normal 3 3 2 17 13 3" xfId="32288" xr:uid="{00000000-0005-0000-0000-0000177E0000}"/>
    <cellStyle name="Normal 3 3 2 17 14" xfId="32289" xr:uid="{00000000-0005-0000-0000-0000187E0000}"/>
    <cellStyle name="Normal 3 3 2 17 14 2" xfId="32290" xr:uid="{00000000-0005-0000-0000-0000197E0000}"/>
    <cellStyle name="Normal 3 3 2 17 14 3" xfId="32291" xr:uid="{00000000-0005-0000-0000-00001A7E0000}"/>
    <cellStyle name="Normal 3 3 2 17 15" xfId="32292" xr:uid="{00000000-0005-0000-0000-00001B7E0000}"/>
    <cellStyle name="Normal 3 3 2 17 16" xfId="32293" xr:uid="{00000000-0005-0000-0000-00001C7E0000}"/>
    <cellStyle name="Normal 3 3 2 17 2" xfId="32294" xr:uid="{00000000-0005-0000-0000-00001D7E0000}"/>
    <cellStyle name="Normal 3 3 2 17 2 2" xfId="32295" xr:uid="{00000000-0005-0000-0000-00001E7E0000}"/>
    <cellStyle name="Normal 3 3 2 17 2 3" xfId="32296" xr:uid="{00000000-0005-0000-0000-00001F7E0000}"/>
    <cellStyle name="Normal 3 3 2 17 3" xfId="32297" xr:uid="{00000000-0005-0000-0000-0000207E0000}"/>
    <cellStyle name="Normal 3 3 2 17 3 2" xfId="32298" xr:uid="{00000000-0005-0000-0000-0000217E0000}"/>
    <cellStyle name="Normal 3 3 2 17 3 3" xfId="32299" xr:uid="{00000000-0005-0000-0000-0000227E0000}"/>
    <cellStyle name="Normal 3 3 2 17 4" xfId="32300" xr:uid="{00000000-0005-0000-0000-0000237E0000}"/>
    <cellStyle name="Normal 3 3 2 17 4 2" xfId="32301" xr:uid="{00000000-0005-0000-0000-0000247E0000}"/>
    <cellStyle name="Normal 3 3 2 17 4 3" xfId="32302" xr:uid="{00000000-0005-0000-0000-0000257E0000}"/>
    <cellStyle name="Normal 3 3 2 17 5" xfId="32303" xr:uid="{00000000-0005-0000-0000-0000267E0000}"/>
    <cellStyle name="Normal 3 3 2 17 5 2" xfId="32304" xr:uid="{00000000-0005-0000-0000-0000277E0000}"/>
    <cellStyle name="Normal 3 3 2 17 5 3" xfId="32305" xr:uid="{00000000-0005-0000-0000-0000287E0000}"/>
    <cellStyle name="Normal 3 3 2 17 6" xfId="32306" xr:uid="{00000000-0005-0000-0000-0000297E0000}"/>
    <cellStyle name="Normal 3 3 2 17 6 2" xfId="32307" xr:uid="{00000000-0005-0000-0000-00002A7E0000}"/>
    <cellStyle name="Normal 3 3 2 17 6 3" xfId="32308" xr:uid="{00000000-0005-0000-0000-00002B7E0000}"/>
    <cellStyle name="Normal 3 3 2 17 7" xfId="32309" xr:uid="{00000000-0005-0000-0000-00002C7E0000}"/>
    <cellStyle name="Normal 3 3 2 17 7 2" xfId="32310" xr:uid="{00000000-0005-0000-0000-00002D7E0000}"/>
    <cellStyle name="Normal 3 3 2 17 7 3" xfId="32311" xr:uid="{00000000-0005-0000-0000-00002E7E0000}"/>
    <cellStyle name="Normal 3 3 2 17 8" xfId="32312" xr:uid="{00000000-0005-0000-0000-00002F7E0000}"/>
    <cellStyle name="Normal 3 3 2 17 8 2" xfId="32313" xr:uid="{00000000-0005-0000-0000-0000307E0000}"/>
    <cellStyle name="Normal 3 3 2 17 8 3" xfId="32314" xr:uid="{00000000-0005-0000-0000-0000317E0000}"/>
    <cellStyle name="Normal 3 3 2 17 9" xfId="32315" xr:uid="{00000000-0005-0000-0000-0000327E0000}"/>
    <cellStyle name="Normal 3 3 2 17 9 2" xfId="32316" xr:uid="{00000000-0005-0000-0000-0000337E0000}"/>
    <cellStyle name="Normal 3 3 2 17 9 3" xfId="32317" xr:uid="{00000000-0005-0000-0000-0000347E0000}"/>
    <cellStyle name="Normal 3 3 2 18" xfId="32318" xr:uid="{00000000-0005-0000-0000-0000357E0000}"/>
    <cellStyle name="Normal 3 3 2 18 10" xfId="32319" xr:uid="{00000000-0005-0000-0000-0000367E0000}"/>
    <cellStyle name="Normal 3 3 2 18 10 2" xfId="32320" xr:uid="{00000000-0005-0000-0000-0000377E0000}"/>
    <cellStyle name="Normal 3 3 2 18 10 3" xfId="32321" xr:uid="{00000000-0005-0000-0000-0000387E0000}"/>
    <cellStyle name="Normal 3 3 2 18 11" xfId="32322" xr:uid="{00000000-0005-0000-0000-0000397E0000}"/>
    <cellStyle name="Normal 3 3 2 18 11 2" xfId="32323" xr:uid="{00000000-0005-0000-0000-00003A7E0000}"/>
    <cellStyle name="Normal 3 3 2 18 11 3" xfId="32324" xr:uid="{00000000-0005-0000-0000-00003B7E0000}"/>
    <cellStyle name="Normal 3 3 2 18 12" xfId="32325" xr:uid="{00000000-0005-0000-0000-00003C7E0000}"/>
    <cellStyle name="Normal 3 3 2 18 12 2" xfId="32326" xr:uid="{00000000-0005-0000-0000-00003D7E0000}"/>
    <cellStyle name="Normal 3 3 2 18 12 3" xfId="32327" xr:uid="{00000000-0005-0000-0000-00003E7E0000}"/>
    <cellStyle name="Normal 3 3 2 18 13" xfId="32328" xr:uid="{00000000-0005-0000-0000-00003F7E0000}"/>
    <cellStyle name="Normal 3 3 2 18 13 2" xfId="32329" xr:uid="{00000000-0005-0000-0000-0000407E0000}"/>
    <cellStyle name="Normal 3 3 2 18 13 3" xfId="32330" xr:uid="{00000000-0005-0000-0000-0000417E0000}"/>
    <cellStyle name="Normal 3 3 2 18 14" xfId="32331" xr:uid="{00000000-0005-0000-0000-0000427E0000}"/>
    <cellStyle name="Normal 3 3 2 18 14 2" xfId="32332" xr:uid="{00000000-0005-0000-0000-0000437E0000}"/>
    <cellStyle name="Normal 3 3 2 18 14 3" xfId="32333" xr:uid="{00000000-0005-0000-0000-0000447E0000}"/>
    <cellStyle name="Normal 3 3 2 18 15" xfId="32334" xr:uid="{00000000-0005-0000-0000-0000457E0000}"/>
    <cellStyle name="Normal 3 3 2 18 16" xfId="32335" xr:uid="{00000000-0005-0000-0000-0000467E0000}"/>
    <cellStyle name="Normal 3 3 2 18 2" xfId="32336" xr:uid="{00000000-0005-0000-0000-0000477E0000}"/>
    <cellStyle name="Normal 3 3 2 18 2 2" xfId="32337" xr:uid="{00000000-0005-0000-0000-0000487E0000}"/>
    <cellStyle name="Normal 3 3 2 18 2 3" xfId="32338" xr:uid="{00000000-0005-0000-0000-0000497E0000}"/>
    <cellStyle name="Normal 3 3 2 18 3" xfId="32339" xr:uid="{00000000-0005-0000-0000-00004A7E0000}"/>
    <cellStyle name="Normal 3 3 2 18 3 2" xfId="32340" xr:uid="{00000000-0005-0000-0000-00004B7E0000}"/>
    <cellStyle name="Normal 3 3 2 18 3 3" xfId="32341" xr:uid="{00000000-0005-0000-0000-00004C7E0000}"/>
    <cellStyle name="Normal 3 3 2 18 4" xfId="32342" xr:uid="{00000000-0005-0000-0000-00004D7E0000}"/>
    <cellStyle name="Normal 3 3 2 18 4 2" xfId="32343" xr:uid="{00000000-0005-0000-0000-00004E7E0000}"/>
    <cellStyle name="Normal 3 3 2 18 4 3" xfId="32344" xr:uid="{00000000-0005-0000-0000-00004F7E0000}"/>
    <cellStyle name="Normal 3 3 2 18 5" xfId="32345" xr:uid="{00000000-0005-0000-0000-0000507E0000}"/>
    <cellStyle name="Normal 3 3 2 18 5 2" xfId="32346" xr:uid="{00000000-0005-0000-0000-0000517E0000}"/>
    <cellStyle name="Normal 3 3 2 18 5 3" xfId="32347" xr:uid="{00000000-0005-0000-0000-0000527E0000}"/>
    <cellStyle name="Normal 3 3 2 18 6" xfId="32348" xr:uid="{00000000-0005-0000-0000-0000537E0000}"/>
    <cellStyle name="Normal 3 3 2 18 6 2" xfId="32349" xr:uid="{00000000-0005-0000-0000-0000547E0000}"/>
    <cellStyle name="Normal 3 3 2 18 6 3" xfId="32350" xr:uid="{00000000-0005-0000-0000-0000557E0000}"/>
    <cellStyle name="Normal 3 3 2 18 7" xfId="32351" xr:uid="{00000000-0005-0000-0000-0000567E0000}"/>
    <cellStyle name="Normal 3 3 2 18 7 2" xfId="32352" xr:uid="{00000000-0005-0000-0000-0000577E0000}"/>
    <cellStyle name="Normal 3 3 2 18 7 3" xfId="32353" xr:uid="{00000000-0005-0000-0000-0000587E0000}"/>
    <cellStyle name="Normal 3 3 2 18 8" xfId="32354" xr:uid="{00000000-0005-0000-0000-0000597E0000}"/>
    <cellStyle name="Normal 3 3 2 18 8 2" xfId="32355" xr:uid="{00000000-0005-0000-0000-00005A7E0000}"/>
    <cellStyle name="Normal 3 3 2 18 8 3" xfId="32356" xr:uid="{00000000-0005-0000-0000-00005B7E0000}"/>
    <cellStyle name="Normal 3 3 2 18 9" xfId="32357" xr:uid="{00000000-0005-0000-0000-00005C7E0000}"/>
    <cellStyle name="Normal 3 3 2 18 9 2" xfId="32358" xr:uid="{00000000-0005-0000-0000-00005D7E0000}"/>
    <cellStyle name="Normal 3 3 2 18 9 3" xfId="32359" xr:uid="{00000000-0005-0000-0000-00005E7E0000}"/>
    <cellStyle name="Normal 3 3 2 2" xfId="32360" xr:uid="{00000000-0005-0000-0000-00005F7E0000}"/>
    <cellStyle name="Normal 3 3 2 2 10" xfId="32361" xr:uid="{00000000-0005-0000-0000-0000607E0000}"/>
    <cellStyle name="Normal 3 3 2 2 10 2" xfId="32362" xr:uid="{00000000-0005-0000-0000-0000617E0000}"/>
    <cellStyle name="Normal 3 3 2 2 10 3" xfId="32363" xr:uid="{00000000-0005-0000-0000-0000627E0000}"/>
    <cellStyle name="Normal 3 3 2 2 11" xfId="32364" xr:uid="{00000000-0005-0000-0000-0000637E0000}"/>
    <cellStyle name="Normal 3 3 2 2 11 2" xfId="32365" xr:uid="{00000000-0005-0000-0000-0000647E0000}"/>
    <cellStyle name="Normal 3 3 2 2 11 3" xfId="32366" xr:uid="{00000000-0005-0000-0000-0000657E0000}"/>
    <cellStyle name="Normal 3 3 2 2 12" xfId="32367" xr:uid="{00000000-0005-0000-0000-0000667E0000}"/>
    <cellStyle name="Normal 3 3 2 2 12 2" xfId="32368" xr:uid="{00000000-0005-0000-0000-0000677E0000}"/>
    <cellStyle name="Normal 3 3 2 2 12 3" xfId="32369" xr:uid="{00000000-0005-0000-0000-0000687E0000}"/>
    <cellStyle name="Normal 3 3 2 2 13" xfId="32370" xr:uid="{00000000-0005-0000-0000-0000697E0000}"/>
    <cellStyle name="Normal 3 3 2 2 13 2" xfId="32371" xr:uid="{00000000-0005-0000-0000-00006A7E0000}"/>
    <cellStyle name="Normal 3 3 2 2 13 3" xfId="32372" xr:uid="{00000000-0005-0000-0000-00006B7E0000}"/>
    <cellStyle name="Normal 3 3 2 2 14" xfId="32373" xr:uid="{00000000-0005-0000-0000-00006C7E0000}"/>
    <cellStyle name="Normal 3 3 2 2 14 2" xfId="32374" xr:uid="{00000000-0005-0000-0000-00006D7E0000}"/>
    <cellStyle name="Normal 3 3 2 2 14 3" xfId="32375" xr:uid="{00000000-0005-0000-0000-00006E7E0000}"/>
    <cellStyle name="Normal 3 3 2 2 15" xfId="32376" xr:uid="{00000000-0005-0000-0000-00006F7E0000}"/>
    <cellStyle name="Normal 3 3 2 2 15 2" xfId="32377" xr:uid="{00000000-0005-0000-0000-0000707E0000}"/>
    <cellStyle name="Normal 3 3 2 2 15 3" xfId="32378" xr:uid="{00000000-0005-0000-0000-0000717E0000}"/>
    <cellStyle name="Normal 3 3 2 2 16" xfId="32379" xr:uid="{00000000-0005-0000-0000-0000727E0000}"/>
    <cellStyle name="Normal 3 3 2 2 16 2" xfId="32380" xr:uid="{00000000-0005-0000-0000-0000737E0000}"/>
    <cellStyle name="Normal 3 3 2 2 16 3" xfId="32381" xr:uid="{00000000-0005-0000-0000-0000747E0000}"/>
    <cellStyle name="Normal 3 3 2 2 17" xfId="32382" xr:uid="{00000000-0005-0000-0000-0000757E0000}"/>
    <cellStyle name="Normal 3 3 2 2 17 2" xfId="32383" xr:uid="{00000000-0005-0000-0000-0000767E0000}"/>
    <cellStyle name="Normal 3 3 2 2 17 3" xfId="32384" xr:uid="{00000000-0005-0000-0000-0000777E0000}"/>
    <cellStyle name="Normal 3 3 2 2 18" xfId="32385" xr:uid="{00000000-0005-0000-0000-0000787E0000}"/>
    <cellStyle name="Normal 3 3 2 2 19" xfId="32386" xr:uid="{00000000-0005-0000-0000-0000797E0000}"/>
    <cellStyle name="Normal 3 3 2 2 2" xfId="32387" xr:uid="{00000000-0005-0000-0000-00007A7E0000}"/>
    <cellStyle name="Normal 3 3 2 2 3" xfId="32388" xr:uid="{00000000-0005-0000-0000-00007B7E0000}"/>
    <cellStyle name="Normal 3 3 2 2 4" xfId="32389" xr:uid="{00000000-0005-0000-0000-00007C7E0000}"/>
    <cellStyle name="Normal 3 3 2 2 5" xfId="32390" xr:uid="{00000000-0005-0000-0000-00007D7E0000}"/>
    <cellStyle name="Normal 3 3 2 2 5 2" xfId="32391" xr:uid="{00000000-0005-0000-0000-00007E7E0000}"/>
    <cellStyle name="Normal 3 3 2 2 5 3" xfId="32392" xr:uid="{00000000-0005-0000-0000-00007F7E0000}"/>
    <cellStyle name="Normal 3 3 2 2 6" xfId="32393" xr:uid="{00000000-0005-0000-0000-0000807E0000}"/>
    <cellStyle name="Normal 3 3 2 2 6 2" xfId="32394" xr:uid="{00000000-0005-0000-0000-0000817E0000}"/>
    <cellStyle name="Normal 3 3 2 2 6 3" xfId="32395" xr:uid="{00000000-0005-0000-0000-0000827E0000}"/>
    <cellStyle name="Normal 3 3 2 2 7" xfId="32396" xr:uid="{00000000-0005-0000-0000-0000837E0000}"/>
    <cellStyle name="Normal 3 3 2 2 7 2" xfId="32397" xr:uid="{00000000-0005-0000-0000-0000847E0000}"/>
    <cellStyle name="Normal 3 3 2 2 7 3" xfId="32398" xr:uid="{00000000-0005-0000-0000-0000857E0000}"/>
    <cellStyle name="Normal 3 3 2 2 8" xfId="32399" xr:uid="{00000000-0005-0000-0000-0000867E0000}"/>
    <cellStyle name="Normal 3 3 2 2 8 2" xfId="32400" xr:uid="{00000000-0005-0000-0000-0000877E0000}"/>
    <cellStyle name="Normal 3 3 2 2 8 3" xfId="32401" xr:uid="{00000000-0005-0000-0000-0000887E0000}"/>
    <cellStyle name="Normal 3 3 2 2 9" xfId="32402" xr:uid="{00000000-0005-0000-0000-0000897E0000}"/>
    <cellStyle name="Normal 3 3 2 2 9 2" xfId="32403" xr:uid="{00000000-0005-0000-0000-00008A7E0000}"/>
    <cellStyle name="Normal 3 3 2 2 9 3" xfId="32404" xr:uid="{00000000-0005-0000-0000-00008B7E0000}"/>
    <cellStyle name="Normal 3 3 2 3" xfId="32405" xr:uid="{00000000-0005-0000-0000-00008C7E0000}"/>
    <cellStyle name="Normal 3 3 2 4" xfId="32406" xr:uid="{00000000-0005-0000-0000-00008D7E0000}"/>
    <cellStyle name="Normal 3 3 2 5" xfId="32407" xr:uid="{00000000-0005-0000-0000-00008E7E0000}"/>
    <cellStyle name="Normal 3 3 2 6" xfId="32408" xr:uid="{00000000-0005-0000-0000-00008F7E0000}"/>
    <cellStyle name="Normal 3 3 2 6 10" xfId="32409" xr:uid="{00000000-0005-0000-0000-0000907E0000}"/>
    <cellStyle name="Normal 3 3 2 6 10 2" xfId="32410" xr:uid="{00000000-0005-0000-0000-0000917E0000}"/>
    <cellStyle name="Normal 3 3 2 6 10 3" xfId="32411" xr:uid="{00000000-0005-0000-0000-0000927E0000}"/>
    <cellStyle name="Normal 3 3 2 6 11" xfId="32412" xr:uid="{00000000-0005-0000-0000-0000937E0000}"/>
    <cellStyle name="Normal 3 3 2 6 11 2" xfId="32413" xr:uid="{00000000-0005-0000-0000-0000947E0000}"/>
    <cellStyle name="Normal 3 3 2 6 11 3" xfId="32414" xr:uid="{00000000-0005-0000-0000-0000957E0000}"/>
    <cellStyle name="Normal 3 3 2 6 12" xfId="32415" xr:uid="{00000000-0005-0000-0000-0000967E0000}"/>
    <cellStyle name="Normal 3 3 2 6 12 2" xfId="32416" xr:uid="{00000000-0005-0000-0000-0000977E0000}"/>
    <cellStyle name="Normal 3 3 2 6 12 3" xfId="32417" xr:uid="{00000000-0005-0000-0000-0000987E0000}"/>
    <cellStyle name="Normal 3 3 2 6 13" xfId="32418" xr:uid="{00000000-0005-0000-0000-0000997E0000}"/>
    <cellStyle name="Normal 3 3 2 6 13 2" xfId="32419" xr:uid="{00000000-0005-0000-0000-00009A7E0000}"/>
    <cellStyle name="Normal 3 3 2 6 13 3" xfId="32420" xr:uid="{00000000-0005-0000-0000-00009B7E0000}"/>
    <cellStyle name="Normal 3 3 2 6 14" xfId="32421" xr:uid="{00000000-0005-0000-0000-00009C7E0000}"/>
    <cellStyle name="Normal 3 3 2 6 14 2" xfId="32422" xr:uid="{00000000-0005-0000-0000-00009D7E0000}"/>
    <cellStyle name="Normal 3 3 2 6 14 3" xfId="32423" xr:uid="{00000000-0005-0000-0000-00009E7E0000}"/>
    <cellStyle name="Normal 3 3 2 6 15" xfId="32424" xr:uid="{00000000-0005-0000-0000-00009F7E0000}"/>
    <cellStyle name="Normal 3 3 2 6 15 2" xfId="32425" xr:uid="{00000000-0005-0000-0000-0000A07E0000}"/>
    <cellStyle name="Normal 3 3 2 6 15 3" xfId="32426" xr:uid="{00000000-0005-0000-0000-0000A17E0000}"/>
    <cellStyle name="Normal 3 3 2 6 16" xfId="32427" xr:uid="{00000000-0005-0000-0000-0000A27E0000}"/>
    <cellStyle name="Normal 3 3 2 6 17" xfId="32428" xr:uid="{00000000-0005-0000-0000-0000A37E0000}"/>
    <cellStyle name="Normal 3 3 2 6 2" xfId="32429" xr:uid="{00000000-0005-0000-0000-0000A47E0000}"/>
    <cellStyle name="Normal 3 3 2 6 2 10" xfId="32430" xr:uid="{00000000-0005-0000-0000-0000A57E0000}"/>
    <cellStyle name="Normal 3 3 2 6 2 10 2" xfId="32431" xr:uid="{00000000-0005-0000-0000-0000A67E0000}"/>
    <cellStyle name="Normal 3 3 2 6 2 10 3" xfId="32432" xr:uid="{00000000-0005-0000-0000-0000A77E0000}"/>
    <cellStyle name="Normal 3 3 2 6 2 11" xfId="32433" xr:uid="{00000000-0005-0000-0000-0000A87E0000}"/>
    <cellStyle name="Normal 3 3 2 6 2 11 2" xfId="32434" xr:uid="{00000000-0005-0000-0000-0000A97E0000}"/>
    <cellStyle name="Normal 3 3 2 6 2 11 3" xfId="32435" xr:uid="{00000000-0005-0000-0000-0000AA7E0000}"/>
    <cellStyle name="Normal 3 3 2 6 2 12" xfId="32436" xr:uid="{00000000-0005-0000-0000-0000AB7E0000}"/>
    <cellStyle name="Normal 3 3 2 6 2 12 2" xfId="32437" xr:uid="{00000000-0005-0000-0000-0000AC7E0000}"/>
    <cellStyle name="Normal 3 3 2 6 2 12 3" xfId="32438" xr:uid="{00000000-0005-0000-0000-0000AD7E0000}"/>
    <cellStyle name="Normal 3 3 2 6 2 13" xfId="32439" xr:uid="{00000000-0005-0000-0000-0000AE7E0000}"/>
    <cellStyle name="Normal 3 3 2 6 2 13 2" xfId="32440" xr:uid="{00000000-0005-0000-0000-0000AF7E0000}"/>
    <cellStyle name="Normal 3 3 2 6 2 13 3" xfId="32441" xr:uid="{00000000-0005-0000-0000-0000B07E0000}"/>
    <cellStyle name="Normal 3 3 2 6 2 14" xfId="32442" xr:uid="{00000000-0005-0000-0000-0000B17E0000}"/>
    <cellStyle name="Normal 3 3 2 6 2 14 2" xfId="32443" xr:uid="{00000000-0005-0000-0000-0000B27E0000}"/>
    <cellStyle name="Normal 3 3 2 6 2 14 3" xfId="32444" xr:uid="{00000000-0005-0000-0000-0000B37E0000}"/>
    <cellStyle name="Normal 3 3 2 6 2 15" xfId="32445" xr:uid="{00000000-0005-0000-0000-0000B47E0000}"/>
    <cellStyle name="Normal 3 3 2 6 2 16" xfId="32446" xr:uid="{00000000-0005-0000-0000-0000B57E0000}"/>
    <cellStyle name="Normal 3 3 2 6 2 2" xfId="32447" xr:uid="{00000000-0005-0000-0000-0000B67E0000}"/>
    <cellStyle name="Normal 3 3 2 6 2 2 2" xfId="32448" xr:uid="{00000000-0005-0000-0000-0000B77E0000}"/>
    <cellStyle name="Normal 3 3 2 6 2 2 3" xfId="32449" xr:uid="{00000000-0005-0000-0000-0000B87E0000}"/>
    <cellStyle name="Normal 3 3 2 6 2 3" xfId="32450" xr:uid="{00000000-0005-0000-0000-0000B97E0000}"/>
    <cellStyle name="Normal 3 3 2 6 2 3 2" xfId="32451" xr:uid="{00000000-0005-0000-0000-0000BA7E0000}"/>
    <cellStyle name="Normal 3 3 2 6 2 3 3" xfId="32452" xr:uid="{00000000-0005-0000-0000-0000BB7E0000}"/>
    <cellStyle name="Normal 3 3 2 6 2 4" xfId="32453" xr:uid="{00000000-0005-0000-0000-0000BC7E0000}"/>
    <cellStyle name="Normal 3 3 2 6 2 4 2" xfId="32454" xr:uid="{00000000-0005-0000-0000-0000BD7E0000}"/>
    <cellStyle name="Normal 3 3 2 6 2 4 3" xfId="32455" xr:uid="{00000000-0005-0000-0000-0000BE7E0000}"/>
    <cellStyle name="Normal 3 3 2 6 2 5" xfId="32456" xr:uid="{00000000-0005-0000-0000-0000BF7E0000}"/>
    <cellStyle name="Normal 3 3 2 6 2 5 2" xfId="32457" xr:uid="{00000000-0005-0000-0000-0000C07E0000}"/>
    <cellStyle name="Normal 3 3 2 6 2 5 3" xfId="32458" xr:uid="{00000000-0005-0000-0000-0000C17E0000}"/>
    <cellStyle name="Normal 3 3 2 6 2 6" xfId="32459" xr:uid="{00000000-0005-0000-0000-0000C27E0000}"/>
    <cellStyle name="Normal 3 3 2 6 2 6 2" xfId="32460" xr:uid="{00000000-0005-0000-0000-0000C37E0000}"/>
    <cellStyle name="Normal 3 3 2 6 2 6 3" xfId="32461" xr:uid="{00000000-0005-0000-0000-0000C47E0000}"/>
    <cellStyle name="Normal 3 3 2 6 2 7" xfId="32462" xr:uid="{00000000-0005-0000-0000-0000C57E0000}"/>
    <cellStyle name="Normal 3 3 2 6 2 7 2" xfId="32463" xr:uid="{00000000-0005-0000-0000-0000C67E0000}"/>
    <cellStyle name="Normal 3 3 2 6 2 7 3" xfId="32464" xr:uid="{00000000-0005-0000-0000-0000C77E0000}"/>
    <cellStyle name="Normal 3 3 2 6 2 8" xfId="32465" xr:uid="{00000000-0005-0000-0000-0000C87E0000}"/>
    <cellStyle name="Normal 3 3 2 6 2 8 2" xfId="32466" xr:uid="{00000000-0005-0000-0000-0000C97E0000}"/>
    <cellStyle name="Normal 3 3 2 6 2 8 3" xfId="32467" xr:uid="{00000000-0005-0000-0000-0000CA7E0000}"/>
    <cellStyle name="Normal 3 3 2 6 2 9" xfId="32468" xr:uid="{00000000-0005-0000-0000-0000CB7E0000}"/>
    <cellStyle name="Normal 3 3 2 6 2 9 2" xfId="32469" xr:uid="{00000000-0005-0000-0000-0000CC7E0000}"/>
    <cellStyle name="Normal 3 3 2 6 2 9 3" xfId="32470" xr:uid="{00000000-0005-0000-0000-0000CD7E0000}"/>
    <cellStyle name="Normal 3 3 2 6 3" xfId="32471" xr:uid="{00000000-0005-0000-0000-0000CE7E0000}"/>
    <cellStyle name="Normal 3 3 2 6 3 2" xfId="32472" xr:uid="{00000000-0005-0000-0000-0000CF7E0000}"/>
    <cellStyle name="Normal 3 3 2 6 3 3" xfId="32473" xr:uid="{00000000-0005-0000-0000-0000D07E0000}"/>
    <cellStyle name="Normal 3 3 2 6 4" xfId="32474" xr:uid="{00000000-0005-0000-0000-0000D17E0000}"/>
    <cellStyle name="Normal 3 3 2 6 4 2" xfId="32475" xr:uid="{00000000-0005-0000-0000-0000D27E0000}"/>
    <cellStyle name="Normal 3 3 2 6 4 3" xfId="32476" xr:uid="{00000000-0005-0000-0000-0000D37E0000}"/>
    <cellStyle name="Normal 3 3 2 6 5" xfId="32477" xr:uid="{00000000-0005-0000-0000-0000D47E0000}"/>
    <cellStyle name="Normal 3 3 2 6 5 2" xfId="32478" xr:uid="{00000000-0005-0000-0000-0000D57E0000}"/>
    <cellStyle name="Normal 3 3 2 6 5 3" xfId="32479" xr:uid="{00000000-0005-0000-0000-0000D67E0000}"/>
    <cellStyle name="Normal 3 3 2 6 6" xfId="32480" xr:uid="{00000000-0005-0000-0000-0000D77E0000}"/>
    <cellStyle name="Normal 3 3 2 6 6 2" xfId="32481" xr:uid="{00000000-0005-0000-0000-0000D87E0000}"/>
    <cellStyle name="Normal 3 3 2 6 6 3" xfId="32482" xr:uid="{00000000-0005-0000-0000-0000D97E0000}"/>
    <cellStyle name="Normal 3 3 2 6 7" xfId="32483" xr:uid="{00000000-0005-0000-0000-0000DA7E0000}"/>
    <cellStyle name="Normal 3 3 2 6 7 2" xfId="32484" xr:uid="{00000000-0005-0000-0000-0000DB7E0000}"/>
    <cellStyle name="Normal 3 3 2 6 7 3" xfId="32485" xr:uid="{00000000-0005-0000-0000-0000DC7E0000}"/>
    <cellStyle name="Normal 3 3 2 6 8" xfId="32486" xr:uid="{00000000-0005-0000-0000-0000DD7E0000}"/>
    <cellStyle name="Normal 3 3 2 6 8 2" xfId="32487" xr:uid="{00000000-0005-0000-0000-0000DE7E0000}"/>
    <cellStyle name="Normal 3 3 2 6 8 3" xfId="32488" xr:uid="{00000000-0005-0000-0000-0000DF7E0000}"/>
    <cellStyle name="Normal 3 3 2 6 9" xfId="32489" xr:uid="{00000000-0005-0000-0000-0000E07E0000}"/>
    <cellStyle name="Normal 3 3 2 6 9 2" xfId="32490" xr:uid="{00000000-0005-0000-0000-0000E17E0000}"/>
    <cellStyle name="Normal 3 3 2 6 9 3" xfId="32491" xr:uid="{00000000-0005-0000-0000-0000E27E0000}"/>
    <cellStyle name="Normal 3 3 2 7" xfId="32492" xr:uid="{00000000-0005-0000-0000-0000E37E0000}"/>
    <cellStyle name="Normal 3 3 2 7 10" xfId="32493" xr:uid="{00000000-0005-0000-0000-0000E47E0000}"/>
    <cellStyle name="Normal 3 3 2 7 10 2" xfId="32494" xr:uid="{00000000-0005-0000-0000-0000E57E0000}"/>
    <cellStyle name="Normal 3 3 2 7 10 3" xfId="32495" xr:uid="{00000000-0005-0000-0000-0000E67E0000}"/>
    <cellStyle name="Normal 3 3 2 7 11" xfId="32496" xr:uid="{00000000-0005-0000-0000-0000E77E0000}"/>
    <cellStyle name="Normal 3 3 2 7 11 2" xfId="32497" xr:uid="{00000000-0005-0000-0000-0000E87E0000}"/>
    <cellStyle name="Normal 3 3 2 7 11 3" xfId="32498" xr:uid="{00000000-0005-0000-0000-0000E97E0000}"/>
    <cellStyle name="Normal 3 3 2 7 12" xfId="32499" xr:uid="{00000000-0005-0000-0000-0000EA7E0000}"/>
    <cellStyle name="Normal 3 3 2 7 12 2" xfId="32500" xr:uid="{00000000-0005-0000-0000-0000EB7E0000}"/>
    <cellStyle name="Normal 3 3 2 7 12 3" xfId="32501" xr:uid="{00000000-0005-0000-0000-0000EC7E0000}"/>
    <cellStyle name="Normal 3 3 2 7 13" xfId="32502" xr:uid="{00000000-0005-0000-0000-0000ED7E0000}"/>
    <cellStyle name="Normal 3 3 2 7 13 2" xfId="32503" xr:uid="{00000000-0005-0000-0000-0000EE7E0000}"/>
    <cellStyle name="Normal 3 3 2 7 13 3" xfId="32504" xr:uid="{00000000-0005-0000-0000-0000EF7E0000}"/>
    <cellStyle name="Normal 3 3 2 7 14" xfId="32505" xr:uid="{00000000-0005-0000-0000-0000F07E0000}"/>
    <cellStyle name="Normal 3 3 2 7 14 2" xfId="32506" xr:uid="{00000000-0005-0000-0000-0000F17E0000}"/>
    <cellStyle name="Normal 3 3 2 7 14 3" xfId="32507" xr:uid="{00000000-0005-0000-0000-0000F27E0000}"/>
    <cellStyle name="Normal 3 3 2 7 15" xfId="32508" xr:uid="{00000000-0005-0000-0000-0000F37E0000}"/>
    <cellStyle name="Normal 3 3 2 7 15 2" xfId="32509" xr:uid="{00000000-0005-0000-0000-0000F47E0000}"/>
    <cellStyle name="Normal 3 3 2 7 15 3" xfId="32510" xr:uid="{00000000-0005-0000-0000-0000F57E0000}"/>
    <cellStyle name="Normal 3 3 2 7 16" xfId="32511" xr:uid="{00000000-0005-0000-0000-0000F67E0000}"/>
    <cellStyle name="Normal 3 3 2 7 17" xfId="32512" xr:uid="{00000000-0005-0000-0000-0000F77E0000}"/>
    <cellStyle name="Normal 3 3 2 7 2" xfId="32513" xr:uid="{00000000-0005-0000-0000-0000F87E0000}"/>
    <cellStyle name="Normal 3 3 2 7 2 10" xfId="32514" xr:uid="{00000000-0005-0000-0000-0000F97E0000}"/>
    <cellStyle name="Normal 3 3 2 7 2 10 2" xfId="32515" xr:uid="{00000000-0005-0000-0000-0000FA7E0000}"/>
    <cellStyle name="Normal 3 3 2 7 2 10 3" xfId="32516" xr:uid="{00000000-0005-0000-0000-0000FB7E0000}"/>
    <cellStyle name="Normal 3 3 2 7 2 11" xfId="32517" xr:uid="{00000000-0005-0000-0000-0000FC7E0000}"/>
    <cellStyle name="Normal 3 3 2 7 2 11 2" xfId="32518" xr:uid="{00000000-0005-0000-0000-0000FD7E0000}"/>
    <cellStyle name="Normal 3 3 2 7 2 11 3" xfId="32519" xr:uid="{00000000-0005-0000-0000-0000FE7E0000}"/>
    <cellStyle name="Normal 3 3 2 7 2 12" xfId="32520" xr:uid="{00000000-0005-0000-0000-0000FF7E0000}"/>
    <cellStyle name="Normal 3 3 2 7 2 12 2" xfId="32521" xr:uid="{00000000-0005-0000-0000-0000007F0000}"/>
    <cellStyle name="Normal 3 3 2 7 2 12 3" xfId="32522" xr:uid="{00000000-0005-0000-0000-0000017F0000}"/>
    <cellStyle name="Normal 3 3 2 7 2 13" xfId="32523" xr:uid="{00000000-0005-0000-0000-0000027F0000}"/>
    <cellStyle name="Normal 3 3 2 7 2 13 2" xfId="32524" xr:uid="{00000000-0005-0000-0000-0000037F0000}"/>
    <cellStyle name="Normal 3 3 2 7 2 13 3" xfId="32525" xr:uid="{00000000-0005-0000-0000-0000047F0000}"/>
    <cellStyle name="Normal 3 3 2 7 2 14" xfId="32526" xr:uid="{00000000-0005-0000-0000-0000057F0000}"/>
    <cellStyle name="Normal 3 3 2 7 2 14 2" xfId="32527" xr:uid="{00000000-0005-0000-0000-0000067F0000}"/>
    <cellStyle name="Normal 3 3 2 7 2 14 3" xfId="32528" xr:uid="{00000000-0005-0000-0000-0000077F0000}"/>
    <cellStyle name="Normal 3 3 2 7 2 15" xfId="32529" xr:uid="{00000000-0005-0000-0000-0000087F0000}"/>
    <cellStyle name="Normal 3 3 2 7 2 16" xfId="32530" xr:uid="{00000000-0005-0000-0000-0000097F0000}"/>
    <cellStyle name="Normal 3 3 2 7 2 2" xfId="32531" xr:uid="{00000000-0005-0000-0000-00000A7F0000}"/>
    <cellStyle name="Normal 3 3 2 7 2 2 2" xfId="32532" xr:uid="{00000000-0005-0000-0000-00000B7F0000}"/>
    <cellStyle name="Normal 3 3 2 7 2 2 3" xfId="32533" xr:uid="{00000000-0005-0000-0000-00000C7F0000}"/>
    <cellStyle name="Normal 3 3 2 7 2 3" xfId="32534" xr:uid="{00000000-0005-0000-0000-00000D7F0000}"/>
    <cellStyle name="Normal 3 3 2 7 2 3 2" xfId="32535" xr:uid="{00000000-0005-0000-0000-00000E7F0000}"/>
    <cellStyle name="Normal 3 3 2 7 2 3 3" xfId="32536" xr:uid="{00000000-0005-0000-0000-00000F7F0000}"/>
    <cellStyle name="Normal 3 3 2 7 2 4" xfId="32537" xr:uid="{00000000-0005-0000-0000-0000107F0000}"/>
    <cellStyle name="Normal 3 3 2 7 2 4 2" xfId="32538" xr:uid="{00000000-0005-0000-0000-0000117F0000}"/>
    <cellStyle name="Normal 3 3 2 7 2 4 3" xfId="32539" xr:uid="{00000000-0005-0000-0000-0000127F0000}"/>
    <cellStyle name="Normal 3 3 2 7 2 5" xfId="32540" xr:uid="{00000000-0005-0000-0000-0000137F0000}"/>
    <cellStyle name="Normal 3 3 2 7 2 5 2" xfId="32541" xr:uid="{00000000-0005-0000-0000-0000147F0000}"/>
    <cellStyle name="Normal 3 3 2 7 2 5 3" xfId="32542" xr:uid="{00000000-0005-0000-0000-0000157F0000}"/>
    <cellStyle name="Normal 3 3 2 7 2 6" xfId="32543" xr:uid="{00000000-0005-0000-0000-0000167F0000}"/>
    <cellStyle name="Normal 3 3 2 7 2 6 2" xfId="32544" xr:uid="{00000000-0005-0000-0000-0000177F0000}"/>
    <cellStyle name="Normal 3 3 2 7 2 6 3" xfId="32545" xr:uid="{00000000-0005-0000-0000-0000187F0000}"/>
    <cellStyle name="Normal 3 3 2 7 2 7" xfId="32546" xr:uid="{00000000-0005-0000-0000-0000197F0000}"/>
    <cellStyle name="Normal 3 3 2 7 2 7 2" xfId="32547" xr:uid="{00000000-0005-0000-0000-00001A7F0000}"/>
    <cellStyle name="Normal 3 3 2 7 2 7 3" xfId="32548" xr:uid="{00000000-0005-0000-0000-00001B7F0000}"/>
    <cellStyle name="Normal 3 3 2 7 2 8" xfId="32549" xr:uid="{00000000-0005-0000-0000-00001C7F0000}"/>
    <cellStyle name="Normal 3 3 2 7 2 8 2" xfId="32550" xr:uid="{00000000-0005-0000-0000-00001D7F0000}"/>
    <cellStyle name="Normal 3 3 2 7 2 8 3" xfId="32551" xr:uid="{00000000-0005-0000-0000-00001E7F0000}"/>
    <cellStyle name="Normal 3 3 2 7 2 9" xfId="32552" xr:uid="{00000000-0005-0000-0000-00001F7F0000}"/>
    <cellStyle name="Normal 3 3 2 7 2 9 2" xfId="32553" xr:uid="{00000000-0005-0000-0000-0000207F0000}"/>
    <cellStyle name="Normal 3 3 2 7 2 9 3" xfId="32554" xr:uid="{00000000-0005-0000-0000-0000217F0000}"/>
    <cellStyle name="Normal 3 3 2 7 3" xfId="32555" xr:uid="{00000000-0005-0000-0000-0000227F0000}"/>
    <cellStyle name="Normal 3 3 2 7 3 2" xfId="32556" xr:uid="{00000000-0005-0000-0000-0000237F0000}"/>
    <cellStyle name="Normal 3 3 2 7 3 3" xfId="32557" xr:uid="{00000000-0005-0000-0000-0000247F0000}"/>
    <cellStyle name="Normal 3 3 2 7 4" xfId="32558" xr:uid="{00000000-0005-0000-0000-0000257F0000}"/>
    <cellStyle name="Normal 3 3 2 7 4 2" xfId="32559" xr:uid="{00000000-0005-0000-0000-0000267F0000}"/>
    <cellStyle name="Normal 3 3 2 7 4 3" xfId="32560" xr:uid="{00000000-0005-0000-0000-0000277F0000}"/>
    <cellStyle name="Normal 3 3 2 7 5" xfId="32561" xr:uid="{00000000-0005-0000-0000-0000287F0000}"/>
    <cellStyle name="Normal 3 3 2 7 5 2" xfId="32562" xr:uid="{00000000-0005-0000-0000-0000297F0000}"/>
    <cellStyle name="Normal 3 3 2 7 5 3" xfId="32563" xr:uid="{00000000-0005-0000-0000-00002A7F0000}"/>
    <cellStyle name="Normal 3 3 2 7 6" xfId="32564" xr:uid="{00000000-0005-0000-0000-00002B7F0000}"/>
    <cellStyle name="Normal 3 3 2 7 6 2" xfId="32565" xr:uid="{00000000-0005-0000-0000-00002C7F0000}"/>
    <cellStyle name="Normal 3 3 2 7 6 3" xfId="32566" xr:uid="{00000000-0005-0000-0000-00002D7F0000}"/>
    <cellStyle name="Normal 3 3 2 7 7" xfId="32567" xr:uid="{00000000-0005-0000-0000-00002E7F0000}"/>
    <cellStyle name="Normal 3 3 2 7 7 2" xfId="32568" xr:uid="{00000000-0005-0000-0000-00002F7F0000}"/>
    <cellStyle name="Normal 3 3 2 7 7 3" xfId="32569" xr:uid="{00000000-0005-0000-0000-0000307F0000}"/>
    <cellStyle name="Normal 3 3 2 7 8" xfId="32570" xr:uid="{00000000-0005-0000-0000-0000317F0000}"/>
    <cellStyle name="Normal 3 3 2 7 8 2" xfId="32571" xr:uid="{00000000-0005-0000-0000-0000327F0000}"/>
    <cellStyle name="Normal 3 3 2 7 8 3" xfId="32572" xr:uid="{00000000-0005-0000-0000-0000337F0000}"/>
    <cellStyle name="Normal 3 3 2 7 9" xfId="32573" xr:uid="{00000000-0005-0000-0000-0000347F0000}"/>
    <cellStyle name="Normal 3 3 2 7 9 2" xfId="32574" xr:uid="{00000000-0005-0000-0000-0000357F0000}"/>
    <cellStyle name="Normal 3 3 2 7 9 3" xfId="32575" xr:uid="{00000000-0005-0000-0000-0000367F0000}"/>
    <cellStyle name="Normal 3 3 2 8" xfId="32576" xr:uid="{00000000-0005-0000-0000-0000377F0000}"/>
    <cellStyle name="Normal 3 3 2 8 10" xfId="32577" xr:uid="{00000000-0005-0000-0000-0000387F0000}"/>
    <cellStyle name="Normal 3 3 2 8 10 2" xfId="32578" xr:uid="{00000000-0005-0000-0000-0000397F0000}"/>
    <cellStyle name="Normal 3 3 2 8 10 3" xfId="32579" xr:uid="{00000000-0005-0000-0000-00003A7F0000}"/>
    <cellStyle name="Normal 3 3 2 8 11" xfId="32580" xr:uid="{00000000-0005-0000-0000-00003B7F0000}"/>
    <cellStyle name="Normal 3 3 2 8 11 2" xfId="32581" xr:uid="{00000000-0005-0000-0000-00003C7F0000}"/>
    <cellStyle name="Normal 3 3 2 8 11 3" xfId="32582" xr:uid="{00000000-0005-0000-0000-00003D7F0000}"/>
    <cellStyle name="Normal 3 3 2 8 12" xfId="32583" xr:uid="{00000000-0005-0000-0000-00003E7F0000}"/>
    <cellStyle name="Normal 3 3 2 8 12 2" xfId="32584" xr:uid="{00000000-0005-0000-0000-00003F7F0000}"/>
    <cellStyle name="Normal 3 3 2 8 12 3" xfId="32585" xr:uid="{00000000-0005-0000-0000-0000407F0000}"/>
    <cellStyle name="Normal 3 3 2 8 13" xfId="32586" xr:uid="{00000000-0005-0000-0000-0000417F0000}"/>
    <cellStyle name="Normal 3 3 2 8 13 2" xfId="32587" xr:uid="{00000000-0005-0000-0000-0000427F0000}"/>
    <cellStyle name="Normal 3 3 2 8 13 3" xfId="32588" xr:uid="{00000000-0005-0000-0000-0000437F0000}"/>
    <cellStyle name="Normal 3 3 2 8 14" xfId="32589" xr:uid="{00000000-0005-0000-0000-0000447F0000}"/>
    <cellStyle name="Normal 3 3 2 8 14 2" xfId="32590" xr:uid="{00000000-0005-0000-0000-0000457F0000}"/>
    <cellStyle name="Normal 3 3 2 8 14 3" xfId="32591" xr:uid="{00000000-0005-0000-0000-0000467F0000}"/>
    <cellStyle name="Normal 3 3 2 8 15" xfId="32592" xr:uid="{00000000-0005-0000-0000-0000477F0000}"/>
    <cellStyle name="Normal 3 3 2 8 15 2" xfId="32593" xr:uid="{00000000-0005-0000-0000-0000487F0000}"/>
    <cellStyle name="Normal 3 3 2 8 15 3" xfId="32594" xr:uid="{00000000-0005-0000-0000-0000497F0000}"/>
    <cellStyle name="Normal 3 3 2 8 16" xfId="32595" xr:uid="{00000000-0005-0000-0000-00004A7F0000}"/>
    <cellStyle name="Normal 3 3 2 8 17" xfId="32596" xr:uid="{00000000-0005-0000-0000-00004B7F0000}"/>
    <cellStyle name="Normal 3 3 2 8 2" xfId="32597" xr:uid="{00000000-0005-0000-0000-00004C7F0000}"/>
    <cellStyle name="Normal 3 3 2 8 2 10" xfId="32598" xr:uid="{00000000-0005-0000-0000-00004D7F0000}"/>
    <cellStyle name="Normal 3 3 2 8 2 10 2" xfId="32599" xr:uid="{00000000-0005-0000-0000-00004E7F0000}"/>
    <cellStyle name="Normal 3 3 2 8 2 10 3" xfId="32600" xr:uid="{00000000-0005-0000-0000-00004F7F0000}"/>
    <cellStyle name="Normal 3 3 2 8 2 11" xfId="32601" xr:uid="{00000000-0005-0000-0000-0000507F0000}"/>
    <cellStyle name="Normal 3 3 2 8 2 11 2" xfId="32602" xr:uid="{00000000-0005-0000-0000-0000517F0000}"/>
    <cellStyle name="Normal 3 3 2 8 2 11 3" xfId="32603" xr:uid="{00000000-0005-0000-0000-0000527F0000}"/>
    <cellStyle name="Normal 3 3 2 8 2 12" xfId="32604" xr:uid="{00000000-0005-0000-0000-0000537F0000}"/>
    <cellStyle name="Normal 3 3 2 8 2 12 2" xfId="32605" xr:uid="{00000000-0005-0000-0000-0000547F0000}"/>
    <cellStyle name="Normal 3 3 2 8 2 12 3" xfId="32606" xr:uid="{00000000-0005-0000-0000-0000557F0000}"/>
    <cellStyle name="Normal 3 3 2 8 2 13" xfId="32607" xr:uid="{00000000-0005-0000-0000-0000567F0000}"/>
    <cellStyle name="Normal 3 3 2 8 2 13 2" xfId="32608" xr:uid="{00000000-0005-0000-0000-0000577F0000}"/>
    <cellStyle name="Normal 3 3 2 8 2 13 3" xfId="32609" xr:uid="{00000000-0005-0000-0000-0000587F0000}"/>
    <cellStyle name="Normal 3 3 2 8 2 14" xfId="32610" xr:uid="{00000000-0005-0000-0000-0000597F0000}"/>
    <cellStyle name="Normal 3 3 2 8 2 14 2" xfId="32611" xr:uid="{00000000-0005-0000-0000-00005A7F0000}"/>
    <cellStyle name="Normal 3 3 2 8 2 14 3" xfId="32612" xr:uid="{00000000-0005-0000-0000-00005B7F0000}"/>
    <cellStyle name="Normal 3 3 2 8 2 15" xfId="32613" xr:uid="{00000000-0005-0000-0000-00005C7F0000}"/>
    <cellStyle name="Normal 3 3 2 8 2 16" xfId="32614" xr:uid="{00000000-0005-0000-0000-00005D7F0000}"/>
    <cellStyle name="Normal 3 3 2 8 2 2" xfId="32615" xr:uid="{00000000-0005-0000-0000-00005E7F0000}"/>
    <cellStyle name="Normal 3 3 2 8 2 2 2" xfId="32616" xr:uid="{00000000-0005-0000-0000-00005F7F0000}"/>
    <cellStyle name="Normal 3 3 2 8 2 2 3" xfId="32617" xr:uid="{00000000-0005-0000-0000-0000607F0000}"/>
    <cellStyle name="Normal 3 3 2 8 2 3" xfId="32618" xr:uid="{00000000-0005-0000-0000-0000617F0000}"/>
    <cellStyle name="Normal 3 3 2 8 2 3 2" xfId="32619" xr:uid="{00000000-0005-0000-0000-0000627F0000}"/>
    <cellStyle name="Normal 3 3 2 8 2 3 3" xfId="32620" xr:uid="{00000000-0005-0000-0000-0000637F0000}"/>
    <cellStyle name="Normal 3 3 2 8 2 4" xfId="32621" xr:uid="{00000000-0005-0000-0000-0000647F0000}"/>
    <cellStyle name="Normal 3 3 2 8 2 4 2" xfId="32622" xr:uid="{00000000-0005-0000-0000-0000657F0000}"/>
    <cellStyle name="Normal 3 3 2 8 2 4 3" xfId="32623" xr:uid="{00000000-0005-0000-0000-0000667F0000}"/>
    <cellStyle name="Normal 3 3 2 8 2 5" xfId="32624" xr:uid="{00000000-0005-0000-0000-0000677F0000}"/>
    <cellStyle name="Normal 3 3 2 8 2 5 2" xfId="32625" xr:uid="{00000000-0005-0000-0000-0000687F0000}"/>
    <cellStyle name="Normal 3 3 2 8 2 5 3" xfId="32626" xr:uid="{00000000-0005-0000-0000-0000697F0000}"/>
    <cellStyle name="Normal 3 3 2 8 2 6" xfId="32627" xr:uid="{00000000-0005-0000-0000-00006A7F0000}"/>
    <cellStyle name="Normal 3 3 2 8 2 6 2" xfId="32628" xr:uid="{00000000-0005-0000-0000-00006B7F0000}"/>
    <cellStyle name="Normal 3 3 2 8 2 6 3" xfId="32629" xr:uid="{00000000-0005-0000-0000-00006C7F0000}"/>
    <cellStyle name="Normal 3 3 2 8 2 7" xfId="32630" xr:uid="{00000000-0005-0000-0000-00006D7F0000}"/>
    <cellStyle name="Normal 3 3 2 8 2 7 2" xfId="32631" xr:uid="{00000000-0005-0000-0000-00006E7F0000}"/>
    <cellStyle name="Normal 3 3 2 8 2 7 3" xfId="32632" xr:uid="{00000000-0005-0000-0000-00006F7F0000}"/>
    <cellStyle name="Normal 3 3 2 8 2 8" xfId="32633" xr:uid="{00000000-0005-0000-0000-0000707F0000}"/>
    <cellStyle name="Normal 3 3 2 8 2 8 2" xfId="32634" xr:uid="{00000000-0005-0000-0000-0000717F0000}"/>
    <cellStyle name="Normal 3 3 2 8 2 8 3" xfId="32635" xr:uid="{00000000-0005-0000-0000-0000727F0000}"/>
    <cellStyle name="Normal 3 3 2 8 2 9" xfId="32636" xr:uid="{00000000-0005-0000-0000-0000737F0000}"/>
    <cellStyle name="Normal 3 3 2 8 2 9 2" xfId="32637" xr:uid="{00000000-0005-0000-0000-0000747F0000}"/>
    <cellStyle name="Normal 3 3 2 8 2 9 3" xfId="32638" xr:uid="{00000000-0005-0000-0000-0000757F0000}"/>
    <cellStyle name="Normal 3 3 2 8 3" xfId="32639" xr:uid="{00000000-0005-0000-0000-0000767F0000}"/>
    <cellStyle name="Normal 3 3 2 8 3 2" xfId="32640" xr:uid="{00000000-0005-0000-0000-0000777F0000}"/>
    <cellStyle name="Normal 3 3 2 8 3 3" xfId="32641" xr:uid="{00000000-0005-0000-0000-0000787F0000}"/>
    <cellStyle name="Normal 3 3 2 8 4" xfId="32642" xr:uid="{00000000-0005-0000-0000-0000797F0000}"/>
    <cellStyle name="Normal 3 3 2 8 4 2" xfId="32643" xr:uid="{00000000-0005-0000-0000-00007A7F0000}"/>
    <cellStyle name="Normal 3 3 2 8 4 3" xfId="32644" xr:uid="{00000000-0005-0000-0000-00007B7F0000}"/>
    <cellStyle name="Normal 3 3 2 8 5" xfId="32645" xr:uid="{00000000-0005-0000-0000-00007C7F0000}"/>
    <cellStyle name="Normal 3 3 2 8 5 2" xfId="32646" xr:uid="{00000000-0005-0000-0000-00007D7F0000}"/>
    <cellStyle name="Normal 3 3 2 8 5 3" xfId="32647" xr:uid="{00000000-0005-0000-0000-00007E7F0000}"/>
    <cellStyle name="Normal 3 3 2 8 6" xfId="32648" xr:uid="{00000000-0005-0000-0000-00007F7F0000}"/>
    <cellStyle name="Normal 3 3 2 8 6 2" xfId="32649" xr:uid="{00000000-0005-0000-0000-0000807F0000}"/>
    <cellStyle name="Normal 3 3 2 8 6 3" xfId="32650" xr:uid="{00000000-0005-0000-0000-0000817F0000}"/>
    <cellStyle name="Normal 3 3 2 8 7" xfId="32651" xr:uid="{00000000-0005-0000-0000-0000827F0000}"/>
    <cellStyle name="Normal 3 3 2 8 7 2" xfId="32652" xr:uid="{00000000-0005-0000-0000-0000837F0000}"/>
    <cellStyle name="Normal 3 3 2 8 7 3" xfId="32653" xr:uid="{00000000-0005-0000-0000-0000847F0000}"/>
    <cellStyle name="Normal 3 3 2 8 8" xfId="32654" xr:uid="{00000000-0005-0000-0000-0000857F0000}"/>
    <cellStyle name="Normal 3 3 2 8 8 2" xfId="32655" xr:uid="{00000000-0005-0000-0000-0000867F0000}"/>
    <cellStyle name="Normal 3 3 2 8 8 3" xfId="32656" xr:uid="{00000000-0005-0000-0000-0000877F0000}"/>
    <cellStyle name="Normal 3 3 2 8 9" xfId="32657" xr:uid="{00000000-0005-0000-0000-0000887F0000}"/>
    <cellStyle name="Normal 3 3 2 8 9 2" xfId="32658" xr:uid="{00000000-0005-0000-0000-0000897F0000}"/>
    <cellStyle name="Normal 3 3 2 8 9 3" xfId="32659" xr:uid="{00000000-0005-0000-0000-00008A7F0000}"/>
    <cellStyle name="Normal 3 3 2 9" xfId="32660" xr:uid="{00000000-0005-0000-0000-00008B7F0000}"/>
    <cellStyle name="Normal 3 3 2 9 10" xfId="32661" xr:uid="{00000000-0005-0000-0000-00008C7F0000}"/>
    <cellStyle name="Normal 3 3 2 9 10 2" xfId="32662" xr:uid="{00000000-0005-0000-0000-00008D7F0000}"/>
    <cellStyle name="Normal 3 3 2 9 10 3" xfId="32663" xr:uid="{00000000-0005-0000-0000-00008E7F0000}"/>
    <cellStyle name="Normal 3 3 2 9 11" xfId="32664" xr:uid="{00000000-0005-0000-0000-00008F7F0000}"/>
    <cellStyle name="Normal 3 3 2 9 11 2" xfId="32665" xr:uid="{00000000-0005-0000-0000-0000907F0000}"/>
    <cellStyle name="Normal 3 3 2 9 11 3" xfId="32666" xr:uid="{00000000-0005-0000-0000-0000917F0000}"/>
    <cellStyle name="Normal 3 3 2 9 12" xfId="32667" xr:uid="{00000000-0005-0000-0000-0000927F0000}"/>
    <cellStyle name="Normal 3 3 2 9 12 2" xfId="32668" xr:uid="{00000000-0005-0000-0000-0000937F0000}"/>
    <cellStyle name="Normal 3 3 2 9 12 3" xfId="32669" xr:uid="{00000000-0005-0000-0000-0000947F0000}"/>
    <cellStyle name="Normal 3 3 2 9 13" xfId="32670" xr:uid="{00000000-0005-0000-0000-0000957F0000}"/>
    <cellStyle name="Normal 3 3 2 9 13 2" xfId="32671" xr:uid="{00000000-0005-0000-0000-0000967F0000}"/>
    <cellStyle name="Normal 3 3 2 9 13 3" xfId="32672" xr:uid="{00000000-0005-0000-0000-0000977F0000}"/>
    <cellStyle name="Normal 3 3 2 9 14" xfId="32673" xr:uid="{00000000-0005-0000-0000-0000987F0000}"/>
    <cellStyle name="Normal 3 3 2 9 14 2" xfId="32674" xr:uid="{00000000-0005-0000-0000-0000997F0000}"/>
    <cellStyle name="Normal 3 3 2 9 14 3" xfId="32675" xr:uid="{00000000-0005-0000-0000-00009A7F0000}"/>
    <cellStyle name="Normal 3 3 2 9 15" xfId="32676" xr:uid="{00000000-0005-0000-0000-00009B7F0000}"/>
    <cellStyle name="Normal 3 3 2 9 16" xfId="32677" xr:uid="{00000000-0005-0000-0000-00009C7F0000}"/>
    <cellStyle name="Normal 3 3 2 9 2" xfId="32678" xr:uid="{00000000-0005-0000-0000-00009D7F0000}"/>
    <cellStyle name="Normal 3 3 2 9 2 2" xfId="32679" xr:uid="{00000000-0005-0000-0000-00009E7F0000}"/>
    <cellStyle name="Normal 3 3 2 9 2 3" xfId="32680" xr:uid="{00000000-0005-0000-0000-00009F7F0000}"/>
    <cellStyle name="Normal 3 3 2 9 3" xfId="32681" xr:uid="{00000000-0005-0000-0000-0000A07F0000}"/>
    <cellStyle name="Normal 3 3 2 9 3 2" xfId="32682" xr:uid="{00000000-0005-0000-0000-0000A17F0000}"/>
    <cellStyle name="Normal 3 3 2 9 3 3" xfId="32683" xr:uid="{00000000-0005-0000-0000-0000A27F0000}"/>
    <cellStyle name="Normal 3 3 2 9 4" xfId="32684" xr:uid="{00000000-0005-0000-0000-0000A37F0000}"/>
    <cellStyle name="Normal 3 3 2 9 4 2" xfId="32685" xr:uid="{00000000-0005-0000-0000-0000A47F0000}"/>
    <cellStyle name="Normal 3 3 2 9 4 3" xfId="32686" xr:uid="{00000000-0005-0000-0000-0000A57F0000}"/>
    <cellStyle name="Normal 3 3 2 9 5" xfId="32687" xr:uid="{00000000-0005-0000-0000-0000A67F0000}"/>
    <cellStyle name="Normal 3 3 2 9 5 2" xfId="32688" xr:uid="{00000000-0005-0000-0000-0000A77F0000}"/>
    <cellStyle name="Normal 3 3 2 9 5 3" xfId="32689" xr:uid="{00000000-0005-0000-0000-0000A87F0000}"/>
    <cellStyle name="Normal 3 3 2 9 6" xfId="32690" xr:uid="{00000000-0005-0000-0000-0000A97F0000}"/>
    <cellStyle name="Normal 3 3 2 9 6 2" xfId="32691" xr:uid="{00000000-0005-0000-0000-0000AA7F0000}"/>
    <cellStyle name="Normal 3 3 2 9 6 3" xfId="32692" xr:uid="{00000000-0005-0000-0000-0000AB7F0000}"/>
    <cellStyle name="Normal 3 3 2 9 7" xfId="32693" xr:uid="{00000000-0005-0000-0000-0000AC7F0000}"/>
    <cellStyle name="Normal 3 3 2 9 7 2" xfId="32694" xr:uid="{00000000-0005-0000-0000-0000AD7F0000}"/>
    <cellStyle name="Normal 3 3 2 9 7 3" xfId="32695" xr:uid="{00000000-0005-0000-0000-0000AE7F0000}"/>
    <cellStyle name="Normal 3 3 2 9 8" xfId="32696" xr:uid="{00000000-0005-0000-0000-0000AF7F0000}"/>
    <cellStyle name="Normal 3 3 2 9 8 2" xfId="32697" xr:uid="{00000000-0005-0000-0000-0000B07F0000}"/>
    <cellStyle name="Normal 3 3 2 9 8 3" xfId="32698" xr:uid="{00000000-0005-0000-0000-0000B17F0000}"/>
    <cellStyle name="Normal 3 3 2 9 9" xfId="32699" xr:uid="{00000000-0005-0000-0000-0000B27F0000}"/>
    <cellStyle name="Normal 3 3 2 9 9 2" xfId="32700" xr:uid="{00000000-0005-0000-0000-0000B37F0000}"/>
    <cellStyle name="Normal 3 3 2 9 9 3" xfId="32701" xr:uid="{00000000-0005-0000-0000-0000B47F0000}"/>
    <cellStyle name="Normal 3 3 20" xfId="32702" xr:uid="{00000000-0005-0000-0000-0000B57F0000}"/>
    <cellStyle name="Normal 3 3 20 10" xfId="32703" xr:uid="{00000000-0005-0000-0000-0000B67F0000}"/>
    <cellStyle name="Normal 3 3 20 10 2" xfId="32704" xr:uid="{00000000-0005-0000-0000-0000B77F0000}"/>
    <cellStyle name="Normal 3 3 20 10 3" xfId="32705" xr:uid="{00000000-0005-0000-0000-0000B87F0000}"/>
    <cellStyle name="Normal 3 3 20 11" xfId="32706" xr:uid="{00000000-0005-0000-0000-0000B97F0000}"/>
    <cellStyle name="Normal 3 3 20 11 2" xfId="32707" xr:uid="{00000000-0005-0000-0000-0000BA7F0000}"/>
    <cellStyle name="Normal 3 3 20 11 3" xfId="32708" xr:uid="{00000000-0005-0000-0000-0000BB7F0000}"/>
    <cellStyle name="Normal 3 3 20 12" xfId="32709" xr:uid="{00000000-0005-0000-0000-0000BC7F0000}"/>
    <cellStyle name="Normal 3 3 20 12 2" xfId="32710" xr:uid="{00000000-0005-0000-0000-0000BD7F0000}"/>
    <cellStyle name="Normal 3 3 20 12 3" xfId="32711" xr:uid="{00000000-0005-0000-0000-0000BE7F0000}"/>
    <cellStyle name="Normal 3 3 20 13" xfId="32712" xr:uid="{00000000-0005-0000-0000-0000BF7F0000}"/>
    <cellStyle name="Normal 3 3 20 13 2" xfId="32713" xr:uid="{00000000-0005-0000-0000-0000C07F0000}"/>
    <cellStyle name="Normal 3 3 20 13 3" xfId="32714" xr:uid="{00000000-0005-0000-0000-0000C17F0000}"/>
    <cellStyle name="Normal 3 3 20 14" xfId="32715" xr:uid="{00000000-0005-0000-0000-0000C27F0000}"/>
    <cellStyle name="Normal 3 3 20 14 2" xfId="32716" xr:uid="{00000000-0005-0000-0000-0000C37F0000}"/>
    <cellStyle name="Normal 3 3 20 14 3" xfId="32717" xr:uid="{00000000-0005-0000-0000-0000C47F0000}"/>
    <cellStyle name="Normal 3 3 20 15" xfId="32718" xr:uid="{00000000-0005-0000-0000-0000C57F0000}"/>
    <cellStyle name="Normal 3 3 20 15 2" xfId="32719" xr:uid="{00000000-0005-0000-0000-0000C67F0000}"/>
    <cellStyle name="Normal 3 3 20 15 3" xfId="32720" xr:uid="{00000000-0005-0000-0000-0000C77F0000}"/>
    <cellStyle name="Normal 3 3 20 16" xfId="32721" xr:uid="{00000000-0005-0000-0000-0000C87F0000}"/>
    <cellStyle name="Normal 3 3 20 17" xfId="32722" xr:uid="{00000000-0005-0000-0000-0000C97F0000}"/>
    <cellStyle name="Normal 3 3 20 2" xfId="32723" xr:uid="{00000000-0005-0000-0000-0000CA7F0000}"/>
    <cellStyle name="Normal 3 3 20 2 10" xfId="32724" xr:uid="{00000000-0005-0000-0000-0000CB7F0000}"/>
    <cellStyle name="Normal 3 3 20 2 10 2" xfId="32725" xr:uid="{00000000-0005-0000-0000-0000CC7F0000}"/>
    <cellStyle name="Normal 3 3 20 2 10 3" xfId="32726" xr:uid="{00000000-0005-0000-0000-0000CD7F0000}"/>
    <cellStyle name="Normal 3 3 20 2 11" xfId="32727" xr:uid="{00000000-0005-0000-0000-0000CE7F0000}"/>
    <cellStyle name="Normal 3 3 20 2 11 2" xfId="32728" xr:uid="{00000000-0005-0000-0000-0000CF7F0000}"/>
    <cellStyle name="Normal 3 3 20 2 11 3" xfId="32729" xr:uid="{00000000-0005-0000-0000-0000D07F0000}"/>
    <cellStyle name="Normal 3 3 20 2 12" xfId="32730" xr:uid="{00000000-0005-0000-0000-0000D17F0000}"/>
    <cellStyle name="Normal 3 3 20 2 12 2" xfId="32731" xr:uid="{00000000-0005-0000-0000-0000D27F0000}"/>
    <cellStyle name="Normal 3 3 20 2 12 3" xfId="32732" xr:uid="{00000000-0005-0000-0000-0000D37F0000}"/>
    <cellStyle name="Normal 3 3 20 2 13" xfId="32733" xr:uid="{00000000-0005-0000-0000-0000D47F0000}"/>
    <cellStyle name="Normal 3 3 20 2 13 2" xfId="32734" xr:uid="{00000000-0005-0000-0000-0000D57F0000}"/>
    <cellStyle name="Normal 3 3 20 2 13 3" xfId="32735" xr:uid="{00000000-0005-0000-0000-0000D67F0000}"/>
    <cellStyle name="Normal 3 3 20 2 14" xfId="32736" xr:uid="{00000000-0005-0000-0000-0000D77F0000}"/>
    <cellStyle name="Normal 3 3 20 2 14 2" xfId="32737" xr:uid="{00000000-0005-0000-0000-0000D87F0000}"/>
    <cellStyle name="Normal 3 3 20 2 14 3" xfId="32738" xr:uid="{00000000-0005-0000-0000-0000D97F0000}"/>
    <cellStyle name="Normal 3 3 20 2 15" xfId="32739" xr:uid="{00000000-0005-0000-0000-0000DA7F0000}"/>
    <cellStyle name="Normal 3 3 20 2 16" xfId="32740" xr:uid="{00000000-0005-0000-0000-0000DB7F0000}"/>
    <cellStyle name="Normal 3 3 20 2 2" xfId="32741" xr:uid="{00000000-0005-0000-0000-0000DC7F0000}"/>
    <cellStyle name="Normal 3 3 20 2 2 2" xfId="32742" xr:uid="{00000000-0005-0000-0000-0000DD7F0000}"/>
    <cellStyle name="Normal 3 3 20 2 2 3" xfId="32743" xr:uid="{00000000-0005-0000-0000-0000DE7F0000}"/>
    <cellStyle name="Normal 3 3 20 2 3" xfId="32744" xr:uid="{00000000-0005-0000-0000-0000DF7F0000}"/>
    <cellStyle name="Normal 3 3 20 2 3 2" xfId="32745" xr:uid="{00000000-0005-0000-0000-0000E07F0000}"/>
    <cellStyle name="Normal 3 3 20 2 3 3" xfId="32746" xr:uid="{00000000-0005-0000-0000-0000E17F0000}"/>
    <cellStyle name="Normal 3 3 20 2 4" xfId="32747" xr:uid="{00000000-0005-0000-0000-0000E27F0000}"/>
    <cellStyle name="Normal 3 3 20 2 4 2" xfId="32748" xr:uid="{00000000-0005-0000-0000-0000E37F0000}"/>
    <cellStyle name="Normal 3 3 20 2 4 3" xfId="32749" xr:uid="{00000000-0005-0000-0000-0000E47F0000}"/>
    <cellStyle name="Normal 3 3 20 2 5" xfId="32750" xr:uid="{00000000-0005-0000-0000-0000E57F0000}"/>
    <cellStyle name="Normal 3 3 20 2 5 2" xfId="32751" xr:uid="{00000000-0005-0000-0000-0000E67F0000}"/>
    <cellStyle name="Normal 3 3 20 2 5 3" xfId="32752" xr:uid="{00000000-0005-0000-0000-0000E77F0000}"/>
    <cellStyle name="Normal 3 3 20 2 6" xfId="32753" xr:uid="{00000000-0005-0000-0000-0000E87F0000}"/>
    <cellStyle name="Normal 3 3 20 2 6 2" xfId="32754" xr:uid="{00000000-0005-0000-0000-0000E97F0000}"/>
    <cellStyle name="Normal 3 3 20 2 6 3" xfId="32755" xr:uid="{00000000-0005-0000-0000-0000EA7F0000}"/>
    <cellStyle name="Normal 3 3 20 2 7" xfId="32756" xr:uid="{00000000-0005-0000-0000-0000EB7F0000}"/>
    <cellStyle name="Normal 3 3 20 2 7 2" xfId="32757" xr:uid="{00000000-0005-0000-0000-0000EC7F0000}"/>
    <cellStyle name="Normal 3 3 20 2 7 3" xfId="32758" xr:uid="{00000000-0005-0000-0000-0000ED7F0000}"/>
    <cellStyle name="Normal 3 3 20 2 8" xfId="32759" xr:uid="{00000000-0005-0000-0000-0000EE7F0000}"/>
    <cellStyle name="Normal 3 3 20 2 8 2" xfId="32760" xr:uid="{00000000-0005-0000-0000-0000EF7F0000}"/>
    <cellStyle name="Normal 3 3 20 2 8 3" xfId="32761" xr:uid="{00000000-0005-0000-0000-0000F07F0000}"/>
    <cellStyle name="Normal 3 3 20 2 9" xfId="32762" xr:uid="{00000000-0005-0000-0000-0000F17F0000}"/>
    <cellStyle name="Normal 3 3 20 2 9 2" xfId="32763" xr:uid="{00000000-0005-0000-0000-0000F27F0000}"/>
    <cellStyle name="Normal 3 3 20 2 9 3" xfId="32764" xr:uid="{00000000-0005-0000-0000-0000F37F0000}"/>
    <cellStyle name="Normal 3 3 20 3" xfId="32765" xr:uid="{00000000-0005-0000-0000-0000F47F0000}"/>
    <cellStyle name="Normal 3 3 20 3 2" xfId="32766" xr:uid="{00000000-0005-0000-0000-0000F57F0000}"/>
    <cellStyle name="Normal 3 3 20 3 3" xfId="32767" xr:uid="{00000000-0005-0000-0000-0000F67F0000}"/>
    <cellStyle name="Normal 3 3 20 4" xfId="32768" xr:uid="{00000000-0005-0000-0000-0000F77F0000}"/>
    <cellStyle name="Normal 3 3 20 4 2" xfId="32769" xr:uid="{00000000-0005-0000-0000-0000F87F0000}"/>
    <cellStyle name="Normal 3 3 20 4 3" xfId="32770" xr:uid="{00000000-0005-0000-0000-0000F97F0000}"/>
    <cellStyle name="Normal 3 3 20 5" xfId="32771" xr:uid="{00000000-0005-0000-0000-0000FA7F0000}"/>
    <cellStyle name="Normal 3 3 20 5 2" xfId="32772" xr:uid="{00000000-0005-0000-0000-0000FB7F0000}"/>
    <cellStyle name="Normal 3 3 20 5 3" xfId="32773" xr:uid="{00000000-0005-0000-0000-0000FC7F0000}"/>
    <cellStyle name="Normal 3 3 20 6" xfId="32774" xr:uid="{00000000-0005-0000-0000-0000FD7F0000}"/>
    <cellStyle name="Normal 3 3 20 6 2" xfId="32775" xr:uid="{00000000-0005-0000-0000-0000FE7F0000}"/>
    <cellStyle name="Normal 3 3 20 6 3" xfId="32776" xr:uid="{00000000-0005-0000-0000-0000FF7F0000}"/>
    <cellStyle name="Normal 3 3 20 7" xfId="32777" xr:uid="{00000000-0005-0000-0000-000000800000}"/>
    <cellStyle name="Normal 3 3 20 7 2" xfId="32778" xr:uid="{00000000-0005-0000-0000-000001800000}"/>
    <cellStyle name="Normal 3 3 20 7 3" xfId="32779" xr:uid="{00000000-0005-0000-0000-000002800000}"/>
    <cellStyle name="Normal 3 3 20 8" xfId="32780" xr:uid="{00000000-0005-0000-0000-000003800000}"/>
    <cellStyle name="Normal 3 3 20 8 2" xfId="32781" xr:uid="{00000000-0005-0000-0000-000004800000}"/>
    <cellStyle name="Normal 3 3 20 8 3" xfId="32782" xr:uid="{00000000-0005-0000-0000-000005800000}"/>
    <cellStyle name="Normal 3 3 20 9" xfId="32783" xr:uid="{00000000-0005-0000-0000-000006800000}"/>
    <cellStyle name="Normal 3 3 20 9 2" xfId="32784" xr:uid="{00000000-0005-0000-0000-000007800000}"/>
    <cellStyle name="Normal 3 3 20 9 3" xfId="32785" xr:uid="{00000000-0005-0000-0000-000008800000}"/>
    <cellStyle name="Normal 3 3 21" xfId="32786" xr:uid="{00000000-0005-0000-0000-000009800000}"/>
    <cellStyle name="Normal 3 3 21 10" xfId="32787" xr:uid="{00000000-0005-0000-0000-00000A800000}"/>
    <cellStyle name="Normal 3 3 21 10 2" xfId="32788" xr:uid="{00000000-0005-0000-0000-00000B800000}"/>
    <cellStyle name="Normal 3 3 21 10 3" xfId="32789" xr:uid="{00000000-0005-0000-0000-00000C800000}"/>
    <cellStyle name="Normal 3 3 21 11" xfId="32790" xr:uid="{00000000-0005-0000-0000-00000D800000}"/>
    <cellStyle name="Normal 3 3 21 11 2" xfId="32791" xr:uid="{00000000-0005-0000-0000-00000E800000}"/>
    <cellStyle name="Normal 3 3 21 11 3" xfId="32792" xr:uid="{00000000-0005-0000-0000-00000F800000}"/>
    <cellStyle name="Normal 3 3 21 12" xfId="32793" xr:uid="{00000000-0005-0000-0000-000010800000}"/>
    <cellStyle name="Normal 3 3 21 12 2" xfId="32794" xr:uid="{00000000-0005-0000-0000-000011800000}"/>
    <cellStyle name="Normal 3 3 21 12 3" xfId="32795" xr:uid="{00000000-0005-0000-0000-000012800000}"/>
    <cellStyle name="Normal 3 3 21 13" xfId="32796" xr:uid="{00000000-0005-0000-0000-000013800000}"/>
    <cellStyle name="Normal 3 3 21 13 2" xfId="32797" xr:uid="{00000000-0005-0000-0000-000014800000}"/>
    <cellStyle name="Normal 3 3 21 13 3" xfId="32798" xr:uid="{00000000-0005-0000-0000-000015800000}"/>
    <cellStyle name="Normal 3 3 21 14" xfId="32799" xr:uid="{00000000-0005-0000-0000-000016800000}"/>
    <cellStyle name="Normal 3 3 21 14 2" xfId="32800" xr:uid="{00000000-0005-0000-0000-000017800000}"/>
    <cellStyle name="Normal 3 3 21 14 3" xfId="32801" xr:uid="{00000000-0005-0000-0000-000018800000}"/>
    <cellStyle name="Normal 3 3 21 15" xfId="32802" xr:uid="{00000000-0005-0000-0000-000019800000}"/>
    <cellStyle name="Normal 3 3 21 15 2" xfId="32803" xr:uid="{00000000-0005-0000-0000-00001A800000}"/>
    <cellStyle name="Normal 3 3 21 15 3" xfId="32804" xr:uid="{00000000-0005-0000-0000-00001B800000}"/>
    <cellStyle name="Normal 3 3 21 16" xfId="32805" xr:uid="{00000000-0005-0000-0000-00001C800000}"/>
    <cellStyle name="Normal 3 3 21 17" xfId="32806" xr:uid="{00000000-0005-0000-0000-00001D800000}"/>
    <cellStyle name="Normal 3 3 21 2" xfId="32807" xr:uid="{00000000-0005-0000-0000-00001E800000}"/>
    <cellStyle name="Normal 3 3 21 2 10" xfId="32808" xr:uid="{00000000-0005-0000-0000-00001F800000}"/>
    <cellStyle name="Normal 3 3 21 2 10 2" xfId="32809" xr:uid="{00000000-0005-0000-0000-000020800000}"/>
    <cellStyle name="Normal 3 3 21 2 10 3" xfId="32810" xr:uid="{00000000-0005-0000-0000-000021800000}"/>
    <cellStyle name="Normal 3 3 21 2 11" xfId="32811" xr:uid="{00000000-0005-0000-0000-000022800000}"/>
    <cellStyle name="Normal 3 3 21 2 11 2" xfId="32812" xr:uid="{00000000-0005-0000-0000-000023800000}"/>
    <cellStyle name="Normal 3 3 21 2 11 3" xfId="32813" xr:uid="{00000000-0005-0000-0000-000024800000}"/>
    <cellStyle name="Normal 3 3 21 2 12" xfId="32814" xr:uid="{00000000-0005-0000-0000-000025800000}"/>
    <cellStyle name="Normal 3 3 21 2 12 2" xfId="32815" xr:uid="{00000000-0005-0000-0000-000026800000}"/>
    <cellStyle name="Normal 3 3 21 2 12 3" xfId="32816" xr:uid="{00000000-0005-0000-0000-000027800000}"/>
    <cellStyle name="Normal 3 3 21 2 13" xfId="32817" xr:uid="{00000000-0005-0000-0000-000028800000}"/>
    <cellStyle name="Normal 3 3 21 2 13 2" xfId="32818" xr:uid="{00000000-0005-0000-0000-000029800000}"/>
    <cellStyle name="Normal 3 3 21 2 13 3" xfId="32819" xr:uid="{00000000-0005-0000-0000-00002A800000}"/>
    <cellStyle name="Normal 3 3 21 2 14" xfId="32820" xr:uid="{00000000-0005-0000-0000-00002B800000}"/>
    <cellStyle name="Normal 3 3 21 2 14 2" xfId="32821" xr:uid="{00000000-0005-0000-0000-00002C800000}"/>
    <cellStyle name="Normal 3 3 21 2 14 3" xfId="32822" xr:uid="{00000000-0005-0000-0000-00002D800000}"/>
    <cellStyle name="Normal 3 3 21 2 15" xfId="32823" xr:uid="{00000000-0005-0000-0000-00002E800000}"/>
    <cellStyle name="Normal 3 3 21 2 16" xfId="32824" xr:uid="{00000000-0005-0000-0000-00002F800000}"/>
    <cellStyle name="Normal 3 3 21 2 2" xfId="32825" xr:uid="{00000000-0005-0000-0000-000030800000}"/>
    <cellStyle name="Normal 3 3 21 2 2 2" xfId="32826" xr:uid="{00000000-0005-0000-0000-000031800000}"/>
    <cellStyle name="Normal 3 3 21 2 2 3" xfId="32827" xr:uid="{00000000-0005-0000-0000-000032800000}"/>
    <cellStyle name="Normal 3 3 21 2 3" xfId="32828" xr:uid="{00000000-0005-0000-0000-000033800000}"/>
    <cellStyle name="Normal 3 3 21 2 3 2" xfId="32829" xr:uid="{00000000-0005-0000-0000-000034800000}"/>
    <cellStyle name="Normal 3 3 21 2 3 3" xfId="32830" xr:uid="{00000000-0005-0000-0000-000035800000}"/>
    <cellStyle name="Normal 3 3 21 2 4" xfId="32831" xr:uid="{00000000-0005-0000-0000-000036800000}"/>
    <cellStyle name="Normal 3 3 21 2 4 2" xfId="32832" xr:uid="{00000000-0005-0000-0000-000037800000}"/>
    <cellStyle name="Normal 3 3 21 2 4 3" xfId="32833" xr:uid="{00000000-0005-0000-0000-000038800000}"/>
    <cellStyle name="Normal 3 3 21 2 5" xfId="32834" xr:uid="{00000000-0005-0000-0000-000039800000}"/>
    <cellStyle name="Normal 3 3 21 2 5 2" xfId="32835" xr:uid="{00000000-0005-0000-0000-00003A800000}"/>
    <cellStyle name="Normal 3 3 21 2 5 3" xfId="32836" xr:uid="{00000000-0005-0000-0000-00003B800000}"/>
    <cellStyle name="Normal 3 3 21 2 6" xfId="32837" xr:uid="{00000000-0005-0000-0000-00003C800000}"/>
    <cellStyle name="Normal 3 3 21 2 6 2" xfId="32838" xr:uid="{00000000-0005-0000-0000-00003D800000}"/>
    <cellStyle name="Normal 3 3 21 2 6 3" xfId="32839" xr:uid="{00000000-0005-0000-0000-00003E800000}"/>
    <cellStyle name="Normal 3 3 21 2 7" xfId="32840" xr:uid="{00000000-0005-0000-0000-00003F800000}"/>
    <cellStyle name="Normal 3 3 21 2 7 2" xfId="32841" xr:uid="{00000000-0005-0000-0000-000040800000}"/>
    <cellStyle name="Normal 3 3 21 2 7 3" xfId="32842" xr:uid="{00000000-0005-0000-0000-000041800000}"/>
    <cellStyle name="Normal 3 3 21 2 8" xfId="32843" xr:uid="{00000000-0005-0000-0000-000042800000}"/>
    <cellStyle name="Normal 3 3 21 2 8 2" xfId="32844" xr:uid="{00000000-0005-0000-0000-000043800000}"/>
    <cellStyle name="Normal 3 3 21 2 8 3" xfId="32845" xr:uid="{00000000-0005-0000-0000-000044800000}"/>
    <cellStyle name="Normal 3 3 21 2 9" xfId="32846" xr:uid="{00000000-0005-0000-0000-000045800000}"/>
    <cellStyle name="Normal 3 3 21 2 9 2" xfId="32847" xr:uid="{00000000-0005-0000-0000-000046800000}"/>
    <cellStyle name="Normal 3 3 21 2 9 3" xfId="32848" xr:uid="{00000000-0005-0000-0000-000047800000}"/>
    <cellStyle name="Normal 3 3 21 3" xfId="32849" xr:uid="{00000000-0005-0000-0000-000048800000}"/>
    <cellStyle name="Normal 3 3 21 3 2" xfId="32850" xr:uid="{00000000-0005-0000-0000-000049800000}"/>
    <cellStyle name="Normal 3 3 21 3 3" xfId="32851" xr:uid="{00000000-0005-0000-0000-00004A800000}"/>
    <cellStyle name="Normal 3 3 21 4" xfId="32852" xr:uid="{00000000-0005-0000-0000-00004B800000}"/>
    <cellStyle name="Normal 3 3 21 4 2" xfId="32853" xr:uid="{00000000-0005-0000-0000-00004C800000}"/>
    <cellStyle name="Normal 3 3 21 4 3" xfId="32854" xr:uid="{00000000-0005-0000-0000-00004D800000}"/>
    <cellStyle name="Normal 3 3 21 5" xfId="32855" xr:uid="{00000000-0005-0000-0000-00004E800000}"/>
    <cellStyle name="Normal 3 3 21 5 2" xfId="32856" xr:uid="{00000000-0005-0000-0000-00004F800000}"/>
    <cellStyle name="Normal 3 3 21 5 3" xfId="32857" xr:uid="{00000000-0005-0000-0000-000050800000}"/>
    <cellStyle name="Normal 3 3 21 6" xfId="32858" xr:uid="{00000000-0005-0000-0000-000051800000}"/>
    <cellStyle name="Normal 3 3 21 6 2" xfId="32859" xr:uid="{00000000-0005-0000-0000-000052800000}"/>
    <cellStyle name="Normal 3 3 21 6 3" xfId="32860" xr:uid="{00000000-0005-0000-0000-000053800000}"/>
    <cellStyle name="Normal 3 3 21 7" xfId="32861" xr:uid="{00000000-0005-0000-0000-000054800000}"/>
    <cellStyle name="Normal 3 3 21 7 2" xfId="32862" xr:uid="{00000000-0005-0000-0000-000055800000}"/>
    <cellStyle name="Normal 3 3 21 7 3" xfId="32863" xr:uid="{00000000-0005-0000-0000-000056800000}"/>
    <cellStyle name="Normal 3 3 21 8" xfId="32864" xr:uid="{00000000-0005-0000-0000-000057800000}"/>
    <cellStyle name="Normal 3 3 21 8 2" xfId="32865" xr:uid="{00000000-0005-0000-0000-000058800000}"/>
    <cellStyle name="Normal 3 3 21 8 3" xfId="32866" xr:uid="{00000000-0005-0000-0000-000059800000}"/>
    <cellStyle name="Normal 3 3 21 9" xfId="32867" xr:uid="{00000000-0005-0000-0000-00005A800000}"/>
    <cellStyle name="Normal 3 3 21 9 2" xfId="32868" xr:uid="{00000000-0005-0000-0000-00005B800000}"/>
    <cellStyle name="Normal 3 3 21 9 3" xfId="32869" xr:uid="{00000000-0005-0000-0000-00005C800000}"/>
    <cellStyle name="Normal 3 3 22" xfId="32870" xr:uid="{00000000-0005-0000-0000-00005D800000}"/>
    <cellStyle name="Normal 3 3 22 10" xfId="32871" xr:uid="{00000000-0005-0000-0000-00005E800000}"/>
    <cellStyle name="Normal 3 3 22 10 2" xfId="32872" xr:uid="{00000000-0005-0000-0000-00005F800000}"/>
    <cellStyle name="Normal 3 3 22 10 3" xfId="32873" xr:uid="{00000000-0005-0000-0000-000060800000}"/>
    <cellStyle name="Normal 3 3 22 11" xfId="32874" xr:uid="{00000000-0005-0000-0000-000061800000}"/>
    <cellStyle name="Normal 3 3 22 11 2" xfId="32875" xr:uid="{00000000-0005-0000-0000-000062800000}"/>
    <cellStyle name="Normal 3 3 22 11 3" xfId="32876" xr:uid="{00000000-0005-0000-0000-000063800000}"/>
    <cellStyle name="Normal 3 3 22 12" xfId="32877" xr:uid="{00000000-0005-0000-0000-000064800000}"/>
    <cellStyle name="Normal 3 3 22 12 2" xfId="32878" xr:uid="{00000000-0005-0000-0000-000065800000}"/>
    <cellStyle name="Normal 3 3 22 12 3" xfId="32879" xr:uid="{00000000-0005-0000-0000-000066800000}"/>
    <cellStyle name="Normal 3 3 22 13" xfId="32880" xr:uid="{00000000-0005-0000-0000-000067800000}"/>
    <cellStyle name="Normal 3 3 22 13 2" xfId="32881" xr:uid="{00000000-0005-0000-0000-000068800000}"/>
    <cellStyle name="Normal 3 3 22 13 3" xfId="32882" xr:uid="{00000000-0005-0000-0000-000069800000}"/>
    <cellStyle name="Normal 3 3 22 14" xfId="32883" xr:uid="{00000000-0005-0000-0000-00006A800000}"/>
    <cellStyle name="Normal 3 3 22 14 2" xfId="32884" xr:uid="{00000000-0005-0000-0000-00006B800000}"/>
    <cellStyle name="Normal 3 3 22 14 3" xfId="32885" xr:uid="{00000000-0005-0000-0000-00006C800000}"/>
    <cellStyle name="Normal 3 3 22 15" xfId="32886" xr:uid="{00000000-0005-0000-0000-00006D800000}"/>
    <cellStyle name="Normal 3 3 22 16" xfId="32887" xr:uid="{00000000-0005-0000-0000-00006E800000}"/>
    <cellStyle name="Normal 3 3 22 2" xfId="32888" xr:uid="{00000000-0005-0000-0000-00006F800000}"/>
    <cellStyle name="Normal 3 3 22 2 2" xfId="32889" xr:uid="{00000000-0005-0000-0000-000070800000}"/>
    <cellStyle name="Normal 3 3 22 2 3" xfId="32890" xr:uid="{00000000-0005-0000-0000-000071800000}"/>
    <cellStyle name="Normal 3 3 22 3" xfId="32891" xr:uid="{00000000-0005-0000-0000-000072800000}"/>
    <cellStyle name="Normal 3 3 22 3 2" xfId="32892" xr:uid="{00000000-0005-0000-0000-000073800000}"/>
    <cellStyle name="Normal 3 3 22 3 3" xfId="32893" xr:uid="{00000000-0005-0000-0000-000074800000}"/>
    <cellStyle name="Normal 3 3 22 4" xfId="32894" xr:uid="{00000000-0005-0000-0000-000075800000}"/>
    <cellStyle name="Normal 3 3 22 4 2" xfId="32895" xr:uid="{00000000-0005-0000-0000-000076800000}"/>
    <cellStyle name="Normal 3 3 22 4 3" xfId="32896" xr:uid="{00000000-0005-0000-0000-000077800000}"/>
    <cellStyle name="Normal 3 3 22 5" xfId="32897" xr:uid="{00000000-0005-0000-0000-000078800000}"/>
    <cellStyle name="Normal 3 3 22 5 2" xfId="32898" xr:uid="{00000000-0005-0000-0000-000079800000}"/>
    <cellStyle name="Normal 3 3 22 5 3" xfId="32899" xr:uid="{00000000-0005-0000-0000-00007A800000}"/>
    <cellStyle name="Normal 3 3 22 6" xfId="32900" xr:uid="{00000000-0005-0000-0000-00007B800000}"/>
    <cellStyle name="Normal 3 3 22 6 2" xfId="32901" xr:uid="{00000000-0005-0000-0000-00007C800000}"/>
    <cellStyle name="Normal 3 3 22 6 3" xfId="32902" xr:uid="{00000000-0005-0000-0000-00007D800000}"/>
    <cellStyle name="Normal 3 3 22 7" xfId="32903" xr:uid="{00000000-0005-0000-0000-00007E800000}"/>
    <cellStyle name="Normal 3 3 22 7 2" xfId="32904" xr:uid="{00000000-0005-0000-0000-00007F800000}"/>
    <cellStyle name="Normal 3 3 22 7 3" xfId="32905" xr:uid="{00000000-0005-0000-0000-000080800000}"/>
    <cellStyle name="Normal 3 3 22 8" xfId="32906" xr:uid="{00000000-0005-0000-0000-000081800000}"/>
    <cellStyle name="Normal 3 3 22 8 2" xfId="32907" xr:uid="{00000000-0005-0000-0000-000082800000}"/>
    <cellStyle name="Normal 3 3 22 8 3" xfId="32908" xr:uid="{00000000-0005-0000-0000-000083800000}"/>
    <cellStyle name="Normal 3 3 22 9" xfId="32909" xr:uid="{00000000-0005-0000-0000-000084800000}"/>
    <cellStyle name="Normal 3 3 22 9 2" xfId="32910" xr:uid="{00000000-0005-0000-0000-000085800000}"/>
    <cellStyle name="Normal 3 3 22 9 3" xfId="32911" xr:uid="{00000000-0005-0000-0000-000086800000}"/>
    <cellStyle name="Normal 3 3 23" xfId="32912" xr:uid="{00000000-0005-0000-0000-000087800000}"/>
    <cellStyle name="Normal 3 3 23 10" xfId="32913" xr:uid="{00000000-0005-0000-0000-000088800000}"/>
    <cellStyle name="Normal 3 3 23 10 2" xfId="32914" xr:uid="{00000000-0005-0000-0000-000089800000}"/>
    <cellStyle name="Normal 3 3 23 10 3" xfId="32915" xr:uid="{00000000-0005-0000-0000-00008A800000}"/>
    <cellStyle name="Normal 3 3 23 11" xfId="32916" xr:uid="{00000000-0005-0000-0000-00008B800000}"/>
    <cellStyle name="Normal 3 3 23 11 2" xfId="32917" xr:uid="{00000000-0005-0000-0000-00008C800000}"/>
    <cellStyle name="Normal 3 3 23 11 3" xfId="32918" xr:uid="{00000000-0005-0000-0000-00008D800000}"/>
    <cellStyle name="Normal 3 3 23 12" xfId="32919" xr:uid="{00000000-0005-0000-0000-00008E800000}"/>
    <cellStyle name="Normal 3 3 23 12 2" xfId="32920" xr:uid="{00000000-0005-0000-0000-00008F800000}"/>
    <cellStyle name="Normal 3 3 23 12 3" xfId="32921" xr:uid="{00000000-0005-0000-0000-000090800000}"/>
    <cellStyle name="Normal 3 3 23 13" xfId="32922" xr:uid="{00000000-0005-0000-0000-000091800000}"/>
    <cellStyle name="Normal 3 3 23 13 2" xfId="32923" xr:uid="{00000000-0005-0000-0000-000092800000}"/>
    <cellStyle name="Normal 3 3 23 13 3" xfId="32924" xr:uid="{00000000-0005-0000-0000-000093800000}"/>
    <cellStyle name="Normal 3 3 23 14" xfId="32925" xr:uid="{00000000-0005-0000-0000-000094800000}"/>
    <cellStyle name="Normal 3 3 23 14 2" xfId="32926" xr:uid="{00000000-0005-0000-0000-000095800000}"/>
    <cellStyle name="Normal 3 3 23 14 3" xfId="32927" xr:uid="{00000000-0005-0000-0000-000096800000}"/>
    <cellStyle name="Normal 3 3 23 15" xfId="32928" xr:uid="{00000000-0005-0000-0000-000097800000}"/>
    <cellStyle name="Normal 3 3 23 16" xfId="32929" xr:uid="{00000000-0005-0000-0000-000098800000}"/>
    <cellStyle name="Normal 3 3 23 2" xfId="32930" xr:uid="{00000000-0005-0000-0000-000099800000}"/>
    <cellStyle name="Normal 3 3 23 2 2" xfId="32931" xr:uid="{00000000-0005-0000-0000-00009A800000}"/>
    <cellStyle name="Normal 3 3 23 2 3" xfId="32932" xr:uid="{00000000-0005-0000-0000-00009B800000}"/>
    <cellStyle name="Normal 3 3 23 3" xfId="32933" xr:uid="{00000000-0005-0000-0000-00009C800000}"/>
    <cellStyle name="Normal 3 3 23 3 2" xfId="32934" xr:uid="{00000000-0005-0000-0000-00009D800000}"/>
    <cellStyle name="Normal 3 3 23 3 3" xfId="32935" xr:uid="{00000000-0005-0000-0000-00009E800000}"/>
    <cellStyle name="Normal 3 3 23 4" xfId="32936" xr:uid="{00000000-0005-0000-0000-00009F800000}"/>
    <cellStyle name="Normal 3 3 23 4 2" xfId="32937" xr:uid="{00000000-0005-0000-0000-0000A0800000}"/>
    <cellStyle name="Normal 3 3 23 4 3" xfId="32938" xr:uid="{00000000-0005-0000-0000-0000A1800000}"/>
    <cellStyle name="Normal 3 3 23 5" xfId="32939" xr:uid="{00000000-0005-0000-0000-0000A2800000}"/>
    <cellStyle name="Normal 3 3 23 5 2" xfId="32940" xr:uid="{00000000-0005-0000-0000-0000A3800000}"/>
    <cellStyle name="Normal 3 3 23 5 3" xfId="32941" xr:uid="{00000000-0005-0000-0000-0000A4800000}"/>
    <cellStyle name="Normal 3 3 23 6" xfId="32942" xr:uid="{00000000-0005-0000-0000-0000A5800000}"/>
    <cellStyle name="Normal 3 3 23 6 2" xfId="32943" xr:uid="{00000000-0005-0000-0000-0000A6800000}"/>
    <cellStyle name="Normal 3 3 23 6 3" xfId="32944" xr:uid="{00000000-0005-0000-0000-0000A7800000}"/>
    <cellStyle name="Normal 3 3 23 7" xfId="32945" xr:uid="{00000000-0005-0000-0000-0000A8800000}"/>
    <cellStyle name="Normal 3 3 23 7 2" xfId="32946" xr:uid="{00000000-0005-0000-0000-0000A9800000}"/>
    <cellStyle name="Normal 3 3 23 7 3" xfId="32947" xr:uid="{00000000-0005-0000-0000-0000AA800000}"/>
    <cellStyle name="Normal 3 3 23 8" xfId="32948" xr:uid="{00000000-0005-0000-0000-0000AB800000}"/>
    <cellStyle name="Normal 3 3 23 8 2" xfId="32949" xr:uid="{00000000-0005-0000-0000-0000AC800000}"/>
    <cellStyle name="Normal 3 3 23 8 3" xfId="32950" xr:uid="{00000000-0005-0000-0000-0000AD800000}"/>
    <cellStyle name="Normal 3 3 23 9" xfId="32951" xr:uid="{00000000-0005-0000-0000-0000AE800000}"/>
    <cellStyle name="Normal 3 3 23 9 2" xfId="32952" xr:uid="{00000000-0005-0000-0000-0000AF800000}"/>
    <cellStyle name="Normal 3 3 23 9 3" xfId="32953" xr:uid="{00000000-0005-0000-0000-0000B0800000}"/>
    <cellStyle name="Normal 3 3 24" xfId="32954" xr:uid="{00000000-0005-0000-0000-0000B1800000}"/>
    <cellStyle name="Normal 3 3 24 10" xfId="32955" xr:uid="{00000000-0005-0000-0000-0000B2800000}"/>
    <cellStyle name="Normal 3 3 24 10 2" xfId="32956" xr:uid="{00000000-0005-0000-0000-0000B3800000}"/>
    <cellStyle name="Normal 3 3 24 10 3" xfId="32957" xr:uid="{00000000-0005-0000-0000-0000B4800000}"/>
    <cellStyle name="Normal 3 3 24 11" xfId="32958" xr:uid="{00000000-0005-0000-0000-0000B5800000}"/>
    <cellStyle name="Normal 3 3 24 11 2" xfId="32959" xr:uid="{00000000-0005-0000-0000-0000B6800000}"/>
    <cellStyle name="Normal 3 3 24 11 3" xfId="32960" xr:uid="{00000000-0005-0000-0000-0000B7800000}"/>
    <cellStyle name="Normal 3 3 24 12" xfId="32961" xr:uid="{00000000-0005-0000-0000-0000B8800000}"/>
    <cellStyle name="Normal 3 3 24 12 2" xfId="32962" xr:uid="{00000000-0005-0000-0000-0000B9800000}"/>
    <cellStyle name="Normal 3 3 24 12 3" xfId="32963" xr:uid="{00000000-0005-0000-0000-0000BA800000}"/>
    <cellStyle name="Normal 3 3 24 13" xfId="32964" xr:uid="{00000000-0005-0000-0000-0000BB800000}"/>
    <cellStyle name="Normal 3 3 24 13 2" xfId="32965" xr:uid="{00000000-0005-0000-0000-0000BC800000}"/>
    <cellStyle name="Normal 3 3 24 13 3" xfId="32966" xr:uid="{00000000-0005-0000-0000-0000BD800000}"/>
    <cellStyle name="Normal 3 3 24 14" xfId="32967" xr:uid="{00000000-0005-0000-0000-0000BE800000}"/>
    <cellStyle name="Normal 3 3 24 14 2" xfId="32968" xr:uid="{00000000-0005-0000-0000-0000BF800000}"/>
    <cellStyle name="Normal 3 3 24 14 3" xfId="32969" xr:uid="{00000000-0005-0000-0000-0000C0800000}"/>
    <cellStyle name="Normal 3 3 24 15" xfId="32970" xr:uid="{00000000-0005-0000-0000-0000C1800000}"/>
    <cellStyle name="Normal 3 3 24 16" xfId="32971" xr:uid="{00000000-0005-0000-0000-0000C2800000}"/>
    <cellStyle name="Normal 3 3 24 2" xfId="32972" xr:uid="{00000000-0005-0000-0000-0000C3800000}"/>
    <cellStyle name="Normal 3 3 24 2 2" xfId="32973" xr:uid="{00000000-0005-0000-0000-0000C4800000}"/>
    <cellStyle name="Normal 3 3 24 2 3" xfId="32974" xr:uid="{00000000-0005-0000-0000-0000C5800000}"/>
    <cellStyle name="Normal 3 3 24 3" xfId="32975" xr:uid="{00000000-0005-0000-0000-0000C6800000}"/>
    <cellStyle name="Normal 3 3 24 3 2" xfId="32976" xr:uid="{00000000-0005-0000-0000-0000C7800000}"/>
    <cellStyle name="Normal 3 3 24 3 3" xfId="32977" xr:uid="{00000000-0005-0000-0000-0000C8800000}"/>
    <cellStyle name="Normal 3 3 24 4" xfId="32978" xr:uid="{00000000-0005-0000-0000-0000C9800000}"/>
    <cellStyle name="Normal 3 3 24 4 2" xfId="32979" xr:uid="{00000000-0005-0000-0000-0000CA800000}"/>
    <cellStyle name="Normal 3 3 24 4 3" xfId="32980" xr:uid="{00000000-0005-0000-0000-0000CB800000}"/>
    <cellStyle name="Normal 3 3 24 5" xfId="32981" xr:uid="{00000000-0005-0000-0000-0000CC800000}"/>
    <cellStyle name="Normal 3 3 24 5 2" xfId="32982" xr:uid="{00000000-0005-0000-0000-0000CD800000}"/>
    <cellStyle name="Normal 3 3 24 5 3" xfId="32983" xr:uid="{00000000-0005-0000-0000-0000CE800000}"/>
    <cellStyle name="Normal 3 3 24 6" xfId="32984" xr:uid="{00000000-0005-0000-0000-0000CF800000}"/>
    <cellStyle name="Normal 3 3 24 6 2" xfId="32985" xr:uid="{00000000-0005-0000-0000-0000D0800000}"/>
    <cellStyle name="Normal 3 3 24 6 3" xfId="32986" xr:uid="{00000000-0005-0000-0000-0000D1800000}"/>
    <cellStyle name="Normal 3 3 24 7" xfId="32987" xr:uid="{00000000-0005-0000-0000-0000D2800000}"/>
    <cellStyle name="Normal 3 3 24 7 2" xfId="32988" xr:uid="{00000000-0005-0000-0000-0000D3800000}"/>
    <cellStyle name="Normal 3 3 24 7 3" xfId="32989" xr:uid="{00000000-0005-0000-0000-0000D4800000}"/>
    <cellStyle name="Normal 3 3 24 8" xfId="32990" xr:uid="{00000000-0005-0000-0000-0000D5800000}"/>
    <cellStyle name="Normal 3 3 24 8 2" xfId="32991" xr:uid="{00000000-0005-0000-0000-0000D6800000}"/>
    <cellStyle name="Normal 3 3 24 8 3" xfId="32992" xr:uid="{00000000-0005-0000-0000-0000D7800000}"/>
    <cellStyle name="Normal 3 3 24 9" xfId="32993" xr:uid="{00000000-0005-0000-0000-0000D8800000}"/>
    <cellStyle name="Normal 3 3 24 9 2" xfId="32994" xr:uid="{00000000-0005-0000-0000-0000D9800000}"/>
    <cellStyle name="Normal 3 3 24 9 3" xfId="32995" xr:uid="{00000000-0005-0000-0000-0000DA800000}"/>
    <cellStyle name="Normal 3 3 25" xfId="32996" xr:uid="{00000000-0005-0000-0000-0000DB800000}"/>
    <cellStyle name="Normal 3 3 25 10" xfId="32997" xr:uid="{00000000-0005-0000-0000-0000DC800000}"/>
    <cellStyle name="Normal 3 3 25 10 2" xfId="32998" xr:uid="{00000000-0005-0000-0000-0000DD800000}"/>
    <cellStyle name="Normal 3 3 25 10 3" xfId="32999" xr:uid="{00000000-0005-0000-0000-0000DE800000}"/>
    <cellStyle name="Normal 3 3 25 11" xfId="33000" xr:uid="{00000000-0005-0000-0000-0000DF800000}"/>
    <cellStyle name="Normal 3 3 25 11 2" xfId="33001" xr:uid="{00000000-0005-0000-0000-0000E0800000}"/>
    <cellStyle name="Normal 3 3 25 11 3" xfId="33002" xr:uid="{00000000-0005-0000-0000-0000E1800000}"/>
    <cellStyle name="Normal 3 3 25 12" xfId="33003" xr:uid="{00000000-0005-0000-0000-0000E2800000}"/>
    <cellStyle name="Normal 3 3 25 12 2" xfId="33004" xr:uid="{00000000-0005-0000-0000-0000E3800000}"/>
    <cellStyle name="Normal 3 3 25 12 3" xfId="33005" xr:uid="{00000000-0005-0000-0000-0000E4800000}"/>
    <cellStyle name="Normal 3 3 25 13" xfId="33006" xr:uid="{00000000-0005-0000-0000-0000E5800000}"/>
    <cellStyle name="Normal 3 3 25 13 2" xfId="33007" xr:uid="{00000000-0005-0000-0000-0000E6800000}"/>
    <cellStyle name="Normal 3 3 25 13 3" xfId="33008" xr:uid="{00000000-0005-0000-0000-0000E7800000}"/>
    <cellStyle name="Normal 3 3 25 14" xfId="33009" xr:uid="{00000000-0005-0000-0000-0000E8800000}"/>
    <cellStyle name="Normal 3 3 25 14 2" xfId="33010" xr:uid="{00000000-0005-0000-0000-0000E9800000}"/>
    <cellStyle name="Normal 3 3 25 14 3" xfId="33011" xr:uid="{00000000-0005-0000-0000-0000EA800000}"/>
    <cellStyle name="Normal 3 3 25 15" xfId="33012" xr:uid="{00000000-0005-0000-0000-0000EB800000}"/>
    <cellStyle name="Normal 3 3 25 16" xfId="33013" xr:uid="{00000000-0005-0000-0000-0000EC800000}"/>
    <cellStyle name="Normal 3 3 25 2" xfId="33014" xr:uid="{00000000-0005-0000-0000-0000ED800000}"/>
    <cellStyle name="Normal 3 3 25 2 2" xfId="33015" xr:uid="{00000000-0005-0000-0000-0000EE800000}"/>
    <cellStyle name="Normal 3 3 25 2 3" xfId="33016" xr:uid="{00000000-0005-0000-0000-0000EF800000}"/>
    <cellStyle name="Normal 3 3 25 3" xfId="33017" xr:uid="{00000000-0005-0000-0000-0000F0800000}"/>
    <cellStyle name="Normal 3 3 25 3 2" xfId="33018" xr:uid="{00000000-0005-0000-0000-0000F1800000}"/>
    <cellStyle name="Normal 3 3 25 3 3" xfId="33019" xr:uid="{00000000-0005-0000-0000-0000F2800000}"/>
    <cellStyle name="Normal 3 3 25 4" xfId="33020" xr:uid="{00000000-0005-0000-0000-0000F3800000}"/>
    <cellStyle name="Normal 3 3 25 4 2" xfId="33021" xr:uid="{00000000-0005-0000-0000-0000F4800000}"/>
    <cellStyle name="Normal 3 3 25 4 3" xfId="33022" xr:uid="{00000000-0005-0000-0000-0000F5800000}"/>
    <cellStyle name="Normal 3 3 25 5" xfId="33023" xr:uid="{00000000-0005-0000-0000-0000F6800000}"/>
    <cellStyle name="Normal 3 3 25 5 2" xfId="33024" xr:uid="{00000000-0005-0000-0000-0000F7800000}"/>
    <cellStyle name="Normal 3 3 25 5 3" xfId="33025" xr:uid="{00000000-0005-0000-0000-0000F8800000}"/>
    <cellStyle name="Normal 3 3 25 6" xfId="33026" xr:uid="{00000000-0005-0000-0000-0000F9800000}"/>
    <cellStyle name="Normal 3 3 25 6 2" xfId="33027" xr:uid="{00000000-0005-0000-0000-0000FA800000}"/>
    <cellStyle name="Normal 3 3 25 6 3" xfId="33028" xr:uid="{00000000-0005-0000-0000-0000FB800000}"/>
    <cellStyle name="Normal 3 3 25 7" xfId="33029" xr:uid="{00000000-0005-0000-0000-0000FC800000}"/>
    <cellStyle name="Normal 3 3 25 7 2" xfId="33030" xr:uid="{00000000-0005-0000-0000-0000FD800000}"/>
    <cellStyle name="Normal 3 3 25 7 3" xfId="33031" xr:uid="{00000000-0005-0000-0000-0000FE800000}"/>
    <cellStyle name="Normal 3 3 25 8" xfId="33032" xr:uid="{00000000-0005-0000-0000-0000FF800000}"/>
    <cellStyle name="Normal 3 3 25 8 2" xfId="33033" xr:uid="{00000000-0005-0000-0000-000000810000}"/>
    <cellStyle name="Normal 3 3 25 8 3" xfId="33034" xr:uid="{00000000-0005-0000-0000-000001810000}"/>
    <cellStyle name="Normal 3 3 25 9" xfId="33035" xr:uid="{00000000-0005-0000-0000-000002810000}"/>
    <cellStyle name="Normal 3 3 25 9 2" xfId="33036" xr:uid="{00000000-0005-0000-0000-000003810000}"/>
    <cellStyle name="Normal 3 3 25 9 3" xfId="33037" xr:uid="{00000000-0005-0000-0000-000004810000}"/>
    <cellStyle name="Normal 3 3 26" xfId="33038" xr:uid="{00000000-0005-0000-0000-000005810000}"/>
    <cellStyle name="Normal 3 3 26 10" xfId="33039" xr:uid="{00000000-0005-0000-0000-000006810000}"/>
    <cellStyle name="Normal 3 3 26 10 2" xfId="33040" xr:uid="{00000000-0005-0000-0000-000007810000}"/>
    <cellStyle name="Normal 3 3 26 10 3" xfId="33041" xr:uid="{00000000-0005-0000-0000-000008810000}"/>
    <cellStyle name="Normal 3 3 26 11" xfId="33042" xr:uid="{00000000-0005-0000-0000-000009810000}"/>
    <cellStyle name="Normal 3 3 26 11 2" xfId="33043" xr:uid="{00000000-0005-0000-0000-00000A810000}"/>
    <cellStyle name="Normal 3 3 26 11 3" xfId="33044" xr:uid="{00000000-0005-0000-0000-00000B810000}"/>
    <cellStyle name="Normal 3 3 26 12" xfId="33045" xr:uid="{00000000-0005-0000-0000-00000C810000}"/>
    <cellStyle name="Normal 3 3 26 12 2" xfId="33046" xr:uid="{00000000-0005-0000-0000-00000D810000}"/>
    <cellStyle name="Normal 3 3 26 12 3" xfId="33047" xr:uid="{00000000-0005-0000-0000-00000E810000}"/>
    <cellStyle name="Normal 3 3 26 13" xfId="33048" xr:uid="{00000000-0005-0000-0000-00000F810000}"/>
    <cellStyle name="Normal 3 3 26 13 2" xfId="33049" xr:uid="{00000000-0005-0000-0000-000010810000}"/>
    <cellStyle name="Normal 3 3 26 13 3" xfId="33050" xr:uid="{00000000-0005-0000-0000-000011810000}"/>
    <cellStyle name="Normal 3 3 26 14" xfId="33051" xr:uid="{00000000-0005-0000-0000-000012810000}"/>
    <cellStyle name="Normal 3 3 26 14 2" xfId="33052" xr:uid="{00000000-0005-0000-0000-000013810000}"/>
    <cellStyle name="Normal 3 3 26 14 3" xfId="33053" xr:uid="{00000000-0005-0000-0000-000014810000}"/>
    <cellStyle name="Normal 3 3 26 15" xfId="33054" xr:uid="{00000000-0005-0000-0000-000015810000}"/>
    <cellStyle name="Normal 3 3 26 16" xfId="33055" xr:uid="{00000000-0005-0000-0000-000016810000}"/>
    <cellStyle name="Normal 3 3 26 2" xfId="33056" xr:uid="{00000000-0005-0000-0000-000017810000}"/>
    <cellStyle name="Normal 3 3 26 2 2" xfId="33057" xr:uid="{00000000-0005-0000-0000-000018810000}"/>
    <cellStyle name="Normal 3 3 26 2 3" xfId="33058" xr:uid="{00000000-0005-0000-0000-000019810000}"/>
    <cellStyle name="Normal 3 3 26 3" xfId="33059" xr:uid="{00000000-0005-0000-0000-00001A810000}"/>
    <cellStyle name="Normal 3 3 26 3 2" xfId="33060" xr:uid="{00000000-0005-0000-0000-00001B810000}"/>
    <cellStyle name="Normal 3 3 26 3 3" xfId="33061" xr:uid="{00000000-0005-0000-0000-00001C810000}"/>
    <cellStyle name="Normal 3 3 26 4" xfId="33062" xr:uid="{00000000-0005-0000-0000-00001D810000}"/>
    <cellStyle name="Normal 3 3 26 4 2" xfId="33063" xr:uid="{00000000-0005-0000-0000-00001E810000}"/>
    <cellStyle name="Normal 3 3 26 4 3" xfId="33064" xr:uid="{00000000-0005-0000-0000-00001F810000}"/>
    <cellStyle name="Normal 3 3 26 5" xfId="33065" xr:uid="{00000000-0005-0000-0000-000020810000}"/>
    <cellStyle name="Normal 3 3 26 5 2" xfId="33066" xr:uid="{00000000-0005-0000-0000-000021810000}"/>
    <cellStyle name="Normal 3 3 26 5 3" xfId="33067" xr:uid="{00000000-0005-0000-0000-000022810000}"/>
    <cellStyle name="Normal 3 3 26 6" xfId="33068" xr:uid="{00000000-0005-0000-0000-000023810000}"/>
    <cellStyle name="Normal 3 3 26 6 2" xfId="33069" xr:uid="{00000000-0005-0000-0000-000024810000}"/>
    <cellStyle name="Normal 3 3 26 6 3" xfId="33070" xr:uid="{00000000-0005-0000-0000-000025810000}"/>
    <cellStyle name="Normal 3 3 26 7" xfId="33071" xr:uid="{00000000-0005-0000-0000-000026810000}"/>
    <cellStyle name="Normal 3 3 26 7 2" xfId="33072" xr:uid="{00000000-0005-0000-0000-000027810000}"/>
    <cellStyle name="Normal 3 3 26 7 3" xfId="33073" xr:uid="{00000000-0005-0000-0000-000028810000}"/>
    <cellStyle name="Normal 3 3 26 8" xfId="33074" xr:uid="{00000000-0005-0000-0000-000029810000}"/>
    <cellStyle name="Normal 3 3 26 8 2" xfId="33075" xr:uid="{00000000-0005-0000-0000-00002A810000}"/>
    <cellStyle name="Normal 3 3 26 8 3" xfId="33076" xr:uid="{00000000-0005-0000-0000-00002B810000}"/>
    <cellStyle name="Normal 3 3 26 9" xfId="33077" xr:uid="{00000000-0005-0000-0000-00002C810000}"/>
    <cellStyle name="Normal 3 3 26 9 2" xfId="33078" xr:uid="{00000000-0005-0000-0000-00002D810000}"/>
    <cellStyle name="Normal 3 3 26 9 3" xfId="33079" xr:uid="{00000000-0005-0000-0000-00002E810000}"/>
    <cellStyle name="Normal 3 3 27" xfId="33080" xr:uid="{00000000-0005-0000-0000-00002F810000}"/>
    <cellStyle name="Normal 3 3 27 10" xfId="33081" xr:uid="{00000000-0005-0000-0000-000030810000}"/>
    <cellStyle name="Normal 3 3 27 10 2" xfId="33082" xr:uid="{00000000-0005-0000-0000-000031810000}"/>
    <cellStyle name="Normal 3 3 27 10 3" xfId="33083" xr:uid="{00000000-0005-0000-0000-000032810000}"/>
    <cellStyle name="Normal 3 3 27 11" xfId="33084" xr:uid="{00000000-0005-0000-0000-000033810000}"/>
    <cellStyle name="Normal 3 3 27 11 2" xfId="33085" xr:uid="{00000000-0005-0000-0000-000034810000}"/>
    <cellStyle name="Normal 3 3 27 11 3" xfId="33086" xr:uid="{00000000-0005-0000-0000-000035810000}"/>
    <cellStyle name="Normal 3 3 27 12" xfId="33087" xr:uid="{00000000-0005-0000-0000-000036810000}"/>
    <cellStyle name="Normal 3 3 27 12 2" xfId="33088" xr:uid="{00000000-0005-0000-0000-000037810000}"/>
    <cellStyle name="Normal 3 3 27 12 3" xfId="33089" xr:uid="{00000000-0005-0000-0000-000038810000}"/>
    <cellStyle name="Normal 3 3 27 13" xfId="33090" xr:uid="{00000000-0005-0000-0000-000039810000}"/>
    <cellStyle name="Normal 3 3 27 13 2" xfId="33091" xr:uid="{00000000-0005-0000-0000-00003A810000}"/>
    <cellStyle name="Normal 3 3 27 13 3" xfId="33092" xr:uid="{00000000-0005-0000-0000-00003B810000}"/>
    <cellStyle name="Normal 3 3 27 14" xfId="33093" xr:uid="{00000000-0005-0000-0000-00003C810000}"/>
    <cellStyle name="Normal 3 3 27 14 2" xfId="33094" xr:uid="{00000000-0005-0000-0000-00003D810000}"/>
    <cellStyle name="Normal 3 3 27 14 3" xfId="33095" xr:uid="{00000000-0005-0000-0000-00003E810000}"/>
    <cellStyle name="Normal 3 3 27 15" xfId="33096" xr:uid="{00000000-0005-0000-0000-00003F810000}"/>
    <cellStyle name="Normal 3 3 27 16" xfId="33097" xr:uid="{00000000-0005-0000-0000-000040810000}"/>
    <cellStyle name="Normal 3 3 27 2" xfId="33098" xr:uid="{00000000-0005-0000-0000-000041810000}"/>
    <cellStyle name="Normal 3 3 27 2 2" xfId="33099" xr:uid="{00000000-0005-0000-0000-000042810000}"/>
    <cellStyle name="Normal 3 3 27 2 3" xfId="33100" xr:uid="{00000000-0005-0000-0000-000043810000}"/>
    <cellStyle name="Normal 3 3 27 3" xfId="33101" xr:uid="{00000000-0005-0000-0000-000044810000}"/>
    <cellStyle name="Normal 3 3 27 3 2" xfId="33102" xr:uid="{00000000-0005-0000-0000-000045810000}"/>
    <cellStyle name="Normal 3 3 27 3 3" xfId="33103" xr:uid="{00000000-0005-0000-0000-000046810000}"/>
    <cellStyle name="Normal 3 3 27 4" xfId="33104" xr:uid="{00000000-0005-0000-0000-000047810000}"/>
    <cellStyle name="Normal 3 3 27 4 2" xfId="33105" xr:uid="{00000000-0005-0000-0000-000048810000}"/>
    <cellStyle name="Normal 3 3 27 4 3" xfId="33106" xr:uid="{00000000-0005-0000-0000-000049810000}"/>
    <cellStyle name="Normal 3 3 27 5" xfId="33107" xr:uid="{00000000-0005-0000-0000-00004A810000}"/>
    <cellStyle name="Normal 3 3 27 5 2" xfId="33108" xr:uid="{00000000-0005-0000-0000-00004B810000}"/>
    <cellStyle name="Normal 3 3 27 5 3" xfId="33109" xr:uid="{00000000-0005-0000-0000-00004C810000}"/>
    <cellStyle name="Normal 3 3 27 6" xfId="33110" xr:uid="{00000000-0005-0000-0000-00004D810000}"/>
    <cellStyle name="Normal 3 3 27 6 2" xfId="33111" xr:uid="{00000000-0005-0000-0000-00004E810000}"/>
    <cellStyle name="Normal 3 3 27 6 3" xfId="33112" xr:uid="{00000000-0005-0000-0000-00004F810000}"/>
    <cellStyle name="Normal 3 3 27 7" xfId="33113" xr:uid="{00000000-0005-0000-0000-000050810000}"/>
    <cellStyle name="Normal 3 3 27 7 2" xfId="33114" xr:uid="{00000000-0005-0000-0000-000051810000}"/>
    <cellStyle name="Normal 3 3 27 7 3" xfId="33115" xr:uid="{00000000-0005-0000-0000-000052810000}"/>
    <cellStyle name="Normal 3 3 27 8" xfId="33116" xr:uid="{00000000-0005-0000-0000-000053810000}"/>
    <cellStyle name="Normal 3 3 27 8 2" xfId="33117" xr:uid="{00000000-0005-0000-0000-000054810000}"/>
    <cellStyle name="Normal 3 3 27 8 3" xfId="33118" xr:uid="{00000000-0005-0000-0000-000055810000}"/>
    <cellStyle name="Normal 3 3 27 9" xfId="33119" xr:uid="{00000000-0005-0000-0000-000056810000}"/>
    <cellStyle name="Normal 3 3 27 9 2" xfId="33120" xr:uid="{00000000-0005-0000-0000-000057810000}"/>
    <cellStyle name="Normal 3 3 27 9 3" xfId="33121" xr:uid="{00000000-0005-0000-0000-000058810000}"/>
    <cellStyle name="Normal 3 3 28" xfId="33122" xr:uid="{00000000-0005-0000-0000-000059810000}"/>
    <cellStyle name="Normal 3 3 29" xfId="33123" xr:uid="{00000000-0005-0000-0000-00005A810000}"/>
    <cellStyle name="Normal 3 3 3" xfId="33124" xr:uid="{00000000-0005-0000-0000-00005B810000}"/>
    <cellStyle name="Normal 3 3 3 10" xfId="33125" xr:uid="{00000000-0005-0000-0000-00005C810000}"/>
    <cellStyle name="Normal 3 3 3 10 10" xfId="33126" xr:uid="{00000000-0005-0000-0000-00005D810000}"/>
    <cellStyle name="Normal 3 3 3 10 10 2" xfId="33127" xr:uid="{00000000-0005-0000-0000-00005E810000}"/>
    <cellStyle name="Normal 3 3 3 10 10 3" xfId="33128" xr:uid="{00000000-0005-0000-0000-00005F810000}"/>
    <cellStyle name="Normal 3 3 3 10 11" xfId="33129" xr:uid="{00000000-0005-0000-0000-000060810000}"/>
    <cellStyle name="Normal 3 3 3 10 11 2" xfId="33130" xr:uid="{00000000-0005-0000-0000-000061810000}"/>
    <cellStyle name="Normal 3 3 3 10 11 3" xfId="33131" xr:uid="{00000000-0005-0000-0000-000062810000}"/>
    <cellStyle name="Normal 3 3 3 10 12" xfId="33132" xr:uid="{00000000-0005-0000-0000-000063810000}"/>
    <cellStyle name="Normal 3 3 3 10 12 2" xfId="33133" xr:uid="{00000000-0005-0000-0000-000064810000}"/>
    <cellStyle name="Normal 3 3 3 10 12 3" xfId="33134" xr:uid="{00000000-0005-0000-0000-000065810000}"/>
    <cellStyle name="Normal 3 3 3 10 13" xfId="33135" xr:uid="{00000000-0005-0000-0000-000066810000}"/>
    <cellStyle name="Normal 3 3 3 10 13 2" xfId="33136" xr:uid="{00000000-0005-0000-0000-000067810000}"/>
    <cellStyle name="Normal 3 3 3 10 13 3" xfId="33137" xr:uid="{00000000-0005-0000-0000-000068810000}"/>
    <cellStyle name="Normal 3 3 3 10 14" xfId="33138" xr:uid="{00000000-0005-0000-0000-000069810000}"/>
    <cellStyle name="Normal 3 3 3 10 14 2" xfId="33139" xr:uid="{00000000-0005-0000-0000-00006A810000}"/>
    <cellStyle name="Normal 3 3 3 10 14 3" xfId="33140" xr:uid="{00000000-0005-0000-0000-00006B810000}"/>
    <cellStyle name="Normal 3 3 3 10 15" xfId="33141" xr:uid="{00000000-0005-0000-0000-00006C810000}"/>
    <cellStyle name="Normal 3 3 3 10 16" xfId="33142" xr:uid="{00000000-0005-0000-0000-00006D810000}"/>
    <cellStyle name="Normal 3 3 3 10 2" xfId="33143" xr:uid="{00000000-0005-0000-0000-00006E810000}"/>
    <cellStyle name="Normal 3 3 3 10 2 2" xfId="33144" xr:uid="{00000000-0005-0000-0000-00006F810000}"/>
    <cellStyle name="Normal 3 3 3 10 2 3" xfId="33145" xr:uid="{00000000-0005-0000-0000-000070810000}"/>
    <cellStyle name="Normal 3 3 3 10 3" xfId="33146" xr:uid="{00000000-0005-0000-0000-000071810000}"/>
    <cellStyle name="Normal 3 3 3 10 3 2" xfId="33147" xr:uid="{00000000-0005-0000-0000-000072810000}"/>
    <cellStyle name="Normal 3 3 3 10 3 3" xfId="33148" xr:uid="{00000000-0005-0000-0000-000073810000}"/>
    <cellStyle name="Normal 3 3 3 10 4" xfId="33149" xr:uid="{00000000-0005-0000-0000-000074810000}"/>
    <cellStyle name="Normal 3 3 3 10 4 2" xfId="33150" xr:uid="{00000000-0005-0000-0000-000075810000}"/>
    <cellStyle name="Normal 3 3 3 10 4 3" xfId="33151" xr:uid="{00000000-0005-0000-0000-000076810000}"/>
    <cellStyle name="Normal 3 3 3 10 5" xfId="33152" xr:uid="{00000000-0005-0000-0000-000077810000}"/>
    <cellStyle name="Normal 3 3 3 10 5 2" xfId="33153" xr:uid="{00000000-0005-0000-0000-000078810000}"/>
    <cellStyle name="Normal 3 3 3 10 5 3" xfId="33154" xr:uid="{00000000-0005-0000-0000-000079810000}"/>
    <cellStyle name="Normal 3 3 3 10 6" xfId="33155" xr:uid="{00000000-0005-0000-0000-00007A810000}"/>
    <cellStyle name="Normal 3 3 3 10 6 2" xfId="33156" xr:uid="{00000000-0005-0000-0000-00007B810000}"/>
    <cellStyle name="Normal 3 3 3 10 6 3" xfId="33157" xr:uid="{00000000-0005-0000-0000-00007C810000}"/>
    <cellStyle name="Normal 3 3 3 10 7" xfId="33158" xr:uid="{00000000-0005-0000-0000-00007D810000}"/>
    <cellStyle name="Normal 3 3 3 10 7 2" xfId="33159" xr:uid="{00000000-0005-0000-0000-00007E810000}"/>
    <cellStyle name="Normal 3 3 3 10 7 3" xfId="33160" xr:uid="{00000000-0005-0000-0000-00007F810000}"/>
    <cellStyle name="Normal 3 3 3 10 8" xfId="33161" xr:uid="{00000000-0005-0000-0000-000080810000}"/>
    <cellStyle name="Normal 3 3 3 10 8 2" xfId="33162" xr:uid="{00000000-0005-0000-0000-000081810000}"/>
    <cellStyle name="Normal 3 3 3 10 8 3" xfId="33163" xr:uid="{00000000-0005-0000-0000-000082810000}"/>
    <cellStyle name="Normal 3 3 3 10 9" xfId="33164" xr:uid="{00000000-0005-0000-0000-000083810000}"/>
    <cellStyle name="Normal 3 3 3 10 9 2" xfId="33165" xr:uid="{00000000-0005-0000-0000-000084810000}"/>
    <cellStyle name="Normal 3 3 3 10 9 3" xfId="33166" xr:uid="{00000000-0005-0000-0000-000085810000}"/>
    <cellStyle name="Normal 3 3 3 11" xfId="33167" xr:uid="{00000000-0005-0000-0000-000086810000}"/>
    <cellStyle name="Normal 3 3 3 11 10" xfId="33168" xr:uid="{00000000-0005-0000-0000-000087810000}"/>
    <cellStyle name="Normal 3 3 3 11 10 2" xfId="33169" xr:uid="{00000000-0005-0000-0000-000088810000}"/>
    <cellStyle name="Normal 3 3 3 11 10 3" xfId="33170" xr:uid="{00000000-0005-0000-0000-000089810000}"/>
    <cellStyle name="Normal 3 3 3 11 11" xfId="33171" xr:uid="{00000000-0005-0000-0000-00008A810000}"/>
    <cellStyle name="Normal 3 3 3 11 11 2" xfId="33172" xr:uid="{00000000-0005-0000-0000-00008B810000}"/>
    <cellStyle name="Normal 3 3 3 11 11 3" xfId="33173" xr:uid="{00000000-0005-0000-0000-00008C810000}"/>
    <cellStyle name="Normal 3 3 3 11 12" xfId="33174" xr:uid="{00000000-0005-0000-0000-00008D810000}"/>
    <cellStyle name="Normal 3 3 3 11 12 2" xfId="33175" xr:uid="{00000000-0005-0000-0000-00008E810000}"/>
    <cellStyle name="Normal 3 3 3 11 12 3" xfId="33176" xr:uid="{00000000-0005-0000-0000-00008F810000}"/>
    <cellStyle name="Normal 3 3 3 11 13" xfId="33177" xr:uid="{00000000-0005-0000-0000-000090810000}"/>
    <cellStyle name="Normal 3 3 3 11 13 2" xfId="33178" xr:uid="{00000000-0005-0000-0000-000091810000}"/>
    <cellStyle name="Normal 3 3 3 11 13 3" xfId="33179" xr:uid="{00000000-0005-0000-0000-000092810000}"/>
    <cellStyle name="Normal 3 3 3 11 14" xfId="33180" xr:uid="{00000000-0005-0000-0000-000093810000}"/>
    <cellStyle name="Normal 3 3 3 11 14 2" xfId="33181" xr:uid="{00000000-0005-0000-0000-000094810000}"/>
    <cellStyle name="Normal 3 3 3 11 14 3" xfId="33182" xr:uid="{00000000-0005-0000-0000-000095810000}"/>
    <cellStyle name="Normal 3 3 3 11 15" xfId="33183" xr:uid="{00000000-0005-0000-0000-000096810000}"/>
    <cellStyle name="Normal 3 3 3 11 16" xfId="33184" xr:uid="{00000000-0005-0000-0000-000097810000}"/>
    <cellStyle name="Normal 3 3 3 11 2" xfId="33185" xr:uid="{00000000-0005-0000-0000-000098810000}"/>
    <cellStyle name="Normal 3 3 3 11 2 2" xfId="33186" xr:uid="{00000000-0005-0000-0000-000099810000}"/>
    <cellStyle name="Normal 3 3 3 11 2 3" xfId="33187" xr:uid="{00000000-0005-0000-0000-00009A810000}"/>
    <cellStyle name="Normal 3 3 3 11 3" xfId="33188" xr:uid="{00000000-0005-0000-0000-00009B810000}"/>
    <cellStyle name="Normal 3 3 3 11 3 2" xfId="33189" xr:uid="{00000000-0005-0000-0000-00009C810000}"/>
    <cellStyle name="Normal 3 3 3 11 3 3" xfId="33190" xr:uid="{00000000-0005-0000-0000-00009D810000}"/>
    <cellStyle name="Normal 3 3 3 11 4" xfId="33191" xr:uid="{00000000-0005-0000-0000-00009E810000}"/>
    <cellStyle name="Normal 3 3 3 11 4 2" xfId="33192" xr:uid="{00000000-0005-0000-0000-00009F810000}"/>
    <cellStyle name="Normal 3 3 3 11 4 3" xfId="33193" xr:uid="{00000000-0005-0000-0000-0000A0810000}"/>
    <cellStyle name="Normal 3 3 3 11 5" xfId="33194" xr:uid="{00000000-0005-0000-0000-0000A1810000}"/>
    <cellStyle name="Normal 3 3 3 11 5 2" xfId="33195" xr:uid="{00000000-0005-0000-0000-0000A2810000}"/>
    <cellStyle name="Normal 3 3 3 11 5 3" xfId="33196" xr:uid="{00000000-0005-0000-0000-0000A3810000}"/>
    <cellStyle name="Normal 3 3 3 11 6" xfId="33197" xr:uid="{00000000-0005-0000-0000-0000A4810000}"/>
    <cellStyle name="Normal 3 3 3 11 6 2" xfId="33198" xr:uid="{00000000-0005-0000-0000-0000A5810000}"/>
    <cellStyle name="Normal 3 3 3 11 6 3" xfId="33199" xr:uid="{00000000-0005-0000-0000-0000A6810000}"/>
    <cellStyle name="Normal 3 3 3 11 7" xfId="33200" xr:uid="{00000000-0005-0000-0000-0000A7810000}"/>
    <cellStyle name="Normal 3 3 3 11 7 2" xfId="33201" xr:uid="{00000000-0005-0000-0000-0000A8810000}"/>
    <cellStyle name="Normal 3 3 3 11 7 3" xfId="33202" xr:uid="{00000000-0005-0000-0000-0000A9810000}"/>
    <cellStyle name="Normal 3 3 3 11 8" xfId="33203" xr:uid="{00000000-0005-0000-0000-0000AA810000}"/>
    <cellStyle name="Normal 3 3 3 11 8 2" xfId="33204" xr:uid="{00000000-0005-0000-0000-0000AB810000}"/>
    <cellStyle name="Normal 3 3 3 11 8 3" xfId="33205" xr:uid="{00000000-0005-0000-0000-0000AC810000}"/>
    <cellStyle name="Normal 3 3 3 11 9" xfId="33206" xr:uid="{00000000-0005-0000-0000-0000AD810000}"/>
    <cellStyle name="Normal 3 3 3 11 9 2" xfId="33207" xr:uid="{00000000-0005-0000-0000-0000AE810000}"/>
    <cellStyle name="Normal 3 3 3 11 9 3" xfId="33208" xr:uid="{00000000-0005-0000-0000-0000AF810000}"/>
    <cellStyle name="Normal 3 3 3 12" xfId="33209" xr:uid="{00000000-0005-0000-0000-0000B0810000}"/>
    <cellStyle name="Normal 3 3 3 12 10" xfId="33210" xr:uid="{00000000-0005-0000-0000-0000B1810000}"/>
    <cellStyle name="Normal 3 3 3 12 10 2" xfId="33211" xr:uid="{00000000-0005-0000-0000-0000B2810000}"/>
    <cellStyle name="Normal 3 3 3 12 10 3" xfId="33212" xr:uid="{00000000-0005-0000-0000-0000B3810000}"/>
    <cellStyle name="Normal 3 3 3 12 11" xfId="33213" xr:uid="{00000000-0005-0000-0000-0000B4810000}"/>
    <cellStyle name="Normal 3 3 3 12 11 2" xfId="33214" xr:uid="{00000000-0005-0000-0000-0000B5810000}"/>
    <cellStyle name="Normal 3 3 3 12 11 3" xfId="33215" xr:uid="{00000000-0005-0000-0000-0000B6810000}"/>
    <cellStyle name="Normal 3 3 3 12 12" xfId="33216" xr:uid="{00000000-0005-0000-0000-0000B7810000}"/>
    <cellStyle name="Normal 3 3 3 12 12 2" xfId="33217" xr:uid="{00000000-0005-0000-0000-0000B8810000}"/>
    <cellStyle name="Normal 3 3 3 12 12 3" xfId="33218" xr:uid="{00000000-0005-0000-0000-0000B9810000}"/>
    <cellStyle name="Normal 3 3 3 12 13" xfId="33219" xr:uid="{00000000-0005-0000-0000-0000BA810000}"/>
    <cellStyle name="Normal 3 3 3 12 13 2" xfId="33220" xr:uid="{00000000-0005-0000-0000-0000BB810000}"/>
    <cellStyle name="Normal 3 3 3 12 13 3" xfId="33221" xr:uid="{00000000-0005-0000-0000-0000BC810000}"/>
    <cellStyle name="Normal 3 3 3 12 14" xfId="33222" xr:uid="{00000000-0005-0000-0000-0000BD810000}"/>
    <cellStyle name="Normal 3 3 3 12 14 2" xfId="33223" xr:uid="{00000000-0005-0000-0000-0000BE810000}"/>
    <cellStyle name="Normal 3 3 3 12 14 3" xfId="33224" xr:uid="{00000000-0005-0000-0000-0000BF810000}"/>
    <cellStyle name="Normal 3 3 3 12 15" xfId="33225" xr:uid="{00000000-0005-0000-0000-0000C0810000}"/>
    <cellStyle name="Normal 3 3 3 12 16" xfId="33226" xr:uid="{00000000-0005-0000-0000-0000C1810000}"/>
    <cellStyle name="Normal 3 3 3 12 2" xfId="33227" xr:uid="{00000000-0005-0000-0000-0000C2810000}"/>
    <cellStyle name="Normal 3 3 3 12 2 2" xfId="33228" xr:uid="{00000000-0005-0000-0000-0000C3810000}"/>
    <cellStyle name="Normal 3 3 3 12 2 3" xfId="33229" xr:uid="{00000000-0005-0000-0000-0000C4810000}"/>
    <cellStyle name="Normal 3 3 3 12 3" xfId="33230" xr:uid="{00000000-0005-0000-0000-0000C5810000}"/>
    <cellStyle name="Normal 3 3 3 12 3 2" xfId="33231" xr:uid="{00000000-0005-0000-0000-0000C6810000}"/>
    <cellStyle name="Normal 3 3 3 12 3 3" xfId="33232" xr:uid="{00000000-0005-0000-0000-0000C7810000}"/>
    <cellStyle name="Normal 3 3 3 12 4" xfId="33233" xr:uid="{00000000-0005-0000-0000-0000C8810000}"/>
    <cellStyle name="Normal 3 3 3 12 4 2" xfId="33234" xr:uid="{00000000-0005-0000-0000-0000C9810000}"/>
    <cellStyle name="Normal 3 3 3 12 4 3" xfId="33235" xr:uid="{00000000-0005-0000-0000-0000CA810000}"/>
    <cellStyle name="Normal 3 3 3 12 5" xfId="33236" xr:uid="{00000000-0005-0000-0000-0000CB810000}"/>
    <cellStyle name="Normal 3 3 3 12 5 2" xfId="33237" xr:uid="{00000000-0005-0000-0000-0000CC810000}"/>
    <cellStyle name="Normal 3 3 3 12 5 3" xfId="33238" xr:uid="{00000000-0005-0000-0000-0000CD810000}"/>
    <cellStyle name="Normal 3 3 3 12 6" xfId="33239" xr:uid="{00000000-0005-0000-0000-0000CE810000}"/>
    <cellStyle name="Normal 3 3 3 12 6 2" xfId="33240" xr:uid="{00000000-0005-0000-0000-0000CF810000}"/>
    <cellStyle name="Normal 3 3 3 12 6 3" xfId="33241" xr:uid="{00000000-0005-0000-0000-0000D0810000}"/>
    <cellStyle name="Normal 3 3 3 12 7" xfId="33242" xr:uid="{00000000-0005-0000-0000-0000D1810000}"/>
    <cellStyle name="Normal 3 3 3 12 7 2" xfId="33243" xr:uid="{00000000-0005-0000-0000-0000D2810000}"/>
    <cellStyle name="Normal 3 3 3 12 7 3" xfId="33244" xr:uid="{00000000-0005-0000-0000-0000D3810000}"/>
    <cellStyle name="Normal 3 3 3 12 8" xfId="33245" xr:uid="{00000000-0005-0000-0000-0000D4810000}"/>
    <cellStyle name="Normal 3 3 3 12 8 2" xfId="33246" xr:uid="{00000000-0005-0000-0000-0000D5810000}"/>
    <cellStyle name="Normal 3 3 3 12 8 3" xfId="33247" xr:uid="{00000000-0005-0000-0000-0000D6810000}"/>
    <cellStyle name="Normal 3 3 3 12 9" xfId="33248" xr:uid="{00000000-0005-0000-0000-0000D7810000}"/>
    <cellStyle name="Normal 3 3 3 12 9 2" xfId="33249" xr:uid="{00000000-0005-0000-0000-0000D8810000}"/>
    <cellStyle name="Normal 3 3 3 12 9 3" xfId="33250" xr:uid="{00000000-0005-0000-0000-0000D9810000}"/>
    <cellStyle name="Normal 3 3 3 13" xfId="33251" xr:uid="{00000000-0005-0000-0000-0000DA810000}"/>
    <cellStyle name="Normal 3 3 3 13 10" xfId="33252" xr:uid="{00000000-0005-0000-0000-0000DB810000}"/>
    <cellStyle name="Normal 3 3 3 13 10 2" xfId="33253" xr:uid="{00000000-0005-0000-0000-0000DC810000}"/>
    <cellStyle name="Normal 3 3 3 13 10 3" xfId="33254" xr:uid="{00000000-0005-0000-0000-0000DD810000}"/>
    <cellStyle name="Normal 3 3 3 13 11" xfId="33255" xr:uid="{00000000-0005-0000-0000-0000DE810000}"/>
    <cellStyle name="Normal 3 3 3 13 11 2" xfId="33256" xr:uid="{00000000-0005-0000-0000-0000DF810000}"/>
    <cellStyle name="Normal 3 3 3 13 11 3" xfId="33257" xr:uid="{00000000-0005-0000-0000-0000E0810000}"/>
    <cellStyle name="Normal 3 3 3 13 12" xfId="33258" xr:uid="{00000000-0005-0000-0000-0000E1810000}"/>
    <cellStyle name="Normal 3 3 3 13 12 2" xfId="33259" xr:uid="{00000000-0005-0000-0000-0000E2810000}"/>
    <cellStyle name="Normal 3 3 3 13 12 3" xfId="33260" xr:uid="{00000000-0005-0000-0000-0000E3810000}"/>
    <cellStyle name="Normal 3 3 3 13 13" xfId="33261" xr:uid="{00000000-0005-0000-0000-0000E4810000}"/>
    <cellStyle name="Normal 3 3 3 13 13 2" xfId="33262" xr:uid="{00000000-0005-0000-0000-0000E5810000}"/>
    <cellStyle name="Normal 3 3 3 13 13 3" xfId="33263" xr:uid="{00000000-0005-0000-0000-0000E6810000}"/>
    <cellStyle name="Normal 3 3 3 13 14" xfId="33264" xr:uid="{00000000-0005-0000-0000-0000E7810000}"/>
    <cellStyle name="Normal 3 3 3 13 14 2" xfId="33265" xr:uid="{00000000-0005-0000-0000-0000E8810000}"/>
    <cellStyle name="Normal 3 3 3 13 14 3" xfId="33266" xr:uid="{00000000-0005-0000-0000-0000E9810000}"/>
    <cellStyle name="Normal 3 3 3 13 15" xfId="33267" xr:uid="{00000000-0005-0000-0000-0000EA810000}"/>
    <cellStyle name="Normal 3 3 3 13 16" xfId="33268" xr:uid="{00000000-0005-0000-0000-0000EB810000}"/>
    <cellStyle name="Normal 3 3 3 13 2" xfId="33269" xr:uid="{00000000-0005-0000-0000-0000EC810000}"/>
    <cellStyle name="Normal 3 3 3 13 2 2" xfId="33270" xr:uid="{00000000-0005-0000-0000-0000ED810000}"/>
    <cellStyle name="Normal 3 3 3 13 2 3" xfId="33271" xr:uid="{00000000-0005-0000-0000-0000EE810000}"/>
    <cellStyle name="Normal 3 3 3 13 3" xfId="33272" xr:uid="{00000000-0005-0000-0000-0000EF810000}"/>
    <cellStyle name="Normal 3 3 3 13 3 2" xfId="33273" xr:uid="{00000000-0005-0000-0000-0000F0810000}"/>
    <cellStyle name="Normal 3 3 3 13 3 3" xfId="33274" xr:uid="{00000000-0005-0000-0000-0000F1810000}"/>
    <cellStyle name="Normal 3 3 3 13 4" xfId="33275" xr:uid="{00000000-0005-0000-0000-0000F2810000}"/>
    <cellStyle name="Normal 3 3 3 13 4 2" xfId="33276" xr:uid="{00000000-0005-0000-0000-0000F3810000}"/>
    <cellStyle name="Normal 3 3 3 13 4 3" xfId="33277" xr:uid="{00000000-0005-0000-0000-0000F4810000}"/>
    <cellStyle name="Normal 3 3 3 13 5" xfId="33278" xr:uid="{00000000-0005-0000-0000-0000F5810000}"/>
    <cellStyle name="Normal 3 3 3 13 5 2" xfId="33279" xr:uid="{00000000-0005-0000-0000-0000F6810000}"/>
    <cellStyle name="Normal 3 3 3 13 5 3" xfId="33280" xr:uid="{00000000-0005-0000-0000-0000F7810000}"/>
    <cellStyle name="Normal 3 3 3 13 6" xfId="33281" xr:uid="{00000000-0005-0000-0000-0000F8810000}"/>
    <cellStyle name="Normal 3 3 3 13 6 2" xfId="33282" xr:uid="{00000000-0005-0000-0000-0000F9810000}"/>
    <cellStyle name="Normal 3 3 3 13 6 3" xfId="33283" xr:uid="{00000000-0005-0000-0000-0000FA810000}"/>
    <cellStyle name="Normal 3 3 3 13 7" xfId="33284" xr:uid="{00000000-0005-0000-0000-0000FB810000}"/>
    <cellStyle name="Normal 3 3 3 13 7 2" xfId="33285" xr:uid="{00000000-0005-0000-0000-0000FC810000}"/>
    <cellStyle name="Normal 3 3 3 13 7 3" xfId="33286" xr:uid="{00000000-0005-0000-0000-0000FD810000}"/>
    <cellStyle name="Normal 3 3 3 13 8" xfId="33287" xr:uid="{00000000-0005-0000-0000-0000FE810000}"/>
    <cellStyle name="Normal 3 3 3 13 8 2" xfId="33288" xr:uid="{00000000-0005-0000-0000-0000FF810000}"/>
    <cellStyle name="Normal 3 3 3 13 8 3" xfId="33289" xr:uid="{00000000-0005-0000-0000-000000820000}"/>
    <cellStyle name="Normal 3 3 3 13 9" xfId="33290" xr:uid="{00000000-0005-0000-0000-000001820000}"/>
    <cellStyle name="Normal 3 3 3 13 9 2" xfId="33291" xr:uid="{00000000-0005-0000-0000-000002820000}"/>
    <cellStyle name="Normal 3 3 3 13 9 3" xfId="33292" xr:uid="{00000000-0005-0000-0000-000003820000}"/>
    <cellStyle name="Normal 3 3 3 14" xfId="33293" xr:uid="{00000000-0005-0000-0000-000004820000}"/>
    <cellStyle name="Normal 3 3 3 14 10" xfId="33294" xr:uid="{00000000-0005-0000-0000-000005820000}"/>
    <cellStyle name="Normal 3 3 3 14 10 2" xfId="33295" xr:uid="{00000000-0005-0000-0000-000006820000}"/>
    <cellStyle name="Normal 3 3 3 14 10 3" xfId="33296" xr:uid="{00000000-0005-0000-0000-000007820000}"/>
    <cellStyle name="Normal 3 3 3 14 11" xfId="33297" xr:uid="{00000000-0005-0000-0000-000008820000}"/>
    <cellStyle name="Normal 3 3 3 14 11 2" xfId="33298" xr:uid="{00000000-0005-0000-0000-000009820000}"/>
    <cellStyle name="Normal 3 3 3 14 11 3" xfId="33299" xr:uid="{00000000-0005-0000-0000-00000A820000}"/>
    <cellStyle name="Normal 3 3 3 14 12" xfId="33300" xr:uid="{00000000-0005-0000-0000-00000B820000}"/>
    <cellStyle name="Normal 3 3 3 14 12 2" xfId="33301" xr:uid="{00000000-0005-0000-0000-00000C820000}"/>
    <cellStyle name="Normal 3 3 3 14 12 3" xfId="33302" xr:uid="{00000000-0005-0000-0000-00000D820000}"/>
    <cellStyle name="Normal 3 3 3 14 13" xfId="33303" xr:uid="{00000000-0005-0000-0000-00000E820000}"/>
    <cellStyle name="Normal 3 3 3 14 13 2" xfId="33304" xr:uid="{00000000-0005-0000-0000-00000F820000}"/>
    <cellStyle name="Normal 3 3 3 14 13 3" xfId="33305" xr:uid="{00000000-0005-0000-0000-000010820000}"/>
    <cellStyle name="Normal 3 3 3 14 14" xfId="33306" xr:uid="{00000000-0005-0000-0000-000011820000}"/>
    <cellStyle name="Normal 3 3 3 14 14 2" xfId="33307" xr:uid="{00000000-0005-0000-0000-000012820000}"/>
    <cellStyle name="Normal 3 3 3 14 14 3" xfId="33308" xr:uid="{00000000-0005-0000-0000-000013820000}"/>
    <cellStyle name="Normal 3 3 3 14 15" xfId="33309" xr:uid="{00000000-0005-0000-0000-000014820000}"/>
    <cellStyle name="Normal 3 3 3 14 16" xfId="33310" xr:uid="{00000000-0005-0000-0000-000015820000}"/>
    <cellStyle name="Normal 3 3 3 14 2" xfId="33311" xr:uid="{00000000-0005-0000-0000-000016820000}"/>
    <cellStyle name="Normal 3 3 3 14 2 2" xfId="33312" xr:uid="{00000000-0005-0000-0000-000017820000}"/>
    <cellStyle name="Normal 3 3 3 14 2 3" xfId="33313" xr:uid="{00000000-0005-0000-0000-000018820000}"/>
    <cellStyle name="Normal 3 3 3 14 3" xfId="33314" xr:uid="{00000000-0005-0000-0000-000019820000}"/>
    <cellStyle name="Normal 3 3 3 14 3 2" xfId="33315" xr:uid="{00000000-0005-0000-0000-00001A820000}"/>
    <cellStyle name="Normal 3 3 3 14 3 3" xfId="33316" xr:uid="{00000000-0005-0000-0000-00001B820000}"/>
    <cellStyle name="Normal 3 3 3 14 4" xfId="33317" xr:uid="{00000000-0005-0000-0000-00001C820000}"/>
    <cellStyle name="Normal 3 3 3 14 4 2" xfId="33318" xr:uid="{00000000-0005-0000-0000-00001D820000}"/>
    <cellStyle name="Normal 3 3 3 14 4 3" xfId="33319" xr:uid="{00000000-0005-0000-0000-00001E820000}"/>
    <cellStyle name="Normal 3 3 3 14 5" xfId="33320" xr:uid="{00000000-0005-0000-0000-00001F820000}"/>
    <cellStyle name="Normal 3 3 3 14 5 2" xfId="33321" xr:uid="{00000000-0005-0000-0000-000020820000}"/>
    <cellStyle name="Normal 3 3 3 14 5 3" xfId="33322" xr:uid="{00000000-0005-0000-0000-000021820000}"/>
    <cellStyle name="Normal 3 3 3 14 6" xfId="33323" xr:uid="{00000000-0005-0000-0000-000022820000}"/>
    <cellStyle name="Normal 3 3 3 14 6 2" xfId="33324" xr:uid="{00000000-0005-0000-0000-000023820000}"/>
    <cellStyle name="Normal 3 3 3 14 6 3" xfId="33325" xr:uid="{00000000-0005-0000-0000-000024820000}"/>
    <cellStyle name="Normal 3 3 3 14 7" xfId="33326" xr:uid="{00000000-0005-0000-0000-000025820000}"/>
    <cellStyle name="Normal 3 3 3 14 7 2" xfId="33327" xr:uid="{00000000-0005-0000-0000-000026820000}"/>
    <cellStyle name="Normal 3 3 3 14 7 3" xfId="33328" xr:uid="{00000000-0005-0000-0000-000027820000}"/>
    <cellStyle name="Normal 3 3 3 14 8" xfId="33329" xr:uid="{00000000-0005-0000-0000-000028820000}"/>
    <cellStyle name="Normal 3 3 3 14 8 2" xfId="33330" xr:uid="{00000000-0005-0000-0000-000029820000}"/>
    <cellStyle name="Normal 3 3 3 14 8 3" xfId="33331" xr:uid="{00000000-0005-0000-0000-00002A820000}"/>
    <cellStyle name="Normal 3 3 3 14 9" xfId="33332" xr:uid="{00000000-0005-0000-0000-00002B820000}"/>
    <cellStyle name="Normal 3 3 3 14 9 2" xfId="33333" xr:uid="{00000000-0005-0000-0000-00002C820000}"/>
    <cellStyle name="Normal 3 3 3 14 9 3" xfId="33334" xr:uid="{00000000-0005-0000-0000-00002D820000}"/>
    <cellStyle name="Normal 3 3 3 15" xfId="33335" xr:uid="{00000000-0005-0000-0000-00002E820000}"/>
    <cellStyle name="Normal 3 3 3 15 2" xfId="33336" xr:uid="{00000000-0005-0000-0000-00002F820000}"/>
    <cellStyle name="Normal 3 3 3 15 3" xfId="33337" xr:uid="{00000000-0005-0000-0000-000030820000}"/>
    <cellStyle name="Normal 3 3 3 16" xfId="33338" xr:uid="{00000000-0005-0000-0000-000031820000}"/>
    <cellStyle name="Normal 3 3 3 16 2" xfId="33339" xr:uid="{00000000-0005-0000-0000-000032820000}"/>
    <cellStyle name="Normal 3 3 3 16 3" xfId="33340" xr:uid="{00000000-0005-0000-0000-000033820000}"/>
    <cellStyle name="Normal 3 3 3 17" xfId="33341" xr:uid="{00000000-0005-0000-0000-000034820000}"/>
    <cellStyle name="Normal 3 3 3 17 2" xfId="33342" xr:uid="{00000000-0005-0000-0000-000035820000}"/>
    <cellStyle name="Normal 3 3 3 17 3" xfId="33343" xr:uid="{00000000-0005-0000-0000-000036820000}"/>
    <cellStyle name="Normal 3 3 3 18" xfId="33344" xr:uid="{00000000-0005-0000-0000-000037820000}"/>
    <cellStyle name="Normal 3 3 3 18 2" xfId="33345" xr:uid="{00000000-0005-0000-0000-000038820000}"/>
    <cellStyle name="Normal 3 3 3 18 3" xfId="33346" xr:uid="{00000000-0005-0000-0000-000039820000}"/>
    <cellStyle name="Normal 3 3 3 19" xfId="33347" xr:uid="{00000000-0005-0000-0000-00003A820000}"/>
    <cellStyle name="Normal 3 3 3 19 2" xfId="33348" xr:uid="{00000000-0005-0000-0000-00003B820000}"/>
    <cellStyle name="Normal 3 3 3 19 3" xfId="33349" xr:uid="{00000000-0005-0000-0000-00003C820000}"/>
    <cellStyle name="Normal 3 3 3 2" xfId="33350" xr:uid="{00000000-0005-0000-0000-00003D820000}"/>
    <cellStyle name="Normal 3 3 3 20" xfId="33351" xr:uid="{00000000-0005-0000-0000-00003E820000}"/>
    <cellStyle name="Normal 3 3 3 20 2" xfId="33352" xr:uid="{00000000-0005-0000-0000-00003F820000}"/>
    <cellStyle name="Normal 3 3 3 20 3" xfId="33353" xr:uid="{00000000-0005-0000-0000-000040820000}"/>
    <cellStyle name="Normal 3 3 3 21" xfId="33354" xr:uid="{00000000-0005-0000-0000-000041820000}"/>
    <cellStyle name="Normal 3 3 3 21 2" xfId="33355" xr:uid="{00000000-0005-0000-0000-000042820000}"/>
    <cellStyle name="Normal 3 3 3 21 3" xfId="33356" xr:uid="{00000000-0005-0000-0000-000043820000}"/>
    <cellStyle name="Normal 3 3 3 22" xfId="33357" xr:uid="{00000000-0005-0000-0000-000044820000}"/>
    <cellStyle name="Normal 3 3 3 22 2" xfId="33358" xr:uid="{00000000-0005-0000-0000-000045820000}"/>
    <cellStyle name="Normal 3 3 3 22 3" xfId="33359" xr:uid="{00000000-0005-0000-0000-000046820000}"/>
    <cellStyle name="Normal 3 3 3 23" xfId="33360" xr:uid="{00000000-0005-0000-0000-000047820000}"/>
    <cellStyle name="Normal 3 3 3 23 2" xfId="33361" xr:uid="{00000000-0005-0000-0000-000048820000}"/>
    <cellStyle name="Normal 3 3 3 23 3" xfId="33362" xr:uid="{00000000-0005-0000-0000-000049820000}"/>
    <cellStyle name="Normal 3 3 3 24" xfId="33363" xr:uid="{00000000-0005-0000-0000-00004A820000}"/>
    <cellStyle name="Normal 3 3 3 24 2" xfId="33364" xr:uid="{00000000-0005-0000-0000-00004B820000}"/>
    <cellStyle name="Normal 3 3 3 24 3" xfId="33365" xr:uid="{00000000-0005-0000-0000-00004C820000}"/>
    <cellStyle name="Normal 3 3 3 25" xfId="33366" xr:uid="{00000000-0005-0000-0000-00004D820000}"/>
    <cellStyle name="Normal 3 3 3 25 2" xfId="33367" xr:uid="{00000000-0005-0000-0000-00004E820000}"/>
    <cellStyle name="Normal 3 3 3 25 3" xfId="33368" xr:uid="{00000000-0005-0000-0000-00004F820000}"/>
    <cellStyle name="Normal 3 3 3 26" xfId="33369" xr:uid="{00000000-0005-0000-0000-000050820000}"/>
    <cellStyle name="Normal 3 3 3 26 2" xfId="33370" xr:uid="{00000000-0005-0000-0000-000051820000}"/>
    <cellStyle name="Normal 3 3 3 26 3" xfId="33371" xr:uid="{00000000-0005-0000-0000-000052820000}"/>
    <cellStyle name="Normal 3 3 3 27" xfId="33372" xr:uid="{00000000-0005-0000-0000-000053820000}"/>
    <cellStyle name="Normal 3 3 3 27 2" xfId="33373" xr:uid="{00000000-0005-0000-0000-000054820000}"/>
    <cellStyle name="Normal 3 3 3 27 3" xfId="33374" xr:uid="{00000000-0005-0000-0000-000055820000}"/>
    <cellStyle name="Normal 3 3 3 28" xfId="33375" xr:uid="{00000000-0005-0000-0000-000056820000}"/>
    <cellStyle name="Normal 3 3 3 29" xfId="33376" xr:uid="{00000000-0005-0000-0000-000057820000}"/>
    <cellStyle name="Normal 3 3 3 3" xfId="33377" xr:uid="{00000000-0005-0000-0000-000058820000}"/>
    <cellStyle name="Normal 3 3 3 4" xfId="33378" xr:uid="{00000000-0005-0000-0000-000059820000}"/>
    <cellStyle name="Normal 3 3 3 5" xfId="33379" xr:uid="{00000000-0005-0000-0000-00005A820000}"/>
    <cellStyle name="Normal 3 3 3 6" xfId="33380" xr:uid="{00000000-0005-0000-0000-00005B820000}"/>
    <cellStyle name="Normal 3 3 3 6 10" xfId="33381" xr:uid="{00000000-0005-0000-0000-00005C820000}"/>
    <cellStyle name="Normal 3 3 3 6 10 2" xfId="33382" xr:uid="{00000000-0005-0000-0000-00005D820000}"/>
    <cellStyle name="Normal 3 3 3 6 10 3" xfId="33383" xr:uid="{00000000-0005-0000-0000-00005E820000}"/>
    <cellStyle name="Normal 3 3 3 6 11" xfId="33384" xr:uid="{00000000-0005-0000-0000-00005F820000}"/>
    <cellStyle name="Normal 3 3 3 6 11 2" xfId="33385" xr:uid="{00000000-0005-0000-0000-000060820000}"/>
    <cellStyle name="Normal 3 3 3 6 11 3" xfId="33386" xr:uid="{00000000-0005-0000-0000-000061820000}"/>
    <cellStyle name="Normal 3 3 3 6 12" xfId="33387" xr:uid="{00000000-0005-0000-0000-000062820000}"/>
    <cellStyle name="Normal 3 3 3 6 12 2" xfId="33388" xr:uid="{00000000-0005-0000-0000-000063820000}"/>
    <cellStyle name="Normal 3 3 3 6 12 3" xfId="33389" xr:uid="{00000000-0005-0000-0000-000064820000}"/>
    <cellStyle name="Normal 3 3 3 6 13" xfId="33390" xr:uid="{00000000-0005-0000-0000-000065820000}"/>
    <cellStyle name="Normal 3 3 3 6 13 2" xfId="33391" xr:uid="{00000000-0005-0000-0000-000066820000}"/>
    <cellStyle name="Normal 3 3 3 6 13 3" xfId="33392" xr:uid="{00000000-0005-0000-0000-000067820000}"/>
    <cellStyle name="Normal 3 3 3 6 14" xfId="33393" xr:uid="{00000000-0005-0000-0000-000068820000}"/>
    <cellStyle name="Normal 3 3 3 6 14 2" xfId="33394" xr:uid="{00000000-0005-0000-0000-000069820000}"/>
    <cellStyle name="Normal 3 3 3 6 14 3" xfId="33395" xr:uid="{00000000-0005-0000-0000-00006A820000}"/>
    <cellStyle name="Normal 3 3 3 6 15" xfId="33396" xr:uid="{00000000-0005-0000-0000-00006B820000}"/>
    <cellStyle name="Normal 3 3 3 6 15 2" xfId="33397" xr:uid="{00000000-0005-0000-0000-00006C820000}"/>
    <cellStyle name="Normal 3 3 3 6 15 3" xfId="33398" xr:uid="{00000000-0005-0000-0000-00006D820000}"/>
    <cellStyle name="Normal 3 3 3 6 16" xfId="33399" xr:uid="{00000000-0005-0000-0000-00006E820000}"/>
    <cellStyle name="Normal 3 3 3 6 17" xfId="33400" xr:uid="{00000000-0005-0000-0000-00006F820000}"/>
    <cellStyle name="Normal 3 3 3 6 2" xfId="33401" xr:uid="{00000000-0005-0000-0000-000070820000}"/>
    <cellStyle name="Normal 3 3 3 6 2 10" xfId="33402" xr:uid="{00000000-0005-0000-0000-000071820000}"/>
    <cellStyle name="Normal 3 3 3 6 2 10 2" xfId="33403" xr:uid="{00000000-0005-0000-0000-000072820000}"/>
    <cellStyle name="Normal 3 3 3 6 2 10 3" xfId="33404" xr:uid="{00000000-0005-0000-0000-000073820000}"/>
    <cellStyle name="Normal 3 3 3 6 2 11" xfId="33405" xr:uid="{00000000-0005-0000-0000-000074820000}"/>
    <cellStyle name="Normal 3 3 3 6 2 11 2" xfId="33406" xr:uid="{00000000-0005-0000-0000-000075820000}"/>
    <cellStyle name="Normal 3 3 3 6 2 11 3" xfId="33407" xr:uid="{00000000-0005-0000-0000-000076820000}"/>
    <cellStyle name="Normal 3 3 3 6 2 12" xfId="33408" xr:uid="{00000000-0005-0000-0000-000077820000}"/>
    <cellStyle name="Normal 3 3 3 6 2 12 2" xfId="33409" xr:uid="{00000000-0005-0000-0000-000078820000}"/>
    <cellStyle name="Normal 3 3 3 6 2 12 3" xfId="33410" xr:uid="{00000000-0005-0000-0000-000079820000}"/>
    <cellStyle name="Normal 3 3 3 6 2 13" xfId="33411" xr:uid="{00000000-0005-0000-0000-00007A820000}"/>
    <cellStyle name="Normal 3 3 3 6 2 13 2" xfId="33412" xr:uid="{00000000-0005-0000-0000-00007B820000}"/>
    <cellStyle name="Normal 3 3 3 6 2 13 3" xfId="33413" xr:uid="{00000000-0005-0000-0000-00007C820000}"/>
    <cellStyle name="Normal 3 3 3 6 2 14" xfId="33414" xr:uid="{00000000-0005-0000-0000-00007D820000}"/>
    <cellStyle name="Normal 3 3 3 6 2 14 2" xfId="33415" xr:uid="{00000000-0005-0000-0000-00007E820000}"/>
    <cellStyle name="Normal 3 3 3 6 2 14 3" xfId="33416" xr:uid="{00000000-0005-0000-0000-00007F820000}"/>
    <cellStyle name="Normal 3 3 3 6 2 15" xfId="33417" xr:uid="{00000000-0005-0000-0000-000080820000}"/>
    <cellStyle name="Normal 3 3 3 6 2 16" xfId="33418" xr:uid="{00000000-0005-0000-0000-000081820000}"/>
    <cellStyle name="Normal 3 3 3 6 2 2" xfId="33419" xr:uid="{00000000-0005-0000-0000-000082820000}"/>
    <cellStyle name="Normal 3 3 3 6 2 2 2" xfId="33420" xr:uid="{00000000-0005-0000-0000-000083820000}"/>
    <cellStyle name="Normal 3 3 3 6 2 2 3" xfId="33421" xr:uid="{00000000-0005-0000-0000-000084820000}"/>
    <cellStyle name="Normal 3 3 3 6 2 3" xfId="33422" xr:uid="{00000000-0005-0000-0000-000085820000}"/>
    <cellStyle name="Normal 3 3 3 6 2 3 2" xfId="33423" xr:uid="{00000000-0005-0000-0000-000086820000}"/>
    <cellStyle name="Normal 3 3 3 6 2 3 3" xfId="33424" xr:uid="{00000000-0005-0000-0000-000087820000}"/>
    <cellStyle name="Normal 3 3 3 6 2 4" xfId="33425" xr:uid="{00000000-0005-0000-0000-000088820000}"/>
    <cellStyle name="Normal 3 3 3 6 2 4 2" xfId="33426" xr:uid="{00000000-0005-0000-0000-000089820000}"/>
    <cellStyle name="Normal 3 3 3 6 2 4 3" xfId="33427" xr:uid="{00000000-0005-0000-0000-00008A820000}"/>
    <cellStyle name="Normal 3 3 3 6 2 5" xfId="33428" xr:uid="{00000000-0005-0000-0000-00008B820000}"/>
    <cellStyle name="Normal 3 3 3 6 2 5 2" xfId="33429" xr:uid="{00000000-0005-0000-0000-00008C820000}"/>
    <cellStyle name="Normal 3 3 3 6 2 5 3" xfId="33430" xr:uid="{00000000-0005-0000-0000-00008D820000}"/>
    <cellStyle name="Normal 3 3 3 6 2 6" xfId="33431" xr:uid="{00000000-0005-0000-0000-00008E820000}"/>
    <cellStyle name="Normal 3 3 3 6 2 6 2" xfId="33432" xr:uid="{00000000-0005-0000-0000-00008F820000}"/>
    <cellStyle name="Normal 3 3 3 6 2 6 3" xfId="33433" xr:uid="{00000000-0005-0000-0000-000090820000}"/>
    <cellStyle name="Normal 3 3 3 6 2 7" xfId="33434" xr:uid="{00000000-0005-0000-0000-000091820000}"/>
    <cellStyle name="Normal 3 3 3 6 2 7 2" xfId="33435" xr:uid="{00000000-0005-0000-0000-000092820000}"/>
    <cellStyle name="Normal 3 3 3 6 2 7 3" xfId="33436" xr:uid="{00000000-0005-0000-0000-000093820000}"/>
    <cellStyle name="Normal 3 3 3 6 2 8" xfId="33437" xr:uid="{00000000-0005-0000-0000-000094820000}"/>
    <cellStyle name="Normal 3 3 3 6 2 8 2" xfId="33438" xr:uid="{00000000-0005-0000-0000-000095820000}"/>
    <cellStyle name="Normal 3 3 3 6 2 8 3" xfId="33439" xr:uid="{00000000-0005-0000-0000-000096820000}"/>
    <cellStyle name="Normal 3 3 3 6 2 9" xfId="33440" xr:uid="{00000000-0005-0000-0000-000097820000}"/>
    <cellStyle name="Normal 3 3 3 6 2 9 2" xfId="33441" xr:uid="{00000000-0005-0000-0000-000098820000}"/>
    <cellStyle name="Normal 3 3 3 6 2 9 3" xfId="33442" xr:uid="{00000000-0005-0000-0000-000099820000}"/>
    <cellStyle name="Normal 3 3 3 6 3" xfId="33443" xr:uid="{00000000-0005-0000-0000-00009A820000}"/>
    <cellStyle name="Normal 3 3 3 6 3 2" xfId="33444" xr:uid="{00000000-0005-0000-0000-00009B820000}"/>
    <cellStyle name="Normal 3 3 3 6 3 3" xfId="33445" xr:uid="{00000000-0005-0000-0000-00009C820000}"/>
    <cellStyle name="Normal 3 3 3 6 4" xfId="33446" xr:uid="{00000000-0005-0000-0000-00009D820000}"/>
    <cellStyle name="Normal 3 3 3 6 4 2" xfId="33447" xr:uid="{00000000-0005-0000-0000-00009E820000}"/>
    <cellStyle name="Normal 3 3 3 6 4 3" xfId="33448" xr:uid="{00000000-0005-0000-0000-00009F820000}"/>
    <cellStyle name="Normal 3 3 3 6 5" xfId="33449" xr:uid="{00000000-0005-0000-0000-0000A0820000}"/>
    <cellStyle name="Normal 3 3 3 6 5 2" xfId="33450" xr:uid="{00000000-0005-0000-0000-0000A1820000}"/>
    <cellStyle name="Normal 3 3 3 6 5 3" xfId="33451" xr:uid="{00000000-0005-0000-0000-0000A2820000}"/>
    <cellStyle name="Normal 3 3 3 6 6" xfId="33452" xr:uid="{00000000-0005-0000-0000-0000A3820000}"/>
    <cellStyle name="Normal 3 3 3 6 6 2" xfId="33453" xr:uid="{00000000-0005-0000-0000-0000A4820000}"/>
    <cellStyle name="Normal 3 3 3 6 6 3" xfId="33454" xr:uid="{00000000-0005-0000-0000-0000A5820000}"/>
    <cellStyle name="Normal 3 3 3 6 7" xfId="33455" xr:uid="{00000000-0005-0000-0000-0000A6820000}"/>
    <cellStyle name="Normal 3 3 3 6 7 2" xfId="33456" xr:uid="{00000000-0005-0000-0000-0000A7820000}"/>
    <cellStyle name="Normal 3 3 3 6 7 3" xfId="33457" xr:uid="{00000000-0005-0000-0000-0000A8820000}"/>
    <cellStyle name="Normal 3 3 3 6 8" xfId="33458" xr:uid="{00000000-0005-0000-0000-0000A9820000}"/>
    <cellStyle name="Normal 3 3 3 6 8 2" xfId="33459" xr:uid="{00000000-0005-0000-0000-0000AA820000}"/>
    <cellStyle name="Normal 3 3 3 6 8 3" xfId="33460" xr:uid="{00000000-0005-0000-0000-0000AB820000}"/>
    <cellStyle name="Normal 3 3 3 6 9" xfId="33461" xr:uid="{00000000-0005-0000-0000-0000AC820000}"/>
    <cellStyle name="Normal 3 3 3 6 9 2" xfId="33462" xr:uid="{00000000-0005-0000-0000-0000AD820000}"/>
    <cellStyle name="Normal 3 3 3 6 9 3" xfId="33463" xr:uid="{00000000-0005-0000-0000-0000AE820000}"/>
    <cellStyle name="Normal 3 3 3 7" xfId="33464" xr:uid="{00000000-0005-0000-0000-0000AF820000}"/>
    <cellStyle name="Normal 3 3 3 7 10" xfId="33465" xr:uid="{00000000-0005-0000-0000-0000B0820000}"/>
    <cellStyle name="Normal 3 3 3 7 10 2" xfId="33466" xr:uid="{00000000-0005-0000-0000-0000B1820000}"/>
    <cellStyle name="Normal 3 3 3 7 10 3" xfId="33467" xr:uid="{00000000-0005-0000-0000-0000B2820000}"/>
    <cellStyle name="Normal 3 3 3 7 11" xfId="33468" xr:uid="{00000000-0005-0000-0000-0000B3820000}"/>
    <cellStyle name="Normal 3 3 3 7 11 2" xfId="33469" xr:uid="{00000000-0005-0000-0000-0000B4820000}"/>
    <cellStyle name="Normal 3 3 3 7 11 3" xfId="33470" xr:uid="{00000000-0005-0000-0000-0000B5820000}"/>
    <cellStyle name="Normal 3 3 3 7 12" xfId="33471" xr:uid="{00000000-0005-0000-0000-0000B6820000}"/>
    <cellStyle name="Normal 3 3 3 7 12 2" xfId="33472" xr:uid="{00000000-0005-0000-0000-0000B7820000}"/>
    <cellStyle name="Normal 3 3 3 7 12 3" xfId="33473" xr:uid="{00000000-0005-0000-0000-0000B8820000}"/>
    <cellStyle name="Normal 3 3 3 7 13" xfId="33474" xr:uid="{00000000-0005-0000-0000-0000B9820000}"/>
    <cellStyle name="Normal 3 3 3 7 13 2" xfId="33475" xr:uid="{00000000-0005-0000-0000-0000BA820000}"/>
    <cellStyle name="Normal 3 3 3 7 13 3" xfId="33476" xr:uid="{00000000-0005-0000-0000-0000BB820000}"/>
    <cellStyle name="Normal 3 3 3 7 14" xfId="33477" xr:uid="{00000000-0005-0000-0000-0000BC820000}"/>
    <cellStyle name="Normal 3 3 3 7 14 2" xfId="33478" xr:uid="{00000000-0005-0000-0000-0000BD820000}"/>
    <cellStyle name="Normal 3 3 3 7 14 3" xfId="33479" xr:uid="{00000000-0005-0000-0000-0000BE820000}"/>
    <cellStyle name="Normal 3 3 3 7 15" xfId="33480" xr:uid="{00000000-0005-0000-0000-0000BF820000}"/>
    <cellStyle name="Normal 3 3 3 7 15 2" xfId="33481" xr:uid="{00000000-0005-0000-0000-0000C0820000}"/>
    <cellStyle name="Normal 3 3 3 7 15 3" xfId="33482" xr:uid="{00000000-0005-0000-0000-0000C1820000}"/>
    <cellStyle name="Normal 3 3 3 7 16" xfId="33483" xr:uid="{00000000-0005-0000-0000-0000C2820000}"/>
    <cellStyle name="Normal 3 3 3 7 17" xfId="33484" xr:uid="{00000000-0005-0000-0000-0000C3820000}"/>
    <cellStyle name="Normal 3 3 3 7 2" xfId="33485" xr:uid="{00000000-0005-0000-0000-0000C4820000}"/>
    <cellStyle name="Normal 3 3 3 7 2 10" xfId="33486" xr:uid="{00000000-0005-0000-0000-0000C5820000}"/>
    <cellStyle name="Normal 3 3 3 7 2 10 2" xfId="33487" xr:uid="{00000000-0005-0000-0000-0000C6820000}"/>
    <cellStyle name="Normal 3 3 3 7 2 10 3" xfId="33488" xr:uid="{00000000-0005-0000-0000-0000C7820000}"/>
    <cellStyle name="Normal 3 3 3 7 2 11" xfId="33489" xr:uid="{00000000-0005-0000-0000-0000C8820000}"/>
    <cellStyle name="Normal 3 3 3 7 2 11 2" xfId="33490" xr:uid="{00000000-0005-0000-0000-0000C9820000}"/>
    <cellStyle name="Normal 3 3 3 7 2 11 3" xfId="33491" xr:uid="{00000000-0005-0000-0000-0000CA820000}"/>
    <cellStyle name="Normal 3 3 3 7 2 12" xfId="33492" xr:uid="{00000000-0005-0000-0000-0000CB820000}"/>
    <cellStyle name="Normal 3 3 3 7 2 12 2" xfId="33493" xr:uid="{00000000-0005-0000-0000-0000CC820000}"/>
    <cellStyle name="Normal 3 3 3 7 2 12 3" xfId="33494" xr:uid="{00000000-0005-0000-0000-0000CD820000}"/>
    <cellStyle name="Normal 3 3 3 7 2 13" xfId="33495" xr:uid="{00000000-0005-0000-0000-0000CE820000}"/>
    <cellStyle name="Normal 3 3 3 7 2 13 2" xfId="33496" xr:uid="{00000000-0005-0000-0000-0000CF820000}"/>
    <cellStyle name="Normal 3 3 3 7 2 13 3" xfId="33497" xr:uid="{00000000-0005-0000-0000-0000D0820000}"/>
    <cellStyle name="Normal 3 3 3 7 2 14" xfId="33498" xr:uid="{00000000-0005-0000-0000-0000D1820000}"/>
    <cellStyle name="Normal 3 3 3 7 2 14 2" xfId="33499" xr:uid="{00000000-0005-0000-0000-0000D2820000}"/>
    <cellStyle name="Normal 3 3 3 7 2 14 3" xfId="33500" xr:uid="{00000000-0005-0000-0000-0000D3820000}"/>
    <cellStyle name="Normal 3 3 3 7 2 15" xfId="33501" xr:uid="{00000000-0005-0000-0000-0000D4820000}"/>
    <cellStyle name="Normal 3 3 3 7 2 16" xfId="33502" xr:uid="{00000000-0005-0000-0000-0000D5820000}"/>
    <cellStyle name="Normal 3 3 3 7 2 2" xfId="33503" xr:uid="{00000000-0005-0000-0000-0000D6820000}"/>
    <cellStyle name="Normal 3 3 3 7 2 2 2" xfId="33504" xr:uid="{00000000-0005-0000-0000-0000D7820000}"/>
    <cellStyle name="Normal 3 3 3 7 2 2 3" xfId="33505" xr:uid="{00000000-0005-0000-0000-0000D8820000}"/>
    <cellStyle name="Normal 3 3 3 7 2 3" xfId="33506" xr:uid="{00000000-0005-0000-0000-0000D9820000}"/>
    <cellStyle name="Normal 3 3 3 7 2 3 2" xfId="33507" xr:uid="{00000000-0005-0000-0000-0000DA820000}"/>
    <cellStyle name="Normal 3 3 3 7 2 3 3" xfId="33508" xr:uid="{00000000-0005-0000-0000-0000DB820000}"/>
    <cellStyle name="Normal 3 3 3 7 2 4" xfId="33509" xr:uid="{00000000-0005-0000-0000-0000DC820000}"/>
    <cellStyle name="Normal 3 3 3 7 2 4 2" xfId="33510" xr:uid="{00000000-0005-0000-0000-0000DD820000}"/>
    <cellStyle name="Normal 3 3 3 7 2 4 3" xfId="33511" xr:uid="{00000000-0005-0000-0000-0000DE820000}"/>
    <cellStyle name="Normal 3 3 3 7 2 5" xfId="33512" xr:uid="{00000000-0005-0000-0000-0000DF820000}"/>
    <cellStyle name="Normal 3 3 3 7 2 5 2" xfId="33513" xr:uid="{00000000-0005-0000-0000-0000E0820000}"/>
    <cellStyle name="Normal 3 3 3 7 2 5 3" xfId="33514" xr:uid="{00000000-0005-0000-0000-0000E1820000}"/>
    <cellStyle name="Normal 3 3 3 7 2 6" xfId="33515" xr:uid="{00000000-0005-0000-0000-0000E2820000}"/>
    <cellStyle name="Normal 3 3 3 7 2 6 2" xfId="33516" xr:uid="{00000000-0005-0000-0000-0000E3820000}"/>
    <cellStyle name="Normal 3 3 3 7 2 6 3" xfId="33517" xr:uid="{00000000-0005-0000-0000-0000E4820000}"/>
    <cellStyle name="Normal 3 3 3 7 2 7" xfId="33518" xr:uid="{00000000-0005-0000-0000-0000E5820000}"/>
    <cellStyle name="Normal 3 3 3 7 2 7 2" xfId="33519" xr:uid="{00000000-0005-0000-0000-0000E6820000}"/>
    <cellStyle name="Normal 3 3 3 7 2 7 3" xfId="33520" xr:uid="{00000000-0005-0000-0000-0000E7820000}"/>
    <cellStyle name="Normal 3 3 3 7 2 8" xfId="33521" xr:uid="{00000000-0005-0000-0000-0000E8820000}"/>
    <cellStyle name="Normal 3 3 3 7 2 8 2" xfId="33522" xr:uid="{00000000-0005-0000-0000-0000E9820000}"/>
    <cellStyle name="Normal 3 3 3 7 2 8 3" xfId="33523" xr:uid="{00000000-0005-0000-0000-0000EA820000}"/>
    <cellStyle name="Normal 3 3 3 7 2 9" xfId="33524" xr:uid="{00000000-0005-0000-0000-0000EB820000}"/>
    <cellStyle name="Normal 3 3 3 7 2 9 2" xfId="33525" xr:uid="{00000000-0005-0000-0000-0000EC820000}"/>
    <cellStyle name="Normal 3 3 3 7 2 9 3" xfId="33526" xr:uid="{00000000-0005-0000-0000-0000ED820000}"/>
    <cellStyle name="Normal 3 3 3 7 3" xfId="33527" xr:uid="{00000000-0005-0000-0000-0000EE820000}"/>
    <cellStyle name="Normal 3 3 3 7 3 2" xfId="33528" xr:uid="{00000000-0005-0000-0000-0000EF820000}"/>
    <cellStyle name="Normal 3 3 3 7 3 3" xfId="33529" xr:uid="{00000000-0005-0000-0000-0000F0820000}"/>
    <cellStyle name="Normal 3 3 3 7 4" xfId="33530" xr:uid="{00000000-0005-0000-0000-0000F1820000}"/>
    <cellStyle name="Normal 3 3 3 7 4 2" xfId="33531" xr:uid="{00000000-0005-0000-0000-0000F2820000}"/>
    <cellStyle name="Normal 3 3 3 7 4 3" xfId="33532" xr:uid="{00000000-0005-0000-0000-0000F3820000}"/>
    <cellStyle name="Normal 3 3 3 7 5" xfId="33533" xr:uid="{00000000-0005-0000-0000-0000F4820000}"/>
    <cellStyle name="Normal 3 3 3 7 5 2" xfId="33534" xr:uid="{00000000-0005-0000-0000-0000F5820000}"/>
    <cellStyle name="Normal 3 3 3 7 5 3" xfId="33535" xr:uid="{00000000-0005-0000-0000-0000F6820000}"/>
    <cellStyle name="Normal 3 3 3 7 6" xfId="33536" xr:uid="{00000000-0005-0000-0000-0000F7820000}"/>
    <cellStyle name="Normal 3 3 3 7 6 2" xfId="33537" xr:uid="{00000000-0005-0000-0000-0000F8820000}"/>
    <cellStyle name="Normal 3 3 3 7 6 3" xfId="33538" xr:uid="{00000000-0005-0000-0000-0000F9820000}"/>
    <cellStyle name="Normal 3 3 3 7 7" xfId="33539" xr:uid="{00000000-0005-0000-0000-0000FA820000}"/>
    <cellStyle name="Normal 3 3 3 7 7 2" xfId="33540" xr:uid="{00000000-0005-0000-0000-0000FB820000}"/>
    <cellStyle name="Normal 3 3 3 7 7 3" xfId="33541" xr:uid="{00000000-0005-0000-0000-0000FC820000}"/>
    <cellStyle name="Normal 3 3 3 7 8" xfId="33542" xr:uid="{00000000-0005-0000-0000-0000FD820000}"/>
    <cellStyle name="Normal 3 3 3 7 8 2" xfId="33543" xr:uid="{00000000-0005-0000-0000-0000FE820000}"/>
    <cellStyle name="Normal 3 3 3 7 8 3" xfId="33544" xr:uid="{00000000-0005-0000-0000-0000FF820000}"/>
    <cellStyle name="Normal 3 3 3 7 9" xfId="33545" xr:uid="{00000000-0005-0000-0000-000000830000}"/>
    <cellStyle name="Normal 3 3 3 7 9 2" xfId="33546" xr:uid="{00000000-0005-0000-0000-000001830000}"/>
    <cellStyle name="Normal 3 3 3 7 9 3" xfId="33547" xr:uid="{00000000-0005-0000-0000-000002830000}"/>
    <cellStyle name="Normal 3 3 3 8" xfId="33548" xr:uid="{00000000-0005-0000-0000-000003830000}"/>
    <cellStyle name="Normal 3 3 3 8 10" xfId="33549" xr:uid="{00000000-0005-0000-0000-000004830000}"/>
    <cellStyle name="Normal 3 3 3 8 10 2" xfId="33550" xr:uid="{00000000-0005-0000-0000-000005830000}"/>
    <cellStyle name="Normal 3 3 3 8 10 3" xfId="33551" xr:uid="{00000000-0005-0000-0000-000006830000}"/>
    <cellStyle name="Normal 3 3 3 8 11" xfId="33552" xr:uid="{00000000-0005-0000-0000-000007830000}"/>
    <cellStyle name="Normal 3 3 3 8 11 2" xfId="33553" xr:uid="{00000000-0005-0000-0000-000008830000}"/>
    <cellStyle name="Normal 3 3 3 8 11 3" xfId="33554" xr:uid="{00000000-0005-0000-0000-000009830000}"/>
    <cellStyle name="Normal 3 3 3 8 12" xfId="33555" xr:uid="{00000000-0005-0000-0000-00000A830000}"/>
    <cellStyle name="Normal 3 3 3 8 12 2" xfId="33556" xr:uid="{00000000-0005-0000-0000-00000B830000}"/>
    <cellStyle name="Normal 3 3 3 8 12 3" xfId="33557" xr:uid="{00000000-0005-0000-0000-00000C830000}"/>
    <cellStyle name="Normal 3 3 3 8 13" xfId="33558" xr:uid="{00000000-0005-0000-0000-00000D830000}"/>
    <cellStyle name="Normal 3 3 3 8 13 2" xfId="33559" xr:uid="{00000000-0005-0000-0000-00000E830000}"/>
    <cellStyle name="Normal 3 3 3 8 13 3" xfId="33560" xr:uid="{00000000-0005-0000-0000-00000F830000}"/>
    <cellStyle name="Normal 3 3 3 8 14" xfId="33561" xr:uid="{00000000-0005-0000-0000-000010830000}"/>
    <cellStyle name="Normal 3 3 3 8 14 2" xfId="33562" xr:uid="{00000000-0005-0000-0000-000011830000}"/>
    <cellStyle name="Normal 3 3 3 8 14 3" xfId="33563" xr:uid="{00000000-0005-0000-0000-000012830000}"/>
    <cellStyle name="Normal 3 3 3 8 15" xfId="33564" xr:uid="{00000000-0005-0000-0000-000013830000}"/>
    <cellStyle name="Normal 3 3 3 8 15 2" xfId="33565" xr:uid="{00000000-0005-0000-0000-000014830000}"/>
    <cellStyle name="Normal 3 3 3 8 15 3" xfId="33566" xr:uid="{00000000-0005-0000-0000-000015830000}"/>
    <cellStyle name="Normal 3 3 3 8 16" xfId="33567" xr:uid="{00000000-0005-0000-0000-000016830000}"/>
    <cellStyle name="Normal 3 3 3 8 17" xfId="33568" xr:uid="{00000000-0005-0000-0000-000017830000}"/>
    <cellStyle name="Normal 3 3 3 8 2" xfId="33569" xr:uid="{00000000-0005-0000-0000-000018830000}"/>
    <cellStyle name="Normal 3 3 3 8 2 10" xfId="33570" xr:uid="{00000000-0005-0000-0000-000019830000}"/>
    <cellStyle name="Normal 3 3 3 8 2 10 2" xfId="33571" xr:uid="{00000000-0005-0000-0000-00001A830000}"/>
    <cellStyle name="Normal 3 3 3 8 2 10 3" xfId="33572" xr:uid="{00000000-0005-0000-0000-00001B830000}"/>
    <cellStyle name="Normal 3 3 3 8 2 11" xfId="33573" xr:uid="{00000000-0005-0000-0000-00001C830000}"/>
    <cellStyle name="Normal 3 3 3 8 2 11 2" xfId="33574" xr:uid="{00000000-0005-0000-0000-00001D830000}"/>
    <cellStyle name="Normal 3 3 3 8 2 11 3" xfId="33575" xr:uid="{00000000-0005-0000-0000-00001E830000}"/>
    <cellStyle name="Normal 3 3 3 8 2 12" xfId="33576" xr:uid="{00000000-0005-0000-0000-00001F830000}"/>
    <cellStyle name="Normal 3 3 3 8 2 12 2" xfId="33577" xr:uid="{00000000-0005-0000-0000-000020830000}"/>
    <cellStyle name="Normal 3 3 3 8 2 12 3" xfId="33578" xr:uid="{00000000-0005-0000-0000-000021830000}"/>
    <cellStyle name="Normal 3 3 3 8 2 13" xfId="33579" xr:uid="{00000000-0005-0000-0000-000022830000}"/>
    <cellStyle name="Normal 3 3 3 8 2 13 2" xfId="33580" xr:uid="{00000000-0005-0000-0000-000023830000}"/>
    <cellStyle name="Normal 3 3 3 8 2 13 3" xfId="33581" xr:uid="{00000000-0005-0000-0000-000024830000}"/>
    <cellStyle name="Normal 3 3 3 8 2 14" xfId="33582" xr:uid="{00000000-0005-0000-0000-000025830000}"/>
    <cellStyle name="Normal 3 3 3 8 2 14 2" xfId="33583" xr:uid="{00000000-0005-0000-0000-000026830000}"/>
    <cellStyle name="Normal 3 3 3 8 2 14 3" xfId="33584" xr:uid="{00000000-0005-0000-0000-000027830000}"/>
    <cellStyle name="Normal 3 3 3 8 2 15" xfId="33585" xr:uid="{00000000-0005-0000-0000-000028830000}"/>
    <cellStyle name="Normal 3 3 3 8 2 16" xfId="33586" xr:uid="{00000000-0005-0000-0000-000029830000}"/>
    <cellStyle name="Normal 3 3 3 8 2 2" xfId="33587" xr:uid="{00000000-0005-0000-0000-00002A830000}"/>
    <cellStyle name="Normal 3 3 3 8 2 2 2" xfId="33588" xr:uid="{00000000-0005-0000-0000-00002B830000}"/>
    <cellStyle name="Normal 3 3 3 8 2 2 3" xfId="33589" xr:uid="{00000000-0005-0000-0000-00002C830000}"/>
    <cellStyle name="Normal 3 3 3 8 2 3" xfId="33590" xr:uid="{00000000-0005-0000-0000-00002D830000}"/>
    <cellStyle name="Normal 3 3 3 8 2 3 2" xfId="33591" xr:uid="{00000000-0005-0000-0000-00002E830000}"/>
    <cellStyle name="Normal 3 3 3 8 2 3 3" xfId="33592" xr:uid="{00000000-0005-0000-0000-00002F830000}"/>
    <cellStyle name="Normal 3 3 3 8 2 4" xfId="33593" xr:uid="{00000000-0005-0000-0000-000030830000}"/>
    <cellStyle name="Normal 3 3 3 8 2 4 2" xfId="33594" xr:uid="{00000000-0005-0000-0000-000031830000}"/>
    <cellStyle name="Normal 3 3 3 8 2 4 3" xfId="33595" xr:uid="{00000000-0005-0000-0000-000032830000}"/>
    <cellStyle name="Normal 3 3 3 8 2 5" xfId="33596" xr:uid="{00000000-0005-0000-0000-000033830000}"/>
    <cellStyle name="Normal 3 3 3 8 2 5 2" xfId="33597" xr:uid="{00000000-0005-0000-0000-000034830000}"/>
    <cellStyle name="Normal 3 3 3 8 2 5 3" xfId="33598" xr:uid="{00000000-0005-0000-0000-000035830000}"/>
    <cellStyle name="Normal 3 3 3 8 2 6" xfId="33599" xr:uid="{00000000-0005-0000-0000-000036830000}"/>
    <cellStyle name="Normal 3 3 3 8 2 6 2" xfId="33600" xr:uid="{00000000-0005-0000-0000-000037830000}"/>
    <cellStyle name="Normal 3 3 3 8 2 6 3" xfId="33601" xr:uid="{00000000-0005-0000-0000-000038830000}"/>
    <cellStyle name="Normal 3 3 3 8 2 7" xfId="33602" xr:uid="{00000000-0005-0000-0000-000039830000}"/>
    <cellStyle name="Normal 3 3 3 8 2 7 2" xfId="33603" xr:uid="{00000000-0005-0000-0000-00003A830000}"/>
    <cellStyle name="Normal 3 3 3 8 2 7 3" xfId="33604" xr:uid="{00000000-0005-0000-0000-00003B830000}"/>
    <cellStyle name="Normal 3 3 3 8 2 8" xfId="33605" xr:uid="{00000000-0005-0000-0000-00003C830000}"/>
    <cellStyle name="Normal 3 3 3 8 2 8 2" xfId="33606" xr:uid="{00000000-0005-0000-0000-00003D830000}"/>
    <cellStyle name="Normal 3 3 3 8 2 8 3" xfId="33607" xr:uid="{00000000-0005-0000-0000-00003E830000}"/>
    <cellStyle name="Normal 3 3 3 8 2 9" xfId="33608" xr:uid="{00000000-0005-0000-0000-00003F830000}"/>
    <cellStyle name="Normal 3 3 3 8 2 9 2" xfId="33609" xr:uid="{00000000-0005-0000-0000-000040830000}"/>
    <cellStyle name="Normal 3 3 3 8 2 9 3" xfId="33610" xr:uid="{00000000-0005-0000-0000-000041830000}"/>
    <cellStyle name="Normal 3 3 3 8 3" xfId="33611" xr:uid="{00000000-0005-0000-0000-000042830000}"/>
    <cellStyle name="Normal 3 3 3 8 3 2" xfId="33612" xr:uid="{00000000-0005-0000-0000-000043830000}"/>
    <cellStyle name="Normal 3 3 3 8 3 3" xfId="33613" xr:uid="{00000000-0005-0000-0000-000044830000}"/>
    <cellStyle name="Normal 3 3 3 8 4" xfId="33614" xr:uid="{00000000-0005-0000-0000-000045830000}"/>
    <cellStyle name="Normal 3 3 3 8 4 2" xfId="33615" xr:uid="{00000000-0005-0000-0000-000046830000}"/>
    <cellStyle name="Normal 3 3 3 8 4 3" xfId="33616" xr:uid="{00000000-0005-0000-0000-000047830000}"/>
    <cellStyle name="Normal 3 3 3 8 5" xfId="33617" xr:uid="{00000000-0005-0000-0000-000048830000}"/>
    <cellStyle name="Normal 3 3 3 8 5 2" xfId="33618" xr:uid="{00000000-0005-0000-0000-000049830000}"/>
    <cellStyle name="Normal 3 3 3 8 5 3" xfId="33619" xr:uid="{00000000-0005-0000-0000-00004A830000}"/>
    <cellStyle name="Normal 3 3 3 8 6" xfId="33620" xr:uid="{00000000-0005-0000-0000-00004B830000}"/>
    <cellStyle name="Normal 3 3 3 8 6 2" xfId="33621" xr:uid="{00000000-0005-0000-0000-00004C830000}"/>
    <cellStyle name="Normal 3 3 3 8 6 3" xfId="33622" xr:uid="{00000000-0005-0000-0000-00004D830000}"/>
    <cellStyle name="Normal 3 3 3 8 7" xfId="33623" xr:uid="{00000000-0005-0000-0000-00004E830000}"/>
    <cellStyle name="Normal 3 3 3 8 7 2" xfId="33624" xr:uid="{00000000-0005-0000-0000-00004F830000}"/>
    <cellStyle name="Normal 3 3 3 8 7 3" xfId="33625" xr:uid="{00000000-0005-0000-0000-000050830000}"/>
    <cellStyle name="Normal 3 3 3 8 8" xfId="33626" xr:uid="{00000000-0005-0000-0000-000051830000}"/>
    <cellStyle name="Normal 3 3 3 8 8 2" xfId="33627" xr:uid="{00000000-0005-0000-0000-000052830000}"/>
    <cellStyle name="Normal 3 3 3 8 8 3" xfId="33628" xr:uid="{00000000-0005-0000-0000-000053830000}"/>
    <cellStyle name="Normal 3 3 3 8 9" xfId="33629" xr:uid="{00000000-0005-0000-0000-000054830000}"/>
    <cellStyle name="Normal 3 3 3 8 9 2" xfId="33630" xr:uid="{00000000-0005-0000-0000-000055830000}"/>
    <cellStyle name="Normal 3 3 3 8 9 3" xfId="33631" xr:uid="{00000000-0005-0000-0000-000056830000}"/>
    <cellStyle name="Normal 3 3 3 9" xfId="33632" xr:uid="{00000000-0005-0000-0000-000057830000}"/>
    <cellStyle name="Normal 3 3 3 9 10" xfId="33633" xr:uid="{00000000-0005-0000-0000-000058830000}"/>
    <cellStyle name="Normal 3 3 3 9 10 2" xfId="33634" xr:uid="{00000000-0005-0000-0000-000059830000}"/>
    <cellStyle name="Normal 3 3 3 9 10 3" xfId="33635" xr:uid="{00000000-0005-0000-0000-00005A830000}"/>
    <cellStyle name="Normal 3 3 3 9 11" xfId="33636" xr:uid="{00000000-0005-0000-0000-00005B830000}"/>
    <cellStyle name="Normal 3 3 3 9 11 2" xfId="33637" xr:uid="{00000000-0005-0000-0000-00005C830000}"/>
    <cellStyle name="Normal 3 3 3 9 11 3" xfId="33638" xr:uid="{00000000-0005-0000-0000-00005D830000}"/>
    <cellStyle name="Normal 3 3 3 9 12" xfId="33639" xr:uid="{00000000-0005-0000-0000-00005E830000}"/>
    <cellStyle name="Normal 3 3 3 9 12 2" xfId="33640" xr:uid="{00000000-0005-0000-0000-00005F830000}"/>
    <cellStyle name="Normal 3 3 3 9 12 3" xfId="33641" xr:uid="{00000000-0005-0000-0000-000060830000}"/>
    <cellStyle name="Normal 3 3 3 9 13" xfId="33642" xr:uid="{00000000-0005-0000-0000-000061830000}"/>
    <cellStyle name="Normal 3 3 3 9 13 2" xfId="33643" xr:uid="{00000000-0005-0000-0000-000062830000}"/>
    <cellStyle name="Normal 3 3 3 9 13 3" xfId="33644" xr:uid="{00000000-0005-0000-0000-000063830000}"/>
    <cellStyle name="Normal 3 3 3 9 14" xfId="33645" xr:uid="{00000000-0005-0000-0000-000064830000}"/>
    <cellStyle name="Normal 3 3 3 9 14 2" xfId="33646" xr:uid="{00000000-0005-0000-0000-000065830000}"/>
    <cellStyle name="Normal 3 3 3 9 14 3" xfId="33647" xr:uid="{00000000-0005-0000-0000-000066830000}"/>
    <cellStyle name="Normal 3 3 3 9 15" xfId="33648" xr:uid="{00000000-0005-0000-0000-000067830000}"/>
    <cellStyle name="Normal 3 3 3 9 16" xfId="33649" xr:uid="{00000000-0005-0000-0000-000068830000}"/>
    <cellStyle name="Normal 3 3 3 9 2" xfId="33650" xr:uid="{00000000-0005-0000-0000-000069830000}"/>
    <cellStyle name="Normal 3 3 3 9 2 2" xfId="33651" xr:uid="{00000000-0005-0000-0000-00006A830000}"/>
    <cellStyle name="Normal 3 3 3 9 2 3" xfId="33652" xr:uid="{00000000-0005-0000-0000-00006B830000}"/>
    <cellStyle name="Normal 3 3 3 9 3" xfId="33653" xr:uid="{00000000-0005-0000-0000-00006C830000}"/>
    <cellStyle name="Normal 3 3 3 9 3 2" xfId="33654" xr:uid="{00000000-0005-0000-0000-00006D830000}"/>
    <cellStyle name="Normal 3 3 3 9 3 3" xfId="33655" xr:uid="{00000000-0005-0000-0000-00006E830000}"/>
    <cellStyle name="Normal 3 3 3 9 4" xfId="33656" xr:uid="{00000000-0005-0000-0000-00006F830000}"/>
    <cellStyle name="Normal 3 3 3 9 4 2" xfId="33657" xr:uid="{00000000-0005-0000-0000-000070830000}"/>
    <cellStyle name="Normal 3 3 3 9 4 3" xfId="33658" xr:uid="{00000000-0005-0000-0000-000071830000}"/>
    <cellStyle name="Normal 3 3 3 9 5" xfId="33659" xr:uid="{00000000-0005-0000-0000-000072830000}"/>
    <cellStyle name="Normal 3 3 3 9 5 2" xfId="33660" xr:uid="{00000000-0005-0000-0000-000073830000}"/>
    <cellStyle name="Normal 3 3 3 9 5 3" xfId="33661" xr:uid="{00000000-0005-0000-0000-000074830000}"/>
    <cellStyle name="Normal 3 3 3 9 6" xfId="33662" xr:uid="{00000000-0005-0000-0000-000075830000}"/>
    <cellStyle name="Normal 3 3 3 9 6 2" xfId="33663" xr:uid="{00000000-0005-0000-0000-000076830000}"/>
    <cellStyle name="Normal 3 3 3 9 6 3" xfId="33664" xr:uid="{00000000-0005-0000-0000-000077830000}"/>
    <cellStyle name="Normal 3 3 3 9 7" xfId="33665" xr:uid="{00000000-0005-0000-0000-000078830000}"/>
    <cellStyle name="Normal 3 3 3 9 7 2" xfId="33666" xr:uid="{00000000-0005-0000-0000-000079830000}"/>
    <cellStyle name="Normal 3 3 3 9 7 3" xfId="33667" xr:uid="{00000000-0005-0000-0000-00007A830000}"/>
    <cellStyle name="Normal 3 3 3 9 8" xfId="33668" xr:uid="{00000000-0005-0000-0000-00007B830000}"/>
    <cellStyle name="Normal 3 3 3 9 8 2" xfId="33669" xr:uid="{00000000-0005-0000-0000-00007C830000}"/>
    <cellStyle name="Normal 3 3 3 9 8 3" xfId="33670" xr:uid="{00000000-0005-0000-0000-00007D830000}"/>
    <cellStyle name="Normal 3 3 3 9 9" xfId="33671" xr:uid="{00000000-0005-0000-0000-00007E830000}"/>
    <cellStyle name="Normal 3 3 3 9 9 2" xfId="33672" xr:uid="{00000000-0005-0000-0000-00007F830000}"/>
    <cellStyle name="Normal 3 3 3 9 9 3" xfId="33673" xr:uid="{00000000-0005-0000-0000-000080830000}"/>
    <cellStyle name="Normal 3 3 30" xfId="33674" xr:uid="{00000000-0005-0000-0000-000081830000}"/>
    <cellStyle name="Normal 3 3 30 10" xfId="33675" xr:uid="{00000000-0005-0000-0000-000082830000}"/>
    <cellStyle name="Normal 3 3 30 10 2" xfId="33676" xr:uid="{00000000-0005-0000-0000-000083830000}"/>
    <cellStyle name="Normal 3 3 30 10 3" xfId="33677" xr:uid="{00000000-0005-0000-0000-000084830000}"/>
    <cellStyle name="Normal 3 3 30 11" xfId="33678" xr:uid="{00000000-0005-0000-0000-000085830000}"/>
    <cellStyle name="Normal 3 3 30 11 2" xfId="33679" xr:uid="{00000000-0005-0000-0000-000086830000}"/>
    <cellStyle name="Normal 3 3 30 11 3" xfId="33680" xr:uid="{00000000-0005-0000-0000-000087830000}"/>
    <cellStyle name="Normal 3 3 30 12" xfId="33681" xr:uid="{00000000-0005-0000-0000-000088830000}"/>
    <cellStyle name="Normal 3 3 30 12 2" xfId="33682" xr:uid="{00000000-0005-0000-0000-000089830000}"/>
    <cellStyle name="Normal 3 3 30 12 3" xfId="33683" xr:uid="{00000000-0005-0000-0000-00008A830000}"/>
    <cellStyle name="Normal 3 3 30 13" xfId="33684" xr:uid="{00000000-0005-0000-0000-00008B830000}"/>
    <cellStyle name="Normal 3 3 30 13 2" xfId="33685" xr:uid="{00000000-0005-0000-0000-00008C830000}"/>
    <cellStyle name="Normal 3 3 30 13 3" xfId="33686" xr:uid="{00000000-0005-0000-0000-00008D830000}"/>
    <cellStyle name="Normal 3 3 30 14" xfId="33687" xr:uid="{00000000-0005-0000-0000-00008E830000}"/>
    <cellStyle name="Normal 3 3 30 14 2" xfId="33688" xr:uid="{00000000-0005-0000-0000-00008F830000}"/>
    <cellStyle name="Normal 3 3 30 14 3" xfId="33689" xr:uid="{00000000-0005-0000-0000-000090830000}"/>
    <cellStyle name="Normal 3 3 30 15" xfId="33690" xr:uid="{00000000-0005-0000-0000-000091830000}"/>
    <cellStyle name="Normal 3 3 30 16" xfId="33691" xr:uid="{00000000-0005-0000-0000-000092830000}"/>
    <cellStyle name="Normal 3 3 30 2" xfId="33692" xr:uid="{00000000-0005-0000-0000-000093830000}"/>
    <cellStyle name="Normal 3 3 30 2 2" xfId="33693" xr:uid="{00000000-0005-0000-0000-000094830000}"/>
    <cellStyle name="Normal 3 3 30 2 3" xfId="33694" xr:uid="{00000000-0005-0000-0000-000095830000}"/>
    <cellStyle name="Normal 3 3 30 3" xfId="33695" xr:uid="{00000000-0005-0000-0000-000096830000}"/>
    <cellStyle name="Normal 3 3 30 3 2" xfId="33696" xr:uid="{00000000-0005-0000-0000-000097830000}"/>
    <cellStyle name="Normal 3 3 30 3 3" xfId="33697" xr:uid="{00000000-0005-0000-0000-000098830000}"/>
    <cellStyle name="Normal 3 3 30 4" xfId="33698" xr:uid="{00000000-0005-0000-0000-000099830000}"/>
    <cellStyle name="Normal 3 3 30 4 2" xfId="33699" xr:uid="{00000000-0005-0000-0000-00009A830000}"/>
    <cellStyle name="Normal 3 3 30 4 3" xfId="33700" xr:uid="{00000000-0005-0000-0000-00009B830000}"/>
    <cellStyle name="Normal 3 3 30 5" xfId="33701" xr:uid="{00000000-0005-0000-0000-00009C830000}"/>
    <cellStyle name="Normal 3 3 30 5 2" xfId="33702" xr:uid="{00000000-0005-0000-0000-00009D830000}"/>
    <cellStyle name="Normal 3 3 30 5 3" xfId="33703" xr:uid="{00000000-0005-0000-0000-00009E830000}"/>
    <cellStyle name="Normal 3 3 30 6" xfId="33704" xr:uid="{00000000-0005-0000-0000-00009F830000}"/>
    <cellStyle name="Normal 3 3 30 6 2" xfId="33705" xr:uid="{00000000-0005-0000-0000-0000A0830000}"/>
    <cellStyle name="Normal 3 3 30 6 3" xfId="33706" xr:uid="{00000000-0005-0000-0000-0000A1830000}"/>
    <cellStyle name="Normal 3 3 30 7" xfId="33707" xr:uid="{00000000-0005-0000-0000-0000A2830000}"/>
    <cellStyle name="Normal 3 3 30 7 2" xfId="33708" xr:uid="{00000000-0005-0000-0000-0000A3830000}"/>
    <cellStyle name="Normal 3 3 30 7 3" xfId="33709" xr:uid="{00000000-0005-0000-0000-0000A4830000}"/>
    <cellStyle name="Normal 3 3 30 8" xfId="33710" xr:uid="{00000000-0005-0000-0000-0000A5830000}"/>
    <cellStyle name="Normal 3 3 30 8 2" xfId="33711" xr:uid="{00000000-0005-0000-0000-0000A6830000}"/>
    <cellStyle name="Normal 3 3 30 8 3" xfId="33712" xr:uid="{00000000-0005-0000-0000-0000A7830000}"/>
    <cellStyle name="Normal 3 3 30 9" xfId="33713" xr:uid="{00000000-0005-0000-0000-0000A8830000}"/>
    <cellStyle name="Normal 3 3 30 9 2" xfId="33714" xr:uid="{00000000-0005-0000-0000-0000A9830000}"/>
    <cellStyle name="Normal 3 3 30 9 3" xfId="33715" xr:uid="{00000000-0005-0000-0000-0000AA830000}"/>
    <cellStyle name="Normal 3 3 31" xfId="33716" xr:uid="{00000000-0005-0000-0000-0000AB830000}"/>
    <cellStyle name="Normal 3 3 31 10" xfId="33717" xr:uid="{00000000-0005-0000-0000-0000AC830000}"/>
    <cellStyle name="Normal 3 3 31 10 2" xfId="33718" xr:uid="{00000000-0005-0000-0000-0000AD830000}"/>
    <cellStyle name="Normal 3 3 31 10 3" xfId="33719" xr:uid="{00000000-0005-0000-0000-0000AE830000}"/>
    <cellStyle name="Normal 3 3 31 11" xfId="33720" xr:uid="{00000000-0005-0000-0000-0000AF830000}"/>
    <cellStyle name="Normal 3 3 31 11 2" xfId="33721" xr:uid="{00000000-0005-0000-0000-0000B0830000}"/>
    <cellStyle name="Normal 3 3 31 11 3" xfId="33722" xr:uid="{00000000-0005-0000-0000-0000B1830000}"/>
    <cellStyle name="Normal 3 3 31 12" xfId="33723" xr:uid="{00000000-0005-0000-0000-0000B2830000}"/>
    <cellStyle name="Normal 3 3 31 12 2" xfId="33724" xr:uid="{00000000-0005-0000-0000-0000B3830000}"/>
    <cellStyle name="Normal 3 3 31 12 3" xfId="33725" xr:uid="{00000000-0005-0000-0000-0000B4830000}"/>
    <cellStyle name="Normal 3 3 31 13" xfId="33726" xr:uid="{00000000-0005-0000-0000-0000B5830000}"/>
    <cellStyle name="Normal 3 3 31 13 2" xfId="33727" xr:uid="{00000000-0005-0000-0000-0000B6830000}"/>
    <cellStyle name="Normal 3 3 31 13 3" xfId="33728" xr:uid="{00000000-0005-0000-0000-0000B7830000}"/>
    <cellStyle name="Normal 3 3 31 14" xfId="33729" xr:uid="{00000000-0005-0000-0000-0000B8830000}"/>
    <cellStyle name="Normal 3 3 31 14 2" xfId="33730" xr:uid="{00000000-0005-0000-0000-0000B9830000}"/>
    <cellStyle name="Normal 3 3 31 14 3" xfId="33731" xr:uid="{00000000-0005-0000-0000-0000BA830000}"/>
    <cellStyle name="Normal 3 3 31 15" xfId="33732" xr:uid="{00000000-0005-0000-0000-0000BB830000}"/>
    <cellStyle name="Normal 3 3 31 16" xfId="33733" xr:uid="{00000000-0005-0000-0000-0000BC830000}"/>
    <cellStyle name="Normal 3 3 31 2" xfId="33734" xr:uid="{00000000-0005-0000-0000-0000BD830000}"/>
    <cellStyle name="Normal 3 3 31 2 2" xfId="33735" xr:uid="{00000000-0005-0000-0000-0000BE830000}"/>
    <cellStyle name="Normal 3 3 31 2 3" xfId="33736" xr:uid="{00000000-0005-0000-0000-0000BF830000}"/>
    <cellStyle name="Normal 3 3 31 3" xfId="33737" xr:uid="{00000000-0005-0000-0000-0000C0830000}"/>
    <cellStyle name="Normal 3 3 31 3 2" xfId="33738" xr:uid="{00000000-0005-0000-0000-0000C1830000}"/>
    <cellStyle name="Normal 3 3 31 3 3" xfId="33739" xr:uid="{00000000-0005-0000-0000-0000C2830000}"/>
    <cellStyle name="Normal 3 3 31 4" xfId="33740" xr:uid="{00000000-0005-0000-0000-0000C3830000}"/>
    <cellStyle name="Normal 3 3 31 4 2" xfId="33741" xr:uid="{00000000-0005-0000-0000-0000C4830000}"/>
    <cellStyle name="Normal 3 3 31 4 3" xfId="33742" xr:uid="{00000000-0005-0000-0000-0000C5830000}"/>
    <cellStyle name="Normal 3 3 31 5" xfId="33743" xr:uid="{00000000-0005-0000-0000-0000C6830000}"/>
    <cellStyle name="Normal 3 3 31 5 2" xfId="33744" xr:uid="{00000000-0005-0000-0000-0000C7830000}"/>
    <cellStyle name="Normal 3 3 31 5 3" xfId="33745" xr:uid="{00000000-0005-0000-0000-0000C8830000}"/>
    <cellStyle name="Normal 3 3 31 6" xfId="33746" xr:uid="{00000000-0005-0000-0000-0000C9830000}"/>
    <cellStyle name="Normal 3 3 31 6 2" xfId="33747" xr:uid="{00000000-0005-0000-0000-0000CA830000}"/>
    <cellStyle name="Normal 3 3 31 6 3" xfId="33748" xr:uid="{00000000-0005-0000-0000-0000CB830000}"/>
    <cellStyle name="Normal 3 3 31 7" xfId="33749" xr:uid="{00000000-0005-0000-0000-0000CC830000}"/>
    <cellStyle name="Normal 3 3 31 7 2" xfId="33750" xr:uid="{00000000-0005-0000-0000-0000CD830000}"/>
    <cellStyle name="Normal 3 3 31 7 3" xfId="33751" xr:uid="{00000000-0005-0000-0000-0000CE830000}"/>
    <cellStyle name="Normal 3 3 31 8" xfId="33752" xr:uid="{00000000-0005-0000-0000-0000CF830000}"/>
    <cellStyle name="Normal 3 3 31 8 2" xfId="33753" xr:uid="{00000000-0005-0000-0000-0000D0830000}"/>
    <cellStyle name="Normal 3 3 31 8 3" xfId="33754" xr:uid="{00000000-0005-0000-0000-0000D1830000}"/>
    <cellStyle name="Normal 3 3 31 9" xfId="33755" xr:uid="{00000000-0005-0000-0000-0000D2830000}"/>
    <cellStyle name="Normal 3 3 31 9 2" xfId="33756" xr:uid="{00000000-0005-0000-0000-0000D3830000}"/>
    <cellStyle name="Normal 3 3 31 9 3" xfId="33757" xr:uid="{00000000-0005-0000-0000-0000D4830000}"/>
    <cellStyle name="Normal 3 3 4" xfId="33758" xr:uid="{00000000-0005-0000-0000-0000D5830000}"/>
    <cellStyle name="Normal 3 3 4 10" xfId="33759" xr:uid="{00000000-0005-0000-0000-0000D6830000}"/>
    <cellStyle name="Normal 3 3 4 10 10" xfId="33760" xr:uid="{00000000-0005-0000-0000-0000D7830000}"/>
    <cellStyle name="Normal 3 3 4 10 10 2" xfId="33761" xr:uid="{00000000-0005-0000-0000-0000D8830000}"/>
    <cellStyle name="Normal 3 3 4 10 10 3" xfId="33762" xr:uid="{00000000-0005-0000-0000-0000D9830000}"/>
    <cellStyle name="Normal 3 3 4 10 11" xfId="33763" xr:uid="{00000000-0005-0000-0000-0000DA830000}"/>
    <cellStyle name="Normal 3 3 4 10 11 2" xfId="33764" xr:uid="{00000000-0005-0000-0000-0000DB830000}"/>
    <cellStyle name="Normal 3 3 4 10 11 3" xfId="33765" xr:uid="{00000000-0005-0000-0000-0000DC830000}"/>
    <cellStyle name="Normal 3 3 4 10 12" xfId="33766" xr:uid="{00000000-0005-0000-0000-0000DD830000}"/>
    <cellStyle name="Normal 3 3 4 10 12 2" xfId="33767" xr:uid="{00000000-0005-0000-0000-0000DE830000}"/>
    <cellStyle name="Normal 3 3 4 10 12 3" xfId="33768" xr:uid="{00000000-0005-0000-0000-0000DF830000}"/>
    <cellStyle name="Normal 3 3 4 10 13" xfId="33769" xr:uid="{00000000-0005-0000-0000-0000E0830000}"/>
    <cellStyle name="Normal 3 3 4 10 13 2" xfId="33770" xr:uid="{00000000-0005-0000-0000-0000E1830000}"/>
    <cellStyle name="Normal 3 3 4 10 13 3" xfId="33771" xr:uid="{00000000-0005-0000-0000-0000E2830000}"/>
    <cellStyle name="Normal 3 3 4 10 14" xfId="33772" xr:uid="{00000000-0005-0000-0000-0000E3830000}"/>
    <cellStyle name="Normal 3 3 4 10 14 2" xfId="33773" xr:uid="{00000000-0005-0000-0000-0000E4830000}"/>
    <cellStyle name="Normal 3 3 4 10 14 3" xfId="33774" xr:uid="{00000000-0005-0000-0000-0000E5830000}"/>
    <cellStyle name="Normal 3 3 4 10 15" xfId="33775" xr:uid="{00000000-0005-0000-0000-0000E6830000}"/>
    <cellStyle name="Normal 3 3 4 10 16" xfId="33776" xr:uid="{00000000-0005-0000-0000-0000E7830000}"/>
    <cellStyle name="Normal 3 3 4 10 2" xfId="33777" xr:uid="{00000000-0005-0000-0000-0000E8830000}"/>
    <cellStyle name="Normal 3 3 4 10 2 2" xfId="33778" xr:uid="{00000000-0005-0000-0000-0000E9830000}"/>
    <cellStyle name="Normal 3 3 4 10 2 3" xfId="33779" xr:uid="{00000000-0005-0000-0000-0000EA830000}"/>
    <cellStyle name="Normal 3 3 4 10 3" xfId="33780" xr:uid="{00000000-0005-0000-0000-0000EB830000}"/>
    <cellStyle name="Normal 3 3 4 10 3 2" xfId="33781" xr:uid="{00000000-0005-0000-0000-0000EC830000}"/>
    <cellStyle name="Normal 3 3 4 10 3 3" xfId="33782" xr:uid="{00000000-0005-0000-0000-0000ED830000}"/>
    <cellStyle name="Normal 3 3 4 10 4" xfId="33783" xr:uid="{00000000-0005-0000-0000-0000EE830000}"/>
    <cellStyle name="Normal 3 3 4 10 4 2" xfId="33784" xr:uid="{00000000-0005-0000-0000-0000EF830000}"/>
    <cellStyle name="Normal 3 3 4 10 4 3" xfId="33785" xr:uid="{00000000-0005-0000-0000-0000F0830000}"/>
    <cellStyle name="Normal 3 3 4 10 5" xfId="33786" xr:uid="{00000000-0005-0000-0000-0000F1830000}"/>
    <cellStyle name="Normal 3 3 4 10 5 2" xfId="33787" xr:uid="{00000000-0005-0000-0000-0000F2830000}"/>
    <cellStyle name="Normal 3 3 4 10 5 3" xfId="33788" xr:uid="{00000000-0005-0000-0000-0000F3830000}"/>
    <cellStyle name="Normal 3 3 4 10 6" xfId="33789" xr:uid="{00000000-0005-0000-0000-0000F4830000}"/>
    <cellStyle name="Normal 3 3 4 10 6 2" xfId="33790" xr:uid="{00000000-0005-0000-0000-0000F5830000}"/>
    <cellStyle name="Normal 3 3 4 10 6 3" xfId="33791" xr:uid="{00000000-0005-0000-0000-0000F6830000}"/>
    <cellStyle name="Normal 3 3 4 10 7" xfId="33792" xr:uid="{00000000-0005-0000-0000-0000F7830000}"/>
    <cellStyle name="Normal 3 3 4 10 7 2" xfId="33793" xr:uid="{00000000-0005-0000-0000-0000F8830000}"/>
    <cellStyle name="Normal 3 3 4 10 7 3" xfId="33794" xr:uid="{00000000-0005-0000-0000-0000F9830000}"/>
    <cellStyle name="Normal 3 3 4 10 8" xfId="33795" xr:uid="{00000000-0005-0000-0000-0000FA830000}"/>
    <cellStyle name="Normal 3 3 4 10 8 2" xfId="33796" xr:uid="{00000000-0005-0000-0000-0000FB830000}"/>
    <cellStyle name="Normal 3 3 4 10 8 3" xfId="33797" xr:uid="{00000000-0005-0000-0000-0000FC830000}"/>
    <cellStyle name="Normal 3 3 4 10 9" xfId="33798" xr:uid="{00000000-0005-0000-0000-0000FD830000}"/>
    <cellStyle name="Normal 3 3 4 10 9 2" xfId="33799" xr:uid="{00000000-0005-0000-0000-0000FE830000}"/>
    <cellStyle name="Normal 3 3 4 10 9 3" xfId="33800" xr:uid="{00000000-0005-0000-0000-0000FF830000}"/>
    <cellStyle name="Normal 3 3 4 11" xfId="33801" xr:uid="{00000000-0005-0000-0000-000000840000}"/>
    <cellStyle name="Normal 3 3 4 11 10" xfId="33802" xr:uid="{00000000-0005-0000-0000-000001840000}"/>
    <cellStyle name="Normal 3 3 4 11 10 2" xfId="33803" xr:uid="{00000000-0005-0000-0000-000002840000}"/>
    <cellStyle name="Normal 3 3 4 11 10 3" xfId="33804" xr:uid="{00000000-0005-0000-0000-000003840000}"/>
    <cellStyle name="Normal 3 3 4 11 11" xfId="33805" xr:uid="{00000000-0005-0000-0000-000004840000}"/>
    <cellStyle name="Normal 3 3 4 11 11 2" xfId="33806" xr:uid="{00000000-0005-0000-0000-000005840000}"/>
    <cellStyle name="Normal 3 3 4 11 11 3" xfId="33807" xr:uid="{00000000-0005-0000-0000-000006840000}"/>
    <cellStyle name="Normal 3 3 4 11 12" xfId="33808" xr:uid="{00000000-0005-0000-0000-000007840000}"/>
    <cellStyle name="Normal 3 3 4 11 12 2" xfId="33809" xr:uid="{00000000-0005-0000-0000-000008840000}"/>
    <cellStyle name="Normal 3 3 4 11 12 3" xfId="33810" xr:uid="{00000000-0005-0000-0000-000009840000}"/>
    <cellStyle name="Normal 3 3 4 11 13" xfId="33811" xr:uid="{00000000-0005-0000-0000-00000A840000}"/>
    <cellStyle name="Normal 3 3 4 11 13 2" xfId="33812" xr:uid="{00000000-0005-0000-0000-00000B840000}"/>
    <cellStyle name="Normal 3 3 4 11 13 3" xfId="33813" xr:uid="{00000000-0005-0000-0000-00000C840000}"/>
    <cellStyle name="Normal 3 3 4 11 14" xfId="33814" xr:uid="{00000000-0005-0000-0000-00000D840000}"/>
    <cellStyle name="Normal 3 3 4 11 14 2" xfId="33815" xr:uid="{00000000-0005-0000-0000-00000E840000}"/>
    <cellStyle name="Normal 3 3 4 11 14 3" xfId="33816" xr:uid="{00000000-0005-0000-0000-00000F840000}"/>
    <cellStyle name="Normal 3 3 4 11 15" xfId="33817" xr:uid="{00000000-0005-0000-0000-000010840000}"/>
    <cellStyle name="Normal 3 3 4 11 16" xfId="33818" xr:uid="{00000000-0005-0000-0000-000011840000}"/>
    <cellStyle name="Normal 3 3 4 11 2" xfId="33819" xr:uid="{00000000-0005-0000-0000-000012840000}"/>
    <cellStyle name="Normal 3 3 4 11 2 2" xfId="33820" xr:uid="{00000000-0005-0000-0000-000013840000}"/>
    <cellStyle name="Normal 3 3 4 11 2 3" xfId="33821" xr:uid="{00000000-0005-0000-0000-000014840000}"/>
    <cellStyle name="Normal 3 3 4 11 3" xfId="33822" xr:uid="{00000000-0005-0000-0000-000015840000}"/>
    <cellStyle name="Normal 3 3 4 11 3 2" xfId="33823" xr:uid="{00000000-0005-0000-0000-000016840000}"/>
    <cellStyle name="Normal 3 3 4 11 3 3" xfId="33824" xr:uid="{00000000-0005-0000-0000-000017840000}"/>
    <cellStyle name="Normal 3 3 4 11 4" xfId="33825" xr:uid="{00000000-0005-0000-0000-000018840000}"/>
    <cellStyle name="Normal 3 3 4 11 4 2" xfId="33826" xr:uid="{00000000-0005-0000-0000-000019840000}"/>
    <cellStyle name="Normal 3 3 4 11 4 3" xfId="33827" xr:uid="{00000000-0005-0000-0000-00001A840000}"/>
    <cellStyle name="Normal 3 3 4 11 5" xfId="33828" xr:uid="{00000000-0005-0000-0000-00001B840000}"/>
    <cellStyle name="Normal 3 3 4 11 5 2" xfId="33829" xr:uid="{00000000-0005-0000-0000-00001C840000}"/>
    <cellStyle name="Normal 3 3 4 11 5 3" xfId="33830" xr:uid="{00000000-0005-0000-0000-00001D840000}"/>
    <cellStyle name="Normal 3 3 4 11 6" xfId="33831" xr:uid="{00000000-0005-0000-0000-00001E840000}"/>
    <cellStyle name="Normal 3 3 4 11 6 2" xfId="33832" xr:uid="{00000000-0005-0000-0000-00001F840000}"/>
    <cellStyle name="Normal 3 3 4 11 6 3" xfId="33833" xr:uid="{00000000-0005-0000-0000-000020840000}"/>
    <cellStyle name="Normal 3 3 4 11 7" xfId="33834" xr:uid="{00000000-0005-0000-0000-000021840000}"/>
    <cellStyle name="Normal 3 3 4 11 7 2" xfId="33835" xr:uid="{00000000-0005-0000-0000-000022840000}"/>
    <cellStyle name="Normal 3 3 4 11 7 3" xfId="33836" xr:uid="{00000000-0005-0000-0000-000023840000}"/>
    <cellStyle name="Normal 3 3 4 11 8" xfId="33837" xr:uid="{00000000-0005-0000-0000-000024840000}"/>
    <cellStyle name="Normal 3 3 4 11 8 2" xfId="33838" xr:uid="{00000000-0005-0000-0000-000025840000}"/>
    <cellStyle name="Normal 3 3 4 11 8 3" xfId="33839" xr:uid="{00000000-0005-0000-0000-000026840000}"/>
    <cellStyle name="Normal 3 3 4 11 9" xfId="33840" xr:uid="{00000000-0005-0000-0000-000027840000}"/>
    <cellStyle name="Normal 3 3 4 11 9 2" xfId="33841" xr:uid="{00000000-0005-0000-0000-000028840000}"/>
    <cellStyle name="Normal 3 3 4 11 9 3" xfId="33842" xr:uid="{00000000-0005-0000-0000-000029840000}"/>
    <cellStyle name="Normal 3 3 4 12" xfId="33843" xr:uid="{00000000-0005-0000-0000-00002A840000}"/>
    <cellStyle name="Normal 3 3 4 12 10" xfId="33844" xr:uid="{00000000-0005-0000-0000-00002B840000}"/>
    <cellStyle name="Normal 3 3 4 12 10 2" xfId="33845" xr:uid="{00000000-0005-0000-0000-00002C840000}"/>
    <cellStyle name="Normal 3 3 4 12 10 3" xfId="33846" xr:uid="{00000000-0005-0000-0000-00002D840000}"/>
    <cellStyle name="Normal 3 3 4 12 11" xfId="33847" xr:uid="{00000000-0005-0000-0000-00002E840000}"/>
    <cellStyle name="Normal 3 3 4 12 11 2" xfId="33848" xr:uid="{00000000-0005-0000-0000-00002F840000}"/>
    <cellStyle name="Normal 3 3 4 12 11 3" xfId="33849" xr:uid="{00000000-0005-0000-0000-000030840000}"/>
    <cellStyle name="Normal 3 3 4 12 12" xfId="33850" xr:uid="{00000000-0005-0000-0000-000031840000}"/>
    <cellStyle name="Normal 3 3 4 12 12 2" xfId="33851" xr:uid="{00000000-0005-0000-0000-000032840000}"/>
    <cellStyle name="Normal 3 3 4 12 12 3" xfId="33852" xr:uid="{00000000-0005-0000-0000-000033840000}"/>
    <cellStyle name="Normal 3 3 4 12 13" xfId="33853" xr:uid="{00000000-0005-0000-0000-000034840000}"/>
    <cellStyle name="Normal 3 3 4 12 13 2" xfId="33854" xr:uid="{00000000-0005-0000-0000-000035840000}"/>
    <cellStyle name="Normal 3 3 4 12 13 3" xfId="33855" xr:uid="{00000000-0005-0000-0000-000036840000}"/>
    <cellStyle name="Normal 3 3 4 12 14" xfId="33856" xr:uid="{00000000-0005-0000-0000-000037840000}"/>
    <cellStyle name="Normal 3 3 4 12 14 2" xfId="33857" xr:uid="{00000000-0005-0000-0000-000038840000}"/>
    <cellStyle name="Normal 3 3 4 12 14 3" xfId="33858" xr:uid="{00000000-0005-0000-0000-000039840000}"/>
    <cellStyle name="Normal 3 3 4 12 15" xfId="33859" xr:uid="{00000000-0005-0000-0000-00003A840000}"/>
    <cellStyle name="Normal 3 3 4 12 16" xfId="33860" xr:uid="{00000000-0005-0000-0000-00003B840000}"/>
    <cellStyle name="Normal 3 3 4 12 2" xfId="33861" xr:uid="{00000000-0005-0000-0000-00003C840000}"/>
    <cellStyle name="Normal 3 3 4 12 2 2" xfId="33862" xr:uid="{00000000-0005-0000-0000-00003D840000}"/>
    <cellStyle name="Normal 3 3 4 12 2 3" xfId="33863" xr:uid="{00000000-0005-0000-0000-00003E840000}"/>
    <cellStyle name="Normal 3 3 4 12 3" xfId="33864" xr:uid="{00000000-0005-0000-0000-00003F840000}"/>
    <cellStyle name="Normal 3 3 4 12 3 2" xfId="33865" xr:uid="{00000000-0005-0000-0000-000040840000}"/>
    <cellStyle name="Normal 3 3 4 12 3 3" xfId="33866" xr:uid="{00000000-0005-0000-0000-000041840000}"/>
    <cellStyle name="Normal 3 3 4 12 4" xfId="33867" xr:uid="{00000000-0005-0000-0000-000042840000}"/>
    <cellStyle name="Normal 3 3 4 12 4 2" xfId="33868" xr:uid="{00000000-0005-0000-0000-000043840000}"/>
    <cellStyle name="Normal 3 3 4 12 4 3" xfId="33869" xr:uid="{00000000-0005-0000-0000-000044840000}"/>
    <cellStyle name="Normal 3 3 4 12 5" xfId="33870" xr:uid="{00000000-0005-0000-0000-000045840000}"/>
    <cellStyle name="Normal 3 3 4 12 5 2" xfId="33871" xr:uid="{00000000-0005-0000-0000-000046840000}"/>
    <cellStyle name="Normal 3 3 4 12 5 3" xfId="33872" xr:uid="{00000000-0005-0000-0000-000047840000}"/>
    <cellStyle name="Normal 3 3 4 12 6" xfId="33873" xr:uid="{00000000-0005-0000-0000-000048840000}"/>
    <cellStyle name="Normal 3 3 4 12 6 2" xfId="33874" xr:uid="{00000000-0005-0000-0000-000049840000}"/>
    <cellStyle name="Normal 3 3 4 12 6 3" xfId="33875" xr:uid="{00000000-0005-0000-0000-00004A840000}"/>
    <cellStyle name="Normal 3 3 4 12 7" xfId="33876" xr:uid="{00000000-0005-0000-0000-00004B840000}"/>
    <cellStyle name="Normal 3 3 4 12 7 2" xfId="33877" xr:uid="{00000000-0005-0000-0000-00004C840000}"/>
    <cellStyle name="Normal 3 3 4 12 7 3" xfId="33878" xr:uid="{00000000-0005-0000-0000-00004D840000}"/>
    <cellStyle name="Normal 3 3 4 12 8" xfId="33879" xr:uid="{00000000-0005-0000-0000-00004E840000}"/>
    <cellStyle name="Normal 3 3 4 12 8 2" xfId="33880" xr:uid="{00000000-0005-0000-0000-00004F840000}"/>
    <cellStyle name="Normal 3 3 4 12 8 3" xfId="33881" xr:uid="{00000000-0005-0000-0000-000050840000}"/>
    <cellStyle name="Normal 3 3 4 12 9" xfId="33882" xr:uid="{00000000-0005-0000-0000-000051840000}"/>
    <cellStyle name="Normal 3 3 4 12 9 2" xfId="33883" xr:uid="{00000000-0005-0000-0000-000052840000}"/>
    <cellStyle name="Normal 3 3 4 12 9 3" xfId="33884" xr:uid="{00000000-0005-0000-0000-000053840000}"/>
    <cellStyle name="Normal 3 3 4 13" xfId="33885" xr:uid="{00000000-0005-0000-0000-000054840000}"/>
    <cellStyle name="Normal 3 3 4 13 10" xfId="33886" xr:uid="{00000000-0005-0000-0000-000055840000}"/>
    <cellStyle name="Normal 3 3 4 13 10 2" xfId="33887" xr:uid="{00000000-0005-0000-0000-000056840000}"/>
    <cellStyle name="Normal 3 3 4 13 10 3" xfId="33888" xr:uid="{00000000-0005-0000-0000-000057840000}"/>
    <cellStyle name="Normal 3 3 4 13 11" xfId="33889" xr:uid="{00000000-0005-0000-0000-000058840000}"/>
    <cellStyle name="Normal 3 3 4 13 11 2" xfId="33890" xr:uid="{00000000-0005-0000-0000-000059840000}"/>
    <cellStyle name="Normal 3 3 4 13 11 3" xfId="33891" xr:uid="{00000000-0005-0000-0000-00005A840000}"/>
    <cellStyle name="Normal 3 3 4 13 12" xfId="33892" xr:uid="{00000000-0005-0000-0000-00005B840000}"/>
    <cellStyle name="Normal 3 3 4 13 12 2" xfId="33893" xr:uid="{00000000-0005-0000-0000-00005C840000}"/>
    <cellStyle name="Normal 3 3 4 13 12 3" xfId="33894" xr:uid="{00000000-0005-0000-0000-00005D840000}"/>
    <cellStyle name="Normal 3 3 4 13 13" xfId="33895" xr:uid="{00000000-0005-0000-0000-00005E840000}"/>
    <cellStyle name="Normal 3 3 4 13 13 2" xfId="33896" xr:uid="{00000000-0005-0000-0000-00005F840000}"/>
    <cellStyle name="Normal 3 3 4 13 13 3" xfId="33897" xr:uid="{00000000-0005-0000-0000-000060840000}"/>
    <cellStyle name="Normal 3 3 4 13 14" xfId="33898" xr:uid="{00000000-0005-0000-0000-000061840000}"/>
    <cellStyle name="Normal 3 3 4 13 14 2" xfId="33899" xr:uid="{00000000-0005-0000-0000-000062840000}"/>
    <cellStyle name="Normal 3 3 4 13 14 3" xfId="33900" xr:uid="{00000000-0005-0000-0000-000063840000}"/>
    <cellStyle name="Normal 3 3 4 13 15" xfId="33901" xr:uid="{00000000-0005-0000-0000-000064840000}"/>
    <cellStyle name="Normal 3 3 4 13 16" xfId="33902" xr:uid="{00000000-0005-0000-0000-000065840000}"/>
    <cellStyle name="Normal 3 3 4 13 2" xfId="33903" xr:uid="{00000000-0005-0000-0000-000066840000}"/>
    <cellStyle name="Normal 3 3 4 13 2 2" xfId="33904" xr:uid="{00000000-0005-0000-0000-000067840000}"/>
    <cellStyle name="Normal 3 3 4 13 2 3" xfId="33905" xr:uid="{00000000-0005-0000-0000-000068840000}"/>
    <cellStyle name="Normal 3 3 4 13 3" xfId="33906" xr:uid="{00000000-0005-0000-0000-000069840000}"/>
    <cellStyle name="Normal 3 3 4 13 3 2" xfId="33907" xr:uid="{00000000-0005-0000-0000-00006A840000}"/>
    <cellStyle name="Normal 3 3 4 13 3 3" xfId="33908" xr:uid="{00000000-0005-0000-0000-00006B840000}"/>
    <cellStyle name="Normal 3 3 4 13 4" xfId="33909" xr:uid="{00000000-0005-0000-0000-00006C840000}"/>
    <cellStyle name="Normal 3 3 4 13 4 2" xfId="33910" xr:uid="{00000000-0005-0000-0000-00006D840000}"/>
    <cellStyle name="Normal 3 3 4 13 4 3" xfId="33911" xr:uid="{00000000-0005-0000-0000-00006E840000}"/>
    <cellStyle name="Normal 3 3 4 13 5" xfId="33912" xr:uid="{00000000-0005-0000-0000-00006F840000}"/>
    <cellStyle name="Normal 3 3 4 13 5 2" xfId="33913" xr:uid="{00000000-0005-0000-0000-000070840000}"/>
    <cellStyle name="Normal 3 3 4 13 5 3" xfId="33914" xr:uid="{00000000-0005-0000-0000-000071840000}"/>
    <cellStyle name="Normal 3 3 4 13 6" xfId="33915" xr:uid="{00000000-0005-0000-0000-000072840000}"/>
    <cellStyle name="Normal 3 3 4 13 6 2" xfId="33916" xr:uid="{00000000-0005-0000-0000-000073840000}"/>
    <cellStyle name="Normal 3 3 4 13 6 3" xfId="33917" xr:uid="{00000000-0005-0000-0000-000074840000}"/>
    <cellStyle name="Normal 3 3 4 13 7" xfId="33918" xr:uid="{00000000-0005-0000-0000-000075840000}"/>
    <cellStyle name="Normal 3 3 4 13 7 2" xfId="33919" xr:uid="{00000000-0005-0000-0000-000076840000}"/>
    <cellStyle name="Normal 3 3 4 13 7 3" xfId="33920" xr:uid="{00000000-0005-0000-0000-000077840000}"/>
    <cellStyle name="Normal 3 3 4 13 8" xfId="33921" xr:uid="{00000000-0005-0000-0000-000078840000}"/>
    <cellStyle name="Normal 3 3 4 13 8 2" xfId="33922" xr:uid="{00000000-0005-0000-0000-000079840000}"/>
    <cellStyle name="Normal 3 3 4 13 8 3" xfId="33923" xr:uid="{00000000-0005-0000-0000-00007A840000}"/>
    <cellStyle name="Normal 3 3 4 13 9" xfId="33924" xr:uid="{00000000-0005-0000-0000-00007B840000}"/>
    <cellStyle name="Normal 3 3 4 13 9 2" xfId="33925" xr:uid="{00000000-0005-0000-0000-00007C840000}"/>
    <cellStyle name="Normal 3 3 4 13 9 3" xfId="33926" xr:uid="{00000000-0005-0000-0000-00007D840000}"/>
    <cellStyle name="Normal 3 3 4 14" xfId="33927" xr:uid="{00000000-0005-0000-0000-00007E840000}"/>
    <cellStyle name="Normal 3 3 4 14 10" xfId="33928" xr:uid="{00000000-0005-0000-0000-00007F840000}"/>
    <cellStyle name="Normal 3 3 4 14 10 2" xfId="33929" xr:uid="{00000000-0005-0000-0000-000080840000}"/>
    <cellStyle name="Normal 3 3 4 14 10 3" xfId="33930" xr:uid="{00000000-0005-0000-0000-000081840000}"/>
    <cellStyle name="Normal 3 3 4 14 11" xfId="33931" xr:uid="{00000000-0005-0000-0000-000082840000}"/>
    <cellStyle name="Normal 3 3 4 14 11 2" xfId="33932" xr:uid="{00000000-0005-0000-0000-000083840000}"/>
    <cellStyle name="Normal 3 3 4 14 11 3" xfId="33933" xr:uid="{00000000-0005-0000-0000-000084840000}"/>
    <cellStyle name="Normal 3 3 4 14 12" xfId="33934" xr:uid="{00000000-0005-0000-0000-000085840000}"/>
    <cellStyle name="Normal 3 3 4 14 12 2" xfId="33935" xr:uid="{00000000-0005-0000-0000-000086840000}"/>
    <cellStyle name="Normal 3 3 4 14 12 3" xfId="33936" xr:uid="{00000000-0005-0000-0000-000087840000}"/>
    <cellStyle name="Normal 3 3 4 14 13" xfId="33937" xr:uid="{00000000-0005-0000-0000-000088840000}"/>
    <cellStyle name="Normal 3 3 4 14 13 2" xfId="33938" xr:uid="{00000000-0005-0000-0000-000089840000}"/>
    <cellStyle name="Normal 3 3 4 14 13 3" xfId="33939" xr:uid="{00000000-0005-0000-0000-00008A840000}"/>
    <cellStyle name="Normal 3 3 4 14 14" xfId="33940" xr:uid="{00000000-0005-0000-0000-00008B840000}"/>
    <cellStyle name="Normal 3 3 4 14 14 2" xfId="33941" xr:uid="{00000000-0005-0000-0000-00008C840000}"/>
    <cellStyle name="Normal 3 3 4 14 14 3" xfId="33942" xr:uid="{00000000-0005-0000-0000-00008D840000}"/>
    <cellStyle name="Normal 3 3 4 14 15" xfId="33943" xr:uid="{00000000-0005-0000-0000-00008E840000}"/>
    <cellStyle name="Normal 3 3 4 14 16" xfId="33944" xr:uid="{00000000-0005-0000-0000-00008F840000}"/>
    <cellStyle name="Normal 3 3 4 14 2" xfId="33945" xr:uid="{00000000-0005-0000-0000-000090840000}"/>
    <cellStyle name="Normal 3 3 4 14 2 2" xfId="33946" xr:uid="{00000000-0005-0000-0000-000091840000}"/>
    <cellStyle name="Normal 3 3 4 14 2 3" xfId="33947" xr:uid="{00000000-0005-0000-0000-000092840000}"/>
    <cellStyle name="Normal 3 3 4 14 3" xfId="33948" xr:uid="{00000000-0005-0000-0000-000093840000}"/>
    <cellStyle name="Normal 3 3 4 14 3 2" xfId="33949" xr:uid="{00000000-0005-0000-0000-000094840000}"/>
    <cellStyle name="Normal 3 3 4 14 3 3" xfId="33950" xr:uid="{00000000-0005-0000-0000-000095840000}"/>
    <cellStyle name="Normal 3 3 4 14 4" xfId="33951" xr:uid="{00000000-0005-0000-0000-000096840000}"/>
    <cellStyle name="Normal 3 3 4 14 4 2" xfId="33952" xr:uid="{00000000-0005-0000-0000-000097840000}"/>
    <cellStyle name="Normal 3 3 4 14 4 3" xfId="33953" xr:uid="{00000000-0005-0000-0000-000098840000}"/>
    <cellStyle name="Normal 3 3 4 14 5" xfId="33954" xr:uid="{00000000-0005-0000-0000-000099840000}"/>
    <cellStyle name="Normal 3 3 4 14 5 2" xfId="33955" xr:uid="{00000000-0005-0000-0000-00009A840000}"/>
    <cellStyle name="Normal 3 3 4 14 5 3" xfId="33956" xr:uid="{00000000-0005-0000-0000-00009B840000}"/>
    <cellStyle name="Normal 3 3 4 14 6" xfId="33957" xr:uid="{00000000-0005-0000-0000-00009C840000}"/>
    <cellStyle name="Normal 3 3 4 14 6 2" xfId="33958" xr:uid="{00000000-0005-0000-0000-00009D840000}"/>
    <cellStyle name="Normal 3 3 4 14 6 3" xfId="33959" xr:uid="{00000000-0005-0000-0000-00009E840000}"/>
    <cellStyle name="Normal 3 3 4 14 7" xfId="33960" xr:uid="{00000000-0005-0000-0000-00009F840000}"/>
    <cellStyle name="Normal 3 3 4 14 7 2" xfId="33961" xr:uid="{00000000-0005-0000-0000-0000A0840000}"/>
    <cellStyle name="Normal 3 3 4 14 7 3" xfId="33962" xr:uid="{00000000-0005-0000-0000-0000A1840000}"/>
    <cellStyle name="Normal 3 3 4 14 8" xfId="33963" xr:uid="{00000000-0005-0000-0000-0000A2840000}"/>
    <cellStyle name="Normal 3 3 4 14 8 2" xfId="33964" xr:uid="{00000000-0005-0000-0000-0000A3840000}"/>
    <cellStyle name="Normal 3 3 4 14 8 3" xfId="33965" xr:uid="{00000000-0005-0000-0000-0000A4840000}"/>
    <cellStyle name="Normal 3 3 4 14 9" xfId="33966" xr:uid="{00000000-0005-0000-0000-0000A5840000}"/>
    <cellStyle name="Normal 3 3 4 14 9 2" xfId="33967" xr:uid="{00000000-0005-0000-0000-0000A6840000}"/>
    <cellStyle name="Normal 3 3 4 14 9 3" xfId="33968" xr:uid="{00000000-0005-0000-0000-0000A7840000}"/>
    <cellStyle name="Normal 3 3 4 15" xfId="33969" xr:uid="{00000000-0005-0000-0000-0000A8840000}"/>
    <cellStyle name="Normal 3 3 4 15 2" xfId="33970" xr:uid="{00000000-0005-0000-0000-0000A9840000}"/>
    <cellStyle name="Normal 3 3 4 15 3" xfId="33971" xr:uid="{00000000-0005-0000-0000-0000AA840000}"/>
    <cellStyle name="Normal 3 3 4 16" xfId="33972" xr:uid="{00000000-0005-0000-0000-0000AB840000}"/>
    <cellStyle name="Normal 3 3 4 16 2" xfId="33973" xr:uid="{00000000-0005-0000-0000-0000AC840000}"/>
    <cellStyle name="Normal 3 3 4 16 3" xfId="33974" xr:uid="{00000000-0005-0000-0000-0000AD840000}"/>
    <cellStyle name="Normal 3 3 4 17" xfId="33975" xr:uid="{00000000-0005-0000-0000-0000AE840000}"/>
    <cellStyle name="Normal 3 3 4 17 2" xfId="33976" xr:uid="{00000000-0005-0000-0000-0000AF840000}"/>
    <cellStyle name="Normal 3 3 4 17 3" xfId="33977" xr:uid="{00000000-0005-0000-0000-0000B0840000}"/>
    <cellStyle name="Normal 3 3 4 18" xfId="33978" xr:uid="{00000000-0005-0000-0000-0000B1840000}"/>
    <cellStyle name="Normal 3 3 4 18 2" xfId="33979" xr:uid="{00000000-0005-0000-0000-0000B2840000}"/>
    <cellStyle name="Normal 3 3 4 18 3" xfId="33980" xr:uid="{00000000-0005-0000-0000-0000B3840000}"/>
    <cellStyle name="Normal 3 3 4 19" xfId="33981" xr:uid="{00000000-0005-0000-0000-0000B4840000}"/>
    <cellStyle name="Normal 3 3 4 19 2" xfId="33982" xr:uid="{00000000-0005-0000-0000-0000B5840000}"/>
    <cellStyle name="Normal 3 3 4 19 3" xfId="33983" xr:uid="{00000000-0005-0000-0000-0000B6840000}"/>
    <cellStyle name="Normal 3 3 4 2" xfId="33984" xr:uid="{00000000-0005-0000-0000-0000B7840000}"/>
    <cellStyle name="Normal 3 3 4 20" xfId="33985" xr:uid="{00000000-0005-0000-0000-0000B8840000}"/>
    <cellStyle name="Normal 3 3 4 20 2" xfId="33986" xr:uid="{00000000-0005-0000-0000-0000B9840000}"/>
    <cellStyle name="Normal 3 3 4 20 3" xfId="33987" xr:uid="{00000000-0005-0000-0000-0000BA840000}"/>
    <cellStyle name="Normal 3 3 4 21" xfId="33988" xr:uid="{00000000-0005-0000-0000-0000BB840000}"/>
    <cellStyle name="Normal 3 3 4 21 2" xfId="33989" xr:uid="{00000000-0005-0000-0000-0000BC840000}"/>
    <cellStyle name="Normal 3 3 4 21 3" xfId="33990" xr:uid="{00000000-0005-0000-0000-0000BD840000}"/>
    <cellStyle name="Normal 3 3 4 22" xfId="33991" xr:uid="{00000000-0005-0000-0000-0000BE840000}"/>
    <cellStyle name="Normal 3 3 4 22 2" xfId="33992" xr:uid="{00000000-0005-0000-0000-0000BF840000}"/>
    <cellStyle name="Normal 3 3 4 22 3" xfId="33993" xr:uid="{00000000-0005-0000-0000-0000C0840000}"/>
    <cellStyle name="Normal 3 3 4 23" xfId="33994" xr:uid="{00000000-0005-0000-0000-0000C1840000}"/>
    <cellStyle name="Normal 3 3 4 23 2" xfId="33995" xr:uid="{00000000-0005-0000-0000-0000C2840000}"/>
    <cellStyle name="Normal 3 3 4 23 3" xfId="33996" xr:uid="{00000000-0005-0000-0000-0000C3840000}"/>
    <cellStyle name="Normal 3 3 4 24" xfId="33997" xr:uid="{00000000-0005-0000-0000-0000C4840000}"/>
    <cellStyle name="Normal 3 3 4 24 2" xfId="33998" xr:uid="{00000000-0005-0000-0000-0000C5840000}"/>
    <cellStyle name="Normal 3 3 4 24 3" xfId="33999" xr:uid="{00000000-0005-0000-0000-0000C6840000}"/>
    <cellStyle name="Normal 3 3 4 25" xfId="34000" xr:uid="{00000000-0005-0000-0000-0000C7840000}"/>
    <cellStyle name="Normal 3 3 4 25 2" xfId="34001" xr:uid="{00000000-0005-0000-0000-0000C8840000}"/>
    <cellStyle name="Normal 3 3 4 25 3" xfId="34002" xr:uid="{00000000-0005-0000-0000-0000C9840000}"/>
    <cellStyle name="Normal 3 3 4 26" xfId="34003" xr:uid="{00000000-0005-0000-0000-0000CA840000}"/>
    <cellStyle name="Normal 3 3 4 26 2" xfId="34004" xr:uid="{00000000-0005-0000-0000-0000CB840000}"/>
    <cellStyle name="Normal 3 3 4 26 3" xfId="34005" xr:uid="{00000000-0005-0000-0000-0000CC840000}"/>
    <cellStyle name="Normal 3 3 4 27" xfId="34006" xr:uid="{00000000-0005-0000-0000-0000CD840000}"/>
    <cellStyle name="Normal 3 3 4 27 2" xfId="34007" xr:uid="{00000000-0005-0000-0000-0000CE840000}"/>
    <cellStyle name="Normal 3 3 4 27 3" xfId="34008" xr:uid="{00000000-0005-0000-0000-0000CF840000}"/>
    <cellStyle name="Normal 3 3 4 28" xfId="34009" xr:uid="{00000000-0005-0000-0000-0000D0840000}"/>
    <cellStyle name="Normal 3 3 4 29" xfId="34010" xr:uid="{00000000-0005-0000-0000-0000D1840000}"/>
    <cellStyle name="Normal 3 3 4 3" xfId="34011" xr:uid="{00000000-0005-0000-0000-0000D2840000}"/>
    <cellStyle name="Normal 3 3 4 4" xfId="34012" xr:uid="{00000000-0005-0000-0000-0000D3840000}"/>
    <cellStyle name="Normal 3 3 4 5" xfId="34013" xr:uid="{00000000-0005-0000-0000-0000D4840000}"/>
    <cellStyle name="Normal 3 3 4 6" xfId="34014" xr:uid="{00000000-0005-0000-0000-0000D5840000}"/>
    <cellStyle name="Normal 3 3 4 6 10" xfId="34015" xr:uid="{00000000-0005-0000-0000-0000D6840000}"/>
    <cellStyle name="Normal 3 3 4 6 10 2" xfId="34016" xr:uid="{00000000-0005-0000-0000-0000D7840000}"/>
    <cellStyle name="Normal 3 3 4 6 10 3" xfId="34017" xr:uid="{00000000-0005-0000-0000-0000D8840000}"/>
    <cellStyle name="Normal 3 3 4 6 11" xfId="34018" xr:uid="{00000000-0005-0000-0000-0000D9840000}"/>
    <cellStyle name="Normal 3 3 4 6 11 2" xfId="34019" xr:uid="{00000000-0005-0000-0000-0000DA840000}"/>
    <cellStyle name="Normal 3 3 4 6 11 3" xfId="34020" xr:uid="{00000000-0005-0000-0000-0000DB840000}"/>
    <cellStyle name="Normal 3 3 4 6 12" xfId="34021" xr:uid="{00000000-0005-0000-0000-0000DC840000}"/>
    <cellStyle name="Normal 3 3 4 6 12 2" xfId="34022" xr:uid="{00000000-0005-0000-0000-0000DD840000}"/>
    <cellStyle name="Normal 3 3 4 6 12 3" xfId="34023" xr:uid="{00000000-0005-0000-0000-0000DE840000}"/>
    <cellStyle name="Normal 3 3 4 6 13" xfId="34024" xr:uid="{00000000-0005-0000-0000-0000DF840000}"/>
    <cellStyle name="Normal 3 3 4 6 13 2" xfId="34025" xr:uid="{00000000-0005-0000-0000-0000E0840000}"/>
    <cellStyle name="Normal 3 3 4 6 13 3" xfId="34026" xr:uid="{00000000-0005-0000-0000-0000E1840000}"/>
    <cellStyle name="Normal 3 3 4 6 14" xfId="34027" xr:uid="{00000000-0005-0000-0000-0000E2840000}"/>
    <cellStyle name="Normal 3 3 4 6 14 2" xfId="34028" xr:uid="{00000000-0005-0000-0000-0000E3840000}"/>
    <cellStyle name="Normal 3 3 4 6 14 3" xfId="34029" xr:uid="{00000000-0005-0000-0000-0000E4840000}"/>
    <cellStyle name="Normal 3 3 4 6 15" xfId="34030" xr:uid="{00000000-0005-0000-0000-0000E5840000}"/>
    <cellStyle name="Normal 3 3 4 6 15 2" xfId="34031" xr:uid="{00000000-0005-0000-0000-0000E6840000}"/>
    <cellStyle name="Normal 3 3 4 6 15 3" xfId="34032" xr:uid="{00000000-0005-0000-0000-0000E7840000}"/>
    <cellStyle name="Normal 3 3 4 6 16" xfId="34033" xr:uid="{00000000-0005-0000-0000-0000E8840000}"/>
    <cellStyle name="Normal 3 3 4 6 17" xfId="34034" xr:uid="{00000000-0005-0000-0000-0000E9840000}"/>
    <cellStyle name="Normal 3 3 4 6 2" xfId="34035" xr:uid="{00000000-0005-0000-0000-0000EA840000}"/>
    <cellStyle name="Normal 3 3 4 6 2 10" xfId="34036" xr:uid="{00000000-0005-0000-0000-0000EB840000}"/>
    <cellStyle name="Normal 3 3 4 6 2 10 2" xfId="34037" xr:uid="{00000000-0005-0000-0000-0000EC840000}"/>
    <cellStyle name="Normal 3 3 4 6 2 10 3" xfId="34038" xr:uid="{00000000-0005-0000-0000-0000ED840000}"/>
    <cellStyle name="Normal 3 3 4 6 2 11" xfId="34039" xr:uid="{00000000-0005-0000-0000-0000EE840000}"/>
    <cellStyle name="Normal 3 3 4 6 2 11 2" xfId="34040" xr:uid="{00000000-0005-0000-0000-0000EF840000}"/>
    <cellStyle name="Normal 3 3 4 6 2 11 3" xfId="34041" xr:uid="{00000000-0005-0000-0000-0000F0840000}"/>
    <cellStyle name="Normal 3 3 4 6 2 12" xfId="34042" xr:uid="{00000000-0005-0000-0000-0000F1840000}"/>
    <cellStyle name="Normal 3 3 4 6 2 12 2" xfId="34043" xr:uid="{00000000-0005-0000-0000-0000F2840000}"/>
    <cellStyle name="Normal 3 3 4 6 2 12 3" xfId="34044" xr:uid="{00000000-0005-0000-0000-0000F3840000}"/>
    <cellStyle name="Normal 3 3 4 6 2 13" xfId="34045" xr:uid="{00000000-0005-0000-0000-0000F4840000}"/>
    <cellStyle name="Normal 3 3 4 6 2 13 2" xfId="34046" xr:uid="{00000000-0005-0000-0000-0000F5840000}"/>
    <cellStyle name="Normal 3 3 4 6 2 13 3" xfId="34047" xr:uid="{00000000-0005-0000-0000-0000F6840000}"/>
    <cellStyle name="Normal 3 3 4 6 2 14" xfId="34048" xr:uid="{00000000-0005-0000-0000-0000F7840000}"/>
    <cellStyle name="Normal 3 3 4 6 2 14 2" xfId="34049" xr:uid="{00000000-0005-0000-0000-0000F8840000}"/>
    <cellStyle name="Normal 3 3 4 6 2 14 3" xfId="34050" xr:uid="{00000000-0005-0000-0000-0000F9840000}"/>
    <cellStyle name="Normal 3 3 4 6 2 15" xfId="34051" xr:uid="{00000000-0005-0000-0000-0000FA840000}"/>
    <cellStyle name="Normal 3 3 4 6 2 16" xfId="34052" xr:uid="{00000000-0005-0000-0000-0000FB840000}"/>
    <cellStyle name="Normal 3 3 4 6 2 2" xfId="34053" xr:uid="{00000000-0005-0000-0000-0000FC840000}"/>
    <cellStyle name="Normal 3 3 4 6 2 2 2" xfId="34054" xr:uid="{00000000-0005-0000-0000-0000FD840000}"/>
    <cellStyle name="Normal 3 3 4 6 2 2 3" xfId="34055" xr:uid="{00000000-0005-0000-0000-0000FE840000}"/>
    <cellStyle name="Normal 3 3 4 6 2 3" xfId="34056" xr:uid="{00000000-0005-0000-0000-0000FF840000}"/>
    <cellStyle name="Normal 3 3 4 6 2 3 2" xfId="34057" xr:uid="{00000000-0005-0000-0000-000000850000}"/>
    <cellStyle name="Normal 3 3 4 6 2 3 3" xfId="34058" xr:uid="{00000000-0005-0000-0000-000001850000}"/>
    <cellStyle name="Normal 3 3 4 6 2 4" xfId="34059" xr:uid="{00000000-0005-0000-0000-000002850000}"/>
    <cellStyle name="Normal 3 3 4 6 2 4 2" xfId="34060" xr:uid="{00000000-0005-0000-0000-000003850000}"/>
    <cellStyle name="Normal 3 3 4 6 2 4 3" xfId="34061" xr:uid="{00000000-0005-0000-0000-000004850000}"/>
    <cellStyle name="Normal 3 3 4 6 2 5" xfId="34062" xr:uid="{00000000-0005-0000-0000-000005850000}"/>
    <cellStyle name="Normal 3 3 4 6 2 5 2" xfId="34063" xr:uid="{00000000-0005-0000-0000-000006850000}"/>
    <cellStyle name="Normal 3 3 4 6 2 5 3" xfId="34064" xr:uid="{00000000-0005-0000-0000-000007850000}"/>
    <cellStyle name="Normal 3 3 4 6 2 6" xfId="34065" xr:uid="{00000000-0005-0000-0000-000008850000}"/>
    <cellStyle name="Normal 3 3 4 6 2 6 2" xfId="34066" xr:uid="{00000000-0005-0000-0000-000009850000}"/>
    <cellStyle name="Normal 3 3 4 6 2 6 3" xfId="34067" xr:uid="{00000000-0005-0000-0000-00000A850000}"/>
    <cellStyle name="Normal 3 3 4 6 2 7" xfId="34068" xr:uid="{00000000-0005-0000-0000-00000B850000}"/>
    <cellStyle name="Normal 3 3 4 6 2 7 2" xfId="34069" xr:uid="{00000000-0005-0000-0000-00000C850000}"/>
    <cellStyle name="Normal 3 3 4 6 2 7 3" xfId="34070" xr:uid="{00000000-0005-0000-0000-00000D850000}"/>
    <cellStyle name="Normal 3 3 4 6 2 8" xfId="34071" xr:uid="{00000000-0005-0000-0000-00000E850000}"/>
    <cellStyle name="Normal 3 3 4 6 2 8 2" xfId="34072" xr:uid="{00000000-0005-0000-0000-00000F850000}"/>
    <cellStyle name="Normal 3 3 4 6 2 8 3" xfId="34073" xr:uid="{00000000-0005-0000-0000-000010850000}"/>
    <cellStyle name="Normal 3 3 4 6 2 9" xfId="34074" xr:uid="{00000000-0005-0000-0000-000011850000}"/>
    <cellStyle name="Normal 3 3 4 6 2 9 2" xfId="34075" xr:uid="{00000000-0005-0000-0000-000012850000}"/>
    <cellStyle name="Normal 3 3 4 6 2 9 3" xfId="34076" xr:uid="{00000000-0005-0000-0000-000013850000}"/>
    <cellStyle name="Normal 3 3 4 6 3" xfId="34077" xr:uid="{00000000-0005-0000-0000-000014850000}"/>
    <cellStyle name="Normal 3 3 4 6 3 2" xfId="34078" xr:uid="{00000000-0005-0000-0000-000015850000}"/>
    <cellStyle name="Normal 3 3 4 6 3 3" xfId="34079" xr:uid="{00000000-0005-0000-0000-000016850000}"/>
    <cellStyle name="Normal 3 3 4 6 4" xfId="34080" xr:uid="{00000000-0005-0000-0000-000017850000}"/>
    <cellStyle name="Normal 3 3 4 6 4 2" xfId="34081" xr:uid="{00000000-0005-0000-0000-000018850000}"/>
    <cellStyle name="Normal 3 3 4 6 4 3" xfId="34082" xr:uid="{00000000-0005-0000-0000-000019850000}"/>
    <cellStyle name="Normal 3 3 4 6 5" xfId="34083" xr:uid="{00000000-0005-0000-0000-00001A850000}"/>
    <cellStyle name="Normal 3 3 4 6 5 2" xfId="34084" xr:uid="{00000000-0005-0000-0000-00001B850000}"/>
    <cellStyle name="Normal 3 3 4 6 5 3" xfId="34085" xr:uid="{00000000-0005-0000-0000-00001C850000}"/>
    <cellStyle name="Normal 3 3 4 6 6" xfId="34086" xr:uid="{00000000-0005-0000-0000-00001D850000}"/>
    <cellStyle name="Normal 3 3 4 6 6 2" xfId="34087" xr:uid="{00000000-0005-0000-0000-00001E850000}"/>
    <cellStyle name="Normal 3 3 4 6 6 3" xfId="34088" xr:uid="{00000000-0005-0000-0000-00001F850000}"/>
    <cellStyle name="Normal 3 3 4 6 7" xfId="34089" xr:uid="{00000000-0005-0000-0000-000020850000}"/>
    <cellStyle name="Normal 3 3 4 6 7 2" xfId="34090" xr:uid="{00000000-0005-0000-0000-000021850000}"/>
    <cellStyle name="Normal 3 3 4 6 7 3" xfId="34091" xr:uid="{00000000-0005-0000-0000-000022850000}"/>
    <cellStyle name="Normal 3 3 4 6 8" xfId="34092" xr:uid="{00000000-0005-0000-0000-000023850000}"/>
    <cellStyle name="Normal 3 3 4 6 8 2" xfId="34093" xr:uid="{00000000-0005-0000-0000-000024850000}"/>
    <cellStyle name="Normal 3 3 4 6 8 3" xfId="34094" xr:uid="{00000000-0005-0000-0000-000025850000}"/>
    <cellStyle name="Normal 3 3 4 6 9" xfId="34095" xr:uid="{00000000-0005-0000-0000-000026850000}"/>
    <cellStyle name="Normal 3 3 4 6 9 2" xfId="34096" xr:uid="{00000000-0005-0000-0000-000027850000}"/>
    <cellStyle name="Normal 3 3 4 6 9 3" xfId="34097" xr:uid="{00000000-0005-0000-0000-000028850000}"/>
    <cellStyle name="Normal 3 3 4 7" xfId="34098" xr:uid="{00000000-0005-0000-0000-000029850000}"/>
    <cellStyle name="Normal 3 3 4 7 10" xfId="34099" xr:uid="{00000000-0005-0000-0000-00002A850000}"/>
    <cellStyle name="Normal 3 3 4 7 10 2" xfId="34100" xr:uid="{00000000-0005-0000-0000-00002B850000}"/>
    <cellStyle name="Normal 3 3 4 7 10 3" xfId="34101" xr:uid="{00000000-0005-0000-0000-00002C850000}"/>
    <cellStyle name="Normal 3 3 4 7 11" xfId="34102" xr:uid="{00000000-0005-0000-0000-00002D850000}"/>
    <cellStyle name="Normal 3 3 4 7 11 2" xfId="34103" xr:uid="{00000000-0005-0000-0000-00002E850000}"/>
    <cellStyle name="Normal 3 3 4 7 11 3" xfId="34104" xr:uid="{00000000-0005-0000-0000-00002F850000}"/>
    <cellStyle name="Normal 3 3 4 7 12" xfId="34105" xr:uid="{00000000-0005-0000-0000-000030850000}"/>
    <cellStyle name="Normal 3 3 4 7 12 2" xfId="34106" xr:uid="{00000000-0005-0000-0000-000031850000}"/>
    <cellStyle name="Normal 3 3 4 7 12 3" xfId="34107" xr:uid="{00000000-0005-0000-0000-000032850000}"/>
    <cellStyle name="Normal 3 3 4 7 13" xfId="34108" xr:uid="{00000000-0005-0000-0000-000033850000}"/>
    <cellStyle name="Normal 3 3 4 7 13 2" xfId="34109" xr:uid="{00000000-0005-0000-0000-000034850000}"/>
    <cellStyle name="Normal 3 3 4 7 13 3" xfId="34110" xr:uid="{00000000-0005-0000-0000-000035850000}"/>
    <cellStyle name="Normal 3 3 4 7 14" xfId="34111" xr:uid="{00000000-0005-0000-0000-000036850000}"/>
    <cellStyle name="Normal 3 3 4 7 14 2" xfId="34112" xr:uid="{00000000-0005-0000-0000-000037850000}"/>
    <cellStyle name="Normal 3 3 4 7 14 3" xfId="34113" xr:uid="{00000000-0005-0000-0000-000038850000}"/>
    <cellStyle name="Normal 3 3 4 7 15" xfId="34114" xr:uid="{00000000-0005-0000-0000-000039850000}"/>
    <cellStyle name="Normal 3 3 4 7 15 2" xfId="34115" xr:uid="{00000000-0005-0000-0000-00003A850000}"/>
    <cellStyle name="Normal 3 3 4 7 15 3" xfId="34116" xr:uid="{00000000-0005-0000-0000-00003B850000}"/>
    <cellStyle name="Normal 3 3 4 7 16" xfId="34117" xr:uid="{00000000-0005-0000-0000-00003C850000}"/>
    <cellStyle name="Normal 3 3 4 7 17" xfId="34118" xr:uid="{00000000-0005-0000-0000-00003D850000}"/>
    <cellStyle name="Normal 3 3 4 7 2" xfId="34119" xr:uid="{00000000-0005-0000-0000-00003E850000}"/>
    <cellStyle name="Normal 3 3 4 7 2 10" xfId="34120" xr:uid="{00000000-0005-0000-0000-00003F850000}"/>
    <cellStyle name="Normal 3 3 4 7 2 10 2" xfId="34121" xr:uid="{00000000-0005-0000-0000-000040850000}"/>
    <cellStyle name="Normal 3 3 4 7 2 10 3" xfId="34122" xr:uid="{00000000-0005-0000-0000-000041850000}"/>
    <cellStyle name="Normal 3 3 4 7 2 11" xfId="34123" xr:uid="{00000000-0005-0000-0000-000042850000}"/>
    <cellStyle name="Normal 3 3 4 7 2 11 2" xfId="34124" xr:uid="{00000000-0005-0000-0000-000043850000}"/>
    <cellStyle name="Normal 3 3 4 7 2 11 3" xfId="34125" xr:uid="{00000000-0005-0000-0000-000044850000}"/>
    <cellStyle name="Normal 3 3 4 7 2 12" xfId="34126" xr:uid="{00000000-0005-0000-0000-000045850000}"/>
    <cellStyle name="Normal 3 3 4 7 2 12 2" xfId="34127" xr:uid="{00000000-0005-0000-0000-000046850000}"/>
    <cellStyle name="Normal 3 3 4 7 2 12 3" xfId="34128" xr:uid="{00000000-0005-0000-0000-000047850000}"/>
    <cellStyle name="Normal 3 3 4 7 2 13" xfId="34129" xr:uid="{00000000-0005-0000-0000-000048850000}"/>
    <cellStyle name="Normal 3 3 4 7 2 13 2" xfId="34130" xr:uid="{00000000-0005-0000-0000-000049850000}"/>
    <cellStyle name="Normal 3 3 4 7 2 13 3" xfId="34131" xr:uid="{00000000-0005-0000-0000-00004A850000}"/>
    <cellStyle name="Normal 3 3 4 7 2 14" xfId="34132" xr:uid="{00000000-0005-0000-0000-00004B850000}"/>
    <cellStyle name="Normal 3 3 4 7 2 14 2" xfId="34133" xr:uid="{00000000-0005-0000-0000-00004C850000}"/>
    <cellStyle name="Normal 3 3 4 7 2 14 3" xfId="34134" xr:uid="{00000000-0005-0000-0000-00004D850000}"/>
    <cellStyle name="Normal 3 3 4 7 2 15" xfId="34135" xr:uid="{00000000-0005-0000-0000-00004E850000}"/>
    <cellStyle name="Normal 3 3 4 7 2 16" xfId="34136" xr:uid="{00000000-0005-0000-0000-00004F850000}"/>
    <cellStyle name="Normal 3 3 4 7 2 2" xfId="34137" xr:uid="{00000000-0005-0000-0000-000050850000}"/>
    <cellStyle name="Normal 3 3 4 7 2 2 2" xfId="34138" xr:uid="{00000000-0005-0000-0000-000051850000}"/>
    <cellStyle name="Normal 3 3 4 7 2 2 3" xfId="34139" xr:uid="{00000000-0005-0000-0000-000052850000}"/>
    <cellStyle name="Normal 3 3 4 7 2 3" xfId="34140" xr:uid="{00000000-0005-0000-0000-000053850000}"/>
    <cellStyle name="Normal 3 3 4 7 2 3 2" xfId="34141" xr:uid="{00000000-0005-0000-0000-000054850000}"/>
    <cellStyle name="Normal 3 3 4 7 2 3 3" xfId="34142" xr:uid="{00000000-0005-0000-0000-000055850000}"/>
    <cellStyle name="Normal 3 3 4 7 2 4" xfId="34143" xr:uid="{00000000-0005-0000-0000-000056850000}"/>
    <cellStyle name="Normal 3 3 4 7 2 4 2" xfId="34144" xr:uid="{00000000-0005-0000-0000-000057850000}"/>
    <cellStyle name="Normal 3 3 4 7 2 4 3" xfId="34145" xr:uid="{00000000-0005-0000-0000-000058850000}"/>
    <cellStyle name="Normal 3 3 4 7 2 5" xfId="34146" xr:uid="{00000000-0005-0000-0000-000059850000}"/>
    <cellStyle name="Normal 3 3 4 7 2 5 2" xfId="34147" xr:uid="{00000000-0005-0000-0000-00005A850000}"/>
    <cellStyle name="Normal 3 3 4 7 2 5 3" xfId="34148" xr:uid="{00000000-0005-0000-0000-00005B850000}"/>
    <cellStyle name="Normal 3 3 4 7 2 6" xfId="34149" xr:uid="{00000000-0005-0000-0000-00005C850000}"/>
    <cellStyle name="Normal 3 3 4 7 2 6 2" xfId="34150" xr:uid="{00000000-0005-0000-0000-00005D850000}"/>
    <cellStyle name="Normal 3 3 4 7 2 6 3" xfId="34151" xr:uid="{00000000-0005-0000-0000-00005E850000}"/>
    <cellStyle name="Normal 3 3 4 7 2 7" xfId="34152" xr:uid="{00000000-0005-0000-0000-00005F850000}"/>
    <cellStyle name="Normal 3 3 4 7 2 7 2" xfId="34153" xr:uid="{00000000-0005-0000-0000-000060850000}"/>
    <cellStyle name="Normal 3 3 4 7 2 7 3" xfId="34154" xr:uid="{00000000-0005-0000-0000-000061850000}"/>
    <cellStyle name="Normal 3 3 4 7 2 8" xfId="34155" xr:uid="{00000000-0005-0000-0000-000062850000}"/>
    <cellStyle name="Normal 3 3 4 7 2 8 2" xfId="34156" xr:uid="{00000000-0005-0000-0000-000063850000}"/>
    <cellStyle name="Normal 3 3 4 7 2 8 3" xfId="34157" xr:uid="{00000000-0005-0000-0000-000064850000}"/>
    <cellStyle name="Normal 3 3 4 7 2 9" xfId="34158" xr:uid="{00000000-0005-0000-0000-000065850000}"/>
    <cellStyle name="Normal 3 3 4 7 2 9 2" xfId="34159" xr:uid="{00000000-0005-0000-0000-000066850000}"/>
    <cellStyle name="Normal 3 3 4 7 2 9 3" xfId="34160" xr:uid="{00000000-0005-0000-0000-000067850000}"/>
    <cellStyle name="Normal 3 3 4 7 3" xfId="34161" xr:uid="{00000000-0005-0000-0000-000068850000}"/>
    <cellStyle name="Normal 3 3 4 7 3 2" xfId="34162" xr:uid="{00000000-0005-0000-0000-000069850000}"/>
    <cellStyle name="Normal 3 3 4 7 3 3" xfId="34163" xr:uid="{00000000-0005-0000-0000-00006A850000}"/>
    <cellStyle name="Normal 3 3 4 7 4" xfId="34164" xr:uid="{00000000-0005-0000-0000-00006B850000}"/>
    <cellStyle name="Normal 3 3 4 7 4 2" xfId="34165" xr:uid="{00000000-0005-0000-0000-00006C850000}"/>
    <cellStyle name="Normal 3 3 4 7 4 3" xfId="34166" xr:uid="{00000000-0005-0000-0000-00006D850000}"/>
    <cellStyle name="Normal 3 3 4 7 5" xfId="34167" xr:uid="{00000000-0005-0000-0000-00006E850000}"/>
    <cellStyle name="Normal 3 3 4 7 5 2" xfId="34168" xr:uid="{00000000-0005-0000-0000-00006F850000}"/>
    <cellStyle name="Normal 3 3 4 7 5 3" xfId="34169" xr:uid="{00000000-0005-0000-0000-000070850000}"/>
    <cellStyle name="Normal 3 3 4 7 6" xfId="34170" xr:uid="{00000000-0005-0000-0000-000071850000}"/>
    <cellStyle name="Normal 3 3 4 7 6 2" xfId="34171" xr:uid="{00000000-0005-0000-0000-000072850000}"/>
    <cellStyle name="Normal 3 3 4 7 6 3" xfId="34172" xr:uid="{00000000-0005-0000-0000-000073850000}"/>
    <cellStyle name="Normal 3 3 4 7 7" xfId="34173" xr:uid="{00000000-0005-0000-0000-000074850000}"/>
    <cellStyle name="Normal 3 3 4 7 7 2" xfId="34174" xr:uid="{00000000-0005-0000-0000-000075850000}"/>
    <cellStyle name="Normal 3 3 4 7 7 3" xfId="34175" xr:uid="{00000000-0005-0000-0000-000076850000}"/>
    <cellStyle name="Normal 3 3 4 7 8" xfId="34176" xr:uid="{00000000-0005-0000-0000-000077850000}"/>
    <cellStyle name="Normal 3 3 4 7 8 2" xfId="34177" xr:uid="{00000000-0005-0000-0000-000078850000}"/>
    <cellStyle name="Normal 3 3 4 7 8 3" xfId="34178" xr:uid="{00000000-0005-0000-0000-000079850000}"/>
    <cellStyle name="Normal 3 3 4 7 9" xfId="34179" xr:uid="{00000000-0005-0000-0000-00007A850000}"/>
    <cellStyle name="Normal 3 3 4 7 9 2" xfId="34180" xr:uid="{00000000-0005-0000-0000-00007B850000}"/>
    <cellStyle name="Normal 3 3 4 7 9 3" xfId="34181" xr:uid="{00000000-0005-0000-0000-00007C850000}"/>
    <cellStyle name="Normal 3 3 4 8" xfId="34182" xr:uid="{00000000-0005-0000-0000-00007D850000}"/>
    <cellStyle name="Normal 3 3 4 8 10" xfId="34183" xr:uid="{00000000-0005-0000-0000-00007E850000}"/>
    <cellStyle name="Normal 3 3 4 8 10 2" xfId="34184" xr:uid="{00000000-0005-0000-0000-00007F850000}"/>
    <cellStyle name="Normal 3 3 4 8 10 3" xfId="34185" xr:uid="{00000000-0005-0000-0000-000080850000}"/>
    <cellStyle name="Normal 3 3 4 8 11" xfId="34186" xr:uid="{00000000-0005-0000-0000-000081850000}"/>
    <cellStyle name="Normal 3 3 4 8 11 2" xfId="34187" xr:uid="{00000000-0005-0000-0000-000082850000}"/>
    <cellStyle name="Normal 3 3 4 8 11 3" xfId="34188" xr:uid="{00000000-0005-0000-0000-000083850000}"/>
    <cellStyle name="Normal 3 3 4 8 12" xfId="34189" xr:uid="{00000000-0005-0000-0000-000084850000}"/>
    <cellStyle name="Normal 3 3 4 8 12 2" xfId="34190" xr:uid="{00000000-0005-0000-0000-000085850000}"/>
    <cellStyle name="Normal 3 3 4 8 12 3" xfId="34191" xr:uid="{00000000-0005-0000-0000-000086850000}"/>
    <cellStyle name="Normal 3 3 4 8 13" xfId="34192" xr:uid="{00000000-0005-0000-0000-000087850000}"/>
    <cellStyle name="Normal 3 3 4 8 13 2" xfId="34193" xr:uid="{00000000-0005-0000-0000-000088850000}"/>
    <cellStyle name="Normal 3 3 4 8 13 3" xfId="34194" xr:uid="{00000000-0005-0000-0000-000089850000}"/>
    <cellStyle name="Normal 3 3 4 8 14" xfId="34195" xr:uid="{00000000-0005-0000-0000-00008A850000}"/>
    <cellStyle name="Normal 3 3 4 8 14 2" xfId="34196" xr:uid="{00000000-0005-0000-0000-00008B850000}"/>
    <cellStyle name="Normal 3 3 4 8 14 3" xfId="34197" xr:uid="{00000000-0005-0000-0000-00008C850000}"/>
    <cellStyle name="Normal 3 3 4 8 15" xfId="34198" xr:uid="{00000000-0005-0000-0000-00008D850000}"/>
    <cellStyle name="Normal 3 3 4 8 15 2" xfId="34199" xr:uid="{00000000-0005-0000-0000-00008E850000}"/>
    <cellStyle name="Normal 3 3 4 8 15 3" xfId="34200" xr:uid="{00000000-0005-0000-0000-00008F850000}"/>
    <cellStyle name="Normal 3 3 4 8 16" xfId="34201" xr:uid="{00000000-0005-0000-0000-000090850000}"/>
    <cellStyle name="Normal 3 3 4 8 17" xfId="34202" xr:uid="{00000000-0005-0000-0000-000091850000}"/>
    <cellStyle name="Normal 3 3 4 8 2" xfId="34203" xr:uid="{00000000-0005-0000-0000-000092850000}"/>
    <cellStyle name="Normal 3 3 4 8 2 10" xfId="34204" xr:uid="{00000000-0005-0000-0000-000093850000}"/>
    <cellStyle name="Normal 3 3 4 8 2 10 2" xfId="34205" xr:uid="{00000000-0005-0000-0000-000094850000}"/>
    <cellStyle name="Normal 3 3 4 8 2 10 3" xfId="34206" xr:uid="{00000000-0005-0000-0000-000095850000}"/>
    <cellStyle name="Normal 3 3 4 8 2 11" xfId="34207" xr:uid="{00000000-0005-0000-0000-000096850000}"/>
    <cellStyle name="Normal 3 3 4 8 2 11 2" xfId="34208" xr:uid="{00000000-0005-0000-0000-000097850000}"/>
    <cellStyle name="Normal 3 3 4 8 2 11 3" xfId="34209" xr:uid="{00000000-0005-0000-0000-000098850000}"/>
    <cellStyle name="Normal 3 3 4 8 2 12" xfId="34210" xr:uid="{00000000-0005-0000-0000-000099850000}"/>
    <cellStyle name="Normal 3 3 4 8 2 12 2" xfId="34211" xr:uid="{00000000-0005-0000-0000-00009A850000}"/>
    <cellStyle name="Normal 3 3 4 8 2 12 3" xfId="34212" xr:uid="{00000000-0005-0000-0000-00009B850000}"/>
    <cellStyle name="Normal 3 3 4 8 2 13" xfId="34213" xr:uid="{00000000-0005-0000-0000-00009C850000}"/>
    <cellStyle name="Normal 3 3 4 8 2 13 2" xfId="34214" xr:uid="{00000000-0005-0000-0000-00009D850000}"/>
    <cellStyle name="Normal 3 3 4 8 2 13 3" xfId="34215" xr:uid="{00000000-0005-0000-0000-00009E850000}"/>
    <cellStyle name="Normal 3 3 4 8 2 14" xfId="34216" xr:uid="{00000000-0005-0000-0000-00009F850000}"/>
    <cellStyle name="Normal 3 3 4 8 2 14 2" xfId="34217" xr:uid="{00000000-0005-0000-0000-0000A0850000}"/>
    <cellStyle name="Normal 3 3 4 8 2 14 3" xfId="34218" xr:uid="{00000000-0005-0000-0000-0000A1850000}"/>
    <cellStyle name="Normal 3 3 4 8 2 15" xfId="34219" xr:uid="{00000000-0005-0000-0000-0000A2850000}"/>
    <cellStyle name="Normal 3 3 4 8 2 16" xfId="34220" xr:uid="{00000000-0005-0000-0000-0000A3850000}"/>
    <cellStyle name="Normal 3 3 4 8 2 2" xfId="34221" xr:uid="{00000000-0005-0000-0000-0000A4850000}"/>
    <cellStyle name="Normal 3 3 4 8 2 2 2" xfId="34222" xr:uid="{00000000-0005-0000-0000-0000A5850000}"/>
    <cellStyle name="Normal 3 3 4 8 2 2 3" xfId="34223" xr:uid="{00000000-0005-0000-0000-0000A6850000}"/>
    <cellStyle name="Normal 3 3 4 8 2 3" xfId="34224" xr:uid="{00000000-0005-0000-0000-0000A7850000}"/>
    <cellStyle name="Normal 3 3 4 8 2 3 2" xfId="34225" xr:uid="{00000000-0005-0000-0000-0000A8850000}"/>
    <cellStyle name="Normal 3 3 4 8 2 3 3" xfId="34226" xr:uid="{00000000-0005-0000-0000-0000A9850000}"/>
    <cellStyle name="Normal 3 3 4 8 2 4" xfId="34227" xr:uid="{00000000-0005-0000-0000-0000AA850000}"/>
    <cellStyle name="Normal 3 3 4 8 2 4 2" xfId="34228" xr:uid="{00000000-0005-0000-0000-0000AB850000}"/>
    <cellStyle name="Normal 3 3 4 8 2 4 3" xfId="34229" xr:uid="{00000000-0005-0000-0000-0000AC850000}"/>
    <cellStyle name="Normal 3 3 4 8 2 5" xfId="34230" xr:uid="{00000000-0005-0000-0000-0000AD850000}"/>
    <cellStyle name="Normal 3 3 4 8 2 5 2" xfId="34231" xr:uid="{00000000-0005-0000-0000-0000AE850000}"/>
    <cellStyle name="Normal 3 3 4 8 2 5 3" xfId="34232" xr:uid="{00000000-0005-0000-0000-0000AF850000}"/>
    <cellStyle name="Normal 3 3 4 8 2 6" xfId="34233" xr:uid="{00000000-0005-0000-0000-0000B0850000}"/>
    <cellStyle name="Normal 3 3 4 8 2 6 2" xfId="34234" xr:uid="{00000000-0005-0000-0000-0000B1850000}"/>
    <cellStyle name="Normal 3 3 4 8 2 6 3" xfId="34235" xr:uid="{00000000-0005-0000-0000-0000B2850000}"/>
    <cellStyle name="Normal 3 3 4 8 2 7" xfId="34236" xr:uid="{00000000-0005-0000-0000-0000B3850000}"/>
    <cellStyle name="Normal 3 3 4 8 2 7 2" xfId="34237" xr:uid="{00000000-0005-0000-0000-0000B4850000}"/>
    <cellStyle name="Normal 3 3 4 8 2 7 3" xfId="34238" xr:uid="{00000000-0005-0000-0000-0000B5850000}"/>
    <cellStyle name="Normal 3 3 4 8 2 8" xfId="34239" xr:uid="{00000000-0005-0000-0000-0000B6850000}"/>
    <cellStyle name="Normal 3 3 4 8 2 8 2" xfId="34240" xr:uid="{00000000-0005-0000-0000-0000B7850000}"/>
    <cellStyle name="Normal 3 3 4 8 2 8 3" xfId="34241" xr:uid="{00000000-0005-0000-0000-0000B8850000}"/>
    <cellStyle name="Normal 3 3 4 8 2 9" xfId="34242" xr:uid="{00000000-0005-0000-0000-0000B9850000}"/>
    <cellStyle name="Normal 3 3 4 8 2 9 2" xfId="34243" xr:uid="{00000000-0005-0000-0000-0000BA850000}"/>
    <cellStyle name="Normal 3 3 4 8 2 9 3" xfId="34244" xr:uid="{00000000-0005-0000-0000-0000BB850000}"/>
    <cellStyle name="Normal 3 3 4 8 3" xfId="34245" xr:uid="{00000000-0005-0000-0000-0000BC850000}"/>
    <cellStyle name="Normal 3 3 4 8 3 2" xfId="34246" xr:uid="{00000000-0005-0000-0000-0000BD850000}"/>
    <cellStyle name="Normal 3 3 4 8 3 3" xfId="34247" xr:uid="{00000000-0005-0000-0000-0000BE850000}"/>
    <cellStyle name="Normal 3 3 4 8 4" xfId="34248" xr:uid="{00000000-0005-0000-0000-0000BF850000}"/>
    <cellStyle name="Normal 3 3 4 8 4 2" xfId="34249" xr:uid="{00000000-0005-0000-0000-0000C0850000}"/>
    <cellStyle name="Normal 3 3 4 8 4 3" xfId="34250" xr:uid="{00000000-0005-0000-0000-0000C1850000}"/>
    <cellStyle name="Normal 3 3 4 8 5" xfId="34251" xr:uid="{00000000-0005-0000-0000-0000C2850000}"/>
    <cellStyle name="Normal 3 3 4 8 5 2" xfId="34252" xr:uid="{00000000-0005-0000-0000-0000C3850000}"/>
    <cellStyle name="Normal 3 3 4 8 5 3" xfId="34253" xr:uid="{00000000-0005-0000-0000-0000C4850000}"/>
    <cellStyle name="Normal 3 3 4 8 6" xfId="34254" xr:uid="{00000000-0005-0000-0000-0000C5850000}"/>
    <cellStyle name="Normal 3 3 4 8 6 2" xfId="34255" xr:uid="{00000000-0005-0000-0000-0000C6850000}"/>
    <cellStyle name="Normal 3 3 4 8 6 3" xfId="34256" xr:uid="{00000000-0005-0000-0000-0000C7850000}"/>
    <cellStyle name="Normal 3 3 4 8 7" xfId="34257" xr:uid="{00000000-0005-0000-0000-0000C8850000}"/>
    <cellStyle name="Normal 3 3 4 8 7 2" xfId="34258" xr:uid="{00000000-0005-0000-0000-0000C9850000}"/>
    <cellStyle name="Normal 3 3 4 8 7 3" xfId="34259" xr:uid="{00000000-0005-0000-0000-0000CA850000}"/>
    <cellStyle name="Normal 3 3 4 8 8" xfId="34260" xr:uid="{00000000-0005-0000-0000-0000CB850000}"/>
    <cellStyle name="Normal 3 3 4 8 8 2" xfId="34261" xr:uid="{00000000-0005-0000-0000-0000CC850000}"/>
    <cellStyle name="Normal 3 3 4 8 8 3" xfId="34262" xr:uid="{00000000-0005-0000-0000-0000CD850000}"/>
    <cellStyle name="Normal 3 3 4 8 9" xfId="34263" xr:uid="{00000000-0005-0000-0000-0000CE850000}"/>
    <cellStyle name="Normal 3 3 4 8 9 2" xfId="34264" xr:uid="{00000000-0005-0000-0000-0000CF850000}"/>
    <cellStyle name="Normal 3 3 4 8 9 3" xfId="34265" xr:uid="{00000000-0005-0000-0000-0000D0850000}"/>
    <cellStyle name="Normal 3 3 4 9" xfId="34266" xr:uid="{00000000-0005-0000-0000-0000D1850000}"/>
    <cellStyle name="Normal 3 3 4 9 10" xfId="34267" xr:uid="{00000000-0005-0000-0000-0000D2850000}"/>
    <cellStyle name="Normal 3 3 4 9 10 2" xfId="34268" xr:uid="{00000000-0005-0000-0000-0000D3850000}"/>
    <cellStyle name="Normal 3 3 4 9 10 3" xfId="34269" xr:uid="{00000000-0005-0000-0000-0000D4850000}"/>
    <cellStyle name="Normal 3 3 4 9 11" xfId="34270" xr:uid="{00000000-0005-0000-0000-0000D5850000}"/>
    <cellStyle name="Normal 3 3 4 9 11 2" xfId="34271" xr:uid="{00000000-0005-0000-0000-0000D6850000}"/>
    <cellStyle name="Normal 3 3 4 9 11 3" xfId="34272" xr:uid="{00000000-0005-0000-0000-0000D7850000}"/>
    <cellStyle name="Normal 3 3 4 9 12" xfId="34273" xr:uid="{00000000-0005-0000-0000-0000D8850000}"/>
    <cellStyle name="Normal 3 3 4 9 12 2" xfId="34274" xr:uid="{00000000-0005-0000-0000-0000D9850000}"/>
    <cellStyle name="Normal 3 3 4 9 12 3" xfId="34275" xr:uid="{00000000-0005-0000-0000-0000DA850000}"/>
    <cellStyle name="Normal 3 3 4 9 13" xfId="34276" xr:uid="{00000000-0005-0000-0000-0000DB850000}"/>
    <cellStyle name="Normal 3 3 4 9 13 2" xfId="34277" xr:uid="{00000000-0005-0000-0000-0000DC850000}"/>
    <cellStyle name="Normal 3 3 4 9 13 3" xfId="34278" xr:uid="{00000000-0005-0000-0000-0000DD850000}"/>
    <cellStyle name="Normal 3 3 4 9 14" xfId="34279" xr:uid="{00000000-0005-0000-0000-0000DE850000}"/>
    <cellStyle name="Normal 3 3 4 9 14 2" xfId="34280" xr:uid="{00000000-0005-0000-0000-0000DF850000}"/>
    <cellStyle name="Normal 3 3 4 9 14 3" xfId="34281" xr:uid="{00000000-0005-0000-0000-0000E0850000}"/>
    <cellStyle name="Normal 3 3 4 9 15" xfId="34282" xr:uid="{00000000-0005-0000-0000-0000E1850000}"/>
    <cellStyle name="Normal 3 3 4 9 16" xfId="34283" xr:uid="{00000000-0005-0000-0000-0000E2850000}"/>
    <cellStyle name="Normal 3 3 4 9 2" xfId="34284" xr:uid="{00000000-0005-0000-0000-0000E3850000}"/>
    <cellStyle name="Normal 3 3 4 9 2 2" xfId="34285" xr:uid="{00000000-0005-0000-0000-0000E4850000}"/>
    <cellStyle name="Normal 3 3 4 9 2 3" xfId="34286" xr:uid="{00000000-0005-0000-0000-0000E5850000}"/>
    <cellStyle name="Normal 3 3 4 9 3" xfId="34287" xr:uid="{00000000-0005-0000-0000-0000E6850000}"/>
    <cellStyle name="Normal 3 3 4 9 3 2" xfId="34288" xr:uid="{00000000-0005-0000-0000-0000E7850000}"/>
    <cellStyle name="Normal 3 3 4 9 3 3" xfId="34289" xr:uid="{00000000-0005-0000-0000-0000E8850000}"/>
    <cellStyle name="Normal 3 3 4 9 4" xfId="34290" xr:uid="{00000000-0005-0000-0000-0000E9850000}"/>
    <cellStyle name="Normal 3 3 4 9 4 2" xfId="34291" xr:uid="{00000000-0005-0000-0000-0000EA850000}"/>
    <cellStyle name="Normal 3 3 4 9 4 3" xfId="34292" xr:uid="{00000000-0005-0000-0000-0000EB850000}"/>
    <cellStyle name="Normal 3 3 4 9 5" xfId="34293" xr:uid="{00000000-0005-0000-0000-0000EC850000}"/>
    <cellStyle name="Normal 3 3 4 9 5 2" xfId="34294" xr:uid="{00000000-0005-0000-0000-0000ED850000}"/>
    <cellStyle name="Normal 3 3 4 9 5 3" xfId="34295" xr:uid="{00000000-0005-0000-0000-0000EE850000}"/>
    <cellStyle name="Normal 3 3 4 9 6" xfId="34296" xr:uid="{00000000-0005-0000-0000-0000EF850000}"/>
    <cellStyle name="Normal 3 3 4 9 6 2" xfId="34297" xr:uid="{00000000-0005-0000-0000-0000F0850000}"/>
    <cellStyle name="Normal 3 3 4 9 6 3" xfId="34298" xr:uid="{00000000-0005-0000-0000-0000F1850000}"/>
    <cellStyle name="Normal 3 3 4 9 7" xfId="34299" xr:uid="{00000000-0005-0000-0000-0000F2850000}"/>
    <cellStyle name="Normal 3 3 4 9 7 2" xfId="34300" xr:uid="{00000000-0005-0000-0000-0000F3850000}"/>
    <cellStyle name="Normal 3 3 4 9 7 3" xfId="34301" xr:uid="{00000000-0005-0000-0000-0000F4850000}"/>
    <cellStyle name="Normal 3 3 4 9 8" xfId="34302" xr:uid="{00000000-0005-0000-0000-0000F5850000}"/>
    <cellStyle name="Normal 3 3 4 9 8 2" xfId="34303" xr:uid="{00000000-0005-0000-0000-0000F6850000}"/>
    <cellStyle name="Normal 3 3 4 9 8 3" xfId="34304" xr:uid="{00000000-0005-0000-0000-0000F7850000}"/>
    <cellStyle name="Normal 3 3 4 9 9" xfId="34305" xr:uid="{00000000-0005-0000-0000-0000F8850000}"/>
    <cellStyle name="Normal 3 3 4 9 9 2" xfId="34306" xr:uid="{00000000-0005-0000-0000-0000F9850000}"/>
    <cellStyle name="Normal 3 3 4 9 9 3" xfId="34307" xr:uid="{00000000-0005-0000-0000-0000FA850000}"/>
    <cellStyle name="Normal 3 3 5" xfId="34308" xr:uid="{00000000-0005-0000-0000-0000FB850000}"/>
    <cellStyle name="Normal 3 3 5 10" xfId="34309" xr:uid="{00000000-0005-0000-0000-0000FC850000}"/>
    <cellStyle name="Normal 3 3 5 10 10" xfId="34310" xr:uid="{00000000-0005-0000-0000-0000FD850000}"/>
    <cellStyle name="Normal 3 3 5 10 10 2" xfId="34311" xr:uid="{00000000-0005-0000-0000-0000FE850000}"/>
    <cellStyle name="Normal 3 3 5 10 10 3" xfId="34312" xr:uid="{00000000-0005-0000-0000-0000FF850000}"/>
    <cellStyle name="Normal 3 3 5 10 11" xfId="34313" xr:uid="{00000000-0005-0000-0000-000000860000}"/>
    <cellStyle name="Normal 3 3 5 10 11 2" xfId="34314" xr:uid="{00000000-0005-0000-0000-000001860000}"/>
    <cellStyle name="Normal 3 3 5 10 11 3" xfId="34315" xr:uid="{00000000-0005-0000-0000-000002860000}"/>
    <cellStyle name="Normal 3 3 5 10 12" xfId="34316" xr:uid="{00000000-0005-0000-0000-000003860000}"/>
    <cellStyle name="Normal 3 3 5 10 12 2" xfId="34317" xr:uid="{00000000-0005-0000-0000-000004860000}"/>
    <cellStyle name="Normal 3 3 5 10 12 3" xfId="34318" xr:uid="{00000000-0005-0000-0000-000005860000}"/>
    <cellStyle name="Normal 3 3 5 10 13" xfId="34319" xr:uid="{00000000-0005-0000-0000-000006860000}"/>
    <cellStyle name="Normal 3 3 5 10 13 2" xfId="34320" xr:uid="{00000000-0005-0000-0000-000007860000}"/>
    <cellStyle name="Normal 3 3 5 10 13 3" xfId="34321" xr:uid="{00000000-0005-0000-0000-000008860000}"/>
    <cellStyle name="Normal 3 3 5 10 14" xfId="34322" xr:uid="{00000000-0005-0000-0000-000009860000}"/>
    <cellStyle name="Normal 3 3 5 10 14 2" xfId="34323" xr:uid="{00000000-0005-0000-0000-00000A860000}"/>
    <cellStyle name="Normal 3 3 5 10 14 3" xfId="34324" xr:uid="{00000000-0005-0000-0000-00000B860000}"/>
    <cellStyle name="Normal 3 3 5 10 15" xfId="34325" xr:uid="{00000000-0005-0000-0000-00000C860000}"/>
    <cellStyle name="Normal 3 3 5 10 16" xfId="34326" xr:uid="{00000000-0005-0000-0000-00000D860000}"/>
    <cellStyle name="Normal 3 3 5 10 2" xfId="34327" xr:uid="{00000000-0005-0000-0000-00000E860000}"/>
    <cellStyle name="Normal 3 3 5 10 2 2" xfId="34328" xr:uid="{00000000-0005-0000-0000-00000F860000}"/>
    <cellStyle name="Normal 3 3 5 10 2 3" xfId="34329" xr:uid="{00000000-0005-0000-0000-000010860000}"/>
    <cellStyle name="Normal 3 3 5 10 3" xfId="34330" xr:uid="{00000000-0005-0000-0000-000011860000}"/>
    <cellStyle name="Normal 3 3 5 10 3 2" xfId="34331" xr:uid="{00000000-0005-0000-0000-000012860000}"/>
    <cellStyle name="Normal 3 3 5 10 3 3" xfId="34332" xr:uid="{00000000-0005-0000-0000-000013860000}"/>
    <cellStyle name="Normal 3 3 5 10 4" xfId="34333" xr:uid="{00000000-0005-0000-0000-000014860000}"/>
    <cellStyle name="Normal 3 3 5 10 4 2" xfId="34334" xr:uid="{00000000-0005-0000-0000-000015860000}"/>
    <cellStyle name="Normal 3 3 5 10 4 3" xfId="34335" xr:uid="{00000000-0005-0000-0000-000016860000}"/>
    <cellStyle name="Normal 3 3 5 10 5" xfId="34336" xr:uid="{00000000-0005-0000-0000-000017860000}"/>
    <cellStyle name="Normal 3 3 5 10 5 2" xfId="34337" xr:uid="{00000000-0005-0000-0000-000018860000}"/>
    <cellStyle name="Normal 3 3 5 10 5 3" xfId="34338" xr:uid="{00000000-0005-0000-0000-000019860000}"/>
    <cellStyle name="Normal 3 3 5 10 6" xfId="34339" xr:uid="{00000000-0005-0000-0000-00001A860000}"/>
    <cellStyle name="Normal 3 3 5 10 6 2" xfId="34340" xr:uid="{00000000-0005-0000-0000-00001B860000}"/>
    <cellStyle name="Normal 3 3 5 10 6 3" xfId="34341" xr:uid="{00000000-0005-0000-0000-00001C860000}"/>
    <cellStyle name="Normal 3 3 5 10 7" xfId="34342" xr:uid="{00000000-0005-0000-0000-00001D860000}"/>
    <cellStyle name="Normal 3 3 5 10 7 2" xfId="34343" xr:uid="{00000000-0005-0000-0000-00001E860000}"/>
    <cellStyle name="Normal 3 3 5 10 7 3" xfId="34344" xr:uid="{00000000-0005-0000-0000-00001F860000}"/>
    <cellStyle name="Normal 3 3 5 10 8" xfId="34345" xr:uid="{00000000-0005-0000-0000-000020860000}"/>
    <cellStyle name="Normal 3 3 5 10 8 2" xfId="34346" xr:uid="{00000000-0005-0000-0000-000021860000}"/>
    <cellStyle name="Normal 3 3 5 10 8 3" xfId="34347" xr:uid="{00000000-0005-0000-0000-000022860000}"/>
    <cellStyle name="Normal 3 3 5 10 9" xfId="34348" xr:uid="{00000000-0005-0000-0000-000023860000}"/>
    <cellStyle name="Normal 3 3 5 10 9 2" xfId="34349" xr:uid="{00000000-0005-0000-0000-000024860000}"/>
    <cellStyle name="Normal 3 3 5 10 9 3" xfId="34350" xr:uid="{00000000-0005-0000-0000-000025860000}"/>
    <cellStyle name="Normal 3 3 5 11" xfId="34351" xr:uid="{00000000-0005-0000-0000-000026860000}"/>
    <cellStyle name="Normal 3 3 5 11 10" xfId="34352" xr:uid="{00000000-0005-0000-0000-000027860000}"/>
    <cellStyle name="Normal 3 3 5 11 10 2" xfId="34353" xr:uid="{00000000-0005-0000-0000-000028860000}"/>
    <cellStyle name="Normal 3 3 5 11 10 3" xfId="34354" xr:uid="{00000000-0005-0000-0000-000029860000}"/>
    <cellStyle name="Normal 3 3 5 11 11" xfId="34355" xr:uid="{00000000-0005-0000-0000-00002A860000}"/>
    <cellStyle name="Normal 3 3 5 11 11 2" xfId="34356" xr:uid="{00000000-0005-0000-0000-00002B860000}"/>
    <cellStyle name="Normal 3 3 5 11 11 3" xfId="34357" xr:uid="{00000000-0005-0000-0000-00002C860000}"/>
    <cellStyle name="Normal 3 3 5 11 12" xfId="34358" xr:uid="{00000000-0005-0000-0000-00002D860000}"/>
    <cellStyle name="Normal 3 3 5 11 12 2" xfId="34359" xr:uid="{00000000-0005-0000-0000-00002E860000}"/>
    <cellStyle name="Normal 3 3 5 11 12 3" xfId="34360" xr:uid="{00000000-0005-0000-0000-00002F860000}"/>
    <cellStyle name="Normal 3 3 5 11 13" xfId="34361" xr:uid="{00000000-0005-0000-0000-000030860000}"/>
    <cellStyle name="Normal 3 3 5 11 13 2" xfId="34362" xr:uid="{00000000-0005-0000-0000-000031860000}"/>
    <cellStyle name="Normal 3 3 5 11 13 3" xfId="34363" xr:uid="{00000000-0005-0000-0000-000032860000}"/>
    <cellStyle name="Normal 3 3 5 11 14" xfId="34364" xr:uid="{00000000-0005-0000-0000-000033860000}"/>
    <cellStyle name="Normal 3 3 5 11 14 2" xfId="34365" xr:uid="{00000000-0005-0000-0000-000034860000}"/>
    <cellStyle name="Normal 3 3 5 11 14 3" xfId="34366" xr:uid="{00000000-0005-0000-0000-000035860000}"/>
    <cellStyle name="Normal 3 3 5 11 15" xfId="34367" xr:uid="{00000000-0005-0000-0000-000036860000}"/>
    <cellStyle name="Normal 3 3 5 11 16" xfId="34368" xr:uid="{00000000-0005-0000-0000-000037860000}"/>
    <cellStyle name="Normal 3 3 5 11 2" xfId="34369" xr:uid="{00000000-0005-0000-0000-000038860000}"/>
    <cellStyle name="Normal 3 3 5 11 2 2" xfId="34370" xr:uid="{00000000-0005-0000-0000-000039860000}"/>
    <cellStyle name="Normal 3 3 5 11 2 3" xfId="34371" xr:uid="{00000000-0005-0000-0000-00003A860000}"/>
    <cellStyle name="Normal 3 3 5 11 3" xfId="34372" xr:uid="{00000000-0005-0000-0000-00003B860000}"/>
    <cellStyle name="Normal 3 3 5 11 3 2" xfId="34373" xr:uid="{00000000-0005-0000-0000-00003C860000}"/>
    <cellStyle name="Normal 3 3 5 11 3 3" xfId="34374" xr:uid="{00000000-0005-0000-0000-00003D860000}"/>
    <cellStyle name="Normal 3 3 5 11 4" xfId="34375" xr:uid="{00000000-0005-0000-0000-00003E860000}"/>
    <cellStyle name="Normal 3 3 5 11 4 2" xfId="34376" xr:uid="{00000000-0005-0000-0000-00003F860000}"/>
    <cellStyle name="Normal 3 3 5 11 4 3" xfId="34377" xr:uid="{00000000-0005-0000-0000-000040860000}"/>
    <cellStyle name="Normal 3 3 5 11 5" xfId="34378" xr:uid="{00000000-0005-0000-0000-000041860000}"/>
    <cellStyle name="Normal 3 3 5 11 5 2" xfId="34379" xr:uid="{00000000-0005-0000-0000-000042860000}"/>
    <cellStyle name="Normal 3 3 5 11 5 3" xfId="34380" xr:uid="{00000000-0005-0000-0000-000043860000}"/>
    <cellStyle name="Normal 3 3 5 11 6" xfId="34381" xr:uid="{00000000-0005-0000-0000-000044860000}"/>
    <cellStyle name="Normal 3 3 5 11 6 2" xfId="34382" xr:uid="{00000000-0005-0000-0000-000045860000}"/>
    <cellStyle name="Normal 3 3 5 11 6 3" xfId="34383" xr:uid="{00000000-0005-0000-0000-000046860000}"/>
    <cellStyle name="Normal 3 3 5 11 7" xfId="34384" xr:uid="{00000000-0005-0000-0000-000047860000}"/>
    <cellStyle name="Normal 3 3 5 11 7 2" xfId="34385" xr:uid="{00000000-0005-0000-0000-000048860000}"/>
    <cellStyle name="Normal 3 3 5 11 7 3" xfId="34386" xr:uid="{00000000-0005-0000-0000-000049860000}"/>
    <cellStyle name="Normal 3 3 5 11 8" xfId="34387" xr:uid="{00000000-0005-0000-0000-00004A860000}"/>
    <cellStyle name="Normal 3 3 5 11 8 2" xfId="34388" xr:uid="{00000000-0005-0000-0000-00004B860000}"/>
    <cellStyle name="Normal 3 3 5 11 8 3" xfId="34389" xr:uid="{00000000-0005-0000-0000-00004C860000}"/>
    <cellStyle name="Normal 3 3 5 11 9" xfId="34390" xr:uid="{00000000-0005-0000-0000-00004D860000}"/>
    <cellStyle name="Normal 3 3 5 11 9 2" xfId="34391" xr:uid="{00000000-0005-0000-0000-00004E860000}"/>
    <cellStyle name="Normal 3 3 5 11 9 3" xfId="34392" xr:uid="{00000000-0005-0000-0000-00004F860000}"/>
    <cellStyle name="Normal 3 3 5 12" xfId="34393" xr:uid="{00000000-0005-0000-0000-000050860000}"/>
    <cellStyle name="Normal 3 3 5 12 10" xfId="34394" xr:uid="{00000000-0005-0000-0000-000051860000}"/>
    <cellStyle name="Normal 3 3 5 12 10 2" xfId="34395" xr:uid="{00000000-0005-0000-0000-000052860000}"/>
    <cellStyle name="Normal 3 3 5 12 10 3" xfId="34396" xr:uid="{00000000-0005-0000-0000-000053860000}"/>
    <cellStyle name="Normal 3 3 5 12 11" xfId="34397" xr:uid="{00000000-0005-0000-0000-000054860000}"/>
    <cellStyle name="Normal 3 3 5 12 11 2" xfId="34398" xr:uid="{00000000-0005-0000-0000-000055860000}"/>
    <cellStyle name="Normal 3 3 5 12 11 3" xfId="34399" xr:uid="{00000000-0005-0000-0000-000056860000}"/>
    <cellStyle name="Normal 3 3 5 12 12" xfId="34400" xr:uid="{00000000-0005-0000-0000-000057860000}"/>
    <cellStyle name="Normal 3 3 5 12 12 2" xfId="34401" xr:uid="{00000000-0005-0000-0000-000058860000}"/>
    <cellStyle name="Normal 3 3 5 12 12 3" xfId="34402" xr:uid="{00000000-0005-0000-0000-000059860000}"/>
    <cellStyle name="Normal 3 3 5 12 13" xfId="34403" xr:uid="{00000000-0005-0000-0000-00005A860000}"/>
    <cellStyle name="Normal 3 3 5 12 13 2" xfId="34404" xr:uid="{00000000-0005-0000-0000-00005B860000}"/>
    <cellStyle name="Normal 3 3 5 12 13 3" xfId="34405" xr:uid="{00000000-0005-0000-0000-00005C860000}"/>
    <cellStyle name="Normal 3 3 5 12 14" xfId="34406" xr:uid="{00000000-0005-0000-0000-00005D860000}"/>
    <cellStyle name="Normal 3 3 5 12 14 2" xfId="34407" xr:uid="{00000000-0005-0000-0000-00005E860000}"/>
    <cellStyle name="Normal 3 3 5 12 14 3" xfId="34408" xr:uid="{00000000-0005-0000-0000-00005F860000}"/>
    <cellStyle name="Normal 3 3 5 12 15" xfId="34409" xr:uid="{00000000-0005-0000-0000-000060860000}"/>
    <cellStyle name="Normal 3 3 5 12 16" xfId="34410" xr:uid="{00000000-0005-0000-0000-000061860000}"/>
    <cellStyle name="Normal 3 3 5 12 2" xfId="34411" xr:uid="{00000000-0005-0000-0000-000062860000}"/>
    <cellStyle name="Normal 3 3 5 12 2 2" xfId="34412" xr:uid="{00000000-0005-0000-0000-000063860000}"/>
    <cellStyle name="Normal 3 3 5 12 2 3" xfId="34413" xr:uid="{00000000-0005-0000-0000-000064860000}"/>
    <cellStyle name="Normal 3 3 5 12 3" xfId="34414" xr:uid="{00000000-0005-0000-0000-000065860000}"/>
    <cellStyle name="Normal 3 3 5 12 3 2" xfId="34415" xr:uid="{00000000-0005-0000-0000-000066860000}"/>
    <cellStyle name="Normal 3 3 5 12 3 3" xfId="34416" xr:uid="{00000000-0005-0000-0000-000067860000}"/>
    <cellStyle name="Normal 3 3 5 12 4" xfId="34417" xr:uid="{00000000-0005-0000-0000-000068860000}"/>
    <cellStyle name="Normal 3 3 5 12 4 2" xfId="34418" xr:uid="{00000000-0005-0000-0000-000069860000}"/>
    <cellStyle name="Normal 3 3 5 12 4 3" xfId="34419" xr:uid="{00000000-0005-0000-0000-00006A860000}"/>
    <cellStyle name="Normal 3 3 5 12 5" xfId="34420" xr:uid="{00000000-0005-0000-0000-00006B860000}"/>
    <cellStyle name="Normal 3 3 5 12 5 2" xfId="34421" xr:uid="{00000000-0005-0000-0000-00006C860000}"/>
    <cellStyle name="Normal 3 3 5 12 5 3" xfId="34422" xr:uid="{00000000-0005-0000-0000-00006D860000}"/>
    <cellStyle name="Normal 3 3 5 12 6" xfId="34423" xr:uid="{00000000-0005-0000-0000-00006E860000}"/>
    <cellStyle name="Normal 3 3 5 12 6 2" xfId="34424" xr:uid="{00000000-0005-0000-0000-00006F860000}"/>
    <cellStyle name="Normal 3 3 5 12 6 3" xfId="34425" xr:uid="{00000000-0005-0000-0000-000070860000}"/>
    <cellStyle name="Normal 3 3 5 12 7" xfId="34426" xr:uid="{00000000-0005-0000-0000-000071860000}"/>
    <cellStyle name="Normal 3 3 5 12 7 2" xfId="34427" xr:uid="{00000000-0005-0000-0000-000072860000}"/>
    <cellStyle name="Normal 3 3 5 12 7 3" xfId="34428" xr:uid="{00000000-0005-0000-0000-000073860000}"/>
    <cellStyle name="Normal 3 3 5 12 8" xfId="34429" xr:uid="{00000000-0005-0000-0000-000074860000}"/>
    <cellStyle name="Normal 3 3 5 12 8 2" xfId="34430" xr:uid="{00000000-0005-0000-0000-000075860000}"/>
    <cellStyle name="Normal 3 3 5 12 8 3" xfId="34431" xr:uid="{00000000-0005-0000-0000-000076860000}"/>
    <cellStyle name="Normal 3 3 5 12 9" xfId="34432" xr:uid="{00000000-0005-0000-0000-000077860000}"/>
    <cellStyle name="Normal 3 3 5 12 9 2" xfId="34433" xr:uid="{00000000-0005-0000-0000-000078860000}"/>
    <cellStyle name="Normal 3 3 5 12 9 3" xfId="34434" xr:uid="{00000000-0005-0000-0000-000079860000}"/>
    <cellStyle name="Normal 3 3 5 13" xfId="34435" xr:uid="{00000000-0005-0000-0000-00007A860000}"/>
    <cellStyle name="Normal 3 3 5 13 10" xfId="34436" xr:uid="{00000000-0005-0000-0000-00007B860000}"/>
    <cellStyle name="Normal 3 3 5 13 10 2" xfId="34437" xr:uid="{00000000-0005-0000-0000-00007C860000}"/>
    <cellStyle name="Normal 3 3 5 13 10 3" xfId="34438" xr:uid="{00000000-0005-0000-0000-00007D860000}"/>
    <cellStyle name="Normal 3 3 5 13 11" xfId="34439" xr:uid="{00000000-0005-0000-0000-00007E860000}"/>
    <cellStyle name="Normal 3 3 5 13 11 2" xfId="34440" xr:uid="{00000000-0005-0000-0000-00007F860000}"/>
    <cellStyle name="Normal 3 3 5 13 11 3" xfId="34441" xr:uid="{00000000-0005-0000-0000-000080860000}"/>
    <cellStyle name="Normal 3 3 5 13 12" xfId="34442" xr:uid="{00000000-0005-0000-0000-000081860000}"/>
    <cellStyle name="Normal 3 3 5 13 12 2" xfId="34443" xr:uid="{00000000-0005-0000-0000-000082860000}"/>
    <cellStyle name="Normal 3 3 5 13 12 3" xfId="34444" xr:uid="{00000000-0005-0000-0000-000083860000}"/>
    <cellStyle name="Normal 3 3 5 13 13" xfId="34445" xr:uid="{00000000-0005-0000-0000-000084860000}"/>
    <cellStyle name="Normal 3 3 5 13 13 2" xfId="34446" xr:uid="{00000000-0005-0000-0000-000085860000}"/>
    <cellStyle name="Normal 3 3 5 13 13 3" xfId="34447" xr:uid="{00000000-0005-0000-0000-000086860000}"/>
    <cellStyle name="Normal 3 3 5 13 14" xfId="34448" xr:uid="{00000000-0005-0000-0000-000087860000}"/>
    <cellStyle name="Normal 3 3 5 13 14 2" xfId="34449" xr:uid="{00000000-0005-0000-0000-000088860000}"/>
    <cellStyle name="Normal 3 3 5 13 14 3" xfId="34450" xr:uid="{00000000-0005-0000-0000-000089860000}"/>
    <cellStyle name="Normal 3 3 5 13 15" xfId="34451" xr:uid="{00000000-0005-0000-0000-00008A860000}"/>
    <cellStyle name="Normal 3 3 5 13 16" xfId="34452" xr:uid="{00000000-0005-0000-0000-00008B860000}"/>
    <cellStyle name="Normal 3 3 5 13 2" xfId="34453" xr:uid="{00000000-0005-0000-0000-00008C860000}"/>
    <cellStyle name="Normal 3 3 5 13 2 2" xfId="34454" xr:uid="{00000000-0005-0000-0000-00008D860000}"/>
    <cellStyle name="Normal 3 3 5 13 2 3" xfId="34455" xr:uid="{00000000-0005-0000-0000-00008E860000}"/>
    <cellStyle name="Normal 3 3 5 13 3" xfId="34456" xr:uid="{00000000-0005-0000-0000-00008F860000}"/>
    <cellStyle name="Normal 3 3 5 13 3 2" xfId="34457" xr:uid="{00000000-0005-0000-0000-000090860000}"/>
    <cellStyle name="Normal 3 3 5 13 3 3" xfId="34458" xr:uid="{00000000-0005-0000-0000-000091860000}"/>
    <cellStyle name="Normal 3 3 5 13 4" xfId="34459" xr:uid="{00000000-0005-0000-0000-000092860000}"/>
    <cellStyle name="Normal 3 3 5 13 4 2" xfId="34460" xr:uid="{00000000-0005-0000-0000-000093860000}"/>
    <cellStyle name="Normal 3 3 5 13 4 3" xfId="34461" xr:uid="{00000000-0005-0000-0000-000094860000}"/>
    <cellStyle name="Normal 3 3 5 13 5" xfId="34462" xr:uid="{00000000-0005-0000-0000-000095860000}"/>
    <cellStyle name="Normal 3 3 5 13 5 2" xfId="34463" xr:uid="{00000000-0005-0000-0000-000096860000}"/>
    <cellStyle name="Normal 3 3 5 13 5 3" xfId="34464" xr:uid="{00000000-0005-0000-0000-000097860000}"/>
    <cellStyle name="Normal 3 3 5 13 6" xfId="34465" xr:uid="{00000000-0005-0000-0000-000098860000}"/>
    <cellStyle name="Normal 3 3 5 13 6 2" xfId="34466" xr:uid="{00000000-0005-0000-0000-000099860000}"/>
    <cellStyle name="Normal 3 3 5 13 6 3" xfId="34467" xr:uid="{00000000-0005-0000-0000-00009A860000}"/>
    <cellStyle name="Normal 3 3 5 13 7" xfId="34468" xr:uid="{00000000-0005-0000-0000-00009B860000}"/>
    <cellStyle name="Normal 3 3 5 13 7 2" xfId="34469" xr:uid="{00000000-0005-0000-0000-00009C860000}"/>
    <cellStyle name="Normal 3 3 5 13 7 3" xfId="34470" xr:uid="{00000000-0005-0000-0000-00009D860000}"/>
    <cellStyle name="Normal 3 3 5 13 8" xfId="34471" xr:uid="{00000000-0005-0000-0000-00009E860000}"/>
    <cellStyle name="Normal 3 3 5 13 8 2" xfId="34472" xr:uid="{00000000-0005-0000-0000-00009F860000}"/>
    <cellStyle name="Normal 3 3 5 13 8 3" xfId="34473" xr:uid="{00000000-0005-0000-0000-0000A0860000}"/>
    <cellStyle name="Normal 3 3 5 13 9" xfId="34474" xr:uid="{00000000-0005-0000-0000-0000A1860000}"/>
    <cellStyle name="Normal 3 3 5 13 9 2" xfId="34475" xr:uid="{00000000-0005-0000-0000-0000A2860000}"/>
    <cellStyle name="Normal 3 3 5 13 9 3" xfId="34476" xr:uid="{00000000-0005-0000-0000-0000A3860000}"/>
    <cellStyle name="Normal 3 3 5 14" xfId="34477" xr:uid="{00000000-0005-0000-0000-0000A4860000}"/>
    <cellStyle name="Normal 3 3 5 14 10" xfId="34478" xr:uid="{00000000-0005-0000-0000-0000A5860000}"/>
    <cellStyle name="Normal 3 3 5 14 10 2" xfId="34479" xr:uid="{00000000-0005-0000-0000-0000A6860000}"/>
    <cellStyle name="Normal 3 3 5 14 10 3" xfId="34480" xr:uid="{00000000-0005-0000-0000-0000A7860000}"/>
    <cellStyle name="Normal 3 3 5 14 11" xfId="34481" xr:uid="{00000000-0005-0000-0000-0000A8860000}"/>
    <cellStyle name="Normal 3 3 5 14 11 2" xfId="34482" xr:uid="{00000000-0005-0000-0000-0000A9860000}"/>
    <cellStyle name="Normal 3 3 5 14 11 3" xfId="34483" xr:uid="{00000000-0005-0000-0000-0000AA860000}"/>
    <cellStyle name="Normal 3 3 5 14 12" xfId="34484" xr:uid="{00000000-0005-0000-0000-0000AB860000}"/>
    <cellStyle name="Normal 3 3 5 14 12 2" xfId="34485" xr:uid="{00000000-0005-0000-0000-0000AC860000}"/>
    <cellStyle name="Normal 3 3 5 14 12 3" xfId="34486" xr:uid="{00000000-0005-0000-0000-0000AD860000}"/>
    <cellStyle name="Normal 3 3 5 14 13" xfId="34487" xr:uid="{00000000-0005-0000-0000-0000AE860000}"/>
    <cellStyle name="Normal 3 3 5 14 13 2" xfId="34488" xr:uid="{00000000-0005-0000-0000-0000AF860000}"/>
    <cellStyle name="Normal 3 3 5 14 13 3" xfId="34489" xr:uid="{00000000-0005-0000-0000-0000B0860000}"/>
    <cellStyle name="Normal 3 3 5 14 14" xfId="34490" xr:uid="{00000000-0005-0000-0000-0000B1860000}"/>
    <cellStyle name="Normal 3 3 5 14 14 2" xfId="34491" xr:uid="{00000000-0005-0000-0000-0000B2860000}"/>
    <cellStyle name="Normal 3 3 5 14 14 3" xfId="34492" xr:uid="{00000000-0005-0000-0000-0000B3860000}"/>
    <cellStyle name="Normal 3 3 5 14 15" xfId="34493" xr:uid="{00000000-0005-0000-0000-0000B4860000}"/>
    <cellStyle name="Normal 3 3 5 14 16" xfId="34494" xr:uid="{00000000-0005-0000-0000-0000B5860000}"/>
    <cellStyle name="Normal 3 3 5 14 2" xfId="34495" xr:uid="{00000000-0005-0000-0000-0000B6860000}"/>
    <cellStyle name="Normal 3 3 5 14 2 2" xfId="34496" xr:uid="{00000000-0005-0000-0000-0000B7860000}"/>
    <cellStyle name="Normal 3 3 5 14 2 3" xfId="34497" xr:uid="{00000000-0005-0000-0000-0000B8860000}"/>
    <cellStyle name="Normal 3 3 5 14 3" xfId="34498" xr:uid="{00000000-0005-0000-0000-0000B9860000}"/>
    <cellStyle name="Normal 3 3 5 14 3 2" xfId="34499" xr:uid="{00000000-0005-0000-0000-0000BA860000}"/>
    <cellStyle name="Normal 3 3 5 14 3 3" xfId="34500" xr:uid="{00000000-0005-0000-0000-0000BB860000}"/>
    <cellStyle name="Normal 3 3 5 14 4" xfId="34501" xr:uid="{00000000-0005-0000-0000-0000BC860000}"/>
    <cellStyle name="Normal 3 3 5 14 4 2" xfId="34502" xr:uid="{00000000-0005-0000-0000-0000BD860000}"/>
    <cellStyle name="Normal 3 3 5 14 4 3" xfId="34503" xr:uid="{00000000-0005-0000-0000-0000BE860000}"/>
    <cellStyle name="Normal 3 3 5 14 5" xfId="34504" xr:uid="{00000000-0005-0000-0000-0000BF860000}"/>
    <cellStyle name="Normal 3 3 5 14 5 2" xfId="34505" xr:uid="{00000000-0005-0000-0000-0000C0860000}"/>
    <cellStyle name="Normal 3 3 5 14 5 3" xfId="34506" xr:uid="{00000000-0005-0000-0000-0000C1860000}"/>
    <cellStyle name="Normal 3 3 5 14 6" xfId="34507" xr:uid="{00000000-0005-0000-0000-0000C2860000}"/>
    <cellStyle name="Normal 3 3 5 14 6 2" xfId="34508" xr:uid="{00000000-0005-0000-0000-0000C3860000}"/>
    <cellStyle name="Normal 3 3 5 14 6 3" xfId="34509" xr:uid="{00000000-0005-0000-0000-0000C4860000}"/>
    <cellStyle name="Normal 3 3 5 14 7" xfId="34510" xr:uid="{00000000-0005-0000-0000-0000C5860000}"/>
    <cellStyle name="Normal 3 3 5 14 7 2" xfId="34511" xr:uid="{00000000-0005-0000-0000-0000C6860000}"/>
    <cellStyle name="Normal 3 3 5 14 7 3" xfId="34512" xr:uid="{00000000-0005-0000-0000-0000C7860000}"/>
    <cellStyle name="Normal 3 3 5 14 8" xfId="34513" xr:uid="{00000000-0005-0000-0000-0000C8860000}"/>
    <cellStyle name="Normal 3 3 5 14 8 2" xfId="34514" xr:uid="{00000000-0005-0000-0000-0000C9860000}"/>
    <cellStyle name="Normal 3 3 5 14 8 3" xfId="34515" xr:uid="{00000000-0005-0000-0000-0000CA860000}"/>
    <cellStyle name="Normal 3 3 5 14 9" xfId="34516" xr:uid="{00000000-0005-0000-0000-0000CB860000}"/>
    <cellStyle name="Normal 3 3 5 14 9 2" xfId="34517" xr:uid="{00000000-0005-0000-0000-0000CC860000}"/>
    <cellStyle name="Normal 3 3 5 14 9 3" xfId="34518" xr:uid="{00000000-0005-0000-0000-0000CD860000}"/>
    <cellStyle name="Normal 3 3 5 15" xfId="34519" xr:uid="{00000000-0005-0000-0000-0000CE860000}"/>
    <cellStyle name="Normal 3 3 5 15 2" xfId="34520" xr:uid="{00000000-0005-0000-0000-0000CF860000}"/>
    <cellStyle name="Normal 3 3 5 15 3" xfId="34521" xr:uid="{00000000-0005-0000-0000-0000D0860000}"/>
    <cellStyle name="Normal 3 3 5 16" xfId="34522" xr:uid="{00000000-0005-0000-0000-0000D1860000}"/>
    <cellStyle name="Normal 3 3 5 16 2" xfId="34523" xr:uid="{00000000-0005-0000-0000-0000D2860000}"/>
    <cellStyle name="Normal 3 3 5 16 3" xfId="34524" xr:uid="{00000000-0005-0000-0000-0000D3860000}"/>
    <cellStyle name="Normal 3 3 5 17" xfId="34525" xr:uid="{00000000-0005-0000-0000-0000D4860000}"/>
    <cellStyle name="Normal 3 3 5 17 2" xfId="34526" xr:uid="{00000000-0005-0000-0000-0000D5860000}"/>
    <cellStyle name="Normal 3 3 5 17 3" xfId="34527" xr:uid="{00000000-0005-0000-0000-0000D6860000}"/>
    <cellStyle name="Normal 3 3 5 18" xfId="34528" xr:uid="{00000000-0005-0000-0000-0000D7860000}"/>
    <cellStyle name="Normal 3 3 5 18 2" xfId="34529" xr:uid="{00000000-0005-0000-0000-0000D8860000}"/>
    <cellStyle name="Normal 3 3 5 18 3" xfId="34530" xr:uid="{00000000-0005-0000-0000-0000D9860000}"/>
    <cellStyle name="Normal 3 3 5 19" xfId="34531" xr:uid="{00000000-0005-0000-0000-0000DA860000}"/>
    <cellStyle name="Normal 3 3 5 19 2" xfId="34532" xr:uid="{00000000-0005-0000-0000-0000DB860000}"/>
    <cellStyle name="Normal 3 3 5 19 3" xfId="34533" xr:uid="{00000000-0005-0000-0000-0000DC860000}"/>
    <cellStyle name="Normal 3 3 5 2" xfId="34534" xr:uid="{00000000-0005-0000-0000-0000DD860000}"/>
    <cellStyle name="Normal 3 3 5 20" xfId="34535" xr:uid="{00000000-0005-0000-0000-0000DE860000}"/>
    <cellStyle name="Normal 3 3 5 20 2" xfId="34536" xr:uid="{00000000-0005-0000-0000-0000DF860000}"/>
    <cellStyle name="Normal 3 3 5 20 3" xfId="34537" xr:uid="{00000000-0005-0000-0000-0000E0860000}"/>
    <cellStyle name="Normal 3 3 5 21" xfId="34538" xr:uid="{00000000-0005-0000-0000-0000E1860000}"/>
    <cellStyle name="Normal 3 3 5 21 2" xfId="34539" xr:uid="{00000000-0005-0000-0000-0000E2860000}"/>
    <cellStyle name="Normal 3 3 5 21 3" xfId="34540" xr:uid="{00000000-0005-0000-0000-0000E3860000}"/>
    <cellStyle name="Normal 3 3 5 22" xfId="34541" xr:uid="{00000000-0005-0000-0000-0000E4860000}"/>
    <cellStyle name="Normal 3 3 5 22 2" xfId="34542" xr:uid="{00000000-0005-0000-0000-0000E5860000}"/>
    <cellStyle name="Normal 3 3 5 22 3" xfId="34543" xr:uid="{00000000-0005-0000-0000-0000E6860000}"/>
    <cellStyle name="Normal 3 3 5 23" xfId="34544" xr:uid="{00000000-0005-0000-0000-0000E7860000}"/>
    <cellStyle name="Normal 3 3 5 23 2" xfId="34545" xr:uid="{00000000-0005-0000-0000-0000E8860000}"/>
    <cellStyle name="Normal 3 3 5 23 3" xfId="34546" xr:uid="{00000000-0005-0000-0000-0000E9860000}"/>
    <cellStyle name="Normal 3 3 5 24" xfId="34547" xr:uid="{00000000-0005-0000-0000-0000EA860000}"/>
    <cellStyle name="Normal 3 3 5 24 2" xfId="34548" xr:uid="{00000000-0005-0000-0000-0000EB860000}"/>
    <cellStyle name="Normal 3 3 5 24 3" xfId="34549" xr:uid="{00000000-0005-0000-0000-0000EC860000}"/>
    <cellStyle name="Normal 3 3 5 25" xfId="34550" xr:uid="{00000000-0005-0000-0000-0000ED860000}"/>
    <cellStyle name="Normal 3 3 5 25 2" xfId="34551" xr:uid="{00000000-0005-0000-0000-0000EE860000}"/>
    <cellStyle name="Normal 3 3 5 25 3" xfId="34552" xr:uid="{00000000-0005-0000-0000-0000EF860000}"/>
    <cellStyle name="Normal 3 3 5 26" xfId="34553" xr:uid="{00000000-0005-0000-0000-0000F0860000}"/>
    <cellStyle name="Normal 3 3 5 26 2" xfId="34554" xr:uid="{00000000-0005-0000-0000-0000F1860000}"/>
    <cellStyle name="Normal 3 3 5 26 3" xfId="34555" xr:uid="{00000000-0005-0000-0000-0000F2860000}"/>
    <cellStyle name="Normal 3 3 5 27" xfId="34556" xr:uid="{00000000-0005-0000-0000-0000F3860000}"/>
    <cellStyle name="Normal 3 3 5 27 2" xfId="34557" xr:uid="{00000000-0005-0000-0000-0000F4860000}"/>
    <cellStyle name="Normal 3 3 5 27 3" xfId="34558" xr:uid="{00000000-0005-0000-0000-0000F5860000}"/>
    <cellStyle name="Normal 3 3 5 28" xfId="34559" xr:uid="{00000000-0005-0000-0000-0000F6860000}"/>
    <cellStyle name="Normal 3 3 5 29" xfId="34560" xr:uid="{00000000-0005-0000-0000-0000F7860000}"/>
    <cellStyle name="Normal 3 3 5 3" xfId="34561" xr:uid="{00000000-0005-0000-0000-0000F8860000}"/>
    <cellStyle name="Normal 3 3 5 4" xfId="34562" xr:uid="{00000000-0005-0000-0000-0000F9860000}"/>
    <cellStyle name="Normal 3 3 5 5" xfId="34563" xr:uid="{00000000-0005-0000-0000-0000FA860000}"/>
    <cellStyle name="Normal 3 3 5 6" xfId="34564" xr:uid="{00000000-0005-0000-0000-0000FB860000}"/>
    <cellStyle name="Normal 3 3 5 6 10" xfId="34565" xr:uid="{00000000-0005-0000-0000-0000FC860000}"/>
    <cellStyle name="Normal 3 3 5 6 10 2" xfId="34566" xr:uid="{00000000-0005-0000-0000-0000FD860000}"/>
    <cellStyle name="Normal 3 3 5 6 10 3" xfId="34567" xr:uid="{00000000-0005-0000-0000-0000FE860000}"/>
    <cellStyle name="Normal 3 3 5 6 11" xfId="34568" xr:uid="{00000000-0005-0000-0000-0000FF860000}"/>
    <cellStyle name="Normal 3 3 5 6 11 2" xfId="34569" xr:uid="{00000000-0005-0000-0000-000000870000}"/>
    <cellStyle name="Normal 3 3 5 6 11 3" xfId="34570" xr:uid="{00000000-0005-0000-0000-000001870000}"/>
    <cellStyle name="Normal 3 3 5 6 12" xfId="34571" xr:uid="{00000000-0005-0000-0000-000002870000}"/>
    <cellStyle name="Normal 3 3 5 6 12 2" xfId="34572" xr:uid="{00000000-0005-0000-0000-000003870000}"/>
    <cellStyle name="Normal 3 3 5 6 12 3" xfId="34573" xr:uid="{00000000-0005-0000-0000-000004870000}"/>
    <cellStyle name="Normal 3 3 5 6 13" xfId="34574" xr:uid="{00000000-0005-0000-0000-000005870000}"/>
    <cellStyle name="Normal 3 3 5 6 13 2" xfId="34575" xr:uid="{00000000-0005-0000-0000-000006870000}"/>
    <cellStyle name="Normal 3 3 5 6 13 3" xfId="34576" xr:uid="{00000000-0005-0000-0000-000007870000}"/>
    <cellStyle name="Normal 3 3 5 6 14" xfId="34577" xr:uid="{00000000-0005-0000-0000-000008870000}"/>
    <cellStyle name="Normal 3 3 5 6 14 2" xfId="34578" xr:uid="{00000000-0005-0000-0000-000009870000}"/>
    <cellStyle name="Normal 3 3 5 6 14 3" xfId="34579" xr:uid="{00000000-0005-0000-0000-00000A870000}"/>
    <cellStyle name="Normal 3 3 5 6 15" xfId="34580" xr:uid="{00000000-0005-0000-0000-00000B870000}"/>
    <cellStyle name="Normal 3 3 5 6 15 2" xfId="34581" xr:uid="{00000000-0005-0000-0000-00000C870000}"/>
    <cellStyle name="Normal 3 3 5 6 15 3" xfId="34582" xr:uid="{00000000-0005-0000-0000-00000D870000}"/>
    <cellStyle name="Normal 3 3 5 6 16" xfId="34583" xr:uid="{00000000-0005-0000-0000-00000E870000}"/>
    <cellStyle name="Normal 3 3 5 6 17" xfId="34584" xr:uid="{00000000-0005-0000-0000-00000F870000}"/>
    <cellStyle name="Normal 3 3 5 6 2" xfId="34585" xr:uid="{00000000-0005-0000-0000-000010870000}"/>
    <cellStyle name="Normal 3 3 5 6 2 10" xfId="34586" xr:uid="{00000000-0005-0000-0000-000011870000}"/>
    <cellStyle name="Normal 3 3 5 6 2 10 2" xfId="34587" xr:uid="{00000000-0005-0000-0000-000012870000}"/>
    <cellStyle name="Normal 3 3 5 6 2 10 3" xfId="34588" xr:uid="{00000000-0005-0000-0000-000013870000}"/>
    <cellStyle name="Normal 3 3 5 6 2 11" xfId="34589" xr:uid="{00000000-0005-0000-0000-000014870000}"/>
    <cellStyle name="Normal 3 3 5 6 2 11 2" xfId="34590" xr:uid="{00000000-0005-0000-0000-000015870000}"/>
    <cellStyle name="Normal 3 3 5 6 2 11 3" xfId="34591" xr:uid="{00000000-0005-0000-0000-000016870000}"/>
    <cellStyle name="Normal 3 3 5 6 2 12" xfId="34592" xr:uid="{00000000-0005-0000-0000-000017870000}"/>
    <cellStyle name="Normal 3 3 5 6 2 12 2" xfId="34593" xr:uid="{00000000-0005-0000-0000-000018870000}"/>
    <cellStyle name="Normal 3 3 5 6 2 12 3" xfId="34594" xr:uid="{00000000-0005-0000-0000-000019870000}"/>
    <cellStyle name="Normal 3 3 5 6 2 13" xfId="34595" xr:uid="{00000000-0005-0000-0000-00001A870000}"/>
    <cellStyle name="Normal 3 3 5 6 2 13 2" xfId="34596" xr:uid="{00000000-0005-0000-0000-00001B870000}"/>
    <cellStyle name="Normal 3 3 5 6 2 13 3" xfId="34597" xr:uid="{00000000-0005-0000-0000-00001C870000}"/>
    <cellStyle name="Normal 3 3 5 6 2 14" xfId="34598" xr:uid="{00000000-0005-0000-0000-00001D870000}"/>
    <cellStyle name="Normal 3 3 5 6 2 14 2" xfId="34599" xr:uid="{00000000-0005-0000-0000-00001E870000}"/>
    <cellStyle name="Normal 3 3 5 6 2 14 3" xfId="34600" xr:uid="{00000000-0005-0000-0000-00001F870000}"/>
    <cellStyle name="Normal 3 3 5 6 2 15" xfId="34601" xr:uid="{00000000-0005-0000-0000-000020870000}"/>
    <cellStyle name="Normal 3 3 5 6 2 16" xfId="34602" xr:uid="{00000000-0005-0000-0000-000021870000}"/>
    <cellStyle name="Normal 3 3 5 6 2 2" xfId="34603" xr:uid="{00000000-0005-0000-0000-000022870000}"/>
    <cellStyle name="Normal 3 3 5 6 2 2 2" xfId="34604" xr:uid="{00000000-0005-0000-0000-000023870000}"/>
    <cellStyle name="Normal 3 3 5 6 2 2 3" xfId="34605" xr:uid="{00000000-0005-0000-0000-000024870000}"/>
    <cellStyle name="Normal 3 3 5 6 2 3" xfId="34606" xr:uid="{00000000-0005-0000-0000-000025870000}"/>
    <cellStyle name="Normal 3 3 5 6 2 3 2" xfId="34607" xr:uid="{00000000-0005-0000-0000-000026870000}"/>
    <cellStyle name="Normal 3 3 5 6 2 3 3" xfId="34608" xr:uid="{00000000-0005-0000-0000-000027870000}"/>
    <cellStyle name="Normal 3 3 5 6 2 4" xfId="34609" xr:uid="{00000000-0005-0000-0000-000028870000}"/>
    <cellStyle name="Normal 3 3 5 6 2 4 2" xfId="34610" xr:uid="{00000000-0005-0000-0000-000029870000}"/>
    <cellStyle name="Normal 3 3 5 6 2 4 3" xfId="34611" xr:uid="{00000000-0005-0000-0000-00002A870000}"/>
    <cellStyle name="Normal 3 3 5 6 2 5" xfId="34612" xr:uid="{00000000-0005-0000-0000-00002B870000}"/>
    <cellStyle name="Normal 3 3 5 6 2 5 2" xfId="34613" xr:uid="{00000000-0005-0000-0000-00002C870000}"/>
    <cellStyle name="Normal 3 3 5 6 2 5 3" xfId="34614" xr:uid="{00000000-0005-0000-0000-00002D870000}"/>
    <cellStyle name="Normal 3 3 5 6 2 6" xfId="34615" xr:uid="{00000000-0005-0000-0000-00002E870000}"/>
    <cellStyle name="Normal 3 3 5 6 2 6 2" xfId="34616" xr:uid="{00000000-0005-0000-0000-00002F870000}"/>
    <cellStyle name="Normal 3 3 5 6 2 6 3" xfId="34617" xr:uid="{00000000-0005-0000-0000-000030870000}"/>
    <cellStyle name="Normal 3 3 5 6 2 7" xfId="34618" xr:uid="{00000000-0005-0000-0000-000031870000}"/>
    <cellStyle name="Normal 3 3 5 6 2 7 2" xfId="34619" xr:uid="{00000000-0005-0000-0000-000032870000}"/>
    <cellStyle name="Normal 3 3 5 6 2 7 3" xfId="34620" xr:uid="{00000000-0005-0000-0000-000033870000}"/>
    <cellStyle name="Normal 3 3 5 6 2 8" xfId="34621" xr:uid="{00000000-0005-0000-0000-000034870000}"/>
    <cellStyle name="Normal 3 3 5 6 2 8 2" xfId="34622" xr:uid="{00000000-0005-0000-0000-000035870000}"/>
    <cellStyle name="Normal 3 3 5 6 2 8 3" xfId="34623" xr:uid="{00000000-0005-0000-0000-000036870000}"/>
    <cellStyle name="Normal 3 3 5 6 2 9" xfId="34624" xr:uid="{00000000-0005-0000-0000-000037870000}"/>
    <cellStyle name="Normal 3 3 5 6 2 9 2" xfId="34625" xr:uid="{00000000-0005-0000-0000-000038870000}"/>
    <cellStyle name="Normal 3 3 5 6 2 9 3" xfId="34626" xr:uid="{00000000-0005-0000-0000-000039870000}"/>
    <cellStyle name="Normal 3 3 5 6 3" xfId="34627" xr:uid="{00000000-0005-0000-0000-00003A870000}"/>
    <cellStyle name="Normal 3 3 5 6 3 2" xfId="34628" xr:uid="{00000000-0005-0000-0000-00003B870000}"/>
    <cellStyle name="Normal 3 3 5 6 3 3" xfId="34629" xr:uid="{00000000-0005-0000-0000-00003C870000}"/>
    <cellStyle name="Normal 3 3 5 6 4" xfId="34630" xr:uid="{00000000-0005-0000-0000-00003D870000}"/>
    <cellStyle name="Normal 3 3 5 6 4 2" xfId="34631" xr:uid="{00000000-0005-0000-0000-00003E870000}"/>
    <cellStyle name="Normal 3 3 5 6 4 3" xfId="34632" xr:uid="{00000000-0005-0000-0000-00003F870000}"/>
    <cellStyle name="Normal 3 3 5 6 5" xfId="34633" xr:uid="{00000000-0005-0000-0000-000040870000}"/>
    <cellStyle name="Normal 3 3 5 6 5 2" xfId="34634" xr:uid="{00000000-0005-0000-0000-000041870000}"/>
    <cellStyle name="Normal 3 3 5 6 5 3" xfId="34635" xr:uid="{00000000-0005-0000-0000-000042870000}"/>
    <cellStyle name="Normal 3 3 5 6 6" xfId="34636" xr:uid="{00000000-0005-0000-0000-000043870000}"/>
    <cellStyle name="Normal 3 3 5 6 6 2" xfId="34637" xr:uid="{00000000-0005-0000-0000-000044870000}"/>
    <cellStyle name="Normal 3 3 5 6 6 3" xfId="34638" xr:uid="{00000000-0005-0000-0000-000045870000}"/>
    <cellStyle name="Normal 3 3 5 6 7" xfId="34639" xr:uid="{00000000-0005-0000-0000-000046870000}"/>
    <cellStyle name="Normal 3 3 5 6 7 2" xfId="34640" xr:uid="{00000000-0005-0000-0000-000047870000}"/>
    <cellStyle name="Normal 3 3 5 6 7 3" xfId="34641" xr:uid="{00000000-0005-0000-0000-000048870000}"/>
    <cellStyle name="Normal 3 3 5 6 8" xfId="34642" xr:uid="{00000000-0005-0000-0000-000049870000}"/>
    <cellStyle name="Normal 3 3 5 6 8 2" xfId="34643" xr:uid="{00000000-0005-0000-0000-00004A870000}"/>
    <cellStyle name="Normal 3 3 5 6 8 3" xfId="34644" xr:uid="{00000000-0005-0000-0000-00004B870000}"/>
    <cellStyle name="Normal 3 3 5 6 9" xfId="34645" xr:uid="{00000000-0005-0000-0000-00004C870000}"/>
    <cellStyle name="Normal 3 3 5 6 9 2" xfId="34646" xr:uid="{00000000-0005-0000-0000-00004D870000}"/>
    <cellStyle name="Normal 3 3 5 6 9 3" xfId="34647" xr:uid="{00000000-0005-0000-0000-00004E870000}"/>
    <cellStyle name="Normal 3 3 5 7" xfId="34648" xr:uid="{00000000-0005-0000-0000-00004F870000}"/>
    <cellStyle name="Normal 3 3 5 7 10" xfId="34649" xr:uid="{00000000-0005-0000-0000-000050870000}"/>
    <cellStyle name="Normal 3 3 5 7 10 2" xfId="34650" xr:uid="{00000000-0005-0000-0000-000051870000}"/>
    <cellStyle name="Normal 3 3 5 7 10 3" xfId="34651" xr:uid="{00000000-0005-0000-0000-000052870000}"/>
    <cellStyle name="Normal 3 3 5 7 11" xfId="34652" xr:uid="{00000000-0005-0000-0000-000053870000}"/>
    <cellStyle name="Normal 3 3 5 7 11 2" xfId="34653" xr:uid="{00000000-0005-0000-0000-000054870000}"/>
    <cellStyle name="Normal 3 3 5 7 11 3" xfId="34654" xr:uid="{00000000-0005-0000-0000-000055870000}"/>
    <cellStyle name="Normal 3 3 5 7 12" xfId="34655" xr:uid="{00000000-0005-0000-0000-000056870000}"/>
    <cellStyle name="Normal 3 3 5 7 12 2" xfId="34656" xr:uid="{00000000-0005-0000-0000-000057870000}"/>
    <cellStyle name="Normal 3 3 5 7 12 3" xfId="34657" xr:uid="{00000000-0005-0000-0000-000058870000}"/>
    <cellStyle name="Normal 3 3 5 7 13" xfId="34658" xr:uid="{00000000-0005-0000-0000-000059870000}"/>
    <cellStyle name="Normal 3 3 5 7 13 2" xfId="34659" xr:uid="{00000000-0005-0000-0000-00005A870000}"/>
    <cellStyle name="Normal 3 3 5 7 13 3" xfId="34660" xr:uid="{00000000-0005-0000-0000-00005B870000}"/>
    <cellStyle name="Normal 3 3 5 7 14" xfId="34661" xr:uid="{00000000-0005-0000-0000-00005C870000}"/>
    <cellStyle name="Normal 3 3 5 7 14 2" xfId="34662" xr:uid="{00000000-0005-0000-0000-00005D870000}"/>
    <cellStyle name="Normal 3 3 5 7 14 3" xfId="34663" xr:uid="{00000000-0005-0000-0000-00005E870000}"/>
    <cellStyle name="Normal 3 3 5 7 15" xfId="34664" xr:uid="{00000000-0005-0000-0000-00005F870000}"/>
    <cellStyle name="Normal 3 3 5 7 15 2" xfId="34665" xr:uid="{00000000-0005-0000-0000-000060870000}"/>
    <cellStyle name="Normal 3 3 5 7 15 3" xfId="34666" xr:uid="{00000000-0005-0000-0000-000061870000}"/>
    <cellStyle name="Normal 3 3 5 7 16" xfId="34667" xr:uid="{00000000-0005-0000-0000-000062870000}"/>
    <cellStyle name="Normal 3 3 5 7 17" xfId="34668" xr:uid="{00000000-0005-0000-0000-000063870000}"/>
    <cellStyle name="Normal 3 3 5 7 2" xfId="34669" xr:uid="{00000000-0005-0000-0000-000064870000}"/>
    <cellStyle name="Normal 3 3 5 7 2 10" xfId="34670" xr:uid="{00000000-0005-0000-0000-000065870000}"/>
    <cellStyle name="Normal 3 3 5 7 2 10 2" xfId="34671" xr:uid="{00000000-0005-0000-0000-000066870000}"/>
    <cellStyle name="Normal 3 3 5 7 2 10 3" xfId="34672" xr:uid="{00000000-0005-0000-0000-000067870000}"/>
    <cellStyle name="Normal 3 3 5 7 2 11" xfId="34673" xr:uid="{00000000-0005-0000-0000-000068870000}"/>
    <cellStyle name="Normal 3 3 5 7 2 11 2" xfId="34674" xr:uid="{00000000-0005-0000-0000-000069870000}"/>
    <cellStyle name="Normal 3 3 5 7 2 11 3" xfId="34675" xr:uid="{00000000-0005-0000-0000-00006A870000}"/>
    <cellStyle name="Normal 3 3 5 7 2 12" xfId="34676" xr:uid="{00000000-0005-0000-0000-00006B870000}"/>
    <cellStyle name="Normal 3 3 5 7 2 12 2" xfId="34677" xr:uid="{00000000-0005-0000-0000-00006C870000}"/>
    <cellStyle name="Normal 3 3 5 7 2 12 3" xfId="34678" xr:uid="{00000000-0005-0000-0000-00006D870000}"/>
    <cellStyle name="Normal 3 3 5 7 2 13" xfId="34679" xr:uid="{00000000-0005-0000-0000-00006E870000}"/>
    <cellStyle name="Normal 3 3 5 7 2 13 2" xfId="34680" xr:uid="{00000000-0005-0000-0000-00006F870000}"/>
    <cellStyle name="Normal 3 3 5 7 2 13 3" xfId="34681" xr:uid="{00000000-0005-0000-0000-000070870000}"/>
    <cellStyle name="Normal 3 3 5 7 2 14" xfId="34682" xr:uid="{00000000-0005-0000-0000-000071870000}"/>
    <cellStyle name="Normal 3 3 5 7 2 14 2" xfId="34683" xr:uid="{00000000-0005-0000-0000-000072870000}"/>
    <cellStyle name="Normal 3 3 5 7 2 14 3" xfId="34684" xr:uid="{00000000-0005-0000-0000-000073870000}"/>
    <cellStyle name="Normal 3 3 5 7 2 15" xfId="34685" xr:uid="{00000000-0005-0000-0000-000074870000}"/>
    <cellStyle name="Normal 3 3 5 7 2 16" xfId="34686" xr:uid="{00000000-0005-0000-0000-000075870000}"/>
    <cellStyle name="Normal 3 3 5 7 2 2" xfId="34687" xr:uid="{00000000-0005-0000-0000-000076870000}"/>
    <cellStyle name="Normal 3 3 5 7 2 2 2" xfId="34688" xr:uid="{00000000-0005-0000-0000-000077870000}"/>
    <cellStyle name="Normal 3 3 5 7 2 2 3" xfId="34689" xr:uid="{00000000-0005-0000-0000-000078870000}"/>
    <cellStyle name="Normal 3 3 5 7 2 3" xfId="34690" xr:uid="{00000000-0005-0000-0000-000079870000}"/>
    <cellStyle name="Normal 3 3 5 7 2 3 2" xfId="34691" xr:uid="{00000000-0005-0000-0000-00007A870000}"/>
    <cellStyle name="Normal 3 3 5 7 2 3 3" xfId="34692" xr:uid="{00000000-0005-0000-0000-00007B870000}"/>
    <cellStyle name="Normal 3 3 5 7 2 4" xfId="34693" xr:uid="{00000000-0005-0000-0000-00007C870000}"/>
    <cellStyle name="Normal 3 3 5 7 2 4 2" xfId="34694" xr:uid="{00000000-0005-0000-0000-00007D870000}"/>
    <cellStyle name="Normal 3 3 5 7 2 4 3" xfId="34695" xr:uid="{00000000-0005-0000-0000-00007E870000}"/>
    <cellStyle name="Normal 3 3 5 7 2 5" xfId="34696" xr:uid="{00000000-0005-0000-0000-00007F870000}"/>
    <cellStyle name="Normal 3 3 5 7 2 5 2" xfId="34697" xr:uid="{00000000-0005-0000-0000-000080870000}"/>
    <cellStyle name="Normal 3 3 5 7 2 5 3" xfId="34698" xr:uid="{00000000-0005-0000-0000-000081870000}"/>
    <cellStyle name="Normal 3 3 5 7 2 6" xfId="34699" xr:uid="{00000000-0005-0000-0000-000082870000}"/>
    <cellStyle name="Normal 3 3 5 7 2 6 2" xfId="34700" xr:uid="{00000000-0005-0000-0000-000083870000}"/>
    <cellStyle name="Normal 3 3 5 7 2 6 3" xfId="34701" xr:uid="{00000000-0005-0000-0000-000084870000}"/>
    <cellStyle name="Normal 3 3 5 7 2 7" xfId="34702" xr:uid="{00000000-0005-0000-0000-000085870000}"/>
    <cellStyle name="Normal 3 3 5 7 2 7 2" xfId="34703" xr:uid="{00000000-0005-0000-0000-000086870000}"/>
    <cellStyle name="Normal 3 3 5 7 2 7 3" xfId="34704" xr:uid="{00000000-0005-0000-0000-000087870000}"/>
    <cellStyle name="Normal 3 3 5 7 2 8" xfId="34705" xr:uid="{00000000-0005-0000-0000-000088870000}"/>
    <cellStyle name="Normal 3 3 5 7 2 8 2" xfId="34706" xr:uid="{00000000-0005-0000-0000-000089870000}"/>
    <cellStyle name="Normal 3 3 5 7 2 8 3" xfId="34707" xr:uid="{00000000-0005-0000-0000-00008A870000}"/>
    <cellStyle name="Normal 3 3 5 7 2 9" xfId="34708" xr:uid="{00000000-0005-0000-0000-00008B870000}"/>
    <cellStyle name="Normal 3 3 5 7 2 9 2" xfId="34709" xr:uid="{00000000-0005-0000-0000-00008C870000}"/>
    <cellStyle name="Normal 3 3 5 7 2 9 3" xfId="34710" xr:uid="{00000000-0005-0000-0000-00008D870000}"/>
    <cellStyle name="Normal 3 3 5 7 3" xfId="34711" xr:uid="{00000000-0005-0000-0000-00008E870000}"/>
    <cellStyle name="Normal 3 3 5 7 3 2" xfId="34712" xr:uid="{00000000-0005-0000-0000-00008F870000}"/>
    <cellStyle name="Normal 3 3 5 7 3 3" xfId="34713" xr:uid="{00000000-0005-0000-0000-000090870000}"/>
    <cellStyle name="Normal 3 3 5 7 4" xfId="34714" xr:uid="{00000000-0005-0000-0000-000091870000}"/>
    <cellStyle name="Normal 3 3 5 7 4 2" xfId="34715" xr:uid="{00000000-0005-0000-0000-000092870000}"/>
    <cellStyle name="Normal 3 3 5 7 4 3" xfId="34716" xr:uid="{00000000-0005-0000-0000-000093870000}"/>
    <cellStyle name="Normal 3 3 5 7 5" xfId="34717" xr:uid="{00000000-0005-0000-0000-000094870000}"/>
    <cellStyle name="Normal 3 3 5 7 5 2" xfId="34718" xr:uid="{00000000-0005-0000-0000-000095870000}"/>
    <cellStyle name="Normal 3 3 5 7 5 3" xfId="34719" xr:uid="{00000000-0005-0000-0000-000096870000}"/>
    <cellStyle name="Normal 3 3 5 7 6" xfId="34720" xr:uid="{00000000-0005-0000-0000-000097870000}"/>
    <cellStyle name="Normal 3 3 5 7 6 2" xfId="34721" xr:uid="{00000000-0005-0000-0000-000098870000}"/>
    <cellStyle name="Normal 3 3 5 7 6 3" xfId="34722" xr:uid="{00000000-0005-0000-0000-000099870000}"/>
    <cellStyle name="Normal 3 3 5 7 7" xfId="34723" xr:uid="{00000000-0005-0000-0000-00009A870000}"/>
    <cellStyle name="Normal 3 3 5 7 7 2" xfId="34724" xr:uid="{00000000-0005-0000-0000-00009B870000}"/>
    <cellStyle name="Normal 3 3 5 7 7 3" xfId="34725" xr:uid="{00000000-0005-0000-0000-00009C870000}"/>
    <cellStyle name="Normal 3 3 5 7 8" xfId="34726" xr:uid="{00000000-0005-0000-0000-00009D870000}"/>
    <cellStyle name="Normal 3 3 5 7 8 2" xfId="34727" xr:uid="{00000000-0005-0000-0000-00009E870000}"/>
    <cellStyle name="Normal 3 3 5 7 8 3" xfId="34728" xr:uid="{00000000-0005-0000-0000-00009F870000}"/>
    <cellStyle name="Normal 3 3 5 7 9" xfId="34729" xr:uid="{00000000-0005-0000-0000-0000A0870000}"/>
    <cellStyle name="Normal 3 3 5 7 9 2" xfId="34730" xr:uid="{00000000-0005-0000-0000-0000A1870000}"/>
    <cellStyle name="Normal 3 3 5 7 9 3" xfId="34731" xr:uid="{00000000-0005-0000-0000-0000A2870000}"/>
    <cellStyle name="Normal 3 3 5 8" xfId="34732" xr:uid="{00000000-0005-0000-0000-0000A3870000}"/>
    <cellStyle name="Normal 3 3 5 8 10" xfId="34733" xr:uid="{00000000-0005-0000-0000-0000A4870000}"/>
    <cellStyle name="Normal 3 3 5 8 10 2" xfId="34734" xr:uid="{00000000-0005-0000-0000-0000A5870000}"/>
    <cellStyle name="Normal 3 3 5 8 10 3" xfId="34735" xr:uid="{00000000-0005-0000-0000-0000A6870000}"/>
    <cellStyle name="Normal 3 3 5 8 11" xfId="34736" xr:uid="{00000000-0005-0000-0000-0000A7870000}"/>
    <cellStyle name="Normal 3 3 5 8 11 2" xfId="34737" xr:uid="{00000000-0005-0000-0000-0000A8870000}"/>
    <cellStyle name="Normal 3 3 5 8 11 3" xfId="34738" xr:uid="{00000000-0005-0000-0000-0000A9870000}"/>
    <cellStyle name="Normal 3 3 5 8 12" xfId="34739" xr:uid="{00000000-0005-0000-0000-0000AA870000}"/>
    <cellStyle name="Normal 3 3 5 8 12 2" xfId="34740" xr:uid="{00000000-0005-0000-0000-0000AB870000}"/>
    <cellStyle name="Normal 3 3 5 8 12 3" xfId="34741" xr:uid="{00000000-0005-0000-0000-0000AC870000}"/>
    <cellStyle name="Normal 3 3 5 8 13" xfId="34742" xr:uid="{00000000-0005-0000-0000-0000AD870000}"/>
    <cellStyle name="Normal 3 3 5 8 13 2" xfId="34743" xr:uid="{00000000-0005-0000-0000-0000AE870000}"/>
    <cellStyle name="Normal 3 3 5 8 13 3" xfId="34744" xr:uid="{00000000-0005-0000-0000-0000AF870000}"/>
    <cellStyle name="Normal 3 3 5 8 14" xfId="34745" xr:uid="{00000000-0005-0000-0000-0000B0870000}"/>
    <cellStyle name="Normal 3 3 5 8 14 2" xfId="34746" xr:uid="{00000000-0005-0000-0000-0000B1870000}"/>
    <cellStyle name="Normal 3 3 5 8 14 3" xfId="34747" xr:uid="{00000000-0005-0000-0000-0000B2870000}"/>
    <cellStyle name="Normal 3 3 5 8 15" xfId="34748" xr:uid="{00000000-0005-0000-0000-0000B3870000}"/>
    <cellStyle name="Normal 3 3 5 8 15 2" xfId="34749" xr:uid="{00000000-0005-0000-0000-0000B4870000}"/>
    <cellStyle name="Normal 3 3 5 8 15 3" xfId="34750" xr:uid="{00000000-0005-0000-0000-0000B5870000}"/>
    <cellStyle name="Normal 3 3 5 8 16" xfId="34751" xr:uid="{00000000-0005-0000-0000-0000B6870000}"/>
    <cellStyle name="Normal 3 3 5 8 17" xfId="34752" xr:uid="{00000000-0005-0000-0000-0000B7870000}"/>
    <cellStyle name="Normal 3 3 5 8 2" xfId="34753" xr:uid="{00000000-0005-0000-0000-0000B8870000}"/>
    <cellStyle name="Normal 3 3 5 8 2 10" xfId="34754" xr:uid="{00000000-0005-0000-0000-0000B9870000}"/>
    <cellStyle name="Normal 3 3 5 8 2 10 2" xfId="34755" xr:uid="{00000000-0005-0000-0000-0000BA870000}"/>
    <cellStyle name="Normal 3 3 5 8 2 10 3" xfId="34756" xr:uid="{00000000-0005-0000-0000-0000BB870000}"/>
    <cellStyle name="Normal 3 3 5 8 2 11" xfId="34757" xr:uid="{00000000-0005-0000-0000-0000BC870000}"/>
    <cellStyle name="Normal 3 3 5 8 2 11 2" xfId="34758" xr:uid="{00000000-0005-0000-0000-0000BD870000}"/>
    <cellStyle name="Normal 3 3 5 8 2 11 3" xfId="34759" xr:uid="{00000000-0005-0000-0000-0000BE870000}"/>
    <cellStyle name="Normal 3 3 5 8 2 12" xfId="34760" xr:uid="{00000000-0005-0000-0000-0000BF870000}"/>
    <cellStyle name="Normal 3 3 5 8 2 12 2" xfId="34761" xr:uid="{00000000-0005-0000-0000-0000C0870000}"/>
    <cellStyle name="Normal 3 3 5 8 2 12 3" xfId="34762" xr:uid="{00000000-0005-0000-0000-0000C1870000}"/>
    <cellStyle name="Normal 3 3 5 8 2 13" xfId="34763" xr:uid="{00000000-0005-0000-0000-0000C2870000}"/>
    <cellStyle name="Normal 3 3 5 8 2 13 2" xfId="34764" xr:uid="{00000000-0005-0000-0000-0000C3870000}"/>
    <cellStyle name="Normal 3 3 5 8 2 13 3" xfId="34765" xr:uid="{00000000-0005-0000-0000-0000C4870000}"/>
    <cellStyle name="Normal 3 3 5 8 2 14" xfId="34766" xr:uid="{00000000-0005-0000-0000-0000C5870000}"/>
    <cellStyle name="Normal 3 3 5 8 2 14 2" xfId="34767" xr:uid="{00000000-0005-0000-0000-0000C6870000}"/>
    <cellStyle name="Normal 3 3 5 8 2 14 3" xfId="34768" xr:uid="{00000000-0005-0000-0000-0000C7870000}"/>
    <cellStyle name="Normal 3 3 5 8 2 15" xfId="34769" xr:uid="{00000000-0005-0000-0000-0000C8870000}"/>
    <cellStyle name="Normal 3 3 5 8 2 16" xfId="34770" xr:uid="{00000000-0005-0000-0000-0000C9870000}"/>
    <cellStyle name="Normal 3 3 5 8 2 2" xfId="34771" xr:uid="{00000000-0005-0000-0000-0000CA870000}"/>
    <cellStyle name="Normal 3 3 5 8 2 2 2" xfId="34772" xr:uid="{00000000-0005-0000-0000-0000CB870000}"/>
    <cellStyle name="Normal 3 3 5 8 2 2 3" xfId="34773" xr:uid="{00000000-0005-0000-0000-0000CC870000}"/>
    <cellStyle name="Normal 3 3 5 8 2 3" xfId="34774" xr:uid="{00000000-0005-0000-0000-0000CD870000}"/>
    <cellStyle name="Normal 3 3 5 8 2 3 2" xfId="34775" xr:uid="{00000000-0005-0000-0000-0000CE870000}"/>
    <cellStyle name="Normal 3 3 5 8 2 3 3" xfId="34776" xr:uid="{00000000-0005-0000-0000-0000CF870000}"/>
    <cellStyle name="Normal 3 3 5 8 2 4" xfId="34777" xr:uid="{00000000-0005-0000-0000-0000D0870000}"/>
    <cellStyle name="Normal 3 3 5 8 2 4 2" xfId="34778" xr:uid="{00000000-0005-0000-0000-0000D1870000}"/>
    <cellStyle name="Normal 3 3 5 8 2 4 3" xfId="34779" xr:uid="{00000000-0005-0000-0000-0000D2870000}"/>
    <cellStyle name="Normal 3 3 5 8 2 5" xfId="34780" xr:uid="{00000000-0005-0000-0000-0000D3870000}"/>
    <cellStyle name="Normal 3 3 5 8 2 5 2" xfId="34781" xr:uid="{00000000-0005-0000-0000-0000D4870000}"/>
    <cellStyle name="Normal 3 3 5 8 2 5 3" xfId="34782" xr:uid="{00000000-0005-0000-0000-0000D5870000}"/>
    <cellStyle name="Normal 3 3 5 8 2 6" xfId="34783" xr:uid="{00000000-0005-0000-0000-0000D6870000}"/>
    <cellStyle name="Normal 3 3 5 8 2 6 2" xfId="34784" xr:uid="{00000000-0005-0000-0000-0000D7870000}"/>
    <cellStyle name="Normal 3 3 5 8 2 6 3" xfId="34785" xr:uid="{00000000-0005-0000-0000-0000D8870000}"/>
    <cellStyle name="Normal 3 3 5 8 2 7" xfId="34786" xr:uid="{00000000-0005-0000-0000-0000D9870000}"/>
    <cellStyle name="Normal 3 3 5 8 2 7 2" xfId="34787" xr:uid="{00000000-0005-0000-0000-0000DA870000}"/>
    <cellStyle name="Normal 3 3 5 8 2 7 3" xfId="34788" xr:uid="{00000000-0005-0000-0000-0000DB870000}"/>
    <cellStyle name="Normal 3 3 5 8 2 8" xfId="34789" xr:uid="{00000000-0005-0000-0000-0000DC870000}"/>
    <cellStyle name="Normal 3 3 5 8 2 8 2" xfId="34790" xr:uid="{00000000-0005-0000-0000-0000DD870000}"/>
    <cellStyle name="Normal 3 3 5 8 2 8 3" xfId="34791" xr:uid="{00000000-0005-0000-0000-0000DE870000}"/>
    <cellStyle name="Normal 3 3 5 8 2 9" xfId="34792" xr:uid="{00000000-0005-0000-0000-0000DF870000}"/>
    <cellStyle name="Normal 3 3 5 8 2 9 2" xfId="34793" xr:uid="{00000000-0005-0000-0000-0000E0870000}"/>
    <cellStyle name="Normal 3 3 5 8 2 9 3" xfId="34794" xr:uid="{00000000-0005-0000-0000-0000E1870000}"/>
    <cellStyle name="Normal 3 3 5 8 3" xfId="34795" xr:uid="{00000000-0005-0000-0000-0000E2870000}"/>
    <cellStyle name="Normal 3 3 5 8 3 2" xfId="34796" xr:uid="{00000000-0005-0000-0000-0000E3870000}"/>
    <cellStyle name="Normal 3 3 5 8 3 3" xfId="34797" xr:uid="{00000000-0005-0000-0000-0000E4870000}"/>
    <cellStyle name="Normal 3 3 5 8 4" xfId="34798" xr:uid="{00000000-0005-0000-0000-0000E5870000}"/>
    <cellStyle name="Normal 3 3 5 8 4 2" xfId="34799" xr:uid="{00000000-0005-0000-0000-0000E6870000}"/>
    <cellStyle name="Normal 3 3 5 8 4 3" xfId="34800" xr:uid="{00000000-0005-0000-0000-0000E7870000}"/>
    <cellStyle name="Normal 3 3 5 8 5" xfId="34801" xr:uid="{00000000-0005-0000-0000-0000E8870000}"/>
    <cellStyle name="Normal 3 3 5 8 5 2" xfId="34802" xr:uid="{00000000-0005-0000-0000-0000E9870000}"/>
    <cellStyle name="Normal 3 3 5 8 5 3" xfId="34803" xr:uid="{00000000-0005-0000-0000-0000EA870000}"/>
    <cellStyle name="Normal 3 3 5 8 6" xfId="34804" xr:uid="{00000000-0005-0000-0000-0000EB870000}"/>
    <cellStyle name="Normal 3 3 5 8 6 2" xfId="34805" xr:uid="{00000000-0005-0000-0000-0000EC870000}"/>
    <cellStyle name="Normal 3 3 5 8 6 3" xfId="34806" xr:uid="{00000000-0005-0000-0000-0000ED870000}"/>
    <cellStyle name="Normal 3 3 5 8 7" xfId="34807" xr:uid="{00000000-0005-0000-0000-0000EE870000}"/>
    <cellStyle name="Normal 3 3 5 8 7 2" xfId="34808" xr:uid="{00000000-0005-0000-0000-0000EF870000}"/>
    <cellStyle name="Normal 3 3 5 8 7 3" xfId="34809" xr:uid="{00000000-0005-0000-0000-0000F0870000}"/>
    <cellStyle name="Normal 3 3 5 8 8" xfId="34810" xr:uid="{00000000-0005-0000-0000-0000F1870000}"/>
    <cellStyle name="Normal 3 3 5 8 8 2" xfId="34811" xr:uid="{00000000-0005-0000-0000-0000F2870000}"/>
    <cellStyle name="Normal 3 3 5 8 8 3" xfId="34812" xr:uid="{00000000-0005-0000-0000-0000F3870000}"/>
    <cellStyle name="Normal 3 3 5 8 9" xfId="34813" xr:uid="{00000000-0005-0000-0000-0000F4870000}"/>
    <cellStyle name="Normal 3 3 5 8 9 2" xfId="34814" xr:uid="{00000000-0005-0000-0000-0000F5870000}"/>
    <cellStyle name="Normal 3 3 5 8 9 3" xfId="34815" xr:uid="{00000000-0005-0000-0000-0000F6870000}"/>
    <cellStyle name="Normal 3 3 5 9" xfId="34816" xr:uid="{00000000-0005-0000-0000-0000F7870000}"/>
    <cellStyle name="Normal 3 3 5 9 10" xfId="34817" xr:uid="{00000000-0005-0000-0000-0000F8870000}"/>
    <cellStyle name="Normal 3 3 5 9 10 2" xfId="34818" xr:uid="{00000000-0005-0000-0000-0000F9870000}"/>
    <cellStyle name="Normal 3 3 5 9 10 3" xfId="34819" xr:uid="{00000000-0005-0000-0000-0000FA870000}"/>
    <cellStyle name="Normal 3 3 5 9 11" xfId="34820" xr:uid="{00000000-0005-0000-0000-0000FB870000}"/>
    <cellStyle name="Normal 3 3 5 9 11 2" xfId="34821" xr:uid="{00000000-0005-0000-0000-0000FC870000}"/>
    <cellStyle name="Normal 3 3 5 9 11 3" xfId="34822" xr:uid="{00000000-0005-0000-0000-0000FD870000}"/>
    <cellStyle name="Normal 3 3 5 9 12" xfId="34823" xr:uid="{00000000-0005-0000-0000-0000FE870000}"/>
    <cellStyle name="Normal 3 3 5 9 12 2" xfId="34824" xr:uid="{00000000-0005-0000-0000-0000FF870000}"/>
    <cellStyle name="Normal 3 3 5 9 12 3" xfId="34825" xr:uid="{00000000-0005-0000-0000-000000880000}"/>
    <cellStyle name="Normal 3 3 5 9 13" xfId="34826" xr:uid="{00000000-0005-0000-0000-000001880000}"/>
    <cellStyle name="Normal 3 3 5 9 13 2" xfId="34827" xr:uid="{00000000-0005-0000-0000-000002880000}"/>
    <cellStyle name="Normal 3 3 5 9 13 3" xfId="34828" xr:uid="{00000000-0005-0000-0000-000003880000}"/>
    <cellStyle name="Normal 3 3 5 9 14" xfId="34829" xr:uid="{00000000-0005-0000-0000-000004880000}"/>
    <cellStyle name="Normal 3 3 5 9 14 2" xfId="34830" xr:uid="{00000000-0005-0000-0000-000005880000}"/>
    <cellStyle name="Normal 3 3 5 9 14 3" xfId="34831" xr:uid="{00000000-0005-0000-0000-000006880000}"/>
    <cellStyle name="Normal 3 3 5 9 15" xfId="34832" xr:uid="{00000000-0005-0000-0000-000007880000}"/>
    <cellStyle name="Normal 3 3 5 9 16" xfId="34833" xr:uid="{00000000-0005-0000-0000-000008880000}"/>
    <cellStyle name="Normal 3 3 5 9 2" xfId="34834" xr:uid="{00000000-0005-0000-0000-000009880000}"/>
    <cellStyle name="Normal 3 3 5 9 2 2" xfId="34835" xr:uid="{00000000-0005-0000-0000-00000A880000}"/>
    <cellStyle name="Normal 3 3 5 9 2 3" xfId="34836" xr:uid="{00000000-0005-0000-0000-00000B880000}"/>
    <cellStyle name="Normal 3 3 5 9 3" xfId="34837" xr:uid="{00000000-0005-0000-0000-00000C880000}"/>
    <cellStyle name="Normal 3 3 5 9 3 2" xfId="34838" xr:uid="{00000000-0005-0000-0000-00000D880000}"/>
    <cellStyle name="Normal 3 3 5 9 3 3" xfId="34839" xr:uid="{00000000-0005-0000-0000-00000E880000}"/>
    <cellStyle name="Normal 3 3 5 9 4" xfId="34840" xr:uid="{00000000-0005-0000-0000-00000F880000}"/>
    <cellStyle name="Normal 3 3 5 9 4 2" xfId="34841" xr:uid="{00000000-0005-0000-0000-000010880000}"/>
    <cellStyle name="Normal 3 3 5 9 4 3" xfId="34842" xr:uid="{00000000-0005-0000-0000-000011880000}"/>
    <cellStyle name="Normal 3 3 5 9 5" xfId="34843" xr:uid="{00000000-0005-0000-0000-000012880000}"/>
    <cellStyle name="Normal 3 3 5 9 5 2" xfId="34844" xr:uid="{00000000-0005-0000-0000-000013880000}"/>
    <cellStyle name="Normal 3 3 5 9 5 3" xfId="34845" xr:uid="{00000000-0005-0000-0000-000014880000}"/>
    <cellStyle name="Normal 3 3 5 9 6" xfId="34846" xr:uid="{00000000-0005-0000-0000-000015880000}"/>
    <cellStyle name="Normal 3 3 5 9 6 2" xfId="34847" xr:uid="{00000000-0005-0000-0000-000016880000}"/>
    <cellStyle name="Normal 3 3 5 9 6 3" xfId="34848" xr:uid="{00000000-0005-0000-0000-000017880000}"/>
    <cellStyle name="Normal 3 3 5 9 7" xfId="34849" xr:uid="{00000000-0005-0000-0000-000018880000}"/>
    <cellStyle name="Normal 3 3 5 9 7 2" xfId="34850" xr:uid="{00000000-0005-0000-0000-000019880000}"/>
    <cellStyle name="Normal 3 3 5 9 7 3" xfId="34851" xr:uid="{00000000-0005-0000-0000-00001A880000}"/>
    <cellStyle name="Normal 3 3 5 9 8" xfId="34852" xr:uid="{00000000-0005-0000-0000-00001B880000}"/>
    <cellStyle name="Normal 3 3 5 9 8 2" xfId="34853" xr:uid="{00000000-0005-0000-0000-00001C880000}"/>
    <cellStyle name="Normal 3 3 5 9 8 3" xfId="34854" xr:uid="{00000000-0005-0000-0000-00001D880000}"/>
    <cellStyle name="Normal 3 3 5 9 9" xfId="34855" xr:uid="{00000000-0005-0000-0000-00001E880000}"/>
    <cellStyle name="Normal 3 3 5 9 9 2" xfId="34856" xr:uid="{00000000-0005-0000-0000-00001F880000}"/>
    <cellStyle name="Normal 3 3 5 9 9 3" xfId="34857" xr:uid="{00000000-0005-0000-0000-000020880000}"/>
    <cellStyle name="Normal 3 3 6" xfId="34858" xr:uid="{00000000-0005-0000-0000-000021880000}"/>
    <cellStyle name="Normal 3 3 6 10" xfId="34859" xr:uid="{00000000-0005-0000-0000-000022880000}"/>
    <cellStyle name="Normal 3 3 6 10 10" xfId="34860" xr:uid="{00000000-0005-0000-0000-000023880000}"/>
    <cellStyle name="Normal 3 3 6 10 10 2" xfId="34861" xr:uid="{00000000-0005-0000-0000-000024880000}"/>
    <cellStyle name="Normal 3 3 6 10 10 3" xfId="34862" xr:uid="{00000000-0005-0000-0000-000025880000}"/>
    <cellStyle name="Normal 3 3 6 10 11" xfId="34863" xr:uid="{00000000-0005-0000-0000-000026880000}"/>
    <cellStyle name="Normal 3 3 6 10 11 2" xfId="34864" xr:uid="{00000000-0005-0000-0000-000027880000}"/>
    <cellStyle name="Normal 3 3 6 10 11 3" xfId="34865" xr:uid="{00000000-0005-0000-0000-000028880000}"/>
    <cellStyle name="Normal 3 3 6 10 12" xfId="34866" xr:uid="{00000000-0005-0000-0000-000029880000}"/>
    <cellStyle name="Normal 3 3 6 10 12 2" xfId="34867" xr:uid="{00000000-0005-0000-0000-00002A880000}"/>
    <cellStyle name="Normal 3 3 6 10 12 3" xfId="34868" xr:uid="{00000000-0005-0000-0000-00002B880000}"/>
    <cellStyle name="Normal 3 3 6 10 13" xfId="34869" xr:uid="{00000000-0005-0000-0000-00002C880000}"/>
    <cellStyle name="Normal 3 3 6 10 13 2" xfId="34870" xr:uid="{00000000-0005-0000-0000-00002D880000}"/>
    <cellStyle name="Normal 3 3 6 10 13 3" xfId="34871" xr:uid="{00000000-0005-0000-0000-00002E880000}"/>
    <cellStyle name="Normal 3 3 6 10 14" xfId="34872" xr:uid="{00000000-0005-0000-0000-00002F880000}"/>
    <cellStyle name="Normal 3 3 6 10 14 2" xfId="34873" xr:uid="{00000000-0005-0000-0000-000030880000}"/>
    <cellStyle name="Normal 3 3 6 10 14 3" xfId="34874" xr:uid="{00000000-0005-0000-0000-000031880000}"/>
    <cellStyle name="Normal 3 3 6 10 15" xfId="34875" xr:uid="{00000000-0005-0000-0000-000032880000}"/>
    <cellStyle name="Normal 3 3 6 10 16" xfId="34876" xr:uid="{00000000-0005-0000-0000-000033880000}"/>
    <cellStyle name="Normal 3 3 6 10 2" xfId="34877" xr:uid="{00000000-0005-0000-0000-000034880000}"/>
    <cellStyle name="Normal 3 3 6 10 2 2" xfId="34878" xr:uid="{00000000-0005-0000-0000-000035880000}"/>
    <cellStyle name="Normal 3 3 6 10 2 3" xfId="34879" xr:uid="{00000000-0005-0000-0000-000036880000}"/>
    <cellStyle name="Normal 3 3 6 10 3" xfId="34880" xr:uid="{00000000-0005-0000-0000-000037880000}"/>
    <cellStyle name="Normal 3 3 6 10 3 2" xfId="34881" xr:uid="{00000000-0005-0000-0000-000038880000}"/>
    <cellStyle name="Normal 3 3 6 10 3 3" xfId="34882" xr:uid="{00000000-0005-0000-0000-000039880000}"/>
    <cellStyle name="Normal 3 3 6 10 4" xfId="34883" xr:uid="{00000000-0005-0000-0000-00003A880000}"/>
    <cellStyle name="Normal 3 3 6 10 4 2" xfId="34884" xr:uid="{00000000-0005-0000-0000-00003B880000}"/>
    <cellStyle name="Normal 3 3 6 10 4 3" xfId="34885" xr:uid="{00000000-0005-0000-0000-00003C880000}"/>
    <cellStyle name="Normal 3 3 6 10 5" xfId="34886" xr:uid="{00000000-0005-0000-0000-00003D880000}"/>
    <cellStyle name="Normal 3 3 6 10 5 2" xfId="34887" xr:uid="{00000000-0005-0000-0000-00003E880000}"/>
    <cellStyle name="Normal 3 3 6 10 5 3" xfId="34888" xr:uid="{00000000-0005-0000-0000-00003F880000}"/>
    <cellStyle name="Normal 3 3 6 10 6" xfId="34889" xr:uid="{00000000-0005-0000-0000-000040880000}"/>
    <cellStyle name="Normal 3 3 6 10 6 2" xfId="34890" xr:uid="{00000000-0005-0000-0000-000041880000}"/>
    <cellStyle name="Normal 3 3 6 10 6 3" xfId="34891" xr:uid="{00000000-0005-0000-0000-000042880000}"/>
    <cellStyle name="Normal 3 3 6 10 7" xfId="34892" xr:uid="{00000000-0005-0000-0000-000043880000}"/>
    <cellStyle name="Normal 3 3 6 10 7 2" xfId="34893" xr:uid="{00000000-0005-0000-0000-000044880000}"/>
    <cellStyle name="Normal 3 3 6 10 7 3" xfId="34894" xr:uid="{00000000-0005-0000-0000-000045880000}"/>
    <cellStyle name="Normal 3 3 6 10 8" xfId="34895" xr:uid="{00000000-0005-0000-0000-000046880000}"/>
    <cellStyle name="Normal 3 3 6 10 8 2" xfId="34896" xr:uid="{00000000-0005-0000-0000-000047880000}"/>
    <cellStyle name="Normal 3 3 6 10 8 3" xfId="34897" xr:uid="{00000000-0005-0000-0000-000048880000}"/>
    <cellStyle name="Normal 3 3 6 10 9" xfId="34898" xr:uid="{00000000-0005-0000-0000-000049880000}"/>
    <cellStyle name="Normal 3 3 6 10 9 2" xfId="34899" xr:uid="{00000000-0005-0000-0000-00004A880000}"/>
    <cellStyle name="Normal 3 3 6 10 9 3" xfId="34900" xr:uid="{00000000-0005-0000-0000-00004B880000}"/>
    <cellStyle name="Normal 3 3 6 11" xfId="34901" xr:uid="{00000000-0005-0000-0000-00004C880000}"/>
    <cellStyle name="Normal 3 3 6 11 10" xfId="34902" xr:uid="{00000000-0005-0000-0000-00004D880000}"/>
    <cellStyle name="Normal 3 3 6 11 10 2" xfId="34903" xr:uid="{00000000-0005-0000-0000-00004E880000}"/>
    <cellStyle name="Normal 3 3 6 11 10 3" xfId="34904" xr:uid="{00000000-0005-0000-0000-00004F880000}"/>
    <cellStyle name="Normal 3 3 6 11 11" xfId="34905" xr:uid="{00000000-0005-0000-0000-000050880000}"/>
    <cellStyle name="Normal 3 3 6 11 11 2" xfId="34906" xr:uid="{00000000-0005-0000-0000-000051880000}"/>
    <cellStyle name="Normal 3 3 6 11 11 3" xfId="34907" xr:uid="{00000000-0005-0000-0000-000052880000}"/>
    <cellStyle name="Normal 3 3 6 11 12" xfId="34908" xr:uid="{00000000-0005-0000-0000-000053880000}"/>
    <cellStyle name="Normal 3 3 6 11 12 2" xfId="34909" xr:uid="{00000000-0005-0000-0000-000054880000}"/>
    <cellStyle name="Normal 3 3 6 11 12 3" xfId="34910" xr:uid="{00000000-0005-0000-0000-000055880000}"/>
    <cellStyle name="Normal 3 3 6 11 13" xfId="34911" xr:uid="{00000000-0005-0000-0000-000056880000}"/>
    <cellStyle name="Normal 3 3 6 11 13 2" xfId="34912" xr:uid="{00000000-0005-0000-0000-000057880000}"/>
    <cellStyle name="Normal 3 3 6 11 13 3" xfId="34913" xr:uid="{00000000-0005-0000-0000-000058880000}"/>
    <cellStyle name="Normal 3 3 6 11 14" xfId="34914" xr:uid="{00000000-0005-0000-0000-000059880000}"/>
    <cellStyle name="Normal 3 3 6 11 14 2" xfId="34915" xr:uid="{00000000-0005-0000-0000-00005A880000}"/>
    <cellStyle name="Normal 3 3 6 11 14 3" xfId="34916" xr:uid="{00000000-0005-0000-0000-00005B880000}"/>
    <cellStyle name="Normal 3 3 6 11 15" xfId="34917" xr:uid="{00000000-0005-0000-0000-00005C880000}"/>
    <cellStyle name="Normal 3 3 6 11 16" xfId="34918" xr:uid="{00000000-0005-0000-0000-00005D880000}"/>
    <cellStyle name="Normal 3 3 6 11 2" xfId="34919" xr:uid="{00000000-0005-0000-0000-00005E880000}"/>
    <cellStyle name="Normal 3 3 6 11 2 2" xfId="34920" xr:uid="{00000000-0005-0000-0000-00005F880000}"/>
    <cellStyle name="Normal 3 3 6 11 2 3" xfId="34921" xr:uid="{00000000-0005-0000-0000-000060880000}"/>
    <cellStyle name="Normal 3 3 6 11 3" xfId="34922" xr:uid="{00000000-0005-0000-0000-000061880000}"/>
    <cellStyle name="Normal 3 3 6 11 3 2" xfId="34923" xr:uid="{00000000-0005-0000-0000-000062880000}"/>
    <cellStyle name="Normal 3 3 6 11 3 3" xfId="34924" xr:uid="{00000000-0005-0000-0000-000063880000}"/>
    <cellStyle name="Normal 3 3 6 11 4" xfId="34925" xr:uid="{00000000-0005-0000-0000-000064880000}"/>
    <cellStyle name="Normal 3 3 6 11 4 2" xfId="34926" xr:uid="{00000000-0005-0000-0000-000065880000}"/>
    <cellStyle name="Normal 3 3 6 11 4 3" xfId="34927" xr:uid="{00000000-0005-0000-0000-000066880000}"/>
    <cellStyle name="Normal 3 3 6 11 5" xfId="34928" xr:uid="{00000000-0005-0000-0000-000067880000}"/>
    <cellStyle name="Normal 3 3 6 11 5 2" xfId="34929" xr:uid="{00000000-0005-0000-0000-000068880000}"/>
    <cellStyle name="Normal 3 3 6 11 5 3" xfId="34930" xr:uid="{00000000-0005-0000-0000-000069880000}"/>
    <cellStyle name="Normal 3 3 6 11 6" xfId="34931" xr:uid="{00000000-0005-0000-0000-00006A880000}"/>
    <cellStyle name="Normal 3 3 6 11 6 2" xfId="34932" xr:uid="{00000000-0005-0000-0000-00006B880000}"/>
    <cellStyle name="Normal 3 3 6 11 6 3" xfId="34933" xr:uid="{00000000-0005-0000-0000-00006C880000}"/>
    <cellStyle name="Normal 3 3 6 11 7" xfId="34934" xr:uid="{00000000-0005-0000-0000-00006D880000}"/>
    <cellStyle name="Normal 3 3 6 11 7 2" xfId="34935" xr:uid="{00000000-0005-0000-0000-00006E880000}"/>
    <cellStyle name="Normal 3 3 6 11 7 3" xfId="34936" xr:uid="{00000000-0005-0000-0000-00006F880000}"/>
    <cellStyle name="Normal 3 3 6 11 8" xfId="34937" xr:uid="{00000000-0005-0000-0000-000070880000}"/>
    <cellStyle name="Normal 3 3 6 11 8 2" xfId="34938" xr:uid="{00000000-0005-0000-0000-000071880000}"/>
    <cellStyle name="Normal 3 3 6 11 8 3" xfId="34939" xr:uid="{00000000-0005-0000-0000-000072880000}"/>
    <cellStyle name="Normal 3 3 6 11 9" xfId="34940" xr:uid="{00000000-0005-0000-0000-000073880000}"/>
    <cellStyle name="Normal 3 3 6 11 9 2" xfId="34941" xr:uid="{00000000-0005-0000-0000-000074880000}"/>
    <cellStyle name="Normal 3 3 6 11 9 3" xfId="34942" xr:uid="{00000000-0005-0000-0000-000075880000}"/>
    <cellStyle name="Normal 3 3 6 12" xfId="34943" xr:uid="{00000000-0005-0000-0000-000076880000}"/>
    <cellStyle name="Normal 3 3 6 12 10" xfId="34944" xr:uid="{00000000-0005-0000-0000-000077880000}"/>
    <cellStyle name="Normal 3 3 6 12 10 2" xfId="34945" xr:uid="{00000000-0005-0000-0000-000078880000}"/>
    <cellStyle name="Normal 3 3 6 12 10 3" xfId="34946" xr:uid="{00000000-0005-0000-0000-000079880000}"/>
    <cellStyle name="Normal 3 3 6 12 11" xfId="34947" xr:uid="{00000000-0005-0000-0000-00007A880000}"/>
    <cellStyle name="Normal 3 3 6 12 11 2" xfId="34948" xr:uid="{00000000-0005-0000-0000-00007B880000}"/>
    <cellStyle name="Normal 3 3 6 12 11 3" xfId="34949" xr:uid="{00000000-0005-0000-0000-00007C880000}"/>
    <cellStyle name="Normal 3 3 6 12 12" xfId="34950" xr:uid="{00000000-0005-0000-0000-00007D880000}"/>
    <cellStyle name="Normal 3 3 6 12 12 2" xfId="34951" xr:uid="{00000000-0005-0000-0000-00007E880000}"/>
    <cellStyle name="Normal 3 3 6 12 12 3" xfId="34952" xr:uid="{00000000-0005-0000-0000-00007F880000}"/>
    <cellStyle name="Normal 3 3 6 12 13" xfId="34953" xr:uid="{00000000-0005-0000-0000-000080880000}"/>
    <cellStyle name="Normal 3 3 6 12 13 2" xfId="34954" xr:uid="{00000000-0005-0000-0000-000081880000}"/>
    <cellStyle name="Normal 3 3 6 12 13 3" xfId="34955" xr:uid="{00000000-0005-0000-0000-000082880000}"/>
    <cellStyle name="Normal 3 3 6 12 14" xfId="34956" xr:uid="{00000000-0005-0000-0000-000083880000}"/>
    <cellStyle name="Normal 3 3 6 12 14 2" xfId="34957" xr:uid="{00000000-0005-0000-0000-000084880000}"/>
    <cellStyle name="Normal 3 3 6 12 14 3" xfId="34958" xr:uid="{00000000-0005-0000-0000-000085880000}"/>
    <cellStyle name="Normal 3 3 6 12 15" xfId="34959" xr:uid="{00000000-0005-0000-0000-000086880000}"/>
    <cellStyle name="Normal 3 3 6 12 16" xfId="34960" xr:uid="{00000000-0005-0000-0000-000087880000}"/>
    <cellStyle name="Normal 3 3 6 12 2" xfId="34961" xr:uid="{00000000-0005-0000-0000-000088880000}"/>
    <cellStyle name="Normal 3 3 6 12 2 2" xfId="34962" xr:uid="{00000000-0005-0000-0000-000089880000}"/>
    <cellStyle name="Normal 3 3 6 12 2 3" xfId="34963" xr:uid="{00000000-0005-0000-0000-00008A880000}"/>
    <cellStyle name="Normal 3 3 6 12 3" xfId="34964" xr:uid="{00000000-0005-0000-0000-00008B880000}"/>
    <cellStyle name="Normal 3 3 6 12 3 2" xfId="34965" xr:uid="{00000000-0005-0000-0000-00008C880000}"/>
    <cellStyle name="Normal 3 3 6 12 3 3" xfId="34966" xr:uid="{00000000-0005-0000-0000-00008D880000}"/>
    <cellStyle name="Normal 3 3 6 12 4" xfId="34967" xr:uid="{00000000-0005-0000-0000-00008E880000}"/>
    <cellStyle name="Normal 3 3 6 12 4 2" xfId="34968" xr:uid="{00000000-0005-0000-0000-00008F880000}"/>
    <cellStyle name="Normal 3 3 6 12 4 3" xfId="34969" xr:uid="{00000000-0005-0000-0000-000090880000}"/>
    <cellStyle name="Normal 3 3 6 12 5" xfId="34970" xr:uid="{00000000-0005-0000-0000-000091880000}"/>
    <cellStyle name="Normal 3 3 6 12 5 2" xfId="34971" xr:uid="{00000000-0005-0000-0000-000092880000}"/>
    <cellStyle name="Normal 3 3 6 12 5 3" xfId="34972" xr:uid="{00000000-0005-0000-0000-000093880000}"/>
    <cellStyle name="Normal 3 3 6 12 6" xfId="34973" xr:uid="{00000000-0005-0000-0000-000094880000}"/>
    <cellStyle name="Normal 3 3 6 12 6 2" xfId="34974" xr:uid="{00000000-0005-0000-0000-000095880000}"/>
    <cellStyle name="Normal 3 3 6 12 6 3" xfId="34975" xr:uid="{00000000-0005-0000-0000-000096880000}"/>
    <cellStyle name="Normal 3 3 6 12 7" xfId="34976" xr:uid="{00000000-0005-0000-0000-000097880000}"/>
    <cellStyle name="Normal 3 3 6 12 7 2" xfId="34977" xr:uid="{00000000-0005-0000-0000-000098880000}"/>
    <cellStyle name="Normal 3 3 6 12 7 3" xfId="34978" xr:uid="{00000000-0005-0000-0000-000099880000}"/>
    <cellStyle name="Normal 3 3 6 12 8" xfId="34979" xr:uid="{00000000-0005-0000-0000-00009A880000}"/>
    <cellStyle name="Normal 3 3 6 12 8 2" xfId="34980" xr:uid="{00000000-0005-0000-0000-00009B880000}"/>
    <cellStyle name="Normal 3 3 6 12 8 3" xfId="34981" xr:uid="{00000000-0005-0000-0000-00009C880000}"/>
    <cellStyle name="Normal 3 3 6 12 9" xfId="34982" xr:uid="{00000000-0005-0000-0000-00009D880000}"/>
    <cellStyle name="Normal 3 3 6 12 9 2" xfId="34983" xr:uid="{00000000-0005-0000-0000-00009E880000}"/>
    <cellStyle name="Normal 3 3 6 12 9 3" xfId="34984" xr:uid="{00000000-0005-0000-0000-00009F880000}"/>
    <cellStyle name="Normal 3 3 6 13" xfId="34985" xr:uid="{00000000-0005-0000-0000-0000A0880000}"/>
    <cellStyle name="Normal 3 3 6 13 10" xfId="34986" xr:uid="{00000000-0005-0000-0000-0000A1880000}"/>
    <cellStyle name="Normal 3 3 6 13 10 2" xfId="34987" xr:uid="{00000000-0005-0000-0000-0000A2880000}"/>
    <cellStyle name="Normal 3 3 6 13 10 3" xfId="34988" xr:uid="{00000000-0005-0000-0000-0000A3880000}"/>
    <cellStyle name="Normal 3 3 6 13 11" xfId="34989" xr:uid="{00000000-0005-0000-0000-0000A4880000}"/>
    <cellStyle name="Normal 3 3 6 13 11 2" xfId="34990" xr:uid="{00000000-0005-0000-0000-0000A5880000}"/>
    <cellStyle name="Normal 3 3 6 13 11 3" xfId="34991" xr:uid="{00000000-0005-0000-0000-0000A6880000}"/>
    <cellStyle name="Normal 3 3 6 13 12" xfId="34992" xr:uid="{00000000-0005-0000-0000-0000A7880000}"/>
    <cellStyle name="Normal 3 3 6 13 12 2" xfId="34993" xr:uid="{00000000-0005-0000-0000-0000A8880000}"/>
    <cellStyle name="Normal 3 3 6 13 12 3" xfId="34994" xr:uid="{00000000-0005-0000-0000-0000A9880000}"/>
    <cellStyle name="Normal 3 3 6 13 13" xfId="34995" xr:uid="{00000000-0005-0000-0000-0000AA880000}"/>
    <cellStyle name="Normal 3 3 6 13 13 2" xfId="34996" xr:uid="{00000000-0005-0000-0000-0000AB880000}"/>
    <cellStyle name="Normal 3 3 6 13 13 3" xfId="34997" xr:uid="{00000000-0005-0000-0000-0000AC880000}"/>
    <cellStyle name="Normal 3 3 6 13 14" xfId="34998" xr:uid="{00000000-0005-0000-0000-0000AD880000}"/>
    <cellStyle name="Normal 3 3 6 13 14 2" xfId="34999" xr:uid="{00000000-0005-0000-0000-0000AE880000}"/>
    <cellStyle name="Normal 3 3 6 13 14 3" xfId="35000" xr:uid="{00000000-0005-0000-0000-0000AF880000}"/>
    <cellStyle name="Normal 3 3 6 13 15" xfId="35001" xr:uid="{00000000-0005-0000-0000-0000B0880000}"/>
    <cellStyle name="Normal 3 3 6 13 16" xfId="35002" xr:uid="{00000000-0005-0000-0000-0000B1880000}"/>
    <cellStyle name="Normal 3 3 6 13 2" xfId="35003" xr:uid="{00000000-0005-0000-0000-0000B2880000}"/>
    <cellStyle name="Normal 3 3 6 13 2 2" xfId="35004" xr:uid="{00000000-0005-0000-0000-0000B3880000}"/>
    <cellStyle name="Normal 3 3 6 13 2 3" xfId="35005" xr:uid="{00000000-0005-0000-0000-0000B4880000}"/>
    <cellStyle name="Normal 3 3 6 13 3" xfId="35006" xr:uid="{00000000-0005-0000-0000-0000B5880000}"/>
    <cellStyle name="Normal 3 3 6 13 3 2" xfId="35007" xr:uid="{00000000-0005-0000-0000-0000B6880000}"/>
    <cellStyle name="Normal 3 3 6 13 3 3" xfId="35008" xr:uid="{00000000-0005-0000-0000-0000B7880000}"/>
    <cellStyle name="Normal 3 3 6 13 4" xfId="35009" xr:uid="{00000000-0005-0000-0000-0000B8880000}"/>
    <cellStyle name="Normal 3 3 6 13 4 2" xfId="35010" xr:uid="{00000000-0005-0000-0000-0000B9880000}"/>
    <cellStyle name="Normal 3 3 6 13 4 3" xfId="35011" xr:uid="{00000000-0005-0000-0000-0000BA880000}"/>
    <cellStyle name="Normal 3 3 6 13 5" xfId="35012" xr:uid="{00000000-0005-0000-0000-0000BB880000}"/>
    <cellStyle name="Normal 3 3 6 13 5 2" xfId="35013" xr:uid="{00000000-0005-0000-0000-0000BC880000}"/>
    <cellStyle name="Normal 3 3 6 13 5 3" xfId="35014" xr:uid="{00000000-0005-0000-0000-0000BD880000}"/>
    <cellStyle name="Normal 3 3 6 13 6" xfId="35015" xr:uid="{00000000-0005-0000-0000-0000BE880000}"/>
    <cellStyle name="Normal 3 3 6 13 6 2" xfId="35016" xr:uid="{00000000-0005-0000-0000-0000BF880000}"/>
    <cellStyle name="Normal 3 3 6 13 6 3" xfId="35017" xr:uid="{00000000-0005-0000-0000-0000C0880000}"/>
    <cellStyle name="Normal 3 3 6 13 7" xfId="35018" xr:uid="{00000000-0005-0000-0000-0000C1880000}"/>
    <cellStyle name="Normal 3 3 6 13 7 2" xfId="35019" xr:uid="{00000000-0005-0000-0000-0000C2880000}"/>
    <cellStyle name="Normal 3 3 6 13 7 3" xfId="35020" xr:uid="{00000000-0005-0000-0000-0000C3880000}"/>
    <cellStyle name="Normal 3 3 6 13 8" xfId="35021" xr:uid="{00000000-0005-0000-0000-0000C4880000}"/>
    <cellStyle name="Normal 3 3 6 13 8 2" xfId="35022" xr:uid="{00000000-0005-0000-0000-0000C5880000}"/>
    <cellStyle name="Normal 3 3 6 13 8 3" xfId="35023" xr:uid="{00000000-0005-0000-0000-0000C6880000}"/>
    <cellStyle name="Normal 3 3 6 13 9" xfId="35024" xr:uid="{00000000-0005-0000-0000-0000C7880000}"/>
    <cellStyle name="Normal 3 3 6 13 9 2" xfId="35025" xr:uid="{00000000-0005-0000-0000-0000C8880000}"/>
    <cellStyle name="Normal 3 3 6 13 9 3" xfId="35026" xr:uid="{00000000-0005-0000-0000-0000C9880000}"/>
    <cellStyle name="Normal 3 3 6 14" xfId="35027" xr:uid="{00000000-0005-0000-0000-0000CA880000}"/>
    <cellStyle name="Normal 3 3 6 14 10" xfId="35028" xr:uid="{00000000-0005-0000-0000-0000CB880000}"/>
    <cellStyle name="Normal 3 3 6 14 10 2" xfId="35029" xr:uid="{00000000-0005-0000-0000-0000CC880000}"/>
    <cellStyle name="Normal 3 3 6 14 10 3" xfId="35030" xr:uid="{00000000-0005-0000-0000-0000CD880000}"/>
    <cellStyle name="Normal 3 3 6 14 11" xfId="35031" xr:uid="{00000000-0005-0000-0000-0000CE880000}"/>
    <cellStyle name="Normal 3 3 6 14 11 2" xfId="35032" xr:uid="{00000000-0005-0000-0000-0000CF880000}"/>
    <cellStyle name="Normal 3 3 6 14 11 3" xfId="35033" xr:uid="{00000000-0005-0000-0000-0000D0880000}"/>
    <cellStyle name="Normal 3 3 6 14 12" xfId="35034" xr:uid="{00000000-0005-0000-0000-0000D1880000}"/>
    <cellStyle name="Normal 3 3 6 14 12 2" xfId="35035" xr:uid="{00000000-0005-0000-0000-0000D2880000}"/>
    <cellStyle name="Normal 3 3 6 14 12 3" xfId="35036" xr:uid="{00000000-0005-0000-0000-0000D3880000}"/>
    <cellStyle name="Normal 3 3 6 14 13" xfId="35037" xr:uid="{00000000-0005-0000-0000-0000D4880000}"/>
    <cellStyle name="Normal 3 3 6 14 13 2" xfId="35038" xr:uid="{00000000-0005-0000-0000-0000D5880000}"/>
    <cellStyle name="Normal 3 3 6 14 13 3" xfId="35039" xr:uid="{00000000-0005-0000-0000-0000D6880000}"/>
    <cellStyle name="Normal 3 3 6 14 14" xfId="35040" xr:uid="{00000000-0005-0000-0000-0000D7880000}"/>
    <cellStyle name="Normal 3 3 6 14 14 2" xfId="35041" xr:uid="{00000000-0005-0000-0000-0000D8880000}"/>
    <cellStyle name="Normal 3 3 6 14 14 3" xfId="35042" xr:uid="{00000000-0005-0000-0000-0000D9880000}"/>
    <cellStyle name="Normal 3 3 6 14 15" xfId="35043" xr:uid="{00000000-0005-0000-0000-0000DA880000}"/>
    <cellStyle name="Normal 3 3 6 14 16" xfId="35044" xr:uid="{00000000-0005-0000-0000-0000DB880000}"/>
    <cellStyle name="Normal 3 3 6 14 2" xfId="35045" xr:uid="{00000000-0005-0000-0000-0000DC880000}"/>
    <cellStyle name="Normal 3 3 6 14 2 2" xfId="35046" xr:uid="{00000000-0005-0000-0000-0000DD880000}"/>
    <cellStyle name="Normal 3 3 6 14 2 3" xfId="35047" xr:uid="{00000000-0005-0000-0000-0000DE880000}"/>
    <cellStyle name="Normal 3 3 6 14 3" xfId="35048" xr:uid="{00000000-0005-0000-0000-0000DF880000}"/>
    <cellStyle name="Normal 3 3 6 14 3 2" xfId="35049" xr:uid="{00000000-0005-0000-0000-0000E0880000}"/>
    <cellStyle name="Normal 3 3 6 14 3 3" xfId="35050" xr:uid="{00000000-0005-0000-0000-0000E1880000}"/>
    <cellStyle name="Normal 3 3 6 14 4" xfId="35051" xr:uid="{00000000-0005-0000-0000-0000E2880000}"/>
    <cellStyle name="Normal 3 3 6 14 4 2" xfId="35052" xr:uid="{00000000-0005-0000-0000-0000E3880000}"/>
    <cellStyle name="Normal 3 3 6 14 4 3" xfId="35053" xr:uid="{00000000-0005-0000-0000-0000E4880000}"/>
    <cellStyle name="Normal 3 3 6 14 5" xfId="35054" xr:uid="{00000000-0005-0000-0000-0000E5880000}"/>
    <cellStyle name="Normal 3 3 6 14 5 2" xfId="35055" xr:uid="{00000000-0005-0000-0000-0000E6880000}"/>
    <cellStyle name="Normal 3 3 6 14 5 3" xfId="35056" xr:uid="{00000000-0005-0000-0000-0000E7880000}"/>
    <cellStyle name="Normal 3 3 6 14 6" xfId="35057" xr:uid="{00000000-0005-0000-0000-0000E8880000}"/>
    <cellStyle name="Normal 3 3 6 14 6 2" xfId="35058" xr:uid="{00000000-0005-0000-0000-0000E9880000}"/>
    <cellStyle name="Normal 3 3 6 14 6 3" xfId="35059" xr:uid="{00000000-0005-0000-0000-0000EA880000}"/>
    <cellStyle name="Normal 3 3 6 14 7" xfId="35060" xr:uid="{00000000-0005-0000-0000-0000EB880000}"/>
    <cellStyle name="Normal 3 3 6 14 7 2" xfId="35061" xr:uid="{00000000-0005-0000-0000-0000EC880000}"/>
    <cellStyle name="Normal 3 3 6 14 7 3" xfId="35062" xr:uid="{00000000-0005-0000-0000-0000ED880000}"/>
    <cellStyle name="Normal 3 3 6 14 8" xfId="35063" xr:uid="{00000000-0005-0000-0000-0000EE880000}"/>
    <cellStyle name="Normal 3 3 6 14 8 2" xfId="35064" xr:uid="{00000000-0005-0000-0000-0000EF880000}"/>
    <cellStyle name="Normal 3 3 6 14 8 3" xfId="35065" xr:uid="{00000000-0005-0000-0000-0000F0880000}"/>
    <cellStyle name="Normal 3 3 6 14 9" xfId="35066" xr:uid="{00000000-0005-0000-0000-0000F1880000}"/>
    <cellStyle name="Normal 3 3 6 14 9 2" xfId="35067" xr:uid="{00000000-0005-0000-0000-0000F2880000}"/>
    <cellStyle name="Normal 3 3 6 14 9 3" xfId="35068" xr:uid="{00000000-0005-0000-0000-0000F3880000}"/>
    <cellStyle name="Normal 3 3 6 15" xfId="35069" xr:uid="{00000000-0005-0000-0000-0000F4880000}"/>
    <cellStyle name="Normal 3 3 6 15 2" xfId="35070" xr:uid="{00000000-0005-0000-0000-0000F5880000}"/>
    <cellStyle name="Normal 3 3 6 15 3" xfId="35071" xr:uid="{00000000-0005-0000-0000-0000F6880000}"/>
    <cellStyle name="Normal 3 3 6 16" xfId="35072" xr:uid="{00000000-0005-0000-0000-0000F7880000}"/>
    <cellStyle name="Normal 3 3 6 16 2" xfId="35073" xr:uid="{00000000-0005-0000-0000-0000F8880000}"/>
    <cellStyle name="Normal 3 3 6 16 3" xfId="35074" xr:uid="{00000000-0005-0000-0000-0000F9880000}"/>
    <cellStyle name="Normal 3 3 6 17" xfId="35075" xr:uid="{00000000-0005-0000-0000-0000FA880000}"/>
    <cellStyle name="Normal 3 3 6 17 2" xfId="35076" xr:uid="{00000000-0005-0000-0000-0000FB880000}"/>
    <cellStyle name="Normal 3 3 6 17 3" xfId="35077" xr:uid="{00000000-0005-0000-0000-0000FC880000}"/>
    <cellStyle name="Normal 3 3 6 18" xfId="35078" xr:uid="{00000000-0005-0000-0000-0000FD880000}"/>
    <cellStyle name="Normal 3 3 6 18 2" xfId="35079" xr:uid="{00000000-0005-0000-0000-0000FE880000}"/>
    <cellStyle name="Normal 3 3 6 18 3" xfId="35080" xr:uid="{00000000-0005-0000-0000-0000FF880000}"/>
    <cellStyle name="Normal 3 3 6 19" xfId="35081" xr:uid="{00000000-0005-0000-0000-000000890000}"/>
    <cellStyle name="Normal 3 3 6 19 2" xfId="35082" xr:uid="{00000000-0005-0000-0000-000001890000}"/>
    <cellStyle name="Normal 3 3 6 19 3" xfId="35083" xr:uid="{00000000-0005-0000-0000-000002890000}"/>
    <cellStyle name="Normal 3 3 6 2" xfId="35084" xr:uid="{00000000-0005-0000-0000-000003890000}"/>
    <cellStyle name="Normal 3 3 6 20" xfId="35085" xr:uid="{00000000-0005-0000-0000-000004890000}"/>
    <cellStyle name="Normal 3 3 6 20 2" xfId="35086" xr:uid="{00000000-0005-0000-0000-000005890000}"/>
    <cellStyle name="Normal 3 3 6 20 3" xfId="35087" xr:uid="{00000000-0005-0000-0000-000006890000}"/>
    <cellStyle name="Normal 3 3 6 21" xfId="35088" xr:uid="{00000000-0005-0000-0000-000007890000}"/>
    <cellStyle name="Normal 3 3 6 21 2" xfId="35089" xr:uid="{00000000-0005-0000-0000-000008890000}"/>
    <cellStyle name="Normal 3 3 6 21 3" xfId="35090" xr:uid="{00000000-0005-0000-0000-000009890000}"/>
    <cellStyle name="Normal 3 3 6 22" xfId="35091" xr:uid="{00000000-0005-0000-0000-00000A890000}"/>
    <cellStyle name="Normal 3 3 6 22 2" xfId="35092" xr:uid="{00000000-0005-0000-0000-00000B890000}"/>
    <cellStyle name="Normal 3 3 6 22 3" xfId="35093" xr:uid="{00000000-0005-0000-0000-00000C890000}"/>
    <cellStyle name="Normal 3 3 6 23" xfId="35094" xr:uid="{00000000-0005-0000-0000-00000D890000}"/>
    <cellStyle name="Normal 3 3 6 23 2" xfId="35095" xr:uid="{00000000-0005-0000-0000-00000E890000}"/>
    <cellStyle name="Normal 3 3 6 23 3" xfId="35096" xr:uid="{00000000-0005-0000-0000-00000F890000}"/>
    <cellStyle name="Normal 3 3 6 24" xfId="35097" xr:uid="{00000000-0005-0000-0000-000010890000}"/>
    <cellStyle name="Normal 3 3 6 24 2" xfId="35098" xr:uid="{00000000-0005-0000-0000-000011890000}"/>
    <cellStyle name="Normal 3 3 6 24 3" xfId="35099" xr:uid="{00000000-0005-0000-0000-000012890000}"/>
    <cellStyle name="Normal 3 3 6 25" xfId="35100" xr:uid="{00000000-0005-0000-0000-000013890000}"/>
    <cellStyle name="Normal 3 3 6 25 2" xfId="35101" xr:uid="{00000000-0005-0000-0000-000014890000}"/>
    <cellStyle name="Normal 3 3 6 25 3" xfId="35102" xr:uid="{00000000-0005-0000-0000-000015890000}"/>
    <cellStyle name="Normal 3 3 6 26" xfId="35103" xr:uid="{00000000-0005-0000-0000-000016890000}"/>
    <cellStyle name="Normal 3 3 6 26 2" xfId="35104" xr:uid="{00000000-0005-0000-0000-000017890000}"/>
    <cellStyle name="Normal 3 3 6 26 3" xfId="35105" xr:uid="{00000000-0005-0000-0000-000018890000}"/>
    <cellStyle name="Normal 3 3 6 27" xfId="35106" xr:uid="{00000000-0005-0000-0000-000019890000}"/>
    <cellStyle name="Normal 3 3 6 27 2" xfId="35107" xr:uid="{00000000-0005-0000-0000-00001A890000}"/>
    <cellStyle name="Normal 3 3 6 27 3" xfId="35108" xr:uid="{00000000-0005-0000-0000-00001B890000}"/>
    <cellStyle name="Normal 3 3 6 28" xfId="35109" xr:uid="{00000000-0005-0000-0000-00001C890000}"/>
    <cellStyle name="Normal 3 3 6 29" xfId="35110" xr:uid="{00000000-0005-0000-0000-00001D890000}"/>
    <cellStyle name="Normal 3 3 6 3" xfId="35111" xr:uid="{00000000-0005-0000-0000-00001E890000}"/>
    <cellStyle name="Normal 3 3 6 4" xfId="35112" xr:uid="{00000000-0005-0000-0000-00001F890000}"/>
    <cellStyle name="Normal 3 3 6 5" xfId="35113" xr:uid="{00000000-0005-0000-0000-000020890000}"/>
    <cellStyle name="Normal 3 3 6 6" xfId="35114" xr:uid="{00000000-0005-0000-0000-000021890000}"/>
    <cellStyle name="Normal 3 3 6 6 10" xfId="35115" xr:uid="{00000000-0005-0000-0000-000022890000}"/>
    <cellStyle name="Normal 3 3 6 6 10 2" xfId="35116" xr:uid="{00000000-0005-0000-0000-000023890000}"/>
    <cellStyle name="Normal 3 3 6 6 10 3" xfId="35117" xr:uid="{00000000-0005-0000-0000-000024890000}"/>
    <cellStyle name="Normal 3 3 6 6 11" xfId="35118" xr:uid="{00000000-0005-0000-0000-000025890000}"/>
    <cellStyle name="Normal 3 3 6 6 11 2" xfId="35119" xr:uid="{00000000-0005-0000-0000-000026890000}"/>
    <cellStyle name="Normal 3 3 6 6 11 3" xfId="35120" xr:uid="{00000000-0005-0000-0000-000027890000}"/>
    <cellStyle name="Normal 3 3 6 6 12" xfId="35121" xr:uid="{00000000-0005-0000-0000-000028890000}"/>
    <cellStyle name="Normal 3 3 6 6 12 2" xfId="35122" xr:uid="{00000000-0005-0000-0000-000029890000}"/>
    <cellStyle name="Normal 3 3 6 6 12 3" xfId="35123" xr:uid="{00000000-0005-0000-0000-00002A890000}"/>
    <cellStyle name="Normal 3 3 6 6 13" xfId="35124" xr:uid="{00000000-0005-0000-0000-00002B890000}"/>
    <cellStyle name="Normal 3 3 6 6 13 2" xfId="35125" xr:uid="{00000000-0005-0000-0000-00002C890000}"/>
    <cellStyle name="Normal 3 3 6 6 13 3" xfId="35126" xr:uid="{00000000-0005-0000-0000-00002D890000}"/>
    <cellStyle name="Normal 3 3 6 6 14" xfId="35127" xr:uid="{00000000-0005-0000-0000-00002E890000}"/>
    <cellStyle name="Normal 3 3 6 6 14 2" xfId="35128" xr:uid="{00000000-0005-0000-0000-00002F890000}"/>
    <cellStyle name="Normal 3 3 6 6 14 3" xfId="35129" xr:uid="{00000000-0005-0000-0000-000030890000}"/>
    <cellStyle name="Normal 3 3 6 6 15" xfId="35130" xr:uid="{00000000-0005-0000-0000-000031890000}"/>
    <cellStyle name="Normal 3 3 6 6 15 2" xfId="35131" xr:uid="{00000000-0005-0000-0000-000032890000}"/>
    <cellStyle name="Normal 3 3 6 6 15 3" xfId="35132" xr:uid="{00000000-0005-0000-0000-000033890000}"/>
    <cellStyle name="Normal 3 3 6 6 16" xfId="35133" xr:uid="{00000000-0005-0000-0000-000034890000}"/>
    <cellStyle name="Normal 3 3 6 6 17" xfId="35134" xr:uid="{00000000-0005-0000-0000-000035890000}"/>
    <cellStyle name="Normal 3 3 6 6 2" xfId="35135" xr:uid="{00000000-0005-0000-0000-000036890000}"/>
    <cellStyle name="Normal 3 3 6 6 2 10" xfId="35136" xr:uid="{00000000-0005-0000-0000-000037890000}"/>
    <cellStyle name="Normal 3 3 6 6 2 10 2" xfId="35137" xr:uid="{00000000-0005-0000-0000-000038890000}"/>
    <cellStyle name="Normal 3 3 6 6 2 10 3" xfId="35138" xr:uid="{00000000-0005-0000-0000-000039890000}"/>
    <cellStyle name="Normal 3 3 6 6 2 11" xfId="35139" xr:uid="{00000000-0005-0000-0000-00003A890000}"/>
    <cellStyle name="Normal 3 3 6 6 2 11 2" xfId="35140" xr:uid="{00000000-0005-0000-0000-00003B890000}"/>
    <cellStyle name="Normal 3 3 6 6 2 11 3" xfId="35141" xr:uid="{00000000-0005-0000-0000-00003C890000}"/>
    <cellStyle name="Normal 3 3 6 6 2 12" xfId="35142" xr:uid="{00000000-0005-0000-0000-00003D890000}"/>
    <cellStyle name="Normal 3 3 6 6 2 12 2" xfId="35143" xr:uid="{00000000-0005-0000-0000-00003E890000}"/>
    <cellStyle name="Normal 3 3 6 6 2 12 3" xfId="35144" xr:uid="{00000000-0005-0000-0000-00003F890000}"/>
    <cellStyle name="Normal 3 3 6 6 2 13" xfId="35145" xr:uid="{00000000-0005-0000-0000-000040890000}"/>
    <cellStyle name="Normal 3 3 6 6 2 13 2" xfId="35146" xr:uid="{00000000-0005-0000-0000-000041890000}"/>
    <cellStyle name="Normal 3 3 6 6 2 13 3" xfId="35147" xr:uid="{00000000-0005-0000-0000-000042890000}"/>
    <cellStyle name="Normal 3 3 6 6 2 14" xfId="35148" xr:uid="{00000000-0005-0000-0000-000043890000}"/>
    <cellStyle name="Normal 3 3 6 6 2 14 2" xfId="35149" xr:uid="{00000000-0005-0000-0000-000044890000}"/>
    <cellStyle name="Normal 3 3 6 6 2 14 3" xfId="35150" xr:uid="{00000000-0005-0000-0000-000045890000}"/>
    <cellStyle name="Normal 3 3 6 6 2 15" xfId="35151" xr:uid="{00000000-0005-0000-0000-000046890000}"/>
    <cellStyle name="Normal 3 3 6 6 2 16" xfId="35152" xr:uid="{00000000-0005-0000-0000-000047890000}"/>
    <cellStyle name="Normal 3 3 6 6 2 2" xfId="35153" xr:uid="{00000000-0005-0000-0000-000048890000}"/>
    <cellStyle name="Normal 3 3 6 6 2 2 2" xfId="35154" xr:uid="{00000000-0005-0000-0000-000049890000}"/>
    <cellStyle name="Normal 3 3 6 6 2 2 3" xfId="35155" xr:uid="{00000000-0005-0000-0000-00004A890000}"/>
    <cellStyle name="Normal 3 3 6 6 2 3" xfId="35156" xr:uid="{00000000-0005-0000-0000-00004B890000}"/>
    <cellStyle name="Normal 3 3 6 6 2 3 2" xfId="35157" xr:uid="{00000000-0005-0000-0000-00004C890000}"/>
    <cellStyle name="Normal 3 3 6 6 2 3 3" xfId="35158" xr:uid="{00000000-0005-0000-0000-00004D890000}"/>
    <cellStyle name="Normal 3 3 6 6 2 4" xfId="35159" xr:uid="{00000000-0005-0000-0000-00004E890000}"/>
    <cellStyle name="Normal 3 3 6 6 2 4 2" xfId="35160" xr:uid="{00000000-0005-0000-0000-00004F890000}"/>
    <cellStyle name="Normal 3 3 6 6 2 4 3" xfId="35161" xr:uid="{00000000-0005-0000-0000-000050890000}"/>
    <cellStyle name="Normal 3 3 6 6 2 5" xfId="35162" xr:uid="{00000000-0005-0000-0000-000051890000}"/>
    <cellStyle name="Normal 3 3 6 6 2 5 2" xfId="35163" xr:uid="{00000000-0005-0000-0000-000052890000}"/>
    <cellStyle name="Normal 3 3 6 6 2 5 3" xfId="35164" xr:uid="{00000000-0005-0000-0000-000053890000}"/>
    <cellStyle name="Normal 3 3 6 6 2 6" xfId="35165" xr:uid="{00000000-0005-0000-0000-000054890000}"/>
    <cellStyle name="Normal 3 3 6 6 2 6 2" xfId="35166" xr:uid="{00000000-0005-0000-0000-000055890000}"/>
    <cellStyle name="Normal 3 3 6 6 2 6 3" xfId="35167" xr:uid="{00000000-0005-0000-0000-000056890000}"/>
    <cellStyle name="Normal 3 3 6 6 2 7" xfId="35168" xr:uid="{00000000-0005-0000-0000-000057890000}"/>
    <cellStyle name="Normal 3 3 6 6 2 7 2" xfId="35169" xr:uid="{00000000-0005-0000-0000-000058890000}"/>
    <cellStyle name="Normal 3 3 6 6 2 7 3" xfId="35170" xr:uid="{00000000-0005-0000-0000-000059890000}"/>
    <cellStyle name="Normal 3 3 6 6 2 8" xfId="35171" xr:uid="{00000000-0005-0000-0000-00005A890000}"/>
    <cellStyle name="Normal 3 3 6 6 2 8 2" xfId="35172" xr:uid="{00000000-0005-0000-0000-00005B890000}"/>
    <cellStyle name="Normal 3 3 6 6 2 8 3" xfId="35173" xr:uid="{00000000-0005-0000-0000-00005C890000}"/>
    <cellStyle name="Normal 3 3 6 6 2 9" xfId="35174" xr:uid="{00000000-0005-0000-0000-00005D890000}"/>
    <cellStyle name="Normal 3 3 6 6 2 9 2" xfId="35175" xr:uid="{00000000-0005-0000-0000-00005E890000}"/>
    <cellStyle name="Normal 3 3 6 6 2 9 3" xfId="35176" xr:uid="{00000000-0005-0000-0000-00005F890000}"/>
    <cellStyle name="Normal 3 3 6 6 3" xfId="35177" xr:uid="{00000000-0005-0000-0000-000060890000}"/>
    <cellStyle name="Normal 3 3 6 6 3 2" xfId="35178" xr:uid="{00000000-0005-0000-0000-000061890000}"/>
    <cellStyle name="Normal 3 3 6 6 3 3" xfId="35179" xr:uid="{00000000-0005-0000-0000-000062890000}"/>
    <cellStyle name="Normal 3 3 6 6 4" xfId="35180" xr:uid="{00000000-0005-0000-0000-000063890000}"/>
    <cellStyle name="Normal 3 3 6 6 4 2" xfId="35181" xr:uid="{00000000-0005-0000-0000-000064890000}"/>
    <cellStyle name="Normal 3 3 6 6 4 3" xfId="35182" xr:uid="{00000000-0005-0000-0000-000065890000}"/>
    <cellStyle name="Normal 3 3 6 6 5" xfId="35183" xr:uid="{00000000-0005-0000-0000-000066890000}"/>
    <cellStyle name="Normal 3 3 6 6 5 2" xfId="35184" xr:uid="{00000000-0005-0000-0000-000067890000}"/>
    <cellStyle name="Normal 3 3 6 6 5 3" xfId="35185" xr:uid="{00000000-0005-0000-0000-000068890000}"/>
    <cellStyle name="Normal 3 3 6 6 6" xfId="35186" xr:uid="{00000000-0005-0000-0000-000069890000}"/>
    <cellStyle name="Normal 3 3 6 6 6 2" xfId="35187" xr:uid="{00000000-0005-0000-0000-00006A890000}"/>
    <cellStyle name="Normal 3 3 6 6 6 3" xfId="35188" xr:uid="{00000000-0005-0000-0000-00006B890000}"/>
    <cellStyle name="Normal 3 3 6 6 7" xfId="35189" xr:uid="{00000000-0005-0000-0000-00006C890000}"/>
    <cellStyle name="Normal 3 3 6 6 7 2" xfId="35190" xr:uid="{00000000-0005-0000-0000-00006D890000}"/>
    <cellStyle name="Normal 3 3 6 6 7 3" xfId="35191" xr:uid="{00000000-0005-0000-0000-00006E890000}"/>
    <cellStyle name="Normal 3 3 6 6 8" xfId="35192" xr:uid="{00000000-0005-0000-0000-00006F890000}"/>
    <cellStyle name="Normal 3 3 6 6 8 2" xfId="35193" xr:uid="{00000000-0005-0000-0000-000070890000}"/>
    <cellStyle name="Normal 3 3 6 6 8 3" xfId="35194" xr:uid="{00000000-0005-0000-0000-000071890000}"/>
    <cellStyle name="Normal 3 3 6 6 9" xfId="35195" xr:uid="{00000000-0005-0000-0000-000072890000}"/>
    <cellStyle name="Normal 3 3 6 6 9 2" xfId="35196" xr:uid="{00000000-0005-0000-0000-000073890000}"/>
    <cellStyle name="Normal 3 3 6 6 9 3" xfId="35197" xr:uid="{00000000-0005-0000-0000-000074890000}"/>
    <cellStyle name="Normal 3 3 6 7" xfId="35198" xr:uid="{00000000-0005-0000-0000-000075890000}"/>
    <cellStyle name="Normal 3 3 6 7 10" xfId="35199" xr:uid="{00000000-0005-0000-0000-000076890000}"/>
    <cellStyle name="Normal 3 3 6 7 10 2" xfId="35200" xr:uid="{00000000-0005-0000-0000-000077890000}"/>
    <cellStyle name="Normal 3 3 6 7 10 3" xfId="35201" xr:uid="{00000000-0005-0000-0000-000078890000}"/>
    <cellStyle name="Normal 3 3 6 7 11" xfId="35202" xr:uid="{00000000-0005-0000-0000-000079890000}"/>
    <cellStyle name="Normal 3 3 6 7 11 2" xfId="35203" xr:uid="{00000000-0005-0000-0000-00007A890000}"/>
    <cellStyle name="Normal 3 3 6 7 11 3" xfId="35204" xr:uid="{00000000-0005-0000-0000-00007B890000}"/>
    <cellStyle name="Normal 3 3 6 7 12" xfId="35205" xr:uid="{00000000-0005-0000-0000-00007C890000}"/>
    <cellStyle name="Normal 3 3 6 7 12 2" xfId="35206" xr:uid="{00000000-0005-0000-0000-00007D890000}"/>
    <cellStyle name="Normal 3 3 6 7 12 3" xfId="35207" xr:uid="{00000000-0005-0000-0000-00007E890000}"/>
    <cellStyle name="Normal 3 3 6 7 13" xfId="35208" xr:uid="{00000000-0005-0000-0000-00007F890000}"/>
    <cellStyle name="Normal 3 3 6 7 13 2" xfId="35209" xr:uid="{00000000-0005-0000-0000-000080890000}"/>
    <cellStyle name="Normal 3 3 6 7 13 3" xfId="35210" xr:uid="{00000000-0005-0000-0000-000081890000}"/>
    <cellStyle name="Normal 3 3 6 7 14" xfId="35211" xr:uid="{00000000-0005-0000-0000-000082890000}"/>
    <cellStyle name="Normal 3 3 6 7 14 2" xfId="35212" xr:uid="{00000000-0005-0000-0000-000083890000}"/>
    <cellStyle name="Normal 3 3 6 7 14 3" xfId="35213" xr:uid="{00000000-0005-0000-0000-000084890000}"/>
    <cellStyle name="Normal 3 3 6 7 15" xfId="35214" xr:uid="{00000000-0005-0000-0000-000085890000}"/>
    <cellStyle name="Normal 3 3 6 7 15 2" xfId="35215" xr:uid="{00000000-0005-0000-0000-000086890000}"/>
    <cellStyle name="Normal 3 3 6 7 15 3" xfId="35216" xr:uid="{00000000-0005-0000-0000-000087890000}"/>
    <cellStyle name="Normal 3 3 6 7 16" xfId="35217" xr:uid="{00000000-0005-0000-0000-000088890000}"/>
    <cellStyle name="Normal 3 3 6 7 17" xfId="35218" xr:uid="{00000000-0005-0000-0000-000089890000}"/>
    <cellStyle name="Normal 3 3 6 7 2" xfId="35219" xr:uid="{00000000-0005-0000-0000-00008A890000}"/>
    <cellStyle name="Normal 3 3 6 7 2 10" xfId="35220" xr:uid="{00000000-0005-0000-0000-00008B890000}"/>
    <cellStyle name="Normal 3 3 6 7 2 10 2" xfId="35221" xr:uid="{00000000-0005-0000-0000-00008C890000}"/>
    <cellStyle name="Normal 3 3 6 7 2 10 3" xfId="35222" xr:uid="{00000000-0005-0000-0000-00008D890000}"/>
    <cellStyle name="Normal 3 3 6 7 2 11" xfId="35223" xr:uid="{00000000-0005-0000-0000-00008E890000}"/>
    <cellStyle name="Normal 3 3 6 7 2 11 2" xfId="35224" xr:uid="{00000000-0005-0000-0000-00008F890000}"/>
    <cellStyle name="Normal 3 3 6 7 2 11 3" xfId="35225" xr:uid="{00000000-0005-0000-0000-000090890000}"/>
    <cellStyle name="Normal 3 3 6 7 2 12" xfId="35226" xr:uid="{00000000-0005-0000-0000-000091890000}"/>
    <cellStyle name="Normal 3 3 6 7 2 12 2" xfId="35227" xr:uid="{00000000-0005-0000-0000-000092890000}"/>
    <cellStyle name="Normal 3 3 6 7 2 12 3" xfId="35228" xr:uid="{00000000-0005-0000-0000-000093890000}"/>
    <cellStyle name="Normal 3 3 6 7 2 13" xfId="35229" xr:uid="{00000000-0005-0000-0000-000094890000}"/>
    <cellStyle name="Normal 3 3 6 7 2 13 2" xfId="35230" xr:uid="{00000000-0005-0000-0000-000095890000}"/>
    <cellStyle name="Normal 3 3 6 7 2 13 3" xfId="35231" xr:uid="{00000000-0005-0000-0000-000096890000}"/>
    <cellStyle name="Normal 3 3 6 7 2 14" xfId="35232" xr:uid="{00000000-0005-0000-0000-000097890000}"/>
    <cellStyle name="Normal 3 3 6 7 2 14 2" xfId="35233" xr:uid="{00000000-0005-0000-0000-000098890000}"/>
    <cellStyle name="Normal 3 3 6 7 2 14 3" xfId="35234" xr:uid="{00000000-0005-0000-0000-000099890000}"/>
    <cellStyle name="Normal 3 3 6 7 2 15" xfId="35235" xr:uid="{00000000-0005-0000-0000-00009A890000}"/>
    <cellStyle name="Normal 3 3 6 7 2 16" xfId="35236" xr:uid="{00000000-0005-0000-0000-00009B890000}"/>
    <cellStyle name="Normal 3 3 6 7 2 2" xfId="35237" xr:uid="{00000000-0005-0000-0000-00009C890000}"/>
    <cellStyle name="Normal 3 3 6 7 2 2 2" xfId="35238" xr:uid="{00000000-0005-0000-0000-00009D890000}"/>
    <cellStyle name="Normal 3 3 6 7 2 2 3" xfId="35239" xr:uid="{00000000-0005-0000-0000-00009E890000}"/>
    <cellStyle name="Normal 3 3 6 7 2 3" xfId="35240" xr:uid="{00000000-0005-0000-0000-00009F890000}"/>
    <cellStyle name="Normal 3 3 6 7 2 3 2" xfId="35241" xr:uid="{00000000-0005-0000-0000-0000A0890000}"/>
    <cellStyle name="Normal 3 3 6 7 2 3 3" xfId="35242" xr:uid="{00000000-0005-0000-0000-0000A1890000}"/>
    <cellStyle name="Normal 3 3 6 7 2 4" xfId="35243" xr:uid="{00000000-0005-0000-0000-0000A2890000}"/>
    <cellStyle name="Normal 3 3 6 7 2 4 2" xfId="35244" xr:uid="{00000000-0005-0000-0000-0000A3890000}"/>
    <cellStyle name="Normal 3 3 6 7 2 4 3" xfId="35245" xr:uid="{00000000-0005-0000-0000-0000A4890000}"/>
    <cellStyle name="Normal 3 3 6 7 2 5" xfId="35246" xr:uid="{00000000-0005-0000-0000-0000A5890000}"/>
    <cellStyle name="Normal 3 3 6 7 2 5 2" xfId="35247" xr:uid="{00000000-0005-0000-0000-0000A6890000}"/>
    <cellStyle name="Normal 3 3 6 7 2 5 3" xfId="35248" xr:uid="{00000000-0005-0000-0000-0000A7890000}"/>
    <cellStyle name="Normal 3 3 6 7 2 6" xfId="35249" xr:uid="{00000000-0005-0000-0000-0000A8890000}"/>
    <cellStyle name="Normal 3 3 6 7 2 6 2" xfId="35250" xr:uid="{00000000-0005-0000-0000-0000A9890000}"/>
    <cellStyle name="Normal 3 3 6 7 2 6 3" xfId="35251" xr:uid="{00000000-0005-0000-0000-0000AA890000}"/>
    <cellStyle name="Normal 3 3 6 7 2 7" xfId="35252" xr:uid="{00000000-0005-0000-0000-0000AB890000}"/>
    <cellStyle name="Normal 3 3 6 7 2 7 2" xfId="35253" xr:uid="{00000000-0005-0000-0000-0000AC890000}"/>
    <cellStyle name="Normal 3 3 6 7 2 7 3" xfId="35254" xr:uid="{00000000-0005-0000-0000-0000AD890000}"/>
    <cellStyle name="Normal 3 3 6 7 2 8" xfId="35255" xr:uid="{00000000-0005-0000-0000-0000AE890000}"/>
    <cellStyle name="Normal 3 3 6 7 2 8 2" xfId="35256" xr:uid="{00000000-0005-0000-0000-0000AF890000}"/>
    <cellStyle name="Normal 3 3 6 7 2 8 3" xfId="35257" xr:uid="{00000000-0005-0000-0000-0000B0890000}"/>
    <cellStyle name="Normal 3 3 6 7 2 9" xfId="35258" xr:uid="{00000000-0005-0000-0000-0000B1890000}"/>
    <cellStyle name="Normal 3 3 6 7 2 9 2" xfId="35259" xr:uid="{00000000-0005-0000-0000-0000B2890000}"/>
    <cellStyle name="Normal 3 3 6 7 2 9 3" xfId="35260" xr:uid="{00000000-0005-0000-0000-0000B3890000}"/>
    <cellStyle name="Normal 3 3 6 7 3" xfId="35261" xr:uid="{00000000-0005-0000-0000-0000B4890000}"/>
    <cellStyle name="Normal 3 3 6 7 3 2" xfId="35262" xr:uid="{00000000-0005-0000-0000-0000B5890000}"/>
    <cellStyle name="Normal 3 3 6 7 3 3" xfId="35263" xr:uid="{00000000-0005-0000-0000-0000B6890000}"/>
    <cellStyle name="Normal 3 3 6 7 4" xfId="35264" xr:uid="{00000000-0005-0000-0000-0000B7890000}"/>
    <cellStyle name="Normal 3 3 6 7 4 2" xfId="35265" xr:uid="{00000000-0005-0000-0000-0000B8890000}"/>
    <cellStyle name="Normal 3 3 6 7 4 3" xfId="35266" xr:uid="{00000000-0005-0000-0000-0000B9890000}"/>
    <cellStyle name="Normal 3 3 6 7 5" xfId="35267" xr:uid="{00000000-0005-0000-0000-0000BA890000}"/>
    <cellStyle name="Normal 3 3 6 7 5 2" xfId="35268" xr:uid="{00000000-0005-0000-0000-0000BB890000}"/>
    <cellStyle name="Normal 3 3 6 7 5 3" xfId="35269" xr:uid="{00000000-0005-0000-0000-0000BC890000}"/>
    <cellStyle name="Normal 3 3 6 7 6" xfId="35270" xr:uid="{00000000-0005-0000-0000-0000BD890000}"/>
    <cellStyle name="Normal 3 3 6 7 6 2" xfId="35271" xr:uid="{00000000-0005-0000-0000-0000BE890000}"/>
    <cellStyle name="Normal 3 3 6 7 6 3" xfId="35272" xr:uid="{00000000-0005-0000-0000-0000BF890000}"/>
    <cellStyle name="Normal 3 3 6 7 7" xfId="35273" xr:uid="{00000000-0005-0000-0000-0000C0890000}"/>
    <cellStyle name="Normal 3 3 6 7 7 2" xfId="35274" xr:uid="{00000000-0005-0000-0000-0000C1890000}"/>
    <cellStyle name="Normal 3 3 6 7 7 3" xfId="35275" xr:uid="{00000000-0005-0000-0000-0000C2890000}"/>
    <cellStyle name="Normal 3 3 6 7 8" xfId="35276" xr:uid="{00000000-0005-0000-0000-0000C3890000}"/>
    <cellStyle name="Normal 3 3 6 7 8 2" xfId="35277" xr:uid="{00000000-0005-0000-0000-0000C4890000}"/>
    <cellStyle name="Normal 3 3 6 7 8 3" xfId="35278" xr:uid="{00000000-0005-0000-0000-0000C5890000}"/>
    <cellStyle name="Normal 3 3 6 7 9" xfId="35279" xr:uid="{00000000-0005-0000-0000-0000C6890000}"/>
    <cellStyle name="Normal 3 3 6 7 9 2" xfId="35280" xr:uid="{00000000-0005-0000-0000-0000C7890000}"/>
    <cellStyle name="Normal 3 3 6 7 9 3" xfId="35281" xr:uid="{00000000-0005-0000-0000-0000C8890000}"/>
    <cellStyle name="Normal 3 3 6 8" xfId="35282" xr:uid="{00000000-0005-0000-0000-0000C9890000}"/>
    <cellStyle name="Normal 3 3 6 8 10" xfId="35283" xr:uid="{00000000-0005-0000-0000-0000CA890000}"/>
    <cellStyle name="Normal 3 3 6 8 10 2" xfId="35284" xr:uid="{00000000-0005-0000-0000-0000CB890000}"/>
    <cellStyle name="Normal 3 3 6 8 10 3" xfId="35285" xr:uid="{00000000-0005-0000-0000-0000CC890000}"/>
    <cellStyle name="Normal 3 3 6 8 11" xfId="35286" xr:uid="{00000000-0005-0000-0000-0000CD890000}"/>
    <cellStyle name="Normal 3 3 6 8 11 2" xfId="35287" xr:uid="{00000000-0005-0000-0000-0000CE890000}"/>
    <cellStyle name="Normal 3 3 6 8 11 3" xfId="35288" xr:uid="{00000000-0005-0000-0000-0000CF890000}"/>
    <cellStyle name="Normal 3 3 6 8 12" xfId="35289" xr:uid="{00000000-0005-0000-0000-0000D0890000}"/>
    <cellStyle name="Normal 3 3 6 8 12 2" xfId="35290" xr:uid="{00000000-0005-0000-0000-0000D1890000}"/>
    <cellStyle name="Normal 3 3 6 8 12 3" xfId="35291" xr:uid="{00000000-0005-0000-0000-0000D2890000}"/>
    <cellStyle name="Normal 3 3 6 8 13" xfId="35292" xr:uid="{00000000-0005-0000-0000-0000D3890000}"/>
    <cellStyle name="Normal 3 3 6 8 13 2" xfId="35293" xr:uid="{00000000-0005-0000-0000-0000D4890000}"/>
    <cellStyle name="Normal 3 3 6 8 13 3" xfId="35294" xr:uid="{00000000-0005-0000-0000-0000D5890000}"/>
    <cellStyle name="Normal 3 3 6 8 14" xfId="35295" xr:uid="{00000000-0005-0000-0000-0000D6890000}"/>
    <cellStyle name="Normal 3 3 6 8 14 2" xfId="35296" xr:uid="{00000000-0005-0000-0000-0000D7890000}"/>
    <cellStyle name="Normal 3 3 6 8 14 3" xfId="35297" xr:uid="{00000000-0005-0000-0000-0000D8890000}"/>
    <cellStyle name="Normal 3 3 6 8 15" xfId="35298" xr:uid="{00000000-0005-0000-0000-0000D9890000}"/>
    <cellStyle name="Normal 3 3 6 8 15 2" xfId="35299" xr:uid="{00000000-0005-0000-0000-0000DA890000}"/>
    <cellStyle name="Normal 3 3 6 8 15 3" xfId="35300" xr:uid="{00000000-0005-0000-0000-0000DB890000}"/>
    <cellStyle name="Normal 3 3 6 8 16" xfId="35301" xr:uid="{00000000-0005-0000-0000-0000DC890000}"/>
    <cellStyle name="Normal 3 3 6 8 17" xfId="35302" xr:uid="{00000000-0005-0000-0000-0000DD890000}"/>
    <cellStyle name="Normal 3 3 6 8 2" xfId="35303" xr:uid="{00000000-0005-0000-0000-0000DE890000}"/>
    <cellStyle name="Normal 3 3 6 8 2 10" xfId="35304" xr:uid="{00000000-0005-0000-0000-0000DF890000}"/>
    <cellStyle name="Normal 3 3 6 8 2 10 2" xfId="35305" xr:uid="{00000000-0005-0000-0000-0000E0890000}"/>
    <cellStyle name="Normal 3 3 6 8 2 10 3" xfId="35306" xr:uid="{00000000-0005-0000-0000-0000E1890000}"/>
    <cellStyle name="Normal 3 3 6 8 2 11" xfId="35307" xr:uid="{00000000-0005-0000-0000-0000E2890000}"/>
    <cellStyle name="Normal 3 3 6 8 2 11 2" xfId="35308" xr:uid="{00000000-0005-0000-0000-0000E3890000}"/>
    <cellStyle name="Normal 3 3 6 8 2 11 3" xfId="35309" xr:uid="{00000000-0005-0000-0000-0000E4890000}"/>
    <cellStyle name="Normal 3 3 6 8 2 12" xfId="35310" xr:uid="{00000000-0005-0000-0000-0000E5890000}"/>
    <cellStyle name="Normal 3 3 6 8 2 12 2" xfId="35311" xr:uid="{00000000-0005-0000-0000-0000E6890000}"/>
    <cellStyle name="Normal 3 3 6 8 2 12 3" xfId="35312" xr:uid="{00000000-0005-0000-0000-0000E7890000}"/>
    <cellStyle name="Normal 3 3 6 8 2 13" xfId="35313" xr:uid="{00000000-0005-0000-0000-0000E8890000}"/>
    <cellStyle name="Normal 3 3 6 8 2 13 2" xfId="35314" xr:uid="{00000000-0005-0000-0000-0000E9890000}"/>
    <cellStyle name="Normal 3 3 6 8 2 13 3" xfId="35315" xr:uid="{00000000-0005-0000-0000-0000EA890000}"/>
    <cellStyle name="Normal 3 3 6 8 2 14" xfId="35316" xr:uid="{00000000-0005-0000-0000-0000EB890000}"/>
    <cellStyle name="Normal 3 3 6 8 2 14 2" xfId="35317" xr:uid="{00000000-0005-0000-0000-0000EC890000}"/>
    <cellStyle name="Normal 3 3 6 8 2 14 3" xfId="35318" xr:uid="{00000000-0005-0000-0000-0000ED890000}"/>
    <cellStyle name="Normal 3 3 6 8 2 15" xfId="35319" xr:uid="{00000000-0005-0000-0000-0000EE890000}"/>
    <cellStyle name="Normal 3 3 6 8 2 16" xfId="35320" xr:uid="{00000000-0005-0000-0000-0000EF890000}"/>
    <cellStyle name="Normal 3 3 6 8 2 2" xfId="35321" xr:uid="{00000000-0005-0000-0000-0000F0890000}"/>
    <cellStyle name="Normal 3 3 6 8 2 2 2" xfId="35322" xr:uid="{00000000-0005-0000-0000-0000F1890000}"/>
    <cellStyle name="Normal 3 3 6 8 2 2 3" xfId="35323" xr:uid="{00000000-0005-0000-0000-0000F2890000}"/>
    <cellStyle name="Normal 3 3 6 8 2 3" xfId="35324" xr:uid="{00000000-0005-0000-0000-0000F3890000}"/>
    <cellStyle name="Normal 3 3 6 8 2 3 2" xfId="35325" xr:uid="{00000000-0005-0000-0000-0000F4890000}"/>
    <cellStyle name="Normal 3 3 6 8 2 3 3" xfId="35326" xr:uid="{00000000-0005-0000-0000-0000F5890000}"/>
    <cellStyle name="Normal 3 3 6 8 2 4" xfId="35327" xr:uid="{00000000-0005-0000-0000-0000F6890000}"/>
    <cellStyle name="Normal 3 3 6 8 2 4 2" xfId="35328" xr:uid="{00000000-0005-0000-0000-0000F7890000}"/>
    <cellStyle name="Normal 3 3 6 8 2 4 3" xfId="35329" xr:uid="{00000000-0005-0000-0000-0000F8890000}"/>
    <cellStyle name="Normal 3 3 6 8 2 5" xfId="35330" xr:uid="{00000000-0005-0000-0000-0000F9890000}"/>
    <cellStyle name="Normal 3 3 6 8 2 5 2" xfId="35331" xr:uid="{00000000-0005-0000-0000-0000FA890000}"/>
    <cellStyle name="Normal 3 3 6 8 2 5 3" xfId="35332" xr:uid="{00000000-0005-0000-0000-0000FB890000}"/>
    <cellStyle name="Normal 3 3 6 8 2 6" xfId="35333" xr:uid="{00000000-0005-0000-0000-0000FC890000}"/>
    <cellStyle name="Normal 3 3 6 8 2 6 2" xfId="35334" xr:uid="{00000000-0005-0000-0000-0000FD890000}"/>
    <cellStyle name="Normal 3 3 6 8 2 6 3" xfId="35335" xr:uid="{00000000-0005-0000-0000-0000FE890000}"/>
    <cellStyle name="Normal 3 3 6 8 2 7" xfId="35336" xr:uid="{00000000-0005-0000-0000-0000FF890000}"/>
    <cellStyle name="Normal 3 3 6 8 2 7 2" xfId="35337" xr:uid="{00000000-0005-0000-0000-0000008A0000}"/>
    <cellStyle name="Normal 3 3 6 8 2 7 3" xfId="35338" xr:uid="{00000000-0005-0000-0000-0000018A0000}"/>
    <cellStyle name="Normal 3 3 6 8 2 8" xfId="35339" xr:uid="{00000000-0005-0000-0000-0000028A0000}"/>
    <cellStyle name="Normal 3 3 6 8 2 8 2" xfId="35340" xr:uid="{00000000-0005-0000-0000-0000038A0000}"/>
    <cellStyle name="Normal 3 3 6 8 2 8 3" xfId="35341" xr:uid="{00000000-0005-0000-0000-0000048A0000}"/>
    <cellStyle name="Normal 3 3 6 8 2 9" xfId="35342" xr:uid="{00000000-0005-0000-0000-0000058A0000}"/>
    <cellStyle name="Normal 3 3 6 8 2 9 2" xfId="35343" xr:uid="{00000000-0005-0000-0000-0000068A0000}"/>
    <cellStyle name="Normal 3 3 6 8 2 9 3" xfId="35344" xr:uid="{00000000-0005-0000-0000-0000078A0000}"/>
    <cellStyle name="Normal 3 3 6 8 3" xfId="35345" xr:uid="{00000000-0005-0000-0000-0000088A0000}"/>
    <cellStyle name="Normal 3 3 6 8 3 2" xfId="35346" xr:uid="{00000000-0005-0000-0000-0000098A0000}"/>
    <cellStyle name="Normal 3 3 6 8 3 3" xfId="35347" xr:uid="{00000000-0005-0000-0000-00000A8A0000}"/>
    <cellStyle name="Normal 3 3 6 8 4" xfId="35348" xr:uid="{00000000-0005-0000-0000-00000B8A0000}"/>
    <cellStyle name="Normal 3 3 6 8 4 2" xfId="35349" xr:uid="{00000000-0005-0000-0000-00000C8A0000}"/>
    <cellStyle name="Normal 3 3 6 8 4 3" xfId="35350" xr:uid="{00000000-0005-0000-0000-00000D8A0000}"/>
    <cellStyle name="Normal 3 3 6 8 5" xfId="35351" xr:uid="{00000000-0005-0000-0000-00000E8A0000}"/>
    <cellStyle name="Normal 3 3 6 8 5 2" xfId="35352" xr:uid="{00000000-0005-0000-0000-00000F8A0000}"/>
    <cellStyle name="Normal 3 3 6 8 5 3" xfId="35353" xr:uid="{00000000-0005-0000-0000-0000108A0000}"/>
    <cellStyle name="Normal 3 3 6 8 6" xfId="35354" xr:uid="{00000000-0005-0000-0000-0000118A0000}"/>
    <cellStyle name="Normal 3 3 6 8 6 2" xfId="35355" xr:uid="{00000000-0005-0000-0000-0000128A0000}"/>
    <cellStyle name="Normal 3 3 6 8 6 3" xfId="35356" xr:uid="{00000000-0005-0000-0000-0000138A0000}"/>
    <cellStyle name="Normal 3 3 6 8 7" xfId="35357" xr:uid="{00000000-0005-0000-0000-0000148A0000}"/>
    <cellStyle name="Normal 3 3 6 8 7 2" xfId="35358" xr:uid="{00000000-0005-0000-0000-0000158A0000}"/>
    <cellStyle name="Normal 3 3 6 8 7 3" xfId="35359" xr:uid="{00000000-0005-0000-0000-0000168A0000}"/>
    <cellStyle name="Normal 3 3 6 8 8" xfId="35360" xr:uid="{00000000-0005-0000-0000-0000178A0000}"/>
    <cellStyle name="Normal 3 3 6 8 8 2" xfId="35361" xr:uid="{00000000-0005-0000-0000-0000188A0000}"/>
    <cellStyle name="Normal 3 3 6 8 8 3" xfId="35362" xr:uid="{00000000-0005-0000-0000-0000198A0000}"/>
    <cellStyle name="Normal 3 3 6 8 9" xfId="35363" xr:uid="{00000000-0005-0000-0000-00001A8A0000}"/>
    <cellStyle name="Normal 3 3 6 8 9 2" xfId="35364" xr:uid="{00000000-0005-0000-0000-00001B8A0000}"/>
    <cellStyle name="Normal 3 3 6 8 9 3" xfId="35365" xr:uid="{00000000-0005-0000-0000-00001C8A0000}"/>
    <cellStyle name="Normal 3 3 6 9" xfId="35366" xr:uid="{00000000-0005-0000-0000-00001D8A0000}"/>
    <cellStyle name="Normal 3 3 6 9 10" xfId="35367" xr:uid="{00000000-0005-0000-0000-00001E8A0000}"/>
    <cellStyle name="Normal 3 3 6 9 10 2" xfId="35368" xr:uid="{00000000-0005-0000-0000-00001F8A0000}"/>
    <cellStyle name="Normal 3 3 6 9 10 3" xfId="35369" xr:uid="{00000000-0005-0000-0000-0000208A0000}"/>
    <cellStyle name="Normal 3 3 6 9 11" xfId="35370" xr:uid="{00000000-0005-0000-0000-0000218A0000}"/>
    <cellStyle name="Normal 3 3 6 9 11 2" xfId="35371" xr:uid="{00000000-0005-0000-0000-0000228A0000}"/>
    <cellStyle name="Normal 3 3 6 9 11 3" xfId="35372" xr:uid="{00000000-0005-0000-0000-0000238A0000}"/>
    <cellStyle name="Normal 3 3 6 9 12" xfId="35373" xr:uid="{00000000-0005-0000-0000-0000248A0000}"/>
    <cellStyle name="Normal 3 3 6 9 12 2" xfId="35374" xr:uid="{00000000-0005-0000-0000-0000258A0000}"/>
    <cellStyle name="Normal 3 3 6 9 12 3" xfId="35375" xr:uid="{00000000-0005-0000-0000-0000268A0000}"/>
    <cellStyle name="Normal 3 3 6 9 13" xfId="35376" xr:uid="{00000000-0005-0000-0000-0000278A0000}"/>
    <cellStyle name="Normal 3 3 6 9 13 2" xfId="35377" xr:uid="{00000000-0005-0000-0000-0000288A0000}"/>
    <cellStyle name="Normal 3 3 6 9 13 3" xfId="35378" xr:uid="{00000000-0005-0000-0000-0000298A0000}"/>
    <cellStyle name="Normal 3 3 6 9 14" xfId="35379" xr:uid="{00000000-0005-0000-0000-00002A8A0000}"/>
    <cellStyle name="Normal 3 3 6 9 14 2" xfId="35380" xr:uid="{00000000-0005-0000-0000-00002B8A0000}"/>
    <cellStyle name="Normal 3 3 6 9 14 3" xfId="35381" xr:uid="{00000000-0005-0000-0000-00002C8A0000}"/>
    <cellStyle name="Normal 3 3 6 9 15" xfId="35382" xr:uid="{00000000-0005-0000-0000-00002D8A0000}"/>
    <cellStyle name="Normal 3 3 6 9 16" xfId="35383" xr:uid="{00000000-0005-0000-0000-00002E8A0000}"/>
    <cellStyle name="Normal 3 3 6 9 2" xfId="35384" xr:uid="{00000000-0005-0000-0000-00002F8A0000}"/>
    <cellStyle name="Normal 3 3 6 9 2 2" xfId="35385" xr:uid="{00000000-0005-0000-0000-0000308A0000}"/>
    <cellStyle name="Normal 3 3 6 9 2 3" xfId="35386" xr:uid="{00000000-0005-0000-0000-0000318A0000}"/>
    <cellStyle name="Normal 3 3 6 9 3" xfId="35387" xr:uid="{00000000-0005-0000-0000-0000328A0000}"/>
    <cellStyle name="Normal 3 3 6 9 3 2" xfId="35388" xr:uid="{00000000-0005-0000-0000-0000338A0000}"/>
    <cellStyle name="Normal 3 3 6 9 3 3" xfId="35389" xr:uid="{00000000-0005-0000-0000-0000348A0000}"/>
    <cellStyle name="Normal 3 3 6 9 4" xfId="35390" xr:uid="{00000000-0005-0000-0000-0000358A0000}"/>
    <cellStyle name="Normal 3 3 6 9 4 2" xfId="35391" xr:uid="{00000000-0005-0000-0000-0000368A0000}"/>
    <cellStyle name="Normal 3 3 6 9 4 3" xfId="35392" xr:uid="{00000000-0005-0000-0000-0000378A0000}"/>
    <cellStyle name="Normal 3 3 6 9 5" xfId="35393" xr:uid="{00000000-0005-0000-0000-0000388A0000}"/>
    <cellStyle name="Normal 3 3 6 9 5 2" xfId="35394" xr:uid="{00000000-0005-0000-0000-0000398A0000}"/>
    <cellStyle name="Normal 3 3 6 9 5 3" xfId="35395" xr:uid="{00000000-0005-0000-0000-00003A8A0000}"/>
    <cellStyle name="Normal 3 3 6 9 6" xfId="35396" xr:uid="{00000000-0005-0000-0000-00003B8A0000}"/>
    <cellStyle name="Normal 3 3 6 9 6 2" xfId="35397" xr:uid="{00000000-0005-0000-0000-00003C8A0000}"/>
    <cellStyle name="Normal 3 3 6 9 6 3" xfId="35398" xr:uid="{00000000-0005-0000-0000-00003D8A0000}"/>
    <cellStyle name="Normal 3 3 6 9 7" xfId="35399" xr:uid="{00000000-0005-0000-0000-00003E8A0000}"/>
    <cellStyle name="Normal 3 3 6 9 7 2" xfId="35400" xr:uid="{00000000-0005-0000-0000-00003F8A0000}"/>
    <cellStyle name="Normal 3 3 6 9 7 3" xfId="35401" xr:uid="{00000000-0005-0000-0000-0000408A0000}"/>
    <cellStyle name="Normal 3 3 6 9 8" xfId="35402" xr:uid="{00000000-0005-0000-0000-0000418A0000}"/>
    <cellStyle name="Normal 3 3 6 9 8 2" xfId="35403" xr:uid="{00000000-0005-0000-0000-0000428A0000}"/>
    <cellStyle name="Normal 3 3 6 9 8 3" xfId="35404" xr:uid="{00000000-0005-0000-0000-0000438A0000}"/>
    <cellStyle name="Normal 3 3 6 9 9" xfId="35405" xr:uid="{00000000-0005-0000-0000-0000448A0000}"/>
    <cellStyle name="Normal 3 3 6 9 9 2" xfId="35406" xr:uid="{00000000-0005-0000-0000-0000458A0000}"/>
    <cellStyle name="Normal 3 3 6 9 9 3" xfId="35407" xr:uid="{00000000-0005-0000-0000-0000468A0000}"/>
    <cellStyle name="Normal 3 3 7" xfId="35408" xr:uid="{00000000-0005-0000-0000-0000478A0000}"/>
    <cellStyle name="Normal 3 3 7 10" xfId="35409" xr:uid="{00000000-0005-0000-0000-0000488A0000}"/>
    <cellStyle name="Normal 3 3 7 10 10" xfId="35410" xr:uid="{00000000-0005-0000-0000-0000498A0000}"/>
    <cellStyle name="Normal 3 3 7 10 10 2" xfId="35411" xr:uid="{00000000-0005-0000-0000-00004A8A0000}"/>
    <cellStyle name="Normal 3 3 7 10 10 3" xfId="35412" xr:uid="{00000000-0005-0000-0000-00004B8A0000}"/>
    <cellStyle name="Normal 3 3 7 10 11" xfId="35413" xr:uid="{00000000-0005-0000-0000-00004C8A0000}"/>
    <cellStyle name="Normal 3 3 7 10 11 2" xfId="35414" xr:uid="{00000000-0005-0000-0000-00004D8A0000}"/>
    <cellStyle name="Normal 3 3 7 10 11 3" xfId="35415" xr:uid="{00000000-0005-0000-0000-00004E8A0000}"/>
    <cellStyle name="Normal 3 3 7 10 12" xfId="35416" xr:uid="{00000000-0005-0000-0000-00004F8A0000}"/>
    <cellStyle name="Normal 3 3 7 10 12 2" xfId="35417" xr:uid="{00000000-0005-0000-0000-0000508A0000}"/>
    <cellStyle name="Normal 3 3 7 10 12 3" xfId="35418" xr:uid="{00000000-0005-0000-0000-0000518A0000}"/>
    <cellStyle name="Normal 3 3 7 10 13" xfId="35419" xr:uid="{00000000-0005-0000-0000-0000528A0000}"/>
    <cellStyle name="Normal 3 3 7 10 13 2" xfId="35420" xr:uid="{00000000-0005-0000-0000-0000538A0000}"/>
    <cellStyle name="Normal 3 3 7 10 13 3" xfId="35421" xr:uid="{00000000-0005-0000-0000-0000548A0000}"/>
    <cellStyle name="Normal 3 3 7 10 14" xfId="35422" xr:uid="{00000000-0005-0000-0000-0000558A0000}"/>
    <cellStyle name="Normal 3 3 7 10 14 2" xfId="35423" xr:uid="{00000000-0005-0000-0000-0000568A0000}"/>
    <cellStyle name="Normal 3 3 7 10 14 3" xfId="35424" xr:uid="{00000000-0005-0000-0000-0000578A0000}"/>
    <cellStyle name="Normal 3 3 7 10 15" xfId="35425" xr:uid="{00000000-0005-0000-0000-0000588A0000}"/>
    <cellStyle name="Normal 3 3 7 10 16" xfId="35426" xr:uid="{00000000-0005-0000-0000-0000598A0000}"/>
    <cellStyle name="Normal 3 3 7 10 2" xfId="35427" xr:uid="{00000000-0005-0000-0000-00005A8A0000}"/>
    <cellStyle name="Normal 3 3 7 10 2 2" xfId="35428" xr:uid="{00000000-0005-0000-0000-00005B8A0000}"/>
    <cellStyle name="Normal 3 3 7 10 2 3" xfId="35429" xr:uid="{00000000-0005-0000-0000-00005C8A0000}"/>
    <cellStyle name="Normal 3 3 7 10 3" xfId="35430" xr:uid="{00000000-0005-0000-0000-00005D8A0000}"/>
    <cellStyle name="Normal 3 3 7 10 3 2" xfId="35431" xr:uid="{00000000-0005-0000-0000-00005E8A0000}"/>
    <cellStyle name="Normal 3 3 7 10 3 3" xfId="35432" xr:uid="{00000000-0005-0000-0000-00005F8A0000}"/>
    <cellStyle name="Normal 3 3 7 10 4" xfId="35433" xr:uid="{00000000-0005-0000-0000-0000608A0000}"/>
    <cellStyle name="Normal 3 3 7 10 4 2" xfId="35434" xr:uid="{00000000-0005-0000-0000-0000618A0000}"/>
    <cellStyle name="Normal 3 3 7 10 4 3" xfId="35435" xr:uid="{00000000-0005-0000-0000-0000628A0000}"/>
    <cellStyle name="Normal 3 3 7 10 5" xfId="35436" xr:uid="{00000000-0005-0000-0000-0000638A0000}"/>
    <cellStyle name="Normal 3 3 7 10 5 2" xfId="35437" xr:uid="{00000000-0005-0000-0000-0000648A0000}"/>
    <cellStyle name="Normal 3 3 7 10 5 3" xfId="35438" xr:uid="{00000000-0005-0000-0000-0000658A0000}"/>
    <cellStyle name="Normal 3 3 7 10 6" xfId="35439" xr:uid="{00000000-0005-0000-0000-0000668A0000}"/>
    <cellStyle name="Normal 3 3 7 10 6 2" xfId="35440" xr:uid="{00000000-0005-0000-0000-0000678A0000}"/>
    <cellStyle name="Normal 3 3 7 10 6 3" xfId="35441" xr:uid="{00000000-0005-0000-0000-0000688A0000}"/>
    <cellStyle name="Normal 3 3 7 10 7" xfId="35442" xr:uid="{00000000-0005-0000-0000-0000698A0000}"/>
    <cellStyle name="Normal 3 3 7 10 7 2" xfId="35443" xr:uid="{00000000-0005-0000-0000-00006A8A0000}"/>
    <cellStyle name="Normal 3 3 7 10 7 3" xfId="35444" xr:uid="{00000000-0005-0000-0000-00006B8A0000}"/>
    <cellStyle name="Normal 3 3 7 10 8" xfId="35445" xr:uid="{00000000-0005-0000-0000-00006C8A0000}"/>
    <cellStyle name="Normal 3 3 7 10 8 2" xfId="35446" xr:uid="{00000000-0005-0000-0000-00006D8A0000}"/>
    <cellStyle name="Normal 3 3 7 10 8 3" xfId="35447" xr:uid="{00000000-0005-0000-0000-00006E8A0000}"/>
    <cellStyle name="Normal 3 3 7 10 9" xfId="35448" xr:uid="{00000000-0005-0000-0000-00006F8A0000}"/>
    <cellStyle name="Normal 3 3 7 10 9 2" xfId="35449" xr:uid="{00000000-0005-0000-0000-0000708A0000}"/>
    <cellStyle name="Normal 3 3 7 10 9 3" xfId="35450" xr:uid="{00000000-0005-0000-0000-0000718A0000}"/>
    <cellStyle name="Normal 3 3 7 11" xfId="35451" xr:uid="{00000000-0005-0000-0000-0000728A0000}"/>
    <cellStyle name="Normal 3 3 7 11 2" xfId="35452" xr:uid="{00000000-0005-0000-0000-0000738A0000}"/>
    <cellStyle name="Normal 3 3 7 11 3" xfId="35453" xr:uid="{00000000-0005-0000-0000-0000748A0000}"/>
    <cellStyle name="Normal 3 3 7 12" xfId="35454" xr:uid="{00000000-0005-0000-0000-0000758A0000}"/>
    <cellStyle name="Normal 3 3 7 12 2" xfId="35455" xr:uid="{00000000-0005-0000-0000-0000768A0000}"/>
    <cellStyle name="Normal 3 3 7 12 3" xfId="35456" xr:uid="{00000000-0005-0000-0000-0000778A0000}"/>
    <cellStyle name="Normal 3 3 7 13" xfId="35457" xr:uid="{00000000-0005-0000-0000-0000788A0000}"/>
    <cellStyle name="Normal 3 3 7 13 2" xfId="35458" xr:uid="{00000000-0005-0000-0000-0000798A0000}"/>
    <cellStyle name="Normal 3 3 7 13 3" xfId="35459" xr:uid="{00000000-0005-0000-0000-00007A8A0000}"/>
    <cellStyle name="Normal 3 3 7 14" xfId="35460" xr:uid="{00000000-0005-0000-0000-00007B8A0000}"/>
    <cellStyle name="Normal 3 3 7 14 2" xfId="35461" xr:uid="{00000000-0005-0000-0000-00007C8A0000}"/>
    <cellStyle name="Normal 3 3 7 14 3" xfId="35462" xr:uid="{00000000-0005-0000-0000-00007D8A0000}"/>
    <cellStyle name="Normal 3 3 7 15" xfId="35463" xr:uid="{00000000-0005-0000-0000-00007E8A0000}"/>
    <cellStyle name="Normal 3 3 7 15 2" xfId="35464" xr:uid="{00000000-0005-0000-0000-00007F8A0000}"/>
    <cellStyle name="Normal 3 3 7 15 3" xfId="35465" xr:uid="{00000000-0005-0000-0000-0000808A0000}"/>
    <cellStyle name="Normal 3 3 7 16" xfId="35466" xr:uid="{00000000-0005-0000-0000-0000818A0000}"/>
    <cellStyle name="Normal 3 3 7 16 2" xfId="35467" xr:uid="{00000000-0005-0000-0000-0000828A0000}"/>
    <cellStyle name="Normal 3 3 7 16 3" xfId="35468" xr:uid="{00000000-0005-0000-0000-0000838A0000}"/>
    <cellStyle name="Normal 3 3 7 17" xfId="35469" xr:uid="{00000000-0005-0000-0000-0000848A0000}"/>
    <cellStyle name="Normal 3 3 7 17 2" xfId="35470" xr:uid="{00000000-0005-0000-0000-0000858A0000}"/>
    <cellStyle name="Normal 3 3 7 17 3" xfId="35471" xr:uid="{00000000-0005-0000-0000-0000868A0000}"/>
    <cellStyle name="Normal 3 3 7 18" xfId="35472" xr:uid="{00000000-0005-0000-0000-0000878A0000}"/>
    <cellStyle name="Normal 3 3 7 18 2" xfId="35473" xr:uid="{00000000-0005-0000-0000-0000888A0000}"/>
    <cellStyle name="Normal 3 3 7 18 3" xfId="35474" xr:uid="{00000000-0005-0000-0000-0000898A0000}"/>
    <cellStyle name="Normal 3 3 7 19" xfId="35475" xr:uid="{00000000-0005-0000-0000-00008A8A0000}"/>
    <cellStyle name="Normal 3 3 7 19 2" xfId="35476" xr:uid="{00000000-0005-0000-0000-00008B8A0000}"/>
    <cellStyle name="Normal 3 3 7 19 3" xfId="35477" xr:uid="{00000000-0005-0000-0000-00008C8A0000}"/>
    <cellStyle name="Normal 3 3 7 2" xfId="35478" xr:uid="{00000000-0005-0000-0000-00008D8A0000}"/>
    <cellStyle name="Normal 3 3 7 2 10" xfId="35479" xr:uid="{00000000-0005-0000-0000-00008E8A0000}"/>
    <cellStyle name="Normal 3 3 7 2 10 2" xfId="35480" xr:uid="{00000000-0005-0000-0000-00008F8A0000}"/>
    <cellStyle name="Normal 3 3 7 2 10 3" xfId="35481" xr:uid="{00000000-0005-0000-0000-0000908A0000}"/>
    <cellStyle name="Normal 3 3 7 2 11" xfId="35482" xr:uid="{00000000-0005-0000-0000-0000918A0000}"/>
    <cellStyle name="Normal 3 3 7 2 11 2" xfId="35483" xr:uid="{00000000-0005-0000-0000-0000928A0000}"/>
    <cellStyle name="Normal 3 3 7 2 11 3" xfId="35484" xr:uid="{00000000-0005-0000-0000-0000938A0000}"/>
    <cellStyle name="Normal 3 3 7 2 12" xfId="35485" xr:uid="{00000000-0005-0000-0000-0000948A0000}"/>
    <cellStyle name="Normal 3 3 7 2 12 2" xfId="35486" xr:uid="{00000000-0005-0000-0000-0000958A0000}"/>
    <cellStyle name="Normal 3 3 7 2 12 3" xfId="35487" xr:uid="{00000000-0005-0000-0000-0000968A0000}"/>
    <cellStyle name="Normal 3 3 7 2 13" xfId="35488" xr:uid="{00000000-0005-0000-0000-0000978A0000}"/>
    <cellStyle name="Normal 3 3 7 2 13 2" xfId="35489" xr:uid="{00000000-0005-0000-0000-0000988A0000}"/>
    <cellStyle name="Normal 3 3 7 2 13 3" xfId="35490" xr:uid="{00000000-0005-0000-0000-0000998A0000}"/>
    <cellStyle name="Normal 3 3 7 2 14" xfId="35491" xr:uid="{00000000-0005-0000-0000-00009A8A0000}"/>
    <cellStyle name="Normal 3 3 7 2 14 2" xfId="35492" xr:uid="{00000000-0005-0000-0000-00009B8A0000}"/>
    <cellStyle name="Normal 3 3 7 2 14 3" xfId="35493" xr:uid="{00000000-0005-0000-0000-00009C8A0000}"/>
    <cellStyle name="Normal 3 3 7 2 15" xfId="35494" xr:uid="{00000000-0005-0000-0000-00009D8A0000}"/>
    <cellStyle name="Normal 3 3 7 2 15 2" xfId="35495" xr:uid="{00000000-0005-0000-0000-00009E8A0000}"/>
    <cellStyle name="Normal 3 3 7 2 15 3" xfId="35496" xr:uid="{00000000-0005-0000-0000-00009F8A0000}"/>
    <cellStyle name="Normal 3 3 7 2 16" xfId="35497" xr:uid="{00000000-0005-0000-0000-0000A08A0000}"/>
    <cellStyle name="Normal 3 3 7 2 17" xfId="35498" xr:uid="{00000000-0005-0000-0000-0000A18A0000}"/>
    <cellStyle name="Normal 3 3 7 2 2" xfId="35499" xr:uid="{00000000-0005-0000-0000-0000A28A0000}"/>
    <cellStyle name="Normal 3 3 7 2 2 10" xfId="35500" xr:uid="{00000000-0005-0000-0000-0000A38A0000}"/>
    <cellStyle name="Normal 3 3 7 2 2 10 2" xfId="35501" xr:uid="{00000000-0005-0000-0000-0000A48A0000}"/>
    <cellStyle name="Normal 3 3 7 2 2 10 3" xfId="35502" xr:uid="{00000000-0005-0000-0000-0000A58A0000}"/>
    <cellStyle name="Normal 3 3 7 2 2 11" xfId="35503" xr:uid="{00000000-0005-0000-0000-0000A68A0000}"/>
    <cellStyle name="Normal 3 3 7 2 2 11 2" xfId="35504" xr:uid="{00000000-0005-0000-0000-0000A78A0000}"/>
    <cellStyle name="Normal 3 3 7 2 2 11 3" xfId="35505" xr:uid="{00000000-0005-0000-0000-0000A88A0000}"/>
    <cellStyle name="Normal 3 3 7 2 2 12" xfId="35506" xr:uid="{00000000-0005-0000-0000-0000A98A0000}"/>
    <cellStyle name="Normal 3 3 7 2 2 12 2" xfId="35507" xr:uid="{00000000-0005-0000-0000-0000AA8A0000}"/>
    <cellStyle name="Normal 3 3 7 2 2 12 3" xfId="35508" xr:uid="{00000000-0005-0000-0000-0000AB8A0000}"/>
    <cellStyle name="Normal 3 3 7 2 2 13" xfId="35509" xr:uid="{00000000-0005-0000-0000-0000AC8A0000}"/>
    <cellStyle name="Normal 3 3 7 2 2 13 2" xfId="35510" xr:uid="{00000000-0005-0000-0000-0000AD8A0000}"/>
    <cellStyle name="Normal 3 3 7 2 2 13 3" xfId="35511" xr:uid="{00000000-0005-0000-0000-0000AE8A0000}"/>
    <cellStyle name="Normal 3 3 7 2 2 14" xfId="35512" xr:uid="{00000000-0005-0000-0000-0000AF8A0000}"/>
    <cellStyle name="Normal 3 3 7 2 2 14 2" xfId="35513" xr:uid="{00000000-0005-0000-0000-0000B08A0000}"/>
    <cellStyle name="Normal 3 3 7 2 2 14 3" xfId="35514" xr:uid="{00000000-0005-0000-0000-0000B18A0000}"/>
    <cellStyle name="Normal 3 3 7 2 2 15" xfId="35515" xr:uid="{00000000-0005-0000-0000-0000B28A0000}"/>
    <cellStyle name="Normal 3 3 7 2 2 16" xfId="35516" xr:uid="{00000000-0005-0000-0000-0000B38A0000}"/>
    <cellStyle name="Normal 3 3 7 2 2 2" xfId="35517" xr:uid="{00000000-0005-0000-0000-0000B48A0000}"/>
    <cellStyle name="Normal 3 3 7 2 2 2 2" xfId="35518" xr:uid="{00000000-0005-0000-0000-0000B58A0000}"/>
    <cellStyle name="Normal 3 3 7 2 2 2 3" xfId="35519" xr:uid="{00000000-0005-0000-0000-0000B68A0000}"/>
    <cellStyle name="Normal 3 3 7 2 2 3" xfId="35520" xr:uid="{00000000-0005-0000-0000-0000B78A0000}"/>
    <cellStyle name="Normal 3 3 7 2 2 3 2" xfId="35521" xr:uid="{00000000-0005-0000-0000-0000B88A0000}"/>
    <cellStyle name="Normal 3 3 7 2 2 3 3" xfId="35522" xr:uid="{00000000-0005-0000-0000-0000B98A0000}"/>
    <cellStyle name="Normal 3 3 7 2 2 4" xfId="35523" xr:uid="{00000000-0005-0000-0000-0000BA8A0000}"/>
    <cellStyle name="Normal 3 3 7 2 2 4 2" xfId="35524" xr:uid="{00000000-0005-0000-0000-0000BB8A0000}"/>
    <cellStyle name="Normal 3 3 7 2 2 4 3" xfId="35525" xr:uid="{00000000-0005-0000-0000-0000BC8A0000}"/>
    <cellStyle name="Normal 3 3 7 2 2 5" xfId="35526" xr:uid="{00000000-0005-0000-0000-0000BD8A0000}"/>
    <cellStyle name="Normal 3 3 7 2 2 5 2" xfId="35527" xr:uid="{00000000-0005-0000-0000-0000BE8A0000}"/>
    <cellStyle name="Normal 3 3 7 2 2 5 3" xfId="35528" xr:uid="{00000000-0005-0000-0000-0000BF8A0000}"/>
    <cellStyle name="Normal 3 3 7 2 2 6" xfId="35529" xr:uid="{00000000-0005-0000-0000-0000C08A0000}"/>
    <cellStyle name="Normal 3 3 7 2 2 6 2" xfId="35530" xr:uid="{00000000-0005-0000-0000-0000C18A0000}"/>
    <cellStyle name="Normal 3 3 7 2 2 6 3" xfId="35531" xr:uid="{00000000-0005-0000-0000-0000C28A0000}"/>
    <cellStyle name="Normal 3 3 7 2 2 7" xfId="35532" xr:uid="{00000000-0005-0000-0000-0000C38A0000}"/>
    <cellStyle name="Normal 3 3 7 2 2 7 2" xfId="35533" xr:uid="{00000000-0005-0000-0000-0000C48A0000}"/>
    <cellStyle name="Normal 3 3 7 2 2 7 3" xfId="35534" xr:uid="{00000000-0005-0000-0000-0000C58A0000}"/>
    <cellStyle name="Normal 3 3 7 2 2 8" xfId="35535" xr:uid="{00000000-0005-0000-0000-0000C68A0000}"/>
    <cellStyle name="Normal 3 3 7 2 2 8 2" xfId="35536" xr:uid="{00000000-0005-0000-0000-0000C78A0000}"/>
    <cellStyle name="Normal 3 3 7 2 2 8 3" xfId="35537" xr:uid="{00000000-0005-0000-0000-0000C88A0000}"/>
    <cellStyle name="Normal 3 3 7 2 2 9" xfId="35538" xr:uid="{00000000-0005-0000-0000-0000C98A0000}"/>
    <cellStyle name="Normal 3 3 7 2 2 9 2" xfId="35539" xr:uid="{00000000-0005-0000-0000-0000CA8A0000}"/>
    <cellStyle name="Normal 3 3 7 2 2 9 3" xfId="35540" xr:uid="{00000000-0005-0000-0000-0000CB8A0000}"/>
    <cellStyle name="Normal 3 3 7 2 3" xfId="35541" xr:uid="{00000000-0005-0000-0000-0000CC8A0000}"/>
    <cellStyle name="Normal 3 3 7 2 3 2" xfId="35542" xr:uid="{00000000-0005-0000-0000-0000CD8A0000}"/>
    <cellStyle name="Normal 3 3 7 2 3 3" xfId="35543" xr:uid="{00000000-0005-0000-0000-0000CE8A0000}"/>
    <cellStyle name="Normal 3 3 7 2 4" xfId="35544" xr:uid="{00000000-0005-0000-0000-0000CF8A0000}"/>
    <cellStyle name="Normal 3 3 7 2 4 2" xfId="35545" xr:uid="{00000000-0005-0000-0000-0000D08A0000}"/>
    <cellStyle name="Normal 3 3 7 2 4 3" xfId="35546" xr:uid="{00000000-0005-0000-0000-0000D18A0000}"/>
    <cellStyle name="Normal 3 3 7 2 5" xfId="35547" xr:uid="{00000000-0005-0000-0000-0000D28A0000}"/>
    <cellStyle name="Normal 3 3 7 2 5 2" xfId="35548" xr:uid="{00000000-0005-0000-0000-0000D38A0000}"/>
    <cellStyle name="Normal 3 3 7 2 5 3" xfId="35549" xr:uid="{00000000-0005-0000-0000-0000D48A0000}"/>
    <cellStyle name="Normal 3 3 7 2 6" xfId="35550" xr:uid="{00000000-0005-0000-0000-0000D58A0000}"/>
    <cellStyle name="Normal 3 3 7 2 6 2" xfId="35551" xr:uid="{00000000-0005-0000-0000-0000D68A0000}"/>
    <cellStyle name="Normal 3 3 7 2 6 3" xfId="35552" xr:uid="{00000000-0005-0000-0000-0000D78A0000}"/>
    <cellStyle name="Normal 3 3 7 2 7" xfId="35553" xr:uid="{00000000-0005-0000-0000-0000D88A0000}"/>
    <cellStyle name="Normal 3 3 7 2 7 2" xfId="35554" xr:uid="{00000000-0005-0000-0000-0000D98A0000}"/>
    <cellStyle name="Normal 3 3 7 2 7 3" xfId="35555" xr:uid="{00000000-0005-0000-0000-0000DA8A0000}"/>
    <cellStyle name="Normal 3 3 7 2 8" xfId="35556" xr:uid="{00000000-0005-0000-0000-0000DB8A0000}"/>
    <cellStyle name="Normal 3 3 7 2 8 2" xfId="35557" xr:uid="{00000000-0005-0000-0000-0000DC8A0000}"/>
    <cellStyle name="Normal 3 3 7 2 8 3" xfId="35558" xr:uid="{00000000-0005-0000-0000-0000DD8A0000}"/>
    <cellStyle name="Normal 3 3 7 2 9" xfId="35559" xr:uid="{00000000-0005-0000-0000-0000DE8A0000}"/>
    <cellStyle name="Normal 3 3 7 2 9 2" xfId="35560" xr:uid="{00000000-0005-0000-0000-0000DF8A0000}"/>
    <cellStyle name="Normal 3 3 7 2 9 3" xfId="35561" xr:uid="{00000000-0005-0000-0000-0000E08A0000}"/>
    <cellStyle name="Normal 3 3 7 20" xfId="35562" xr:uid="{00000000-0005-0000-0000-0000E18A0000}"/>
    <cellStyle name="Normal 3 3 7 20 2" xfId="35563" xr:uid="{00000000-0005-0000-0000-0000E28A0000}"/>
    <cellStyle name="Normal 3 3 7 20 3" xfId="35564" xr:uid="{00000000-0005-0000-0000-0000E38A0000}"/>
    <cellStyle name="Normal 3 3 7 21" xfId="35565" xr:uid="{00000000-0005-0000-0000-0000E48A0000}"/>
    <cellStyle name="Normal 3 3 7 21 2" xfId="35566" xr:uid="{00000000-0005-0000-0000-0000E58A0000}"/>
    <cellStyle name="Normal 3 3 7 21 3" xfId="35567" xr:uid="{00000000-0005-0000-0000-0000E68A0000}"/>
    <cellStyle name="Normal 3 3 7 22" xfId="35568" xr:uid="{00000000-0005-0000-0000-0000E78A0000}"/>
    <cellStyle name="Normal 3 3 7 22 2" xfId="35569" xr:uid="{00000000-0005-0000-0000-0000E88A0000}"/>
    <cellStyle name="Normal 3 3 7 22 3" xfId="35570" xr:uid="{00000000-0005-0000-0000-0000E98A0000}"/>
    <cellStyle name="Normal 3 3 7 23" xfId="35571" xr:uid="{00000000-0005-0000-0000-0000EA8A0000}"/>
    <cellStyle name="Normal 3 3 7 23 2" xfId="35572" xr:uid="{00000000-0005-0000-0000-0000EB8A0000}"/>
    <cellStyle name="Normal 3 3 7 23 3" xfId="35573" xr:uid="{00000000-0005-0000-0000-0000EC8A0000}"/>
    <cellStyle name="Normal 3 3 7 24" xfId="35574" xr:uid="{00000000-0005-0000-0000-0000ED8A0000}"/>
    <cellStyle name="Normal 3 3 7 25" xfId="35575" xr:uid="{00000000-0005-0000-0000-0000EE8A0000}"/>
    <cellStyle name="Normal 3 3 7 3" xfId="35576" xr:uid="{00000000-0005-0000-0000-0000EF8A0000}"/>
    <cellStyle name="Normal 3 3 7 3 10" xfId="35577" xr:uid="{00000000-0005-0000-0000-0000F08A0000}"/>
    <cellStyle name="Normal 3 3 7 3 10 2" xfId="35578" xr:uid="{00000000-0005-0000-0000-0000F18A0000}"/>
    <cellStyle name="Normal 3 3 7 3 10 3" xfId="35579" xr:uid="{00000000-0005-0000-0000-0000F28A0000}"/>
    <cellStyle name="Normal 3 3 7 3 11" xfId="35580" xr:uid="{00000000-0005-0000-0000-0000F38A0000}"/>
    <cellStyle name="Normal 3 3 7 3 11 2" xfId="35581" xr:uid="{00000000-0005-0000-0000-0000F48A0000}"/>
    <cellStyle name="Normal 3 3 7 3 11 3" xfId="35582" xr:uid="{00000000-0005-0000-0000-0000F58A0000}"/>
    <cellStyle name="Normal 3 3 7 3 12" xfId="35583" xr:uid="{00000000-0005-0000-0000-0000F68A0000}"/>
    <cellStyle name="Normal 3 3 7 3 12 2" xfId="35584" xr:uid="{00000000-0005-0000-0000-0000F78A0000}"/>
    <cellStyle name="Normal 3 3 7 3 12 3" xfId="35585" xr:uid="{00000000-0005-0000-0000-0000F88A0000}"/>
    <cellStyle name="Normal 3 3 7 3 13" xfId="35586" xr:uid="{00000000-0005-0000-0000-0000F98A0000}"/>
    <cellStyle name="Normal 3 3 7 3 13 2" xfId="35587" xr:uid="{00000000-0005-0000-0000-0000FA8A0000}"/>
    <cellStyle name="Normal 3 3 7 3 13 3" xfId="35588" xr:uid="{00000000-0005-0000-0000-0000FB8A0000}"/>
    <cellStyle name="Normal 3 3 7 3 14" xfId="35589" xr:uid="{00000000-0005-0000-0000-0000FC8A0000}"/>
    <cellStyle name="Normal 3 3 7 3 14 2" xfId="35590" xr:uid="{00000000-0005-0000-0000-0000FD8A0000}"/>
    <cellStyle name="Normal 3 3 7 3 14 3" xfId="35591" xr:uid="{00000000-0005-0000-0000-0000FE8A0000}"/>
    <cellStyle name="Normal 3 3 7 3 15" xfId="35592" xr:uid="{00000000-0005-0000-0000-0000FF8A0000}"/>
    <cellStyle name="Normal 3 3 7 3 15 2" xfId="35593" xr:uid="{00000000-0005-0000-0000-0000008B0000}"/>
    <cellStyle name="Normal 3 3 7 3 15 3" xfId="35594" xr:uid="{00000000-0005-0000-0000-0000018B0000}"/>
    <cellStyle name="Normal 3 3 7 3 16" xfId="35595" xr:uid="{00000000-0005-0000-0000-0000028B0000}"/>
    <cellStyle name="Normal 3 3 7 3 17" xfId="35596" xr:uid="{00000000-0005-0000-0000-0000038B0000}"/>
    <cellStyle name="Normal 3 3 7 3 2" xfId="35597" xr:uid="{00000000-0005-0000-0000-0000048B0000}"/>
    <cellStyle name="Normal 3 3 7 3 2 10" xfId="35598" xr:uid="{00000000-0005-0000-0000-0000058B0000}"/>
    <cellStyle name="Normal 3 3 7 3 2 10 2" xfId="35599" xr:uid="{00000000-0005-0000-0000-0000068B0000}"/>
    <cellStyle name="Normal 3 3 7 3 2 10 3" xfId="35600" xr:uid="{00000000-0005-0000-0000-0000078B0000}"/>
    <cellStyle name="Normal 3 3 7 3 2 11" xfId="35601" xr:uid="{00000000-0005-0000-0000-0000088B0000}"/>
    <cellStyle name="Normal 3 3 7 3 2 11 2" xfId="35602" xr:uid="{00000000-0005-0000-0000-0000098B0000}"/>
    <cellStyle name="Normal 3 3 7 3 2 11 3" xfId="35603" xr:uid="{00000000-0005-0000-0000-00000A8B0000}"/>
    <cellStyle name="Normal 3 3 7 3 2 12" xfId="35604" xr:uid="{00000000-0005-0000-0000-00000B8B0000}"/>
    <cellStyle name="Normal 3 3 7 3 2 12 2" xfId="35605" xr:uid="{00000000-0005-0000-0000-00000C8B0000}"/>
    <cellStyle name="Normal 3 3 7 3 2 12 3" xfId="35606" xr:uid="{00000000-0005-0000-0000-00000D8B0000}"/>
    <cellStyle name="Normal 3 3 7 3 2 13" xfId="35607" xr:uid="{00000000-0005-0000-0000-00000E8B0000}"/>
    <cellStyle name="Normal 3 3 7 3 2 13 2" xfId="35608" xr:uid="{00000000-0005-0000-0000-00000F8B0000}"/>
    <cellStyle name="Normal 3 3 7 3 2 13 3" xfId="35609" xr:uid="{00000000-0005-0000-0000-0000108B0000}"/>
    <cellStyle name="Normal 3 3 7 3 2 14" xfId="35610" xr:uid="{00000000-0005-0000-0000-0000118B0000}"/>
    <cellStyle name="Normal 3 3 7 3 2 14 2" xfId="35611" xr:uid="{00000000-0005-0000-0000-0000128B0000}"/>
    <cellStyle name="Normal 3 3 7 3 2 14 3" xfId="35612" xr:uid="{00000000-0005-0000-0000-0000138B0000}"/>
    <cellStyle name="Normal 3 3 7 3 2 15" xfId="35613" xr:uid="{00000000-0005-0000-0000-0000148B0000}"/>
    <cellStyle name="Normal 3 3 7 3 2 16" xfId="35614" xr:uid="{00000000-0005-0000-0000-0000158B0000}"/>
    <cellStyle name="Normal 3 3 7 3 2 2" xfId="35615" xr:uid="{00000000-0005-0000-0000-0000168B0000}"/>
    <cellStyle name="Normal 3 3 7 3 2 2 2" xfId="35616" xr:uid="{00000000-0005-0000-0000-0000178B0000}"/>
    <cellStyle name="Normal 3 3 7 3 2 2 3" xfId="35617" xr:uid="{00000000-0005-0000-0000-0000188B0000}"/>
    <cellStyle name="Normal 3 3 7 3 2 3" xfId="35618" xr:uid="{00000000-0005-0000-0000-0000198B0000}"/>
    <cellStyle name="Normal 3 3 7 3 2 3 2" xfId="35619" xr:uid="{00000000-0005-0000-0000-00001A8B0000}"/>
    <cellStyle name="Normal 3 3 7 3 2 3 3" xfId="35620" xr:uid="{00000000-0005-0000-0000-00001B8B0000}"/>
    <cellStyle name="Normal 3 3 7 3 2 4" xfId="35621" xr:uid="{00000000-0005-0000-0000-00001C8B0000}"/>
    <cellStyle name="Normal 3 3 7 3 2 4 2" xfId="35622" xr:uid="{00000000-0005-0000-0000-00001D8B0000}"/>
    <cellStyle name="Normal 3 3 7 3 2 4 3" xfId="35623" xr:uid="{00000000-0005-0000-0000-00001E8B0000}"/>
    <cellStyle name="Normal 3 3 7 3 2 5" xfId="35624" xr:uid="{00000000-0005-0000-0000-00001F8B0000}"/>
    <cellStyle name="Normal 3 3 7 3 2 5 2" xfId="35625" xr:uid="{00000000-0005-0000-0000-0000208B0000}"/>
    <cellStyle name="Normal 3 3 7 3 2 5 3" xfId="35626" xr:uid="{00000000-0005-0000-0000-0000218B0000}"/>
    <cellStyle name="Normal 3 3 7 3 2 6" xfId="35627" xr:uid="{00000000-0005-0000-0000-0000228B0000}"/>
    <cellStyle name="Normal 3 3 7 3 2 6 2" xfId="35628" xr:uid="{00000000-0005-0000-0000-0000238B0000}"/>
    <cellStyle name="Normal 3 3 7 3 2 6 3" xfId="35629" xr:uid="{00000000-0005-0000-0000-0000248B0000}"/>
    <cellStyle name="Normal 3 3 7 3 2 7" xfId="35630" xr:uid="{00000000-0005-0000-0000-0000258B0000}"/>
    <cellStyle name="Normal 3 3 7 3 2 7 2" xfId="35631" xr:uid="{00000000-0005-0000-0000-0000268B0000}"/>
    <cellStyle name="Normal 3 3 7 3 2 7 3" xfId="35632" xr:uid="{00000000-0005-0000-0000-0000278B0000}"/>
    <cellStyle name="Normal 3 3 7 3 2 8" xfId="35633" xr:uid="{00000000-0005-0000-0000-0000288B0000}"/>
    <cellStyle name="Normal 3 3 7 3 2 8 2" xfId="35634" xr:uid="{00000000-0005-0000-0000-0000298B0000}"/>
    <cellStyle name="Normal 3 3 7 3 2 8 3" xfId="35635" xr:uid="{00000000-0005-0000-0000-00002A8B0000}"/>
    <cellStyle name="Normal 3 3 7 3 2 9" xfId="35636" xr:uid="{00000000-0005-0000-0000-00002B8B0000}"/>
    <cellStyle name="Normal 3 3 7 3 2 9 2" xfId="35637" xr:uid="{00000000-0005-0000-0000-00002C8B0000}"/>
    <cellStyle name="Normal 3 3 7 3 2 9 3" xfId="35638" xr:uid="{00000000-0005-0000-0000-00002D8B0000}"/>
    <cellStyle name="Normal 3 3 7 3 3" xfId="35639" xr:uid="{00000000-0005-0000-0000-00002E8B0000}"/>
    <cellStyle name="Normal 3 3 7 3 3 2" xfId="35640" xr:uid="{00000000-0005-0000-0000-00002F8B0000}"/>
    <cellStyle name="Normal 3 3 7 3 3 3" xfId="35641" xr:uid="{00000000-0005-0000-0000-0000308B0000}"/>
    <cellStyle name="Normal 3 3 7 3 4" xfId="35642" xr:uid="{00000000-0005-0000-0000-0000318B0000}"/>
    <cellStyle name="Normal 3 3 7 3 4 2" xfId="35643" xr:uid="{00000000-0005-0000-0000-0000328B0000}"/>
    <cellStyle name="Normal 3 3 7 3 4 3" xfId="35644" xr:uid="{00000000-0005-0000-0000-0000338B0000}"/>
    <cellStyle name="Normal 3 3 7 3 5" xfId="35645" xr:uid="{00000000-0005-0000-0000-0000348B0000}"/>
    <cellStyle name="Normal 3 3 7 3 5 2" xfId="35646" xr:uid="{00000000-0005-0000-0000-0000358B0000}"/>
    <cellStyle name="Normal 3 3 7 3 5 3" xfId="35647" xr:uid="{00000000-0005-0000-0000-0000368B0000}"/>
    <cellStyle name="Normal 3 3 7 3 6" xfId="35648" xr:uid="{00000000-0005-0000-0000-0000378B0000}"/>
    <cellStyle name="Normal 3 3 7 3 6 2" xfId="35649" xr:uid="{00000000-0005-0000-0000-0000388B0000}"/>
    <cellStyle name="Normal 3 3 7 3 6 3" xfId="35650" xr:uid="{00000000-0005-0000-0000-0000398B0000}"/>
    <cellStyle name="Normal 3 3 7 3 7" xfId="35651" xr:uid="{00000000-0005-0000-0000-00003A8B0000}"/>
    <cellStyle name="Normal 3 3 7 3 7 2" xfId="35652" xr:uid="{00000000-0005-0000-0000-00003B8B0000}"/>
    <cellStyle name="Normal 3 3 7 3 7 3" xfId="35653" xr:uid="{00000000-0005-0000-0000-00003C8B0000}"/>
    <cellStyle name="Normal 3 3 7 3 8" xfId="35654" xr:uid="{00000000-0005-0000-0000-00003D8B0000}"/>
    <cellStyle name="Normal 3 3 7 3 8 2" xfId="35655" xr:uid="{00000000-0005-0000-0000-00003E8B0000}"/>
    <cellStyle name="Normal 3 3 7 3 8 3" xfId="35656" xr:uid="{00000000-0005-0000-0000-00003F8B0000}"/>
    <cellStyle name="Normal 3 3 7 3 9" xfId="35657" xr:uid="{00000000-0005-0000-0000-0000408B0000}"/>
    <cellStyle name="Normal 3 3 7 3 9 2" xfId="35658" xr:uid="{00000000-0005-0000-0000-0000418B0000}"/>
    <cellStyle name="Normal 3 3 7 3 9 3" xfId="35659" xr:uid="{00000000-0005-0000-0000-0000428B0000}"/>
    <cellStyle name="Normal 3 3 7 4" xfId="35660" xr:uid="{00000000-0005-0000-0000-0000438B0000}"/>
    <cellStyle name="Normal 3 3 7 4 10" xfId="35661" xr:uid="{00000000-0005-0000-0000-0000448B0000}"/>
    <cellStyle name="Normal 3 3 7 4 10 2" xfId="35662" xr:uid="{00000000-0005-0000-0000-0000458B0000}"/>
    <cellStyle name="Normal 3 3 7 4 10 3" xfId="35663" xr:uid="{00000000-0005-0000-0000-0000468B0000}"/>
    <cellStyle name="Normal 3 3 7 4 11" xfId="35664" xr:uid="{00000000-0005-0000-0000-0000478B0000}"/>
    <cellStyle name="Normal 3 3 7 4 11 2" xfId="35665" xr:uid="{00000000-0005-0000-0000-0000488B0000}"/>
    <cellStyle name="Normal 3 3 7 4 11 3" xfId="35666" xr:uid="{00000000-0005-0000-0000-0000498B0000}"/>
    <cellStyle name="Normal 3 3 7 4 12" xfId="35667" xr:uid="{00000000-0005-0000-0000-00004A8B0000}"/>
    <cellStyle name="Normal 3 3 7 4 12 2" xfId="35668" xr:uid="{00000000-0005-0000-0000-00004B8B0000}"/>
    <cellStyle name="Normal 3 3 7 4 12 3" xfId="35669" xr:uid="{00000000-0005-0000-0000-00004C8B0000}"/>
    <cellStyle name="Normal 3 3 7 4 13" xfId="35670" xr:uid="{00000000-0005-0000-0000-00004D8B0000}"/>
    <cellStyle name="Normal 3 3 7 4 13 2" xfId="35671" xr:uid="{00000000-0005-0000-0000-00004E8B0000}"/>
    <cellStyle name="Normal 3 3 7 4 13 3" xfId="35672" xr:uid="{00000000-0005-0000-0000-00004F8B0000}"/>
    <cellStyle name="Normal 3 3 7 4 14" xfId="35673" xr:uid="{00000000-0005-0000-0000-0000508B0000}"/>
    <cellStyle name="Normal 3 3 7 4 14 2" xfId="35674" xr:uid="{00000000-0005-0000-0000-0000518B0000}"/>
    <cellStyle name="Normal 3 3 7 4 14 3" xfId="35675" xr:uid="{00000000-0005-0000-0000-0000528B0000}"/>
    <cellStyle name="Normal 3 3 7 4 15" xfId="35676" xr:uid="{00000000-0005-0000-0000-0000538B0000}"/>
    <cellStyle name="Normal 3 3 7 4 15 2" xfId="35677" xr:uid="{00000000-0005-0000-0000-0000548B0000}"/>
    <cellStyle name="Normal 3 3 7 4 15 3" xfId="35678" xr:uid="{00000000-0005-0000-0000-0000558B0000}"/>
    <cellStyle name="Normal 3 3 7 4 16" xfId="35679" xr:uid="{00000000-0005-0000-0000-0000568B0000}"/>
    <cellStyle name="Normal 3 3 7 4 17" xfId="35680" xr:uid="{00000000-0005-0000-0000-0000578B0000}"/>
    <cellStyle name="Normal 3 3 7 4 2" xfId="35681" xr:uid="{00000000-0005-0000-0000-0000588B0000}"/>
    <cellStyle name="Normal 3 3 7 4 2 10" xfId="35682" xr:uid="{00000000-0005-0000-0000-0000598B0000}"/>
    <cellStyle name="Normal 3 3 7 4 2 10 2" xfId="35683" xr:uid="{00000000-0005-0000-0000-00005A8B0000}"/>
    <cellStyle name="Normal 3 3 7 4 2 10 3" xfId="35684" xr:uid="{00000000-0005-0000-0000-00005B8B0000}"/>
    <cellStyle name="Normal 3 3 7 4 2 11" xfId="35685" xr:uid="{00000000-0005-0000-0000-00005C8B0000}"/>
    <cellStyle name="Normal 3 3 7 4 2 11 2" xfId="35686" xr:uid="{00000000-0005-0000-0000-00005D8B0000}"/>
    <cellStyle name="Normal 3 3 7 4 2 11 3" xfId="35687" xr:uid="{00000000-0005-0000-0000-00005E8B0000}"/>
    <cellStyle name="Normal 3 3 7 4 2 12" xfId="35688" xr:uid="{00000000-0005-0000-0000-00005F8B0000}"/>
    <cellStyle name="Normal 3 3 7 4 2 12 2" xfId="35689" xr:uid="{00000000-0005-0000-0000-0000608B0000}"/>
    <cellStyle name="Normal 3 3 7 4 2 12 3" xfId="35690" xr:uid="{00000000-0005-0000-0000-0000618B0000}"/>
    <cellStyle name="Normal 3 3 7 4 2 13" xfId="35691" xr:uid="{00000000-0005-0000-0000-0000628B0000}"/>
    <cellStyle name="Normal 3 3 7 4 2 13 2" xfId="35692" xr:uid="{00000000-0005-0000-0000-0000638B0000}"/>
    <cellStyle name="Normal 3 3 7 4 2 13 3" xfId="35693" xr:uid="{00000000-0005-0000-0000-0000648B0000}"/>
    <cellStyle name="Normal 3 3 7 4 2 14" xfId="35694" xr:uid="{00000000-0005-0000-0000-0000658B0000}"/>
    <cellStyle name="Normal 3 3 7 4 2 14 2" xfId="35695" xr:uid="{00000000-0005-0000-0000-0000668B0000}"/>
    <cellStyle name="Normal 3 3 7 4 2 14 3" xfId="35696" xr:uid="{00000000-0005-0000-0000-0000678B0000}"/>
    <cellStyle name="Normal 3 3 7 4 2 15" xfId="35697" xr:uid="{00000000-0005-0000-0000-0000688B0000}"/>
    <cellStyle name="Normal 3 3 7 4 2 16" xfId="35698" xr:uid="{00000000-0005-0000-0000-0000698B0000}"/>
    <cellStyle name="Normal 3 3 7 4 2 2" xfId="35699" xr:uid="{00000000-0005-0000-0000-00006A8B0000}"/>
    <cellStyle name="Normal 3 3 7 4 2 2 2" xfId="35700" xr:uid="{00000000-0005-0000-0000-00006B8B0000}"/>
    <cellStyle name="Normal 3 3 7 4 2 2 3" xfId="35701" xr:uid="{00000000-0005-0000-0000-00006C8B0000}"/>
    <cellStyle name="Normal 3 3 7 4 2 3" xfId="35702" xr:uid="{00000000-0005-0000-0000-00006D8B0000}"/>
    <cellStyle name="Normal 3 3 7 4 2 3 2" xfId="35703" xr:uid="{00000000-0005-0000-0000-00006E8B0000}"/>
    <cellStyle name="Normal 3 3 7 4 2 3 3" xfId="35704" xr:uid="{00000000-0005-0000-0000-00006F8B0000}"/>
    <cellStyle name="Normal 3 3 7 4 2 4" xfId="35705" xr:uid="{00000000-0005-0000-0000-0000708B0000}"/>
    <cellStyle name="Normal 3 3 7 4 2 4 2" xfId="35706" xr:uid="{00000000-0005-0000-0000-0000718B0000}"/>
    <cellStyle name="Normal 3 3 7 4 2 4 3" xfId="35707" xr:uid="{00000000-0005-0000-0000-0000728B0000}"/>
    <cellStyle name="Normal 3 3 7 4 2 5" xfId="35708" xr:uid="{00000000-0005-0000-0000-0000738B0000}"/>
    <cellStyle name="Normal 3 3 7 4 2 5 2" xfId="35709" xr:uid="{00000000-0005-0000-0000-0000748B0000}"/>
    <cellStyle name="Normal 3 3 7 4 2 5 3" xfId="35710" xr:uid="{00000000-0005-0000-0000-0000758B0000}"/>
    <cellStyle name="Normal 3 3 7 4 2 6" xfId="35711" xr:uid="{00000000-0005-0000-0000-0000768B0000}"/>
    <cellStyle name="Normal 3 3 7 4 2 6 2" xfId="35712" xr:uid="{00000000-0005-0000-0000-0000778B0000}"/>
    <cellStyle name="Normal 3 3 7 4 2 6 3" xfId="35713" xr:uid="{00000000-0005-0000-0000-0000788B0000}"/>
    <cellStyle name="Normal 3 3 7 4 2 7" xfId="35714" xr:uid="{00000000-0005-0000-0000-0000798B0000}"/>
    <cellStyle name="Normal 3 3 7 4 2 7 2" xfId="35715" xr:uid="{00000000-0005-0000-0000-00007A8B0000}"/>
    <cellStyle name="Normal 3 3 7 4 2 7 3" xfId="35716" xr:uid="{00000000-0005-0000-0000-00007B8B0000}"/>
    <cellStyle name="Normal 3 3 7 4 2 8" xfId="35717" xr:uid="{00000000-0005-0000-0000-00007C8B0000}"/>
    <cellStyle name="Normal 3 3 7 4 2 8 2" xfId="35718" xr:uid="{00000000-0005-0000-0000-00007D8B0000}"/>
    <cellStyle name="Normal 3 3 7 4 2 8 3" xfId="35719" xr:uid="{00000000-0005-0000-0000-00007E8B0000}"/>
    <cellStyle name="Normal 3 3 7 4 2 9" xfId="35720" xr:uid="{00000000-0005-0000-0000-00007F8B0000}"/>
    <cellStyle name="Normal 3 3 7 4 2 9 2" xfId="35721" xr:uid="{00000000-0005-0000-0000-0000808B0000}"/>
    <cellStyle name="Normal 3 3 7 4 2 9 3" xfId="35722" xr:uid="{00000000-0005-0000-0000-0000818B0000}"/>
    <cellStyle name="Normal 3 3 7 4 3" xfId="35723" xr:uid="{00000000-0005-0000-0000-0000828B0000}"/>
    <cellStyle name="Normal 3 3 7 4 3 2" xfId="35724" xr:uid="{00000000-0005-0000-0000-0000838B0000}"/>
    <cellStyle name="Normal 3 3 7 4 3 3" xfId="35725" xr:uid="{00000000-0005-0000-0000-0000848B0000}"/>
    <cellStyle name="Normal 3 3 7 4 4" xfId="35726" xr:uid="{00000000-0005-0000-0000-0000858B0000}"/>
    <cellStyle name="Normal 3 3 7 4 4 2" xfId="35727" xr:uid="{00000000-0005-0000-0000-0000868B0000}"/>
    <cellStyle name="Normal 3 3 7 4 4 3" xfId="35728" xr:uid="{00000000-0005-0000-0000-0000878B0000}"/>
    <cellStyle name="Normal 3 3 7 4 5" xfId="35729" xr:uid="{00000000-0005-0000-0000-0000888B0000}"/>
    <cellStyle name="Normal 3 3 7 4 5 2" xfId="35730" xr:uid="{00000000-0005-0000-0000-0000898B0000}"/>
    <cellStyle name="Normal 3 3 7 4 5 3" xfId="35731" xr:uid="{00000000-0005-0000-0000-00008A8B0000}"/>
    <cellStyle name="Normal 3 3 7 4 6" xfId="35732" xr:uid="{00000000-0005-0000-0000-00008B8B0000}"/>
    <cellStyle name="Normal 3 3 7 4 6 2" xfId="35733" xr:uid="{00000000-0005-0000-0000-00008C8B0000}"/>
    <cellStyle name="Normal 3 3 7 4 6 3" xfId="35734" xr:uid="{00000000-0005-0000-0000-00008D8B0000}"/>
    <cellStyle name="Normal 3 3 7 4 7" xfId="35735" xr:uid="{00000000-0005-0000-0000-00008E8B0000}"/>
    <cellStyle name="Normal 3 3 7 4 7 2" xfId="35736" xr:uid="{00000000-0005-0000-0000-00008F8B0000}"/>
    <cellStyle name="Normal 3 3 7 4 7 3" xfId="35737" xr:uid="{00000000-0005-0000-0000-0000908B0000}"/>
    <cellStyle name="Normal 3 3 7 4 8" xfId="35738" xr:uid="{00000000-0005-0000-0000-0000918B0000}"/>
    <cellStyle name="Normal 3 3 7 4 8 2" xfId="35739" xr:uid="{00000000-0005-0000-0000-0000928B0000}"/>
    <cellStyle name="Normal 3 3 7 4 8 3" xfId="35740" xr:uid="{00000000-0005-0000-0000-0000938B0000}"/>
    <cellStyle name="Normal 3 3 7 4 9" xfId="35741" xr:uid="{00000000-0005-0000-0000-0000948B0000}"/>
    <cellStyle name="Normal 3 3 7 4 9 2" xfId="35742" xr:uid="{00000000-0005-0000-0000-0000958B0000}"/>
    <cellStyle name="Normal 3 3 7 4 9 3" xfId="35743" xr:uid="{00000000-0005-0000-0000-0000968B0000}"/>
    <cellStyle name="Normal 3 3 7 5" xfId="35744" xr:uid="{00000000-0005-0000-0000-0000978B0000}"/>
    <cellStyle name="Normal 3 3 7 5 10" xfId="35745" xr:uid="{00000000-0005-0000-0000-0000988B0000}"/>
    <cellStyle name="Normal 3 3 7 5 10 2" xfId="35746" xr:uid="{00000000-0005-0000-0000-0000998B0000}"/>
    <cellStyle name="Normal 3 3 7 5 10 3" xfId="35747" xr:uid="{00000000-0005-0000-0000-00009A8B0000}"/>
    <cellStyle name="Normal 3 3 7 5 11" xfId="35748" xr:uid="{00000000-0005-0000-0000-00009B8B0000}"/>
    <cellStyle name="Normal 3 3 7 5 11 2" xfId="35749" xr:uid="{00000000-0005-0000-0000-00009C8B0000}"/>
    <cellStyle name="Normal 3 3 7 5 11 3" xfId="35750" xr:uid="{00000000-0005-0000-0000-00009D8B0000}"/>
    <cellStyle name="Normal 3 3 7 5 12" xfId="35751" xr:uid="{00000000-0005-0000-0000-00009E8B0000}"/>
    <cellStyle name="Normal 3 3 7 5 12 2" xfId="35752" xr:uid="{00000000-0005-0000-0000-00009F8B0000}"/>
    <cellStyle name="Normal 3 3 7 5 12 3" xfId="35753" xr:uid="{00000000-0005-0000-0000-0000A08B0000}"/>
    <cellStyle name="Normal 3 3 7 5 13" xfId="35754" xr:uid="{00000000-0005-0000-0000-0000A18B0000}"/>
    <cellStyle name="Normal 3 3 7 5 13 2" xfId="35755" xr:uid="{00000000-0005-0000-0000-0000A28B0000}"/>
    <cellStyle name="Normal 3 3 7 5 13 3" xfId="35756" xr:uid="{00000000-0005-0000-0000-0000A38B0000}"/>
    <cellStyle name="Normal 3 3 7 5 14" xfId="35757" xr:uid="{00000000-0005-0000-0000-0000A48B0000}"/>
    <cellStyle name="Normal 3 3 7 5 14 2" xfId="35758" xr:uid="{00000000-0005-0000-0000-0000A58B0000}"/>
    <cellStyle name="Normal 3 3 7 5 14 3" xfId="35759" xr:uid="{00000000-0005-0000-0000-0000A68B0000}"/>
    <cellStyle name="Normal 3 3 7 5 15" xfId="35760" xr:uid="{00000000-0005-0000-0000-0000A78B0000}"/>
    <cellStyle name="Normal 3 3 7 5 16" xfId="35761" xr:uid="{00000000-0005-0000-0000-0000A88B0000}"/>
    <cellStyle name="Normal 3 3 7 5 2" xfId="35762" xr:uid="{00000000-0005-0000-0000-0000A98B0000}"/>
    <cellStyle name="Normal 3 3 7 5 2 2" xfId="35763" xr:uid="{00000000-0005-0000-0000-0000AA8B0000}"/>
    <cellStyle name="Normal 3 3 7 5 2 3" xfId="35764" xr:uid="{00000000-0005-0000-0000-0000AB8B0000}"/>
    <cellStyle name="Normal 3 3 7 5 3" xfId="35765" xr:uid="{00000000-0005-0000-0000-0000AC8B0000}"/>
    <cellStyle name="Normal 3 3 7 5 3 2" xfId="35766" xr:uid="{00000000-0005-0000-0000-0000AD8B0000}"/>
    <cellStyle name="Normal 3 3 7 5 3 3" xfId="35767" xr:uid="{00000000-0005-0000-0000-0000AE8B0000}"/>
    <cellStyle name="Normal 3 3 7 5 4" xfId="35768" xr:uid="{00000000-0005-0000-0000-0000AF8B0000}"/>
    <cellStyle name="Normal 3 3 7 5 4 2" xfId="35769" xr:uid="{00000000-0005-0000-0000-0000B08B0000}"/>
    <cellStyle name="Normal 3 3 7 5 4 3" xfId="35770" xr:uid="{00000000-0005-0000-0000-0000B18B0000}"/>
    <cellStyle name="Normal 3 3 7 5 5" xfId="35771" xr:uid="{00000000-0005-0000-0000-0000B28B0000}"/>
    <cellStyle name="Normal 3 3 7 5 5 2" xfId="35772" xr:uid="{00000000-0005-0000-0000-0000B38B0000}"/>
    <cellStyle name="Normal 3 3 7 5 5 3" xfId="35773" xr:uid="{00000000-0005-0000-0000-0000B48B0000}"/>
    <cellStyle name="Normal 3 3 7 5 6" xfId="35774" xr:uid="{00000000-0005-0000-0000-0000B58B0000}"/>
    <cellStyle name="Normal 3 3 7 5 6 2" xfId="35775" xr:uid="{00000000-0005-0000-0000-0000B68B0000}"/>
    <cellStyle name="Normal 3 3 7 5 6 3" xfId="35776" xr:uid="{00000000-0005-0000-0000-0000B78B0000}"/>
    <cellStyle name="Normal 3 3 7 5 7" xfId="35777" xr:uid="{00000000-0005-0000-0000-0000B88B0000}"/>
    <cellStyle name="Normal 3 3 7 5 7 2" xfId="35778" xr:uid="{00000000-0005-0000-0000-0000B98B0000}"/>
    <cellStyle name="Normal 3 3 7 5 7 3" xfId="35779" xr:uid="{00000000-0005-0000-0000-0000BA8B0000}"/>
    <cellStyle name="Normal 3 3 7 5 8" xfId="35780" xr:uid="{00000000-0005-0000-0000-0000BB8B0000}"/>
    <cellStyle name="Normal 3 3 7 5 8 2" xfId="35781" xr:uid="{00000000-0005-0000-0000-0000BC8B0000}"/>
    <cellStyle name="Normal 3 3 7 5 8 3" xfId="35782" xr:uid="{00000000-0005-0000-0000-0000BD8B0000}"/>
    <cellStyle name="Normal 3 3 7 5 9" xfId="35783" xr:uid="{00000000-0005-0000-0000-0000BE8B0000}"/>
    <cellStyle name="Normal 3 3 7 5 9 2" xfId="35784" xr:uid="{00000000-0005-0000-0000-0000BF8B0000}"/>
    <cellStyle name="Normal 3 3 7 5 9 3" xfId="35785" xr:uid="{00000000-0005-0000-0000-0000C08B0000}"/>
    <cellStyle name="Normal 3 3 7 6" xfId="35786" xr:uid="{00000000-0005-0000-0000-0000C18B0000}"/>
    <cellStyle name="Normal 3 3 7 6 10" xfId="35787" xr:uid="{00000000-0005-0000-0000-0000C28B0000}"/>
    <cellStyle name="Normal 3 3 7 6 10 2" xfId="35788" xr:uid="{00000000-0005-0000-0000-0000C38B0000}"/>
    <cellStyle name="Normal 3 3 7 6 10 3" xfId="35789" xr:uid="{00000000-0005-0000-0000-0000C48B0000}"/>
    <cellStyle name="Normal 3 3 7 6 11" xfId="35790" xr:uid="{00000000-0005-0000-0000-0000C58B0000}"/>
    <cellStyle name="Normal 3 3 7 6 11 2" xfId="35791" xr:uid="{00000000-0005-0000-0000-0000C68B0000}"/>
    <cellStyle name="Normal 3 3 7 6 11 3" xfId="35792" xr:uid="{00000000-0005-0000-0000-0000C78B0000}"/>
    <cellStyle name="Normal 3 3 7 6 12" xfId="35793" xr:uid="{00000000-0005-0000-0000-0000C88B0000}"/>
    <cellStyle name="Normal 3 3 7 6 12 2" xfId="35794" xr:uid="{00000000-0005-0000-0000-0000C98B0000}"/>
    <cellStyle name="Normal 3 3 7 6 12 3" xfId="35795" xr:uid="{00000000-0005-0000-0000-0000CA8B0000}"/>
    <cellStyle name="Normal 3 3 7 6 13" xfId="35796" xr:uid="{00000000-0005-0000-0000-0000CB8B0000}"/>
    <cellStyle name="Normal 3 3 7 6 13 2" xfId="35797" xr:uid="{00000000-0005-0000-0000-0000CC8B0000}"/>
    <cellStyle name="Normal 3 3 7 6 13 3" xfId="35798" xr:uid="{00000000-0005-0000-0000-0000CD8B0000}"/>
    <cellStyle name="Normal 3 3 7 6 14" xfId="35799" xr:uid="{00000000-0005-0000-0000-0000CE8B0000}"/>
    <cellStyle name="Normal 3 3 7 6 14 2" xfId="35800" xr:uid="{00000000-0005-0000-0000-0000CF8B0000}"/>
    <cellStyle name="Normal 3 3 7 6 14 3" xfId="35801" xr:uid="{00000000-0005-0000-0000-0000D08B0000}"/>
    <cellStyle name="Normal 3 3 7 6 15" xfId="35802" xr:uid="{00000000-0005-0000-0000-0000D18B0000}"/>
    <cellStyle name="Normal 3 3 7 6 16" xfId="35803" xr:uid="{00000000-0005-0000-0000-0000D28B0000}"/>
    <cellStyle name="Normal 3 3 7 6 2" xfId="35804" xr:uid="{00000000-0005-0000-0000-0000D38B0000}"/>
    <cellStyle name="Normal 3 3 7 6 2 2" xfId="35805" xr:uid="{00000000-0005-0000-0000-0000D48B0000}"/>
    <cellStyle name="Normal 3 3 7 6 2 3" xfId="35806" xr:uid="{00000000-0005-0000-0000-0000D58B0000}"/>
    <cellStyle name="Normal 3 3 7 6 3" xfId="35807" xr:uid="{00000000-0005-0000-0000-0000D68B0000}"/>
    <cellStyle name="Normal 3 3 7 6 3 2" xfId="35808" xr:uid="{00000000-0005-0000-0000-0000D78B0000}"/>
    <cellStyle name="Normal 3 3 7 6 3 3" xfId="35809" xr:uid="{00000000-0005-0000-0000-0000D88B0000}"/>
    <cellStyle name="Normal 3 3 7 6 4" xfId="35810" xr:uid="{00000000-0005-0000-0000-0000D98B0000}"/>
    <cellStyle name="Normal 3 3 7 6 4 2" xfId="35811" xr:uid="{00000000-0005-0000-0000-0000DA8B0000}"/>
    <cellStyle name="Normal 3 3 7 6 4 3" xfId="35812" xr:uid="{00000000-0005-0000-0000-0000DB8B0000}"/>
    <cellStyle name="Normal 3 3 7 6 5" xfId="35813" xr:uid="{00000000-0005-0000-0000-0000DC8B0000}"/>
    <cellStyle name="Normal 3 3 7 6 5 2" xfId="35814" xr:uid="{00000000-0005-0000-0000-0000DD8B0000}"/>
    <cellStyle name="Normal 3 3 7 6 5 3" xfId="35815" xr:uid="{00000000-0005-0000-0000-0000DE8B0000}"/>
    <cellStyle name="Normal 3 3 7 6 6" xfId="35816" xr:uid="{00000000-0005-0000-0000-0000DF8B0000}"/>
    <cellStyle name="Normal 3 3 7 6 6 2" xfId="35817" xr:uid="{00000000-0005-0000-0000-0000E08B0000}"/>
    <cellStyle name="Normal 3 3 7 6 6 3" xfId="35818" xr:uid="{00000000-0005-0000-0000-0000E18B0000}"/>
    <cellStyle name="Normal 3 3 7 6 7" xfId="35819" xr:uid="{00000000-0005-0000-0000-0000E28B0000}"/>
    <cellStyle name="Normal 3 3 7 6 7 2" xfId="35820" xr:uid="{00000000-0005-0000-0000-0000E38B0000}"/>
    <cellStyle name="Normal 3 3 7 6 7 3" xfId="35821" xr:uid="{00000000-0005-0000-0000-0000E48B0000}"/>
    <cellStyle name="Normal 3 3 7 6 8" xfId="35822" xr:uid="{00000000-0005-0000-0000-0000E58B0000}"/>
    <cellStyle name="Normal 3 3 7 6 8 2" xfId="35823" xr:uid="{00000000-0005-0000-0000-0000E68B0000}"/>
    <cellStyle name="Normal 3 3 7 6 8 3" xfId="35824" xr:uid="{00000000-0005-0000-0000-0000E78B0000}"/>
    <cellStyle name="Normal 3 3 7 6 9" xfId="35825" xr:uid="{00000000-0005-0000-0000-0000E88B0000}"/>
    <cellStyle name="Normal 3 3 7 6 9 2" xfId="35826" xr:uid="{00000000-0005-0000-0000-0000E98B0000}"/>
    <cellStyle name="Normal 3 3 7 6 9 3" xfId="35827" xr:uid="{00000000-0005-0000-0000-0000EA8B0000}"/>
    <cellStyle name="Normal 3 3 7 7" xfId="35828" xr:uid="{00000000-0005-0000-0000-0000EB8B0000}"/>
    <cellStyle name="Normal 3 3 7 7 10" xfId="35829" xr:uid="{00000000-0005-0000-0000-0000EC8B0000}"/>
    <cellStyle name="Normal 3 3 7 7 10 2" xfId="35830" xr:uid="{00000000-0005-0000-0000-0000ED8B0000}"/>
    <cellStyle name="Normal 3 3 7 7 10 3" xfId="35831" xr:uid="{00000000-0005-0000-0000-0000EE8B0000}"/>
    <cellStyle name="Normal 3 3 7 7 11" xfId="35832" xr:uid="{00000000-0005-0000-0000-0000EF8B0000}"/>
    <cellStyle name="Normal 3 3 7 7 11 2" xfId="35833" xr:uid="{00000000-0005-0000-0000-0000F08B0000}"/>
    <cellStyle name="Normal 3 3 7 7 11 3" xfId="35834" xr:uid="{00000000-0005-0000-0000-0000F18B0000}"/>
    <cellStyle name="Normal 3 3 7 7 12" xfId="35835" xr:uid="{00000000-0005-0000-0000-0000F28B0000}"/>
    <cellStyle name="Normal 3 3 7 7 12 2" xfId="35836" xr:uid="{00000000-0005-0000-0000-0000F38B0000}"/>
    <cellStyle name="Normal 3 3 7 7 12 3" xfId="35837" xr:uid="{00000000-0005-0000-0000-0000F48B0000}"/>
    <cellStyle name="Normal 3 3 7 7 13" xfId="35838" xr:uid="{00000000-0005-0000-0000-0000F58B0000}"/>
    <cellStyle name="Normal 3 3 7 7 13 2" xfId="35839" xr:uid="{00000000-0005-0000-0000-0000F68B0000}"/>
    <cellStyle name="Normal 3 3 7 7 13 3" xfId="35840" xr:uid="{00000000-0005-0000-0000-0000F78B0000}"/>
    <cellStyle name="Normal 3 3 7 7 14" xfId="35841" xr:uid="{00000000-0005-0000-0000-0000F88B0000}"/>
    <cellStyle name="Normal 3 3 7 7 14 2" xfId="35842" xr:uid="{00000000-0005-0000-0000-0000F98B0000}"/>
    <cellStyle name="Normal 3 3 7 7 14 3" xfId="35843" xr:uid="{00000000-0005-0000-0000-0000FA8B0000}"/>
    <cellStyle name="Normal 3 3 7 7 15" xfId="35844" xr:uid="{00000000-0005-0000-0000-0000FB8B0000}"/>
    <cellStyle name="Normal 3 3 7 7 16" xfId="35845" xr:uid="{00000000-0005-0000-0000-0000FC8B0000}"/>
    <cellStyle name="Normal 3 3 7 7 2" xfId="35846" xr:uid="{00000000-0005-0000-0000-0000FD8B0000}"/>
    <cellStyle name="Normal 3 3 7 7 2 2" xfId="35847" xr:uid="{00000000-0005-0000-0000-0000FE8B0000}"/>
    <cellStyle name="Normal 3 3 7 7 2 3" xfId="35848" xr:uid="{00000000-0005-0000-0000-0000FF8B0000}"/>
    <cellStyle name="Normal 3 3 7 7 3" xfId="35849" xr:uid="{00000000-0005-0000-0000-0000008C0000}"/>
    <cellStyle name="Normal 3 3 7 7 3 2" xfId="35850" xr:uid="{00000000-0005-0000-0000-0000018C0000}"/>
    <cellStyle name="Normal 3 3 7 7 3 3" xfId="35851" xr:uid="{00000000-0005-0000-0000-0000028C0000}"/>
    <cellStyle name="Normal 3 3 7 7 4" xfId="35852" xr:uid="{00000000-0005-0000-0000-0000038C0000}"/>
    <cellStyle name="Normal 3 3 7 7 4 2" xfId="35853" xr:uid="{00000000-0005-0000-0000-0000048C0000}"/>
    <cellStyle name="Normal 3 3 7 7 4 3" xfId="35854" xr:uid="{00000000-0005-0000-0000-0000058C0000}"/>
    <cellStyle name="Normal 3 3 7 7 5" xfId="35855" xr:uid="{00000000-0005-0000-0000-0000068C0000}"/>
    <cellStyle name="Normal 3 3 7 7 5 2" xfId="35856" xr:uid="{00000000-0005-0000-0000-0000078C0000}"/>
    <cellStyle name="Normal 3 3 7 7 5 3" xfId="35857" xr:uid="{00000000-0005-0000-0000-0000088C0000}"/>
    <cellStyle name="Normal 3 3 7 7 6" xfId="35858" xr:uid="{00000000-0005-0000-0000-0000098C0000}"/>
    <cellStyle name="Normal 3 3 7 7 6 2" xfId="35859" xr:uid="{00000000-0005-0000-0000-00000A8C0000}"/>
    <cellStyle name="Normal 3 3 7 7 6 3" xfId="35860" xr:uid="{00000000-0005-0000-0000-00000B8C0000}"/>
    <cellStyle name="Normal 3 3 7 7 7" xfId="35861" xr:uid="{00000000-0005-0000-0000-00000C8C0000}"/>
    <cellStyle name="Normal 3 3 7 7 7 2" xfId="35862" xr:uid="{00000000-0005-0000-0000-00000D8C0000}"/>
    <cellStyle name="Normal 3 3 7 7 7 3" xfId="35863" xr:uid="{00000000-0005-0000-0000-00000E8C0000}"/>
    <cellStyle name="Normal 3 3 7 7 8" xfId="35864" xr:uid="{00000000-0005-0000-0000-00000F8C0000}"/>
    <cellStyle name="Normal 3 3 7 7 8 2" xfId="35865" xr:uid="{00000000-0005-0000-0000-0000108C0000}"/>
    <cellStyle name="Normal 3 3 7 7 8 3" xfId="35866" xr:uid="{00000000-0005-0000-0000-0000118C0000}"/>
    <cellStyle name="Normal 3 3 7 7 9" xfId="35867" xr:uid="{00000000-0005-0000-0000-0000128C0000}"/>
    <cellStyle name="Normal 3 3 7 7 9 2" xfId="35868" xr:uid="{00000000-0005-0000-0000-0000138C0000}"/>
    <cellStyle name="Normal 3 3 7 7 9 3" xfId="35869" xr:uid="{00000000-0005-0000-0000-0000148C0000}"/>
    <cellStyle name="Normal 3 3 7 8" xfId="35870" xr:uid="{00000000-0005-0000-0000-0000158C0000}"/>
    <cellStyle name="Normal 3 3 7 8 10" xfId="35871" xr:uid="{00000000-0005-0000-0000-0000168C0000}"/>
    <cellStyle name="Normal 3 3 7 8 10 2" xfId="35872" xr:uid="{00000000-0005-0000-0000-0000178C0000}"/>
    <cellStyle name="Normal 3 3 7 8 10 3" xfId="35873" xr:uid="{00000000-0005-0000-0000-0000188C0000}"/>
    <cellStyle name="Normal 3 3 7 8 11" xfId="35874" xr:uid="{00000000-0005-0000-0000-0000198C0000}"/>
    <cellStyle name="Normal 3 3 7 8 11 2" xfId="35875" xr:uid="{00000000-0005-0000-0000-00001A8C0000}"/>
    <cellStyle name="Normal 3 3 7 8 11 3" xfId="35876" xr:uid="{00000000-0005-0000-0000-00001B8C0000}"/>
    <cellStyle name="Normal 3 3 7 8 12" xfId="35877" xr:uid="{00000000-0005-0000-0000-00001C8C0000}"/>
    <cellStyle name="Normal 3 3 7 8 12 2" xfId="35878" xr:uid="{00000000-0005-0000-0000-00001D8C0000}"/>
    <cellStyle name="Normal 3 3 7 8 12 3" xfId="35879" xr:uid="{00000000-0005-0000-0000-00001E8C0000}"/>
    <cellStyle name="Normal 3 3 7 8 13" xfId="35880" xr:uid="{00000000-0005-0000-0000-00001F8C0000}"/>
    <cellStyle name="Normal 3 3 7 8 13 2" xfId="35881" xr:uid="{00000000-0005-0000-0000-0000208C0000}"/>
    <cellStyle name="Normal 3 3 7 8 13 3" xfId="35882" xr:uid="{00000000-0005-0000-0000-0000218C0000}"/>
    <cellStyle name="Normal 3 3 7 8 14" xfId="35883" xr:uid="{00000000-0005-0000-0000-0000228C0000}"/>
    <cellStyle name="Normal 3 3 7 8 14 2" xfId="35884" xr:uid="{00000000-0005-0000-0000-0000238C0000}"/>
    <cellStyle name="Normal 3 3 7 8 14 3" xfId="35885" xr:uid="{00000000-0005-0000-0000-0000248C0000}"/>
    <cellStyle name="Normal 3 3 7 8 15" xfId="35886" xr:uid="{00000000-0005-0000-0000-0000258C0000}"/>
    <cellStyle name="Normal 3 3 7 8 16" xfId="35887" xr:uid="{00000000-0005-0000-0000-0000268C0000}"/>
    <cellStyle name="Normal 3 3 7 8 2" xfId="35888" xr:uid="{00000000-0005-0000-0000-0000278C0000}"/>
    <cellStyle name="Normal 3 3 7 8 2 2" xfId="35889" xr:uid="{00000000-0005-0000-0000-0000288C0000}"/>
    <cellStyle name="Normal 3 3 7 8 2 3" xfId="35890" xr:uid="{00000000-0005-0000-0000-0000298C0000}"/>
    <cellStyle name="Normal 3 3 7 8 3" xfId="35891" xr:uid="{00000000-0005-0000-0000-00002A8C0000}"/>
    <cellStyle name="Normal 3 3 7 8 3 2" xfId="35892" xr:uid="{00000000-0005-0000-0000-00002B8C0000}"/>
    <cellStyle name="Normal 3 3 7 8 3 3" xfId="35893" xr:uid="{00000000-0005-0000-0000-00002C8C0000}"/>
    <cellStyle name="Normal 3 3 7 8 4" xfId="35894" xr:uid="{00000000-0005-0000-0000-00002D8C0000}"/>
    <cellStyle name="Normal 3 3 7 8 4 2" xfId="35895" xr:uid="{00000000-0005-0000-0000-00002E8C0000}"/>
    <cellStyle name="Normal 3 3 7 8 4 3" xfId="35896" xr:uid="{00000000-0005-0000-0000-00002F8C0000}"/>
    <cellStyle name="Normal 3 3 7 8 5" xfId="35897" xr:uid="{00000000-0005-0000-0000-0000308C0000}"/>
    <cellStyle name="Normal 3 3 7 8 5 2" xfId="35898" xr:uid="{00000000-0005-0000-0000-0000318C0000}"/>
    <cellStyle name="Normal 3 3 7 8 5 3" xfId="35899" xr:uid="{00000000-0005-0000-0000-0000328C0000}"/>
    <cellStyle name="Normal 3 3 7 8 6" xfId="35900" xr:uid="{00000000-0005-0000-0000-0000338C0000}"/>
    <cellStyle name="Normal 3 3 7 8 6 2" xfId="35901" xr:uid="{00000000-0005-0000-0000-0000348C0000}"/>
    <cellStyle name="Normal 3 3 7 8 6 3" xfId="35902" xr:uid="{00000000-0005-0000-0000-0000358C0000}"/>
    <cellStyle name="Normal 3 3 7 8 7" xfId="35903" xr:uid="{00000000-0005-0000-0000-0000368C0000}"/>
    <cellStyle name="Normal 3 3 7 8 7 2" xfId="35904" xr:uid="{00000000-0005-0000-0000-0000378C0000}"/>
    <cellStyle name="Normal 3 3 7 8 7 3" xfId="35905" xr:uid="{00000000-0005-0000-0000-0000388C0000}"/>
    <cellStyle name="Normal 3 3 7 8 8" xfId="35906" xr:uid="{00000000-0005-0000-0000-0000398C0000}"/>
    <cellStyle name="Normal 3 3 7 8 8 2" xfId="35907" xr:uid="{00000000-0005-0000-0000-00003A8C0000}"/>
    <cellStyle name="Normal 3 3 7 8 8 3" xfId="35908" xr:uid="{00000000-0005-0000-0000-00003B8C0000}"/>
    <cellStyle name="Normal 3 3 7 8 9" xfId="35909" xr:uid="{00000000-0005-0000-0000-00003C8C0000}"/>
    <cellStyle name="Normal 3 3 7 8 9 2" xfId="35910" xr:uid="{00000000-0005-0000-0000-00003D8C0000}"/>
    <cellStyle name="Normal 3 3 7 8 9 3" xfId="35911" xr:uid="{00000000-0005-0000-0000-00003E8C0000}"/>
    <cellStyle name="Normal 3 3 7 9" xfId="35912" xr:uid="{00000000-0005-0000-0000-00003F8C0000}"/>
    <cellStyle name="Normal 3 3 7 9 10" xfId="35913" xr:uid="{00000000-0005-0000-0000-0000408C0000}"/>
    <cellStyle name="Normal 3 3 7 9 10 2" xfId="35914" xr:uid="{00000000-0005-0000-0000-0000418C0000}"/>
    <cellStyle name="Normal 3 3 7 9 10 3" xfId="35915" xr:uid="{00000000-0005-0000-0000-0000428C0000}"/>
    <cellStyle name="Normal 3 3 7 9 11" xfId="35916" xr:uid="{00000000-0005-0000-0000-0000438C0000}"/>
    <cellStyle name="Normal 3 3 7 9 11 2" xfId="35917" xr:uid="{00000000-0005-0000-0000-0000448C0000}"/>
    <cellStyle name="Normal 3 3 7 9 11 3" xfId="35918" xr:uid="{00000000-0005-0000-0000-0000458C0000}"/>
    <cellStyle name="Normal 3 3 7 9 12" xfId="35919" xr:uid="{00000000-0005-0000-0000-0000468C0000}"/>
    <cellStyle name="Normal 3 3 7 9 12 2" xfId="35920" xr:uid="{00000000-0005-0000-0000-0000478C0000}"/>
    <cellStyle name="Normal 3 3 7 9 12 3" xfId="35921" xr:uid="{00000000-0005-0000-0000-0000488C0000}"/>
    <cellStyle name="Normal 3 3 7 9 13" xfId="35922" xr:uid="{00000000-0005-0000-0000-0000498C0000}"/>
    <cellStyle name="Normal 3 3 7 9 13 2" xfId="35923" xr:uid="{00000000-0005-0000-0000-00004A8C0000}"/>
    <cellStyle name="Normal 3 3 7 9 13 3" xfId="35924" xr:uid="{00000000-0005-0000-0000-00004B8C0000}"/>
    <cellStyle name="Normal 3 3 7 9 14" xfId="35925" xr:uid="{00000000-0005-0000-0000-00004C8C0000}"/>
    <cellStyle name="Normal 3 3 7 9 14 2" xfId="35926" xr:uid="{00000000-0005-0000-0000-00004D8C0000}"/>
    <cellStyle name="Normal 3 3 7 9 14 3" xfId="35927" xr:uid="{00000000-0005-0000-0000-00004E8C0000}"/>
    <cellStyle name="Normal 3 3 7 9 15" xfId="35928" xr:uid="{00000000-0005-0000-0000-00004F8C0000}"/>
    <cellStyle name="Normal 3 3 7 9 16" xfId="35929" xr:uid="{00000000-0005-0000-0000-0000508C0000}"/>
    <cellStyle name="Normal 3 3 7 9 2" xfId="35930" xr:uid="{00000000-0005-0000-0000-0000518C0000}"/>
    <cellStyle name="Normal 3 3 7 9 2 2" xfId="35931" xr:uid="{00000000-0005-0000-0000-0000528C0000}"/>
    <cellStyle name="Normal 3 3 7 9 2 3" xfId="35932" xr:uid="{00000000-0005-0000-0000-0000538C0000}"/>
    <cellStyle name="Normal 3 3 7 9 3" xfId="35933" xr:uid="{00000000-0005-0000-0000-0000548C0000}"/>
    <cellStyle name="Normal 3 3 7 9 3 2" xfId="35934" xr:uid="{00000000-0005-0000-0000-0000558C0000}"/>
    <cellStyle name="Normal 3 3 7 9 3 3" xfId="35935" xr:uid="{00000000-0005-0000-0000-0000568C0000}"/>
    <cellStyle name="Normal 3 3 7 9 4" xfId="35936" xr:uid="{00000000-0005-0000-0000-0000578C0000}"/>
    <cellStyle name="Normal 3 3 7 9 4 2" xfId="35937" xr:uid="{00000000-0005-0000-0000-0000588C0000}"/>
    <cellStyle name="Normal 3 3 7 9 4 3" xfId="35938" xr:uid="{00000000-0005-0000-0000-0000598C0000}"/>
    <cellStyle name="Normal 3 3 7 9 5" xfId="35939" xr:uid="{00000000-0005-0000-0000-00005A8C0000}"/>
    <cellStyle name="Normal 3 3 7 9 5 2" xfId="35940" xr:uid="{00000000-0005-0000-0000-00005B8C0000}"/>
    <cellStyle name="Normal 3 3 7 9 5 3" xfId="35941" xr:uid="{00000000-0005-0000-0000-00005C8C0000}"/>
    <cellStyle name="Normal 3 3 7 9 6" xfId="35942" xr:uid="{00000000-0005-0000-0000-00005D8C0000}"/>
    <cellStyle name="Normal 3 3 7 9 6 2" xfId="35943" xr:uid="{00000000-0005-0000-0000-00005E8C0000}"/>
    <cellStyle name="Normal 3 3 7 9 6 3" xfId="35944" xr:uid="{00000000-0005-0000-0000-00005F8C0000}"/>
    <cellStyle name="Normal 3 3 7 9 7" xfId="35945" xr:uid="{00000000-0005-0000-0000-0000608C0000}"/>
    <cellStyle name="Normal 3 3 7 9 7 2" xfId="35946" xr:uid="{00000000-0005-0000-0000-0000618C0000}"/>
    <cellStyle name="Normal 3 3 7 9 7 3" xfId="35947" xr:uid="{00000000-0005-0000-0000-0000628C0000}"/>
    <cellStyle name="Normal 3 3 7 9 8" xfId="35948" xr:uid="{00000000-0005-0000-0000-0000638C0000}"/>
    <cellStyle name="Normal 3 3 7 9 8 2" xfId="35949" xr:uid="{00000000-0005-0000-0000-0000648C0000}"/>
    <cellStyle name="Normal 3 3 7 9 8 3" xfId="35950" xr:uid="{00000000-0005-0000-0000-0000658C0000}"/>
    <cellStyle name="Normal 3 3 7 9 9" xfId="35951" xr:uid="{00000000-0005-0000-0000-0000668C0000}"/>
    <cellStyle name="Normal 3 3 7 9 9 2" xfId="35952" xr:uid="{00000000-0005-0000-0000-0000678C0000}"/>
    <cellStyle name="Normal 3 3 7 9 9 3" xfId="35953" xr:uid="{00000000-0005-0000-0000-0000688C0000}"/>
    <cellStyle name="Normal 3 3 8" xfId="35954" xr:uid="{00000000-0005-0000-0000-0000698C0000}"/>
    <cellStyle name="Normal 3 3 8 10" xfId="35955" xr:uid="{00000000-0005-0000-0000-00006A8C0000}"/>
    <cellStyle name="Normal 3 3 8 10 10" xfId="35956" xr:uid="{00000000-0005-0000-0000-00006B8C0000}"/>
    <cellStyle name="Normal 3 3 8 10 10 2" xfId="35957" xr:uid="{00000000-0005-0000-0000-00006C8C0000}"/>
    <cellStyle name="Normal 3 3 8 10 10 3" xfId="35958" xr:uid="{00000000-0005-0000-0000-00006D8C0000}"/>
    <cellStyle name="Normal 3 3 8 10 11" xfId="35959" xr:uid="{00000000-0005-0000-0000-00006E8C0000}"/>
    <cellStyle name="Normal 3 3 8 10 11 2" xfId="35960" xr:uid="{00000000-0005-0000-0000-00006F8C0000}"/>
    <cellStyle name="Normal 3 3 8 10 11 3" xfId="35961" xr:uid="{00000000-0005-0000-0000-0000708C0000}"/>
    <cellStyle name="Normal 3 3 8 10 12" xfId="35962" xr:uid="{00000000-0005-0000-0000-0000718C0000}"/>
    <cellStyle name="Normal 3 3 8 10 12 2" xfId="35963" xr:uid="{00000000-0005-0000-0000-0000728C0000}"/>
    <cellStyle name="Normal 3 3 8 10 12 3" xfId="35964" xr:uid="{00000000-0005-0000-0000-0000738C0000}"/>
    <cellStyle name="Normal 3 3 8 10 13" xfId="35965" xr:uid="{00000000-0005-0000-0000-0000748C0000}"/>
    <cellStyle name="Normal 3 3 8 10 13 2" xfId="35966" xr:uid="{00000000-0005-0000-0000-0000758C0000}"/>
    <cellStyle name="Normal 3 3 8 10 13 3" xfId="35967" xr:uid="{00000000-0005-0000-0000-0000768C0000}"/>
    <cellStyle name="Normal 3 3 8 10 14" xfId="35968" xr:uid="{00000000-0005-0000-0000-0000778C0000}"/>
    <cellStyle name="Normal 3 3 8 10 14 2" xfId="35969" xr:uid="{00000000-0005-0000-0000-0000788C0000}"/>
    <cellStyle name="Normal 3 3 8 10 14 3" xfId="35970" xr:uid="{00000000-0005-0000-0000-0000798C0000}"/>
    <cellStyle name="Normal 3 3 8 10 15" xfId="35971" xr:uid="{00000000-0005-0000-0000-00007A8C0000}"/>
    <cellStyle name="Normal 3 3 8 10 16" xfId="35972" xr:uid="{00000000-0005-0000-0000-00007B8C0000}"/>
    <cellStyle name="Normal 3 3 8 10 2" xfId="35973" xr:uid="{00000000-0005-0000-0000-00007C8C0000}"/>
    <cellStyle name="Normal 3 3 8 10 2 2" xfId="35974" xr:uid="{00000000-0005-0000-0000-00007D8C0000}"/>
    <cellStyle name="Normal 3 3 8 10 2 3" xfId="35975" xr:uid="{00000000-0005-0000-0000-00007E8C0000}"/>
    <cellStyle name="Normal 3 3 8 10 3" xfId="35976" xr:uid="{00000000-0005-0000-0000-00007F8C0000}"/>
    <cellStyle name="Normal 3 3 8 10 3 2" xfId="35977" xr:uid="{00000000-0005-0000-0000-0000808C0000}"/>
    <cellStyle name="Normal 3 3 8 10 3 3" xfId="35978" xr:uid="{00000000-0005-0000-0000-0000818C0000}"/>
    <cellStyle name="Normal 3 3 8 10 4" xfId="35979" xr:uid="{00000000-0005-0000-0000-0000828C0000}"/>
    <cellStyle name="Normal 3 3 8 10 4 2" xfId="35980" xr:uid="{00000000-0005-0000-0000-0000838C0000}"/>
    <cellStyle name="Normal 3 3 8 10 4 3" xfId="35981" xr:uid="{00000000-0005-0000-0000-0000848C0000}"/>
    <cellStyle name="Normal 3 3 8 10 5" xfId="35982" xr:uid="{00000000-0005-0000-0000-0000858C0000}"/>
    <cellStyle name="Normal 3 3 8 10 5 2" xfId="35983" xr:uid="{00000000-0005-0000-0000-0000868C0000}"/>
    <cellStyle name="Normal 3 3 8 10 5 3" xfId="35984" xr:uid="{00000000-0005-0000-0000-0000878C0000}"/>
    <cellStyle name="Normal 3 3 8 10 6" xfId="35985" xr:uid="{00000000-0005-0000-0000-0000888C0000}"/>
    <cellStyle name="Normal 3 3 8 10 6 2" xfId="35986" xr:uid="{00000000-0005-0000-0000-0000898C0000}"/>
    <cellStyle name="Normal 3 3 8 10 6 3" xfId="35987" xr:uid="{00000000-0005-0000-0000-00008A8C0000}"/>
    <cellStyle name="Normal 3 3 8 10 7" xfId="35988" xr:uid="{00000000-0005-0000-0000-00008B8C0000}"/>
    <cellStyle name="Normal 3 3 8 10 7 2" xfId="35989" xr:uid="{00000000-0005-0000-0000-00008C8C0000}"/>
    <cellStyle name="Normal 3 3 8 10 7 3" xfId="35990" xr:uid="{00000000-0005-0000-0000-00008D8C0000}"/>
    <cellStyle name="Normal 3 3 8 10 8" xfId="35991" xr:uid="{00000000-0005-0000-0000-00008E8C0000}"/>
    <cellStyle name="Normal 3 3 8 10 8 2" xfId="35992" xr:uid="{00000000-0005-0000-0000-00008F8C0000}"/>
    <cellStyle name="Normal 3 3 8 10 8 3" xfId="35993" xr:uid="{00000000-0005-0000-0000-0000908C0000}"/>
    <cellStyle name="Normal 3 3 8 10 9" xfId="35994" xr:uid="{00000000-0005-0000-0000-0000918C0000}"/>
    <cellStyle name="Normal 3 3 8 10 9 2" xfId="35995" xr:uid="{00000000-0005-0000-0000-0000928C0000}"/>
    <cellStyle name="Normal 3 3 8 10 9 3" xfId="35996" xr:uid="{00000000-0005-0000-0000-0000938C0000}"/>
    <cellStyle name="Normal 3 3 8 11" xfId="35997" xr:uid="{00000000-0005-0000-0000-0000948C0000}"/>
    <cellStyle name="Normal 3 3 8 11 2" xfId="35998" xr:uid="{00000000-0005-0000-0000-0000958C0000}"/>
    <cellStyle name="Normal 3 3 8 11 3" xfId="35999" xr:uid="{00000000-0005-0000-0000-0000968C0000}"/>
    <cellStyle name="Normal 3 3 8 12" xfId="36000" xr:uid="{00000000-0005-0000-0000-0000978C0000}"/>
    <cellStyle name="Normal 3 3 8 12 2" xfId="36001" xr:uid="{00000000-0005-0000-0000-0000988C0000}"/>
    <cellStyle name="Normal 3 3 8 12 3" xfId="36002" xr:uid="{00000000-0005-0000-0000-0000998C0000}"/>
    <cellStyle name="Normal 3 3 8 13" xfId="36003" xr:uid="{00000000-0005-0000-0000-00009A8C0000}"/>
    <cellStyle name="Normal 3 3 8 13 2" xfId="36004" xr:uid="{00000000-0005-0000-0000-00009B8C0000}"/>
    <cellStyle name="Normal 3 3 8 13 3" xfId="36005" xr:uid="{00000000-0005-0000-0000-00009C8C0000}"/>
    <cellStyle name="Normal 3 3 8 14" xfId="36006" xr:uid="{00000000-0005-0000-0000-00009D8C0000}"/>
    <cellStyle name="Normal 3 3 8 14 2" xfId="36007" xr:uid="{00000000-0005-0000-0000-00009E8C0000}"/>
    <cellStyle name="Normal 3 3 8 14 3" xfId="36008" xr:uid="{00000000-0005-0000-0000-00009F8C0000}"/>
    <cellStyle name="Normal 3 3 8 15" xfId="36009" xr:uid="{00000000-0005-0000-0000-0000A08C0000}"/>
    <cellStyle name="Normal 3 3 8 15 2" xfId="36010" xr:uid="{00000000-0005-0000-0000-0000A18C0000}"/>
    <cellStyle name="Normal 3 3 8 15 3" xfId="36011" xr:uid="{00000000-0005-0000-0000-0000A28C0000}"/>
    <cellStyle name="Normal 3 3 8 16" xfId="36012" xr:uid="{00000000-0005-0000-0000-0000A38C0000}"/>
    <cellStyle name="Normal 3 3 8 16 2" xfId="36013" xr:uid="{00000000-0005-0000-0000-0000A48C0000}"/>
    <cellStyle name="Normal 3 3 8 16 3" xfId="36014" xr:uid="{00000000-0005-0000-0000-0000A58C0000}"/>
    <cellStyle name="Normal 3 3 8 17" xfId="36015" xr:uid="{00000000-0005-0000-0000-0000A68C0000}"/>
    <cellStyle name="Normal 3 3 8 17 2" xfId="36016" xr:uid="{00000000-0005-0000-0000-0000A78C0000}"/>
    <cellStyle name="Normal 3 3 8 17 3" xfId="36017" xr:uid="{00000000-0005-0000-0000-0000A88C0000}"/>
    <cellStyle name="Normal 3 3 8 18" xfId="36018" xr:uid="{00000000-0005-0000-0000-0000A98C0000}"/>
    <cellStyle name="Normal 3 3 8 18 2" xfId="36019" xr:uid="{00000000-0005-0000-0000-0000AA8C0000}"/>
    <cellStyle name="Normal 3 3 8 18 3" xfId="36020" xr:uid="{00000000-0005-0000-0000-0000AB8C0000}"/>
    <cellStyle name="Normal 3 3 8 19" xfId="36021" xr:uid="{00000000-0005-0000-0000-0000AC8C0000}"/>
    <cellStyle name="Normal 3 3 8 19 2" xfId="36022" xr:uid="{00000000-0005-0000-0000-0000AD8C0000}"/>
    <cellStyle name="Normal 3 3 8 19 3" xfId="36023" xr:uid="{00000000-0005-0000-0000-0000AE8C0000}"/>
    <cellStyle name="Normal 3 3 8 2" xfId="36024" xr:uid="{00000000-0005-0000-0000-0000AF8C0000}"/>
    <cellStyle name="Normal 3 3 8 2 10" xfId="36025" xr:uid="{00000000-0005-0000-0000-0000B08C0000}"/>
    <cellStyle name="Normal 3 3 8 2 10 2" xfId="36026" xr:uid="{00000000-0005-0000-0000-0000B18C0000}"/>
    <cellStyle name="Normal 3 3 8 2 10 3" xfId="36027" xr:uid="{00000000-0005-0000-0000-0000B28C0000}"/>
    <cellStyle name="Normal 3 3 8 2 11" xfId="36028" xr:uid="{00000000-0005-0000-0000-0000B38C0000}"/>
    <cellStyle name="Normal 3 3 8 2 11 2" xfId="36029" xr:uid="{00000000-0005-0000-0000-0000B48C0000}"/>
    <cellStyle name="Normal 3 3 8 2 11 3" xfId="36030" xr:uid="{00000000-0005-0000-0000-0000B58C0000}"/>
    <cellStyle name="Normal 3 3 8 2 12" xfId="36031" xr:uid="{00000000-0005-0000-0000-0000B68C0000}"/>
    <cellStyle name="Normal 3 3 8 2 12 2" xfId="36032" xr:uid="{00000000-0005-0000-0000-0000B78C0000}"/>
    <cellStyle name="Normal 3 3 8 2 12 3" xfId="36033" xr:uid="{00000000-0005-0000-0000-0000B88C0000}"/>
    <cellStyle name="Normal 3 3 8 2 13" xfId="36034" xr:uid="{00000000-0005-0000-0000-0000B98C0000}"/>
    <cellStyle name="Normal 3 3 8 2 13 2" xfId="36035" xr:uid="{00000000-0005-0000-0000-0000BA8C0000}"/>
    <cellStyle name="Normal 3 3 8 2 13 3" xfId="36036" xr:uid="{00000000-0005-0000-0000-0000BB8C0000}"/>
    <cellStyle name="Normal 3 3 8 2 14" xfId="36037" xr:uid="{00000000-0005-0000-0000-0000BC8C0000}"/>
    <cellStyle name="Normal 3 3 8 2 14 2" xfId="36038" xr:uid="{00000000-0005-0000-0000-0000BD8C0000}"/>
    <cellStyle name="Normal 3 3 8 2 14 3" xfId="36039" xr:uid="{00000000-0005-0000-0000-0000BE8C0000}"/>
    <cellStyle name="Normal 3 3 8 2 15" xfId="36040" xr:uid="{00000000-0005-0000-0000-0000BF8C0000}"/>
    <cellStyle name="Normal 3 3 8 2 15 2" xfId="36041" xr:uid="{00000000-0005-0000-0000-0000C08C0000}"/>
    <cellStyle name="Normal 3 3 8 2 15 3" xfId="36042" xr:uid="{00000000-0005-0000-0000-0000C18C0000}"/>
    <cellStyle name="Normal 3 3 8 2 16" xfId="36043" xr:uid="{00000000-0005-0000-0000-0000C28C0000}"/>
    <cellStyle name="Normal 3 3 8 2 17" xfId="36044" xr:uid="{00000000-0005-0000-0000-0000C38C0000}"/>
    <cellStyle name="Normal 3 3 8 2 2" xfId="36045" xr:uid="{00000000-0005-0000-0000-0000C48C0000}"/>
    <cellStyle name="Normal 3 3 8 2 2 10" xfId="36046" xr:uid="{00000000-0005-0000-0000-0000C58C0000}"/>
    <cellStyle name="Normal 3 3 8 2 2 10 2" xfId="36047" xr:uid="{00000000-0005-0000-0000-0000C68C0000}"/>
    <cellStyle name="Normal 3 3 8 2 2 10 3" xfId="36048" xr:uid="{00000000-0005-0000-0000-0000C78C0000}"/>
    <cellStyle name="Normal 3 3 8 2 2 11" xfId="36049" xr:uid="{00000000-0005-0000-0000-0000C88C0000}"/>
    <cellStyle name="Normal 3 3 8 2 2 11 2" xfId="36050" xr:uid="{00000000-0005-0000-0000-0000C98C0000}"/>
    <cellStyle name="Normal 3 3 8 2 2 11 3" xfId="36051" xr:uid="{00000000-0005-0000-0000-0000CA8C0000}"/>
    <cellStyle name="Normal 3 3 8 2 2 12" xfId="36052" xr:uid="{00000000-0005-0000-0000-0000CB8C0000}"/>
    <cellStyle name="Normal 3 3 8 2 2 12 2" xfId="36053" xr:uid="{00000000-0005-0000-0000-0000CC8C0000}"/>
    <cellStyle name="Normal 3 3 8 2 2 12 3" xfId="36054" xr:uid="{00000000-0005-0000-0000-0000CD8C0000}"/>
    <cellStyle name="Normal 3 3 8 2 2 13" xfId="36055" xr:uid="{00000000-0005-0000-0000-0000CE8C0000}"/>
    <cellStyle name="Normal 3 3 8 2 2 13 2" xfId="36056" xr:uid="{00000000-0005-0000-0000-0000CF8C0000}"/>
    <cellStyle name="Normal 3 3 8 2 2 13 3" xfId="36057" xr:uid="{00000000-0005-0000-0000-0000D08C0000}"/>
    <cellStyle name="Normal 3 3 8 2 2 14" xfId="36058" xr:uid="{00000000-0005-0000-0000-0000D18C0000}"/>
    <cellStyle name="Normal 3 3 8 2 2 14 2" xfId="36059" xr:uid="{00000000-0005-0000-0000-0000D28C0000}"/>
    <cellStyle name="Normal 3 3 8 2 2 14 3" xfId="36060" xr:uid="{00000000-0005-0000-0000-0000D38C0000}"/>
    <cellStyle name="Normal 3 3 8 2 2 15" xfId="36061" xr:uid="{00000000-0005-0000-0000-0000D48C0000}"/>
    <cellStyle name="Normal 3 3 8 2 2 16" xfId="36062" xr:uid="{00000000-0005-0000-0000-0000D58C0000}"/>
    <cellStyle name="Normal 3 3 8 2 2 2" xfId="36063" xr:uid="{00000000-0005-0000-0000-0000D68C0000}"/>
    <cellStyle name="Normal 3 3 8 2 2 2 2" xfId="36064" xr:uid="{00000000-0005-0000-0000-0000D78C0000}"/>
    <cellStyle name="Normal 3 3 8 2 2 2 3" xfId="36065" xr:uid="{00000000-0005-0000-0000-0000D88C0000}"/>
    <cellStyle name="Normal 3 3 8 2 2 3" xfId="36066" xr:uid="{00000000-0005-0000-0000-0000D98C0000}"/>
    <cellStyle name="Normal 3 3 8 2 2 3 2" xfId="36067" xr:uid="{00000000-0005-0000-0000-0000DA8C0000}"/>
    <cellStyle name="Normal 3 3 8 2 2 3 3" xfId="36068" xr:uid="{00000000-0005-0000-0000-0000DB8C0000}"/>
    <cellStyle name="Normal 3 3 8 2 2 4" xfId="36069" xr:uid="{00000000-0005-0000-0000-0000DC8C0000}"/>
    <cellStyle name="Normal 3 3 8 2 2 4 2" xfId="36070" xr:uid="{00000000-0005-0000-0000-0000DD8C0000}"/>
    <cellStyle name="Normal 3 3 8 2 2 4 3" xfId="36071" xr:uid="{00000000-0005-0000-0000-0000DE8C0000}"/>
    <cellStyle name="Normal 3 3 8 2 2 5" xfId="36072" xr:uid="{00000000-0005-0000-0000-0000DF8C0000}"/>
    <cellStyle name="Normal 3 3 8 2 2 5 2" xfId="36073" xr:uid="{00000000-0005-0000-0000-0000E08C0000}"/>
    <cellStyle name="Normal 3 3 8 2 2 5 3" xfId="36074" xr:uid="{00000000-0005-0000-0000-0000E18C0000}"/>
    <cellStyle name="Normal 3 3 8 2 2 6" xfId="36075" xr:uid="{00000000-0005-0000-0000-0000E28C0000}"/>
    <cellStyle name="Normal 3 3 8 2 2 6 2" xfId="36076" xr:uid="{00000000-0005-0000-0000-0000E38C0000}"/>
    <cellStyle name="Normal 3 3 8 2 2 6 3" xfId="36077" xr:uid="{00000000-0005-0000-0000-0000E48C0000}"/>
    <cellStyle name="Normal 3 3 8 2 2 7" xfId="36078" xr:uid="{00000000-0005-0000-0000-0000E58C0000}"/>
    <cellStyle name="Normal 3 3 8 2 2 7 2" xfId="36079" xr:uid="{00000000-0005-0000-0000-0000E68C0000}"/>
    <cellStyle name="Normal 3 3 8 2 2 7 3" xfId="36080" xr:uid="{00000000-0005-0000-0000-0000E78C0000}"/>
    <cellStyle name="Normal 3 3 8 2 2 8" xfId="36081" xr:uid="{00000000-0005-0000-0000-0000E88C0000}"/>
    <cellStyle name="Normal 3 3 8 2 2 8 2" xfId="36082" xr:uid="{00000000-0005-0000-0000-0000E98C0000}"/>
    <cellStyle name="Normal 3 3 8 2 2 8 3" xfId="36083" xr:uid="{00000000-0005-0000-0000-0000EA8C0000}"/>
    <cellStyle name="Normal 3 3 8 2 2 9" xfId="36084" xr:uid="{00000000-0005-0000-0000-0000EB8C0000}"/>
    <cellStyle name="Normal 3 3 8 2 2 9 2" xfId="36085" xr:uid="{00000000-0005-0000-0000-0000EC8C0000}"/>
    <cellStyle name="Normal 3 3 8 2 2 9 3" xfId="36086" xr:uid="{00000000-0005-0000-0000-0000ED8C0000}"/>
    <cellStyle name="Normal 3 3 8 2 3" xfId="36087" xr:uid="{00000000-0005-0000-0000-0000EE8C0000}"/>
    <cellStyle name="Normal 3 3 8 2 3 2" xfId="36088" xr:uid="{00000000-0005-0000-0000-0000EF8C0000}"/>
    <cellStyle name="Normal 3 3 8 2 3 3" xfId="36089" xr:uid="{00000000-0005-0000-0000-0000F08C0000}"/>
    <cellStyle name="Normal 3 3 8 2 4" xfId="36090" xr:uid="{00000000-0005-0000-0000-0000F18C0000}"/>
    <cellStyle name="Normal 3 3 8 2 4 2" xfId="36091" xr:uid="{00000000-0005-0000-0000-0000F28C0000}"/>
    <cellStyle name="Normal 3 3 8 2 4 3" xfId="36092" xr:uid="{00000000-0005-0000-0000-0000F38C0000}"/>
    <cellStyle name="Normal 3 3 8 2 5" xfId="36093" xr:uid="{00000000-0005-0000-0000-0000F48C0000}"/>
    <cellStyle name="Normal 3 3 8 2 5 2" xfId="36094" xr:uid="{00000000-0005-0000-0000-0000F58C0000}"/>
    <cellStyle name="Normal 3 3 8 2 5 3" xfId="36095" xr:uid="{00000000-0005-0000-0000-0000F68C0000}"/>
    <cellStyle name="Normal 3 3 8 2 6" xfId="36096" xr:uid="{00000000-0005-0000-0000-0000F78C0000}"/>
    <cellStyle name="Normal 3 3 8 2 6 2" xfId="36097" xr:uid="{00000000-0005-0000-0000-0000F88C0000}"/>
    <cellStyle name="Normal 3 3 8 2 6 3" xfId="36098" xr:uid="{00000000-0005-0000-0000-0000F98C0000}"/>
    <cellStyle name="Normal 3 3 8 2 7" xfId="36099" xr:uid="{00000000-0005-0000-0000-0000FA8C0000}"/>
    <cellStyle name="Normal 3 3 8 2 7 2" xfId="36100" xr:uid="{00000000-0005-0000-0000-0000FB8C0000}"/>
    <cellStyle name="Normal 3 3 8 2 7 3" xfId="36101" xr:uid="{00000000-0005-0000-0000-0000FC8C0000}"/>
    <cellStyle name="Normal 3 3 8 2 8" xfId="36102" xr:uid="{00000000-0005-0000-0000-0000FD8C0000}"/>
    <cellStyle name="Normal 3 3 8 2 8 2" xfId="36103" xr:uid="{00000000-0005-0000-0000-0000FE8C0000}"/>
    <cellStyle name="Normal 3 3 8 2 8 3" xfId="36104" xr:uid="{00000000-0005-0000-0000-0000FF8C0000}"/>
    <cellStyle name="Normal 3 3 8 2 9" xfId="36105" xr:uid="{00000000-0005-0000-0000-0000008D0000}"/>
    <cellStyle name="Normal 3 3 8 2 9 2" xfId="36106" xr:uid="{00000000-0005-0000-0000-0000018D0000}"/>
    <cellStyle name="Normal 3 3 8 2 9 3" xfId="36107" xr:uid="{00000000-0005-0000-0000-0000028D0000}"/>
    <cellStyle name="Normal 3 3 8 20" xfId="36108" xr:uid="{00000000-0005-0000-0000-0000038D0000}"/>
    <cellStyle name="Normal 3 3 8 20 2" xfId="36109" xr:uid="{00000000-0005-0000-0000-0000048D0000}"/>
    <cellStyle name="Normal 3 3 8 20 3" xfId="36110" xr:uid="{00000000-0005-0000-0000-0000058D0000}"/>
    <cellStyle name="Normal 3 3 8 21" xfId="36111" xr:uid="{00000000-0005-0000-0000-0000068D0000}"/>
    <cellStyle name="Normal 3 3 8 21 2" xfId="36112" xr:uid="{00000000-0005-0000-0000-0000078D0000}"/>
    <cellStyle name="Normal 3 3 8 21 3" xfId="36113" xr:uid="{00000000-0005-0000-0000-0000088D0000}"/>
    <cellStyle name="Normal 3 3 8 22" xfId="36114" xr:uid="{00000000-0005-0000-0000-0000098D0000}"/>
    <cellStyle name="Normal 3 3 8 22 2" xfId="36115" xr:uid="{00000000-0005-0000-0000-00000A8D0000}"/>
    <cellStyle name="Normal 3 3 8 22 3" xfId="36116" xr:uid="{00000000-0005-0000-0000-00000B8D0000}"/>
    <cellStyle name="Normal 3 3 8 23" xfId="36117" xr:uid="{00000000-0005-0000-0000-00000C8D0000}"/>
    <cellStyle name="Normal 3 3 8 23 2" xfId="36118" xr:uid="{00000000-0005-0000-0000-00000D8D0000}"/>
    <cellStyle name="Normal 3 3 8 23 3" xfId="36119" xr:uid="{00000000-0005-0000-0000-00000E8D0000}"/>
    <cellStyle name="Normal 3 3 8 24" xfId="36120" xr:uid="{00000000-0005-0000-0000-00000F8D0000}"/>
    <cellStyle name="Normal 3 3 8 25" xfId="36121" xr:uid="{00000000-0005-0000-0000-0000108D0000}"/>
    <cellStyle name="Normal 3 3 8 3" xfId="36122" xr:uid="{00000000-0005-0000-0000-0000118D0000}"/>
    <cellStyle name="Normal 3 3 8 3 10" xfId="36123" xr:uid="{00000000-0005-0000-0000-0000128D0000}"/>
    <cellStyle name="Normal 3 3 8 3 10 2" xfId="36124" xr:uid="{00000000-0005-0000-0000-0000138D0000}"/>
    <cellStyle name="Normal 3 3 8 3 10 3" xfId="36125" xr:uid="{00000000-0005-0000-0000-0000148D0000}"/>
    <cellStyle name="Normal 3 3 8 3 11" xfId="36126" xr:uid="{00000000-0005-0000-0000-0000158D0000}"/>
    <cellStyle name="Normal 3 3 8 3 11 2" xfId="36127" xr:uid="{00000000-0005-0000-0000-0000168D0000}"/>
    <cellStyle name="Normal 3 3 8 3 11 3" xfId="36128" xr:uid="{00000000-0005-0000-0000-0000178D0000}"/>
    <cellStyle name="Normal 3 3 8 3 12" xfId="36129" xr:uid="{00000000-0005-0000-0000-0000188D0000}"/>
    <cellStyle name="Normal 3 3 8 3 12 2" xfId="36130" xr:uid="{00000000-0005-0000-0000-0000198D0000}"/>
    <cellStyle name="Normal 3 3 8 3 12 3" xfId="36131" xr:uid="{00000000-0005-0000-0000-00001A8D0000}"/>
    <cellStyle name="Normal 3 3 8 3 13" xfId="36132" xr:uid="{00000000-0005-0000-0000-00001B8D0000}"/>
    <cellStyle name="Normal 3 3 8 3 13 2" xfId="36133" xr:uid="{00000000-0005-0000-0000-00001C8D0000}"/>
    <cellStyle name="Normal 3 3 8 3 13 3" xfId="36134" xr:uid="{00000000-0005-0000-0000-00001D8D0000}"/>
    <cellStyle name="Normal 3 3 8 3 14" xfId="36135" xr:uid="{00000000-0005-0000-0000-00001E8D0000}"/>
    <cellStyle name="Normal 3 3 8 3 14 2" xfId="36136" xr:uid="{00000000-0005-0000-0000-00001F8D0000}"/>
    <cellStyle name="Normal 3 3 8 3 14 3" xfId="36137" xr:uid="{00000000-0005-0000-0000-0000208D0000}"/>
    <cellStyle name="Normal 3 3 8 3 15" xfId="36138" xr:uid="{00000000-0005-0000-0000-0000218D0000}"/>
    <cellStyle name="Normal 3 3 8 3 15 2" xfId="36139" xr:uid="{00000000-0005-0000-0000-0000228D0000}"/>
    <cellStyle name="Normal 3 3 8 3 15 3" xfId="36140" xr:uid="{00000000-0005-0000-0000-0000238D0000}"/>
    <cellStyle name="Normal 3 3 8 3 16" xfId="36141" xr:uid="{00000000-0005-0000-0000-0000248D0000}"/>
    <cellStyle name="Normal 3 3 8 3 17" xfId="36142" xr:uid="{00000000-0005-0000-0000-0000258D0000}"/>
    <cellStyle name="Normal 3 3 8 3 2" xfId="36143" xr:uid="{00000000-0005-0000-0000-0000268D0000}"/>
    <cellStyle name="Normal 3 3 8 3 2 10" xfId="36144" xr:uid="{00000000-0005-0000-0000-0000278D0000}"/>
    <cellStyle name="Normal 3 3 8 3 2 10 2" xfId="36145" xr:uid="{00000000-0005-0000-0000-0000288D0000}"/>
    <cellStyle name="Normal 3 3 8 3 2 10 3" xfId="36146" xr:uid="{00000000-0005-0000-0000-0000298D0000}"/>
    <cellStyle name="Normal 3 3 8 3 2 11" xfId="36147" xr:uid="{00000000-0005-0000-0000-00002A8D0000}"/>
    <cellStyle name="Normal 3 3 8 3 2 11 2" xfId="36148" xr:uid="{00000000-0005-0000-0000-00002B8D0000}"/>
    <cellStyle name="Normal 3 3 8 3 2 11 3" xfId="36149" xr:uid="{00000000-0005-0000-0000-00002C8D0000}"/>
    <cellStyle name="Normal 3 3 8 3 2 12" xfId="36150" xr:uid="{00000000-0005-0000-0000-00002D8D0000}"/>
    <cellStyle name="Normal 3 3 8 3 2 12 2" xfId="36151" xr:uid="{00000000-0005-0000-0000-00002E8D0000}"/>
    <cellStyle name="Normal 3 3 8 3 2 12 3" xfId="36152" xr:uid="{00000000-0005-0000-0000-00002F8D0000}"/>
    <cellStyle name="Normal 3 3 8 3 2 13" xfId="36153" xr:uid="{00000000-0005-0000-0000-0000308D0000}"/>
    <cellStyle name="Normal 3 3 8 3 2 13 2" xfId="36154" xr:uid="{00000000-0005-0000-0000-0000318D0000}"/>
    <cellStyle name="Normal 3 3 8 3 2 13 3" xfId="36155" xr:uid="{00000000-0005-0000-0000-0000328D0000}"/>
    <cellStyle name="Normal 3 3 8 3 2 14" xfId="36156" xr:uid="{00000000-0005-0000-0000-0000338D0000}"/>
    <cellStyle name="Normal 3 3 8 3 2 14 2" xfId="36157" xr:uid="{00000000-0005-0000-0000-0000348D0000}"/>
    <cellStyle name="Normal 3 3 8 3 2 14 3" xfId="36158" xr:uid="{00000000-0005-0000-0000-0000358D0000}"/>
    <cellStyle name="Normal 3 3 8 3 2 15" xfId="36159" xr:uid="{00000000-0005-0000-0000-0000368D0000}"/>
    <cellStyle name="Normal 3 3 8 3 2 16" xfId="36160" xr:uid="{00000000-0005-0000-0000-0000378D0000}"/>
    <cellStyle name="Normal 3 3 8 3 2 2" xfId="36161" xr:uid="{00000000-0005-0000-0000-0000388D0000}"/>
    <cellStyle name="Normal 3 3 8 3 2 2 2" xfId="36162" xr:uid="{00000000-0005-0000-0000-0000398D0000}"/>
    <cellStyle name="Normal 3 3 8 3 2 2 3" xfId="36163" xr:uid="{00000000-0005-0000-0000-00003A8D0000}"/>
    <cellStyle name="Normal 3 3 8 3 2 3" xfId="36164" xr:uid="{00000000-0005-0000-0000-00003B8D0000}"/>
    <cellStyle name="Normal 3 3 8 3 2 3 2" xfId="36165" xr:uid="{00000000-0005-0000-0000-00003C8D0000}"/>
    <cellStyle name="Normal 3 3 8 3 2 3 3" xfId="36166" xr:uid="{00000000-0005-0000-0000-00003D8D0000}"/>
    <cellStyle name="Normal 3 3 8 3 2 4" xfId="36167" xr:uid="{00000000-0005-0000-0000-00003E8D0000}"/>
    <cellStyle name="Normal 3 3 8 3 2 4 2" xfId="36168" xr:uid="{00000000-0005-0000-0000-00003F8D0000}"/>
    <cellStyle name="Normal 3 3 8 3 2 4 3" xfId="36169" xr:uid="{00000000-0005-0000-0000-0000408D0000}"/>
    <cellStyle name="Normal 3 3 8 3 2 5" xfId="36170" xr:uid="{00000000-0005-0000-0000-0000418D0000}"/>
    <cellStyle name="Normal 3 3 8 3 2 5 2" xfId="36171" xr:uid="{00000000-0005-0000-0000-0000428D0000}"/>
    <cellStyle name="Normal 3 3 8 3 2 5 3" xfId="36172" xr:uid="{00000000-0005-0000-0000-0000438D0000}"/>
    <cellStyle name="Normal 3 3 8 3 2 6" xfId="36173" xr:uid="{00000000-0005-0000-0000-0000448D0000}"/>
    <cellStyle name="Normal 3 3 8 3 2 6 2" xfId="36174" xr:uid="{00000000-0005-0000-0000-0000458D0000}"/>
    <cellStyle name="Normal 3 3 8 3 2 6 3" xfId="36175" xr:uid="{00000000-0005-0000-0000-0000468D0000}"/>
    <cellStyle name="Normal 3 3 8 3 2 7" xfId="36176" xr:uid="{00000000-0005-0000-0000-0000478D0000}"/>
    <cellStyle name="Normal 3 3 8 3 2 7 2" xfId="36177" xr:uid="{00000000-0005-0000-0000-0000488D0000}"/>
    <cellStyle name="Normal 3 3 8 3 2 7 3" xfId="36178" xr:uid="{00000000-0005-0000-0000-0000498D0000}"/>
    <cellStyle name="Normal 3 3 8 3 2 8" xfId="36179" xr:uid="{00000000-0005-0000-0000-00004A8D0000}"/>
    <cellStyle name="Normal 3 3 8 3 2 8 2" xfId="36180" xr:uid="{00000000-0005-0000-0000-00004B8D0000}"/>
    <cellStyle name="Normal 3 3 8 3 2 8 3" xfId="36181" xr:uid="{00000000-0005-0000-0000-00004C8D0000}"/>
    <cellStyle name="Normal 3 3 8 3 2 9" xfId="36182" xr:uid="{00000000-0005-0000-0000-00004D8D0000}"/>
    <cellStyle name="Normal 3 3 8 3 2 9 2" xfId="36183" xr:uid="{00000000-0005-0000-0000-00004E8D0000}"/>
    <cellStyle name="Normal 3 3 8 3 2 9 3" xfId="36184" xr:uid="{00000000-0005-0000-0000-00004F8D0000}"/>
    <cellStyle name="Normal 3 3 8 3 3" xfId="36185" xr:uid="{00000000-0005-0000-0000-0000508D0000}"/>
    <cellStyle name="Normal 3 3 8 3 3 2" xfId="36186" xr:uid="{00000000-0005-0000-0000-0000518D0000}"/>
    <cellStyle name="Normal 3 3 8 3 3 3" xfId="36187" xr:uid="{00000000-0005-0000-0000-0000528D0000}"/>
    <cellStyle name="Normal 3 3 8 3 4" xfId="36188" xr:uid="{00000000-0005-0000-0000-0000538D0000}"/>
    <cellStyle name="Normal 3 3 8 3 4 2" xfId="36189" xr:uid="{00000000-0005-0000-0000-0000548D0000}"/>
    <cellStyle name="Normal 3 3 8 3 4 3" xfId="36190" xr:uid="{00000000-0005-0000-0000-0000558D0000}"/>
    <cellStyle name="Normal 3 3 8 3 5" xfId="36191" xr:uid="{00000000-0005-0000-0000-0000568D0000}"/>
    <cellStyle name="Normal 3 3 8 3 5 2" xfId="36192" xr:uid="{00000000-0005-0000-0000-0000578D0000}"/>
    <cellStyle name="Normal 3 3 8 3 5 3" xfId="36193" xr:uid="{00000000-0005-0000-0000-0000588D0000}"/>
    <cellStyle name="Normal 3 3 8 3 6" xfId="36194" xr:uid="{00000000-0005-0000-0000-0000598D0000}"/>
    <cellStyle name="Normal 3 3 8 3 6 2" xfId="36195" xr:uid="{00000000-0005-0000-0000-00005A8D0000}"/>
    <cellStyle name="Normal 3 3 8 3 6 3" xfId="36196" xr:uid="{00000000-0005-0000-0000-00005B8D0000}"/>
    <cellStyle name="Normal 3 3 8 3 7" xfId="36197" xr:uid="{00000000-0005-0000-0000-00005C8D0000}"/>
    <cellStyle name="Normal 3 3 8 3 7 2" xfId="36198" xr:uid="{00000000-0005-0000-0000-00005D8D0000}"/>
    <cellStyle name="Normal 3 3 8 3 7 3" xfId="36199" xr:uid="{00000000-0005-0000-0000-00005E8D0000}"/>
    <cellStyle name="Normal 3 3 8 3 8" xfId="36200" xr:uid="{00000000-0005-0000-0000-00005F8D0000}"/>
    <cellStyle name="Normal 3 3 8 3 8 2" xfId="36201" xr:uid="{00000000-0005-0000-0000-0000608D0000}"/>
    <cellStyle name="Normal 3 3 8 3 8 3" xfId="36202" xr:uid="{00000000-0005-0000-0000-0000618D0000}"/>
    <cellStyle name="Normal 3 3 8 3 9" xfId="36203" xr:uid="{00000000-0005-0000-0000-0000628D0000}"/>
    <cellStyle name="Normal 3 3 8 3 9 2" xfId="36204" xr:uid="{00000000-0005-0000-0000-0000638D0000}"/>
    <cellStyle name="Normal 3 3 8 3 9 3" xfId="36205" xr:uid="{00000000-0005-0000-0000-0000648D0000}"/>
    <cellStyle name="Normal 3 3 8 4" xfId="36206" xr:uid="{00000000-0005-0000-0000-0000658D0000}"/>
    <cellStyle name="Normal 3 3 8 4 10" xfId="36207" xr:uid="{00000000-0005-0000-0000-0000668D0000}"/>
    <cellStyle name="Normal 3 3 8 4 10 2" xfId="36208" xr:uid="{00000000-0005-0000-0000-0000678D0000}"/>
    <cellStyle name="Normal 3 3 8 4 10 3" xfId="36209" xr:uid="{00000000-0005-0000-0000-0000688D0000}"/>
    <cellStyle name="Normal 3 3 8 4 11" xfId="36210" xr:uid="{00000000-0005-0000-0000-0000698D0000}"/>
    <cellStyle name="Normal 3 3 8 4 11 2" xfId="36211" xr:uid="{00000000-0005-0000-0000-00006A8D0000}"/>
    <cellStyle name="Normal 3 3 8 4 11 3" xfId="36212" xr:uid="{00000000-0005-0000-0000-00006B8D0000}"/>
    <cellStyle name="Normal 3 3 8 4 12" xfId="36213" xr:uid="{00000000-0005-0000-0000-00006C8D0000}"/>
    <cellStyle name="Normal 3 3 8 4 12 2" xfId="36214" xr:uid="{00000000-0005-0000-0000-00006D8D0000}"/>
    <cellStyle name="Normal 3 3 8 4 12 3" xfId="36215" xr:uid="{00000000-0005-0000-0000-00006E8D0000}"/>
    <cellStyle name="Normal 3 3 8 4 13" xfId="36216" xr:uid="{00000000-0005-0000-0000-00006F8D0000}"/>
    <cellStyle name="Normal 3 3 8 4 13 2" xfId="36217" xr:uid="{00000000-0005-0000-0000-0000708D0000}"/>
    <cellStyle name="Normal 3 3 8 4 13 3" xfId="36218" xr:uid="{00000000-0005-0000-0000-0000718D0000}"/>
    <cellStyle name="Normal 3 3 8 4 14" xfId="36219" xr:uid="{00000000-0005-0000-0000-0000728D0000}"/>
    <cellStyle name="Normal 3 3 8 4 14 2" xfId="36220" xr:uid="{00000000-0005-0000-0000-0000738D0000}"/>
    <cellStyle name="Normal 3 3 8 4 14 3" xfId="36221" xr:uid="{00000000-0005-0000-0000-0000748D0000}"/>
    <cellStyle name="Normal 3 3 8 4 15" xfId="36222" xr:uid="{00000000-0005-0000-0000-0000758D0000}"/>
    <cellStyle name="Normal 3 3 8 4 15 2" xfId="36223" xr:uid="{00000000-0005-0000-0000-0000768D0000}"/>
    <cellStyle name="Normal 3 3 8 4 15 3" xfId="36224" xr:uid="{00000000-0005-0000-0000-0000778D0000}"/>
    <cellStyle name="Normal 3 3 8 4 16" xfId="36225" xr:uid="{00000000-0005-0000-0000-0000788D0000}"/>
    <cellStyle name="Normal 3 3 8 4 17" xfId="36226" xr:uid="{00000000-0005-0000-0000-0000798D0000}"/>
    <cellStyle name="Normal 3 3 8 4 2" xfId="36227" xr:uid="{00000000-0005-0000-0000-00007A8D0000}"/>
    <cellStyle name="Normal 3 3 8 4 2 10" xfId="36228" xr:uid="{00000000-0005-0000-0000-00007B8D0000}"/>
    <cellStyle name="Normal 3 3 8 4 2 10 2" xfId="36229" xr:uid="{00000000-0005-0000-0000-00007C8D0000}"/>
    <cellStyle name="Normal 3 3 8 4 2 10 3" xfId="36230" xr:uid="{00000000-0005-0000-0000-00007D8D0000}"/>
    <cellStyle name="Normal 3 3 8 4 2 11" xfId="36231" xr:uid="{00000000-0005-0000-0000-00007E8D0000}"/>
    <cellStyle name="Normal 3 3 8 4 2 11 2" xfId="36232" xr:uid="{00000000-0005-0000-0000-00007F8D0000}"/>
    <cellStyle name="Normal 3 3 8 4 2 11 3" xfId="36233" xr:uid="{00000000-0005-0000-0000-0000808D0000}"/>
    <cellStyle name="Normal 3 3 8 4 2 12" xfId="36234" xr:uid="{00000000-0005-0000-0000-0000818D0000}"/>
    <cellStyle name="Normal 3 3 8 4 2 12 2" xfId="36235" xr:uid="{00000000-0005-0000-0000-0000828D0000}"/>
    <cellStyle name="Normal 3 3 8 4 2 12 3" xfId="36236" xr:uid="{00000000-0005-0000-0000-0000838D0000}"/>
    <cellStyle name="Normal 3 3 8 4 2 13" xfId="36237" xr:uid="{00000000-0005-0000-0000-0000848D0000}"/>
    <cellStyle name="Normal 3 3 8 4 2 13 2" xfId="36238" xr:uid="{00000000-0005-0000-0000-0000858D0000}"/>
    <cellStyle name="Normal 3 3 8 4 2 13 3" xfId="36239" xr:uid="{00000000-0005-0000-0000-0000868D0000}"/>
    <cellStyle name="Normal 3 3 8 4 2 14" xfId="36240" xr:uid="{00000000-0005-0000-0000-0000878D0000}"/>
    <cellStyle name="Normal 3 3 8 4 2 14 2" xfId="36241" xr:uid="{00000000-0005-0000-0000-0000888D0000}"/>
    <cellStyle name="Normal 3 3 8 4 2 14 3" xfId="36242" xr:uid="{00000000-0005-0000-0000-0000898D0000}"/>
    <cellStyle name="Normal 3 3 8 4 2 15" xfId="36243" xr:uid="{00000000-0005-0000-0000-00008A8D0000}"/>
    <cellStyle name="Normal 3 3 8 4 2 16" xfId="36244" xr:uid="{00000000-0005-0000-0000-00008B8D0000}"/>
    <cellStyle name="Normal 3 3 8 4 2 2" xfId="36245" xr:uid="{00000000-0005-0000-0000-00008C8D0000}"/>
    <cellStyle name="Normal 3 3 8 4 2 2 2" xfId="36246" xr:uid="{00000000-0005-0000-0000-00008D8D0000}"/>
    <cellStyle name="Normal 3 3 8 4 2 2 3" xfId="36247" xr:uid="{00000000-0005-0000-0000-00008E8D0000}"/>
    <cellStyle name="Normal 3 3 8 4 2 3" xfId="36248" xr:uid="{00000000-0005-0000-0000-00008F8D0000}"/>
    <cellStyle name="Normal 3 3 8 4 2 3 2" xfId="36249" xr:uid="{00000000-0005-0000-0000-0000908D0000}"/>
    <cellStyle name="Normal 3 3 8 4 2 3 3" xfId="36250" xr:uid="{00000000-0005-0000-0000-0000918D0000}"/>
    <cellStyle name="Normal 3 3 8 4 2 4" xfId="36251" xr:uid="{00000000-0005-0000-0000-0000928D0000}"/>
    <cellStyle name="Normal 3 3 8 4 2 4 2" xfId="36252" xr:uid="{00000000-0005-0000-0000-0000938D0000}"/>
    <cellStyle name="Normal 3 3 8 4 2 4 3" xfId="36253" xr:uid="{00000000-0005-0000-0000-0000948D0000}"/>
    <cellStyle name="Normal 3 3 8 4 2 5" xfId="36254" xr:uid="{00000000-0005-0000-0000-0000958D0000}"/>
    <cellStyle name="Normal 3 3 8 4 2 5 2" xfId="36255" xr:uid="{00000000-0005-0000-0000-0000968D0000}"/>
    <cellStyle name="Normal 3 3 8 4 2 5 3" xfId="36256" xr:uid="{00000000-0005-0000-0000-0000978D0000}"/>
    <cellStyle name="Normal 3 3 8 4 2 6" xfId="36257" xr:uid="{00000000-0005-0000-0000-0000988D0000}"/>
    <cellStyle name="Normal 3 3 8 4 2 6 2" xfId="36258" xr:uid="{00000000-0005-0000-0000-0000998D0000}"/>
    <cellStyle name="Normal 3 3 8 4 2 6 3" xfId="36259" xr:uid="{00000000-0005-0000-0000-00009A8D0000}"/>
    <cellStyle name="Normal 3 3 8 4 2 7" xfId="36260" xr:uid="{00000000-0005-0000-0000-00009B8D0000}"/>
    <cellStyle name="Normal 3 3 8 4 2 7 2" xfId="36261" xr:uid="{00000000-0005-0000-0000-00009C8D0000}"/>
    <cellStyle name="Normal 3 3 8 4 2 7 3" xfId="36262" xr:uid="{00000000-0005-0000-0000-00009D8D0000}"/>
    <cellStyle name="Normal 3 3 8 4 2 8" xfId="36263" xr:uid="{00000000-0005-0000-0000-00009E8D0000}"/>
    <cellStyle name="Normal 3 3 8 4 2 8 2" xfId="36264" xr:uid="{00000000-0005-0000-0000-00009F8D0000}"/>
    <cellStyle name="Normal 3 3 8 4 2 8 3" xfId="36265" xr:uid="{00000000-0005-0000-0000-0000A08D0000}"/>
    <cellStyle name="Normal 3 3 8 4 2 9" xfId="36266" xr:uid="{00000000-0005-0000-0000-0000A18D0000}"/>
    <cellStyle name="Normal 3 3 8 4 2 9 2" xfId="36267" xr:uid="{00000000-0005-0000-0000-0000A28D0000}"/>
    <cellStyle name="Normal 3 3 8 4 2 9 3" xfId="36268" xr:uid="{00000000-0005-0000-0000-0000A38D0000}"/>
    <cellStyle name="Normal 3 3 8 4 3" xfId="36269" xr:uid="{00000000-0005-0000-0000-0000A48D0000}"/>
    <cellStyle name="Normal 3 3 8 4 3 2" xfId="36270" xr:uid="{00000000-0005-0000-0000-0000A58D0000}"/>
    <cellStyle name="Normal 3 3 8 4 3 3" xfId="36271" xr:uid="{00000000-0005-0000-0000-0000A68D0000}"/>
    <cellStyle name="Normal 3 3 8 4 4" xfId="36272" xr:uid="{00000000-0005-0000-0000-0000A78D0000}"/>
    <cellStyle name="Normal 3 3 8 4 4 2" xfId="36273" xr:uid="{00000000-0005-0000-0000-0000A88D0000}"/>
    <cellStyle name="Normal 3 3 8 4 4 3" xfId="36274" xr:uid="{00000000-0005-0000-0000-0000A98D0000}"/>
    <cellStyle name="Normal 3 3 8 4 5" xfId="36275" xr:uid="{00000000-0005-0000-0000-0000AA8D0000}"/>
    <cellStyle name="Normal 3 3 8 4 5 2" xfId="36276" xr:uid="{00000000-0005-0000-0000-0000AB8D0000}"/>
    <cellStyle name="Normal 3 3 8 4 5 3" xfId="36277" xr:uid="{00000000-0005-0000-0000-0000AC8D0000}"/>
    <cellStyle name="Normal 3 3 8 4 6" xfId="36278" xr:uid="{00000000-0005-0000-0000-0000AD8D0000}"/>
    <cellStyle name="Normal 3 3 8 4 6 2" xfId="36279" xr:uid="{00000000-0005-0000-0000-0000AE8D0000}"/>
    <cellStyle name="Normal 3 3 8 4 6 3" xfId="36280" xr:uid="{00000000-0005-0000-0000-0000AF8D0000}"/>
    <cellStyle name="Normal 3 3 8 4 7" xfId="36281" xr:uid="{00000000-0005-0000-0000-0000B08D0000}"/>
    <cellStyle name="Normal 3 3 8 4 7 2" xfId="36282" xr:uid="{00000000-0005-0000-0000-0000B18D0000}"/>
    <cellStyle name="Normal 3 3 8 4 7 3" xfId="36283" xr:uid="{00000000-0005-0000-0000-0000B28D0000}"/>
    <cellStyle name="Normal 3 3 8 4 8" xfId="36284" xr:uid="{00000000-0005-0000-0000-0000B38D0000}"/>
    <cellStyle name="Normal 3 3 8 4 8 2" xfId="36285" xr:uid="{00000000-0005-0000-0000-0000B48D0000}"/>
    <cellStyle name="Normal 3 3 8 4 8 3" xfId="36286" xr:uid="{00000000-0005-0000-0000-0000B58D0000}"/>
    <cellStyle name="Normal 3 3 8 4 9" xfId="36287" xr:uid="{00000000-0005-0000-0000-0000B68D0000}"/>
    <cellStyle name="Normal 3 3 8 4 9 2" xfId="36288" xr:uid="{00000000-0005-0000-0000-0000B78D0000}"/>
    <cellStyle name="Normal 3 3 8 4 9 3" xfId="36289" xr:uid="{00000000-0005-0000-0000-0000B88D0000}"/>
    <cellStyle name="Normal 3 3 8 5" xfId="36290" xr:uid="{00000000-0005-0000-0000-0000B98D0000}"/>
    <cellStyle name="Normal 3 3 8 5 10" xfId="36291" xr:uid="{00000000-0005-0000-0000-0000BA8D0000}"/>
    <cellStyle name="Normal 3 3 8 5 10 2" xfId="36292" xr:uid="{00000000-0005-0000-0000-0000BB8D0000}"/>
    <cellStyle name="Normal 3 3 8 5 10 3" xfId="36293" xr:uid="{00000000-0005-0000-0000-0000BC8D0000}"/>
    <cellStyle name="Normal 3 3 8 5 11" xfId="36294" xr:uid="{00000000-0005-0000-0000-0000BD8D0000}"/>
    <cellStyle name="Normal 3 3 8 5 11 2" xfId="36295" xr:uid="{00000000-0005-0000-0000-0000BE8D0000}"/>
    <cellStyle name="Normal 3 3 8 5 11 3" xfId="36296" xr:uid="{00000000-0005-0000-0000-0000BF8D0000}"/>
    <cellStyle name="Normal 3 3 8 5 12" xfId="36297" xr:uid="{00000000-0005-0000-0000-0000C08D0000}"/>
    <cellStyle name="Normal 3 3 8 5 12 2" xfId="36298" xr:uid="{00000000-0005-0000-0000-0000C18D0000}"/>
    <cellStyle name="Normal 3 3 8 5 12 3" xfId="36299" xr:uid="{00000000-0005-0000-0000-0000C28D0000}"/>
    <cellStyle name="Normal 3 3 8 5 13" xfId="36300" xr:uid="{00000000-0005-0000-0000-0000C38D0000}"/>
    <cellStyle name="Normal 3 3 8 5 13 2" xfId="36301" xr:uid="{00000000-0005-0000-0000-0000C48D0000}"/>
    <cellStyle name="Normal 3 3 8 5 13 3" xfId="36302" xr:uid="{00000000-0005-0000-0000-0000C58D0000}"/>
    <cellStyle name="Normal 3 3 8 5 14" xfId="36303" xr:uid="{00000000-0005-0000-0000-0000C68D0000}"/>
    <cellStyle name="Normal 3 3 8 5 14 2" xfId="36304" xr:uid="{00000000-0005-0000-0000-0000C78D0000}"/>
    <cellStyle name="Normal 3 3 8 5 14 3" xfId="36305" xr:uid="{00000000-0005-0000-0000-0000C88D0000}"/>
    <cellStyle name="Normal 3 3 8 5 15" xfId="36306" xr:uid="{00000000-0005-0000-0000-0000C98D0000}"/>
    <cellStyle name="Normal 3 3 8 5 16" xfId="36307" xr:uid="{00000000-0005-0000-0000-0000CA8D0000}"/>
    <cellStyle name="Normal 3 3 8 5 2" xfId="36308" xr:uid="{00000000-0005-0000-0000-0000CB8D0000}"/>
    <cellStyle name="Normal 3 3 8 5 2 2" xfId="36309" xr:uid="{00000000-0005-0000-0000-0000CC8D0000}"/>
    <cellStyle name="Normal 3 3 8 5 2 3" xfId="36310" xr:uid="{00000000-0005-0000-0000-0000CD8D0000}"/>
    <cellStyle name="Normal 3 3 8 5 3" xfId="36311" xr:uid="{00000000-0005-0000-0000-0000CE8D0000}"/>
    <cellStyle name="Normal 3 3 8 5 3 2" xfId="36312" xr:uid="{00000000-0005-0000-0000-0000CF8D0000}"/>
    <cellStyle name="Normal 3 3 8 5 3 3" xfId="36313" xr:uid="{00000000-0005-0000-0000-0000D08D0000}"/>
    <cellStyle name="Normal 3 3 8 5 4" xfId="36314" xr:uid="{00000000-0005-0000-0000-0000D18D0000}"/>
    <cellStyle name="Normal 3 3 8 5 4 2" xfId="36315" xr:uid="{00000000-0005-0000-0000-0000D28D0000}"/>
    <cellStyle name="Normal 3 3 8 5 4 3" xfId="36316" xr:uid="{00000000-0005-0000-0000-0000D38D0000}"/>
    <cellStyle name="Normal 3 3 8 5 5" xfId="36317" xr:uid="{00000000-0005-0000-0000-0000D48D0000}"/>
    <cellStyle name="Normal 3 3 8 5 5 2" xfId="36318" xr:uid="{00000000-0005-0000-0000-0000D58D0000}"/>
    <cellStyle name="Normal 3 3 8 5 5 3" xfId="36319" xr:uid="{00000000-0005-0000-0000-0000D68D0000}"/>
    <cellStyle name="Normal 3 3 8 5 6" xfId="36320" xr:uid="{00000000-0005-0000-0000-0000D78D0000}"/>
    <cellStyle name="Normal 3 3 8 5 6 2" xfId="36321" xr:uid="{00000000-0005-0000-0000-0000D88D0000}"/>
    <cellStyle name="Normal 3 3 8 5 6 3" xfId="36322" xr:uid="{00000000-0005-0000-0000-0000D98D0000}"/>
    <cellStyle name="Normal 3 3 8 5 7" xfId="36323" xr:uid="{00000000-0005-0000-0000-0000DA8D0000}"/>
    <cellStyle name="Normal 3 3 8 5 7 2" xfId="36324" xr:uid="{00000000-0005-0000-0000-0000DB8D0000}"/>
    <cellStyle name="Normal 3 3 8 5 7 3" xfId="36325" xr:uid="{00000000-0005-0000-0000-0000DC8D0000}"/>
    <cellStyle name="Normal 3 3 8 5 8" xfId="36326" xr:uid="{00000000-0005-0000-0000-0000DD8D0000}"/>
    <cellStyle name="Normal 3 3 8 5 8 2" xfId="36327" xr:uid="{00000000-0005-0000-0000-0000DE8D0000}"/>
    <cellStyle name="Normal 3 3 8 5 8 3" xfId="36328" xr:uid="{00000000-0005-0000-0000-0000DF8D0000}"/>
    <cellStyle name="Normal 3 3 8 5 9" xfId="36329" xr:uid="{00000000-0005-0000-0000-0000E08D0000}"/>
    <cellStyle name="Normal 3 3 8 5 9 2" xfId="36330" xr:uid="{00000000-0005-0000-0000-0000E18D0000}"/>
    <cellStyle name="Normal 3 3 8 5 9 3" xfId="36331" xr:uid="{00000000-0005-0000-0000-0000E28D0000}"/>
    <cellStyle name="Normal 3 3 8 6" xfId="36332" xr:uid="{00000000-0005-0000-0000-0000E38D0000}"/>
    <cellStyle name="Normal 3 3 8 6 10" xfId="36333" xr:uid="{00000000-0005-0000-0000-0000E48D0000}"/>
    <cellStyle name="Normal 3 3 8 6 10 2" xfId="36334" xr:uid="{00000000-0005-0000-0000-0000E58D0000}"/>
    <cellStyle name="Normal 3 3 8 6 10 3" xfId="36335" xr:uid="{00000000-0005-0000-0000-0000E68D0000}"/>
    <cellStyle name="Normal 3 3 8 6 11" xfId="36336" xr:uid="{00000000-0005-0000-0000-0000E78D0000}"/>
    <cellStyle name="Normal 3 3 8 6 11 2" xfId="36337" xr:uid="{00000000-0005-0000-0000-0000E88D0000}"/>
    <cellStyle name="Normal 3 3 8 6 11 3" xfId="36338" xr:uid="{00000000-0005-0000-0000-0000E98D0000}"/>
    <cellStyle name="Normal 3 3 8 6 12" xfId="36339" xr:uid="{00000000-0005-0000-0000-0000EA8D0000}"/>
    <cellStyle name="Normal 3 3 8 6 12 2" xfId="36340" xr:uid="{00000000-0005-0000-0000-0000EB8D0000}"/>
    <cellStyle name="Normal 3 3 8 6 12 3" xfId="36341" xr:uid="{00000000-0005-0000-0000-0000EC8D0000}"/>
    <cellStyle name="Normal 3 3 8 6 13" xfId="36342" xr:uid="{00000000-0005-0000-0000-0000ED8D0000}"/>
    <cellStyle name="Normal 3 3 8 6 13 2" xfId="36343" xr:uid="{00000000-0005-0000-0000-0000EE8D0000}"/>
    <cellStyle name="Normal 3 3 8 6 13 3" xfId="36344" xr:uid="{00000000-0005-0000-0000-0000EF8D0000}"/>
    <cellStyle name="Normal 3 3 8 6 14" xfId="36345" xr:uid="{00000000-0005-0000-0000-0000F08D0000}"/>
    <cellStyle name="Normal 3 3 8 6 14 2" xfId="36346" xr:uid="{00000000-0005-0000-0000-0000F18D0000}"/>
    <cellStyle name="Normal 3 3 8 6 14 3" xfId="36347" xr:uid="{00000000-0005-0000-0000-0000F28D0000}"/>
    <cellStyle name="Normal 3 3 8 6 15" xfId="36348" xr:uid="{00000000-0005-0000-0000-0000F38D0000}"/>
    <cellStyle name="Normal 3 3 8 6 16" xfId="36349" xr:uid="{00000000-0005-0000-0000-0000F48D0000}"/>
    <cellStyle name="Normal 3 3 8 6 2" xfId="36350" xr:uid="{00000000-0005-0000-0000-0000F58D0000}"/>
    <cellStyle name="Normal 3 3 8 6 2 2" xfId="36351" xr:uid="{00000000-0005-0000-0000-0000F68D0000}"/>
    <cellStyle name="Normal 3 3 8 6 2 3" xfId="36352" xr:uid="{00000000-0005-0000-0000-0000F78D0000}"/>
    <cellStyle name="Normal 3 3 8 6 3" xfId="36353" xr:uid="{00000000-0005-0000-0000-0000F88D0000}"/>
    <cellStyle name="Normal 3 3 8 6 3 2" xfId="36354" xr:uid="{00000000-0005-0000-0000-0000F98D0000}"/>
    <cellStyle name="Normal 3 3 8 6 3 3" xfId="36355" xr:uid="{00000000-0005-0000-0000-0000FA8D0000}"/>
    <cellStyle name="Normal 3 3 8 6 4" xfId="36356" xr:uid="{00000000-0005-0000-0000-0000FB8D0000}"/>
    <cellStyle name="Normal 3 3 8 6 4 2" xfId="36357" xr:uid="{00000000-0005-0000-0000-0000FC8D0000}"/>
    <cellStyle name="Normal 3 3 8 6 4 3" xfId="36358" xr:uid="{00000000-0005-0000-0000-0000FD8D0000}"/>
    <cellStyle name="Normal 3 3 8 6 5" xfId="36359" xr:uid="{00000000-0005-0000-0000-0000FE8D0000}"/>
    <cellStyle name="Normal 3 3 8 6 5 2" xfId="36360" xr:uid="{00000000-0005-0000-0000-0000FF8D0000}"/>
    <cellStyle name="Normal 3 3 8 6 5 3" xfId="36361" xr:uid="{00000000-0005-0000-0000-0000008E0000}"/>
    <cellStyle name="Normal 3 3 8 6 6" xfId="36362" xr:uid="{00000000-0005-0000-0000-0000018E0000}"/>
    <cellStyle name="Normal 3 3 8 6 6 2" xfId="36363" xr:uid="{00000000-0005-0000-0000-0000028E0000}"/>
    <cellStyle name="Normal 3 3 8 6 6 3" xfId="36364" xr:uid="{00000000-0005-0000-0000-0000038E0000}"/>
    <cellStyle name="Normal 3 3 8 6 7" xfId="36365" xr:uid="{00000000-0005-0000-0000-0000048E0000}"/>
    <cellStyle name="Normal 3 3 8 6 7 2" xfId="36366" xr:uid="{00000000-0005-0000-0000-0000058E0000}"/>
    <cellStyle name="Normal 3 3 8 6 7 3" xfId="36367" xr:uid="{00000000-0005-0000-0000-0000068E0000}"/>
    <cellStyle name="Normal 3 3 8 6 8" xfId="36368" xr:uid="{00000000-0005-0000-0000-0000078E0000}"/>
    <cellStyle name="Normal 3 3 8 6 8 2" xfId="36369" xr:uid="{00000000-0005-0000-0000-0000088E0000}"/>
    <cellStyle name="Normal 3 3 8 6 8 3" xfId="36370" xr:uid="{00000000-0005-0000-0000-0000098E0000}"/>
    <cellStyle name="Normal 3 3 8 6 9" xfId="36371" xr:uid="{00000000-0005-0000-0000-00000A8E0000}"/>
    <cellStyle name="Normal 3 3 8 6 9 2" xfId="36372" xr:uid="{00000000-0005-0000-0000-00000B8E0000}"/>
    <cellStyle name="Normal 3 3 8 6 9 3" xfId="36373" xr:uid="{00000000-0005-0000-0000-00000C8E0000}"/>
    <cellStyle name="Normal 3 3 8 7" xfId="36374" xr:uid="{00000000-0005-0000-0000-00000D8E0000}"/>
    <cellStyle name="Normal 3 3 8 7 10" xfId="36375" xr:uid="{00000000-0005-0000-0000-00000E8E0000}"/>
    <cellStyle name="Normal 3 3 8 7 10 2" xfId="36376" xr:uid="{00000000-0005-0000-0000-00000F8E0000}"/>
    <cellStyle name="Normal 3 3 8 7 10 3" xfId="36377" xr:uid="{00000000-0005-0000-0000-0000108E0000}"/>
    <cellStyle name="Normal 3 3 8 7 11" xfId="36378" xr:uid="{00000000-0005-0000-0000-0000118E0000}"/>
    <cellStyle name="Normal 3 3 8 7 11 2" xfId="36379" xr:uid="{00000000-0005-0000-0000-0000128E0000}"/>
    <cellStyle name="Normal 3 3 8 7 11 3" xfId="36380" xr:uid="{00000000-0005-0000-0000-0000138E0000}"/>
    <cellStyle name="Normal 3 3 8 7 12" xfId="36381" xr:uid="{00000000-0005-0000-0000-0000148E0000}"/>
    <cellStyle name="Normal 3 3 8 7 12 2" xfId="36382" xr:uid="{00000000-0005-0000-0000-0000158E0000}"/>
    <cellStyle name="Normal 3 3 8 7 12 3" xfId="36383" xr:uid="{00000000-0005-0000-0000-0000168E0000}"/>
    <cellStyle name="Normal 3 3 8 7 13" xfId="36384" xr:uid="{00000000-0005-0000-0000-0000178E0000}"/>
    <cellStyle name="Normal 3 3 8 7 13 2" xfId="36385" xr:uid="{00000000-0005-0000-0000-0000188E0000}"/>
    <cellStyle name="Normal 3 3 8 7 13 3" xfId="36386" xr:uid="{00000000-0005-0000-0000-0000198E0000}"/>
    <cellStyle name="Normal 3 3 8 7 14" xfId="36387" xr:uid="{00000000-0005-0000-0000-00001A8E0000}"/>
    <cellStyle name="Normal 3 3 8 7 14 2" xfId="36388" xr:uid="{00000000-0005-0000-0000-00001B8E0000}"/>
    <cellStyle name="Normal 3 3 8 7 14 3" xfId="36389" xr:uid="{00000000-0005-0000-0000-00001C8E0000}"/>
    <cellStyle name="Normal 3 3 8 7 15" xfId="36390" xr:uid="{00000000-0005-0000-0000-00001D8E0000}"/>
    <cellStyle name="Normal 3 3 8 7 16" xfId="36391" xr:uid="{00000000-0005-0000-0000-00001E8E0000}"/>
    <cellStyle name="Normal 3 3 8 7 2" xfId="36392" xr:uid="{00000000-0005-0000-0000-00001F8E0000}"/>
    <cellStyle name="Normal 3 3 8 7 2 2" xfId="36393" xr:uid="{00000000-0005-0000-0000-0000208E0000}"/>
    <cellStyle name="Normal 3 3 8 7 2 3" xfId="36394" xr:uid="{00000000-0005-0000-0000-0000218E0000}"/>
    <cellStyle name="Normal 3 3 8 7 3" xfId="36395" xr:uid="{00000000-0005-0000-0000-0000228E0000}"/>
    <cellStyle name="Normal 3 3 8 7 3 2" xfId="36396" xr:uid="{00000000-0005-0000-0000-0000238E0000}"/>
    <cellStyle name="Normal 3 3 8 7 3 3" xfId="36397" xr:uid="{00000000-0005-0000-0000-0000248E0000}"/>
    <cellStyle name="Normal 3 3 8 7 4" xfId="36398" xr:uid="{00000000-0005-0000-0000-0000258E0000}"/>
    <cellStyle name="Normal 3 3 8 7 4 2" xfId="36399" xr:uid="{00000000-0005-0000-0000-0000268E0000}"/>
    <cellStyle name="Normal 3 3 8 7 4 3" xfId="36400" xr:uid="{00000000-0005-0000-0000-0000278E0000}"/>
    <cellStyle name="Normal 3 3 8 7 5" xfId="36401" xr:uid="{00000000-0005-0000-0000-0000288E0000}"/>
    <cellStyle name="Normal 3 3 8 7 5 2" xfId="36402" xr:uid="{00000000-0005-0000-0000-0000298E0000}"/>
    <cellStyle name="Normal 3 3 8 7 5 3" xfId="36403" xr:uid="{00000000-0005-0000-0000-00002A8E0000}"/>
    <cellStyle name="Normal 3 3 8 7 6" xfId="36404" xr:uid="{00000000-0005-0000-0000-00002B8E0000}"/>
    <cellStyle name="Normal 3 3 8 7 6 2" xfId="36405" xr:uid="{00000000-0005-0000-0000-00002C8E0000}"/>
    <cellStyle name="Normal 3 3 8 7 6 3" xfId="36406" xr:uid="{00000000-0005-0000-0000-00002D8E0000}"/>
    <cellStyle name="Normal 3 3 8 7 7" xfId="36407" xr:uid="{00000000-0005-0000-0000-00002E8E0000}"/>
    <cellStyle name="Normal 3 3 8 7 7 2" xfId="36408" xr:uid="{00000000-0005-0000-0000-00002F8E0000}"/>
    <cellStyle name="Normal 3 3 8 7 7 3" xfId="36409" xr:uid="{00000000-0005-0000-0000-0000308E0000}"/>
    <cellStyle name="Normal 3 3 8 7 8" xfId="36410" xr:uid="{00000000-0005-0000-0000-0000318E0000}"/>
    <cellStyle name="Normal 3 3 8 7 8 2" xfId="36411" xr:uid="{00000000-0005-0000-0000-0000328E0000}"/>
    <cellStyle name="Normal 3 3 8 7 8 3" xfId="36412" xr:uid="{00000000-0005-0000-0000-0000338E0000}"/>
    <cellStyle name="Normal 3 3 8 7 9" xfId="36413" xr:uid="{00000000-0005-0000-0000-0000348E0000}"/>
    <cellStyle name="Normal 3 3 8 7 9 2" xfId="36414" xr:uid="{00000000-0005-0000-0000-0000358E0000}"/>
    <cellStyle name="Normal 3 3 8 7 9 3" xfId="36415" xr:uid="{00000000-0005-0000-0000-0000368E0000}"/>
    <cellStyle name="Normal 3 3 8 8" xfId="36416" xr:uid="{00000000-0005-0000-0000-0000378E0000}"/>
    <cellStyle name="Normal 3 3 8 8 10" xfId="36417" xr:uid="{00000000-0005-0000-0000-0000388E0000}"/>
    <cellStyle name="Normal 3 3 8 8 10 2" xfId="36418" xr:uid="{00000000-0005-0000-0000-0000398E0000}"/>
    <cellStyle name="Normal 3 3 8 8 10 3" xfId="36419" xr:uid="{00000000-0005-0000-0000-00003A8E0000}"/>
    <cellStyle name="Normal 3 3 8 8 11" xfId="36420" xr:uid="{00000000-0005-0000-0000-00003B8E0000}"/>
    <cellStyle name="Normal 3 3 8 8 11 2" xfId="36421" xr:uid="{00000000-0005-0000-0000-00003C8E0000}"/>
    <cellStyle name="Normal 3 3 8 8 11 3" xfId="36422" xr:uid="{00000000-0005-0000-0000-00003D8E0000}"/>
    <cellStyle name="Normal 3 3 8 8 12" xfId="36423" xr:uid="{00000000-0005-0000-0000-00003E8E0000}"/>
    <cellStyle name="Normal 3 3 8 8 12 2" xfId="36424" xr:uid="{00000000-0005-0000-0000-00003F8E0000}"/>
    <cellStyle name="Normal 3 3 8 8 12 3" xfId="36425" xr:uid="{00000000-0005-0000-0000-0000408E0000}"/>
    <cellStyle name="Normal 3 3 8 8 13" xfId="36426" xr:uid="{00000000-0005-0000-0000-0000418E0000}"/>
    <cellStyle name="Normal 3 3 8 8 13 2" xfId="36427" xr:uid="{00000000-0005-0000-0000-0000428E0000}"/>
    <cellStyle name="Normal 3 3 8 8 13 3" xfId="36428" xr:uid="{00000000-0005-0000-0000-0000438E0000}"/>
    <cellStyle name="Normal 3 3 8 8 14" xfId="36429" xr:uid="{00000000-0005-0000-0000-0000448E0000}"/>
    <cellStyle name="Normal 3 3 8 8 14 2" xfId="36430" xr:uid="{00000000-0005-0000-0000-0000458E0000}"/>
    <cellStyle name="Normal 3 3 8 8 14 3" xfId="36431" xr:uid="{00000000-0005-0000-0000-0000468E0000}"/>
    <cellStyle name="Normal 3 3 8 8 15" xfId="36432" xr:uid="{00000000-0005-0000-0000-0000478E0000}"/>
    <cellStyle name="Normal 3 3 8 8 16" xfId="36433" xr:uid="{00000000-0005-0000-0000-0000488E0000}"/>
    <cellStyle name="Normal 3 3 8 8 2" xfId="36434" xr:uid="{00000000-0005-0000-0000-0000498E0000}"/>
    <cellStyle name="Normal 3 3 8 8 2 2" xfId="36435" xr:uid="{00000000-0005-0000-0000-00004A8E0000}"/>
    <cellStyle name="Normal 3 3 8 8 2 3" xfId="36436" xr:uid="{00000000-0005-0000-0000-00004B8E0000}"/>
    <cellStyle name="Normal 3 3 8 8 3" xfId="36437" xr:uid="{00000000-0005-0000-0000-00004C8E0000}"/>
    <cellStyle name="Normal 3 3 8 8 3 2" xfId="36438" xr:uid="{00000000-0005-0000-0000-00004D8E0000}"/>
    <cellStyle name="Normal 3 3 8 8 3 3" xfId="36439" xr:uid="{00000000-0005-0000-0000-00004E8E0000}"/>
    <cellStyle name="Normal 3 3 8 8 4" xfId="36440" xr:uid="{00000000-0005-0000-0000-00004F8E0000}"/>
    <cellStyle name="Normal 3 3 8 8 4 2" xfId="36441" xr:uid="{00000000-0005-0000-0000-0000508E0000}"/>
    <cellStyle name="Normal 3 3 8 8 4 3" xfId="36442" xr:uid="{00000000-0005-0000-0000-0000518E0000}"/>
    <cellStyle name="Normal 3 3 8 8 5" xfId="36443" xr:uid="{00000000-0005-0000-0000-0000528E0000}"/>
    <cellStyle name="Normal 3 3 8 8 5 2" xfId="36444" xr:uid="{00000000-0005-0000-0000-0000538E0000}"/>
    <cellStyle name="Normal 3 3 8 8 5 3" xfId="36445" xr:uid="{00000000-0005-0000-0000-0000548E0000}"/>
    <cellStyle name="Normal 3 3 8 8 6" xfId="36446" xr:uid="{00000000-0005-0000-0000-0000558E0000}"/>
    <cellStyle name="Normal 3 3 8 8 6 2" xfId="36447" xr:uid="{00000000-0005-0000-0000-0000568E0000}"/>
    <cellStyle name="Normal 3 3 8 8 6 3" xfId="36448" xr:uid="{00000000-0005-0000-0000-0000578E0000}"/>
    <cellStyle name="Normal 3 3 8 8 7" xfId="36449" xr:uid="{00000000-0005-0000-0000-0000588E0000}"/>
    <cellStyle name="Normal 3 3 8 8 7 2" xfId="36450" xr:uid="{00000000-0005-0000-0000-0000598E0000}"/>
    <cellStyle name="Normal 3 3 8 8 7 3" xfId="36451" xr:uid="{00000000-0005-0000-0000-00005A8E0000}"/>
    <cellStyle name="Normal 3 3 8 8 8" xfId="36452" xr:uid="{00000000-0005-0000-0000-00005B8E0000}"/>
    <cellStyle name="Normal 3 3 8 8 8 2" xfId="36453" xr:uid="{00000000-0005-0000-0000-00005C8E0000}"/>
    <cellStyle name="Normal 3 3 8 8 8 3" xfId="36454" xr:uid="{00000000-0005-0000-0000-00005D8E0000}"/>
    <cellStyle name="Normal 3 3 8 8 9" xfId="36455" xr:uid="{00000000-0005-0000-0000-00005E8E0000}"/>
    <cellStyle name="Normal 3 3 8 8 9 2" xfId="36456" xr:uid="{00000000-0005-0000-0000-00005F8E0000}"/>
    <cellStyle name="Normal 3 3 8 8 9 3" xfId="36457" xr:uid="{00000000-0005-0000-0000-0000608E0000}"/>
    <cellStyle name="Normal 3 3 8 9" xfId="36458" xr:uid="{00000000-0005-0000-0000-0000618E0000}"/>
    <cellStyle name="Normal 3 3 8 9 10" xfId="36459" xr:uid="{00000000-0005-0000-0000-0000628E0000}"/>
    <cellStyle name="Normal 3 3 8 9 10 2" xfId="36460" xr:uid="{00000000-0005-0000-0000-0000638E0000}"/>
    <cellStyle name="Normal 3 3 8 9 10 3" xfId="36461" xr:uid="{00000000-0005-0000-0000-0000648E0000}"/>
    <cellStyle name="Normal 3 3 8 9 11" xfId="36462" xr:uid="{00000000-0005-0000-0000-0000658E0000}"/>
    <cellStyle name="Normal 3 3 8 9 11 2" xfId="36463" xr:uid="{00000000-0005-0000-0000-0000668E0000}"/>
    <cellStyle name="Normal 3 3 8 9 11 3" xfId="36464" xr:uid="{00000000-0005-0000-0000-0000678E0000}"/>
    <cellStyle name="Normal 3 3 8 9 12" xfId="36465" xr:uid="{00000000-0005-0000-0000-0000688E0000}"/>
    <cellStyle name="Normal 3 3 8 9 12 2" xfId="36466" xr:uid="{00000000-0005-0000-0000-0000698E0000}"/>
    <cellStyle name="Normal 3 3 8 9 12 3" xfId="36467" xr:uid="{00000000-0005-0000-0000-00006A8E0000}"/>
    <cellStyle name="Normal 3 3 8 9 13" xfId="36468" xr:uid="{00000000-0005-0000-0000-00006B8E0000}"/>
    <cellStyle name="Normal 3 3 8 9 13 2" xfId="36469" xr:uid="{00000000-0005-0000-0000-00006C8E0000}"/>
    <cellStyle name="Normal 3 3 8 9 13 3" xfId="36470" xr:uid="{00000000-0005-0000-0000-00006D8E0000}"/>
    <cellStyle name="Normal 3 3 8 9 14" xfId="36471" xr:uid="{00000000-0005-0000-0000-00006E8E0000}"/>
    <cellStyle name="Normal 3 3 8 9 14 2" xfId="36472" xr:uid="{00000000-0005-0000-0000-00006F8E0000}"/>
    <cellStyle name="Normal 3 3 8 9 14 3" xfId="36473" xr:uid="{00000000-0005-0000-0000-0000708E0000}"/>
    <cellStyle name="Normal 3 3 8 9 15" xfId="36474" xr:uid="{00000000-0005-0000-0000-0000718E0000}"/>
    <cellStyle name="Normal 3 3 8 9 16" xfId="36475" xr:uid="{00000000-0005-0000-0000-0000728E0000}"/>
    <cellStyle name="Normal 3 3 8 9 2" xfId="36476" xr:uid="{00000000-0005-0000-0000-0000738E0000}"/>
    <cellStyle name="Normal 3 3 8 9 2 2" xfId="36477" xr:uid="{00000000-0005-0000-0000-0000748E0000}"/>
    <cellStyle name="Normal 3 3 8 9 2 3" xfId="36478" xr:uid="{00000000-0005-0000-0000-0000758E0000}"/>
    <cellStyle name="Normal 3 3 8 9 3" xfId="36479" xr:uid="{00000000-0005-0000-0000-0000768E0000}"/>
    <cellStyle name="Normal 3 3 8 9 3 2" xfId="36480" xr:uid="{00000000-0005-0000-0000-0000778E0000}"/>
    <cellStyle name="Normal 3 3 8 9 3 3" xfId="36481" xr:uid="{00000000-0005-0000-0000-0000788E0000}"/>
    <cellStyle name="Normal 3 3 8 9 4" xfId="36482" xr:uid="{00000000-0005-0000-0000-0000798E0000}"/>
    <cellStyle name="Normal 3 3 8 9 4 2" xfId="36483" xr:uid="{00000000-0005-0000-0000-00007A8E0000}"/>
    <cellStyle name="Normal 3 3 8 9 4 3" xfId="36484" xr:uid="{00000000-0005-0000-0000-00007B8E0000}"/>
    <cellStyle name="Normal 3 3 8 9 5" xfId="36485" xr:uid="{00000000-0005-0000-0000-00007C8E0000}"/>
    <cellStyle name="Normal 3 3 8 9 5 2" xfId="36486" xr:uid="{00000000-0005-0000-0000-00007D8E0000}"/>
    <cellStyle name="Normal 3 3 8 9 5 3" xfId="36487" xr:uid="{00000000-0005-0000-0000-00007E8E0000}"/>
    <cellStyle name="Normal 3 3 8 9 6" xfId="36488" xr:uid="{00000000-0005-0000-0000-00007F8E0000}"/>
    <cellStyle name="Normal 3 3 8 9 6 2" xfId="36489" xr:uid="{00000000-0005-0000-0000-0000808E0000}"/>
    <cellStyle name="Normal 3 3 8 9 6 3" xfId="36490" xr:uid="{00000000-0005-0000-0000-0000818E0000}"/>
    <cellStyle name="Normal 3 3 8 9 7" xfId="36491" xr:uid="{00000000-0005-0000-0000-0000828E0000}"/>
    <cellStyle name="Normal 3 3 8 9 7 2" xfId="36492" xr:uid="{00000000-0005-0000-0000-0000838E0000}"/>
    <cellStyle name="Normal 3 3 8 9 7 3" xfId="36493" xr:uid="{00000000-0005-0000-0000-0000848E0000}"/>
    <cellStyle name="Normal 3 3 8 9 8" xfId="36494" xr:uid="{00000000-0005-0000-0000-0000858E0000}"/>
    <cellStyle name="Normal 3 3 8 9 8 2" xfId="36495" xr:uid="{00000000-0005-0000-0000-0000868E0000}"/>
    <cellStyle name="Normal 3 3 8 9 8 3" xfId="36496" xr:uid="{00000000-0005-0000-0000-0000878E0000}"/>
    <cellStyle name="Normal 3 3 8 9 9" xfId="36497" xr:uid="{00000000-0005-0000-0000-0000888E0000}"/>
    <cellStyle name="Normal 3 3 8 9 9 2" xfId="36498" xr:uid="{00000000-0005-0000-0000-0000898E0000}"/>
    <cellStyle name="Normal 3 3 8 9 9 3" xfId="36499" xr:uid="{00000000-0005-0000-0000-00008A8E0000}"/>
    <cellStyle name="Normal 3 3 9" xfId="36500" xr:uid="{00000000-0005-0000-0000-00008B8E0000}"/>
    <cellStyle name="Normal 3 3 9 10" xfId="36501" xr:uid="{00000000-0005-0000-0000-00008C8E0000}"/>
    <cellStyle name="Normal 3 3 9 10 10" xfId="36502" xr:uid="{00000000-0005-0000-0000-00008D8E0000}"/>
    <cellStyle name="Normal 3 3 9 10 10 2" xfId="36503" xr:uid="{00000000-0005-0000-0000-00008E8E0000}"/>
    <cellStyle name="Normal 3 3 9 10 10 3" xfId="36504" xr:uid="{00000000-0005-0000-0000-00008F8E0000}"/>
    <cellStyle name="Normal 3 3 9 10 11" xfId="36505" xr:uid="{00000000-0005-0000-0000-0000908E0000}"/>
    <cellStyle name="Normal 3 3 9 10 11 2" xfId="36506" xr:uid="{00000000-0005-0000-0000-0000918E0000}"/>
    <cellStyle name="Normal 3 3 9 10 11 3" xfId="36507" xr:uid="{00000000-0005-0000-0000-0000928E0000}"/>
    <cellStyle name="Normal 3 3 9 10 12" xfId="36508" xr:uid="{00000000-0005-0000-0000-0000938E0000}"/>
    <cellStyle name="Normal 3 3 9 10 12 2" xfId="36509" xr:uid="{00000000-0005-0000-0000-0000948E0000}"/>
    <cellStyle name="Normal 3 3 9 10 12 3" xfId="36510" xr:uid="{00000000-0005-0000-0000-0000958E0000}"/>
    <cellStyle name="Normal 3 3 9 10 13" xfId="36511" xr:uid="{00000000-0005-0000-0000-0000968E0000}"/>
    <cellStyle name="Normal 3 3 9 10 13 2" xfId="36512" xr:uid="{00000000-0005-0000-0000-0000978E0000}"/>
    <cellStyle name="Normal 3 3 9 10 13 3" xfId="36513" xr:uid="{00000000-0005-0000-0000-0000988E0000}"/>
    <cellStyle name="Normal 3 3 9 10 14" xfId="36514" xr:uid="{00000000-0005-0000-0000-0000998E0000}"/>
    <cellStyle name="Normal 3 3 9 10 14 2" xfId="36515" xr:uid="{00000000-0005-0000-0000-00009A8E0000}"/>
    <cellStyle name="Normal 3 3 9 10 14 3" xfId="36516" xr:uid="{00000000-0005-0000-0000-00009B8E0000}"/>
    <cellStyle name="Normal 3 3 9 10 15" xfId="36517" xr:uid="{00000000-0005-0000-0000-00009C8E0000}"/>
    <cellStyle name="Normal 3 3 9 10 16" xfId="36518" xr:uid="{00000000-0005-0000-0000-00009D8E0000}"/>
    <cellStyle name="Normal 3 3 9 10 2" xfId="36519" xr:uid="{00000000-0005-0000-0000-00009E8E0000}"/>
    <cellStyle name="Normal 3 3 9 10 2 2" xfId="36520" xr:uid="{00000000-0005-0000-0000-00009F8E0000}"/>
    <cellStyle name="Normal 3 3 9 10 2 3" xfId="36521" xr:uid="{00000000-0005-0000-0000-0000A08E0000}"/>
    <cellStyle name="Normal 3 3 9 10 3" xfId="36522" xr:uid="{00000000-0005-0000-0000-0000A18E0000}"/>
    <cellStyle name="Normal 3 3 9 10 3 2" xfId="36523" xr:uid="{00000000-0005-0000-0000-0000A28E0000}"/>
    <cellStyle name="Normal 3 3 9 10 3 3" xfId="36524" xr:uid="{00000000-0005-0000-0000-0000A38E0000}"/>
    <cellStyle name="Normal 3 3 9 10 4" xfId="36525" xr:uid="{00000000-0005-0000-0000-0000A48E0000}"/>
    <cellStyle name="Normal 3 3 9 10 4 2" xfId="36526" xr:uid="{00000000-0005-0000-0000-0000A58E0000}"/>
    <cellStyle name="Normal 3 3 9 10 4 3" xfId="36527" xr:uid="{00000000-0005-0000-0000-0000A68E0000}"/>
    <cellStyle name="Normal 3 3 9 10 5" xfId="36528" xr:uid="{00000000-0005-0000-0000-0000A78E0000}"/>
    <cellStyle name="Normal 3 3 9 10 5 2" xfId="36529" xr:uid="{00000000-0005-0000-0000-0000A88E0000}"/>
    <cellStyle name="Normal 3 3 9 10 5 3" xfId="36530" xr:uid="{00000000-0005-0000-0000-0000A98E0000}"/>
    <cellStyle name="Normal 3 3 9 10 6" xfId="36531" xr:uid="{00000000-0005-0000-0000-0000AA8E0000}"/>
    <cellStyle name="Normal 3 3 9 10 6 2" xfId="36532" xr:uid="{00000000-0005-0000-0000-0000AB8E0000}"/>
    <cellStyle name="Normal 3 3 9 10 6 3" xfId="36533" xr:uid="{00000000-0005-0000-0000-0000AC8E0000}"/>
    <cellStyle name="Normal 3 3 9 10 7" xfId="36534" xr:uid="{00000000-0005-0000-0000-0000AD8E0000}"/>
    <cellStyle name="Normal 3 3 9 10 7 2" xfId="36535" xr:uid="{00000000-0005-0000-0000-0000AE8E0000}"/>
    <cellStyle name="Normal 3 3 9 10 7 3" xfId="36536" xr:uid="{00000000-0005-0000-0000-0000AF8E0000}"/>
    <cellStyle name="Normal 3 3 9 10 8" xfId="36537" xr:uid="{00000000-0005-0000-0000-0000B08E0000}"/>
    <cellStyle name="Normal 3 3 9 10 8 2" xfId="36538" xr:uid="{00000000-0005-0000-0000-0000B18E0000}"/>
    <cellStyle name="Normal 3 3 9 10 8 3" xfId="36539" xr:uid="{00000000-0005-0000-0000-0000B28E0000}"/>
    <cellStyle name="Normal 3 3 9 10 9" xfId="36540" xr:uid="{00000000-0005-0000-0000-0000B38E0000}"/>
    <cellStyle name="Normal 3 3 9 10 9 2" xfId="36541" xr:uid="{00000000-0005-0000-0000-0000B48E0000}"/>
    <cellStyle name="Normal 3 3 9 10 9 3" xfId="36542" xr:uid="{00000000-0005-0000-0000-0000B58E0000}"/>
    <cellStyle name="Normal 3 3 9 11" xfId="36543" xr:uid="{00000000-0005-0000-0000-0000B68E0000}"/>
    <cellStyle name="Normal 3 3 9 11 2" xfId="36544" xr:uid="{00000000-0005-0000-0000-0000B78E0000}"/>
    <cellStyle name="Normal 3 3 9 11 3" xfId="36545" xr:uid="{00000000-0005-0000-0000-0000B88E0000}"/>
    <cellStyle name="Normal 3 3 9 12" xfId="36546" xr:uid="{00000000-0005-0000-0000-0000B98E0000}"/>
    <cellStyle name="Normal 3 3 9 12 2" xfId="36547" xr:uid="{00000000-0005-0000-0000-0000BA8E0000}"/>
    <cellStyle name="Normal 3 3 9 12 3" xfId="36548" xr:uid="{00000000-0005-0000-0000-0000BB8E0000}"/>
    <cellStyle name="Normal 3 3 9 13" xfId="36549" xr:uid="{00000000-0005-0000-0000-0000BC8E0000}"/>
    <cellStyle name="Normal 3 3 9 13 2" xfId="36550" xr:uid="{00000000-0005-0000-0000-0000BD8E0000}"/>
    <cellStyle name="Normal 3 3 9 13 3" xfId="36551" xr:uid="{00000000-0005-0000-0000-0000BE8E0000}"/>
    <cellStyle name="Normal 3 3 9 14" xfId="36552" xr:uid="{00000000-0005-0000-0000-0000BF8E0000}"/>
    <cellStyle name="Normal 3 3 9 14 2" xfId="36553" xr:uid="{00000000-0005-0000-0000-0000C08E0000}"/>
    <cellStyle name="Normal 3 3 9 14 3" xfId="36554" xr:uid="{00000000-0005-0000-0000-0000C18E0000}"/>
    <cellStyle name="Normal 3 3 9 15" xfId="36555" xr:uid="{00000000-0005-0000-0000-0000C28E0000}"/>
    <cellStyle name="Normal 3 3 9 15 2" xfId="36556" xr:uid="{00000000-0005-0000-0000-0000C38E0000}"/>
    <cellStyle name="Normal 3 3 9 15 3" xfId="36557" xr:uid="{00000000-0005-0000-0000-0000C48E0000}"/>
    <cellStyle name="Normal 3 3 9 16" xfId="36558" xr:uid="{00000000-0005-0000-0000-0000C58E0000}"/>
    <cellStyle name="Normal 3 3 9 16 2" xfId="36559" xr:uid="{00000000-0005-0000-0000-0000C68E0000}"/>
    <cellStyle name="Normal 3 3 9 16 3" xfId="36560" xr:uid="{00000000-0005-0000-0000-0000C78E0000}"/>
    <cellStyle name="Normal 3 3 9 17" xfId="36561" xr:uid="{00000000-0005-0000-0000-0000C88E0000}"/>
    <cellStyle name="Normal 3 3 9 17 2" xfId="36562" xr:uid="{00000000-0005-0000-0000-0000C98E0000}"/>
    <cellStyle name="Normal 3 3 9 17 3" xfId="36563" xr:uid="{00000000-0005-0000-0000-0000CA8E0000}"/>
    <cellStyle name="Normal 3 3 9 18" xfId="36564" xr:uid="{00000000-0005-0000-0000-0000CB8E0000}"/>
    <cellStyle name="Normal 3 3 9 18 2" xfId="36565" xr:uid="{00000000-0005-0000-0000-0000CC8E0000}"/>
    <cellStyle name="Normal 3 3 9 18 3" xfId="36566" xr:uid="{00000000-0005-0000-0000-0000CD8E0000}"/>
    <cellStyle name="Normal 3 3 9 19" xfId="36567" xr:uid="{00000000-0005-0000-0000-0000CE8E0000}"/>
    <cellStyle name="Normal 3 3 9 19 2" xfId="36568" xr:uid="{00000000-0005-0000-0000-0000CF8E0000}"/>
    <cellStyle name="Normal 3 3 9 19 3" xfId="36569" xr:uid="{00000000-0005-0000-0000-0000D08E0000}"/>
    <cellStyle name="Normal 3 3 9 2" xfId="36570" xr:uid="{00000000-0005-0000-0000-0000D18E0000}"/>
    <cellStyle name="Normal 3 3 9 2 10" xfId="36571" xr:uid="{00000000-0005-0000-0000-0000D28E0000}"/>
    <cellStyle name="Normal 3 3 9 2 10 2" xfId="36572" xr:uid="{00000000-0005-0000-0000-0000D38E0000}"/>
    <cellStyle name="Normal 3 3 9 2 10 3" xfId="36573" xr:uid="{00000000-0005-0000-0000-0000D48E0000}"/>
    <cellStyle name="Normal 3 3 9 2 11" xfId="36574" xr:uid="{00000000-0005-0000-0000-0000D58E0000}"/>
    <cellStyle name="Normal 3 3 9 2 11 2" xfId="36575" xr:uid="{00000000-0005-0000-0000-0000D68E0000}"/>
    <cellStyle name="Normal 3 3 9 2 11 3" xfId="36576" xr:uid="{00000000-0005-0000-0000-0000D78E0000}"/>
    <cellStyle name="Normal 3 3 9 2 12" xfId="36577" xr:uid="{00000000-0005-0000-0000-0000D88E0000}"/>
    <cellStyle name="Normal 3 3 9 2 12 2" xfId="36578" xr:uid="{00000000-0005-0000-0000-0000D98E0000}"/>
    <cellStyle name="Normal 3 3 9 2 12 3" xfId="36579" xr:uid="{00000000-0005-0000-0000-0000DA8E0000}"/>
    <cellStyle name="Normal 3 3 9 2 13" xfId="36580" xr:uid="{00000000-0005-0000-0000-0000DB8E0000}"/>
    <cellStyle name="Normal 3 3 9 2 13 2" xfId="36581" xr:uid="{00000000-0005-0000-0000-0000DC8E0000}"/>
    <cellStyle name="Normal 3 3 9 2 13 3" xfId="36582" xr:uid="{00000000-0005-0000-0000-0000DD8E0000}"/>
    <cellStyle name="Normal 3 3 9 2 14" xfId="36583" xr:uid="{00000000-0005-0000-0000-0000DE8E0000}"/>
    <cellStyle name="Normal 3 3 9 2 14 2" xfId="36584" xr:uid="{00000000-0005-0000-0000-0000DF8E0000}"/>
    <cellStyle name="Normal 3 3 9 2 14 3" xfId="36585" xr:uid="{00000000-0005-0000-0000-0000E08E0000}"/>
    <cellStyle name="Normal 3 3 9 2 15" xfId="36586" xr:uid="{00000000-0005-0000-0000-0000E18E0000}"/>
    <cellStyle name="Normal 3 3 9 2 15 2" xfId="36587" xr:uid="{00000000-0005-0000-0000-0000E28E0000}"/>
    <cellStyle name="Normal 3 3 9 2 15 3" xfId="36588" xr:uid="{00000000-0005-0000-0000-0000E38E0000}"/>
    <cellStyle name="Normal 3 3 9 2 16" xfId="36589" xr:uid="{00000000-0005-0000-0000-0000E48E0000}"/>
    <cellStyle name="Normal 3 3 9 2 17" xfId="36590" xr:uid="{00000000-0005-0000-0000-0000E58E0000}"/>
    <cellStyle name="Normal 3 3 9 2 2" xfId="36591" xr:uid="{00000000-0005-0000-0000-0000E68E0000}"/>
    <cellStyle name="Normal 3 3 9 2 2 10" xfId="36592" xr:uid="{00000000-0005-0000-0000-0000E78E0000}"/>
    <cellStyle name="Normal 3 3 9 2 2 10 2" xfId="36593" xr:uid="{00000000-0005-0000-0000-0000E88E0000}"/>
    <cellStyle name="Normal 3 3 9 2 2 10 3" xfId="36594" xr:uid="{00000000-0005-0000-0000-0000E98E0000}"/>
    <cellStyle name="Normal 3 3 9 2 2 11" xfId="36595" xr:uid="{00000000-0005-0000-0000-0000EA8E0000}"/>
    <cellStyle name="Normal 3 3 9 2 2 11 2" xfId="36596" xr:uid="{00000000-0005-0000-0000-0000EB8E0000}"/>
    <cellStyle name="Normal 3 3 9 2 2 11 3" xfId="36597" xr:uid="{00000000-0005-0000-0000-0000EC8E0000}"/>
    <cellStyle name="Normal 3 3 9 2 2 12" xfId="36598" xr:uid="{00000000-0005-0000-0000-0000ED8E0000}"/>
    <cellStyle name="Normal 3 3 9 2 2 12 2" xfId="36599" xr:uid="{00000000-0005-0000-0000-0000EE8E0000}"/>
    <cellStyle name="Normal 3 3 9 2 2 12 3" xfId="36600" xr:uid="{00000000-0005-0000-0000-0000EF8E0000}"/>
    <cellStyle name="Normal 3 3 9 2 2 13" xfId="36601" xr:uid="{00000000-0005-0000-0000-0000F08E0000}"/>
    <cellStyle name="Normal 3 3 9 2 2 13 2" xfId="36602" xr:uid="{00000000-0005-0000-0000-0000F18E0000}"/>
    <cellStyle name="Normal 3 3 9 2 2 13 3" xfId="36603" xr:uid="{00000000-0005-0000-0000-0000F28E0000}"/>
    <cellStyle name="Normal 3 3 9 2 2 14" xfId="36604" xr:uid="{00000000-0005-0000-0000-0000F38E0000}"/>
    <cellStyle name="Normal 3 3 9 2 2 14 2" xfId="36605" xr:uid="{00000000-0005-0000-0000-0000F48E0000}"/>
    <cellStyle name="Normal 3 3 9 2 2 14 3" xfId="36606" xr:uid="{00000000-0005-0000-0000-0000F58E0000}"/>
    <cellStyle name="Normal 3 3 9 2 2 15" xfId="36607" xr:uid="{00000000-0005-0000-0000-0000F68E0000}"/>
    <cellStyle name="Normal 3 3 9 2 2 16" xfId="36608" xr:uid="{00000000-0005-0000-0000-0000F78E0000}"/>
    <cellStyle name="Normal 3 3 9 2 2 2" xfId="36609" xr:uid="{00000000-0005-0000-0000-0000F88E0000}"/>
    <cellStyle name="Normal 3 3 9 2 2 2 2" xfId="36610" xr:uid="{00000000-0005-0000-0000-0000F98E0000}"/>
    <cellStyle name="Normal 3 3 9 2 2 2 3" xfId="36611" xr:uid="{00000000-0005-0000-0000-0000FA8E0000}"/>
    <cellStyle name="Normal 3 3 9 2 2 3" xfId="36612" xr:uid="{00000000-0005-0000-0000-0000FB8E0000}"/>
    <cellStyle name="Normal 3 3 9 2 2 3 2" xfId="36613" xr:uid="{00000000-0005-0000-0000-0000FC8E0000}"/>
    <cellStyle name="Normal 3 3 9 2 2 3 3" xfId="36614" xr:uid="{00000000-0005-0000-0000-0000FD8E0000}"/>
    <cellStyle name="Normal 3 3 9 2 2 4" xfId="36615" xr:uid="{00000000-0005-0000-0000-0000FE8E0000}"/>
    <cellStyle name="Normal 3 3 9 2 2 4 2" xfId="36616" xr:uid="{00000000-0005-0000-0000-0000FF8E0000}"/>
    <cellStyle name="Normal 3 3 9 2 2 4 3" xfId="36617" xr:uid="{00000000-0005-0000-0000-0000008F0000}"/>
    <cellStyle name="Normal 3 3 9 2 2 5" xfId="36618" xr:uid="{00000000-0005-0000-0000-0000018F0000}"/>
    <cellStyle name="Normal 3 3 9 2 2 5 2" xfId="36619" xr:uid="{00000000-0005-0000-0000-0000028F0000}"/>
    <cellStyle name="Normal 3 3 9 2 2 5 3" xfId="36620" xr:uid="{00000000-0005-0000-0000-0000038F0000}"/>
    <cellStyle name="Normal 3 3 9 2 2 6" xfId="36621" xr:uid="{00000000-0005-0000-0000-0000048F0000}"/>
    <cellStyle name="Normal 3 3 9 2 2 6 2" xfId="36622" xr:uid="{00000000-0005-0000-0000-0000058F0000}"/>
    <cellStyle name="Normal 3 3 9 2 2 6 3" xfId="36623" xr:uid="{00000000-0005-0000-0000-0000068F0000}"/>
    <cellStyle name="Normal 3 3 9 2 2 7" xfId="36624" xr:uid="{00000000-0005-0000-0000-0000078F0000}"/>
    <cellStyle name="Normal 3 3 9 2 2 7 2" xfId="36625" xr:uid="{00000000-0005-0000-0000-0000088F0000}"/>
    <cellStyle name="Normal 3 3 9 2 2 7 3" xfId="36626" xr:uid="{00000000-0005-0000-0000-0000098F0000}"/>
    <cellStyle name="Normal 3 3 9 2 2 8" xfId="36627" xr:uid="{00000000-0005-0000-0000-00000A8F0000}"/>
    <cellStyle name="Normal 3 3 9 2 2 8 2" xfId="36628" xr:uid="{00000000-0005-0000-0000-00000B8F0000}"/>
    <cellStyle name="Normal 3 3 9 2 2 8 3" xfId="36629" xr:uid="{00000000-0005-0000-0000-00000C8F0000}"/>
    <cellStyle name="Normal 3 3 9 2 2 9" xfId="36630" xr:uid="{00000000-0005-0000-0000-00000D8F0000}"/>
    <cellStyle name="Normal 3 3 9 2 2 9 2" xfId="36631" xr:uid="{00000000-0005-0000-0000-00000E8F0000}"/>
    <cellStyle name="Normal 3 3 9 2 2 9 3" xfId="36632" xr:uid="{00000000-0005-0000-0000-00000F8F0000}"/>
    <cellStyle name="Normal 3 3 9 2 3" xfId="36633" xr:uid="{00000000-0005-0000-0000-0000108F0000}"/>
    <cellStyle name="Normal 3 3 9 2 3 2" xfId="36634" xr:uid="{00000000-0005-0000-0000-0000118F0000}"/>
    <cellStyle name="Normal 3 3 9 2 3 3" xfId="36635" xr:uid="{00000000-0005-0000-0000-0000128F0000}"/>
    <cellStyle name="Normal 3 3 9 2 4" xfId="36636" xr:uid="{00000000-0005-0000-0000-0000138F0000}"/>
    <cellStyle name="Normal 3 3 9 2 4 2" xfId="36637" xr:uid="{00000000-0005-0000-0000-0000148F0000}"/>
    <cellStyle name="Normal 3 3 9 2 4 3" xfId="36638" xr:uid="{00000000-0005-0000-0000-0000158F0000}"/>
    <cellStyle name="Normal 3 3 9 2 5" xfId="36639" xr:uid="{00000000-0005-0000-0000-0000168F0000}"/>
    <cellStyle name="Normal 3 3 9 2 5 2" xfId="36640" xr:uid="{00000000-0005-0000-0000-0000178F0000}"/>
    <cellStyle name="Normal 3 3 9 2 5 3" xfId="36641" xr:uid="{00000000-0005-0000-0000-0000188F0000}"/>
    <cellStyle name="Normal 3 3 9 2 6" xfId="36642" xr:uid="{00000000-0005-0000-0000-0000198F0000}"/>
    <cellStyle name="Normal 3 3 9 2 6 2" xfId="36643" xr:uid="{00000000-0005-0000-0000-00001A8F0000}"/>
    <cellStyle name="Normal 3 3 9 2 6 3" xfId="36644" xr:uid="{00000000-0005-0000-0000-00001B8F0000}"/>
    <cellStyle name="Normal 3 3 9 2 7" xfId="36645" xr:uid="{00000000-0005-0000-0000-00001C8F0000}"/>
    <cellStyle name="Normal 3 3 9 2 7 2" xfId="36646" xr:uid="{00000000-0005-0000-0000-00001D8F0000}"/>
    <cellStyle name="Normal 3 3 9 2 7 3" xfId="36647" xr:uid="{00000000-0005-0000-0000-00001E8F0000}"/>
    <cellStyle name="Normal 3 3 9 2 8" xfId="36648" xr:uid="{00000000-0005-0000-0000-00001F8F0000}"/>
    <cellStyle name="Normal 3 3 9 2 8 2" xfId="36649" xr:uid="{00000000-0005-0000-0000-0000208F0000}"/>
    <cellStyle name="Normal 3 3 9 2 8 3" xfId="36650" xr:uid="{00000000-0005-0000-0000-0000218F0000}"/>
    <cellStyle name="Normal 3 3 9 2 9" xfId="36651" xr:uid="{00000000-0005-0000-0000-0000228F0000}"/>
    <cellStyle name="Normal 3 3 9 2 9 2" xfId="36652" xr:uid="{00000000-0005-0000-0000-0000238F0000}"/>
    <cellStyle name="Normal 3 3 9 2 9 3" xfId="36653" xr:uid="{00000000-0005-0000-0000-0000248F0000}"/>
    <cellStyle name="Normal 3 3 9 20" xfId="36654" xr:uid="{00000000-0005-0000-0000-0000258F0000}"/>
    <cellStyle name="Normal 3 3 9 20 2" xfId="36655" xr:uid="{00000000-0005-0000-0000-0000268F0000}"/>
    <cellStyle name="Normal 3 3 9 20 3" xfId="36656" xr:uid="{00000000-0005-0000-0000-0000278F0000}"/>
    <cellStyle name="Normal 3 3 9 21" xfId="36657" xr:uid="{00000000-0005-0000-0000-0000288F0000}"/>
    <cellStyle name="Normal 3 3 9 21 2" xfId="36658" xr:uid="{00000000-0005-0000-0000-0000298F0000}"/>
    <cellStyle name="Normal 3 3 9 21 3" xfId="36659" xr:uid="{00000000-0005-0000-0000-00002A8F0000}"/>
    <cellStyle name="Normal 3 3 9 22" xfId="36660" xr:uid="{00000000-0005-0000-0000-00002B8F0000}"/>
    <cellStyle name="Normal 3 3 9 22 2" xfId="36661" xr:uid="{00000000-0005-0000-0000-00002C8F0000}"/>
    <cellStyle name="Normal 3 3 9 22 3" xfId="36662" xr:uid="{00000000-0005-0000-0000-00002D8F0000}"/>
    <cellStyle name="Normal 3 3 9 23" xfId="36663" xr:uid="{00000000-0005-0000-0000-00002E8F0000}"/>
    <cellStyle name="Normal 3 3 9 23 2" xfId="36664" xr:uid="{00000000-0005-0000-0000-00002F8F0000}"/>
    <cellStyle name="Normal 3 3 9 23 3" xfId="36665" xr:uid="{00000000-0005-0000-0000-0000308F0000}"/>
    <cellStyle name="Normal 3 3 9 24" xfId="36666" xr:uid="{00000000-0005-0000-0000-0000318F0000}"/>
    <cellStyle name="Normal 3 3 9 25" xfId="36667" xr:uid="{00000000-0005-0000-0000-0000328F0000}"/>
    <cellStyle name="Normal 3 3 9 3" xfId="36668" xr:uid="{00000000-0005-0000-0000-0000338F0000}"/>
    <cellStyle name="Normal 3 3 9 3 10" xfId="36669" xr:uid="{00000000-0005-0000-0000-0000348F0000}"/>
    <cellStyle name="Normal 3 3 9 3 10 2" xfId="36670" xr:uid="{00000000-0005-0000-0000-0000358F0000}"/>
    <cellStyle name="Normal 3 3 9 3 10 3" xfId="36671" xr:uid="{00000000-0005-0000-0000-0000368F0000}"/>
    <cellStyle name="Normal 3 3 9 3 11" xfId="36672" xr:uid="{00000000-0005-0000-0000-0000378F0000}"/>
    <cellStyle name="Normal 3 3 9 3 11 2" xfId="36673" xr:uid="{00000000-0005-0000-0000-0000388F0000}"/>
    <cellStyle name="Normal 3 3 9 3 11 3" xfId="36674" xr:uid="{00000000-0005-0000-0000-0000398F0000}"/>
    <cellStyle name="Normal 3 3 9 3 12" xfId="36675" xr:uid="{00000000-0005-0000-0000-00003A8F0000}"/>
    <cellStyle name="Normal 3 3 9 3 12 2" xfId="36676" xr:uid="{00000000-0005-0000-0000-00003B8F0000}"/>
    <cellStyle name="Normal 3 3 9 3 12 3" xfId="36677" xr:uid="{00000000-0005-0000-0000-00003C8F0000}"/>
    <cellStyle name="Normal 3 3 9 3 13" xfId="36678" xr:uid="{00000000-0005-0000-0000-00003D8F0000}"/>
    <cellStyle name="Normal 3 3 9 3 13 2" xfId="36679" xr:uid="{00000000-0005-0000-0000-00003E8F0000}"/>
    <cellStyle name="Normal 3 3 9 3 13 3" xfId="36680" xr:uid="{00000000-0005-0000-0000-00003F8F0000}"/>
    <cellStyle name="Normal 3 3 9 3 14" xfId="36681" xr:uid="{00000000-0005-0000-0000-0000408F0000}"/>
    <cellStyle name="Normal 3 3 9 3 14 2" xfId="36682" xr:uid="{00000000-0005-0000-0000-0000418F0000}"/>
    <cellStyle name="Normal 3 3 9 3 14 3" xfId="36683" xr:uid="{00000000-0005-0000-0000-0000428F0000}"/>
    <cellStyle name="Normal 3 3 9 3 15" xfId="36684" xr:uid="{00000000-0005-0000-0000-0000438F0000}"/>
    <cellStyle name="Normal 3 3 9 3 15 2" xfId="36685" xr:uid="{00000000-0005-0000-0000-0000448F0000}"/>
    <cellStyle name="Normal 3 3 9 3 15 3" xfId="36686" xr:uid="{00000000-0005-0000-0000-0000458F0000}"/>
    <cellStyle name="Normal 3 3 9 3 16" xfId="36687" xr:uid="{00000000-0005-0000-0000-0000468F0000}"/>
    <cellStyle name="Normal 3 3 9 3 17" xfId="36688" xr:uid="{00000000-0005-0000-0000-0000478F0000}"/>
    <cellStyle name="Normal 3 3 9 3 2" xfId="36689" xr:uid="{00000000-0005-0000-0000-0000488F0000}"/>
    <cellStyle name="Normal 3 3 9 3 2 10" xfId="36690" xr:uid="{00000000-0005-0000-0000-0000498F0000}"/>
    <cellStyle name="Normal 3 3 9 3 2 10 2" xfId="36691" xr:uid="{00000000-0005-0000-0000-00004A8F0000}"/>
    <cellStyle name="Normal 3 3 9 3 2 10 3" xfId="36692" xr:uid="{00000000-0005-0000-0000-00004B8F0000}"/>
    <cellStyle name="Normal 3 3 9 3 2 11" xfId="36693" xr:uid="{00000000-0005-0000-0000-00004C8F0000}"/>
    <cellStyle name="Normal 3 3 9 3 2 11 2" xfId="36694" xr:uid="{00000000-0005-0000-0000-00004D8F0000}"/>
    <cellStyle name="Normal 3 3 9 3 2 11 3" xfId="36695" xr:uid="{00000000-0005-0000-0000-00004E8F0000}"/>
    <cellStyle name="Normal 3 3 9 3 2 12" xfId="36696" xr:uid="{00000000-0005-0000-0000-00004F8F0000}"/>
    <cellStyle name="Normal 3 3 9 3 2 12 2" xfId="36697" xr:uid="{00000000-0005-0000-0000-0000508F0000}"/>
    <cellStyle name="Normal 3 3 9 3 2 12 3" xfId="36698" xr:uid="{00000000-0005-0000-0000-0000518F0000}"/>
    <cellStyle name="Normal 3 3 9 3 2 13" xfId="36699" xr:uid="{00000000-0005-0000-0000-0000528F0000}"/>
    <cellStyle name="Normal 3 3 9 3 2 13 2" xfId="36700" xr:uid="{00000000-0005-0000-0000-0000538F0000}"/>
    <cellStyle name="Normal 3 3 9 3 2 13 3" xfId="36701" xr:uid="{00000000-0005-0000-0000-0000548F0000}"/>
    <cellStyle name="Normal 3 3 9 3 2 14" xfId="36702" xr:uid="{00000000-0005-0000-0000-0000558F0000}"/>
    <cellStyle name="Normal 3 3 9 3 2 14 2" xfId="36703" xr:uid="{00000000-0005-0000-0000-0000568F0000}"/>
    <cellStyle name="Normal 3 3 9 3 2 14 3" xfId="36704" xr:uid="{00000000-0005-0000-0000-0000578F0000}"/>
    <cellStyle name="Normal 3 3 9 3 2 15" xfId="36705" xr:uid="{00000000-0005-0000-0000-0000588F0000}"/>
    <cellStyle name="Normal 3 3 9 3 2 16" xfId="36706" xr:uid="{00000000-0005-0000-0000-0000598F0000}"/>
    <cellStyle name="Normal 3 3 9 3 2 2" xfId="36707" xr:uid="{00000000-0005-0000-0000-00005A8F0000}"/>
    <cellStyle name="Normal 3 3 9 3 2 2 2" xfId="36708" xr:uid="{00000000-0005-0000-0000-00005B8F0000}"/>
    <cellStyle name="Normal 3 3 9 3 2 2 3" xfId="36709" xr:uid="{00000000-0005-0000-0000-00005C8F0000}"/>
    <cellStyle name="Normal 3 3 9 3 2 3" xfId="36710" xr:uid="{00000000-0005-0000-0000-00005D8F0000}"/>
    <cellStyle name="Normal 3 3 9 3 2 3 2" xfId="36711" xr:uid="{00000000-0005-0000-0000-00005E8F0000}"/>
    <cellStyle name="Normal 3 3 9 3 2 3 3" xfId="36712" xr:uid="{00000000-0005-0000-0000-00005F8F0000}"/>
    <cellStyle name="Normal 3 3 9 3 2 4" xfId="36713" xr:uid="{00000000-0005-0000-0000-0000608F0000}"/>
    <cellStyle name="Normal 3 3 9 3 2 4 2" xfId="36714" xr:uid="{00000000-0005-0000-0000-0000618F0000}"/>
    <cellStyle name="Normal 3 3 9 3 2 4 3" xfId="36715" xr:uid="{00000000-0005-0000-0000-0000628F0000}"/>
    <cellStyle name="Normal 3 3 9 3 2 5" xfId="36716" xr:uid="{00000000-0005-0000-0000-0000638F0000}"/>
    <cellStyle name="Normal 3 3 9 3 2 5 2" xfId="36717" xr:uid="{00000000-0005-0000-0000-0000648F0000}"/>
    <cellStyle name="Normal 3 3 9 3 2 5 3" xfId="36718" xr:uid="{00000000-0005-0000-0000-0000658F0000}"/>
    <cellStyle name="Normal 3 3 9 3 2 6" xfId="36719" xr:uid="{00000000-0005-0000-0000-0000668F0000}"/>
    <cellStyle name="Normal 3 3 9 3 2 6 2" xfId="36720" xr:uid="{00000000-0005-0000-0000-0000678F0000}"/>
    <cellStyle name="Normal 3 3 9 3 2 6 3" xfId="36721" xr:uid="{00000000-0005-0000-0000-0000688F0000}"/>
    <cellStyle name="Normal 3 3 9 3 2 7" xfId="36722" xr:uid="{00000000-0005-0000-0000-0000698F0000}"/>
    <cellStyle name="Normal 3 3 9 3 2 7 2" xfId="36723" xr:uid="{00000000-0005-0000-0000-00006A8F0000}"/>
    <cellStyle name="Normal 3 3 9 3 2 7 3" xfId="36724" xr:uid="{00000000-0005-0000-0000-00006B8F0000}"/>
    <cellStyle name="Normal 3 3 9 3 2 8" xfId="36725" xr:uid="{00000000-0005-0000-0000-00006C8F0000}"/>
    <cellStyle name="Normal 3 3 9 3 2 8 2" xfId="36726" xr:uid="{00000000-0005-0000-0000-00006D8F0000}"/>
    <cellStyle name="Normal 3 3 9 3 2 8 3" xfId="36727" xr:uid="{00000000-0005-0000-0000-00006E8F0000}"/>
    <cellStyle name="Normal 3 3 9 3 2 9" xfId="36728" xr:uid="{00000000-0005-0000-0000-00006F8F0000}"/>
    <cellStyle name="Normal 3 3 9 3 2 9 2" xfId="36729" xr:uid="{00000000-0005-0000-0000-0000708F0000}"/>
    <cellStyle name="Normal 3 3 9 3 2 9 3" xfId="36730" xr:uid="{00000000-0005-0000-0000-0000718F0000}"/>
    <cellStyle name="Normal 3 3 9 3 3" xfId="36731" xr:uid="{00000000-0005-0000-0000-0000728F0000}"/>
    <cellStyle name="Normal 3 3 9 3 3 2" xfId="36732" xr:uid="{00000000-0005-0000-0000-0000738F0000}"/>
    <cellStyle name="Normal 3 3 9 3 3 3" xfId="36733" xr:uid="{00000000-0005-0000-0000-0000748F0000}"/>
    <cellStyle name="Normal 3 3 9 3 4" xfId="36734" xr:uid="{00000000-0005-0000-0000-0000758F0000}"/>
    <cellStyle name="Normal 3 3 9 3 4 2" xfId="36735" xr:uid="{00000000-0005-0000-0000-0000768F0000}"/>
    <cellStyle name="Normal 3 3 9 3 4 3" xfId="36736" xr:uid="{00000000-0005-0000-0000-0000778F0000}"/>
    <cellStyle name="Normal 3 3 9 3 5" xfId="36737" xr:uid="{00000000-0005-0000-0000-0000788F0000}"/>
    <cellStyle name="Normal 3 3 9 3 5 2" xfId="36738" xr:uid="{00000000-0005-0000-0000-0000798F0000}"/>
    <cellStyle name="Normal 3 3 9 3 5 3" xfId="36739" xr:uid="{00000000-0005-0000-0000-00007A8F0000}"/>
    <cellStyle name="Normal 3 3 9 3 6" xfId="36740" xr:uid="{00000000-0005-0000-0000-00007B8F0000}"/>
    <cellStyle name="Normal 3 3 9 3 6 2" xfId="36741" xr:uid="{00000000-0005-0000-0000-00007C8F0000}"/>
    <cellStyle name="Normal 3 3 9 3 6 3" xfId="36742" xr:uid="{00000000-0005-0000-0000-00007D8F0000}"/>
    <cellStyle name="Normal 3 3 9 3 7" xfId="36743" xr:uid="{00000000-0005-0000-0000-00007E8F0000}"/>
    <cellStyle name="Normal 3 3 9 3 7 2" xfId="36744" xr:uid="{00000000-0005-0000-0000-00007F8F0000}"/>
    <cellStyle name="Normal 3 3 9 3 7 3" xfId="36745" xr:uid="{00000000-0005-0000-0000-0000808F0000}"/>
    <cellStyle name="Normal 3 3 9 3 8" xfId="36746" xr:uid="{00000000-0005-0000-0000-0000818F0000}"/>
    <cellStyle name="Normal 3 3 9 3 8 2" xfId="36747" xr:uid="{00000000-0005-0000-0000-0000828F0000}"/>
    <cellStyle name="Normal 3 3 9 3 8 3" xfId="36748" xr:uid="{00000000-0005-0000-0000-0000838F0000}"/>
    <cellStyle name="Normal 3 3 9 3 9" xfId="36749" xr:uid="{00000000-0005-0000-0000-0000848F0000}"/>
    <cellStyle name="Normal 3 3 9 3 9 2" xfId="36750" xr:uid="{00000000-0005-0000-0000-0000858F0000}"/>
    <cellStyle name="Normal 3 3 9 3 9 3" xfId="36751" xr:uid="{00000000-0005-0000-0000-0000868F0000}"/>
    <cellStyle name="Normal 3 3 9 4" xfId="36752" xr:uid="{00000000-0005-0000-0000-0000878F0000}"/>
    <cellStyle name="Normal 3 3 9 4 10" xfId="36753" xr:uid="{00000000-0005-0000-0000-0000888F0000}"/>
    <cellStyle name="Normal 3 3 9 4 10 2" xfId="36754" xr:uid="{00000000-0005-0000-0000-0000898F0000}"/>
    <cellStyle name="Normal 3 3 9 4 10 3" xfId="36755" xr:uid="{00000000-0005-0000-0000-00008A8F0000}"/>
    <cellStyle name="Normal 3 3 9 4 11" xfId="36756" xr:uid="{00000000-0005-0000-0000-00008B8F0000}"/>
    <cellStyle name="Normal 3 3 9 4 11 2" xfId="36757" xr:uid="{00000000-0005-0000-0000-00008C8F0000}"/>
    <cellStyle name="Normal 3 3 9 4 11 3" xfId="36758" xr:uid="{00000000-0005-0000-0000-00008D8F0000}"/>
    <cellStyle name="Normal 3 3 9 4 12" xfId="36759" xr:uid="{00000000-0005-0000-0000-00008E8F0000}"/>
    <cellStyle name="Normal 3 3 9 4 12 2" xfId="36760" xr:uid="{00000000-0005-0000-0000-00008F8F0000}"/>
    <cellStyle name="Normal 3 3 9 4 12 3" xfId="36761" xr:uid="{00000000-0005-0000-0000-0000908F0000}"/>
    <cellStyle name="Normal 3 3 9 4 13" xfId="36762" xr:uid="{00000000-0005-0000-0000-0000918F0000}"/>
    <cellStyle name="Normal 3 3 9 4 13 2" xfId="36763" xr:uid="{00000000-0005-0000-0000-0000928F0000}"/>
    <cellStyle name="Normal 3 3 9 4 13 3" xfId="36764" xr:uid="{00000000-0005-0000-0000-0000938F0000}"/>
    <cellStyle name="Normal 3 3 9 4 14" xfId="36765" xr:uid="{00000000-0005-0000-0000-0000948F0000}"/>
    <cellStyle name="Normal 3 3 9 4 14 2" xfId="36766" xr:uid="{00000000-0005-0000-0000-0000958F0000}"/>
    <cellStyle name="Normal 3 3 9 4 14 3" xfId="36767" xr:uid="{00000000-0005-0000-0000-0000968F0000}"/>
    <cellStyle name="Normal 3 3 9 4 15" xfId="36768" xr:uid="{00000000-0005-0000-0000-0000978F0000}"/>
    <cellStyle name="Normal 3 3 9 4 15 2" xfId="36769" xr:uid="{00000000-0005-0000-0000-0000988F0000}"/>
    <cellStyle name="Normal 3 3 9 4 15 3" xfId="36770" xr:uid="{00000000-0005-0000-0000-0000998F0000}"/>
    <cellStyle name="Normal 3 3 9 4 16" xfId="36771" xr:uid="{00000000-0005-0000-0000-00009A8F0000}"/>
    <cellStyle name="Normal 3 3 9 4 17" xfId="36772" xr:uid="{00000000-0005-0000-0000-00009B8F0000}"/>
    <cellStyle name="Normal 3 3 9 4 2" xfId="36773" xr:uid="{00000000-0005-0000-0000-00009C8F0000}"/>
    <cellStyle name="Normal 3 3 9 4 2 10" xfId="36774" xr:uid="{00000000-0005-0000-0000-00009D8F0000}"/>
    <cellStyle name="Normal 3 3 9 4 2 10 2" xfId="36775" xr:uid="{00000000-0005-0000-0000-00009E8F0000}"/>
    <cellStyle name="Normal 3 3 9 4 2 10 3" xfId="36776" xr:uid="{00000000-0005-0000-0000-00009F8F0000}"/>
    <cellStyle name="Normal 3 3 9 4 2 11" xfId="36777" xr:uid="{00000000-0005-0000-0000-0000A08F0000}"/>
    <cellStyle name="Normal 3 3 9 4 2 11 2" xfId="36778" xr:uid="{00000000-0005-0000-0000-0000A18F0000}"/>
    <cellStyle name="Normal 3 3 9 4 2 11 3" xfId="36779" xr:uid="{00000000-0005-0000-0000-0000A28F0000}"/>
    <cellStyle name="Normal 3 3 9 4 2 12" xfId="36780" xr:uid="{00000000-0005-0000-0000-0000A38F0000}"/>
    <cellStyle name="Normal 3 3 9 4 2 12 2" xfId="36781" xr:uid="{00000000-0005-0000-0000-0000A48F0000}"/>
    <cellStyle name="Normal 3 3 9 4 2 12 3" xfId="36782" xr:uid="{00000000-0005-0000-0000-0000A58F0000}"/>
    <cellStyle name="Normal 3 3 9 4 2 13" xfId="36783" xr:uid="{00000000-0005-0000-0000-0000A68F0000}"/>
    <cellStyle name="Normal 3 3 9 4 2 13 2" xfId="36784" xr:uid="{00000000-0005-0000-0000-0000A78F0000}"/>
    <cellStyle name="Normal 3 3 9 4 2 13 3" xfId="36785" xr:uid="{00000000-0005-0000-0000-0000A88F0000}"/>
    <cellStyle name="Normal 3 3 9 4 2 14" xfId="36786" xr:uid="{00000000-0005-0000-0000-0000A98F0000}"/>
    <cellStyle name="Normal 3 3 9 4 2 14 2" xfId="36787" xr:uid="{00000000-0005-0000-0000-0000AA8F0000}"/>
    <cellStyle name="Normal 3 3 9 4 2 14 3" xfId="36788" xr:uid="{00000000-0005-0000-0000-0000AB8F0000}"/>
    <cellStyle name="Normal 3 3 9 4 2 15" xfId="36789" xr:uid="{00000000-0005-0000-0000-0000AC8F0000}"/>
    <cellStyle name="Normal 3 3 9 4 2 16" xfId="36790" xr:uid="{00000000-0005-0000-0000-0000AD8F0000}"/>
    <cellStyle name="Normal 3 3 9 4 2 2" xfId="36791" xr:uid="{00000000-0005-0000-0000-0000AE8F0000}"/>
    <cellStyle name="Normal 3 3 9 4 2 2 2" xfId="36792" xr:uid="{00000000-0005-0000-0000-0000AF8F0000}"/>
    <cellStyle name="Normal 3 3 9 4 2 2 3" xfId="36793" xr:uid="{00000000-0005-0000-0000-0000B08F0000}"/>
    <cellStyle name="Normal 3 3 9 4 2 3" xfId="36794" xr:uid="{00000000-0005-0000-0000-0000B18F0000}"/>
    <cellStyle name="Normal 3 3 9 4 2 3 2" xfId="36795" xr:uid="{00000000-0005-0000-0000-0000B28F0000}"/>
    <cellStyle name="Normal 3 3 9 4 2 3 3" xfId="36796" xr:uid="{00000000-0005-0000-0000-0000B38F0000}"/>
    <cellStyle name="Normal 3 3 9 4 2 4" xfId="36797" xr:uid="{00000000-0005-0000-0000-0000B48F0000}"/>
    <cellStyle name="Normal 3 3 9 4 2 4 2" xfId="36798" xr:uid="{00000000-0005-0000-0000-0000B58F0000}"/>
    <cellStyle name="Normal 3 3 9 4 2 4 3" xfId="36799" xr:uid="{00000000-0005-0000-0000-0000B68F0000}"/>
    <cellStyle name="Normal 3 3 9 4 2 5" xfId="36800" xr:uid="{00000000-0005-0000-0000-0000B78F0000}"/>
    <cellStyle name="Normal 3 3 9 4 2 5 2" xfId="36801" xr:uid="{00000000-0005-0000-0000-0000B88F0000}"/>
    <cellStyle name="Normal 3 3 9 4 2 5 3" xfId="36802" xr:uid="{00000000-0005-0000-0000-0000B98F0000}"/>
    <cellStyle name="Normal 3 3 9 4 2 6" xfId="36803" xr:uid="{00000000-0005-0000-0000-0000BA8F0000}"/>
    <cellStyle name="Normal 3 3 9 4 2 6 2" xfId="36804" xr:uid="{00000000-0005-0000-0000-0000BB8F0000}"/>
    <cellStyle name="Normal 3 3 9 4 2 6 3" xfId="36805" xr:uid="{00000000-0005-0000-0000-0000BC8F0000}"/>
    <cellStyle name="Normal 3 3 9 4 2 7" xfId="36806" xr:uid="{00000000-0005-0000-0000-0000BD8F0000}"/>
    <cellStyle name="Normal 3 3 9 4 2 7 2" xfId="36807" xr:uid="{00000000-0005-0000-0000-0000BE8F0000}"/>
    <cellStyle name="Normal 3 3 9 4 2 7 3" xfId="36808" xr:uid="{00000000-0005-0000-0000-0000BF8F0000}"/>
    <cellStyle name="Normal 3 3 9 4 2 8" xfId="36809" xr:uid="{00000000-0005-0000-0000-0000C08F0000}"/>
    <cellStyle name="Normal 3 3 9 4 2 8 2" xfId="36810" xr:uid="{00000000-0005-0000-0000-0000C18F0000}"/>
    <cellStyle name="Normal 3 3 9 4 2 8 3" xfId="36811" xr:uid="{00000000-0005-0000-0000-0000C28F0000}"/>
    <cellStyle name="Normal 3 3 9 4 2 9" xfId="36812" xr:uid="{00000000-0005-0000-0000-0000C38F0000}"/>
    <cellStyle name="Normal 3 3 9 4 2 9 2" xfId="36813" xr:uid="{00000000-0005-0000-0000-0000C48F0000}"/>
    <cellStyle name="Normal 3 3 9 4 2 9 3" xfId="36814" xr:uid="{00000000-0005-0000-0000-0000C58F0000}"/>
    <cellStyle name="Normal 3 3 9 4 3" xfId="36815" xr:uid="{00000000-0005-0000-0000-0000C68F0000}"/>
    <cellStyle name="Normal 3 3 9 4 3 2" xfId="36816" xr:uid="{00000000-0005-0000-0000-0000C78F0000}"/>
    <cellStyle name="Normal 3 3 9 4 3 3" xfId="36817" xr:uid="{00000000-0005-0000-0000-0000C88F0000}"/>
    <cellStyle name="Normal 3 3 9 4 4" xfId="36818" xr:uid="{00000000-0005-0000-0000-0000C98F0000}"/>
    <cellStyle name="Normal 3 3 9 4 4 2" xfId="36819" xr:uid="{00000000-0005-0000-0000-0000CA8F0000}"/>
    <cellStyle name="Normal 3 3 9 4 4 3" xfId="36820" xr:uid="{00000000-0005-0000-0000-0000CB8F0000}"/>
    <cellStyle name="Normal 3 3 9 4 5" xfId="36821" xr:uid="{00000000-0005-0000-0000-0000CC8F0000}"/>
    <cellStyle name="Normal 3 3 9 4 5 2" xfId="36822" xr:uid="{00000000-0005-0000-0000-0000CD8F0000}"/>
    <cellStyle name="Normal 3 3 9 4 5 3" xfId="36823" xr:uid="{00000000-0005-0000-0000-0000CE8F0000}"/>
    <cellStyle name="Normal 3 3 9 4 6" xfId="36824" xr:uid="{00000000-0005-0000-0000-0000CF8F0000}"/>
    <cellStyle name="Normal 3 3 9 4 6 2" xfId="36825" xr:uid="{00000000-0005-0000-0000-0000D08F0000}"/>
    <cellStyle name="Normal 3 3 9 4 6 3" xfId="36826" xr:uid="{00000000-0005-0000-0000-0000D18F0000}"/>
    <cellStyle name="Normal 3 3 9 4 7" xfId="36827" xr:uid="{00000000-0005-0000-0000-0000D28F0000}"/>
    <cellStyle name="Normal 3 3 9 4 7 2" xfId="36828" xr:uid="{00000000-0005-0000-0000-0000D38F0000}"/>
    <cellStyle name="Normal 3 3 9 4 7 3" xfId="36829" xr:uid="{00000000-0005-0000-0000-0000D48F0000}"/>
    <cellStyle name="Normal 3 3 9 4 8" xfId="36830" xr:uid="{00000000-0005-0000-0000-0000D58F0000}"/>
    <cellStyle name="Normal 3 3 9 4 8 2" xfId="36831" xr:uid="{00000000-0005-0000-0000-0000D68F0000}"/>
    <cellStyle name="Normal 3 3 9 4 8 3" xfId="36832" xr:uid="{00000000-0005-0000-0000-0000D78F0000}"/>
    <cellStyle name="Normal 3 3 9 4 9" xfId="36833" xr:uid="{00000000-0005-0000-0000-0000D88F0000}"/>
    <cellStyle name="Normal 3 3 9 4 9 2" xfId="36834" xr:uid="{00000000-0005-0000-0000-0000D98F0000}"/>
    <cellStyle name="Normal 3 3 9 4 9 3" xfId="36835" xr:uid="{00000000-0005-0000-0000-0000DA8F0000}"/>
    <cellStyle name="Normal 3 3 9 5" xfId="36836" xr:uid="{00000000-0005-0000-0000-0000DB8F0000}"/>
    <cellStyle name="Normal 3 3 9 5 10" xfId="36837" xr:uid="{00000000-0005-0000-0000-0000DC8F0000}"/>
    <cellStyle name="Normal 3 3 9 5 10 2" xfId="36838" xr:uid="{00000000-0005-0000-0000-0000DD8F0000}"/>
    <cellStyle name="Normal 3 3 9 5 10 3" xfId="36839" xr:uid="{00000000-0005-0000-0000-0000DE8F0000}"/>
    <cellStyle name="Normal 3 3 9 5 11" xfId="36840" xr:uid="{00000000-0005-0000-0000-0000DF8F0000}"/>
    <cellStyle name="Normal 3 3 9 5 11 2" xfId="36841" xr:uid="{00000000-0005-0000-0000-0000E08F0000}"/>
    <cellStyle name="Normal 3 3 9 5 11 3" xfId="36842" xr:uid="{00000000-0005-0000-0000-0000E18F0000}"/>
    <cellStyle name="Normal 3 3 9 5 12" xfId="36843" xr:uid="{00000000-0005-0000-0000-0000E28F0000}"/>
    <cellStyle name="Normal 3 3 9 5 12 2" xfId="36844" xr:uid="{00000000-0005-0000-0000-0000E38F0000}"/>
    <cellStyle name="Normal 3 3 9 5 12 3" xfId="36845" xr:uid="{00000000-0005-0000-0000-0000E48F0000}"/>
    <cellStyle name="Normal 3 3 9 5 13" xfId="36846" xr:uid="{00000000-0005-0000-0000-0000E58F0000}"/>
    <cellStyle name="Normal 3 3 9 5 13 2" xfId="36847" xr:uid="{00000000-0005-0000-0000-0000E68F0000}"/>
    <cellStyle name="Normal 3 3 9 5 13 3" xfId="36848" xr:uid="{00000000-0005-0000-0000-0000E78F0000}"/>
    <cellStyle name="Normal 3 3 9 5 14" xfId="36849" xr:uid="{00000000-0005-0000-0000-0000E88F0000}"/>
    <cellStyle name="Normal 3 3 9 5 14 2" xfId="36850" xr:uid="{00000000-0005-0000-0000-0000E98F0000}"/>
    <cellStyle name="Normal 3 3 9 5 14 3" xfId="36851" xr:uid="{00000000-0005-0000-0000-0000EA8F0000}"/>
    <cellStyle name="Normal 3 3 9 5 15" xfId="36852" xr:uid="{00000000-0005-0000-0000-0000EB8F0000}"/>
    <cellStyle name="Normal 3 3 9 5 16" xfId="36853" xr:uid="{00000000-0005-0000-0000-0000EC8F0000}"/>
    <cellStyle name="Normal 3 3 9 5 2" xfId="36854" xr:uid="{00000000-0005-0000-0000-0000ED8F0000}"/>
    <cellStyle name="Normal 3 3 9 5 2 2" xfId="36855" xr:uid="{00000000-0005-0000-0000-0000EE8F0000}"/>
    <cellStyle name="Normal 3 3 9 5 2 3" xfId="36856" xr:uid="{00000000-0005-0000-0000-0000EF8F0000}"/>
    <cellStyle name="Normal 3 3 9 5 3" xfId="36857" xr:uid="{00000000-0005-0000-0000-0000F08F0000}"/>
    <cellStyle name="Normal 3 3 9 5 3 2" xfId="36858" xr:uid="{00000000-0005-0000-0000-0000F18F0000}"/>
    <cellStyle name="Normal 3 3 9 5 3 3" xfId="36859" xr:uid="{00000000-0005-0000-0000-0000F28F0000}"/>
    <cellStyle name="Normal 3 3 9 5 4" xfId="36860" xr:uid="{00000000-0005-0000-0000-0000F38F0000}"/>
    <cellStyle name="Normal 3 3 9 5 4 2" xfId="36861" xr:uid="{00000000-0005-0000-0000-0000F48F0000}"/>
    <cellStyle name="Normal 3 3 9 5 4 3" xfId="36862" xr:uid="{00000000-0005-0000-0000-0000F58F0000}"/>
    <cellStyle name="Normal 3 3 9 5 5" xfId="36863" xr:uid="{00000000-0005-0000-0000-0000F68F0000}"/>
    <cellStyle name="Normal 3 3 9 5 5 2" xfId="36864" xr:uid="{00000000-0005-0000-0000-0000F78F0000}"/>
    <cellStyle name="Normal 3 3 9 5 5 3" xfId="36865" xr:uid="{00000000-0005-0000-0000-0000F88F0000}"/>
    <cellStyle name="Normal 3 3 9 5 6" xfId="36866" xr:uid="{00000000-0005-0000-0000-0000F98F0000}"/>
    <cellStyle name="Normal 3 3 9 5 6 2" xfId="36867" xr:uid="{00000000-0005-0000-0000-0000FA8F0000}"/>
    <cellStyle name="Normal 3 3 9 5 6 3" xfId="36868" xr:uid="{00000000-0005-0000-0000-0000FB8F0000}"/>
    <cellStyle name="Normal 3 3 9 5 7" xfId="36869" xr:uid="{00000000-0005-0000-0000-0000FC8F0000}"/>
    <cellStyle name="Normal 3 3 9 5 7 2" xfId="36870" xr:uid="{00000000-0005-0000-0000-0000FD8F0000}"/>
    <cellStyle name="Normal 3 3 9 5 7 3" xfId="36871" xr:uid="{00000000-0005-0000-0000-0000FE8F0000}"/>
    <cellStyle name="Normal 3 3 9 5 8" xfId="36872" xr:uid="{00000000-0005-0000-0000-0000FF8F0000}"/>
    <cellStyle name="Normal 3 3 9 5 8 2" xfId="36873" xr:uid="{00000000-0005-0000-0000-000000900000}"/>
    <cellStyle name="Normal 3 3 9 5 8 3" xfId="36874" xr:uid="{00000000-0005-0000-0000-000001900000}"/>
    <cellStyle name="Normal 3 3 9 5 9" xfId="36875" xr:uid="{00000000-0005-0000-0000-000002900000}"/>
    <cellStyle name="Normal 3 3 9 5 9 2" xfId="36876" xr:uid="{00000000-0005-0000-0000-000003900000}"/>
    <cellStyle name="Normal 3 3 9 5 9 3" xfId="36877" xr:uid="{00000000-0005-0000-0000-000004900000}"/>
    <cellStyle name="Normal 3 3 9 6" xfId="36878" xr:uid="{00000000-0005-0000-0000-000005900000}"/>
    <cellStyle name="Normal 3 3 9 6 10" xfId="36879" xr:uid="{00000000-0005-0000-0000-000006900000}"/>
    <cellStyle name="Normal 3 3 9 6 10 2" xfId="36880" xr:uid="{00000000-0005-0000-0000-000007900000}"/>
    <cellStyle name="Normal 3 3 9 6 10 3" xfId="36881" xr:uid="{00000000-0005-0000-0000-000008900000}"/>
    <cellStyle name="Normal 3 3 9 6 11" xfId="36882" xr:uid="{00000000-0005-0000-0000-000009900000}"/>
    <cellStyle name="Normal 3 3 9 6 11 2" xfId="36883" xr:uid="{00000000-0005-0000-0000-00000A900000}"/>
    <cellStyle name="Normal 3 3 9 6 11 3" xfId="36884" xr:uid="{00000000-0005-0000-0000-00000B900000}"/>
    <cellStyle name="Normal 3 3 9 6 12" xfId="36885" xr:uid="{00000000-0005-0000-0000-00000C900000}"/>
    <cellStyle name="Normal 3 3 9 6 12 2" xfId="36886" xr:uid="{00000000-0005-0000-0000-00000D900000}"/>
    <cellStyle name="Normal 3 3 9 6 12 3" xfId="36887" xr:uid="{00000000-0005-0000-0000-00000E900000}"/>
    <cellStyle name="Normal 3 3 9 6 13" xfId="36888" xr:uid="{00000000-0005-0000-0000-00000F900000}"/>
    <cellStyle name="Normal 3 3 9 6 13 2" xfId="36889" xr:uid="{00000000-0005-0000-0000-000010900000}"/>
    <cellStyle name="Normal 3 3 9 6 13 3" xfId="36890" xr:uid="{00000000-0005-0000-0000-000011900000}"/>
    <cellStyle name="Normal 3 3 9 6 14" xfId="36891" xr:uid="{00000000-0005-0000-0000-000012900000}"/>
    <cellStyle name="Normal 3 3 9 6 14 2" xfId="36892" xr:uid="{00000000-0005-0000-0000-000013900000}"/>
    <cellStyle name="Normal 3 3 9 6 14 3" xfId="36893" xr:uid="{00000000-0005-0000-0000-000014900000}"/>
    <cellStyle name="Normal 3 3 9 6 15" xfId="36894" xr:uid="{00000000-0005-0000-0000-000015900000}"/>
    <cellStyle name="Normal 3 3 9 6 16" xfId="36895" xr:uid="{00000000-0005-0000-0000-000016900000}"/>
    <cellStyle name="Normal 3 3 9 6 2" xfId="36896" xr:uid="{00000000-0005-0000-0000-000017900000}"/>
    <cellStyle name="Normal 3 3 9 6 2 2" xfId="36897" xr:uid="{00000000-0005-0000-0000-000018900000}"/>
    <cellStyle name="Normal 3 3 9 6 2 3" xfId="36898" xr:uid="{00000000-0005-0000-0000-000019900000}"/>
    <cellStyle name="Normal 3 3 9 6 3" xfId="36899" xr:uid="{00000000-0005-0000-0000-00001A900000}"/>
    <cellStyle name="Normal 3 3 9 6 3 2" xfId="36900" xr:uid="{00000000-0005-0000-0000-00001B900000}"/>
    <cellStyle name="Normal 3 3 9 6 3 3" xfId="36901" xr:uid="{00000000-0005-0000-0000-00001C900000}"/>
    <cellStyle name="Normal 3 3 9 6 4" xfId="36902" xr:uid="{00000000-0005-0000-0000-00001D900000}"/>
    <cellStyle name="Normal 3 3 9 6 4 2" xfId="36903" xr:uid="{00000000-0005-0000-0000-00001E900000}"/>
    <cellStyle name="Normal 3 3 9 6 4 3" xfId="36904" xr:uid="{00000000-0005-0000-0000-00001F900000}"/>
    <cellStyle name="Normal 3 3 9 6 5" xfId="36905" xr:uid="{00000000-0005-0000-0000-000020900000}"/>
    <cellStyle name="Normal 3 3 9 6 5 2" xfId="36906" xr:uid="{00000000-0005-0000-0000-000021900000}"/>
    <cellStyle name="Normal 3 3 9 6 5 3" xfId="36907" xr:uid="{00000000-0005-0000-0000-000022900000}"/>
    <cellStyle name="Normal 3 3 9 6 6" xfId="36908" xr:uid="{00000000-0005-0000-0000-000023900000}"/>
    <cellStyle name="Normal 3 3 9 6 6 2" xfId="36909" xr:uid="{00000000-0005-0000-0000-000024900000}"/>
    <cellStyle name="Normal 3 3 9 6 6 3" xfId="36910" xr:uid="{00000000-0005-0000-0000-000025900000}"/>
    <cellStyle name="Normal 3 3 9 6 7" xfId="36911" xr:uid="{00000000-0005-0000-0000-000026900000}"/>
    <cellStyle name="Normal 3 3 9 6 7 2" xfId="36912" xr:uid="{00000000-0005-0000-0000-000027900000}"/>
    <cellStyle name="Normal 3 3 9 6 7 3" xfId="36913" xr:uid="{00000000-0005-0000-0000-000028900000}"/>
    <cellStyle name="Normal 3 3 9 6 8" xfId="36914" xr:uid="{00000000-0005-0000-0000-000029900000}"/>
    <cellStyle name="Normal 3 3 9 6 8 2" xfId="36915" xr:uid="{00000000-0005-0000-0000-00002A900000}"/>
    <cellStyle name="Normal 3 3 9 6 8 3" xfId="36916" xr:uid="{00000000-0005-0000-0000-00002B900000}"/>
    <cellStyle name="Normal 3 3 9 6 9" xfId="36917" xr:uid="{00000000-0005-0000-0000-00002C900000}"/>
    <cellStyle name="Normal 3 3 9 6 9 2" xfId="36918" xr:uid="{00000000-0005-0000-0000-00002D900000}"/>
    <cellStyle name="Normal 3 3 9 6 9 3" xfId="36919" xr:uid="{00000000-0005-0000-0000-00002E900000}"/>
    <cellStyle name="Normal 3 3 9 7" xfId="36920" xr:uid="{00000000-0005-0000-0000-00002F900000}"/>
    <cellStyle name="Normal 3 3 9 7 10" xfId="36921" xr:uid="{00000000-0005-0000-0000-000030900000}"/>
    <cellStyle name="Normal 3 3 9 7 10 2" xfId="36922" xr:uid="{00000000-0005-0000-0000-000031900000}"/>
    <cellStyle name="Normal 3 3 9 7 10 3" xfId="36923" xr:uid="{00000000-0005-0000-0000-000032900000}"/>
    <cellStyle name="Normal 3 3 9 7 11" xfId="36924" xr:uid="{00000000-0005-0000-0000-000033900000}"/>
    <cellStyle name="Normal 3 3 9 7 11 2" xfId="36925" xr:uid="{00000000-0005-0000-0000-000034900000}"/>
    <cellStyle name="Normal 3 3 9 7 11 3" xfId="36926" xr:uid="{00000000-0005-0000-0000-000035900000}"/>
    <cellStyle name="Normal 3 3 9 7 12" xfId="36927" xr:uid="{00000000-0005-0000-0000-000036900000}"/>
    <cellStyle name="Normal 3 3 9 7 12 2" xfId="36928" xr:uid="{00000000-0005-0000-0000-000037900000}"/>
    <cellStyle name="Normal 3 3 9 7 12 3" xfId="36929" xr:uid="{00000000-0005-0000-0000-000038900000}"/>
    <cellStyle name="Normal 3 3 9 7 13" xfId="36930" xr:uid="{00000000-0005-0000-0000-000039900000}"/>
    <cellStyle name="Normal 3 3 9 7 13 2" xfId="36931" xr:uid="{00000000-0005-0000-0000-00003A900000}"/>
    <cellStyle name="Normal 3 3 9 7 13 3" xfId="36932" xr:uid="{00000000-0005-0000-0000-00003B900000}"/>
    <cellStyle name="Normal 3 3 9 7 14" xfId="36933" xr:uid="{00000000-0005-0000-0000-00003C900000}"/>
    <cellStyle name="Normal 3 3 9 7 14 2" xfId="36934" xr:uid="{00000000-0005-0000-0000-00003D900000}"/>
    <cellStyle name="Normal 3 3 9 7 14 3" xfId="36935" xr:uid="{00000000-0005-0000-0000-00003E900000}"/>
    <cellStyle name="Normal 3 3 9 7 15" xfId="36936" xr:uid="{00000000-0005-0000-0000-00003F900000}"/>
    <cellStyle name="Normal 3 3 9 7 16" xfId="36937" xr:uid="{00000000-0005-0000-0000-000040900000}"/>
    <cellStyle name="Normal 3 3 9 7 2" xfId="36938" xr:uid="{00000000-0005-0000-0000-000041900000}"/>
    <cellStyle name="Normal 3 3 9 7 2 2" xfId="36939" xr:uid="{00000000-0005-0000-0000-000042900000}"/>
    <cellStyle name="Normal 3 3 9 7 2 3" xfId="36940" xr:uid="{00000000-0005-0000-0000-000043900000}"/>
    <cellStyle name="Normal 3 3 9 7 3" xfId="36941" xr:uid="{00000000-0005-0000-0000-000044900000}"/>
    <cellStyle name="Normal 3 3 9 7 3 2" xfId="36942" xr:uid="{00000000-0005-0000-0000-000045900000}"/>
    <cellStyle name="Normal 3 3 9 7 3 3" xfId="36943" xr:uid="{00000000-0005-0000-0000-000046900000}"/>
    <cellStyle name="Normal 3 3 9 7 4" xfId="36944" xr:uid="{00000000-0005-0000-0000-000047900000}"/>
    <cellStyle name="Normal 3 3 9 7 4 2" xfId="36945" xr:uid="{00000000-0005-0000-0000-000048900000}"/>
    <cellStyle name="Normal 3 3 9 7 4 3" xfId="36946" xr:uid="{00000000-0005-0000-0000-000049900000}"/>
    <cellStyle name="Normal 3 3 9 7 5" xfId="36947" xr:uid="{00000000-0005-0000-0000-00004A900000}"/>
    <cellStyle name="Normal 3 3 9 7 5 2" xfId="36948" xr:uid="{00000000-0005-0000-0000-00004B900000}"/>
    <cellStyle name="Normal 3 3 9 7 5 3" xfId="36949" xr:uid="{00000000-0005-0000-0000-00004C900000}"/>
    <cellStyle name="Normal 3 3 9 7 6" xfId="36950" xr:uid="{00000000-0005-0000-0000-00004D900000}"/>
    <cellStyle name="Normal 3 3 9 7 6 2" xfId="36951" xr:uid="{00000000-0005-0000-0000-00004E900000}"/>
    <cellStyle name="Normal 3 3 9 7 6 3" xfId="36952" xr:uid="{00000000-0005-0000-0000-00004F900000}"/>
    <cellStyle name="Normal 3 3 9 7 7" xfId="36953" xr:uid="{00000000-0005-0000-0000-000050900000}"/>
    <cellStyle name="Normal 3 3 9 7 7 2" xfId="36954" xr:uid="{00000000-0005-0000-0000-000051900000}"/>
    <cellStyle name="Normal 3 3 9 7 7 3" xfId="36955" xr:uid="{00000000-0005-0000-0000-000052900000}"/>
    <cellStyle name="Normal 3 3 9 7 8" xfId="36956" xr:uid="{00000000-0005-0000-0000-000053900000}"/>
    <cellStyle name="Normal 3 3 9 7 8 2" xfId="36957" xr:uid="{00000000-0005-0000-0000-000054900000}"/>
    <cellStyle name="Normal 3 3 9 7 8 3" xfId="36958" xr:uid="{00000000-0005-0000-0000-000055900000}"/>
    <cellStyle name="Normal 3 3 9 7 9" xfId="36959" xr:uid="{00000000-0005-0000-0000-000056900000}"/>
    <cellStyle name="Normal 3 3 9 7 9 2" xfId="36960" xr:uid="{00000000-0005-0000-0000-000057900000}"/>
    <cellStyle name="Normal 3 3 9 7 9 3" xfId="36961" xr:uid="{00000000-0005-0000-0000-000058900000}"/>
    <cellStyle name="Normal 3 3 9 8" xfId="36962" xr:uid="{00000000-0005-0000-0000-000059900000}"/>
    <cellStyle name="Normal 3 3 9 8 10" xfId="36963" xr:uid="{00000000-0005-0000-0000-00005A900000}"/>
    <cellStyle name="Normal 3 3 9 8 10 2" xfId="36964" xr:uid="{00000000-0005-0000-0000-00005B900000}"/>
    <cellStyle name="Normal 3 3 9 8 10 3" xfId="36965" xr:uid="{00000000-0005-0000-0000-00005C900000}"/>
    <cellStyle name="Normal 3 3 9 8 11" xfId="36966" xr:uid="{00000000-0005-0000-0000-00005D900000}"/>
    <cellStyle name="Normal 3 3 9 8 11 2" xfId="36967" xr:uid="{00000000-0005-0000-0000-00005E900000}"/>
    <cellStyle name="Normal 3 3 9 8 11 3" xfId="36968" xr:uid="{00000000-0005-0000-0000-00005F900000}"/>
    <cellStyle name="Normal 3 3 9 8 12" xfId="36969" xr:uid="{00000000-0005-0000-0000-000060900000}"/>
    <cellStyle name="Normal 3 3 9 8 12 2" xfId="36970" xr:uid="{00000000-0005-0000-0000-000061900000}"/>
    <cellStyle name="Normal 3 3 9 8 12 3" xfId="36971" xr:uid="{00000000-0005-0000-0000-000062900000}"/>
    <cellStyle name="Normal 3 3 9 8 13" xfId="36972" xr:uid="{00000000-0005-0000-0000-000063900000}"/>
    <cellStyle name="Normal 3 3 9 8 13 2" xfId="36973" xr:uid="{00000000-0005-0000-0000-000064900000}"/>
    <cellStyle name="Normal 3 3 9 8 13 3" xfId="36974" xr:uid="{00000000-0005-0000-0000-000065900000}"/>
    <cellStyle name="Normal 3 3 9 8 14" xfId="36975" xr:uid="{00000000-0005-0000-0000-000066900000}"/>
    <cellStyle name="Normal 3 3 9 8 14 2" xfId="36976" xr:uid="{00000000-0005-0000-0000-000067900000}"/>
    <cellStyle name="Normal 3 3 9 8 14 3" xfId="36977" xr:uid="{00000000-0005-0000-0000-000068900000}"/>
    <cellStyle name="Normal 3 3 9 8 15" xfId="36978" xr:uid="{00000000-0005-0000-0000-000069900000}"/>
    <cellStyle name="Normal 3 3 9 8 16" xfId="36979" xr:uid="{00000000-0005-0000-0000-00006A900000}"/>
    <cellStyle name="Normal 3 3 9 8 2" xfId="36980" xr:uid="{00000000-0005-0000-0000-00006B900000}"/>
    <cellStyle name="Normal 3 3 9 8 2 2" xfId="36981" xr:uid="{00000000-0005-0000-0000-00006C900000}"/>
    <cellStyle name="Normal 3 3 9 8 2 3" xfId="36982" xr:uid="{00000000-0005-0000-0000-00006D900000}"/>
    <cellStyle name="Normal 3 3 9 8 3" xfId="36983" xr:uid="{00000000-0005-0000-0000-00006E900000}"/>
    <cellStyle name="Normal 3 3 9 8 3 2" xfId="36984" xr:uid="{00000000-0005-0000-0000-00006F900000}"/>
    <cellStyle name="Normal 3 3 9 8 3 3" xfId="36985" xr:uid="{00000000-0005-0000-0000-000070900000}"/>
    <cellStyle name="Normal 3 3 9 8 4" xfId="36986" xr:uid="{00000000-0005-0000-0000-000071900000}"/>
    <cellStyle name="Normal 3 3 9 8 4 2" xfId="36987" xr:uid="{00000000-0005-0000-0000-000072900000}"/>
    <cellStyle name="Normal 3 3 9 8 4 3" xfId="36988" xr:uid="{00000000-0005-0000-0000-000073900000}"/>
    <cellStyle name="Normal 3 3 9 8 5" xfId="36989" xr:uid="{00000000-0005-0000-0000-000074900000}"/>
    <cellStyle name="Normal 3 3 9 8 5 2" xfId="36990" xr:uid="{00000000-0005-0000-0000-000075900000}"/>
    <cellStyle name="Normal 3 3 9 8 5 3" xfId="36991" xr:uid="{00000000-0005-0000-0000-000076900000}"/>
    <cellStyle name="Normal 3 3 9 8 6" xfId="36992" xr:uid="{00000000-0005-0000-0000-000077900000}"/>
    <cellStyle name="Normal 3 3 9 8 6 2" xfId="36993" xr:uid="{00000000-0005-0000-0000-000078900000}"/>
    <cellStyle name="Normal 3 3 9 8 6 3" xfId="36994" xr:uid="{00000000-0005-0000-0000-000079900000}"/>
    <cellStyle name="Normal 3 3 9 8 7" xfId="36995" xr:uid="{00000000-0005-0000-0000-00007A900000}"/>
    <cellStyle name="Normal 3 3 9 8 7 2" xfId="36996" xr:uid="{00000000-0005-0000-0000-00007B900000}"/>
    <cellStyle name="Normal 3 3 9 8 7 3" xfId="36997" xr:uid="{00000000-0005-0000-0000-00007C900000}"/>
    <cellStyle name="Normal 3 3 9 8 8" xfId="36998" xr:uid="{00000000-0005-0000-0000-00007D900000}"/>
    <cellStyle name="Normal 3 3 9 8 8 2" xfId="36999" xr:uid="{00000000-0005-0000-0000-00007E900000}"/>
    <cellStyle name="Normal 3 3 9 8 8 3" xfId="37000" xr:uid="{00000000-0005-0000-0000-00007F900000}"/>
    <cellStyle name="Normal 3 3 9 8 9" xfId="37001" xr:uid="{00000000-0005-0000-0000-000080900000}"/>
    <cellStyle name="Normal 3 3 9 8 9 2" xfId="37002" xr:uid="{00000000-0005-0000-0000-000081900000}"/>
    <cellStyle name="Normal 3 3 9 8 9 3" xfId="37003" xr:uid="{00000000-0005-0000-0000-000082900000}"/>
    <cellStyle name="Normal 3 3 9 9" xfId="37004" xr:uid="{00000000-0005-0000-0000-000083900000}"/>
    <cellStyle name="Normal 3 3 9 9 10" xfId="37005" xr:uid="{00000000-0005-0000-0000-000084900000}"/>
    <cellStyle name="Normal 3 3 9 9 10 2" xfId="37006" xr:uid="{00000000-0005-0000-0000-000085900000}"/>
    <cellStyle name="Normal 3 3 9 9 10 3" xfId="37007" xr:uid="{00000000-0005-0000-0000-000086900000}"/>
    <cellStyle name="Normal 3 3 9 9 11" xfId="37008" xr:uid="{00000000-0005-0000-0000-000087900000}"/>
    <cellStyle name="Normal 3 3 9 9 11 2" xfId="37009" xr:uid="{00000000-0005-0000-0000-000088900000}"/>
    <cellStyle name="Normal 3 3 9 9 11 3" xfId="37010" xr:uid="{00000000-0005-0000-0000-000089900000}"/>
    <cellStyle name="Normal 3 3 9 9 12" xfId="37011" xr:uid="{00000000-0005-0000-0000-00008A900000}"/>
    <cellStyle name="Normal 3 3 9 9 12 2" xfId="37012" xr:uid="{00000000-0005-0000-0000-00008B900000}"/>
    <cellStyle name="Normal 3 3 9 9 12 3" xfId="37013" xr:uid="{00000000-0005-0000-0000-00008C900000}"/>
    <cellStyle name="Normal 3 3 9 9 13" xfId="37014" xr:uid="{00000000-0005-0000-0000-00008D900000}"/>
    <cellStyle name="Normal 3 3 9 9 13 2" xfId="37015" xr:uid="{00000000-0005-0000-0000-00008E900000}"/>
    <cellStyle name="Normal 3 3 9 9 13 3" xfId="37016" xr:uid="{00000000-0005-0000-0000-00008F900000}"/>
    <cellStyle name="Normal 3 3 9 9 14" xfId="37017" xr:uid="{00000000-0005-0000-0000-000090900000}"/>
    <cellStyle name="Normal 3 3 9 9 14 2" xfId="37018" xr:uid="{00000000-0005-0000-0000-000091900000}"/>
    <cellStyle name="Normal 3 3 9 9 14 3" xfId="37019" xr:uid="{00000000-0005-0000-0000-000092900000}"/>
    <cellStyle name="Normal 3 3 9 9 15" xfId="37020" xr:uid="{00000000-0005-0000-0000-000093900000}"/>
    <cellStyle name="Normal 3 3 9 9 16" xfId="37021" xr:uid="{00000000-0005-0000-0000-000094900000}"/>
    <cellStyle name="Normal 3 3 9 9 2" xfId="37022" xr:uid="{00000000-0005-0000-0000-000095900000}"/>
    <cellStyle name="Normal 3 3 9 9 2 2" xfId="37023" xr:uid="{00000000-0005-0000-0000-000096900000}"/>
    <cellStyle name="Normal 3 3 9 9 2 3" xfId="37024" xr:uid="{00000000-0005-0000-0000-000097900000}"/>
    <cellStyle name="Normal 3 3 9 9 3" xfId="37025" xr:uid="{00000000-0005-0000-0000-000098900000}"/>
    <cellStyle name="Normal 3 3 9 9 3 2" xfId="37026" xr:uid="{00000000-0005-0000-0000-000099900000}"/>
    <cellStyle name="Normal 3 3 9 9 3 3" xfId="37027" xr:uid="{00000000-0005-0000-0000-00009A900000}"/>
    <cellStyle name="Normal 3 3 9 9 4" xfId="37028" xr:uid="{00000000-0005-0000-0000-00009B900000}"/>
    <cellStyle name="Normal 3 3 9 9 4 2" xfId="37029" xr:uid="{00000000-0005-0000-0000-00009C900000}"/>
    <cellStyle name="Normal 3 3 9 9 4 3" xfId="37030" xr:uid="{00000000-0005-0000-0000-00009D900000}"/>
    <cellStyle name="Normal 3 3 9 9 5" xfId="37031" xr:uid="{00000000-0005-0000-0000-00009E900000}"/>
    <cellStyle name="Normal 3 3 9 9 5 2" xfId="37032" xr:uid="{00000000-0005-0000-0000-00009F900000}"/>
    <cellStyle name="Normal 3 3 9 9 5 3" xfId="37033" xr:uid="{00000000-0005-0000-0000-0000A0900000}"/>
    <cellStyle name="Normal 3 3 9 9 6" xfId="37034" xr:uid="{00000000-0005-0000-0000-0000A1900000}"/>
    <cellStyle name="Normal 3 3 9 9 6 2" xfId="37035" xr:uid="{00000000-0005-0000-0000-0000A2900000}"/>
    <cellStyle name="Normal 3 3 9 9 6 3" xfId="37036" xr:uid="{00000000-0005-0000-0000-0000A3900000}"/>
    <cellStyle name="Normal 3 3 9 9 7" xfId="37037" xr:uid="{00000000-0005-0000-0000-0000A4900000}"/>
    <cellStyle name="Normal 3 3 9 9 7 2" xfId="37038" xr:uid="{00000000-0005-0000-0000-0000A5900000}"/>
    <cellStyle name="Normal 3 3 9 9 7 3" xfId="37039" xr:uid="{00000000-0005-0000-0000-0000A6900000}"/>
    <cellStyle name="Normal 3 3 9 9 8" xfId="37040" xr:uid="{00000000-0005-0000-0000-0000A7900000}"/>
    <cellStyle name="Normal 3 3 9 9 8 2" xfId="37041" xr:uid="{00000000-0005-0000-0000-0000A8900000}"/>
    <cellStyle name="Normal 3 3 9 9 8 3" xfId="37042" xr:uid="{00000000-0005-0000-0000-0000A9900000}"/>
    <cellStyle name="Normal 3 3 9 9 9" xfId="37043" xr:uid="{00000000-0005-0000-0000-0000AA900000}"/>
    <cellStyle name="Normal 3 3 9 9 9 2" xfId="37044" xr:uid="{00000000-0005-0000-0000-0000AB900000}"/>
    <cellStyle name="Normal 3 3 9 9 9 3" xfId="37045" xr:uid="{00000000-0005-0000-0000-0000AC900000}"/>
    <cellStyle name="Normal 3 30" xfId="37046" xr:uid="{00000000-0005-0000-0000-0000AD900000}"/>
    <cellStyle name="Normal 3 31" xfId="37047" xr:uid="{00000000-0005-0000-0000-0000AE900000}"/>
    <cellStyle name="Normal 3 32" xfId="37048" xr:uid="{00000000-0005-0000-0000-0000AF900000}"/>
    <cellStyle name="Normal 3 33" xfId="37049" xr:uid="{00000000-0005-0000-0000-0000B0900000}"/>
    <cellStyle name="Normal 3 34" xfId="37050" xr:uid="{00000000-0005-0000-0000-0000B1900000}"/>
    <cellStyle name="Normal 3 35" xfId="37051" xr:uid="{00000000-0005-0000-0000-0000B2900000}"/>
    <cellStyle name="Normal 3 36" xfId="37052" xr:uid="{00000000-0005-0000-0000-0000B3900000}"/>
    <cellStyle name="Normal 3 36 10" xfId="37053" xr:uid="{00000000-0005-0000-0000-0000B4900000}"/>
    <cellStyle name="Normal 3 36 10 10" xfId="37054" xr:uid="{00000000-0005-0000-0000-0000B5900000}"/>
    <cellStyle name="Normal 3 36 10 10 2" xfId="37055" xr:uid="{00000000-0005-0000-0000-0000B6900000}"/>
    <cellStyle name="Normal 3 36 10 10 3" xfId="37056" xr:uid="{00000000-0005-0000-0000-0000B7900000}"/>
    <cellStyle name="Normal 3 36 10 11" xfId="37057" xr:uid="{00000000-0005-0000-0000-0000B8900000}"/>
    <cellStyle name="Normal 3 36 10 11 2" xfId="37058" xr:uid="{00000000-0005-0000-0000-0000B9900000}"/>
    <cellStyle name="Normal 3 36 10 11 3" xfId="37059" xr:uid="{00000000-0005-0000-0000-0000BA900000}"/>
    <cellStyle name="Normal 3 36 10 12" xfId="37060" xr:uid="{00000000-0005-0000-0000-0000BB900000}"/>
    <cellStyle name="Normal 3 36 10 12 2" xfId="37061" xr:uid="{00000000-0005-0000-0000-0000BC900000}"/>
    <cellStyle name="Normal 3 36 10 12 3" xfId="37062" xr:uid="{00000000-0005-0000-0000-0000BD900000}"/>
    <cellStyle name="Normal 3 36 10 13" xfId="37063" xr:uid="{00000000-0005-0000-0000-0000BE900000}"/>
    <cellStyle name="Normal 3 36 10 13 2" xfId="37064" xr:uid="{00000000-0005-0000-0000-0000BF900000}"/>
    <cellStyle name="Normal 3 36 10 13 3" xfId="37065" xr:uid="{00000000-0005-0000-0000-0000C0900000}"/>
    <cellStyle name="Normal 3 36 10 14" xfId="37066" xr:uid="{00000000-0005-0000-0000-0000C1900000}"/>
    <cellStyle name="Normal 3 36 10 14 2" xfId="37067" xr:uid="{00000000-0005-0000-0000-0000C2900000}"/>
    <cellStyle name="Normal 3 36 10 14 3" xfId="37068" xr:uid="{00000000-0005-0000-0000-0000C3900000}"/>
    <cellStyle name="Normal 3 36 10 15" xfId="37069" xr:uid="{00000000-0005-0000-0000-0000C4900000}"/>
    <cellStyle name="Normal 3 36 10 16" xfId="37070" xr:uid="{00000000-0005-0000-0000-0000C5900000}"/>
    <cellStyle name="Normal 3 36 10 2" xfId="37071" xr:uid="{00000000-0005-0000-0000-0000C6900000}"/>
    <cellStyle name="Normal 3 36 10 2 2" xfId="37072" xr:uid="{00000000-0005-0000-0000-0000C7900000}"/>
    <cellStyle name="Normal 3 36 10 2 3" xfId="37073" xr:uid="{00000000-0005-0000-0000-0000C8900000}"/>
    <cellStyle name="Normal 3 36 10 3" xfId="37074" xr:uid="{00000000-0005-0000-0000-0000C9900000}"/>
    <cellStyle name="Normal 3 36 10 3 2" xfId="37075" xr:uid="{00000000-0005-0000-0000-0000CA900000}"/>
    <cellStyle name="Normal 3 36 10 3 3" xfId="37076" xr:uid="{00000000-0005-0000-0000-0000CB900000}"/>
    <cellStyle name="Normal 3 36 10 4" xfId="37077" xr:uid="{00000000-0005-0000-0000-0000CC900000}"/>
    <cellStyle name="Normal 3 36 10 4 2" xfId="37078" xr:uid="{00000000-0005-0000-0000-0000CD900000}"/>
    <cellStyle name="Normal 3 36 10 4 3" xfId="37079" xr:uid="{00000000-0005-0000-0000-0000CE900000}"/>
    <cellStyle name="Normal 3 36 10 5" xfId="37080" xr:uid="{00000000-0005-0000-0000-0000CF900000}"/>
    <cellStyle name="Normal 3 36 10 5 2" xfId="37081" xr:uid="{00000000-0005-0000-0000-0000D0900000}"/>
    <cellStyle name="Normal 3 36 10 5 3" xfId="37082" xr:uid="{00000000-0005-0000-0000-0000D1900000}"/>
    <cellStyle name="Normal 3 36 10 6" xfId="37083" xr:uid="{00000000-0005-0000-0000-0000D2900000}"/>
    <cellStyle name="Normal 3 36 10 6 2" xfId="37084" xr:uid="{00000000-0005-0000-0000-0000D3900000}"/>
    <cellStyle name="Normal 3 36 10 6 3" xfId="37085" xr:uid="{00000000-0005-0000-0000-0000D4900000}"/>
    <cellStyle name="Normal 3 36 10 7" xfId="37086" xr:uid="{00000000-0005-0000-0000-0000D5900000}"/>
    <cellStyle name="Normal 3 36 10 7 2" xfId="37087" xr:uid="{00000000-0005-0000-0000-0000D6900000}"/>
    <cellStyle name="Normal 3 36 10 7 3" xfId="37088" xr:uid="{00000000-0005-0000-0000-0000D7900000}"/>
    <cellStyle name="Normal 3 36 10 8" xfId="37089" xr:uid="{00000000-0005-0000-0000-0000D8900000}"/>
    <cellStyle name="Normal 3 36 10 8 2" xfId="37090" xr:uid="{00000000-0005-0000-0000-0000D9900000}"/>
    <cellStyle name="Normal 3 36 10 8 3" xfId="37091" xr:uid="{00000000-0005-0000-0000-0000DA900000}"/>
    <cellStyle name="Normal 3 36 10 9" xfId="37092" xr:uid="{00000000-0005-0000-0000-0000DB900000}"/>
    <cellStyle name="Normal 3 36 10 9 2" xfId="37093" xr:uid="{00000000-0005-0000-0000-0000DC900000}"/>
    <cellStyle name="Normal 3 36 10 9 3" xfId="37094" xr:uid="{00000000-0005-0000-0000-0000DD900000}"/>
    <cellStyle name="Normal 3 36 11" xfId="37095" xr:uid="{00000000-0005-0000-0000-0000DE900000}"/>
    <cellStyle name="Normal 3 36 11 2" xfId="37096" xr:uid="{00000000-0005-0000-0000-0000DF900000}"/>
    <cellStyle name="Normal 3 36 11 3" xfId="37097" xr:uid="{00000000-0005-0000-0000-0000E0900000}"/>
    <cellStyle name="Normal 3 36 12" xfId="37098" xr:uid="{00000000-0005-0000-0000-0000E1900000}"/>
    <cellStyle name="Normal 3 36 12 2" xfId="37099" xr:uid="{00000000-0005-0000-0000-0000E2900000}"/>
    <cellStyle name="Normal 3 36 12 3" xfId="37100" xr:uid="{00000000-0005-0000-0000-0000E3900000}"/>
    <cellStyle name="Normal 3 36 13" xfId="37101" xr:uid="{00000000-0005-0000-0000-0000E4900000}"/>
    <cellStyle name="Normal 3 36 13 2" xfId="37102" xr:uid="{00000000-0005-0000-0000-0000E5900000}"/>
    <cellStyle name="Normal 3 36 13 3" xfId="37103" xr:uid="{00000000-0005-0000-0000-0000E6900000}"/>
    <cellStyle name="Normal 3 36 14" xfId="37104" xr:uid="{00000000-0005-0000-0000-0000E7900000}"/>
    <cellStyle name="Normal 3 36 14 2" xfId="37105" xr:uid="{00000000-0005-0000-0000-0000E8900000}"/>
    <cellStyle name="Normal 3 36 14 3" xfId="37106" xr:uid="{00000000-0005-0000-0000-0000E9900000}"/>
    <cellStyle name="Normal 3 36 15" xfId="37107" xr:uid="{00000000-0005-0000-0000-0000EA900000}"/>
    <cellStyle name="Normal 3 36 15 2" xfId="37108" xr:uid="{00000000-0005-0000-0000-0000EB900000}"/>
    <cellStyle name="Normal 3 36 15 3" xfId="37109" xr:uid="{00000000-0005-0000-0000-0000EC900000}"/>
    <cellStyle name="Normal 3 36 16" xfId="37110" xr:uid="{00000000-0005-0000-0000-0000ED900000}"/>
    <cellStyle name="Normal 3 36 16 2" xfId="37111" xr:uid="{00000000-0005-0000-0000-0000EE900000}"/>
    <cellStyle name="Normal 3 36 16 3" xfId="37112" xr:uid="{00000000-0005-0000-0000-0000EF900000}"/>
    <cellStyle name="Normal 3 36 17" xfId="37113" xr:uid="{00000000-0005-0000-0000-0000F0900000}"/>
    <cellStyle name="Normal 3 36 17 2" xfId="37114" xr:uid="{00000000-0005-0000-0000-0000F1900000}"/>
    <cellStyle name="Normal 3 36 17 3" xfId="37115" xr:uid="{00000000-0005-0000-0000-0000F2900000}"/>
    <cellStyle name="Normal 3 36 18" xfId="37116" xr:uid="{00000000-0005-0000-0000-0000F3900000}"/>
    <cellStyle name="Normal 3 36 18 2" xfId="37117" xr:uid="{00000000-0005-0000-0000-0000F4900000}"/>
    <cellStyle name="Normal 3 36 18 3" xfId="37118" xr:uid="{00000000-0005-0000-0000-0000F5900000}"/>
    <cellStyle name="Normal 3 36 19" xfId="37119" xr:uid="{00000000-0005-0000-0000-0000F6900000}"/>
    <cellStyle name="Normal 3 36 19 2" xfId="37120" xr:uid="{00000000-0005-0000-0000-0000F7900000}"/>
    <cellStyle name="Normal 3 36 19 3" xfId="37121" xr:uid="{00000000-0005-0000-0000-0000F8900000}"/>
    <cellStyle name="Normal 3 36 2" xfId="37122" xr:uid="{00000000-0005-0000-0000-0000F9900000}"/>
    <cellStyle name="Normal 3 36 2 10" xfId="37123" xr:uid="{00000000-0005-0000-0000-0000FA900000}"/>
    <cellStyle name="Normal 3 36 2 10 2" xfId="37124" xr:uid="{00000000-0005-0000-0000-0000FB900000}"/>
    <cellStyle name="Normal 3 36 2 10 3" xfId="37125" xr:uid="{00000000-0005-0000-0000-0000FC900000}"/>
    <cellStyle name="Normal 3 36 2 11" xfId="37126" xr:uid="{00000000-0005-0000-0000-0000FD900000}"/>
    <cellStyle name="Normal 3 36 2 11 2" xfId="37127" xr:uid="{00000000-0005-0000-0000-0000FE900000}"/>
    <cellStyle name="Normal 3 36 2 11 3" xfId="37128" xr:uid="{00000000-0005-0000-0000-0000FF900000}"/>
    <cellStyle name="Normal 3 36 2 12" xfId="37129" xr:uid="{00000000-0005-0000-0000-000000910000}"/>
    <cellStyle name="Normal 3 36 2 12 2" xfId="37130" xr:uid="{00000000-0005-0000-0000-000001910000}"/>
    <cellStyle name="Normal 3 36 2 12 3" xfId="37131" xr:uid="{00000000-0005-0000-0000-000002910000}"/>
    <cellStyle name="Normal 3 36 2 13" xfId="37132" xr:uid="{00000000-0005-0000-0000-000003910000}"/>
    <cellStyle name="Normal 3 36 2 13 2" xfId="37133" xr:uid="{00000000-0005-0000-0000-000004910000}"/>
    <cellStyle name="Normal 3 36 2 13 3" xfId="37134" xr:uid="{00000000-0005-0000-0000-000005910000}"/>
    <cellStyle name="Normal 3 36 2 14" xfId="37135" xr:uid="{00000000-0005-0000-0000-000006910000}"/>
    <cellStyle name="Normal 3 36 2 14 2" xfId="37136" xr:uid="{00000000-0005-0000-0000-000007910000}"/>
    <cellStyle name="Normal 3 36 2 14 3" xfId="37137" xr:uid="{00000000-0005-0000-0000-000008910000}"/>
    <cellStyle name="Normal 3 36 2 15" xfId="37138" xr:uid="{00000000-0005-0000-0000-000009910000}"/>
    <cellStyle name="Normal 3 36 2 15 2" xfId="37139" xr:uid="{00000000-0005-0000-0000-00000A910000}"/>
    <cellStyle name="Normal 3 36 2 15 3" xfId="37140" xr:uid="{00000000-0005-0000-0000-00000B910000}"/>
    <cellStyle name="Normal 3 36 2 16" xfId="37141" xr:uid="{00000000-0005-0000-0000-00000C910000}"/>
    <cellStyle name="Normal 3 36 2 17" xfId="37142" xr:uid="{00000000-0005-0000-0000-00000D910000}"/>
    <cellStyle name="Normal 3 36 2 2" xfId="37143" xr:uid="{00000000-0005-0000-0000-00000E910000}"/>
    <cellStyle name="Normal 3 36 2 2 10" xfId="37144" xr:uid="{00000000-0005-0000-0000-00000F910000}"/>
    <cellStyle name="Normal 3 36 2 2 10 2" xfId="37145" xr:uid="{00000000-0005-0000-0000-000010910000}"/>
    <cellStyle name="Normal 3 36 2 2 10 3" xfId="37146" xr:uid="{00000000-0005-0000-0000-000011910000}"/>
    <cellStyle name="Normal 3 36 2 2 11" xfId="37147" xr:uid="{00000000-0005-0000-0000-000012910000}"/>
    <cellStyle name="Normal 3 36 2 2 11 2" xfId="37148" xr:uid="{00000000-0005-0000-0000-000013910000}"/>
    <cellStyle name="Normal 3 36 2 2 11 3" xfId="37149" xr:uid="{00000000-0005-0000-0000-000014910000}"/>
    <cellStyle name="Normal 3 36 2 2 12" xfId="37150" xr:uid="{00000000-0005-0000-0000-000015910000}"/>
    <cellStyle name="Normal 3 36 2 2 12 2" xfId="37151" xr:uid="{00000000-0005-0000-0000-000016910000}"/>
    <cellStyle name="Normal 3 36 2 2 12 3" xfId="37152" xr:uid="{00000000-0005-0000-0000-000017910000}"/>
    <cellStyle name="Normal 3 36 2 2 13" xfId="37153" xr:uid="{00000000-0005-0000-0000-000018910000}"/>
    <cellStyle name="Normal 3 36 2 2 13 2" xfId="37154" xr:uid="{00000000-0005-0000-0000-000019910000}"/>
    <cellStyle name="Normal 3 36 2 2 13 3" xfId="37155" xr:uid="{00000000-0005-0000-0000-00001A910000}"/>
    <cellStyle name="Normal 3 36 2 2 14" xfId="37156" xr:uid="{00000000-0005-0000-0000-00001B910000}"/>
    <cellStyle name="Normal 3 36 2 2 14 2" xfId="37157" xr:uid="{00000000-0005-0000-0000-00001C910000}"/>
    <cellStyle name="Normal 3 36 2 2 14 3" xfId="37158" xr:uid="{00000000-0005-0000-0000-00001D910000}"/>
    <cellStyle name="Normal 3 36 2 2 15" xfId="37159" xr:uid="{00000000-0005-0000-0000-00001E910000}"/>
    <cellStyle name="Normal 3 36 2 2 16" xfId="37160" xr:uid="{00000000-0005-0000-0000-00001F910000}"/>
    <cellStyle name="Normal 3 36 2 2 2" xfId="37161" xr:uid="{00000000-0005-0000-0000-000020910000}"/>
    <cellStyle name="Normal 3 36 2 2 2 2" xfId="37162" xr:uid="{00000000-0005-0000-0000-000021910000}"/>
    <cellStyle name="Normal 3 36 2 2 2 3" xfId="37163" xr:uid="{00000000-0005-0000-0000-000022910000}"/>
    <cellStyle name="Normal 3 36 2 2 3" xfId="37164" xr:uid="{00000000-0005-0000-0000-000023910000}"/>
    <cellStyle name="Normal 3 36 2 2 3 2" xfId="37165" xr:uid="{00000000-0005-0000-0000-000024910000}"/>
    <cellStyle name="Normal 3 36 2 2 3 3" xfId="37166" xr:uid="{00000000-0005-0000-0000-000025910000}"/>
    <cellStyle name="Normal 3 36 2 2 4" xfId="37167" xr:uid="{00000000-0005-0000-0000-000026910000}"/>
    <cellStyle name="Normal 3 36 2 2 4 2" xfId="37168" xr:uid="{00000000-0005-0000-0000-000027910000}"/>
    <cellStyle name="Normal 3 36 2 2 4 3" xfId="37169" xr:uid="{00000000-0005-0000-0000-000028910000}"/>
    <cellStyle name="Normal 3 36 2 2 5" xfId="37170" xr:uid="{00000000-0005-0000-0000-000029910000}"/>
    <cellStyle name="Normal 3 36 2 2 5 2" xfId="37171" xr:uid="{00000000-0005-0000-0000-00002A910000}"/>
    <cellStyle name="Normal 3 36 2 2 5 3" xfId="37172" xr:uid="{00000000-0005-0000-0000-00002B910000}"/>
    <cellStyle name="Normal 3 36 2 2 6" xfId="37173" xr:uid="{00000000-0005-0000-0000-00002C910000}"/>
    <cellStyle name="Normal 3 36 2 2 6 2" xfId="37174" xr:uid="{00000000-0005-0000-0000-00002D910000}"/>
    <cellStyle name="Normal 3 36 2 2 6 3" xfId="37175" xr:uid="{00000000-0005-0000-0000-00002E910000}"/>
    <cellStyle name="Normal 3 36 2 2 7" xfId="37176" xr:uid="{00000000-0005-0000-0000-00002F910000}"/>
    <cellStyle name="Normal 3 36 2 2 7 2" xfId="37177" xr:uid="{00000000-0005-0000-0000-000030910000}"/>
    <cellStyle name="Normal 3 36 2 2 7 3" xfId="37178" xr:uid="{00000000-0005-0000-0000-000031910000}"/>
    <cellStyle name="Normal 3 36 2 2 8" xfId="37179" xr:uid="{00000000-0005-0000-0000-000032910000}"/>
    <cellStyle name="Normal 3 36 2 2 8 2" xfId="37180" xr:uid="{00000000-0005-0000-0000-000033910000}"/>
    <cellStyle name="Normal 3 36 2 2 8 3" xfId="37181" xr:uid="{00000000-0005-0000-0000-000034910000}"/>
    <cellStyle name="Normal 3 36 2 2 9" xfId="37182" xr:uid="{00000000-0005-0000-0000-000035910000}"/>
    <cellStyle name="Normal 3 36 2 2 9 2" xfId="37183" xr:uid="{00000000-0005-0000-0000-000036910000}"/>
    <cellStyle name="Normal 3 36 2 2 9 3" xfId="37184" xr:uid="{00000000-0005-0000-0000-000037910000}"/>
    <cellStyle name="Normal 3 36 2 3" xfId="37185" xr:uid="{00000000-0005-0000-0000-000038910000}"/>
    <cellStyle name="Normal 3 36 2 3 2" xfId="37186" xr:uid="{00000000-0005-0000-0000-000039910000}"/>
    <cellStyle name="Normal 3 36 2 3 3" xfId="37187" xr:uid="{00000000-0005-0000-0000-00003A910000}"/>
    <cellStyle name="Normal 3 36 2 4" xfId="37188" xr:uid="{00000000-0005-0000-0000-00003B910000}"/>
    <cellStyle name="Normal 3 36 2 4 2" xfId="37189" xr:uid="{00000000-0005-0000-0000-00003C910000}"/>
    <cellStyle name="Normal 3 36 2 4 3" xfId="37190" xr:uid="{00000000-0005-0000-0000-00003D910000}"/>
    <cellStyle name="Normal 3 36 2 5" xfId="37191" xr:uid="{00000000-0005-0000-0000-00003E910000}"/>
    <cellStyle name="Normal 3 36 2 5 2" xfId="37192" xr:uid="{00000000-0005-0000-0000-00003F910000}"/>
    <cellStyle name="Normal 3 36 2 5 3" xfId="37193" xr:uid="{00000000-0005-0000-0000-000040910000}"/>
    <cellStyle name="Normal 3 36 2 6" xfId="37194" xr:uid="{00000000-0005-0000-0000-000041910000}"/>
    <cellStyle name="Normal 3 36 2 6 2" xfId="37195" xr:uid="{00000000-0005-0000-0000-000042910000}"/>
    <cellStyle name="Normal 3 36 2 6 3" xfId="37196" xr:uid="{00000000-0005-0000-0000-000043910000}"/>
    <cellStyle name="Normal 3 36 2 7" xfId="37197" xr:uid="{00000000-0005-0000-0000-000044910000}"/>
    <cellStyle name="Normal 3 36 2 7 2" xfId="37198" xr:uid="{00000000-0005-0000-0000-000045910000}"/>
    <cellStyle name="Normal 3 36 2 7 3" xfId="37199" xr:uid="{00000000-0005-0000-0000-000046910000}"/>
    <cellStyle name="Normal 3 36 2 8" xfId="37200" xr:uid="{00000000-0005-0000-0000-000047910000}"/>
    <cellStyle name="Normal 3 36 2 8 2" xfId="37201" xr:uid="{00000000-0005-0000-0000-000048910000}"/>
    <cellStyle name="Normal 3 36 2 8 3" xfId="37202" xr:uid="{00000000-0005-0000-0000-000049910000}"/>
    <cellStyle name="Normal 3 36 2 9" xfId="37203" xr:uid="{00000000-0005-0000-0000-00004A910000}"/>
    <cellStyle name="Normal 3 36 2 9 2" xfId="37204" xr:uid="{00000000-0005-0000-0000-00004B910000}"/>
    <cellStyle name="Normal 3 36 2 9 3" xfId="37205" xr:uid="{00000000-0005-0000-0000-00004C910000}"/>
    <cellStyle name="Normal 3 36 20" xfId="37206" xr:uid="{00000000-0005-0000-0000-00004D910000}"/>
    <cellStyle name="Normal 3 36 20 2" xfId="37207" xr:uid="{00000000-0005-0000-0000-00004E910000}"/>
    <cellStyle name="Normal 3 36 20 3" xfId="37208" xr:uid="{00000000-0005-0000-0000-00004F910000}"/>
    <cellStyle name="Normal 3 36 21" xfId="37209" xr:uid="{00000000-0005-0000-0000-000050910000}"/>
    <cellStyle name="Normal 3 36 21 2" xfId="37210" xr:uid="{00000000-0005-0000-0000-000051910000}"/>
    <cellStyle name="Normal 3 36 21 3" xfId="37211" xr:uid="{00000000-0005-0000-0000-000052910000}"/>
    <cellStyle name="Normal 3 36 22" xfId="37212" xr:uid="{00000000-0005-0000-0000-000053910000}"/>
    <cellStyle name="Normal 3 36 22 2" xfId="37213" xr:uid="{00000000-0005-0000-0000-000054910000}"/>
    <cellStyle name="Normal 3 36 22 3" xfId="37214" xr:uid="{00000000-0005-0000-0000-000055910000}"/>
    <cellStyle name="Normal 3 36 23" xfId="37215" xr:uid="{00000000-0005-0000-0000-000056910000}"/>
    <cellStyle name="Normal 3 36 23 2" xfId="37216" xr:uid="{00000000-0005-0000-0000-000057910000}"/>
    <cellStyle name="Normal 3 36 23 3" xfId="37217" xr:uid="{00000000-0005-0000-0000-000058910000}"/>
    <cellStyle name="Normal 3 36 24" xfId="37218" xr:uid="{00000000-0005-0000-0000-000059910000}"/>
    <cellStyle name="Normal 3 36 25" xfId="37219" xr:uid="{00000000-0005-0000-0000-00005A910000}"/>
    <cellStyle name="Normal 3 36 3" xfId="37220" xr:uid="{00000000-0005-0000-0000-00005B910000}"/>
    <cellStyle name="Normal 3 36 3 10" xfId="37221" xr:uid="{00000000-0005-0000-0000-00005C910000}"/>
    <cellStyle name="Normal 3 36 3 10 2" xfId="37222" xr:uid="{00000000-0005-0000-0000-00005D910000}"/>
    <cellStyle name="Normal 3 36 3 10 3" xfId="37223" xr:uid="{00000000-0005-0000-0000-00005E910000}"/>
    <cellStyle name="Normal 3 36 3 11" xfId="37224" xr:uid="{00000000-0005-0000-0000-00005F910000}"/>
    <cellStyle name="Normal 3 36 3 11 2" xfId="37225" xr:uid="{00000000-0005-0000-0000-000060910000}"/>
    <cellStyle name="Normal 3 36 3 11 3" xfId="37226" xr:uid="{00000000-0005-0000-0000-000061910000}"/>
    <cellStyle name="Normal 3 36 3 12" xfId="37227" xr:uid="{00000000-0005-0000-0000-000062910000}"/>
    <cellStyle name="Normal 3 36 3 12 2" xfId="37228" xr:uid="{00000000-0005-0000-0000-000063910000}"/>
    <cellStyle name="Normal 3 36 3 12 3" xfId="37229" xr:uid="{00000000-0005-0000-0000-000064910000}"/>
    <cellStyle name="Normal 3 36 3 13" xfId="37230" xr:uid="{00000000-0005-0000-0000-000065910000}"/>
    <cellStyle name="Normal 3 36 3 13 2" xfId="37231" xr:uid="{00000000-0005-0000-0000-000066910000}"/>
    <cellStyle name="Normal 3 36 3 13 3" xfId="37232" xr:uid="{00000000-0005-0000-0000-000067910000}"/>
    <cellStyle name="Normal 3 36 3 14" xfId="37233" xr:uid="{00000000-0005-0000-0000-000068910000}"/>
    <cellStyle name="Normal 3 36 3 14 2" xfId="37234" xr:uid="{00000000-0005-0000-0000-000069910000}"/>
    <cellStyle name="Normal 3 36 3 14 3" xfId="37235" xr:uid="{00000000-0005-0000-0000-00006A910000}"/>
    <cellStyle name="Normal 3 36 3 15" xfId="37236" xr:uid="{00000000-0005-0000-0000-00006B910000}"/>
    <cellStyle name="Normal 3 36 3 15 2" xfId="37237" xr:uid="{00000000-0005-0000-0000-00006C910000}"/>
    <cellStyle name="Normal 3 36 3 15 3" xfId="37238" xr:uid="{00000000-0005-0000-0000-00006D910000}"/>
    <cellStyle name="Normal 3 36 3 16" xfId="37239" xr:uid="{00000000-0005-0000-0000-00006E910000}"/>
    <cellStyle name="Normal 3 36 3 17" xfId="37240" xr:uid="{00000000-0005-0000-0000-00006F910000}"/>
    <cellStyle name="Normal 3 36 3 2" xfId="37241" xr:uid="{00000000-0005-0000-0000-000070910000}"/>
    <cellStyle name="Normal 3 36 3 2 10" xfId="37242" xr:uid="{00000000-0005-0000-0000-000071910000}"/>
    <cellStyle name="Normal 3 36 3 2 10 2" xfId="37243" xr:uid="{00000000-0005-0000-0000-000072910000}"/>
    <cellStyle name="Normal 3 36 3 2 10 3" xfId="37244" xr:uid="{00000000-0005-0000-0000-000073910000}"/>
    <cellStyle name="Normal 3 36 3 2 11" xfId="37245" xr:uid="{00000000-0005-0000-0000-000074910000}"/>
    <cellStyle name="Normal 3 36 3 2 11 2" xfId="37246" xr:uid="{00000000-0005-0000-0000-000075910000}"/>
    <cellStyle name="Normal 3 36 3 2 11 3" xfId="37247" xr:uid="{00000000-0005-0000-0000-000076910000}"/>
    <cellStyle name="Normal 3 36 3 2 12" xfId="37248" xr:uid="{00000000-0005-0000-0000-000077910000}"/>
    <cellStyle name="Normal 3 36 3 2 12 2" xfId="37249" xr:uid="{00000000-0005-0000-0000-000078910000}"/>
    <cellStyle name="Normal 3 36 3 2 12 3" xfId="37250" xr:uid="{00000000-0005-0000-0000-000079910000}"/>
    <cellStyle name="Normal 3 36 3 2 13" xfId="37251" xr:uid="{00000000-0005-0000-0000-00007A910000}"/>
    <cellStyle name="Normal 3 36 3 2 13 2" xfId="37252" xr:uid="{00000000-0005-0000-0000-00007B910000}"/>
    <cellStyle name="Normal 3 36 3 2 13 3" xfId="37253" xr:uid="{00000000-0005-0000-0000-00007C910000}"/>
    <cellStyle name="Normal 3 36 3 2 14" xfId="37254" xr:uid="{00000000-0005-0000-0000-00007D910000}"/>
    <cellStyle name="Normal 3 36 3 2 14 2" xfId="37255" xr:uid="{00000000-0005-0000-0000-00007E910000}"/>
    <cellStyle name="Normal 3 36 3 2 14 3" xfId="37256" xr:uid="{00000000-0005-0000-0000-00007F910000}"/>
    <cellStyle name="Normal 3 36 3 2 15" xfId="37257" xr:uid="{00000000-0005-0000-0000-000080910000}"/>
    <cellStyle name="Normal 3 36 3 2 16" xfId="37258" xr:uid="{00000000-0005-0000-0000-000081910000}"/>
    <cellStyle name="Normal 3 36 3 2 2" xfId="37259" xr:uid="{00000000-0005-0000-0000-000082910000}"/>
    <cellStyle name="Normal 3 36 3 2 2 2" xfId="37260" xr:uid="{00000000-0005-0000-0000-000083910000}"/>
    <cellStyle name="Normal 3 36 3 2 2 3" xfId="37261" xr:uid="{00000000-0005-0000-0000-000084910000}"/>
    <cellStyle name="Normal 3 36 3 2 3" xfId="37262" xr:uid="{00000000-0005-0000-0000-000085910000}"/>
    <cellStyle name="Normal 3 36 3 2 3 2" xfId="37263" xr:uid="{00000000-0005-0000-0000-000086910000}"/>
    <cellStyle name="Normal 3 36 3 2 3 3" xfId="37264" xr:uid="{00000000-0005-0000-0000-000087910000}"/>
    <cellStyle name="Normal 3 36 3 2 4" xfId="37265" xr:uid="{00000000-0005-0000-0000-000088910000}"/>
    <cellStyle name="Normal 3 36 3 2 4 2" xfId="37266" xr:uid="{00000000-0005-0000-0000-000089910000}"/>
    <cellStyle name="Normal 3 36 3 2 4 3" xfId="37267" xr:uid="{00000000-0005-0000-0000-00008A910000}"/>
    <cellStyle name="Normal 3 36 3 2 5" xfId="37268" xr:uid="{00000000-0005-0000-0000-00008B910000}"/>
    <cellStyle name="Normal 3 36 3 2 5 2" xfId="37269" xr:uid="{00000000-0005-0000-0000-00008C910000}"/>
    <cellStyle name="Normal 3 36 3 2 5 3" xfId="37270" xr:uid="{00000000-0005-0000-0000-00008D910000}"/>
    <cellStyle name="Normal 3 36 3 2 6" xfId="37271" xr:uid="{00000000-0005-0000-0000-00008E910000}"/>
    <cellStyle name="Normal 3 36 3 2 6 2" xfId="37272" xr:uid="{00000000-0005-0000-0000-00008F910000}"/>
    <cellStyle name="Normal 3 36 3 2 6 3" xfId="37273" xr:uid="{00000000-0005-0000-0000-000090910000}"/>
    <cellStyle name="Normal 3 36 3 2 7" xfId="37274" xr:uid="{00000000-0005-0000-0000-000091910000}"/>
    <cellStyle name="Normal 3 36 3 2 7 2" xfId="37275" xr:uid="{00000000-0005-0000-0000-000092910000}"/>
    <cellStyle name="Normal 3 36 3 2 7 3" xfId="37276" xr:uid="{00000000-0005-0000-0000-000093910000}"/>
    <cellStyle name="Normal 3 36 3 2 8" xfId="37277" xr:uid="{00000000-0005-0000-0000-000094910000}"/>
    <cellStyle name="Normal 3 36 3 2 8 2" xfId="37278" xr:uid="{00000000-0005-0000-0000-000095910000}"/>
    <cellStyle name="Normal 3 36 3 2 8 3" xfId="37279" xr:uid="{00000000-0005-0000-0000-000096910000}"/>
    <cellStyle name="Normal 3 36 3 2 9" xfId="37280" xr:uid="{00000000-0005-0000-0000-000097910000}"/>
    <cellStyle name="Normal 3 36 3 2 9 2" xfId="37281" xr:uid="{00000000-0005-0000-0000-000098910000}"/>
    <cellStyle name="Normal 3 36 3 2 9 3" xfId="37282" xr:uid="{00000000-0005-0000-0000-000099910000}"/>
    <cellStyle name="Normal 3 36 3 3" xfId="37283" xr:uid="{00000000-0005-0000-0000-00009A910000}"/>
    <cellStyle name="Normal 3 36 3 3 2" xfId="37284" xr:uid="{00000000-0005-0000-0000-00009B910000}"/>
    <cellStyle name="Normal 3 36 3 3 3" xfId="37285" xr:uid="{00000000-0005-0000-0000-00009C910000}"/>
    <cellStyle name="Normal 3 36 3 4" xfId="37286" xr:uid="{00000000-0005-0000-0000-00009D910000}"/>
    <cellStyle name="Normal 3 36 3 4 2" xfId="37287" xr:uid="{00000000-0005-0000-0000-00009E910000}"/>
    <cellStyle name="Normal 3 36 3 4 3" xfId="37288" xr:uid="{00000000-0005-0000-0000-00009F910000}"/>
    <cellStyle name="Normal 3 36 3 5" xfId="37289" xr:uid="{00000000-0005-0000-0000-0000A0910000}"/>
    <cellStyle name="Normal 3 36 3 5 2" xfId="37290" xr:uid="{00000000-0005-0000-0000-0000A1910000}"/>
    <cellStyle name="Normal 3 36 3 5 3" xfId="37291" xr:uid="{00000000-0005-0000-0000-0000A2910000}"/>
    <cellStyle name="Normal 3 36 3 6" xfId="37292" xr:uid="{00000000-0005-0000-0000-0000A3910000}"/>
    <cellStyle name="Normal 3 36 3 6 2" xfId="37293" xr:uid="{00000000-0005-0000-0000-0000A4910000}"/>
    <cellStyle name="Normal 3 36 3 6 3" xfId="37294" xr:uid="{00000000-0005-0000-0000-0000A5910000}"/>
    <cellStyle name="Normal 3 36 3 7" xfId="37295" xr:uid="{00000000-0005-0000-0000-0000A6910000}"/>
    <cellStyle name="Normal 3 36 3 7 2" xfId="37296" xr:uid="{00000000-0005-0000-0000-0000A7910000}"/>
    <cellStyle name="Normal 3 36 3 7 3" xfId="37297" xr:uid="{00000000-0005-0000-0000-0000A8910000}"/>
    <cellStyle name="Normal 3 36 3 8" xfId="37298" xr:uid="{00000000-0005-0000-0000-0000A9910000}"/>
    <cellStyle name="Normal 3 36 3 8 2" xfId="37299" xr:uid="{00000000-0005-0000-0000-0000AA910000}"/>
    <cellStyle name="Normal 3 36 3 8 3" xfId="37300" xr:uid="{00000000-0005-0000-0000-0000AB910000}"/>
    <cellStyle name="Normal 3 36 3 9" xfId="37301" xr:uid="{00000000-0005-0000-0000-0000AC910000}"/>
    <cellStyle name="Normal 3 36 3 9 2" xfId="37302" xr:uid="{00000000-0005-0000-0000-0000AD910000}"/>
    <cellStyle name="Normal 3 36 3 9 3" xfId="37303" xr:uid="{00000000-0005-0000-0000-0000AE910000}"/>
    <cellStyle name="Normal 3 36 4" xfId="37304" xr:uid="{00000000-0005-0000-0000-0000AF910000}"/>
    <cellStyle name="Normal 3 36 4 10" xfId="37305" xr:uid="{00000000-0005-0000-0000-0000B0910000}"/>
    <cellStyle name="Normal 3 36 4 10 2" xfId="37306" xr:uid="{00000000-0005-0000-0000-0000B1910000}"/>
    <cellStyle name="Normal 3 36 4 10 3" xfId="37307" xr:uid="{00000000-0005-0000-0000-0000B2910000}"/>
    <cellStyle name="Normal 3 36 4 11" xfId="37308" xr:uid="{00000000-0005-0000-0000-0000B3910000}"/>
    <cellStyle name="Normal 3 36 4 11 2" xfId="37309" xr:uid="{00000000-0005-0000-0000-0000B4910000}"/>
    <cellStyle name="Normal 3 36 4 11 3" xfId="37310" xr:uid="{00000000-0005-0000-0000-0000B5910000}"/>
    <cellStyle name="Normal 3 36 4 12" xfId="37311" xr:uid="{00000000-0005-0000-0000-0000B6910000}"/>
    <cellStyle name="Normal 3 36 4 12 2" xfId="37312" xr:uid="{00000000-0005-0000-0000-0000B7910000}"/>
    <cellStyle name="Normal 3 36 4 12 3" xfId="37313" xr:uid="{00000000-0005-0000-0000-0000B8910000}"/>
    <cellStyle name="Normal 3 36 4 13" xfId="37314" xr:uid="{00000000-0005-0000-0000-0000B9910000}"/>
    <cellStyle name="Normal 3 36 4 13 2" xfId="37315" xr:uid="{00000000-0005-0000-0000-0000BA910000}"/>
    <cellStyle name="Normal 3 36 4 13 3" xfId="37316" xr:uid="{00000000-0005-0000-0000-0000BB910000}"/>
    <cellStyle name="Normal 3 36 4 14" xfId="37317" xr:uid="{00000000-0005-0000-0000-0000BC910000}"/>
    <cellStyle name="Normal 3 36 4 14 2" xfId="37318" xr:uid="{00000000-0005-0000-0000-0000BD910000}"/>
    <cellStyle name="Normal 3 36 4 14 3" xfId="37319" xr:uid="{00000000-0005-0000-0000-0000BE910000}"/>
    <cellStyle name="Normal 3 36 4 15" xfId="37320" xr:uid="{00000000-0005-0000-0000-0000BF910000}"/>
    <cellStyle name="Normal 3 36 4 15 2" xfId="37321" xr:uid="{00000000-0005-0000-0000-0000C0910000}"/>
    <cellStyle name="Normal 3 36 4 15 3" xfId="37322" xr:uid="{00000000-0005-0000-0000-0000C1910000}"/>
    <cellStyle name="Normal 3 36 4 16" xfId="37323" xr:uid="{00000000-0005-0000-0000-0000C2910000}"/>
    <cellStyle name="Normal 3 36 4 17" xfId="37324" xr:uid="{00000000-0005-0000-0000-0000C3910000}"/>
    <cellStyle name="Normal 3 36 4 2" xfId="37325" xr:uid="{00000000-0005-0000-0000-0000C4910000}"/>
    <cellStyle name="Normal 3 36 4 2 10" xfId="37326" xr:uid="{00000000-0005-0000-0000-0000C5910000}"/>
    <cellStyle name="Normal 3 36 4 2 10 2" xfId="37327" xr:uid="{00000000-0005-0000-0000-0000C6910000}"/>
    <cellStyle name="Normal 3 36 4 2 10 3" xfId="37328" xr:uid="{00000000-0005-0000-0000-0000C7910000}"/>
    <cellStyle name="Normal 3 36 4 2 11" xfId="37329" xr:uid="{00000000-0005-0000-0000-0000C8910000}"/>
    <cellStyle name="Normal 3 36 4 2 11 2" xfId="37330" xr:uid="{00000000-0005-0000-0000-0000C9910000}"/>
    <cellStyle name="Normal 3 36 4 2 11 3" xfId="37331" xr:uid="{00000000-0005-0000-0000-0000CA910000}"/>
    <cellStyle name="Normal 3 36 4 2 12" xfId="37332" xr:uid="{00000000-0005-0000-0000-0000CB910000}"/>
    <cellStyle name="Normal 3 36 4 2 12 2" xfId="37333" xr:uid="{00000000-0005-0000-0000-0000CC910000}"/>
    <cellStyle name="Normal 3 36 4 2 12 3" xfId="37334" xr:uid="{00000000-0005-0000-0000-0000CD910000}"/>
    <cellStyle name="Normal 3 36 4 2 13" xfId="37335" xr:uid="{00000000-0005-0000-0000-0000CE910000}"/>
    <cellStyle name="Normal 3 36 4 2 13 2" xfId="37336" xr:uid="{00000000-0005-0000-0000-0000CF910000}"/>
    <cellStyle name="Normal 3 36 4 2 13 3" xfId="37337" xr:uid="{00000000-0005-0000-0000-0000D0910000}"/>
    <cellStyle name="Normal 3 36 4 2 14" xfId="37338" xr:uid="{00000000-0005-0000-0000-0000D1910000}"/>
    <cellStyle name="Normal 3 36 4 2 14 2" xfId="37339" xr:uid="{00000000-0005-0000-0000-0000D2910000}"/>
    <cellStyle name="Normal 3 36 4 2 14 3" xfId="37340" xr:uid="{00000000-0005-0000-0000-0000D3910000}"/>
    <cellStyle name="Normal 3 36 4 2 15" xfId="37341" xr:uid="{00000000-0005-0000-0000-0000D4910000}"/>
    <cellStyle name="Normal 3 36 4 2 16" xfId="37342" xr:uid="{00000000-0005-0000-0000-0000D5910000}"/>
    <cellStyle name="Normal 3 36 4 2 2" xfId="37343" xr:uid="{00000000-0005-0000-0000-0000D6910000}"/>
    <cellStyle name="Normal 3 36 4 2 2 2" xfId="37344" xr:uid="{00000000-0005-0000-0000-0000D7910000}"/>
    <cellStyle name="Normal 3 36 4 2 2 3" xfId="37345" xr:uid="{00000000-0005-0000-0000-0000D8910000}"/>
    <cellStyle name="Normal 3 36 4 2 3" xfId="37346" xr:uid="{00000000-0005-0000-0000-0000D9910000}"/>
    <cellStyle name="Normal 3 36 4 2 3 2" xfId="37347" xr:uid="{00000000-0005-0000-0000-0000DA910000}"/>
    <cellStyle name="Normal 3 36 4 2 3 3" xfId="37348" xr:uid="{00000000-0005-0000-0000-0000DB910000}"/>
    <cellStyle name="Normal 3 36 4 2 4" xfId="37349" xr:uid="{00000000-0005-0000-0000-0000DC910000}"/>
    <cellStyle name="Normal 3 36 4 2 4 2" xfId="37350" xr:uid="{00000000-0005-0000-0000-0000DD910000}"/>
    <cellStyle name="Normal 3 36 4 2 4 3" xfId="37351" xr:uid="{00000000-0005-0000-0000-0000DE910000}"/>
    <cellStyle name="Normal 3 36 4 2 5" xfId="37352" xr:uid="{00000000-0005-0000-0000-0000DF910000}"/>
    <cellStyle name="Normal 3 36 4 2 5 2" xfId="37353" xr:uid="{00000000-0005-0000-0000-0000E0910000}"/>
    <cellStyle name="Normal 3 36 4 2 5 3" xfId="37354" xr:uid="{00000000-0005-0000-0000-0000E1910000}"/>
    <cellStyle name="Normal 3 36 4 2 6" xfId="37355" xr:uid="{00000000-0005-0000-0000-0000E2910000}"/>
    <cellStyle name="Normal 3 36 4 2 6 2" xfId="37356" xr:uid="{00000000-0005-0000-0000-0000E3910000}"/>
    <cellStyle name="Normal 3 36 4 2 6 3" xfId="37357" xr:uid="{00000000-0005-0000-0000-0000E4910000}"/>
    <cellStyle name="Normal 3 36 4 2 7" xfId="37358" xr:uid="{00000000-0005-0000-0000-0000E5910000}"/>
    <cellStyle name="Normal 3 36 4 2 7 2" xfId="37359" xr:uid="{00000000-0005-0000-0000-0000E6910000}"/>
    <cellStyle name="Normal 3 36 4 2 7 3" xfId="37360" xr:uid="{00000000-0005-0000-0000-0000E7910000}"/>
    <cellStyle name="Normal 3 36 4 2 8" xfId="37361" xr:uid="{00000000-0005-0000-0000-0000E8910000}"/>
    <cellStyle name="Normal 3 36 4 2 8 2" xfId="37362" xr:uid="{00000000-0005-0000-0000-0000E9910000}"/>
    <cellStyle name="Normal 3 36 4 2 8 3" xfId="37363" xr:uid="{00000000-0005-0000-0000-0000EA910000}"/>
    <cellStyle name="Normal 3 36 4 2 9" xfId="37364" xr:uid="{00000000-0005-0000-0000-0000EB910000}"/>
    <cellStyle name="Normal 3 36 4 2 9 2" xfId="37365" xr:uid="{00000000-0005-0000-0000-0000EC910000}"/>
    <cellStyle name="Normal 3 36 4 2 9 3" xfId="37366" xr:uid="{00000000-0005-0000-0000-0000ED910000}"/>
    <cellStyle name="Normal 3 36 4 3" xfId="37367" xr:uid="{00000000-0005-0000-0000-0000EE910000}"/>
    <cellStyle name="Normal 3 36 4 3 2" xfId="37368" xr:uid="{00000000-0005-0000-0000-0000EF910000}"/>
    <cellStyle name="Normal 3 36 4 3 3" xfId="37369" xr:uid="{00000000-0005-0000-0000-0000F0910000}"/>
    <cellStyle name="Normal 3 36 4 4" xfId="37370" xr:uid="{00000000-0005-0000-0000-0000F1910000}"/>
    <cellStyle name="Normal 3 36 4 4 2" xfId="37371" xr:uid="{00000000-0005-0000-0000-0000F2910000}"/>
    <cellStyle name="Normal 3 36 4 4 3" xfId="37372" xr:uid="{00000000-0005-0000-0000-0000F3910000}"/>
    <cellStyle name="Normal 3 36 4 5" xfId="37373" xr:uid="{00000000-0005-0000-0000-0000F4910000}"/>
    <cellStyle name="Normal 3 36 4 5 2" xfId="37374" xr:uid="{00000000-0005-0000-0000-0000F5910000}"/>
    <cellStyle name="Normal 3 36 4 5 3" xfId="37375" xr:uid="{00000000-0005-0000-0000-0000F6910000}"/>
    <cellStyle name="Normal 3 36 4 6" xfId="37376" xr:uid="{00000000-0005-0000-0000-0000F7910000}"/>
    <cellStyle name="Normal 3 36 4 6 2" xfId="37377" xr:uid="{00000000-0005-0000-0000-0000F8910000}"/>
    <cellStyle name="Normal 3 36 4 6 3" xfId="37378" xr:uid="{00000000-0005-0000-0000-0000F9910000}"/>
    <cellStyle name="Normal 3 36 4 7" xfId="37379" xr:uid="{00000000-0005-0000-0000-0000FA910000}"/>
    <cellStyle name="Normal 3 36 4 7 2" xfId="37380" xr:uid="{00000000-0005-0000-0000-0000FB910000}"/>
    <cellStyle name="Normal 3 36 4 7 3" xfId="37381" xr:uid="{00000000-0005-0000-0000-0000FC910000}"/>
    <cellStyle name="Normal 3 36 4 8" xfId="37382" xr:uid="{00000000-0005-0000-0000-0000FD910000}"/>
    <cellStyle name="Normal 3 36 4 8 2" xfId="37383" xr:uid="{00000000-0005-0000-0000-0000FE910000}"/>
    <cellStyle name="Normal 3 36 4 8 3" xfId="37384" xr:uid="{00000000-0005-0000-0000-0000FF910000}"/>
    <cellStyle name="Normal 3 36 4 9" xfId="37385" xr:uid="{00000000-0005-0000-0000-000000920000}"/>
    <cellStyle name="Normal 3 36 4 9 2" xfId="37386" xr:uid="{00000000-0005-0000-0000-000001920000}"/>
    <cellStyle name="Normal 3 36 4 9 3" xfId="37387" xr:uid="{00000000-0005-0000-0000-000002920000}"/>
    <cellStyle name="Normal 3 36 5" xfId="37388" xr:uid="{00000000-0005-0000-0000-000003920000}"/>
    <cellStyle name="Normal 3 36 5 10" xfId="37389" xr:uid="{00000000-0005-0000-0000-000004920000}"/>
    <cellStyle name="Normal 3 36 5 10 2" xfId="37390" xr:uid="{00000000-0005-0000-0000-000005920000}"/>
    <cellStyle name="Normal 3 36 5 10 3" xfId="37391" xr:uid="{00000000-0005-0000-0000-000006920000}"/>
    <cellStyle name="Normal 3 36 5 11" xfId="37392" xr:uid="{00000000-0005-0000-0000-000007920000}"/>
    <cellStyle name="Normal 3 36 5 11 2" xfId="37393" xr:uid="{00000000-0005-0000-0000-000008920000}"/>
    <cellStyle name="Normal 3 36 5 11 3" xfId="37394" xr:uid="{00000000-0005-0000-0000-000009920000}"/>
    <cellStyle name="Normal 3 36 5 12" xfId="37395" xr:uid="{00000000-0005-0000-0000-00000A920000}"/>
    <cellStyle name="Normal 3 36 5 12 2" xfId="37396" xr:uid="{00000000-0005-0000-0000-00000B920000}"/>
    <cellStyle name="Normal 3 36 5 12 3" xfId="37397" xr:uid="{00000000-0005-0000-0000-00000C920000}"/>
    <cellStyle name="Normal 3 36 5 13" xfId="37398" xr:uid="{00000000-0005-0000-0000-00000D920000}"/>
    <cellStyle name="Normal 3 36 5 13 2" xfId="37399" xr:uid="{00000000-0005-0000-0000-00000E920000}"/>
    <cellStyle name="Normal 3 36 5 13 3" xfId="37400" xr:uid="{00000000-0005-0000-0000-00000F920000}"/>
    <cellStyle name="Normal 3 36 5 14" xfId="37401" xr:uid="{00000000-0005-0000-0000-000010920000}"/>
    <cellStyle name="Normal 3 36 5 14 2" xfId="37402" xr:uid="{00000000-0005-0000-0000-000011920000}"/>
    <cellStyle name="Normal 3 36 5 14 3" xfId="37403" xr:uid="{00000000-0005-0000-0000-000012920000}"/>
    <cellStyle name="Normal 3 36 5 15" xfId="37404" xr:uid="{00000000-0005-0000-0000-000013920000}"/>
    <cellStyle name="Normal 3 36 5 16" xfId="37405" xr:uid="{00000000-0005-0000-0000-000014920000}"/>
    <cellStyle name="Normal 3 36 5 2" xfId="37406" xr:uid="{00000000-0005-0000-0000-000015920000}"/>
    <cellStyle name="Normal 3 36 5 2 2" xfId="37407" xr:uid="{00000000-0005-0000-0000-000016920000}"/>
    <cellStyle name="Normal 3 36 5 2 3" xfId="37408" xr:uid="{00000000-0005-0000-0000-000017920000}"/>
    <cellStyle name="Normal 3 36 5 3" xfId="37409" xr:uid="{00000000-0005-0000-0000-000018920000}"/>
    <cellStyle name="Normal 3 36 5 3 2" xfId="37410" xr:uid="{00000000-0005-0000-0000-000019920000}"/>
    <cellStyle name="Normal 3 36 5 3 3" xfId="37411" xr:uid="{00000000-0005-0000-0000-00001A920000}"/>
    <cellStyle name="Normal 3 36 5 4" xfId="37412" xr:uid="{00000000-0005-0000-0000-00001B920000}"/>
    <cellStyle name="Normal 3 36 5 4 2" xfId="37413" xr:uid="{00000000-0005-0000-0000-00001C920000}"/>
    <cellStyle name="Normal 3 36 5 4 3" xfId="37414" xr:uid="{00000000-0005-0000-0000-00001D920000}"/>
    <cellStyle name="Normal 3 36 5 5" xfId="37415" xr:uid="{00000000-0005-0000-0000-00001E920000}"/>
    <cellStyle name="Normal 3 36 5 5 2" xfId="37416" xr:uid="{00000000-0005-0000-0000-00001F920000}"/>
    <cellStyle name="Normal 3 36 5 5 3" xfId="37417" xr:uid="{00000000-0005-0000-0000-000020920000}"/>
    <cellStyle name="Normal 3 36 5 6" xfId="37418" xr:uid="{00000000-0005-0000-0000-000021920000}"/>
    <cellStyle name="Normal 3 36 5 6 2" xfId="37419" xr:uid="{00000000-0005-0000-0000-000022920000}"/>
    <cellStyle name="Normal 3 36 5 6 3" xfId="37420" xr:uid="{00000000-0005-0000-0000-000023920000}"/>
    <cellStyle name="Normal 3 36 5 7" xfId="37421" xr:uid="{00000000-0005-0000-0000-000024920000}"/>
    <cellStyle name="Normal 3 36 5 7 2" xfId="37422" xr:uid="{00000000-0005-0000-0000-000025920000}"/>
    <cellStyle name="Normal 3 36 5 7 3" xfId="37423" xr:uid="{00000000-0005-0000-0000-000026920000}"/>
    <cellStyle name="Normal 3 36 5 8" xfId="37424" xr:uid="{00000000-0005-0000-0000-000027920000}"/>
    <cellStyle name="Normal 3 36 5 8 2" xfId="37425" xr:uid="{00000000-0005-0000-0000-000028920000}"/>
    <cellStyle name="Normal 3 36 5 8 3" xfId="37426" xr:uid="{00000000-0005-0000-0000-000029920000}"/>
    <cellStyle name="Normal 3 36 5 9" xfId="37427" xr:uid="{00000000-0005-0000-0000-00002A920000}"/>
    <cellStyle name="Normal 3 36 5 9 2" xfId="37428" xr:uid="{00000000-0005-0000-0000-00002B920000}"/>
    <cellStyle name="Normal 3 36 5 9 3" xfId="37429" xr:uid="{00000000-0005-0000-0000-00002C920000}"/>
    <cellStyle name="Normal 3 36 6" xfId="37430" xr:uid="{00000000-0005-0000-0000-00002D920000}"/>
    <cellStyle name="Normal 3 36 6 10" xfId="37431" xr:uid="{00000000-0005-0000-0000-00002E920000}"/>
    <cellStyle name="Normal 3 36 6 10 2" xfId="37432" xr:uid="{00000000-0005-0000-0000-00002F920000}"/>
    <cellStyle name="Normal 3 36 6 10 3" xfId="37433" xr:uid="{00000000-0005-0000-0000-000030920000}"/>
    <cellStyle name="Normal 3 36 6 11" xfId="37434" xr:uid="{00000000-0005-0000-0000-000031920000}"/>
    <cellStyle name="Normal 3 36 6 11 2" xfId="37435" xr:uid="{00000000-0005-0000-0000-000032920000}"/>
    <cellStyle name="Normal 3 36 6 11 3" xfId="37436" xr:uid="{00000000-0005-0000-0000-000033920000}"/>
    <cellStyle name="Normal 3 36 6 12" xfId="37437" xr:uid="{00000000-0005-0000-0000-000034920000}"/>
    <cellStyle name="Normal 3 36 6 12 2" xfId="37438" xr:uid="{00000000-0005-0000-0000-000035920000}"/>
    <cellStyle name="Normal 3 36 6 12 3" xfId="37439" xr:uid="{00000000-0005-0000-0000-000036920000}"/>
    <cellStyle name="Normal 3 36 6 13" xfId="37440" xr:uid="{00000000-0005-0000-0000-000037920000}"/>
    <cellStyle name="Normal 3 36 6 13 2" xfId="37441" xr:uid="{00000000-0005-0000-0000-000038920000}"/>
    <cellStyle name="Normal 3 36 6 13 3" xfId="37442" xr:uid="{00000000-0005-0000-0000-000039920000}"/>
    <cellStyle name="Normal 3 36 6 14" xfId="37443" xr:uid="{00000000-0005-0000-0000-00003A920000}"/>
    <cellStyle name="Normal 3 36 6 14 2" xfId="37444" xr:uid="{00000000-0005-0000-0000-00003B920000}"/>
    <cellStyle name="Normal 3 36 6 14 3" xfId="37445" xr:uid="{00000000-0005-0000-0000-00003C920000}"/>
    <cellStyle name="Normal 3 36 6 15" xfId="37446" xr:uid="{00000000-0005-0000-0000-00003D920000}"/>
    <cellStyle name="Normal 3 36 6 16" xfId="37447" xr:uid="{00000000-0005-0000-0000-00003E920000}"/>
    <cellStyle name="Normal 3 36 6 2" xfId="37448" xr:uid="{00000000-0005-0000-0000-00003F920000}"/>
    <cellStyle name="Normal 3 36 6 2 2" xfId="37449" xr:uid="{00000000-0005-0000-0000-000040920000}"/>
    <cellStyle name="Normal 3 36 6 2 3" xfId="37450" xr:uid="{00000000-0005-0000-0000-000041920000}"/>
    <cellStyle name="Normal 3 36 6 3" xfId="37451" xr:uid="{00000000-0005-0000-0000-000042920000}"/>
    <cellStyle name="Normal 3 36 6 3 2" xfId="37452" xr:uid="{00000000-0005-0000-0000-000043920000}"/>
    <cellStyle name="Normal 3 36 6 3 3" xfId="37453" xr:uid="{00000000-0005-0000-0000-000044920000}"/>
    <cellStyle name="Normal 3 36 6 4" xfId="37454" xr:uid="{00000000-0005-0000-0000-000045920000}"/>
    <cellStyle name="Normal 3 36 6 4 2" xfId="37455" xr:uid="{00000000-0005-0000-0000-000046920000}"/>
    <cellStyle name="Normal 3 36 6 4 3" xfId="37456" xr:uid="{00000000-0005-0000-0000-000047920000}"/>
    <cellStyle name="Normal 3 36 6 5" xfId="37457" xr:uid="{00000000-0005-0000-0000-000048920000}"/>
    <cellStyle name="Normal 3 36 6 5 2" xfId="37458" xr:uid="{00000000-0005-0000-0000-000049920000}"/>
    <cellStyle name="Normal 3 36 6 5 3" xfId="37459" xr:uid="{00000000-0005-0000-0000-00004A920000}"/>
    <cellStyle name="Normal 3 36 6 6" xfId="37460" xr:uid="{00000000-0005-0000-0000-00004B920000}"/>
    <cellStyle name="Normal 3 36 6 6 2" xfId="37461" xr:uid="{00000000-0005-0000-0000-00004C920000}"/>
    <cellStyle name="Normal 3 36 6 6 3" xfId="37462" xr:uid="{00000000-0005-0000-0000-00004D920000}"/>
    <cellStyle name="Normal 3 36 6 7" xfId="37463" xr:uid="{00000000-0005-0000-0000-00004E920000}"/>
    <cellStyle name="Normal 3 36 6 7 2" xfId="37464" xr:uid="{00000000-0005-0000-0000-00004F920000}"/>
    <cellStyle name="Normal 3 36 6 7 3" xfId="37465" xr:uid="{00000000-0005-0000-0000-000050920000}"/>
    <cellStyle name="Normal 3 36 6 8" xfId="37466" xr:uid="{00000000-0005-0000-0000-000051920000}"/>
    <cellStyle name="Normal 3 36 6 8 2" xfId="37467" xr:uid="{00000000-0005-0000-0000-000052920000}"/>
    <cellStyle name="Normal 3 36 6 8 3" xfId="37468" xr:uid="{00000000-0005-0000-0000-000053920000}"/>
    <cellStyle name="Normal 3 36 6 9" xfId="37469" xr:uid="{00000000-0005-0000-0000-000054920000}"/>
    <cellStyle name="Normal 3 36 6 9 2" xfId="37470" xr:uid="{00000000-0005-0000-0000-000055920000}"/>
    <cellStyle name="Normal 3 36 6 9 3" xfId="37471" xr:uid="{00000000-0005-0000-0000-000056920000}"/>
    <cellStyle name="Normal 3 36 7" xfId="37472" xr:uid="{00000000-0005-0000-0000-000057920000}"/>
    <cellStyle name="Normal 3 36 7 10" xfId="37473" xr:uid="{00000000-0005-0000-0000-000058920000}"/>
    <cellStyle name="Normal 3 36 7 10 2" xfId="37474" xr:uid="{00000000-0005-0000-0000-000059920000}"/>
    <cellStyle name="Normal 3 36 7 10 3" xfId="37475" xr:uid="{00000000-0005-0000-0000-00005A920000}"/>
    <cellStyle name="Normal 3 36 7 11" xfId="37476" xr:uid="{00000000-0005-0000-0000-00005B920000}"/>
    <cellStyle name="Normal 3 36 7 11 2" xfId="37477" xr:uid="{00000000-0005-0000-0000-00005C920000}"/>
    <cellStyle name="Normal 3 36 7 11 3" xfId="37478" xr:uid="{00000000-0005-0000-0000-00005D920000}"/>
    <cellStyle name="Normal 3 36 7 12" xfId="37479" xr:uid="{00000000-0005-0000-0000-00005E920000}"/>
    <cellStyle name="Normal 3 36 7 12 2" xfId="37480" xr:uid="{00000000-0005-0000-0000-00005F920000}"/>
    <cellStyle name="Normal 3 36 7 12 3" xfId="37481" xr:uid="{00000000-0005-0000-0000-000060920000}"/>
    <cellStyle name="Normal 3 36 7 13" xfId="37482" xr:uid="{00000000-0005-0000-0000-000061920000}"/>
    <cellStyle name="Normal 3 36 7 13 2" xfId="37483" xr:uid="{00000000-0005-0000-0000-000062920000}"/>
    <cellStyle name="Normal 3 36 7 13 3" xfId="37484" xr:uid="{00000000-0005-0000-0000-000063920000}"/>
    <cellStyle name="Normal 3 36 7 14" xfId="37485" xr:uid="{00000000-0005-0000-0000-000064920000}"/>
    <cellStyle name="Normal 3 36 7 14 2" xfId="37486" xr:uid="{00000000-0005-0000-0000-000065920000}"/>
    <cellStyle name="Normal 3 36 7 14 3" xfId="37487" xr:uid="{00000000-0005-0000-0000-000066920000}"/>
    <cellStyle name="Normal 3 36 7 15" xfId="37488" xr:uid="{00000000-0005-0000-0000-000067920000}"/>
    <cellStyle name="Normal 3 36 7 16" xfId="37489" xr:uid="{00000000-0005-0000-0000-000068920000}"/>
    <cellStyle name="Normal 3 36 7 2" xfId="37490" xr:uid="{00000000-0005-0000-0000-000069920000}"/>
    <cellStyle name="Normal 3 36 7 2 2" xfId="37491" xr:uid="{00000000-0005-0000-0000-00006A920000}"/>
    <cellStyle name="Normal 3 36 7 2 3" xfId="37492" xr:uid="{00000000-0005-0000-0000-00006B920000}"/>
    <cellStyle name="Normal 3 36 7 3" xfId="37493" xr:uid="{00000000-0005-0000-0000-00006C920000}"/>
    <cellStyle name="Normal 3 36 7 3 2" xfId="37494" xr:uid="{00000000-0005-0000-0000-00006D920000}"/>
    <cellStyle name="Normal 3 36 7 3 3" xfId="37495" xr:uid="{00000000-0005-0000-0000-00006E920000}"/>
    <cellStyle name="Normal 3 36 7 4" xfId="37496" xr:uid="{00000000-0005-0000-0000-00006F920000}"/>
    <cellStyle name="Normal 3 36 7 4 2" xfId="37497" xr:uid="{00000000-0005-0000-0000-000070920000}"/>
    <cellStyle name="Normal 3 36 7 4 3" xfId="37498" xr:uid="{00000000-0005-0000-0000-000071920000}"/>
    <cellStyle name="Normal 3 36 7 5" xfId="37499" xr:uid="{00000000-0005-0000-0000-000072920000}"/>
    <cellStyle name="Normal 3 36 7 5 2" xfId="37500" xr:uid="{00000000-0005-0000-0000-000073920000}"/>
    <cellStyle name="Normal 3 36 7 5 3" xfId="37501" xr:uid="{00000000-0005-0000-0000-000074920000}"/>
    <cellStyle name="Normal 3 36 7 6" xfId="37502" xr:uid="{00000000-0005-0000-0000-000075920000}"/>
    <cellStyle name="Normal 3 36 7 6 2" xfId="37503" xr:uid="{00000000-0005-0000-0000-000076920000}"/>
    <cellStyle name="Normal 3 36 7 6 3" xfId="37504" xr:uid="{00000000-0005-0000-0000-000077920000}"/>
    <cellStyle name="Normal 3 36 7 7" xfId="37505" xr:uid="{00000000-0005-0000-0000-000078920000}"/>
    <cellStyle name="Normal 3 36 7 7 2" xfId="37506" xr:uid="{00000000-0005-0000-0000-000079920000}"/>
    <cellStyle name="Normal 3 36 7 7 3" xfId="37507" xr:uid="{00000000-0005-0000-0000-00007A920000}"/>
    <cellStyle name="Normal 3 36 7 8" xfId="37508" xr:uid="{00000000-0005-0000-0000-00007B920000}"/>
    <cellStyle name="Normal 3 36 7 8 2" xfId="37509" xr:uid="{00000000-0005-0000-0000-00007C920000}"/>
    <cellStyle name="Normal 3 36 7 8 3" xfId="37510" xr:uid="{00000000-0005-0000-0000-00007D920000}"/>
    <cellStyle name="Normal 3 36 7 9" xfId="37511" xr:uid="{00000000-0005-0000-0000-00007E920000}"/>
    <cellStyle name="Normal 3 36 7 9 2" xfId="37512" xr:uid="{00000000-0005-0000-0000-00007F920000}"/>
    <cellStyle name="Normal 3 36 7 9 3" xfId="37513" xr:uid="{00000000-0005-0000-0000-000080920000}"/>
    <cellStyle name="Normal 3 36 8" xfId="37514" xr:uid="{00000000-0005-0000-0000-000081920000}"/>
    <cellStyle name="Normal 3 36 8 10" xfId="37515" xr:uid="{00000000-0005-0000-0000-000082920000}"/>
    <cellStyle name="Normal 3 36 8 10 2" xfId="37516" xr:uid="{00000000-0005-0000-0000-000083920000}"/>
    <cellStyle name="Normal 3 36 8 10 3" xfId="37517" xr:uid="{00000000-0005-0000-0000-000084920000}"/>
    <cellStyle name="Normal 3 36 8 11" xfId="37518" xr:uid="{00000000-0005-0000-0000-000085920000}"/>
    <cellStyle name="Normal 3 36 8 11 2" xfId="37519" xr:uid="{00000000-0005-0000-0000-000086920000}"/>
    <cellStyle name="Normal 3 36 8 11 3" xfId="37520" xr:uid="{00000000-0005-0000-0000-000087920000}"/>
    <cellStyle name="Normal 3 36 8 12" xfId="37521" xr:uid="{00000000-0005-0000-0000-000088920000}"/>
    <cellStyle name="Normal 3 36 8 12 2" xfId="37522" xr:uid="{00000000-0005-0000-0000-000089920000}"/>
    <cellStyle name="Normal 3 36 8 12 3" xfId="37523" xr:uid="{00000000-0005-0000-0000-00008A920000}"/>
    <cellStyle name="Normal 3 36 8 13" xfId="37524" xr:uid="{00000000-0005-0000-0000-00008B920000}"/>
    <cellStyle name="Normal 3 36 8 13 2" xfId="37525" xr:uid="{00000000-0005-0000-0000-00008C920000}"/>
    <cellStyle name="Normal 3 36 8 13 3" xfId="37526" xr:uid="{00000000-0005-0000-0000-00008D920000}"/>
    <cellStyle name="Normal 3 36 8 14" xfId="37527" xr:uid="{00000000-0005-0000-0000-00008E920000}"/>
    <cellStyle name="Normal 3 36 8 14 2" xfId="37528" xr:uid="{00000000-0005-0000-0000-00008F920000}"/>
    <cellStyle name="Normal 3 36 8 14 3" xfId="37529" xr:uid="{00000000-0005-0000-0000-000090920000}"/>
    <cellStyle name="Normal 3 36 8 15" xfId="37530" xr:uid="{00000000-0005-0000-0000-000091920000}"/>
    <cellStyle name="Normal 3 36 8 16" xfId="37531" xr:uid="{00000000-0005-0000-0000-000092920000}"/>
    <cellStyle name="Normal 3 36 8 2" xfId="37532" xr:uid="{00000000-0005-0000-0000-000093920000}"/>
    <cellStyle name="Normal 3 36 8 2 2" xfId="37533" xr:uid="{00000000-0005-0000-0000-000094920000}"/>
    <cellStyle name="Normal 3 36 8 2 3" xfId="37534" xr:uid="{00000000-0005-0000-0000-000095920000}"/>
    <cellStyle name="Normal 3 36 8 3" xfId="37535" xr:uid="{00000000-0005-0000-0000-000096920000}"/>
    <cellStyle name="Normal 3 36 8 3 2" xfId="37536" xr:uid="{00000000-0005-0000-0000-000097920000}"/>
    <cellStyle name="Normal 3 36 8 3 3" xfId="37537" xr:uid="{00000000-0005-0000-0000-000098920000}"/>
    <cellStyle name="Normal 3 36 8 4" xfId="37538" xr:uid="{00000000-0005-0000-0000-000099920000}"/>
    <cellStyle name="Normal 3 36 8 4 2" xfId="37539" xr:uid="{00000000-0005-0000-0000-00009A920000}"/>
    <cellStyle name="Normal 3 36 8 4 3" xfId="37540" xr:uid="{00000000-0005-0000-0000-00009B920000}"/>
    <cellStyle name="Normal 3 36 8 5" xfId="37541" xr:uid="{00000000-0005-0000-0000-00009C920000}"/>
    <cellStyle name="Normal 3 36 8 5 2" xfId="37542" xr:uid="{00000000-0005-0000-0000-00009D920000}"/>
    <cellStyle name="Normal 3 36 8 5 3" xfId="37543" xr:uid="{00000000-0005-0000-0000-00009E920000}"/>
    <cellStyle name="Normal 3 36 8 6" xfId="37544" xr:uid="{00000000-0005-0000-0000-00009F920000}"/>
    <cellStyle name="Normal 3 36 8 6 2" xfId="37545" xr:uid="{00000000-0005-0000-0000-0000A0920000}"/>
    <cellStyle name="Normal 3 36 8 6 3" xfId="37546" xr:uid="{00000000-0005-0000-0000-0000A1920000}"/>
    <cellStyle name="Normal 3 36 8 7" xfId="37547" xr:uid="{00000000-0005-0000-0000-0000A2920000}"/>
    <cellStyle name="Normal 3 36 8 7 2" xfId="37548" xr:uid="{00000000-0005-0000-0000-0000A3920000}"/>
    <cellStyle name="Normal 3 36 8 7 3" xfId="37549" xr:uid="{00000000-0005-0000-0000-0000A4920000}"/>
    <cellStyle name="Normal 3 36 8 8" xfId="37550" xr:uid="{00000000-0005-0000-0000-0000A5920000}"/>
    <cellStyle name="Normal 3 36 8 8 2" xfId="37551" xr:uid="{00000000-0005-0000-0000-0000A6920000}"/>
    <cellStyle name="Normal 3 36 8 8 3" xfId="37552" xr:uid="{00000000-0005-0000-0000-0000A7920000}"/>
    <cellStyle name="Normal 3 36 8 9" xfId="37553" xr:uid="{00000000-0005-0000-0000-0000A8920000}"/>
    <cellStyle name="Normal 3 36 8 9 2" xfId="37554" xr:uid="{00000000-0005-0000-0000-0000A9920000}"/>
    <cellStyle name="Normal 3 36 8 9 3" xfId="37555" xr:uid="{00000000-0005-0000-0000-0000AA920000}"/>
    <cellStyle name="Normal 3 36 9" xfId="37556" xr:uid="{00000000-0005-0000-0000-0000AB920000}"/>
    <cellStyle name="Normal 3 36 9 10" xfId="37557" xr:uid="{00000000-0005-0000-0000-0000AC920000}"/>
    <cellStyle name="Normal 3 36 9 10 2" xfId="37558" xr:uid="{00000000-0005-0000-0000-0000AD920000}"/>
    <cellStyle name="Normal 3 36 9 10 3" xfId="37559" xr:uid="{00000000-0005-0000-0000-0000AE920000}"/>
    <cellStyle name="Normal 3 36 9 11" xfId="37560" xr:uid="{00000000-0005-0000-0000-0000AF920000}"/>
    <cellStyle name="Normal 3 36 9 11 2" xfId="37561" xr:uid="{00000000-0005-0000-0000-0000B0920000}"/>
    <cellStyle name="Normal 3 36 9 11 3" xfId="37562" xr:uid="{00000000-0005-0000-0000-0000B1920000}"/>
    <cellStyle name="Normal 3 36 9 12" xfId="37563" xr:uid="{00000000-0005-0000-0000-0000B2920000}"/>
    <cellStyle name="Normal 3 36 9 12 2" xfId="37564" xr:uid="{00000000-0005-0000-0000-0000B3920000}"/>
    <cellStyle name="Normal 3 36 9 12 3" xfId="37565" xr:uid="{00000000-0005-0000-0000-0000B4920000}"/>
    <cellStyle name="Normal 3 36 9 13" xfId="37566" xr:uid="{00000000-0005-0000-0000-0000B5920000}"/>
    <cellStyle name="Normal 3 36 9 13 2" xfId="37567" xr:uid="{00000000-0005-0000-0000-0000B6920000}"/>
    <cellStyle name="Normal 3 36 9 13 3" xfId="37568" xr:uid="{00000000-0005-0000-0000-0000B7920000}"/>
    <cellStyle name="Normal 3 36 9 14" xfId="37569" xr:uid="{00000000-0005-0000-0000-0000B8920000}"/>
    <cellStyle name="Normal 3 36 9 14 2" xfId="37570" xr:uid="{00000000-0005-0000-0000-0000B9920000}"/>
    <cellStyle name="Normal 3 36 9 14 3" xfId="37571" xr:uid="{00000000-0005-0000-0000-0000BA920000}"/>
    <cellStyle name="Normal 3 36 9 15" xfId="37572" xr:uid="{00000000-0005-0000-0000-0000BB920000}"/>
    <cellStyle name="Normal 3 36 9 16" xfId="37573" xr:uid="{00000000-0005-0000-0000-0000BC920000}"/>
    <cellStyle name="Normal 3 36 9 2" xfId="37574" xr:uid="{00000000-0005-0000-0000-0000BD920000}"/>
    <cellStyle name="Normal 3 36 9 2 2" xfId="37575" xr:uid="{00000000-0005-0000-0000-0000BE920000}"/>
    <cellStyle name="Normal 3 36 9 2 3" xfId="37576" xr:uid="{00000000-0005-0000-0000-0000BF920000}"/>
    <cellStyle name="Normal 3 36 9 3" xfId="37577" xr:uid="{00000000-0005-0000-0000-0000C0920000}"/>
    <cellStyle name="Normal 3 36 9 3 2" xfId="37578" xr:uid="{00000000-0005-0000-0000-0000C1920000}"/>
    <cellStyle name="Normal 3 36 9 3 3" xfId="37579" xr:uid="{00000000-0005-0000-0000-0000C2920000}"/>
    <cellStyle name="Normal 3 36 9 4" xfId="37580" xr:uid="{00000000-0005-0000-0000-0000C3920000}"/>
    <cellStyle name="Normal 3 36 9 4 2" xfId="37581" xr:uid="{00000000-0005-0000-0000-0000C4920000}"/>
    <cellStyle name="Normal 3 36 9 4 3" xfId="37582" xr:uid="{00000000-0005-0000-0000-0000C5920000}"/>
    <cellStyle name="Normal 3 36 9 5" xfId="37583" xr:uid="{00000000-0005-0000-0000-0000C6920000}"/>
    <cellStyle name="Normal 3 36 9 5 2" xfId="37584" xr:uid="{00000000-0005-0000-0000-0000C7920000}"/>
    <cellStyle name="Normal 3 36 9 5 3" xfId="37585" xr:uid="{00000000-0005-0000-0000-0000C8920000}"/>
    <cellStyle name="Normal 3 36 9 6" xfId="37586" xr:uid="{00000000-0005-0000-0000-0000C9920000}"/>
    <cellStyle name="Normal 3 36 9 6 2" xfId="37587" xr:uid="{00000000-0005-0000-0000-0000CA920000}"/>
    <cellStyle name="Normal 3 36 9 6 3" xfId="37588" xr:uid="{00000000-0005-0000-0000-0000CB920000}"/>
    <cellStyle name="Normal 3 36 9 7" xfId="37589" xr:uid="{00000000-0005-0000-0000-0000CC920000}"/>
    <cellStyle name="Normal 3 36 9 7 2" xfId="37590" xr:uid="{00000000-0005-0000-0000-0000CD920000}"/>
    <cellStyle name="Normal 3 36 9 7 3" xfId="37591" xr:uid="{00000000-0005-0000-0000-0000CE920000}"/>
    <cellStyle name="Normal 3 36 9 8" xfId="37592" xr:uid="{00000000-0005-0000-0000-0000CF920000}"/>
    <cellStyle name="Normal 3 36 9 8 2" xfId="37593" xr:uid="{00000000-0005-0000-0000-0000D0920000}"/>
    <cellStyle name="Normal 3 36 9 8 3" xfId="37594" xr:uid="{00000000-0005-0000-0000-0000D1920000}"/>
    <cellStyle name="Normal 3 36 9 9" xfId="37595" xr:uid="{00000000-0005-0000-0000-0000D2920000}"/>
    <cellStyle name="Normal 3 36 9 9 2" xfId="37596" xr:uid="{00000000-0005-0000-0000-0000D3920000}"/>
    <cellStyle name="Normal 3 36 9 9 3" xfId="37597" xr:uid="{00000000-0005-0000-0000-0000D4920000}"/>
    <cellStyle name="Normal 3 37" xfId="37598" xr:uid="{00000000-0005-0000-0000-0000D5920000}"/>
    <cellStyle name="Normal 3 37 10" xfId="37599" xr:uid="{00000000-0005-0000-0000-0000D6920000}"/>
    <cellStyle name="Normal 3 37 10 10" xfId="37600" xr:uid="{00000000-0005-0000-0000-0000D7920000}"/>
    <cellStyle name="Normal 3 37 10 10 2" xfId="37601" xr:uid="{00000000-0005-0000-0000-0000D8920000}"/>
    <cellStyle name="Normal 3 37 10 10 3" xfId="37602" xr:uid="{00000000-0005-0000-0000-0000D9920000}"/>
    <cellStyle name="Normal 3 37 10 11" xfId="37603" xr:uid="{00000000-0005-0000-0000-0000DA920000}"/>
    <cellStyle name="Normal 3 37 10 11 2" xfId="37604" xr:uid="{00000000-0005-0000-0000-0000DB920000}"/>
    <cellStyle name="Normal 3 37 10 11 3" xfId="37605" xr:uid="{00000000-0005-0000-0000-0000DC920000}"/>
    <cellStyle name="Normal 3 37 10 12" xfId="37606" xr:uid="{00000000-0005-0000-0000-0000DD920000}"/>
    <cellStyle name="Normal 3 37 10 12 2" xfId="37607" xr:uid="{00000000-0005-0000-0000-0000DE920000}"/>
    <cellStyle name="Normal 3 37 10 12 3" xfId="37608" xr:uid="{00000000-0005-0000-0000-0000DF920000}"/>
    <cellStyle name="Normal 3 37 10 13" xfId="37609" xr:uid="{00000000-0005-0000-0000-0000E0920000}"/>
    <cellStyle name="Normal 3 37 10 13 2" xfId="37610" xr:uid="{00000000-0005-0000-0000-0000E1920000}"/>
    <cellStyle name="Normal 3 37 10 13 3" xfId="37611" xr:uid="{00000000-0005-0000-0000-0000E2920000}"/>
    <cellStyle name="Normal 3 37 10 14" xfId="37612" xr:uid="{00000000-0005-0000-0000-0000E3920000}"/>
    <cellStyle name="Normal 3 37 10 14 2" xfId="37613" xr:uid="{00000000-0005-0000-0000-0000E4920000}"/>
    <cellStyle name="Normal 3 37 10 14 3" xfId="37614" xr:uid="{00000000-0005-0000-0000-0000E5920000}"/>
    <cellStyle name="Normal 3 37 10 15" xfId="37615" xr:uid="{00000000-0005-0000-0000-0000E6920000}"/>
    <cellStyle name="Normal 3 37 10 16" xfId="37616" xr:uid="{00000000-0005-0000-0000-0000E7920000}"/>
    <cellStyle name="Normal 3 37 10 2" xfId="37617" xr:uid="{00000000-0005-0000-0000-0000E8920000}"/>
    <cellStyle name="Normal 3 37 10 2 2" xfId="37618" xr:uid="{00000000-0005-0000-0000-0000E9920000}"/>
    <cellStyle name="Normal 3 37 10 2 3" xfId="37619" xr:uid="{00000000-0005-0000-0000-0000EA920000}"/>
    <cellStyle name="Normal 3 37 10 3" xfId="37620" xr:uid="{00000000-0005-0000-0000-0000EB920000}"/>
    <cellStyle name="Normal 3 37 10 3 2" xfId="37621" xr:uid="{00000000-0005-0000-0000-0000EC920000}"/>
    <cellStyle name="Normal 3 37 10 3 3" xfId="37622" xr:uid="{00000000-0005-0000-0000-0000ED920000}"/>
    <cellStyle name="Normal 3 37 10 4" xfId="37623" xr:uid="{00000000-0005-0000-0000-0000EE920000}"/>
    <cellStyle name="Normal 3 37 10 4 2" xfId="37624" xr:uid="{00000000-0005-0000-0000-0000EF920000}"/>
    <cellStyle name="Normal 3 37 10 4 3" xfId="37625" xr:uid="{00000000-0005-0000-0000-0000F0920000}"/>
    <cellStyle name="Normal 3 37 10 5" xfId="37626" xr:uid="{00000000-0005-0000-0000-0000F1920000}"/>
    <cellStyle name="Normal 3 37 10 5 2" xfId="37627" xr:uid="{00000000-0005-0000-0000-0000F2920000}"/>
    <cellStyle name="Normal 3 37 10 5 3" xfId="37628" xr:uid="{00000000-0005-0000-0000-0000F3920000}"/>
    <cellStyle name="Normal 3 37 10 6" xfId="37629" xr:uid="{00000000-0005-0000-0000-0000F4920000}"/>
    <cellStyle name="Normal 3 37 10 6 2" xfId="37630" xr:uid="{00000000-0005-0000-0000-0000F5920000}"/>
    <cellStyle name="Normal 3 37 10 6 3" xfId="37631" xr:uid="{00000000-0005-0000-0000-0000F6920000}"/>
    <cellStyle name="Normal 3 37 10 7" xfId="37632" xr:uid="{00000000-0005-0000-0000-0000F7920000}"/>
    <cellStyle name="Normal 3 37 10 7 2" xfId="37633" xr:uid="{00000000-0005-0000-0000-0000F8920000}"/>
    <cellStyle name="Normal 3 37 10 7 3" xfId="37634" xr:uid="{00000000-0005-0000-0000-0000F9920000}"/>
    <cellStyle name="Normal 3 37 10 8" xfId="37635" xr:uid="{00000000-0005-0000-0000-0000FA920000}"/>
    <cellStyle name="Normal 3 37 10 8 2" xfId="37636" xr:uid="{00000000-0005-0000-0000-0000FB920000}"/>
    <cellStyle name="Normal 3 37 10 8 3" xfId="37637" xr:uid="{00000000-0005-0000-0000-0000FC920000}"/>
    <cellStyle name="Normal 3 37 10 9" xfId="37638" xr:uid="{00000000-0005-0000-0000-0000FD920000}"/>
    <cellStyle name="Normal 3 37 10 9 2" xfId="37639" xr:uid="{00000000-0005-0000-0000-0000FE920000}"/>
    <cellStyle name="Normal 3 37 10 9 3" xfId="37640" xr:uid="{00000000-0005-0000-0000-0000FF920000}"/>
    <cellStyle name="Normal 3 37 11" xfId="37641" xr:uid="{00000000-0005-0000-0000-000000930000}"/>
    <cellStyle name="Normal 3 37 11 2" xfId="37642" xr:uid="{00000000-0005-0000-0000-000001930000}"/>
    <cellStyle name="Normal 3 37 11 3" xfId="37643" xr:uid="{00000000-0005-0000-0000-000002930000}"/>
    <cellStyle name="Normal 3 37 12" xfId="37644" xr:uid="{00000000-0005-0000-0000-000003930000}"/>
    <cellStyle name="Normal 3 37 12 2" xfId="37645" xr:uid="{00000000-0005-0000-0000-000004930000}"/>
    <cellStyle name="Normal 3 37 12 3" xfId="37646" xr:uid="{00000000-0005-0000-0000-000005930000}"/>
    <cellStyle name="Normal 3 37 13" xfId="37647" xr:uid="{00000000-0005-0000-0000-000006930000}"/>
    <cellStyle name="Normal 3 37 13 2" xfId="37648" xr:uid="{00000000-0005-0000-0000-000007930000}"/>
    <cellStyle name="Normal 3 37 13 3" xfId="37649" xr:uid="{00000000-0005-0000-0000-000008930000}"/>
    <cellStyle name="Normal 3 37 14" xfId="37650" xr:uid="{00000000-0005-0000-0000-000009930000}"/>
    <cellStyle name="Normal 3 37 14 2" xfId="37651" xr:uid="{00000000-0005-0000-0000-00000A930000}"/>
    <cellStyle name="Normal 3 37 14 3" xfId="37652" xr:uid="{00000000-0005-0000-0000-00000B930000}"/>
    <cellStyle name="Normal 3 37 15" xfId="37653" xr:uid="{00000000-0005-0000-0000-00000C930000}"/>
    <cellStyle name="Normal 3 37 15 2" xfId="37654" xr:uid="{00000000-0005-0000-0000-00000D930000}"/>
    <cellStyle name="Normal 3 37 15 3" xfId="37655" xr:uid="{00000000-0005-0000-0000-00000E930000}"/>
    <cellStyle name="Normal 3 37 16" xfId="37656" xr:uid="{00000000-0005-0000-0000-00000F930000}"/>
    <cellStyle name="Normal 3 37 16 2" xfId="37657" xr:uid="{00000000-0005-0000-0000-000010930000}"/>
    <cellStyle name="Normal 3 37 16 3" xfId="37658" xr:uid="{00000000-0005-0000-0000-000011930000}"/>
    <cellStyle name="Normal 3 37 17" xfId="37659" xr:uid="{00000000-0005-0000-0000-000012930000}"/>
    <cellStyle name="Normal 3 37 17 2" xfId="37660" xr:uid="{00000000-0005-0000-0000-000013930000}"/>
    <cellStyle name="Normal 3 37 17 3" xfId="37661" xr:uid="{00000000-0005-0000-0000-000014930000}"/>
    <cellStyle name="Normal 3 37 18" xfId="37662" xr:uid="{00000000-0005-0000-0000-000015930000}"/>
    <cellStyle name="Normal 3 37 18 2" xfId="37663" xr:uid="{00000000-0005-0000-0000-000016930000}"/>
    <cellStyle name="Normal 3 37 18 3" xfId="37664" xr:uid="{00000000-0005-0000-0000-000017930000}"/>
    <cellStyle name="Normal 3 37 19" xfId="37665" xr:uid="{00000000-0005-0000-0000-000018930000}"/>
    <cellStyle name="Normal 3 37 19 2" xfId="37666" xr:uid="{00000000-0005-0000-0000-000019930000}"/>
    <cellStyle name="Normal 3 37 19 3" xfId="37667" xr:uid="{00000000-0005-0000-0000-00001A930000}"/>
    <cellStyle name="Normal 3 37 2" xfId="37668" xr:uid="{00000000-0005-0000-0000-00001B930000}"/>
    <cellStyle name="Normal 3 37 2 10" xfId="37669" xr:uid="{00000000-0005-0000-0000-00001C930000}"/>
    <cellStyle name="Normal 3 37 2 10 2" xfId="37670" xr:uid="{00000000-0005-0000-0000-00001D930000}"/>
    <cellStyle name="Normal 3 37 2 10 3" xfId="37671" xr:uid="{00000000-0005-0000-0000-00001E930000}"/>
    <cellStyle name="Normal 3 37 2 11" xfId="37672" xr:uid="{00000000-0005-0000-0000-00001F930000}"/>
    <cellStyle name="Normal 3 37 2 11 2" xfId="37673" xr:uid="{00000000-0005-0000-0000-000020930000}"/>
    <cellStyle name="Normal 3 37 2 11 3" xfId="37674" xr:uid="{00000000-0005-0000-0000-000021930000}"/>
    <cellStyle name="Normal 3 37 2 12" xfId="37675" xr:uid="{00000000-0005-0000-0000-000022930000}"/>
    <cellStyle name="Normal 3 37 2 12 2" xfId="37676" xr:uid="{00000000-0005-0000-0000-000023930000}"/>
    <cellStyle name="Normal 3 37 2 12 3" xfId="37677" xr:uid="{00000000-0005-0000-0000-000024930000}"/>
    <cellStyle name="Normal 3 37 2 13" xfId="37678" xr:uid="{00000000-0005-0000-0000-000025930000}"/>
    <cellStyle name="Normal 3 37 2 13 2" xfId="37679" xr:uid="{00000000-0005-0000-0000-000026930000}"/>
    <cellStyle name="Normal 3 37 2 13 3" xfId="37680" xr:uid="{00000000-0005-0000-0000-000027930000}"/>
    <cellStyle name="Normal 3 37 2 14" xfId="37681" xr:uid="{00000000-0005-0000-0000-000028930000}"/>
    <cellStyle name="Normal 3 37 2 14 2" xfId="37682" xr:uid="{00000000-0005-0000-0000-000029930000}"/>
    <cellStyle name="Normal 3 37 2 14 3" xfId="37683" xr:uid="{00000000-0005-0000-0000-00002A930000}"/>
    <cellStyle name="Normal 3 37 2 15" xfId="37684" xr:uid="{00000000-0005-0000-0000-00002B930000}"/>
    <cellStyle name="Normal 3 37 2 15 2" xfId="37685" xr:uid="{00000000-0005-0000-0000-00002C930000}"/>
    <cellStyle name="Normal 3 37 2 15 3" xfId="37686" xr:uid="{00000000-0005-0000-0000-00002D930000}"/>
    <cellStyle name="Normal 3 37 2 16" xfId="37687" xr:uid="{00000000-0005-0000-0000-00002E930000}"/>
    <cellStyle name="Normal 3 37 2 17" xfId="37688" xr:uid="{00000000-0005-0000-0000-00002F930000}"/>
    <cellStyle name="Normal 3 37 2 2" xfId="37689" xr:uid="{00000000-0005-0000-0000-000030930000}"/>
    <cellStyle name="Normal 3 37 2 2 10" xfId="37690" xr:uid="{00000000-0005-0000-0000-000031930000}"/>
    <cellStyle name="Normal 3 37 2 2 10 2" xfId="37691" xr:uid="{00000000-0005-0000-0000-000032930000}"/>
    <cellStyle name="Normal 3 37 2 2 10 3" xfId="37692" xr:uid="{00000000-0005-0000-0000-000033930000}"/>
    <cellStyle name="Normal 3 37 2 2 11" xfId="37693" xr:uid="{00000000-0005-0000-0000-000034930000}"/>
    <cellStyle name="Normal 3 37 2 2 11 2" xfId="37694" xr:uid="{00000000-0005-0000-0000-000035930000}"/>
    <cellStyle name="Normal 3 37 2 2 11 3" xfId="37695" xr:uid="{00000000-0005-0000-0000-000036930000}"/>
    <cellStyle name="Normal 3 37 2 2 12" xfId="37696" xr:uid="{00000000-0005-0000-0000-000037930000}"/>
    <cellStyle name="Normal 3 37 2 2 12 2" xfId="37697" xr:uid="{00000000-0005-0000-0000-000038930000}"/>
    <cellStyle name="Normal 3 37 2 2 12 3" xfId="37698" xr:uid="{00000000-0005-0000-0000-000039930000}"/>
    <cellStyle name="Normal 3 37 2 2 13" xfId="37699" xr:uid="{00000000-0005-0000-0000-00003A930000}"/>
    <cellStyle name="Normal 3 37 2 2 13 2" xfId="37700" xr:uid="{00000000-0005-0000-0000-00003B930000}"/>
    <cellStyle name="Normal 3 37 2 2 13 3" xfId="37701" xr:uid="{00000000-0005-0000-0000-00003C930000}"/>
    <cellStyle name="Normal 3 37 2 2 14" xfId="37702" xr:uid="{00000000-0005-0000-0000-00003D930000}"/>
    <cellStyle name="Normal 3 37 2 2 14 2" xfId="37703" xr:uid="{00000000-0005-0000-0000-00003E930000}"/>
    <cellStyle name="Normal 3 37 2 2 14 3" xfId="37704" xr:uid="{00000000-0005-0000-0000-00003F930000}"/>
    <cellStyle name="Normal 3 37 2 2 15" xfId="37705" xr:uid="{00000000-0005-0000-0000-000040930000}"/>
    <cellStyle name="Normal 3 37 2 2 16" xfId="37706" xr:uid="{00000000-0005-0000-0000-000041930000}"/>
    <cellStyle name="Normal 3 37 2 2 2" xfId="37707" xr:uid="{00000000-0005-0000-0000-000042930000}"/>
    <cellStyle name="Normal 3 37 2 2 2 2" xfId="37708" xr:uid="{00000000-0005-0000-0000-000043930000}"/>
    <cellStyle name="Normal 3 37 2 2 2 3" xfId="37709" xr:uid="{00000000-0005-0000-0000-000044930000}"/>
    <cellStyle name="Normal 3 37 2 2 3" xfId="37710" xr:uid="{00000000-0005-0000-0000-000045930000}"/>
    <cellStyle name="Normal 3 37 2 2 3 2" xfId="37711" xr:uid="{00000000-0005-0000-0000-000046930000}"/>
    <cellStyle name="Normal 3 37 2 2 3 3" xfId="37712" xr:uid="{00000000-0005-0000-0000-000047930000}"/>
    <cellStyle name="Normal 3 37 2 2 4" xfId="37713" xr:uid="{00000000-0005-0000-0000-000048930000}"/>
    <cellStyle name="Normal 3 37 2 2 4 2" xfId="37714" xr:uid="{00000000-0005-0000-0000-000049930000}"/>
    <cellStyle name="Normal 3 37 2 2 4 3" xfId="37715" xr:uid="{00000000-0005-0000-0000-00004A930000}"/>
    <cellStyle name="Normal 3 37 2 2 5" xfId="37716" xr:uid="{00000000-0005-0000-0000-00004B930000}"/>
    <cellStyle name="Normal 3 37 2 2 5 2" xfId="37717" xr:uid="{00000000-0005-0000-0000-00004C930000}"/>
    <cellStyle name="Normal 3 37 2 2 5 3" xfId="37718" xr:uid="{00000000-0005-0000-0000-00004D930000}"/>
    <cellStyle name="Normal 3 37 2 2 6" xfId="37719" xr:uid="{00000000-0005-0000-0000-00004E930000}"/>
    <cellStyle name="Normal 3 37 2 2 6 2" xfId="37720" xr:uid="{00000000-0005-0000-0000-00004F930000}"/>
    <cellStyle name="Normal 3 37 2 2 6 3" xfId="37721" xr:uid="{00000000-0005-0000-0000-000050930000}"/>
    <cellStyle name="Normal 3 37 2 2 7" xfId="37722" xr:uid="{00000000-0005-0000-0000-000051930000}"/>
    <cellStyle name="Normal 3 37 2 2 7 2" xfId="37723" xr:uid="{00000000-0005-0000-0000-000052930000}"/>
    <cellStyle name="Normal 3 37 2 2 7 3" xfId="37724" xr:uid="{00000000-0005-0000-0000-000053930000}"/>
    <cellStyle name="Normal 3 37 2 2 8" xfId="37725" xr:uid="{00000000-0005-0000-0000-000054930000}"/>
    <cellStyle name="Normal 3 37 2 2 8 2" xfId="37726" xr:uid="{00000000-0005-0000-0000-000055930000}"/>
    <cellStyle name="Normal 3 37 2 2 8 3" xfId="37727" xr:uid="{00000000-0005-0000-0000-000056930000}"/>
    <cellStyle name="Normal 3 37 2 2 9" xfId="37728" xr:uid="{00000000-0005-0000-0000-000057930000}"/>
    <cellStyle name="Normal 3 37 2 2 9 2" xfId="37729" xr:uid="{00000000-0005-0000-0000-000058930000}"/>
    <cellStyle name="Normal 3 37 2 2 9 3" xfId="37730" xr:uid="{00000000-0005-0000-0000-000059930000}"/>
    <cellStyle name="Normal 3 37 2 3" xfId="37731" xr:uid="{00000000-0005-0000-0000-00005A930000}"/>
    <cellStyle name="Normal 3 37 2 3 2" xfId="37732" xr:uid="{00000000-0005-0000-0000-00005B930000}"/>
    <cellStyle name="Normal 3 37 2 3 3" xfId="37733" xr:uid="{00000000-0005-0000-0000-00005C930000}"/>
    <cellStyle name="Normal 3 37 2 4" xfId="37734" xr:uid="{00000000-0005-0000-0000-00005D930000}"/>
    <cellStyle name="Normal 3 37 2 4 2" xfId="37735" xr:uid="{00000000-0005-0000-0000-00005E930000}"/>
    <cellStyle name="Normal 3 37 2 4 3" xfId="37736" xr:uid="{00000000-0005-0000-0000-00005F930000}"/>
    <cellStyle name="Normal 3 37 2 5" xfId="37737" xr:uid="{00000000-0005-0000-0000-000060930000}"/>
    <cellStyle name="Normal 3 37 2 5 2" xfId="37738" xr:uid="{00000000-0005-0000-0000-000061930000}"/>
    <cellStyle name="Normal 3 37 2 5 3" xfId="37739" xr:uid="{00000000-0005-0000-0000-000062930000}"/>
    <cellStyle name="Normal 3 37 2 6" xfId="37740" xr:uid="{00000000-0005-0000-0000-000063930000}"/>
    <cellStyle name="Normal 3 37 2 6 2" xfId="37741" xr:uid="{00000000-0005-0000-0000-000064930000}"/>
    <cellStyle name="Normal 3 37 2 6 3" xfId="37742" xr:uid="{00000000-0005-0000-0000-000065930000}"/>
    <cellStyle name="Normal 3 37 2 7" xfId="37743" xr:uid="{00000000-0005-0000-0000-000066930000}"/>
    <cellStyle name="Normal 3 37 2 7 2" xfId="37744" xr:uid="{00000000-0005-0000-0000-000067930000}"/>
    <cellStyle name="Normal 3 37 2 7 3" xfId="37745" xr:uid="{00000000-0005-0000-0000-000068930000}"/>
    <cellStyle name="Normal 3 37 2 8" xfId="37746" xr:uid="{00000000-0005-0000-0000-000069930000}"/>
    <cellStyle name="Normal 3 37 2 8 2" xfId="37747" xr:uid="{00000000-0005-0000-0000-00006A930000}"/>
    <cellStyle name="Normal 3 37 2 8 3" xfId="37748" xr:uid="{00000000-0005-0000-0000-00006B930000}"/>
    <cellStyle name="Normal 3 37 2 9" xfId="37749" xr:uid="{00000000-0005-0000-0000-00006C930000}"/>
    <cellStyle name="Normal 3 37 2 9 2" xfId="37750" xr:uid="{00000000-0005-0000-0000-00006D930000}"/>
    <cellStyle name="Normal 3 37 2 9 3" xfId="37751" xr:uid="{00000000-0005-0000-0000-00006E930000}"/>
    <cellStyle name="Normal 3 37 20" xfId="37752" xr:uid="{00000000-0005-0000-0000-00006F930000}"/>
    <cellStyle name="Normal 3 37 20 2" xfId="37753" xr:uid="{00000000-0005-0000-0000-000070930000}"/>
    <cellStyle name="Normal 3 37 20 3" xfId="37754" xr:uid="{00000000-0005-0000-0000-000071930000}"/>
    <cellStyle name="Normal 3 37 21" xfId="37755" xr:uid="{00000000-0005-0000-0000-000072930000}"/>
    <cellStyle name="Normal 3 37 21 2" xfId="37756" xr:uid="{00000000-0005-0000-0000-000073930000}"/>
    <cellStyle name="Normal 3 37 21 3" xfId="37757" xr:uid="{00000000-0005-0000-0000-000074930000}"/>
    <cellStyle name="Normal 3 37 22" xfId="37758" xr:uid="{00000000-0005-0000-0000-000075930000}"/>
    <cellStyle name="Normal 3 37 22 2" xfId="37759" xr:uid="{00000000-0005-0000-0000-000076930000}"/>
    <cellStyle name="Normal 3 37 22 3" xfId="37760" xr:uid="{00000000-0005-0000-0000-000077930000}"/>
    <cellStyle name="Normal 3 37 23" xfId="37761" xr:uid="{00000000-0005-0000-0000-000078930000}"/>
    <cellStyle name="Normal 3 37 23 2" xfId="37762" xr:uid="{00000000-0005-0000-0000-000079930000}"/>
    <cellStyle name="Normal 3 37 23 3" xfId="37763" xr:uid="{00000000-0005-0000-0000-00007A930000}"/>
    <cellStyle name="Normal 3 37 24" xfId="37764" xr:uid="{00000000-0005-0000-0000-00007B930000}"/>
    <cellStyle name="Normal 3 37 25" xfId="37765" xr:uid="{00000000-0005-0000-0000-00007C930000}"/>
    <cellStyle name="Normal 3 37 3" xfId="37766" xr:uid="{00000000-0005-0000-0000-00007D930000}"/>
    <cellStyle name="Normal 3 37 3 10" xfId="37767" xr:uid="{00000000-0005-0000-0000-00007E930000}"/>
    <cellStyle name="Normal 3 37 3 10 2" xfId="37768" xr:uid="{00000000-0005-0000-0000-00007F930000}"/>
    <cellStyle name="Normal 3 37 3 10 3" xfId="37769" xr:uid="{00000000-0005-0000-0000-000080930000}"/>
    <cellStyle name="Normal 3 37 3 11" xfId="37770" xr:uid="{00000000-0005-0000-0000-000081930000}"/>
    <cellStyle name="Normal 3 37 3 11 2" xfId="37771" xr:uid="{00000000-0005-0000-0000-000082930000}"/>
    <cellStyle name="Normal 3 37 3 11 3" xfId="37772" xr:uid="{00000000-0005-0000-0000-000083930000}"/>
    <cellStyle name="Normal 3 37 3 12" xfId="37773" xr:uid="{00000000-0005-0000-0000-000084930000}"/>
    <cellStyle name="Normal 3 37 3 12 2" xfId="37774" xr:uid="{00000000-0005-0000-0000-000085930000}"/>
    <cellStyle name="Normal 3 37 3 12 3" xfId="37775" xr:uid="{00000000-0005-0000-0000-000086930000}"/>
    <cellStyle name="Normal 3 37 3 13" xfId="37776" xr:uid="{00000000-0005-0000-0000-000087930000}"/>
    <cellStyle name="Normal 3 37 3 13 2" xfId="37777" xr:uid="{00000000-0005-0000-0000-000088930000}"/>
    <cellStyle name="Normal 3 37 3 13 3" xfId="37778" xr:uid="{00000000-0005-0000-0000-000089930000}"/>
    <cellStyle name="Normal 3 37 3 14" xfId="37779" xr:uid="{00000000-0005-0000-0000-00008A930000}"/>
    <cellStyle name="Normal 3 37 3 14 2" xfId="37780" xr:uid="{00000000-0005-0000-0000-00008B930000}"/>
    <cellStyle name="Normal 3 37 3 14 3" xfId="37781" xr:uid="{00000000-0005-0000-0000-00008C930000}"/>
    <cellStyle name="Normal 3 37 3 15" xfId="37782" xr:uid="{00000000-0005-0000-0000-00008D930000}"/>
    <cellStyle name="Normal 3 37 3 15 2" xfId="37783" xr:uid="{00000000-0005-0000-0000-00008E930000}"/>
    <cellStyle name="Normal 3 37 3 15 3" xfId="37784" xr:uid="{00000000-0005-0000-0000-00008F930000}"/>
    <cellStyle name="Normal 3 37 3 16" xfId="37785" xr:uid="{00000000-0005-0000-0000-000090930000}"/>
    <cellStyle name="Normal 3 37 3 17" xfId="37786" xr:uid="{00000000-0005-0000-0000-000091930000}"/>
    <cellStyle name="Normal 3 37 3 2" xfId="37787" xr:uid="{00000000-0005-0000-0000-000092930000}"/>
    <cellStyle name="Normal 3 37 3 2 10" xfId="37788" xr:uid="{00000000-0005-0000-0000-000093930000}"/>
    <cellStyle name="Normal 3 37 3 2 10 2" xfId="37789" xr:uid="{00000000-0005-0000-0000-000094930000}"/>
    <cellStyle name="Normal 3 37 3 2 10 3" xfId="37790" xr:uid="{00000000-0005-0000-0000-000095930000}"/>
    <cellStyle name="Normal 3 37 3 2 11" xfId="37791" xr:uid="{00000000-0005-0000-0000-000096930000}"/>
    <cellStyle name="Normal 3 37 3 2 11 2" xfId="37792" xr:uid="{00000000-0005-0000-0000-000097930000}"/>
    <cellStyle name="Normal 3 37 3 2 11 3" xfId="37793" xr:uid="{00000000-0005-0000-0000-000098930000}"/>
    <cellStyle name="Normal 3 37 3 2 12" xfId="37794" xr:uid="{00000000-0005-0000-0000-000099930000}"/>
    <cellStyle name="Normal 3 37 3 2 12 2" xfId="37795" xr:uid="{00000000-0005-0000-0000-00009A930000}"/>
    <cellStyle name="Normal 3 37 3 2 12 3" xfId="37796" xr:uid="{00000000-0005-0000-0000-00009B930000}"/>
    <cellStyle name="Normal 3 37 3 2 13" xfId="37797" xr:uid="{00000000-0005-0000-0000-00009C930000}"/>
    <cellStyle name="Normal 3 37 3 2 13 2" xfId="37798" xr:uid="{00000000-0005-0000-0000-00009D930000}"/>
    <cellStyle name="Normal 3 37 3 2 13 3" xfId="37799" xr:uid="{00000000-0005-0000-0000-00009E930000}"/>
    <cellStyle name="Normal 3 37 3 2 14" xfId="37800" xr:uid="{00000000-0005-0000-0000-00009F930000}"/>
    <cellStyle name="Normal 3 37 3 2 14 2" xfId="37801" xr:uid="{00000000-0005-0000-0000-0000A0930000}"/>
    <cellStyle name="Normal 3 37 3 2 14 3" xfId="37802" xr:uid="{00000000-0005-0000-0000-0000A1930000}"/>
    <cellStyle name="Normal 3 37 3 2 15" xfId="37803" xr:uid="{00000000-0005-0000-0000-0000A2930000}"/>
    <cellStyle name="Normal 3 37 3 2 16" xfId="37804" xr:uid="{00000000-0005-0000-0000-0000A3930000}"/>
    <cellStyle name="Normal 3 37 3 2 2" xfId="37805" xr:uid="{00000000-0005-0000-0000-0000A4930000}"/>
    <cellStyle name="Normal 3 37 3 2 2 2" xfId="37806" xr:uid="{00000000-0005-0000-0000-0000A5930000}"/>
    <cellStyle name="Normal 3 37 3 2 2 3" xfId="37807" xr:uid="{00000000-0005-0000-0000-0000A6930000}"/>
    <cellStyle name="Normal 3 37 3 2 3" xfId="37808" xr:uid="{00000000-0005-0000-0000-0000A7930000}"/>
    <cellStyle name="Normal 3 37 3 2 3 2" xfId="37809" xr:uid="{00000000-0005-0000-0000-0000A8930000}"/>
    <cellStyle name="Normal 3 37 3 2 3 3" xfId="37810" xr:uid="{00000000-0005-0000-0000-0000A9930000}"/>
    <cellStyle name="Normal 3 37 3 2 4" xfId="37811" xr:uid="{00000000-0005-0000-0000-0000AA930000}"/>
    <cellStyle name="Normal 3 37 3 2 4 2" xfId="37812" xr:uid="{00000000-0005-0000-0000-0000AB930000}"/>
    <cellStyle name="Normal 3 37 3 2 4 3" xfId="37813" xr:uid="{00000000-0005-0000-0000-0000AC930000}"/>
    <cellStyle name="Normal 3 37 3 2 5" xfId="37814" xr:uid="{00000000-0005-0000-0000-0000AD930000}"/>
    <cellStyle name="Normal 3 37 3 2 5 2" xfId="37815" xr:uid="{00000000-0005-0000-0000-0000AE930000}"/>
    <cellStyle name="Normal 3 37 3 2 5 3" xfId="37816" xr:uid="{00000000-0005-0000-0000-0000AF930000}"/>
    <cellStyle name="Normal 3 37 3 2 6" xfId="37817" xr:uid="{00000000-0005-0000-0000-0000B0930000}"/>
    <cellStyle name="Normal 3 37 3 2 6 2" xfId="37818" xr:uid="{00000000-0005-0000-0000-0000B1930000}"/>
    <cellStyle name="Normal 3 37 3 2 6 3" xfId="37819" xr:uid="{00000000-0005-0000-0000-0000B2930000}"/>
    <cellStyle name="Normal 3 37 3 2 7" xfId="37820" xr:uid="{00000000-0005-0000-0000-0000B3930000}"/>
    <cellStyle name="Normal 3 37 3 2 7 2" xfId="37821" xr:uid="{00000000-0005-0000-0000-0000B4930000}"/>
    <cellStyle name="Normal 3 37 3 2 7 3" xfId="37822" xr:uid="{00000000-0005-0000-0000-0000B5930000}"/>
    <cellStyle name="Normal 3 37 3 2 8" xfId="37823" xr:uid="{00000000-0005-0000-0000-0000B6930000}"/>
    <cellStyle name="Normal 3 37 3 2 8 2" xfId="37824" xr:uid="{00000000-0005-0000-0000-0000B7930000}"/>
    <cellStyle name="Normal 3 37 3 2 8 3" xfId="37825" xr:uid="{00000000-0005-0000-0000-0000B8930000}"/>
    <cellStyle name="Normal 3 37 3 2 9" xfId="37826" xr:uid="{00000000-0005-0000-0000-0000B9930000}"/>
    <cellStyle name="Normal 3 37 3 2 9 2" xfId="37827" xr:uid="{00000000-0005-0000-0000-0000BA930000}"/>
    <cellStyle name="Normal 3 37 3 2 9 3" xfId="37828" xr:uid="{00000000-0005-0000-0000-0000BB930000}"/>
    <cellStyle name="Normal 3 37 3 3" xfId="37829" xr:uid="{00000000-0005-0000-0000-0000BC930000}"/>
    <cellStyle name="Normal 3 37 3 3 2" xfId="37830" xr:uid="{00000000-0005-0000-0000-0000BD930000}"/>
    <cellStyle name="Normal 3 37 3 3 3" xfId="37831" xr:uid="{00000000-0005-0000-0000-0000BE930000}"/>
    <cellStyle name="Normal 3 37 3 4" xfId="37832" xr:uid="{00000000-0005-0000-0000-0000BF930000}"/>
    <cellStyle name="Normal 3 37 3 4 2" xfId="37833" xr:uid="{00000000-0005-0000-0000-0000C0930000}"/>
    <cellStyle name="Normal 3 37 3 4 3" xfId="37834" xr:uid="{00000000-0005-0000-0000-0000C1930000}"/>
    <cellStyle name="Normal 3 37 3 5" xfId="37835" xr:uid="{00000000-0005-0000-0000-0000C2930000}"/>
    <cellStyle name="Normal 3 37 3 5 2" xfId="37836" xr:uid="{00000000-0005-0000-0000-0000C3930000}"/>
    <cellStyle name="Normal 3 37 3 5 3" xfId="37837" xr:uid="{00000000-0005-0000-0000-0000C4930000}"/>
    <cellStyle name="Normal 3 37 3 6" xfId="37838" xr:uid="{00000000-0005-0000-0000-0000C5930000}"/>
    <cellStyle name="Normal 3 37 3 6 2" xfId="37839" xr:uid="{00000000-0005-0000-0000-0000C6930000}"/>
    <cellStyle name="Normal 3 37 3 6 3" xfId="37840" xr:uid="{00000000-0005-0000-0000-0000C7930000}"/>
    <cellStyle name="Normal 3 37 3 7" xfId="37841" xr:uid="{00000000-0005-0000-0000-0000C8930000}"/>
    <cellStyle name="Normal 3 37 3 7 2" xfId="37842" xr:uid="{00000000-0005-0000-0000-0000C9930000}"/>
    <cellStyle name="Normal 3 37 3 7 3" xfId="37843" xr:uid="{00000000-0005-0000-0000-0000CA930000}"/>
    <cellStyle name="Normal 3 37 3 8" xfId="37844" xr:uid="{00000000-0005-0000-0000-0000CB930000}"/>
    <cellStyle name="Normal 3 37 3 8 2" xfId="37845" xr:uid="{00000000-0005-0000-0000-0000CC930000}"/>
    <cellStyle name="Normal 3 37 3 8 3" xfId="37846" xr:uid="{00000000-0005-0000-0000-0000CD930000}"/>
    <cellStyle name="Normal 3 37 3 9" xfId="37847" xr:uid="{00000000-0005-0000-0000-0000CE930000}"/>
    <cellStyle name="Normal 3 37 3 9 2" xfId="37848" xr:uid="{00000000-0005-0000-0000-0000CF930000}"/>
    <cellStyle name="Normal 3 37 3 9 3" xfId="37849" xr:uid="{00000000-0005-0000-0000-0000D0930000}"/>
    <cellStyle name="Normal 3 37 4" xfId="37850" xr:uid="{00000000-0005-0000-0000-0000D1930000}"/>
    <cellStyle name="Normal 3 37 4 10" xfId="37851" xr:uid="{00000000-0005-0000-0000-0000D2930000}"/>
    <cellStyle name="Normal 3 37 4 10 2" xfId="37852" xr:uid="{00000000-0005-0000-0000-0000D3930000}"/>
    <cellStyle name="Normal 3 37 4 10 3" xfId="37853" xr:uid="{00000000-0005-0000-0000-0000D4930000}"/>
    <cellStyle name="Normal 3 37 4 11" xfId="37854" xr:uid="{00000000-0005-0000-0000-0000D5930000}"/>
    <cellStyle name="Normal 3 37 4 11 2" xfId="37855" xr:uid="{00000000-0005-0000-0000-0000D6930000}"/>
    <cellStyle name="Normal 3 37 4 11 3" xfId="37856" xr:uid="{00000000-0005-0000-0000-0000D7930000}"/>
    <cellStyle name="Normal 3 37 4 12" xfId="37857" xr:uid="{00000000-0005-0000-0000-0000D8930000}"/>
    <cellStyle name="Normal 3 37 4 12 2" xfId="37858" xr:uid="{00000000-0005-0000-0000-0000D9930000}"/>
    <cellStyle name="Normal 3 37 4 12 3" xfId="37859" xr:uid="{00000000-0005-0000-0000-0000DA930000}"/>
    <cellStyle name="Normal 3 37 4 13" xfId="37860" xr:uid="{00000000-0005-0000-0000-0000DB930000}"/>
    <cellStyle name="Normal 3 37 4 13 2" xfId="37861" xr:uid="{00000000-0005-0000-0000-0000DC930000}"/>
    <cellStyle name="Normal 3 37 4 13 3" xfId="37862" xr:uid="{00000000-0005-0000-0000-0000DD930000}"/>
    <cellStyle name="Normal 3 37 4 14" xfId="37863" xr:uid="{00000000-0005-0000-0000-0000DE930000}"/>
    <cellStyle name="Normal 3 37 4 14 2" xfId="37864" xr:uid="{00000000-0005-0000-0000-0000DF930000}"/>
    <cellStyle name="Normal 3 37 4 14 3" xfId="37865" xr:uid="{00000000-0005-0000-0000-0000E0930000}"/>
    <cellStyle name="Normal 3 37 4 15" xfId="37866" xr:uid="{00000000-0005-0000-0000-0000E1930000}"/>
    <cellStyle name="Normal 3 37 4 15 2" xfId="37867" xr:uid="{00000000-0005-0000-0000-0000E2930000}"/>
    <cellStyle name="Normal 3 37 4 15 3" xfId="37868" xr:uid="{00000000-0005-0000-0000-0000E3930000}"/>
    <cellStyle name="Normal 3 37 4 16" xfId="37869" xr:uid="{00000000-0005-0000-0000-0000E4930000}"/>
    <cellStyle name="Normal 3 37 4 17" xfId="37870" xr:uid="{00000000-0005-0000-0000-0000E5930000}"/>
    <cellStyle name="Normal 3 37 4 2" xfId="37871" xr:uid="{00000000-0005-0000-0000-0000E6930000}"/>
    <cellStyle name="Normal 3 37 4 2 10" xfId="37872" xr:uid="{00000000-0005-0000-0000-0000E7930000}"/>
    <cellStyle name="Normal 3 37 4 2 10 2" xfId="37873" xr:uid="{00000000-0005-0000-0000-0000E8930000}"/>
    <cellStyle name="Normal 3 37 4 2 10 3" xfId="37874" xr:uid="{00000000-0005-0000-0000-0000E9930000}"/>
    <cellStyle name="Normal 3 37 4 2 11" xfId="37875" xr:uid="{00000000-0005-0000-0000-0000EA930000}"/>
    <cellStyle name="Normal 3 37 4 2 11 2" xfId="37876" xr:uid="{00000000-0005-0000-0000-0000EB930000}"/>
    <cellStyle name="Normal 3 37 4 2 11 3" xfId="37877" xr:uid="{00000000-0005-0000-0000-0000EC930000}"/>
    <cellStyle name="Normal 3 37 4 2 12" xfId="37878" xr:uid="{00000000-0005-0000-0000-0000ED930000}"/>
    <cellStyle name="Normal 3 37 4 2 12 2" xfId="37879" xr:uid="{00000000-0005-0000-0000-0000EE930000}"/>
    <cellStyle name="Normal 3 37 4 2 12 3" xfId="37880" xr:uid="{00000000-0005-0000-0000-0000EF930000}"/>
    <cellStyle name="Normal 3 37 4 2 13" xfId="37881" xr:uid="{00000000-0005-0000-0000-0000F0930000}"/>
    <cellStyle name="Normal 3 37 4 2 13 2" xfId="37882" xr:uid="{00000000-0005-0000-0000-0000F1930000}"/>
    <cellStyle name="Normal 3 37 4 2 13 3" xfId="37883" xr:uid="{00000000-0005-0000-0000-0000F2930000}"/>
    <cellStyle name="Normal 3 37 4 2 14" xfId="37884" xr:uid="{00000000-0005-0000-0000-0000F3930000}"/>
    <cellStyle name="Normal 3 37 4 2 14 2" xfId="37885" xr:uid="{00000000-0005-0000-0000-0000F4930000}"/>
    <cellStyle name="Normal 3 37 4 2 14 3" xfId="37886" xr:uid="{00000000-0005-0000-0000-0000F5930000}"/>
    <cellStyle name="Normal 3 37 4 2 15" xfId="37887" xr:uid="{00000000-0005-0000-0000-0000F6930000}"/>
    <cellStyle name="Normal 3 37 4 2 16" xfId="37888" xr:uid="{00000000-0005-0000-0000-0000F7930000}"/>
    <cellStyle name="Normal 3 37 4 2 2" xfId="37889" xr:uid="{00000000-0005-0000-0000-0000F8930000}"/>
    <cellStyle name="Normal 3 37 4 2 2 2" xfId="37890" xr:uid="{00000000-0005-0000-0000-0000F9930000}"/>
    <cellStyle name="Normal 3 37 4 2 2 3" xfId="37891" xr:uid="{00000000-0005-0000-0000-0000FA930000}"/>
    <cellStyle name="Normal 3 37 4 2 3" xfId="37892" xr:uid="{00000000-0005-0000-0000-0000FB930000}"/>
    <cellStyle name="Normal 3 37 4 2 3 2" xfId="37893" xr:uid="{00000000-0005-0000-0000-0000FC930000}"/>
    <cellStyle name="Normal 3 37 4 2 3 3" xfId="37894" xr:uid="{00000000-0005-0000-0000-0000FD930000}"/>
    <cellStyle name="Normal 3 37 4 2 4" xfId="37895" xr:uid="{00000000-0005-0000-0000-0000FE930000}"/>
    <cellStyle name="Normal 3 37 4 2 4 2" xfId="37896" xr:uid="{00000000-0005-0000-0000-0000FF930000}"/>
    <cellStyle name="Normal 3 37 4 2 4 3" xfId="37897" xr:uid="{00000000-0005-0000-0000-000000940000}"/>
    <cellStyle name="Normal 3 37 4 2 5" xfId="37898" xr:uid="{00000000-0005-0000-0000-000001940000}"/>
    <cellStyle name="Normal 3 37 4 2 5 2" xfId="37899" xr:uid="{00000000-0005-0000-0000-000002940000}"/>
    <cellStyle name="Normal 3 37 4 2 5 3" xfId="37900" xr:uid="{00000000-0005-0000-0000-000003940000}"/>
    <cellStyle name="Normal 3 37 4 2 6" xfId="37901" xr:uid="{00000000-0005-0000-0000-000004940000}"/>
    <cellStyle name="Normal 3 37 4 2 6 2" xfId="37902" xr:uid="{00000000-0005-0000-0000-000005940000}"/>
    <cellStyle name="Normal 3 37 4 2 6 3" xfId="37903" xr:uid="{00000000-0005-0000-0000-000006940000}"/>
    <cellStyle name="Normal 3 37 4 2 7" xfId="37904" xr:uid="{00000000-0005-0000-0000-000007940000}"/>
    <cellStyle name="Normal 3 37 4 2 7 2" xfId="37905" xr:uid="{00000000-0005-0000-0000-000008940000}"/>
    <cellStyle name="Normal 3 37 4 2 7 3" xfId="37906" xr:uid="{00000000-0005-0000-0000-000009940000}"/>
    <cellStyle name="Normal 3 37 4 2 8" xfId="37907" xr:uid="{00000000-0005-0000-0000-00000A940000}"/>
    <cellStyle name="Normal 3 37 4 2 8 2" xfId="37908" xr:uid="{00000000-0005-0000-0000-00000B940000}"/>
    <cellStyle name="Normal 3 37 4 2 8 3" xfId="37909" xr:uid="{00000000-0005-0000-0000-00000C940000}"/>
    <cellStyle name="Normal 3 37 4 2 9" xfId="37910" xr:uid="{00000000-0005-0000-0000-00000D940000}"/>
    <cellStyle name="Normal 3 37 4 2 9 2" xfId="37911" xr:uid="{00000000-0005-0000-0000-00000E940000}"/>
    <cellStyle name="Normal 3 37 4 2 9 3" xfId="37912" xr:uid="{00000000-0005-0000-0000-00000F940000}"/>
    <cellStyle name="Normal 3 37 4 3" xfId="37913" xr:uid="{00000000-0005-0000-0000-000010940000}"/>
    <cellStyle name="Normal 3 37 4 3 2" xfId="37914" xr:uid="{00000000-0005-0000-0000-000011940000}"/>
    <cellStyle name="Normal 3 37 4 3 3" xfId="37915" xr:uid="{00000000-0005-0000-0000-000012940000}"/>
    <cellStyle name="Normal 3 37 4 4" xfId="37916" xr:uid="{00000000-0005-0000-0000-000013940000}"/>
    <cellStyle name="Normal 3 37 4 4 2" xfId="37917" xr:uid="{00000000-0005-0000-0000-000014940000}"/>
    <cellStyle name="Normal 3 37 4 4 3" xfId="37918" xr:uid="{00000000-0005-0000-0000-000015940000}"/>
    <cellStyle name="Normal 3 37 4 5" xfId="37919" xr:uid="{00000000-0005-0000-0000-000016940000}"/>
    <cellStyle name="Normal 3 37 4 5 2" xfId="37920" xr:uid="{00000000-0005-0000-0000-000017940000}"/>
    <cellStyle name="Normal 3 37 4 5 3" xfId="37921" xr:uid="{00000000-0005-0000-0000-000018940000}"/>
    <cellStyle name="Normal 3 37 4 6" xfId="37922" xr:uid="{00000000-0005-0000-0000-000019940000}"/>
    <cellStyle name="Normal 3 37 4 6 2" xfId="37923" xr:uid="{00000000-0005-0000-0000-00001A940000}"/>
    <cellStyle name="Normal 3 37 4 6 3" xfId="37924" xr:uid="{00000000-0005-0000-0000-00001B940000}"/>
    <cellStyle name="Normal 3 37 4 7" xfId="37925" xr:uid="{00000000-0005-0000-0000-00001C940000}"/>
    <cellStyle name="Normal 3 37 4 7 2" xfId="37926" xr:uid="{00000000-0005-0000-0000-00001D940000}"/>
    <cellStyle name="Normal 3 37 4 7 3" xfId="37927" xr:uid="{00000000-0005-0000-0000-00001E940000}"/>
    <cellStyle name="Normal 3 37 4 8" xfId="37928" xr:uid="{00000000-0005-0000-0000-00001F940000}"/>
    <cellStyle name="Normal 3 37 4 8 2" xfId="37929" xr:uid="{00000000-0005-0000-0000-000020940000}"/>
    <cellStyle name="Normal 3 37 4 8 3" xfId="37930" xr:uid="{00000000-0005-0000-0000-000021940000}"/>
    <cellStyle name="Normal 3 37 4 9" xfId="37931" xr:uid="{00000000-0005-0000-0000-000022940000}"/>
    <cellStyle name="Normal 3 37 4 9 2" xfId="37932" xr:uid="{00000000-0005-0000-0000-000023940000}"/>
    <cellStyle name="Normal 3 37 4 9 3" xfId="37933" xr:uid="{00000000-0005-0000-0000-000024940000}"/>
    <cellStyle name="Normal 3 37 5" xfId="37934" xr:uid="{00000000-0005-0000-0000-000025940000}"/>
    <cellStyle name="Normal 3 37 5 10" xfId="37935" xr:uid="{00000000-0005-0000-0000-000026940000}"/>
    <cellStyle name="Normal 3 37 5 10 2" xfId="37936" xr:uid="{00000000-0005-0000-0000-000027940000}"/>
    <cellStyle name="Normal 3 37 5 10 3" xfId="37937" xr:uid="{00000000-0005-0000-0000-000028940000}"/>
    <cellStyle name="Normal 3 37 5 11" xfId="37938" xr:uid="{00000000-0005-0000-0000-000029940000}"/>
    <cellStyle name="Normal 3 37 5 11 2" xfId="37939" xr:uid="{00000000-0005-0000-0000-00002A940000}"/>
    <cellStyle name="Normal 3 37 5 11 3" xfId="37940" xr:uid="{00000000-0005-0000-0000-00002B940000}"/>
    <cellStyle name="Normal 3 37 5 12" xfId="37941" xr:uid="{00000000-0005-0000-0000-00002C940000}"/>
    <cellStyle name="Normal 3 37 5 12 2" xfId="37942" xr:uid="{00000000-0005-0000-0000-00002D940000}"/>
    <cellStyle name="Normal 3 37 5 12 3" xfId="37943" xr:uid="{00000000-0005-0000-0000-00002E940000}"/>
    <cellStyle name="Normal 3 37 5 13" xfId="37944" xr:uid="{00000000-0005-0000-0000-00002F940000}"/>
    <cellStyle name="Normal 3 37 5 13 2" xfId="37945" xr:uid="{00000000-0005-0000-0000-000030940000}"/>
    <cellStyle name="Normal 3 37 5 13 3" xfId="37946" xr:uid="{00000000-0005-0000-0000-000031940000}"/>
    <cellStyle name="Normal 3 37 5 14" xfId="37947" xr:uid="{00000000-0005-0000-0000-000032940000}"/>
    <cellStyle name="Normal 3 37 5 14 2" xfId="37948" xr:uid="{00000000-0005-0000-0000-000033940000}"/>
    <cellStyle name="Normal 3 37 5 14 3" xfId="37949" xr:uid="{00000000-0005-0000-0000-000034940000}"/>
    <cellStyle name="Normal 3 37 5 15" xfId="37950" xr:uid="{00000000-0005-0000-0000-000035940000}"/>
    <cellStyle name="Normal 3 37 5 16" xfId="37951" xr:uid="{00000000-0005-0000-0000-000036940000}"/>
    <cellStyle name="Normal 3 37 5 2" xfId="37952" xr:uid="{00000000-0005-0000-0000-000037940000}"/>
    <cellStyle name="Normal 3 37 5 2 2" xfId="37953" xr:uid="{00000000-0005-0000-0000-000038940000}"/>
    <cellStyle name="Normal 3 37 5 2 3" xfId="37954" xr:uid="{00000000-0005-0000-0000-000039940000}"/>
    <cellStyle name="Normal 3 37 5 3" xfId="37955" xr:uid="{00000000-0005-0000-0000-00003A940000}"/>
    <cellStyle name="Normal 3 37 5 3 2" xfId="37956" xr:uid="{00000000-0005-0000-0000-00003B940000}"/>
    <cellStyle name="Normal 3 37 5 3 3" xfId="37957" xr:uid="{00000000-0005-0000-0000-00003C940000}"/>
    <cellStyle name="Normal 3 37 5 4" xfId="37958" xr:uid="{00000000-0005-0000-0000-00003D940000}"/>
    <cellStyle name="Normal 3 37 5 4 2" xfId="37959" xr:uid="{00000000-0005-0000-0000-00003E940000}"/>
    <cellStyle name="Normal 3 37 5 4 3" xfId="37960" xr:uid="{00000000-0005-0000-0000-00003F940000}"/>
    <cellStyle name="Normal 3 37 5 5" xfId="37961" xr:uid="{00000000-0005-0000-0000-000040940000}"/>
    <cellStyle name="Normal 3 37 5 5 2" xfId="37962" xr:uid="{00000000-0005-0000-0000-000041940000}"/>
    <cellStyle name="Normal 3 37 5 5 3" xfId="37963" xr:uid="{00000000-0005-0000-0000-000042940000}"/>
    <cellStyle name="Normal 3 37 5 6" xfId="37964" xr:uid="{00000000-0005-0000-0000-000043940000}"/>
    <cellStyle name="Normal 3 37 5 6 2" xfId="37965" xr:uid="{00000000-0005-0000-0000-000044940000}"/>
    <cellStyle name="Normal 3 37 5 6 3" xfId="37966" xr:uid="{00000000-0005-0000-0000-000045940000}"/>
    <cellStyle name="Normal 3 37 5 7" xfId="37967" xr:uid="{00000000-0005-0000-0000-000046940000}"/>
    <cellStyle name="Normal 3 37 5 7 2" xfId="37968" xr:uid="{00000000-0005-0000-0000-000047940000}"/>
    <cellStyle name="Normal 3 37 5 7 3" xfId="37969" xr:uid="{00000000-0005-0000-0000-000048940000}"/>
    <cellStyle name="Normal 3 37 5 8" xfId="37970" xr:uid="{00000000-0005-0000-0000-000049940000}"/>
    <cellStyle name="Normal 3 37 5 8 2" xfId="37971" xr:uid="{00000000-0005-0000-0000-00004A940000}"/>
    <cellStyle name="Normal 3 37 5 8 3" xfId="37972" xr:uid="{00000000-0005-0000-0000-00004B940000}"/>
    <cellStyle name="Normal 3 37 5 9" xfId="37973" xr:uid="{00000000-0005-0000-0000-00004C940000}"/>
    <cellStyle name="Normal 3 37 5 9 2" xfId="37974" xr:uid="{00000000-0005-0000-0000-00004D940000}"/>
    <cellStyle name="Normal 3 37 5 9 3" xfId="37975" xr:uid="{00000000-0005-0000-0000-00004E940000}"/>
    <cellStyle name="Normal 3 37 6" xfId="37976" xr:uid="{00000000-0005-0000-0000-00004F940000}"/>
    <cellStyle name="Normal 3 37 6 10" xfId="37977" xr:uid="{00000000-0005-0000-0000-000050940000}"/>
    <cellStyle name="Normal 3 37 6 10 2" xfId="37978" xr:uid="{00000000-0005-0000-0000-000051940000}"/>
    <cellStyle name="Normal 3 37 6 10 3" xfId="37979" xr:uid="{00000000-0005-0000-0000-000052940000}"/>
    <cellStyle name="Normal 3 37 6 11" xfId="37980" xr:uid="{00000000-0005-0000-0000-000053940000}"/>
    <cellStyle name="Normal 3 37 6 11 2" xfId="37981" xr:uid="{00000000-0005-0000-0000-000054940000}"/>
    <cellStyle name="Normal 3 37 6 11 3" xfId="37982" xr:uid="{00000000-0005-0000-0000-000055940000}"/>
    <cellStyle name="Normal 3 37 6 12" xfId="37983" xr:uid="{00000000-0005-0000-0000-000056940000}"/>
    <cellStyle name="Normal 3 37 6 12 2" xfId="37984" xr:uid="{00000000-0005-0000-0000-000057940000}"/>
    <cellStyle name="Normal 3 37 6 12 3" xfId="37985" xr:uid="{00000000-0005-0000-0000-000058940000}"/>
    <cellStyle name="Normal 3 37 6 13" xfId="37986" xr:uid="{00000000-0005-0000-0000-000059940000}"/>
    <cellStyle name="Normal 3 37 6 13 2" xfId="37987" xr:uid="{00000000-0005-0000-0000-00005A940000}"/>
    <cellStyle name="Normal 3 37 6 13 3" xfId="37988" xr:uid="{00000000-0005-0000-0000-00005B940000}"/>
    <cellStyle name="Normal 3 37 6 14" xfId="37989" xr:uid="{00000000-0005-0000-0000-00005C940000}"/>
    <cellStyle name="Normal 3 37 6 14 2" xfId="37990" xr:uid="{00000000-0005-0000-0000-00005D940000}"/>
    <cellStyle name="Normal 3 37 6 14 3" xfId="37991" xr:uid="{00000000-0005-0000-0000-00005E940000}"/>
    <cellStyle name="Normal 3 37 6 15" xfId="37992" xr:uid="{00000000-0005-0000-0000-00005F940000}"/>
    <cellStyle name="Normal 3 37 6 16" xfId="37993" xr:uid="{00000000-0005-0000-0000-000060940000}"/>
    <cellStyle name="Normal 3 37 6 2" xfId="37994" xr:uid="{00000000-0005-0000-0000-000061940000}"/>
    <cellStyle name="Normal 3 37 6 2 2" xfId="37995" xr:uid="{00000000-0005-0000-0000-000062940000}"/>
    <cellStyle name="Normal 3 37 6 2 3" xfId="37996" xr:uid="{00000000-0005-0000-0000-000063940000}"/>
    <cellStyle name="Normal 3 37 6 3" xfId="37997" xr:uid="{00000000-0005-0000-0000-000064940000}"/>
    <cellStyle name="Normal 3 37 6 3 2" xfId="37998" xr:uid="{00000000-0005-0000-0000-000065940000}"/>
    <cellStyle name="Normal 3 37 6 3 3" xfId="37999" xr:uid="{00000000-0005-0000-0000-000066940000}"/>
    <cellStyle name="Normal 3 37 6 4" xfId="38000" xr:uid="{00000000-0005-0000-0000-000067940000}"/>
    <cellStyle name="Normal 3 37 6 4 2" xfId="38001" xr:uid="{00000000-0005-0000-0000-000068940000}"/>
    <cellStyle name="Normal 3 37 6 4 3" xfId="38002" xr:uid="{00000000-0005-0000-0000-000069940000}"/>
    <cellStyle name="Normal 3 37 6 5" xfId="38003" xr:uid="{00000000-0005-0000-0000-00006A940000}"/>
    <cellStyle name="Normal 3 37 6 5 2" xfId="38004" xr:uid="{00000000-0005-0000-0000-00006B940000}"/>
    <cellStyle name="Normal 3 37 6 5 3" xfId="38005" xr:uid="{00000000-0005-0000-0000-00006C940000}"/>
    <cellStyle name="Normal 3 37 6 6" xfId="38006" xr:uid="{00000000-0005-0000-0000-00006D940000}"/>
    <cellStyle name="Normal 3 37 6 6 2" xfId="38007" xr:uid="{00000000-0005-0000-0000-00006E940000}"/>
    <cellStyle name="Normal 3 37 6 6 3" xfId="38008" xr:uid="{00000000-0005-0000-0000-00006F940000}"/>
    <cellStyle name="Normal 3 37 6 7" xfId="38009" xr:uid="{00000000-0005-0000-0000-000070940000}"/>
    <cellStyle name="Normal 3 37 6 7 2" xfId="38010" xr:uid="{00000000-0005-0000-0000-000071940000}"/>
    <cellStyle name="Normal 3 37 6 7 3" xfId="38011" xr:uid="{00000000-0005-0000-0000-000072940000}"/>
    <cellStyle name="Normal 3 37 6 8" xfId="38012" xr:uid="{00000000-0005-0000-0000-000073940000}"/>
    <cellStyle name="Normal 3 37 6 8 2" xfId="38013" xr:uid="{00000000-0005-0000-0000-000074940000}"/>
    <cellStyle name="Normal 3 37 6 8 3" xfId="38014" xr:uid="{00000000-0005-0000-0000-000075940000}"/>
    <cellStyle name="Normal 3 37 6 9" xfId="38015" xr:uid="{00000000-0005-0000-0000-000076940000}"/>
    <cellStyle name="Normal 3 37 6 9 2" xfId="38016" xr:uid="{00000000-0005-0000-0000-000077940000}"/>
    <cellStyle name="Normal 3 37 6 9 3" xfId="38017" xr:uid="{00000000-0005-0000-0000-000078940000}"/>
    <cellStyle name="Normal 3 37 7" xfId="38018" xr:uid="{00000000-0005-0000-0000-000079940000}"/>
    <cellStyle name="Normal 3 37 7 10" xfId="38019" xr:uid="{00000000-0005-0000-0000-00007A940000}"/>
    <cellStyle name="Normal 3 37 7 10 2" xfId="38020" xr:uid="{00000000-0005-0000-0000-00007B940000}"/>
    <cellStyle name="Normal 3 37 7 10 3" xfId="38021" xr:uid="{00000000-0005-0000-0000-00007C940000}"/>
    <cellStyle name="Normal 3 37 7 11" xfId="38022" xr:uid="{00000000-0005-0000-0000-00007D940000}"/>
    <cellStyle name="Normal 3 37 7 11 2" xfId="38023" xr:uid="{00000000-0005-0000-0000-00007E940000}"/>
    <cellStyle name="Normal 3 37 7 11 3" xfId="38024" xr:uid="{00000000-0005-0000-0000-00007F940000}"/>
    <cellStyle name="Normal 3 37 7 12" xfId="38025" xr:uid="{00000000-0005-0000-0000-000080940000}"/>
    <cellStyle name="Normal 3 37 7 12 2" xfId="38026" xr:uid="{00000000-0005-0000-0000-000081940000}"/>
    <cellStyle name="Normal 3 37 7 12 3" xfId="38027" xr:uid="{00000000-0005-0000-0000-000082940000}"/>
    <cellStyle name="Normal 3 37 7 13" xfId="38028" xr:uid="{00000000-0005-0000-0000-000083940000}"/>
    <cellStyle name="Normal 3 37 7 13 2" xfId="38029" xr:uid="{00000000-0005-0000-0000-000084940000}"/>
    <cellStyle name="Normal 3 37 7 13 3" xfId="38030" xr:uid="{00000000-0005-0000-0000-000085940000}"/>
    <cellStyle name="Normal 3 37 7 14" xfId="38031" xr:uid="{00000000-0005-0000-0000-000086940000}"/>
    <cellStyle name="Normal 3 37 7 14 2" xfId="38032" xr:uid="{00000000-0005-0000-0000-000087940000}"/>
    <cellStyle name="Normal 3 37 7 14 3" xfId="38033" xr:uid="{00000000-0005-0000-0000-000088940000}"/>
    <cellStyle name="Normal 3 37 7 15" xfId="38034" xr:uid="{00000000-0005-0000-0000-000089940000}"/>
    <cellStyle name="Normal 3 37 7 16" xfId="38035" xr:uid="{00000000-0005-0000-0000-00008A940000}"/>
    <cellStyle name="Normal 3 37 7 2" xfId="38036" xr:uid="{00000000-0005-0000-0000-00008B940000}"/>
    <cellStyle name="Normal 3 37 7 2 2" xfId="38037" xr:uid="{00000000-0005-0000-0000-00008C940000}"/>
    <cellStyle name="Normal 3 37 7 2 3" xfId="38038" xr:uid="{00000000-0005-0000-0000-00008D940000}"/>
    <cellStyle name="Normal 3 37 7 3" xfId="38039" xr:uid="{00000000-0005-0000-0000-00008E940000}"/>
    <cellStyle name="Normal 3 37 7 3 2" xfId="38040" xr:uid="{00000000-0005-0000-0000-00008F940000}"/>
    <cellStyle name="Normal 3 37 7 3 3" xfId="38041" xr:uid="{00000000-0005-0000-0000-000090940000}"/>
    <cellStyle name="Normal 3 37 7 4" xfId="38042" xr:uid="{00000000-0005-0000-0000-000091940000}"/>
    <cellStyle name="Normal 3 37 7 4 2" xfId="38043" xr:uid="{00000000-0005-0000-0000-000092940000}"/>
    <cellStyle name="Normal 3 37 7 4 3" xfId="38044" xr:uid="{00000000-0005-0000-0000-000093940000}"/>
    <cellStyle name="Normal 3 37 7 5" xfId="38045" xr:uid="{00000000-0005-0000-0000-000094940000}"/>
    <cellStyle name="Normal 3 37 7 5 2" xfId="38046" xr:uid="{00000000-0005-0000-0000-000095940000}"/>
    <cellStyle name="Normal 3 37 7 5 3" xfId="38047" xr:uid="{00000000-0005-0000-0000-000096940000}"/>
    <cellStyle name="Normal 3 37 7 6" xfId="38048" xr:uid="{00000000-0005-0000-0000-000097940000}"/>
    <cellStyle name="Normal 3 37 7 6 2" xfId="38049" xr:uid="{00000000-0005-0000-0000-000098940000}"/>
    <cellStyle name="Normal 3 37 7 6 3" xfId="38050" xr:uid="{00000000-0005-0000-0000-000099940000}"/>
    <cellStyle name="Normal 3 37 7 7" xfId="38051" xr:uid="{00000000-0005-0000-0000-00009A940000}"/>
    <cellStyle name="Normal 3 37 7 7 2" xfId="38052" xr:uid="{00000000-0005-0000-0000-00009B940000}"/>
    <cellStyle name="Normal 3 37 7 7 3" xfId="38053" xr:uid="{00000000-0005-0000-0000-00009C940000}"/>
    <cellStyle name="Normal 3 37 7 8" xfId="38054" xr:uid="{00000000-0005-0000-0000-00009D940000}"/>
    <cellStyle name="Normal 3 37 7 8 2" xfId="38055" xr:uid="{00000000-0005-0000-0000-00009E940000}"/>
    <cellStyle name="Normal 3 37 7 8 3" xfId="38056" xr:uid="{00000000-0005-0000-0000-00009F940000}"/>
    <cellStyle name="Normal 3 37 7 9" xfId="38057" xr:uid="{00000000-0005-0000-0000-0000A0940000}"/>
    <cellStyle name="Normal 3 37 7 9 2" xfId="38058" xr:uid="{00000000-0005-0000-0000-0000A1940000}"/>
    <cellStyle name="Normal 3 37 7 9 3" xfId="38059" xr:uid="{00000000-0005-0000-0000-0000A2940000}"/>
    <cellStyle name="Normal 3 37 8" xfId="38060" xr:uid="{00000000-0005-0000-0000-0000A3940000}"/>
    <cellStyle name="Normal 3 37 8 10" xfId="38061" xr:uid="{00000000-0005-0000-0000-0000A4940000}"/>
    <cellStyle name="Normal 3 37 8 10 2" xfId="38062" xr:uid="{00000000-0005-0000-0000-0000A5940000}"/>
    <cellStyle name="Normal 3 37 8 10 3" xfId="38063" xr:uid="{00000000-0005-0000-0000-0000A6940000}"/>
    <cellStyle name="Normal 3 37 8 11" xfId="38064" xr:uid="{00000000-0005-0000-0000-0000A7940000}"/>
    <cellStyle name="Normal 3 37 8 11 2" xfId="38065" xr:uid="{00000000-0005-0000-0000-0000A8940000}"/>
    <cellStyle name="Normal 3 37 8 11 3" xfId="38066" xr:uid="{00000000-0005-0000-0000-0000A9940000}"/>
    <cellStyle name="Normal 3 37 8 12" xfId="38067" xr:uid="{00000000-0005-0000-0000-0000AA940000}"/>
    <cellStyle name="Normal 3 37 8 12 2" xfId="38068" xr:uid="{00000000-0005-0000-0000-0000AB940000}"/>
    <cellStyle name="Normal 3 37 8 12 3" xfId="38069" xr:uid="{00000000-0005-0000-0000-0000AC940000}"/>
    <cellStyle name="Normal 3 37 8 13" xfId="38070" xr:uid="{00000000-0005-0000-0000-0000AD940000}"/>
    <cellStyle name="Normal 3 37 8 13 2" xfId="38071" xr:uid="{00000000-0005-0000-0000-0000AE940000}"/>
    <cellStyle name="Normal 3 37 8 13 3" xfId="38072" xr:uid="{00000000-0005-0000-0000-0000AF940000}"/>
    <cellStyle name="Normal 3 37 8 14" xfId="38073" xr:uid="{00000000-0005-0000-0000-0000B0940000}"/>
    <cellStyle name="Normal 3 37 8 14 2" xfId="38074" xr:uid="{00000000-0005-0000-0000-0000B1940000}"/>
    <cellStyle name="Normal 3 37 8 14 3" xfId="38075" xr:uid="{00000000-0005-0000-0000-0000B2940000}"/>
    <cellStyle name="Normal 3 37 8 15" xfId="38076" xr:uid="{00000000-0005-0000-0000-0000B3940000}"/>
    <cellStyle name="Normal 3 37 8 16" xfId="38077" xr:uid="{00000000-0005-0000-0000-0000B4940000}"/>
    <cellStyle name="Normal 3 37 8 2" xfId="38078" xr:uid="{00000000-0005-0000-0000-0000B5940000}"/>
    <cellStyle name="Normal 3 37 8 2 2" xfId="38079" xr:uid="{00000000-0005-0000-0000-0000B6940000}"/>
    <cellStyle name="Normal 3 37 8 2 3" xfId="38080" xr:uid="{00000000-0005-0000-0000-0000B7940000}"/>
    <cellStyle name="Normal 3 37 8 3" xfId="38081" xr:uid="{00000000-0005-0000-0000-0000B8940000}"/>
    <cellStyle name="Normal 3 37 8 3 2" xfId="38082" xr:uid="{00000000-0005-0000-0000-0000B9940000}"/>
    <cellStyle name="Normal 3 37 8 3 3" xfId="38083" xr:uid="{00000000-0005-0000-0000-0000BA940000}"/>
    <cellStyle name="Normal 3 37 8 4" xfId="38084" xr:uid="{00000000-0005-0000-0000-0000BB940000}"/>
    <cellStyle name="Normal 3 37 8 4 2" xfId="38085" xr:uid="{00000000-0005-0000-0000-0000BC940000}"/>
    <cellStyle name="Normal 3 37 8 4 3" xfId="38086" xr:uid="{00000000-0005-0000-0000-0000BD940000}"/>
    <cellStyle name="Normal 3 37 8 5" xfId="38087" xr:uid="{00000000-0005-0000-0000-0000BE940000}"/>
    <cellStyle name="Normal 3 37 8 5 2" xfId="38088" xr:uid="{00000000-0005-0000-0000-0000BF940000}"/>
    <cellStyle name="Normal 3 37 8 5 3" xfId="38089" xr:uid="{00000000-0005-0000-0000-0000C0940000}"/>
    <cellStyle name="Normal 3 37 8 6" xfId="38090" xr:uid="{00000000-0005-0000-0000-0000C1940000}"/>
    <cellStyle name="Normal 3 37 8 6 2" xfId="38091" xr:uid="{00000000-0005-0000-0000-0000C2940000}"/>
    <cellStyle name="Normal 3 37 8 6 3" xfId="38092" xr:uid="{00000000-0005-0000-0000-0000C3940000}"/>
    <cellStyle name="Normal 3 37 8 7" xfId="38093" xr:uid="{00000000-0005-0000-0000-0000C4940000}"/>
    <cellStyle name="Normal 3 37 8 7 2" xfId="38094" xr:uid="{00000000-0005-0000-0000-0000C5940000}"/>
    <cellStyle name="Normal 3 37 8 7 3" xfId="38095" xr:uid="{00000000-0005-0000-0000-0000C6940000}"/>
    <cellStyle name="Normal 3 37 8 8" xfId="38096" xr:uid="{00000000-0005-0000-0000-0000C7940000}"/>
    <cellStyle name="Normal 3 37 8 8 2" xfId="38097" xr:uid="{00000000-0005-0000-0000-0000C8940000}"/>
    <cellStyle name="Normal 3 37 8 8 3" xfId="38098" xr:uid="{00000000-0005-0000-0000-0000C9940000}"/>
    <cellStyle name="Normal 3 37 8 9" xfId="38099" xr:uid="{00000000-0005-0000-0000-0000CA940000}"/>
    <cellStyle name="Normal 3 37 8 9 2" xfId="38100" xr:uid="{00000000-0005-0000-0000-0000CB940000}"/>
    <cellStyle name="Normal 3 37 8 9 3" xfId="38101" xr:uid="{00000000-0005-0000-0000-0000CC940000}"/>
    <cellStyle name="Normal 3 37 9" xfId="38102" xr:uid="{00000000-0005-0000-0000-0000CD940000}"/>
    <cellStyle name="Normal 3 37 9 10" xfId="38103" xr:uid="{00000000-0005-0000-0000-0000CE940000}"/>
    <cellStyle name="Normal 3 37 9 10 2" xfId="38104" xr:uid="{00000000-0005-0000-0000-0000CF940000}"/>
    <cellStyle name="Normal 3 37 9 10 3" xfId="38105" xr:uid="{00000000-0005-0000-0000-0000D0940000}"/>
    <cellStyle name="Normal 3 37 9 11" xfId="38106" xr:uid="{00000000-0005-0000-0000-0000D1940000}"/>
    <cellStyle name="Normal 3 37 9 11 2" xfId="38107" xr:uid="{00000000-0005-0000-0000-0000D2940000}"/>
    <cellStyle name="Normal 3 37 9 11 3" xfId="38108" xr:uid="{00000000-0005-0000-0000-0000D3940000}"/>
    <cellStyle name="Normal 3 37 9 12" xfId="38109" xr:uid="{00000000-0005-0000-0000-0000D4940000}"/>
    <cellStyle name="Normal 3 37 9 12 2" xfId="38110" xr:uid="{00000000-0005-0000-0000-0000D5940000}"/>
    <cellStyle name="Normal 3 37 9 12 3" xfId="38111" xr:uid="{00000000-0005-0000-0000-0000D6940000}"/>
    <cellStyle name="Normal 3 37 9 13" xfId="38112" xr:uid="{00000000-0005-0000-0000-0000D7940000}"/>
    <cellStyle name="Normal 3 37 9 13 2" xfId="38113" xr:uid="{00000000-0005-0000-0000-0000D8940000}"/>
    <cellStyle name="Normal 3 37 9 13 3" xfId="38114" xr:uid="{00000000-0005-0000-0000-0000D9940000}"/>
    <cellStyle name="Normal 3 37 9 14" xfId="38115" xr:uid="{00000000-0005-0000-0000-0000DA940000}"/>
    <cellStyle name="Normal 3 37 9 14 2" xfId="38116" xr:uid="{00000000-0005-0000-0000-0000DB940000}"/>
    <cellStyle name="Normal 3 37 9 14 3" xfId="38117" xr:uid="{00000000-0005-0000-0000-0000DC940000}"/>
    <cellStyle name="Normal 3 37 9 15" xfId="38118" xr:uid="{00000000-0005-0000-0000-0000DD940000}"/>
    <cellStyle name="Normal 3 37 9 16" xfId="38119" xr:uid="{00000000-0005-0000-0000-0000DE940000}"/>
    <cellStyle name="Normal 3 37 9 2" xfId="38120" xr:uid="{00000000-0005-0000-0000-0000DF940000}"/>
    <cellStyle name="Normal 3 37 9 2 2" xfId="38121" xr:uid="{00000000-0005-0000-0000-0000E0940000}"/>
    <cellStyle name="Normal 3 37 9 2 3" xfId="38122" xr:uid="{00000000-0005-0000-0000-0000E1940000}"/>
    <cellStyle name="Normal 3 37 9 3" xfId="38123" xr:uid="{00000000-0005-0000-0000-0000E2940000}"/>
    <cellStyle name="Normal 3 37 9 3 2" xfId="38124" xr:uid="{00000000-0005-0000-0000-0000E3940000}"/>
    <cellStyle name="Normal 3 37 9 3 3" xfId="38125" xr:uid="{00000000-0005-0000-0000-0000E4940000}"/>
    <cellStyle name="Normal 3 37 9 4" xfId="38126" xr:uid="{00000000-0005-0000-0000-0000E5940000}"/>
    <cellStyle name="Normal 3 37 9 4 2" xfId="38127" xr:uid="{00000000-0005-0000-0000-0000E6940000}"/>
    <cellStyle name="Normal 3 37 9 4 3" xfId="38128" xr:uid="{00000000-0005-0000-0000-0000E7940000}"/>
    <cellStyle name="Normal 3 37 9 5" xfId="38129" xr:uid="{00000000-0005-0000-0000-0000E8940000}"/>
    <cellStyle name="Normal 3 37 9 5 2" xfId="38130" xr:uid="{00000000-0005-0000-0000-0000E9940000}"/>
    <cellStyle name="Normal 3 37 9 5 3" xfId="38131" xr:uid="{00000000-0005-0000-0000-0000EA940000}"/>
    <cellStyle name="Normal 3 37 9 6" xfId="38132" xr:uid="{00000000-0005-0000-0000-0000EB940000}"/>
    <cellStyle name="Normal 3 37 9 6 2" xfId="38133" xr:uid="{00000000-0005-0000-0000-0000EC940000}"/>
    <cellStyle name="Normal 3 37 9 6 3" xfId="38134" xr:uid="{00000000-0005-0000-0000-0000ED940000}"/>
    <cellStyle name="Normal 3 37 9 7" xfId="38135" xr:uid="{00000000-0005-0000-0000-0000EE940000}"/>
    <cellStyle name="Normal 3 37 9 7 2" xfId="38136" xr:uid="{00000000-0005-0000-0000-0000EF940000}"/>
    <cellStyle name="Normal 3 37 9 7 3" xfId="38137" xr:uid="{00000000-0005-0000-0000-0000F0940000}"/>
    <cellStyle name="Normal 3 37 9 8" xfId="38138" xr:uid="{00000000-0005-0000-0000-0000F1940000}"/>
    <cellStyle name="Normal 3 37 9 8 2" xfId="38139" xr:uid="{00000000-0005-0000-0000-0000F2940000}"/>
    <cellStyle name="Normal 3 37 9 8 3" xfId="38140" xr:uid="{00000000-0005-0000-0000-0000F3940000}"/>
    <cellStyle name="Normal 3 37 9 9" xfId="38141" xr:uid="{00000000-0005-0000-0000-0000F4940000}"/>
    <cellStyle name="Normal 3 37 9 9 2" xfId="38142" xr:uid="{00000000-0005-0000-0000-0000F5940000}"/>
    <cellStyle name="Normal 3 37 9 9 3" xfId="38143" xr:uid="{00000000-0005-0000-0000-0000F6940000}"/>
    <cellStyle name="Normal 3 38" xfId="38144" xr:uid="{00000000-0005-0000-0000-0000F7940000}"/>
    <cellStyle name="Normal 3 38 10" xfId="38145" xr:uid="{00000000-0005-0000-0000-0000F8940000}"/>
    <cellStyle name="Normal 3 38 10 10" xfId="38146" xr:uid="{00000000-0005-0000-0000-0000F9940000}"/>
    <cellStyle name="Normal 3 38 10 10 2" xfId="38147" xr:uid="{00000000-0005-0000-0000-0000FA940000}"/>
    <cellStyle name="Normal 3 38 10 10 3" xfId="38148" xr:uid="{00000000-0005-0000-0000-0000FB940000}"/>
    <cellStyle name="Normal 3 38 10 11" xfId="38149" xr:uid="{00000000-0005-0000-0000-0000FC940000}"/>
    <cellStyle name="Normal 3 38 10 11 2" xfId="38150" xr:uid="{00000000-0005-0000-0000-0000FD940000}"/>
    <cellStyle name="Normal 3 38 10 11 3" xfId="38151" xr:uid="{00000000-0005-0000-0000-0000FE940000}"/>
    <cellStyle name="Normal 3 38 10 12" xfId="38152" xr:uid="{00000000-0005-0000-0000-0000FF940000}"/>
    <cellStyle name="Normal 3 38 10 12 2" xfId="38153" xr:uid="{00000000-0005-0000-0000-000000950000}"/>
    <cellStyle name="Normal 3 38 10 12 3" xfId="38154" xr:uid="{00000000-0005-0000-0000-000001950000}"/>
    <cellStyle name="Normal 3 38 10 13" xfId="38155" xr:uid="{00000000-0005-0000-0000-000002950000}"/>
    <cellStyle name="Normal 3 38 10 13 2" xfId="38156" xr:uid="{00000000-0005-0000-0000-000003950000}"/>
    <cellStyle name="Normal 3 38 10 13 3" xfId="38157" xr:uid="{00000000-0005-0000-0000-000004950000}"/>
    <cellStyle name="Normal 3 38 10 14" xfId="38158" xr:uid="{00000000-0005-0000-0000-000005950000}"/>
    <cellStyle name="Normal 3 38 10 14 2" xfId="38159" xr:uid="{00000000-0005-0000-0000-000006950000}"/>
    <cellStyle name="Normal 3 38 10 14 3" xfId="38160" xr:uid="{00000000-0005-0000-0000-000007950000}"/>
    <cellStyle name="Normal 3 38 10 15" xfId="38161" xr:uid="{00000000-0005-0000-0000-000008950000}"/>
    <cellStyle name="Normal 3 38 10 16" xfId="38162" xr:uid="{00000000-0005-0000-0000-000009950000}"/>
    <cellStyle name="Normal 3 38 10 2" xfId="38163" xr:uid="{00000000-0005-0000-0000-00000A950000}"/>
    <cellStyle name="Normal 3 38 10 2 2" xfId="38164" xr:uid="{00000000-0005-0000-0000-00000B950000}"/>
    <cellStyle name="Normal 3 38 10 2 3" xfId="38165" xr:uid="{00000000-0005-0000-0000-00000C950000}"/>
    <cellStyle name="Normal 3 38 10 3" xfId="38166" xr:uid="{00000000-0005-0000-0000-00000D950000}"/>
    <cellStyle name="Normal 3 38 10 3 2" xfId="38167" xr:uid="{00000000-0005-0000-0000-00000E950000}"/>
    <cellStyle name="Normal 3 38 10 3 3" xfId="38168" xr:uid="{00000000-0005-0000-0000-00000F950000}"/>
    <cellStyle name="Normal 3 38 10 4" xfId="38169" xr:uid="{00000000-0005-0000-0000-000010950000}"/>
    <cellStyle name="Normal 3 38 10 4 2" xfId="38170" xr:uid="{00000000-0005-0000-0000-000011950000}"/>
    <cellStyle name="Normal 3 38 10 4 3" xfId="38171" xr:uid="{00000000-0005-0000-0000-000012950000}"/>
    <cellStyle name="Normal 3 38 10 5" xfId="38172" xr:uid="{00000000-0005-0000-0000-000013950000}"/>
    <cellStyle name="Normal 3 38 10 5 2" xfId="38173" xr:uid="{00000000-0005-0000-0000-000014950000}"/>
    <cellStyle name="Normal 3 38 10 5 3" xfId="38174" xr:uid="{00000000-0005-0000-0000-000015950000}"/>
    <cellStyle name="Normal 3 38 10 6" xfId="38175" xr:uid="{00000000-0005-0000-0000-000016950000}"/>
    <cellStyle name="Normal 3 38 10 6 2" xfId="38176" xr:uid="{00000000-0005-0000-0000-000017950000}"/>
    <cellStyle name="Normal 3 38 10 6 3" xfId="38177" xr:uid="{00000000-0005-0000-0000-000018950000}"/>
    <cellStyle name="Normal 3 38 10 7" xfId="38178" xr:uid="{00000000-0005-0000-0000-000019950000}"/>
    <cellStyle name="Normal 3 38 10 7 2" xfId="38179" xr:uid="{00000000-0005-0000-0000-00001A950000}"/>
    <cellStyle name="Normal 3 38 10 7 3" xfId="38180" xr:uid="{00000000-0005-0000-0000-00001B950000}"/>
    <cellStyle name="Normal 3 38 10 8" xfId="38181" xr:uid="{00000000-0005-0000-0000-00001C950000}"/>
    <cellStyle name="Normal 3 38 10 8 2" xfId="38182" xr:uid="{00000000-0005-0000-0000-00001D950000}"/>
    <cellStyle name="Normal 3 38 10 8 3" xfId="38183" xr:uid="{00000000-0005-0000-0000-00001E950000}"/>
    <cellStyle name="Normal 3 38 10 9" xfId="38184" xr:uid="{00000000-0005-0000-0000-00001F950000}"/>
    <cellStyle name="Normal 3 38 10 9 2" xfId="38185" xr:uid="{00000000-0005-0000-0000-000020950000}"/>
    <cellStyle name="Normal 3 38 10 9 3" xfId="38186" xr:uid="{00000000-0005-0000-0000-000021950000}"/>
    <cellStyle name="Normal 3 38 11" xfId="38187" xr:uid="{00000000-0005-0000-0000-000022950000}"/>
    <cellStyle name="Normal 3 38 11 2" xfId="38188" xr:uid="{00000000-0005-0000-0000-000023950000}"/>
    <cellStyle name="Normal 3 38 11 3" xfId="38189" xr:uid="{00000000-0005-0000-0000-000024950000}"/>
    <cellStyle name="Normal 3 38 12" xfId="38190" xr:uid="{00000000-0005-0000-0000-000025950000}"/>
    <cellStyle name="Normal 3 38 12 2" xfId="38191" xr:uid="{00000000-0005-0000-0000-000026950000}"/>
    <cellStyle name="Normal 3 38 12 3" xfId="38192" xr:uid="{00000000-0005-0000-0000-000027950000}"/>
    <cellStyle name="Normal 3 38 13" xfId="38193" xr:uid="{00000000-0005-0000-0000-000028950000}"/>
    <cellStyle name="Normal 3 38 13 2" xfId="38194" xr:uid="{00000000-0005-0000-0000-000029950000}"/>
    <cellStyle name="Normal 3 38 13 3" xfId="38195" xr:uid="{00000000-0005-0000-0000-00002A950000}"/>
    <cellStyle name="Normal 3 38 14" xfId="38196" xr:uid="{00000000-0005-0000-0000-00002B950000}"/>
    <cellStyle name="Normal 3 38 14 2" xfId="38197" xr:uid="{00000000-0005-0000-0000-00002C950000}"/>
    <cellStyle name="Normal 3 38 14 3" xfId="38198" xr:uid="{00000000-0005-0000-0000-00002D950000}"/>
    <cellStyle name="Normal 3 38 15" xfId="38199" xr:uid="{00000000-0005-0000-0000-00002E950000}"/>
    <cellStyle name="Normal 3 38 15 2" xfId="38200" xr:uid="{00000000-0005-0000-0000-00002F950000}"/>
    <cellStyle name="Normal 3 38 15 3" xfId="38201" xr:uid="{00000000-0005-0000-0000-000030950000}"/>
    <cellStyle name="Normal 3 38 16" xfId="38202" xr:uid="{00000000-0005-0000-0000-000031950000}"/>
    <cellStyle name="Normal 3 38 16 2" xfId="38203" xr:uid="{00000000-0005-0000-0000-000032950000}"/>
    <cellStyle name="Normal 3 38 16 3" xfId="38204" xr:uid="{00000000-0005-0000-0000-000033950000}"/>
    <cellStyle name="Normal 3 38 17" xfId="38205" xr:uid="{00000000-0005-0000-0000-000034950000}"/>
    <cellStyle name="Normal 3 38 17 2" xfId="38206" xr:uid="{00000000-0005-0000-0000-000035950000}"/>
    <cellStyle name="Normal 3 38 17 3" xfId="38207" xr:uid="{00000000-0005-0000-0000-000036950000}"/>
    <cellStyle name="Normal 3 38 18" xfId="38208" xr:uid="{00000000-0005-0000-0000-000037950000}"/>
    <cellStyle name="Normal 3 38 18 2" xfId="38209" xr:uid="{00000000-0005-0000-0000-000038950000}"/>
    <cellStyle name="Normal 3 38 18 3" xfId="38210" xr:uid="{00000000-0005-0000-0000-000039950000}"/>
    <cellStyle name="Normal 3 38 19" xfId="38211" xr:uid="{00000000-0005-0000-0000-00003A950000}"/>
    <cellStyle name="Normal 3 38 19 2" xfId="38212" xr:uid="{00000000-0005-0000-0000-00003B950000}"/>
    <cellStyle name="Normal 3 38 19 3" xfId="38213" xr:uid="{00000000-0005-0000-0000-00003C950000}"/>
    <cellStyle name="Normal 3 38 2" xfId="38214" xr:uid="{00000000-0005-0000-0000-00003D950000}"/>
    <cellStyle name="Normal 3 38 2 10" xfId="38215" xr:uid="{00000000-0005-0000-0000-00003E950000}"/>
    <cellStyle name="Normal 3 38 2 10 2" xfId="38216" xr:uid="{00000000-0005-0000-0000-00003F950000}"/>
    <cellStyle name="Normal 3 38 2 10 3" xfId="38217" xr:uid="{00000000-0005-0000-0000-000040950000}"/>
    <cellStyle name="Normal 3 38 2 11" xfId="38218" xr:uid="{00000000-0005-0000-0000-000041950000}"/>
    <cellStyle name="Normal 3 38 2 11 2" xfId="38219" xr:uid="{00000000-0005-0000-0000-000042950000}"/>
    <cellStyle name="Normal 3 38 2 11 3" xfId="38220" xr:uid="{00000000-0005-0000-0000-000043950000}"/>
    <cellStyle name="Normal 3 38 2 12" xfId="38221" xr:uid="{00000000-0005-0000-0000-000044950000}"/>
    <cellStyle name="Normal 3 38 2 12 2" xfId="38222" xr:uid="{00000000-0005-0000-0000-000045950000}"/>
    <cellStyle name="Normal 3 38 2 12 3" xfId="38223" xr:uid="{00000000-0005-0000-0000-000046950000}"/>
    <cellStyle name="Normal 3 38 2 13" xfId="38224" xr:uid="{00000000-0005-0000-0000-000047950000}"/>
    <cellStyle name="Normal 3 38 2 13 2" xfId="38225" xr:uid="{00000000-0005-0000-0000-000048950000}"/>
    <cellStyle name="Normal 3 38 2 13 3" xfId="38226" xr:uid="{00000000-0005-0000-0000-000049950000}"/>
    <cellStyle name="Normal 3 38 2 14" xfId="38227" xr:uid="{00000000-0005-0000-0000-00004A950000}"/>
    <cellStyle name="Normal 3 38 2 14 2" xfId="38228" xr:uid="{00000000-0005-0000-0000-00004B950000}"/>
    <cellStyle name="Normal 3 38 2 14 3" xfId="38229" xr:uid="{00000000-0005-0000-0000-00004C950000}"/>
    <cellStyle name="Normal 3 38 2 15" xfId="38230" xr:uid="{00000000-0005-0000-0000-00004D950000}"/>
    <cellStyle name="Normal 3 38 2 15 2" xfId="38231" xr:uid="{00000000-0005-0000-0000-00004E950000}"/>
    <cellStyle name="Normal 3 38 2 15 3" xfId="38232" xr:uid="{00000000-0005-0000-0000-00004F950000}"/>
    <cellStyle name="Normal 3 38 2 16" xfId="38233" xr:uid="{00000000-0005-0000-0000-000050950000}"/>
    <cellStyle name="Normal 3 38 2 17" xfId="38234" xr:uid="{00000000-0005-0000-0000-000051950000}"/>
    <cellStyle name="Normal 3 38 2 2" xfId="38235" xr:uid="{00000000-0005-0000-0000-000052950000}"/>
    <cellStyle name="Normal 3 38 2 2 10" xfId="38236" xr:uid="{00000000-0005-0000-0000-000053950000}"/>
    <cellStyle name="Normal 3 38 2 2 10 2" xfId="38237" xr:uid="{00000000-0005-0000-0000-000054950000}"/>
    <cellStyle name="Normal 3 38 2 2 10 3" xfId="38238" xr:uid="{00000000-0005-0000-0000-000055950000}"/>
    <cellStyle name="Normal 3 38 2 2 11" xfId="38239" xr:uid="{00000000-0005-0000-0000-000056950000}"/>
    <cellStyle name="Normal 3 38 2 2 11 2" xfId="38240" xr:uid="{00000000-0005-0000-0000-000057950000}"/>
    <cellStyle name="Normal 3 38 2 2 11 3" xfId="38241" xr:uid="{00000000-0005-0000-0000-000058950000}"/>
    <cellStyle name="Normal 3 38 2 2 12" xfId="38242" xr:uid="{00000000-0005-0000-0000-000059950000}"/>
    <cellStyle name="Normal 3 38 2 2 12 2" xfId="38243" xr:uid="{00000000-0005-0000-0000-00005A950000}"/>
    <cellStyle name="Normal 3 38 2 2 12 3" xfId="38244" xr:uid="{00000000-0005-0000-0000-00005B950000}"/>
    <cellStyle name="Normal 3 38 2 2 13" xfId="38245" xr:uid="{00000000-0005-0000-0000-00005C950000}"/>
    <cellStyle name="Normal 3 38 2 2 13 2" xfId="38246" xr:uid="{00000000-0005-0000-0000-00005D950000}"/>
    <cellStyle name="Normal 3 38 2 2 13 3" xfId="38247" xr:uid="{00000000-0005-0000-0000-00005E950000}"/>
    <cellStyle name="Normal 3 38 2 2 14" xfId="38248" xr:uid="{00000000-0005-0000-0000-00005F950000}"/>
    <cellStyle name="Normal 3 38 2 2 14 2" xfId="38249" xr:uid="{00000000-0005-0000-0000-000060950000}"/>
    <cellStyle name="Normal 3 38 2 2 14 3" xfId="38250" xr:uid="{00000000-0005-0000-0000-000061950000}"/>
    <cellStyle name="Normal 3 38 2 2 15" xfId="38251" xr:uid="{00000000-0005-0000-0000-000062950000}"/>
    <cellStyle name="Normal 3 38 2 2 16" xfId="38252" xr:uid="{00000000-0005-0000-0000-000063950000}"/>
    <cellStyle name="Normal 3 38 2 2 2" xfId="38253" xr:uid="{00000000-0005-0000-0000-000064950000}"/>
    <cellStyle name="Normal 3 38 2 2 2 2" xfId="38254" xr:uid="{00000000-0005-0000-0000-000065950000}"/>
    <cellStyle name="Normal 3 38 2 2 2 3" xfId="38255" xr:uid="{00000000-0005-0000-0000-000066950000}"/>
    <cellStyle name="Normal 3 38 2 2 3" xfId="38256" xr:uid="{00000000-0005-0000-0000-000067950000}"/>
    <cellStyle name="Normal 3 38 2 2 3 2" xfId="38257" xr:uid="{00000000-0005-0000-0000-000068950000}"/>
    <cellStyle name="Normal 3 38 2 2 3 3" xfId="38258" xr:uid="{00000000-0005-0000-0000-000069950000}"/>
    <cellStyle name="Normal 3 38 2 2 4" xfId="38259" xr:uid="{00000000-0005-0000-0000-00006A950000}"/>
    <cellStyle name="Normal 3 38 2 2 4 2" xfId="38260" xr:uid="{00000000-0005-0000-0000-00006B950000}"/>
    <cellStyle name="Normal 3 38 2 2 4 3" xfId="38261" xr:uid="{00000000-0005-0000-0000-00006C950000}"/>
    <cellStyle name="Normal 3 38 2 2 5" xfId="38262" xr:uid="{00000000-0005-0000-0000-00006D950000}"/>
    <cellStyle name="Normal 3 38 2 2 5 2" xfId="38263" xr:uid="{00000000-0005-0000-0000-00006E950000}"/>
    <cellStyle name="Normal 3 38 2 2 5 3" xfId="38264" xr:uid="{00000000-0005-0000-0000-00006F950000}"/>
    <cellStyle name="Normal 3 38 2 2 6" xfId="38265" xr:uid="{00000000-0005-0000-0000-000070950000}"/>
    <cellStyle name="Normal 3 38 2 2 6 2" xfId="38266" xr:uid="{00000000-0005-0000-0000-000071950000}"/>
    <cellStyle name="Normal 3 38 2 2 6 3" xfId="38267" xr:uid="{00000000-0005-0000-0000-000072950000}"/>
    <cellStyle name="Normal 3 38 2 2 7" xfId="38268" xr:uid="{00000000-0005-0000-0000-000073950000}"/>
    <cellStyle name="Normal 3 38 2 2 7 2" xfId="38269" xr:uid="{00000000-0005-0000-0000-000074950000}"/>
    <cellStyle name="Normal 3 38 2 2 7 3" xfId="38270" xr:uid="{00000000-0005-0000-0000-000075950000}"/>
    <cellStyle name="Normal 3 38 2 2 8" xfId="38271" xr:uid="{00000000-0005-0000-0000-000076950000}"/>
    <cellStyle name="Normal 3 38 2 2 8 2" xfId="38272" xr:uid="{00000000-0005-0000-0000-000077950000}"/>
    <cellStyle name="Normal 3 38 2 2 8 3" xfId="38273" xr:uid="{00000000-0005-0000-0000-000078950000}"/>
    <cellStyle name="Normal 3 38 2 2 9" xfId="38274" xr:uid="{00000000-0005-0000-0000-000079950000}"/>
    <cellStyle name="Normal 3 38 2 2 9 2" xfId="38275" xr:uid="{00000000-0005-0000-0000-00007A950000}"/>
    <cellStyle name="Normal 3 38 2 2 9 3" xfId="38276" xr:uid="{00000000-0005-0000-0000-00007B950000}"/>
    <cellStyle name="Normal 3 38 2 3" xfId="38277" xr:uid="{00000000-0005-0000-0000-00007C950000}"/>
    <cellStyle name="Normal 3 38 2 3 2" xfId="38278" xr:uid="{00000000-0005-0000-0000-00007D950000}"/>
    <cellStyle name="Normal 3 38 2 3 3" xfId="38279" xr:uid="{00000000-0005-0000-0000-00007E950000}"/>
    <cellStyle name="Normal 3 38 2 4" xfId="38280" xr:uid="{00000000-0005-0000-0000-00007F950000}"/>
    <cellStyle name="Normal 3 38 2 4 2" xfId="38281" xr:uid="{00000000-0005-0000-0000-000080950000}"/>
    <cellStyle name="Normal 3 38 2 4 3" xfId="38282" xr:uid="{00000000-0005-0000-0000-000081950000}"/>
    <cellStyle name="Normal 3 38 2 5" xfId="38283" xr:uid="{00000000-0005-0000-0000-000082950000}"/>
    <cellStyle name="Normal 3 38 2 5 2" xfId="38284" xr:uid="{00000000-0005-0000-0000-000083950000}"/>
    <cellStyle name="Normal 3 38 2 5 3" xfId="38285" xr:uid="{00000000-0005-0000-0000-000084950000}"/>
    <cellStyle name="Normal 3 38 2 6" xfId="38286" xr:uid="{00000000-0005-0000-0000-000085950000}"/>
    <cellStyle name="Normal 3 38 2 6 2" xfId="38287" xr:uid="{00000000-0005-0000-0000-000086950000}"/>
    <cellStyle name="Normal 3 38 2 6 3" xfId="38288" xr:uid="{00000000-0005-0000-0000-000087950000}"/>
    <cellStyle name="Normal 3 38 2 7" xfId="38289" xr:uid="{00000000-0005-0000-0000-000088950000}"/>
    <cellStyle name="Normal 3 38 2 7 2" xfId="38290" xr:uid="{00000000-0005-0000-0000-000089950000}"/>
    <cellStyle name="Normal 3 38 2 7 3" xfId="38291" xr:uid="{00000000-0005-0000-0000-00008A950000}"/>
    <cellStyle name="Normal 3 38 2 8" xfId="38292" xr:uid="{00000000-0005-0000-0000-00008B950000}"/>
    <cellStyle name="Normal 3 38 2 8 2" xfId="38293" xr:uid="{00000000-0005-0000-0000-00008C950000}"/>
    <cellStyle name="Normal 3 38 2 8 3" xfId="38294" xr:uid="{00000000-0005-0000-0000-00008D950000}"/>
    <cellStyle name="Normal 3 38 2 9" xfId="38295" xr:uid="{00000000-0005-0000-0000-00008E950000}"/>
    <cellStyle name="Normal 3 38 2 9 2" xfId="38296" xr:uid="{00000000-0005-0000-0000-00008F950000}"/>
    <cellStyle name="Normal 3 38 2 9 3" xfId="38297" xr:uid="{00000000-0005-0000-0000-000090950000}"/>
    <cellStyle name="Normal 3 38 20" xfId="38298" xr:uid="{00000000-0005-0000-0000-000091950000}"/>
    <cellStyle name="Normal 3 38 20 2" xfId="38299" xr:uid="{00000000-0005-0000-0000-000092950000}"/>
    <cellStyle name="Normal 3 38 20 3" xfId="38300" xr:uid="{00000000-0005-0000-0000-000093950000}"/>
    <cellStyle name="Normal 3 38 21" xfId="38301" xr:uid="{00000000-0005-0000-0000-000094950000}"/>
    <cellStyle name="Normal 3 38 21 2" xfId="38302" xr:uid="{00000000-0005-0000-0000-000095950000}"/>
    <cellStyle name="Normal 3 38 21 3" xfId="38303" xr:uid="{00000000-0005-0000-0000-000096950000}"/>
    <cellStyle name="Normal 3 38 22" xfId="38304" xr:uid="{00000000-0005-0000-0000-000097950000}"/>
    <cellStyle name="Normal 3 38 22 2" xfId="38305" xr:uid="{00000000-0005-0000-0000-000098950000}"/>
    <cellStyle name="Normal 3 38 22 3" xfId="38306" xr:uid="{00000000-0005-0000-0000-000099950000}"/>
    <cellStyle name="Normal 3 38 23" xfId="38307" xr:uid="{00000000-0005-0000-0000-00009A950000}"/>
    <cellStyle name="Normal 3 38 23 2" xfId="38308" xr:uid="{00000000-0005-0000-0000-00009B950000}"/>
    <cellStyle name="Normal 3 38 23 3" xfId="38309" xr:uid="{00000000-0005-0000-0000-00009C950000}"/>
    <cellStyle name="Normal 3 38 24" xfId="38310" xr:uid="{00000000-0005-0000-0000-00009D950000}"/>
    <cellStyle name="Normal 3 38 25" xfId="38311" xr:uid="{00000000-0005-0000-0000-00009E950000}"/>
    <cellStyle name="Normal 3 38 3" xfId="38312" xr:uid="{00000000-0005-0000-0000-00009F950000}"/>
    <cellStyle name="Normal 3 38 3 10" xfId="38313" xr:uid="{00000000-0005-0000-0000-0000A0950000}"/>
    <cellStyle name="Normal 3 38 3 10 2" xfId="38314" xr:uid="{00000000-0005-0000-0000-0000A1950000}"/>
    <cellStyle name="Normal 3 38 3 10 3" xfId="38315" xr:uid="{00000000-0005-0000-0000-0000A2950000}"/>
    <cellStyle name="Normal 3 38 3 11" xfId="38316" xr:uid="{00000000-0005-0000-0000-0000A3950000}"/>
    <cellStyle name="Normal 3 38 3 11 2" xfId="38317" xr:uid="{00000000-0005-0000-0000-0000A4950000}"/>
    <cellStyle name="Normal 3 38 3 11 3" xfId="38318" xr:uid="{00000000-0005-0000-0000-0000A5950000}"/>
    <cellStyle name="Normal 3 38 3 12" xfId="38319" xr:uid="{00000000-0005-0000-0000-0000A6950000}"/>
    <cellStyle name="Normal 3 38 3 12 2" xfId="38320" xr:uid="{00000000-0005-0000-0000-0000A7950000}"/>
    <cellStyle name="Normal 3 38 3 12 3" xfId="38321" xr:uid="{00000000-0005-0000-0000-0000A8950000}"/>
    <cellStyle name="Normal 3 38 3 13" xfId="38322" xr:uid="{00000000-0005-0000-0000-0000A9950000}"/>
    <cellStyle name="Normal 3 38 3 13 2" xfId="38323" xr:uid="{00000000-0005-0000-0000-0000AA950000}"/>
    <cellStyle name="Normal 3 38 3 13 3" xfId="38324" xr:uid="{00000000-0005-0000-0000-0000AB950000}"/>
    <cellStyle name="Normal 3 38 3 14" xfId="38325" xr:uid="{00000000-0005-0000-0000-0000AC950000}"/>
    <cellStyle name="Normal 3 38 3 14 2" xfId="38326" xr:uid="{00000000-0005-0000-0000-0000AD950000}"/>
    <cellStyle name="Normal 3 38 3 14 3" xfId="38327" xr:uid="{00000000-0005-0000-0000-0000AE950000}"/>
    <cellStyle name="Normal 3 38 3 15" xfId="38328" xr:uid="{00000000-0005-0000-0000-0000AF950000}"/>
    <cellStyle name="Normal 3 38 3 15 2" xfId="38329" xr:uid="{00000000-0005-0000-0000-0000B0950000}"/>
    <cellStyle name="Normal 3 38 3 15 3" xfId="38330" xr:uid="{00000000-0005-0000-0000-0000B1950000}"/>
    <cellStyle name="Normal 3 38 3 16" xfId="38331" xr:uid="{00000000-0005-0000-0000-0000B2950000}"/>
    <cellStyle name="Normal 3 38 3 17" xfId="38332" xr:uid="{00000000-0005-0000-0000-0000B3950000}"/>
    <cellStyle name="Normal 3 38 3 2" xfId="38333" xr:uid="{00000000-0005-0000-0000-0000B4950000}"/>
    <cellStyle name="Normal 3 38 3 2 10" xfId="38334" xr:uid="{00000000-0005-0000-0000-0000B5950000}"/>
    <cellStyle name="Normal 3 38 3 2 10 2" xfId="38335" xr:uid="{00000000-0005-0000-0000-0000B6950000}"/>
    <cellStyle name="Normal 3 38 3 2 10 3" xfId="38336" xr:uid="{00000000-0005-0000-0000-0000B7950000}"/>
    <cellStyle name="Normal 3 38 3 2 11" xfId="38337" xr:uid="{00000000-0005-0000-0000-0000B8950000}"/>
    <cellStyle name="Normal 3 38 3 2 11 2" xfId="38338" xr:uid="{00000000-0005-0000-0000-0000B9950000}"/>
    <cellStyle name="Normal 3 38 3 2 11 3" xfId="38339" xr:uid="{00000000-0005-0000-0000-0000BA950000}"/>
    <cellStyle name="Normal 3 38 3 2 12" xfId="38340" xr:uid="{00000000-0005-0000-0000-0000BB950000}"/>
    <cellStyle name="Normal 3 38 3 2 12 2" xfId="38341" xr:uid="{00000000-0005-0000-0000-0000BC950000}"/>
    <cellStyle name="Normal 3 38 3 2 12 3" xfId="38342" xr:uid="{00000000-0005-0000-0000-0000BD950000}"/>
    <cellStyle name="Normal 3 38 3 2 13" xfId="38343" xr:uid="{00000000-0005-0000-0000-0000BE950000}"/>
    <cellStyle name="Normal 3 38 3 2 13 2" xfId="38344" xr:uid="{00000000-0005-0000-0000-0000BF950000}"/>
    <cellStyle name="Normal 3 38 3 2 13 3" xfId="38345" xr:uid="{00000000-0005-0000-0000-0000C0950000}"/>
    <cellStyle name="Normal 3 38 3 2 14" xfId="38346" xr:uid="{00000000-0005-0000-0000-0000C1950000}"/>
    <cellStyle name="Normal 3 38 3 2 14 2" xfId="38347" xr:uid="{00000000-0005-0000-0000-0000C2950000}"/>
    <cellStyle name="Normal 3 38 3 2 14 3" xfId="38348" xr:uid="{00000000-0005-0000-0000-0000C3950000}"/>
    <cellStyle name="Normal 3 38 3 2 15" xfId="38349" xr:uid="{00000000-0005-0000-0000-0000C4950000}"/>
    <cellStyle name="Normal 3 38 3 2 16" xfId="38350" xr:uid="{00000000-0005-0000-0000-0000C5950000}"/>
    <cellStyle name="Normal 3 38 3 2 2" xfId="38351" xr:uid="{00000000-0005-0000-0000-0000C6950000}"/>
    <cellStyle name="Normal 3 38 3 2 2 2" xfId="38352" xr:uid="{00000000-0005-0000-0000-0000C7950000}"/>
    <cellStyle name="Normal 3 38 3 2 2 3" xfId="38353" xr:uid="{00000000-0005-0000-0000-0000C8950000}"/>
    <cellStyle name="Normal 3 38 3 2 3" xfId="38354" xr:uid="{00000000-0005-0000-0000-0000C9950000}"/>
    <cellStyle name="Normal 3 38 3 2 3 2" xfId="38355" xr:uid="{00000000-0005-0000-0000-0000CA950000}"/>
    <cellStyle name="Normal 3 38 3 2 3 3" xfId="38356" xr:uid="{00000000-0005-0000-0000-0000CB950000}"/>
    <cellStyle name="Normal 3 38 3 2 4" xfId="38357" xr:uid="{00000000-0005-0000-0000-0000CC950000}"/>
    <cellStyle name="Normal 3 38 3 2 4 2" xfId="38358" xr:uid="{00000000-0005-0000-0000-0000CD950000}"/>
    <cellStyle name="Normal 3 38 3 2 4 3" xfId="38359" xr:uid="{00000000-0005-0000-0000-0000CE950000}"/>
    <cellStyle name="Normal 3 38 3 2 5" xfId="38360" xr:uid="{00000000-0005-0000-0000-0000CF950000}"/>
    <cellStyle name="Normal 3 38 3 2 5 2" xfId="38361" xr:uid="{00000000-0005-0000-0000-0000D0950000}"/>
    <cellStyle name="Normal 3 38 3 2 5 3" xfId="38362" xr:uid="{00000000-0005-0000-0000-0000D1950000}"/>
    <cellStyle name="Normal 3 38 3 2 6" xfId="38363" xr:uid="{00000000-0005-0000-0000-0000D2950000}"/>
    <cellStyle name="Normal 3 38 3 2 6 2" xfId="38364" xr:uid="{00000000-0005-0000-0000-0000D3950000}"/>
    <cellStyle name="Normal 3 38 3 2 6 3" xfId="38365" xr:uid="{00000000-0005-0000-0000-0000D4950000}"/>
    <cellStyle name="Normal 3 38 3 2 7" xfId="38366" xr:uid="{00000000-0005-0000-0000-0000D5950000}"/>
    <cellStyle name="Normal 3 38 3 2 7 2" xfId="38367" xr:uid="{00000000-0005-0000-0000-0000D6950000}"/>
    <cellStyle name="Normal 3 38 3 2 7 3" xfId="38368" xr:uid="{00000000-0005-0000-0000-0000D7950000}"/>
    <cellStyle name="Normal 3 38 3 2 8" xfId="38369" xr:uid="{00000000-0005-0000-0000-0000D8950000}"/>
    <cellStyle name="Normal 3 38 3 2 8 2" xfId="38370" xr:uid="{00000000-0005-0000-0000-0000D9950000}"/>
    <cellStyle name="Normal 3 38 3 2 8 3" xfId="38371" xr:uid="{00000000-0005-0000-0000-0000DA950000}"/>
    <cellStyle name="Normal 3 38 3 2 9" xfId="38372" xr:uid="{00000000-0005-0000-0000-0000DB950000}"/>
    <cellStyle name="Normal 3 38 3 2 9 2" xfId="38373" xr:uid="{00000000-0005-0000-0000-0000DC950000}"/>
    <cellStyle name="Normal 3 38 3 2 9 3" xfId="38374" xr:uid="{00000000-0005-0000-0000-0000DD950000}"/>
    <cellStyle name="Normal 3 38 3 3" xfId="38375" xr:uid="{00000000-0005-0000-0000-0000DE950000}"/>
    <cellStyle name="Normal 3 38 3 3 2" xfId="38376" xr:uid="{00000000-0005-0000-0000-0000DF950000}"/>
    <cellStyle name="Normal 3 38 3 3 3" xfId="38377" xr:uid="{00000000-0005-0000-0000-0000E0950000}"/>
    <cellStyle name="Normal 3 38 3 4" xfId="38378" xr:uid="{00000000-0005-0000-0000-0000E1950000}"/>
    <cellStyle name="Normal 3 38 3 4 2" xfId="38379" xr:uid="{00000000-0005-0000-0000-0000E2950000}"/>
    <cellStyle name="Normal 3 38 3 4 3" xfId="38380" xr:uid="{00000000-0005-0000-0000-0000E3950000}"/>
    <cellStyle name="Normal 3 38 3 5" xfId="38381" xr:uid="{00000000-0005-0000-0000-0000E4950000}"/>
    <cellStyle name="Normal 3 38 3 5 2" xfId="38382" xr:uid="{00000000-0005-0000-0000-0000E5950000}"/>
    <cellStyle name="Normal 3 38 3 5 3" xfId="38383" xr:uid="{00000000-0005-0000-0000-0000E6950000}"/>
    <cellStyle name="Normal 3 38 3 6" xfId="38384" xr:uid="{00000000-0005-0000-0000-0000E7950000}"/>
    <cellStyle name="Normal 3 38 3 6 2" xfId="38385" xr:uid="{00000000-0005-0000-0000-0000E8950000}"/>
    <cellStyle name="Normal 3 38 3 6 3" xfId="38386" xr:uid="{00000000-0005-0000-0000-0000E9950000}"/>
    <cellStyle name="Normal 3 38 3 7" xfId="38387" xr:uid="{00000000-0005-0000-0000-0000EA950000}"/>
    <cellStyle name="Normal 3 38 3 7 2" xfId="38388" xr:uid="{00000000-0005-0000-0000-0000EB950000}"/>
    <cellStyle name="Normal 3 38 3 7 3" xfId="38389" xr:uid="{00000000-0005-0000-0000-0000EC950000}"/>
    <cellStyle name="Normal 3 38 3 8" xfId="38390" xr:uid="{00000000-0005-0000-0000-0000ED950000}"/>
    <cellStyle name="Normal 3 38 3 8 2" xfId="38391" xr:uid="{00000000-0005-0000-0000-0000EE950000}"/>
    <cellStyle name="Normal 3 38 3 8 3" xfId="38392" xr:uid="{00000000-0005-0000-0000-0000EF950000}"/>
    <cellStyle name="Normal 3 38 3 9" xfId="38393" xr:uid="{00000000-0005-0000-0000-0000F0950000}"/>
    <cellStyle name="Normal 3 38 3 9 2" xfId="38394" xr:uid="{00000000-0005-0000-0000-0000F1950000}"/>
    <cellStyle name="Normal 3 38 3 9 3" xfId="38395" xr:uid="{00000000-0005-0000-0000-0000F2950000}"/>
    <cellStyle name="Normal 3 38 4" xfId="38396" xr:uid="{00000000-0005-0000-0000-0000F3950000}"/>
    <cellStyle name="Normal 3 38 4 10" xfId="38397" xr:uid="{00000000-0005-0000-0000-0000F4950000}"/>
    <cellStyle name="Normal 3 38 4 10 2" xfId="38398" xr:uid="{00000000-0005-0000-0000-0000F5950000}"/>
    <cellStyle name="Normal 3 38 4 10 3" xfId="38399" xr:uid="{00000000-0005-0000-0000-0000F6950000}"/>
    <cellStyle name="Normal 3 38 4 11" xfId="38400" xr:uid="{00000000-0005-0000-0000-0000F7950000}"/>
    <cellStyle name="Normal 3 38 4 11 2" xfId="38401" xr:uid="{00000000-0005-0000-0000-0000F8950000}"/>
    <cellStyle name="Normal 3 38 4 11 3" xfId="38402" xr:uid="{00000000-0005-0000-0000-0000F9950000}"/>
    <cellStyle name="Normal 3 38 4 12" xfId="38403" xr:uid="{00000000-0005-0000-0000-0000FA950000}"/>
    <cellStyle name="Normal 3 38 4 12 2" xfId="38404" xr:uid="{00000000-0005-0000-0000-0000FB950000}"/>
    <cellStyle name="Normal 3 38 4 12 3" xfId="38405" xr:uid="{00000000-0005-0000-0000-0000FC950000}"/>
    <cellStyle name="Normal 3 38 4 13" xfId="38406" xr:uid="{00000000-0005-0000-0000-0000FD950000}"/>
    <cellStyle name="Normal 3 38 4 13 2" xfId="38407" xr:uid="{00000000-0005-0000-0000-0000FE950000}"/>
    <cellStyle name="Normal 3 38 4 13 3" xfId="38408" xr:uid="{00000000-0005-0000-0000-0000FF950000}"/>
    <cellStyle name="Normal 3 38 4 14" xfId="38409" xr:uid="{00000000-0005-0000-0000-000000960000}"/>
    <cellStyle name="Normal 3 38 4 14 2" xfId="38410" xr:uid="{00000000-0005-0000-0000-000001960000}"/>
    <cellStyle name="Normal 3 38 4 14 3" xfId="38411" xr:uid="{00000000-0005-0000-0000-000002960000}"/>
    <cellStyle name="Normal 3 38 4 15" xfId="38412" xr:uid="{00000000-0005-0000-0000-000003960000}"/>
    <cellStyle name="Normal 3 38 4 15 2" xfId="38413" xr:uid="{00000000-0005-0000-0000-000004960000}"/>
    <cellStyle name="Normal 3 38 4 15 3" xfId="38414" xr:uid="{00000000-0005-0000-0000-000005960000}"/>
    <cellStyle name="Normal 3 38 4 16" xfId="38415" xr:uid="{00000000-0005-0000-0000-000006960000}"/>
    <cellStyle name="Normal 3 38 4 17" xfId="38416" xr:uid="{00000000-0005-0000-0000-000007960000}"/>
    <cellStyle name="Normal 3 38 4 2" xfId="38417" xr:uid="{00000000-0005-0000-0000-000008960000}"/>
    <cellStyle name="Normal 3 38 4 2 10" xfId="38418" xr:uid="{00000000-0005-0000-0000-000009960000}"/>
    <cellStyle name="Normal 3 38 4 2 10 2" xfId="38419" xr:uid="{00000000-0005-0000-0000-00000A960000}"/>
    <cellStyle name="Normal 3 38 4 2 10 3" xfId="38420" xr:uid="{00000000-0005-0000-0000-00000B960000}"/>
    <cellStyle name="Normal 3 38 4 2 11" xfId="38421" xr:uid="{00000000-0005-0000-0000-00000C960000}"/>
    <cellStyle name="Normal 3 38 4 2 11 2" xfId="38422" xr:uid="{00000000-0005-0000-0000-00000D960000}"/>
    <cellStyle name="Normal 3 38 4 2 11 3" xfId="38423" xr:uid="{00000000-0005-0000-0000-00000E960000}"/>
    <cellStyle name="Normal 3 38 4 2 12" xfId="38424" xr:uid="{00000000-0005-0000-0000-00000F960000}"/>
    <cellStyle name="Normal 3 38 4 2 12 2" xfId="38425" xr:uid="{00000000-0005-0000-0000-000010960000}"/>
    <cellStyle name="Normal 3 38 4 2 12 3" xfId="38426" xr:uid="{00000000-0005-0000-0000-000011960000}"/>
    <cellStyle name="Normal 3 38 4 2 13" xfId="38427" xr:uid="{00000000-0005-0000-0000-000012960000}"/>
    <cellStyle name="Normal 3 38 4 2 13 2" xfId="38428" xr:uid="{00000000-0005-0000-0000-000013960000}"/>
    <cellStyle name="Normal 3 38 4 2 13 3" xfId="38429" xr:uid="{00000000-0005-0000-0000-000014960000}"/>
    <cellStyle name="Normal 3 38 4 2 14" xfId="38430" xr:uid="{00000000-0005-0000-0000-000015960000}"/>
    <cellStyle name="Normal 3 38 4 2 14 2" xfId="38431" xr:uid="{00000000-0005-0000-0000-000016960000}"/>
    <cellStyle name="Normal 3 38 4 2 14 3" xfId="38432" xr:uid="{00000000-0005-0000-0000-000017960000}"/>
    <cellStyle name="Normal 3 38 4 2 15" xfId="38433" xr:uid="{00000000-0005-0000-0000-000018960000}"/>
    <cellStyle name="Normal 3 38 4 2 16" xfId="38434" xr:uid="{00000000-0005-0000-0000-000019960000}"/>
    <cellStyle name="Normal 3 38 4 2 2" xfId="38435" xr:uid="{00000000-0005-0000-0000-00001A960000}"/>
    <cellStyle name="Normal 3 38 4 2 2 2" xfId="38436" xr:uid="{00000000-0005-0000-0000-00001B960000}"/>
    <cellStyle name="Normal 3 38 4 2 2 3" xfId="38437" xr:uid="{00000000-0005-0000-0000-00001C960000}"/>
    <cellStyle name="Normal 3 38 4 2 3" xfId="38438" xr:uid="{00000000-0005-0000-0000-00001D960000}"/>
    <cellStyle name="Normal 3 38 4 2 3 2" xfId="38439" xr:uid="{00000000-0005-0000-0000-00001E960000}"/>
    <cellStyle name="Normal 3 38 4 2 3 3" xfId="38440" xr:uid="{00000000-0005-0000-0000-00001F960000}"/>
    <cellStyle name="Normal 3 38 4 2 4" xfId="38441" xr:uid="{00000000-0005-0000-0000-000020960000}"/>
    <cellStyle name="Normal 3 38 4 2 4 2" xfId="38442" xr:uid="{00000000-0005-0000-0000-000021960000}"/>
    <cellStyle name="Normal 3 38 4 2 4 3" xfId="38443" xr:uid="{00000000-0005-0000-0000-000022960000}"/>
    <cellStyle name="Normal 3 38 4 2 5" xfId="38444" xr:uid="{00000000-0005-0000-0000-000023960000}"/>
    <cellStyle name="Normal 3 38 4 2 5 2" xfId="38445" xr:uid="{00000000-0005-0000-0000-000024960000}"/>
    <cellStyle name="Normal 3 38 4 2 5 3" xfId="38446" xr:uid="{00000000-0005-0000-0000-000025960000}"/>
    <cellStyle name="Normal 3 38 4 2 6" xfId="38447" xr:uid="{00000000-0005-0000-0000-000026960000}"/>
    <cellStyle name="Normal 3 38 4 2 6 2" xfId="38448" xr:uid="{00000000-0005-0000-0000-000027960000}"/>
    <cellStyle name="Normal 3 38 4 2 6 3" xfId="38449" xr:uid="{00000000-0005-0000-0000-000028960000}"/>
    <cellStyle name="Normal 3 38 4 2 7" xfId="38450" xr:uid="{00000000-0005-0000-0000-000029960000}"/>
    <cellStyle name="Normal 3 38 4 2 7 2" xfId="38451" xr:uid="{00000000-0005-0000-0000-00002A960000}"/>
    <cellStyle name="Normal 3 38 4 2 7 3" xfId="38452" xr:uid="{00000000-0005-0000-0000-00002B960000}"/>
    <cellStyle name="Normal 3 38 4 2 8" xfId="38453" xr:uid="{00000000-0005-0000-0000-00002C960000}"/>
    <cellStyle name="Normal 3 38 4 2 8 2" xfId="38454" xr:uid="{00000000-0005-0000-0000-00002D960000}"/>
    <cellStyle name="Normal 3 38 4 2 8 3" xfId="38455" xr:uid="{00000000-0005-0000-0000-00002E960000}"/>
    <cellStyle name="Normal 3 38 4 2 9" xfId="38456" xr:uid="{00000000-0005-0000-0000-00002F960000}"/>
    <cellStyle name="Normal 3 38 4 2 9 2" xfId="38457" xr:uid="{00000000-0005-0000-0000-000030960000}"/>
    <cellStyle name="Normal 3 38 4 2 9 3" xfId="38458" xr:uid="{00000000-0005-0000-0000-000031960000}"/>
    <cellStyle name="Normal 3 38 4 3" xfId="38459" xr:uid="{00000000-0005-0000-0000-000032960000}"/>
    <cellStyle name="Normal 3 38 4 3 2" xfId="38460" xr:uid="{00000000-0005-0000-0000-000033960000}"/>
    <cellStyle name="Normal 3 38 4 3 3" xfId="38461" xr:uid="{00000000-0005-0000-0000-000034960000}"/>
    <cellStyle name="Normal 3 38 4 4" xfId="38462" xr:uid="{00000000-0005-0000-0000-000035960000}"/>
    <cellStyle name="Normal 3 38 4 4 2" xfId="38463" xr:uid="{00000000-0005-0000-0000-000036960000}"/>
    <cellStyle name="Normal 3 38 4 4 3" xfId="38464" xr:uid="{00000000-0005-0000-0000-000037960000}"/>
    <cellStyle name="Normal 3 38 4 5" xfId="38465" xr:uid="{00000000-0005-0000-0000-000038960000}"/>
    <cellStyle name="Normal 3 38 4 5 2" xfId="38466" xr:uid="{00000000-0005-0000-0000-000039960000}"/>
    <cellStyle name="Normal 3 38 4 5 3" xfId="38467" xr:uid="{00000000-0005-0000-0000-00003A960000}"/>
    <cellStyle name="Normal 3 38 4 6" xfId="38468" xr:uid="{00000000-0005-0000-0000-00003B960000}"/>
    <cellStyle name="Normal 3 38 4 6 2" xfId="38469" xr:uid="{00000000-0005-0000-0000-00003C960000}"/>
    <cellStyle name="Normal 3 38 4 6 3" xfId="38470" xr:uid="{00000000-0005-0000-0000-00003D960000}"/>
    <cellStyle name="Normal 3 38 4 7" xfId="38471" xr:uid="{00000000-0005-0000-0000-00003E960000}"/>
    <cellStyle name="Normal 3 38 4 7 2" xfId="38472" xr:uid="{00000000-0005-0000-0000-00003F960000}"/>
    <cellStyle name="Normal 3 38 4 7 3" xfId="38473" xr:uid="{00000000-0005-0000-0000-000040960000}"/>
    <cellStyle name="Normal 3 38 4 8" xfId="38474" xr:uid="{00000000-0005-0000-0000-000041960000}"/>
    <cellStyle name="Normal 3 38 4 8 2" xfId="38475" xr:uid="{00000000-0005-0000-0000-000042960000}"/>
    <cellStyle name="Normal 3 38 4 8 3" xfId="38476" xr:uid="{00000000-0005-0000-0000-000043960000}"/>
    <cellStyle name="Normal 3 38 4 9" xfId="38477" xr:uid="{00000000-0005-0000-0000-000044960000}"/>
    <cellStyle name="Normal 3 38 4 9 2" xfId="38478" xr:uid="{00000000-0005-0000-0000-000045960000}"/>
    <cellStyle name="Normal 3 38 4 9 3" xfId="38479" xr:uid="{00000000-0005-0000-0000-000046960000}"/>
    <cellStyle name="Normal 3 38 5" xfId="38480" xr:uid="{00000000-0005-0000-0000-000047960000}"/>
    <cellStyle name="Normal 3 38 5 10" xfId="38481" xr:uid="{00000000-0005-0000-0000-000048960000}"/>
    <cellStyle name="Normal 3 38 5 10 2" xfId="38482" xr:uid="{00000000-0005-0000-0000-000049960000}"/>
    <cellStyle name="Normal 3 38 5 10 3" xfId="38483" xr:uid="{00000000-0005-0000-0000-00004A960000}"/>
    <cellStyle name="Normal 3 38 5 11" xfId="38484" xr:uid="{00000000-0005-0000-0000-00004B960000}"/>
    <cellStyle name="Normal 3 38 5 11 2" xfId="38485" xr:uid="{00000000-0005-0000-0000-00004C960000}"/>
    <cellStyle name="Normal 3 38 5 11 3" xfId="38486" xr:uid="{00000000-0005-0000-0000-00004D960000}"/>
    <cellStyle name="Normal 3 38 5 12" xfId="38487" xr:uid="{00000000-0005-0000-0000-00004E960000}"/>
    <cellStyle name="Normal 3 38 5 12 2" xfId="38488" xr:uid="{00000000-0005-0000-0000-00004F960000}"/>
    <cellStyle name="Normal 3 38 5 12 3" xfId="38489" xr:uid="{00000000-0005-0000-0000-000050960000}"/>
    <cellStyle name="Normal 3 38 5 13" xfId="38490" xr:uid="{00000000-0005-0000-0000-000051960000}"/>
    <cellStyle name="Normal 3 38 5 13 2" xfId="38491" xr:uid="{00000000-0005-0000-0000-000052960000}"/>
    <cellStyle name="Normal 3 38 5 13 3" xfId="38492" xr:uid="{00000000-0005-0000-0000-000053960000}"/>
    <cellStyle name="Normal 3 38 5 14" xfId="38493" xr:uid="{00000000-0005-0000-0000-000054960000}"/>
    <cellStyle name="Normal 3 38 5 14 2" xfId="38494" xr:uid="{00000000-0005-0000-0000-000055960000}"/>
    <cellStyle name="Normal 3 38 5 14 3" xfId="38495" xr:uid="{00000000-0005-0000-0000-000056960000}"/>
    <cellStyle name="Normal 3 38 5 15" xfId="38496" xr:uid="{00000000-0005-0000-0000-000057960000}"/>
    <cellStyle name="Normal 3 38 5 16" xfId="38497" xr:uid="{00000000-0005-0000-0000-000058960000}"/>
    <cellStyle name="Normal 3 38 5 2" xfId="38498" xr:uid="{00000000-0005-0000-0000-000059960000}"/>
    <cellStyle name="Normal 3 38 5 2 2" xfId="38499" xr:uid="{00000000-0005-0000-0000-00005A960000}"/>
    <cellStyle name="Normal 3 38 5 2 3" xfId="38500" xr:uid="{00000000-0005-0000-0000-00005B960000}"/>
    <cellStyle name="Normal 3 38 5 3" xfId="38501" xr:uid="{00000000-0005-0000-0000-00005C960000}"/>
    <cellStyle name="Normal 3 38 5 3 2" xfId="38502" xr:uid="{00000000-0005-0000-0000-00005D960000}"/>
    <cellStyle name="Normal 3 38 5 3 3" xfId="38503" xr:uid="{00000000-0005-0000-0000-00005E960000}"/>
    <cellStyle name="Normal 3 38 5 4" xfId="38504" xr:uid="{00000000-0005-0000-0000-00005F960000}"/>
    <cellStyle name="Normal 3 38 5 4 2" xfId="38505" xr:uid="{00000000-0005-0000-0000-000060960000}"/>
    <cellStyle name="Normal 3 38 5 4 3" xfId="38506" xr:uid="{00000000-0005-0000-0000-000061960000}"/>
    <cellStyle name="Normal 3 38 5 5" xfId="38507" xr:uid="{00000000-0005-0000-0000-000062960000}"/>
    <cellStyle name="Normal 3 38 5 5 2" xfId="38508" xr:uid="{00000000-0005-0000-0000-000063960000}"/>
    <cellStyle name="Normal 3 38 5 5 3" xfId="38509" xr:uid="{00000000-0005-0000-0000-000064960000}"/>
    <cellStyle name="Normal 3 38 5 6" xfId="38510" xr:uid="{00000000-0005-0000-0000-000065960000}"/>
    <cellStyle name="Normal 3 38 5 6 2" xfId="38511" xr:uid="{00000000-0005-0000-0000-000066960000}"/>
    <cellStyle name="Normal 3 38 5 6 3" xfId="38512" xr:uid="{00000000-0005-0000-0000-000067960000}"/>
    <cellStyle name="Normal 3 38 5 7" xfId="38513" xr:uid="{00000000-0005-0000-0000-000068960000}"/>
    <cellStyle name="Normal 3 38 5 7 2" xfId="38514" xr:uid="{00000000-0005-0000-0000-000069960000}"/>
    <cellStyle name="Normal 3 38 5 7 3" xfId="38515" xr:uid="{00000000-0005-0000-0000-00006A960000}"/>
    <cellStyle name="Normal 3 38 5 8" xfId="38516" xr:uid="{00000000-0005-0000-0000-00006B960000}"/>
    <cellStyle name="Normal 3 38 5 8 2" xfId="38517" xr:uid="{00000000-0005-0000-0000-00006C960000}"/>
    <cellStyle name="Normal 3 38 5 8 3" xfId="38518" xr:uid="{00000000-0005-0000-0000-00006D960000}"/>
    <cellStyle name="Normal 3 38 5 9" xfId="38519" xr:uid="{00000000-0005-0000-0000-00006E960000}"/>
    <cellStyle name="Normal 3 38 5 9 2" xfId="38520" xr:uid="{00000000-0005-0000-0000-00006F960000}"/>
    <cellStyle name="Normal 3 38 5 9 3" xfId="38521" xr:uid="{00000000-0005-0000-0000-000070960000}"/>
    <cellStyle name="Normal 3 38 6" xfId="38522" xr:uid="{00000000-0005-0000-0000-000071960000}"/>
    <cellStyle name="Normal 3 38 6 10" xfId="38523" xr:uid="{00000000-0005-0000-0000-000072960000}"/>
    <cellStyle name="Normal 3 38 6 10 2" xfId="38524" xr:uid="{00000000-0005-0000-0000-000073960000}"/>
    <cellStyle name="Normal 3 38 6 10 3" xfId="38525" xr:uid="{00000000-0005-0000-0000-000074960000}"/>
    <cellStyle name="Normal 3 38 6 11" xfId="38526" xr:uid="{00000000-0005-0000-0000-000075960000}"/>
    <cellStyle name="Normal 3 38 6 11 2" xfId="38527" xr:uid="{00000000-0005-0000-0000-000076960000}"/>
    <cellStyle name="Normal 3 38 6 11 3" xfId="38528" xr:uid="{00000000-0005-0000-0000-000077960000}"/>
    <cellStyle name="Normal 3 38 6 12" xfId="38529" xr:uid="{00000000-0005-0000-0000-000078960000}"/>
    <cellStyle name="Normal 3 38 6 12 2" xfId="38530" xr:uid="{00000000-0005-0000-0000-000079960000}"/>
    <cellStyle name="Normal 3 38 6 12 3" xfId="38531" xr:uid="{00000000-0005-0000-0000-00007A960000}"/>
    <cellStyle name="Normal 3 38 6 13" xfId="38532" xr:uid="{00000000-0005-0000-0000-00007B960000}"/>
    <cellStyle name="Normal 3 38 6 13 2" xfId="38533" xr:uid="{00000000-0005-0000-0000-00007C960000}"/>
    <cellStyle name="Normal 3 38 6 13 3" xfId="38534" xr:uid="{00000000-0005-0000-0000-00007D960000}"/>
    <cellStyle name="Normal 3 38 6 14" xfId="38535" xr:uid="{00000000-0005-0000-0000-00007E960000}"/>
    <cellStyle name="Normal 3 38 6 14 2" xfId="38536" xr:uid="{00000000-0005-0000-0000-00007F960000}"/>
    <cellStyle name="Normal 3 38 6 14 3" xfId="38537" xr:uid="{00000000-0005-0000-0000-000080960000}"/>
    <cellStyle name="Normal 3 38 6 15" xfId="38538" xr:uid="{00000000-0005-0000-0000-000081960000}"/>
    <cellStyle name="Normal 3 38 6 16" xfId="38539" xr:uid="{00000000-0005-0000-0000-000082960000}"/>
    <cellStyle name="Normal 3 38 6 2" xfId="38540" xr:uid="{00000000-0005-0000-0000-000083960000}"/>
    <cellStyle name="Normal 3 38 6 2 2" xfId="38541" xr:uid="{00000000-0005-0000-0000-000084960000}"/>
    <cellStyle name="Normal 3 38 6 2 3" xfId="38542" xr:uid="{00000000-0005-0000-0000-000085960000}"/>
    <cellStyle name="Normal 3 38 6 3" xfId="38543" xr:uid="{00000000-0005-0000-0000-000086960000}"/>
    <cellStyle name="Normal 3 38 6 3 2" xfId="38544" xr:uid="{00000000-0005-0000-0000-000087960000}"/>
    <cellStyle name="Normal 3 38 6 3 3" xfId="38545" xr:uid="{00000000-0005-0000-0000-000088960000}"/>
    <cellStyle name="Normal 3 38 6 4" xfId="38546" xr:uid="{00000000-0005-0000-0000-000089960000}"/>
    <cellStyle name="Normal 3 38 6 4 2" xfId="38547" xr:uid="{00000000-0005-0000-0000-00008A960000}"/>
    <cellStyle name="Normal 3 38 6 4 3" xfId="38548" xr:uid="{00000000-0005-0000-0000-00008B960000}"/>
    <cellStyle name="Normal 3 38 6 5" xfId="38549" xr:uid="{00000000-0005-0000-0000-00008C960000}"/>
    <cellStyle name="Normal 3 38 6 5 2" xfId="38550" xr:uid="{00000000-0005-0000-0000-00008D960000}"/>
    <cellStyle name="Normal 3 38 6 5 3" xfId="38551" xr:uid="{00000000-0005-0000-0000-00008E960000}"/>
    <cellStyle name="Normal 3 38 6 6" xfId="38552" xr:uid="{00000000-0005-0000-0000-00008F960000}"/>
    <cellStyle name="Normal 3 38 6 6 2" xfId="38553" xr:uid="{00000000-0005-0000-0000-000090960000}"/>
    <cellStyle name="Normal 3 38 6 6 3" xfId="38554" xr:uid="{00000000-0005-0000-0000-000091960000}"/>
    <cellStyle name="Normal 3 38 6 7" xfId="38555" xr:uid="{00000000-0005-0000-0000-000092960000}"/>
    <cellStyle name="Normal 3 38 6 7 2" xfId="38556" xr:uid="{00000000-0005-0000-0000-000093960000}"/>
    <cellStyle name="Normal 3 38 6 7 3" xfId="38557" xr:uid="{00000000-0005-0000-0000-000094960000}"/>
    <cellStyle name="Normal 3 38 6 8" xfId="38558" xr:uid="{00000000-0005-0000-0000-000095960000}"/>
    <cellStyle name="Normal 3 38 6 8 2" xfId="38559" xr:uid="{00000000-0005-0000-0000-000096960000}"/>
    <cellStyle name="Normal 3 38 6 8 3" xfId="38560" xr:uid="{00000000-0005-0000-0000-000097960000}"/>
    <cellStyle name="Normal 3 38 6 9" xfId="38561" xr:uid="{00000000-0005-0000-0000-000098960000}"/>
    <cellStyle name="Normal 3 38 6 9 2" xfId="38562" xr:uid="{00000000-0005-0000-0000-000099960000}"/>
    <cellStyle name="Normal 3 38 6 9 3" xfId="38563" xr:uid="{00000000-0005-0000-0000-00009A960000}"/>
    <cellStyle name="Normal 3 38 7" xfId="38564" xr:uid="{00000000-0005-0000-0000-00009B960000}"/>
    <cellStyle name="Normal 3 38 7 10" xfId="38565" xr:uid="{00000000-0005-0000-0000-00009C960000}"/>
    <cellStyle name="Normal 3 38 7 10 2" xfId="38566" xr:uid="{00000000-0005-0000-0000-00009D960000}"/>
    <cellStyle name="Normal 3 38 7 10 3" xfId="38567" xr:uid="{00000000-0005-0000-0000-00009E960000}"/>
    <cellStyle name="Normal 3 38 7 11" xfId="38568" xr:uid="{00000000-0005-0000-0000-00009F960000}"/>
    <cellStyle name="Normal 3 38 7 11 2" xfId="38569" xr:uid="{00000000-0005-0000-0000-0000A0960000}"/>
    <cellStyle name="Normal 3 38 7 11 3" xfId="38570" xr:uid="{00000000-0005-0000-0000-0000A1960000}"/>
    <cellStyle name="Normal 3 38 7 12" xfId="38571" xr:uid="{00000000-0005-0000-0000-0000A2960000}"/>
    <cellStyle name="Normal 3 38 7 12 2" xfId="38572" xr:uid="{00000000-0005-0000-0000-0000A3960000}"/>
    <cellStyle name="Normal 3 38 7 12 3" xfId="38573" xr:uid="{00000000-0005-0000-0000-0000A4960000}"/>
    <cellStyle name="Normal 3 38 7 13" xfId="38574" xr:uid="{00000000-0005-0000-0000-0000A5960000}"/>
    <cellStyle name="Normal 3 38 7 13 2" xfId="38575" xr:uid="{00000000-0005-0000-0000-0000A6960000}"/>
    <cellStyle name="Normal 3 38 7 13 3" xfId="38576" xr:uid="{00000000-0005-0000-0000-0000A7960000}"/>
    <cellStyle name="Normal 3 38 7 14" xfId="38577" xr:uid="{00000000-0005-0000-0000-0000A8960000}"/>
    <cellStyle name="Normal 3 38 7 14 2" xfId="38578" xr:uid="{00000000-0005-0000-0000-0000A9960000}"/>
    <cellStyle name="Normal 3 38 7 14 3" xfId="38579" xr:uid="{00000000-0005-0000-0000-0000AA960000}"/>
    <cellStyle name="Normal 3 38 7 15" xfId="38580" xr:uid="{00000000-0005-0000-0000-0000AB960000}"/>
    <cellStyle name="Normal 3 38 7 16" xfId="38581" xr:uid="{00000000-0005-0000-0000-0000AC960000}"/>
    <cellStyle name="Normal 3 38 7 2" xfId="38582" xr:uid="{00000000-0005-0000-0000-0000AD960000}"/>
    <cellStyle name="Normal 3 38 7 2 2" xfId="38583" xr:uid="{00000000-0005-0000-0000-0000AE960000}"/>
    <cellStyle name="Normal 3 38 7 2 3" xfId="38584" xr:uid="{00000000-0005-0000-0000-0000AF960000}"/>
    <cellStyle name="Normal 3 38 7 3" xfId="38585" xr:uid="{00000000-0005-0000-0000-0000B0960000}"/>
    <cellStyle name="Normal 3 38 7 3 2" xfId="38586" xr:uid="{00000000-0005-0000-0000-0000B1960000}"/>
    <cellStyle name="Normal 3 38 7 3 3" xfId="38587" xr:uid="{00000000-0005-0000-0000-0000B2960000}"/>
    <cellStyle name="Normal 3 38 7 4" xfId="38588" xr:uid="{00000000-0005-0000-0000-0000B3960000}"/>
    <cellStyle name="Normal 3 38 7 4 2" xfId="38589" xr:uid="{00000000-0005-0000-0000-0000B4960000}"/>
    <cellStyle name="Normal 3 38 7 4 3" xfId="38590" xr:uid="{00000000-0005-0000-0000-0000B5960000}"/>
    <cellStyle name="Normal 3 38 7 5" xfId="38591" xr:uid="{00000000-0005-0000-0000-0000B6960000}"/>
    <cellStyle name="Normal 3 38 7 5 2" xfId="38592" xr:uid="{00000000-0005-0000-0000-0000B7960000}"/>
    <cellStyle name="Normal 3 38 7 5 3" xfId="38593" xr:uid="{00000000-0005-0000-0000-0000B8960000}"/>
    <cellStyle name="Normal 3 38 7 6" xfId="38594" xr:uid="{00000000-0005-0000-0000-0000B9960000}"/>
    <cellStyle name="Normal 3 38 7 6 2" xfId="38595" xr:uid="{00000000-0005-0000-0000-0000BA960000}"/>
    <cellStyle name="Normal 3 38 7 6 3" xfId="38596" xr:uid="{00000000-0005-0000-0000-0000BB960000}"/>
    <cellStyle name="Normal 3 38 7 7" xfId="38597" xr:uid="{00000000-0005-0000-0000-0000BC960000}"/>
    <cellStyle name="Normal 3 38 7 7 2" xfId="38598" xr:uid="{00000000-0005-0000-0000-0000BD960000}"/>
    <cellStyle name="Normal 3 38 7 7 3" xfId="38599" xr:uid="{00000000-0005-0000-0000-0000BE960000}"/>
    <cellStyle name="Normal 3 38 7 8" xfId="38600" xr:uid="{00000000-0005-0000-0000-0000BF960000}"/>
    <cellStyle name="Normal 3 38 7 8 2" xfId="38601" xr:uid="{00000000-0005-0000-0000-0000C0960000}"/>
    <cellStyle name="Normal 3 38 7 8 3" xfId="38602" xr:uid="{00000000-0005-0000-0000-0000C1960000}"/>
    <cellStyle name="Normal 3 38 7 9" xfId="38603" xr:uid="{00000000-0005-0000-0000-0000C2960000}"/>
    <cellStyle name="Normal 3 38 7 9 2" xfId="38604" xr:uid="{00000000-0005-0000-0000-0000C3960000}"/>
    <cellStyle name="Normal 3 38 7 9 3" xfId="38605" xr:uid="{00000000-0005-0000-0000-0000C4960000}"/>
    <cellStyle name="Normal 3 38 8" xfId="38606" xr:uid="{00000000-0005-0000-0000-0000C5960000}"/>
    <cellStyle name="Normal 3 38 8 10" xfId="38607" xr:uid="{00000000-0005-0000-0000-0000C6960000}"/>
    <cellStyle name="Normal 3 38 8 10 2" xfId="38608" xr:uid="{00000000-0005-0000-0000-0000C7960000}"/>
    <cellStyle name="Normal 3 38 8 10 3" xfId="38609" xr:uid="{00000000-0005-0000-0000-0000C8960000}"/>
    <cellStyle name="Normal 3 38 8 11" xfId="38610" xr:uid="{00000000-0005-0000-0000-0000C9960000}"/>
    <cellStyle name="Normal 3 38 8 11 2" xfId="38611" xr:uid="{00000000-0005-0000-0000-0000CA960000}"/>
    <cellStyle name="Normal 3 38 8 11 3" xfId="38612" xr:uid="{00000000-0005-0000-0000-0000CB960000}"/>
    <cellStyle name="Normal 3 38 8 12" xfId="38613" xr:uid="{00000000-0005-0000-0000-0000CC960000}"/>
    <cellStyle name="Normal 3 38 8 12 2" xfId="38614" xr:uid="{00000000-0005-0000-0000-0000CD960000}"/>
    <cellStyle name="Normal 3 38 8 12 3" xfId="38615" xr:uid="{00000000-0005-0000-0000-0000CE960000}"/>
    <cellStyle name="Normal 3 38 8 13" xfId="38616" xr:uid="{00000000-0005-0000-0000-0000CF960000}"/>
    <cellStyle name="Normal 3 38 8 13 2" xfId="38617" xr:uid="{00000000-0005-0000-0000-0000D0960000}"/>
    <cellStyle name="Normal 3 38 8 13 3" xfId="38618" xr:uid="{00000000-0005-0000-0000-0000D1960000}"/>
    <cellStyle name="Normal 3 38 8 14" xfId="38619" xr:uid="{00000000-0005-0000-0000-0000D2960000}"/>
    <cellStyle name="Normal 3 38 8 14 2" xfId="38620" xr:uid="{00000000-0005-0000-0000-0000D3960000}"/>
    <cellStyle name="Normal 3 38 8 14 3" xfId="38621" xr:uid="{00000000-0005-0000-0000-0000D4960000}"/>
    <cellStyle name="Normal 3 38 8 15" xfId="38622" xr:uid="{00000000-0005-0000-0000-0000D5960000}"/>
    <cellStyle name="Normal 3 38 8 16" xfId="38623" xr:uid="{00000000-0005-0000-0000-0000D6960000}"/>
    <cellStyle name="Normal 3 38 8 2" xfId="38624" xr:uid="{00000000-0005-0000-0000-0000D7960000}"/>
    <cellStyle name="Normal 3 38 8 2 2" xfId="38625" xr:uid="{00000000-0005-0000-0000-0000D8960000}"/>
    <cellStyle name="Normal 3 38 8 2 3" xfId="38626" xr:uid="{00000000-0005-0000-0000-0000D9960000}"/>
    <cellStyle name="Normal 3 38 8 3" xfId="38627" xr:uid="{00000000-0005-0000-0000-0000DA960000}"/>
    <cellStyle name="Normal 3 38 8 3 2" xfId="38628" xr:uid="{00000000-0005-0000-0000-0000DB960000}"/>
    <cellStyle name="Normal 3 38 8 3 3" xfId="38629" xr:uid="{00000000-0005-0000-0000-0000DC960000}"/>
    <cellStyle name="Normal 3 38 8 4" xfId="38630" xr:uid="{00000000-0005-0000-0000-0000DD960000}"/>
    <cellStyle name="Normal 3 38 8 4 2" xfId="38631" xr:uid="{00000000-0005-0000-0000-0000DE960000}"/>
    <cellStyle name="Normal 3 38 8 4 3" xfId="38632" xr:uid="{00000000-0005-0000-0000-0000DF960000}"/>
    <cellStyle name="Normal 3 38 8 5" xfId="38633" xr:uid="{00000000-0005-0000-0000-0000E0960000}"/>
    <cellStyle name="Normal 3 38 8 5 2" xfId="38634" xr:uid="{00000000-0005-0000-0000-0000E1960000}"/>
    <cellStyle name="Normal 3 38 8 5 3" xfId="38635" xr:uid="{00000000-0005-0000-0000-0000E2960000}"/>
    <cellStyle name="Normal 3 38 8 6" xfId="38636" xr:uid="{00000000-0005-0000-0000-0000E3960000}"/>
    <cellStyle name="Normal 3 38 8 6 2" xfId="38637" xr:uid="{00000000-0005-0000-0000-0000E4960000}"/>
    <cellStyle name="Normal 3 38 8 6 3" xfId="38638" xr:uid="{00000000-0005-0000-0000-0000E5960000}"/>
    <cellStyle name="Normal 3 38 8 7" xfId="38639" xr:uid="{00000000-0005-0000-0000-0000E6960000}"/>
    <cellStyle name="Normal 3 38 8 7 2" xfId="38640" xr:uid="{00000000-0005-0000-0000-0000E7960000}"/>
    <cellStyle name="Normal 3 38 8 7 3" xfId="38641" xr:uid="{00000000-0005-0000-0000-0000E8960000}"/>
    <cellStyle name="Normal 3 38 8 8" xfId="38642" xr:uid="{00000000-0005-0000-0000-0000E9960000}"/>
    <cellStyle name="Normal 3 38 8 8 2" xfId="38643" xr:uid="{00000000-0005-0000-0000-0000EA960000}"/>
    <cellStyle name="Normal 3 38 8 8 3" xfId="38644" xr:uid="{00000000-0005-0000-0000-0000EB960000}"/>
    <cellStyle name="Normal 3 38 8 9" xfId="38645" xr:uid="{00000000-0005-0000-0000-0000EC960000}"/>
    <cellStyle name="Normal 3 38 8 9 2" xfId="38646" xr:uid="{00000000-0005-0000-0000-0000ED960000}"/>
    <cellStyle name="Normal 3 38 8 9 3" xfId="38647" xr:uid="{00000000-0005-0000-0000-0000EE960000}"/>
    <cellStyle name="Normal 3 38 9" xfId="38648" xr:uid="{00000000-0005-0000-0000-0000EF960000}"/>
    <cellStyle name="Normal 3 38 9 10" xfId="38649" xr:uid="{00000000-0005-0000-0000-0000F0960000}"/>
    <cellStyle name="Normal 3 38 9 10 2" xfId="38650" xr:uid="{00000000-0005-0000-0000-0000F1960000}"/>
    <cellStyle name="Normal 3 38 9 10 3" xfId="38651" xr:uid="{00000000-0005-0000-0000-0000F2960000}"/>
    <cellStyle name="Normal 3 38 9 11" xfId="38652" xr:uid="{00000000-0005-0000-0000-0000F3960000}"/>
    <cellStyle name="Normal 3 38 9 11 2" xfId="38653" xr:uid="{00000000-0005-0000-0000-0000F4960000}"/>
    <cellStyle name="Normal 3 38 9 11 3" xfId="38654" xr:uid="{00000000-0005-0000-0000-0000F5960000}"/>
    <cellStyle name="Normal 3 38 9 12" xfId="38655" xr:uid="{00000000-0005-0000-0000-0000F6960000}"/>
    <cellStyle name="Normal 3 38 9 12 2" xfId="38656" xr:uid="{00000000-0005-0000-0000-0000F7960000}"/>
    <cellStyle name="Normal 3 38 9 12 3" xfId="38657" xr:uid="{00000000-0005-0000-0000-0000F8960000}"/>
    <cellStyle name="Normal 3 38 9 13" xfId="38658" xr:uid="{00000000-0005-0000-0000-0000F9960000}"/>
    <cellStyle name="Normal 3 38 9 13 2" xfId="38659" xr:uid="{00000000-0005-0000-0000-0000FA960000}"/>
    <cellStyle name="Normal 3 38 9 13 3" xfId="38660" xr:uid="{00000000-0005-0000-0000-0000FB960000}"/>
    <cellStyle name="Normal 3 38 9 14" xfId="38661" xr:uid="{00000000-0005-0000-0000-0000FC960000}"/>
    <cellStyle name="Normal 3 38 9 14 2" xfId="38662" xr:uid="{00000000-0005-0000-0000-0000FD960000}"/>
    <cellStyle name="Normal 3 38 9 14 3" xfId="38663" xr:uid="{00000000-0005-0000-0000-0000FE960000}"/>
    <cellStyle name="Normal 3 38 9 15" xfId="38664" xr:uid="{00000000-0005-0000-0000-0000FF960000}"/>
    <cellStyle name="Normal 3 38 9 16" xfId="38665" xr:uid="{00000000-0005-0000-0000-000000970000}"/>
    <cellStyle name="Normal 3 38 9 2" xfId="38666" xr:uid="{00000000-0005-0000-0000-000001970000}"/>
    <cellStyle name="Normal 3 38 9 2 2" xfId="38667" xr:uid="{00000000-0005-0000-0000-000002970000}"/>
    <cellStyle name="Normal 3 38 9 2 3" xfId="38668" xr:uid="{00000000-0005-0000-0000-000003970000}"/>
    <cellStyle name="Normal 3 38 9 3" xfId="38669" xr:uid="{00000000-0005-0000-0000-000004970000}"/>
    <cellStyle name="Normal 3 38 9 3 2" xfId="38670" xr:uid="{00000000-0005-0000-0000-000005970000}"/>
    <cellStyle name="Normal 3 38 9 3 3" xfId="38671" xr:uid="{00000000-0005-0000-0000-000006970000}"/>
    <cellStyle name="Normal 3 38 9 4" xfId="38672" xr:uid="{00000000-0005-0000-0000-000007970000}"/>
    <cellStyle name="Normal 3 38 9 4 2" xfId="38673" xr:uid="{00000000-0005-0000-0000-000008970000}"/>
    <cellStyle name="Normal 3 38 9 4 3" xfId="38674" xr:uid="{00000000-0005-0000-0000-000009970000}"/>
    <cellStyle name="Normal 3 38 9 5" xfId="38675" xr:uid="{00000000-0005-0000-0000-00000A970000}"/>
    <cellStyle name="Normal 3 38 9 5 2" xfId="38676" xr:uid="{00000000-0005-0000-0000-00000B970000}"/>
    <cellStyle name="Normal 3 38 9 5 3" xfId="38677" xr:uid="{00000000-0005-0000-0000-00000C970000}"/>
    <cellStyle name="Normal 3 38 9 6" xfId="38678" xr:uid="{00000000-0005-0000-0000-00000D970000}"/>
    <cellStyle name="Normal 3 38 9 6 2" xfId="38679" xr:uid="{00000000-0005-0000-0000-00000E970000}"/>
    <cellStyle name="Normal 3 38 9 6 3" xfId="38680" xr:uid="{00000000-0005-0000-0000-00000F970000}"/>
    <cellStyle name="Normal 3 38 9 7" xfId="38681" xr:uid="{00000000-0005-0000-0000-000010970000}"/>
    <cellStyle name="Normal 3 38 9 7 2" xfId="38682" xr:uid="{00000000-0005-0000-0000-000011970000}"/>
    <cellStyle name="Normal 3 38 9 7 3" xfId="38683" xr:uid="{00000000-0005-0000-0000-000012970000}"/>
    <cellStyle name="Normal 3 38 9 8" xfId="38684" xr:uid="{00000000-0005-0000-0000-000013970000}"/>
    <cellStyle name="Normal 3 38 9 8 2" xfId="38685" xr:uid="{00000000-0005-0000-0000-000014970000}"/>
    <cellStyle name="Normal 3 38 9 8 3" xfId="38686" xr:uid="{00000000-0005-0000-0000-000015970000}"/>
    <cellStyle name="Normal 3 38 9 9" xfId="38687" xr:uid="{00000000-0005-0000-0000-000016970000}"/>
    <cellStyle name="Normal 3 38 9 9 2" xfId="38688" xr:uid="{00000000-0005-0000-0000-000017970000}"/>
    <cellStyle name="Normal 3 38 9 9 3" xfId="38689" xr:uid="{00000000-0005-0000-0000-000018970000}"/>
    <cellStyle name="Normal 3 39" xfId="38690" xr:uid="{00000000-0005-0000-0000-000019970000}"/>
    <cellStyle name="Normal 3 4" xfId="38691" xr:uid="{00000000-0005-0000-0000-00001A970000}"/>
    <cellStyle name="Normal 3 4 10" xfId="38692" xr:uid="{00000000-0005-0000-0000-00001B970000}"/>
    <cellStyle name="Normal 3 4 10 10" xfId="38693" xr:uid="{00000000-0005-0000-0000-00001C970000}"/>
    <cellStyle name="Normal 3 4 10 10 10" xfId="38694" xr:uid="{00000000-0005-0000-0000-00001D970000}"/>
    <cellStyle name="Normal 3 4 10 10 10 2" xfId="38695" xr:uid="{00000000-0005-0000-0000-00001E970000}"/>
    <cellStyle name="Normal 3 4 10 10 10 3" xfId="38696" xr:uid="{00000000-0005-0000-0000-00001F970000}"/>
    <cellStyle name="Normal 3 4 10 10 11" xfId="38697" xr:uid="{00000000-0005-0000-0000-000020970000}"/>
    <cellStyle name="Normal 3 4 10 10 11 2" xfId="38698" xr:uid="{00000000-0005-0000-0000-000021970000}"/>
    <cellStyle name="Normal 3 4 10 10 11 3" xfId="38699" xr:uid="{00000000-0005-0000-0000-000022970000}"/>
    <cellStyle name="Normal 3 4 10 10 12" xfId="38700" xr:uid="{00000000-0005-0000-0000-000023970000}"/>
    <cellStyle name="Normal 3 4 10 10 12 2" xfId="38701" xr:uid="{00000000-0005-0000-0000-000024970000}"/>
    <cellStyle name="Normal 3 4 10 10 12 3" xfId="38702" xr:uid="{00000000-0005-0000-0000-000025970000}"/>
    <cellStyle name="Normal 3 4 10 10 13" xfId="38703" xr:uid="{00000000-0005-0000-0000-000026970000}"/>
    <cellStyle name="Normal 3 4 10 10 13 2" xfId="38704" xr:uid="{00000000-0005-0000-0000-000027970000}"/>
    <cellStyle name="Normal 3 4 10 10 13 3" xfId="38705" xr:uid="{00000000-0005-0000-0000-000028970000}"/>
    <cellStyle name="Normal 3 4 10 10 14" xfId="38706" xr:uid="{00000000-0005-0000-0000-000029970000}"/>
    <cellStyle name="Normal 3 4 10 10 14 2" xfId="38707" xr:uid="{00000000-0005-0000-0000-00002A970000}"/>
    <cellStyle name="Normal 3 4 10 10 14 3" xfId="38708" xr:uid="{00000000-0005-0000-0000-00002B970000}"/>
    <cellStyle name="Normal 3 4 10 10 15" xfId="38709" xr:uid="{00000000-0005-0000-0000-00002C970000}"/>
    <cellStyle name="Normal 3 4 10 10 16" xfId="38710" xr:uid="{00000000-0005-0000-0000-00002D970000}"/>
    <cellStyle name="Normal 3 4 10 10 2" xfId="38711" xr:uid="{00000000-0005-0000-0000-00002E970000}"/>
    <cellStyle name="Normal 3 4 10 10 2 2" xfId="38712" xr:uid="{00000000-0005-0000-0000-00002F970000}"/>
    <cellStyle name="Normal 3 4 10 10 2 3" xfId="38713" xr:uid="{00000000-0005-0000-0000-000030970000}"/>
    <cellStyle name="Normal 3 4 10 10 3" xfId="38714" xr:uid="{00000000-0005-0000-0000-000031970000}"/>
    <cellStyle name="Normal 3 4 10 10 3 2" xfId="38715" xr:uid="{00000000-0005-0000-0000-000032970000}"/>
    <cellStyle name="Normal 3 4 10 10 3 3" xfId="38716" xr:uid="{00000000-0005-0000-0000-000033970000}"/>
    <cellStyle name="Normal 3 4 10 10 4" xfId="38717" xr:uid="{00000000-0005-0000-0000-000034970000}"/>
    <cellStyle name="Normal 3 4 10 10 4 2" xfId="38718" xr:uid="{00000000-0005-0000-0000-000035970000}"/>
    <cellStyle name="Normal 3 4 10 10 4 3" xfId="38719" xr:uid="{00000000-0005-0000-0000-000036970000}"/>
    <cellStyle name="Normal 3 4 10 10 5" xfId="38720" xr:uid="{00000000-0005-0000-0000-000037970000}"/>
    <cellStyle name="Normal 3 4 10 10 5 2" xfId="38721" xr:uid="{00000000-0005-0000-0000-000038970000}"/>
    <cellStyle name="Normal 3 4 10 10 5 3" xfId="38722" xr:uid="{00000000-0005-0000-0000-000039970000}"/>
    <cellStyle name="Normal 3 4 10 10 6" xfId="38723" xr:uid="{00000000-0005-0000-0000-00003A970000}"/>
    <cellStyle name="Normal 3 4 10 10 6 2" xfId="38724" xr:uid="{00000000-0005-0000-0000-00003B970000}"/>
    <cellStyle name="Normal 3 4 10 10 6 3" xfId="38725" xr:uid="{00000000-0005-0000-0000-00003C970000}"/>
    <cellStyle name="Normal 3 4 10 10 7" xfId="38726" xr:uid="{00000000-0005-0000-0000-00003D970000}"/>
    <cellStyle name="Normal 3 4 10 10 7 2" xfId="38727" xr:uid="{00000000-0005-0000-0000-00003E970000}"/>
    <cellStyle name="Normal 3 4 10 10 7 3" xfId="38728" xr:uid="{00000000-0005-0000-0000-00003F970000}"/>
    <cellStyle name="Normal 3 4 10 10 8" xfId="38729" xr:uid="{00000000-0005-0000-0000-000040970000}"/>
    <cellStyle name="Normal 3 4 10 10 8 2" xfId="38730" xr:uid="{00000000-0005-0000-0000-000041970000}"/>
    <cellStyle name="Normal 3 4 10 10 8 3" xfId="38731" xr:uid="{00000000-0005-0000-0000-000042970000}"/>
    <cellStyle name="Normal 3 4 10 10 9" xfId="38732" xr:uid="{00000000-0005-0000-0000-000043970000}"/>
    <cellStyle name="Normal 3 4 10 10 9 2" xfId="38733" xr:uid="{00000000-0005-0000-0000-000044970000}"/>
    <cellStyle name="Normal 3 4 10 10 9 3" xfId="38734" xr:uid="{00000000-0005-0000-0000-000045970000}"/>
    <cellStyle name="Normal 3 4 10 11" xfId="38735" xr:uid="{00000000-0005-0000-0000-000046970000}"/>
    <cellStyle name="Normal 3 4 10 11 2" xfId="38736" xr:uid="{00000000-0005-0000-0000-000047970000}"/>
    <cellStyle name="Normal 3 4 10 11 3" xfId="38737" xr:uid="{00000000-0005-0000-0000-000048970000}"/>
    <cellStyle name="Normal 3 4 10 12" xfId="38738" xr:uid="{00000000-0005-0000-0000-000049970000}"/>
    <cellStyle name="Normal 3 4 10 12 2" xfId="38739" xr:uid="{00000000-0005-0000-0000-00004A970000}"/>
    <cellStyle name="Normal 3 4 10 12 3" xfId="38740" xr:uid="{00000000-0005-0000-0000-00004B970000}"/>
    <cellStyle name="Normal 3 4 10 13" xfId="38741" xr:uid="{00000000-0005-0000-0000-00004C970000}"/>
    <cellStyle name="Normal 3 4 10 13 2" xfId="38742" xr:uid="{00000000-0005-0000-0000-00004D970000}"/>
    <cellStyle name="Normal 3 4 10 13 3" xfId="38743" xr:uid="{00000000-0005-0000-0000-00004E970000}"/>
    <cellStyle name="Normal 3 4 10 14" xfId="38744" xr:uid="{00000000-0005-0000-0000-00004F970000}"/>
    <cellStyle name="Normal 3 4 10 14 2" xfId="38745" xr:uid="{00000000-0005-0000-0000-000050970000}"/>
    <cellStyle name="Normal 3 4 10 14 3" xfId="38746" xr:uid="{00000000-0005-0000-0000-000051970000}"/>
    <cellStyle name="Normal 3 4 10 15" xfId="38747" xr:uid="{00000000-0005-0000-0000-000052970000}"/>
    <cellStyle name="Normal 3 4 10 15 2" xfId="38748" xr:uid="{00000000-0005-0000-0000-000053970000}"/>
    <cellStyle name="Normal 3 4 10 15 3" xfId="38749" xr:uid="{00000000-0005-0000-0000-000054970000}"/>
    <cellStyle name="Normal 3 4 10 16" xfId="38750" xr:uid="{00000000-0005-0000-0000-000055970000}"/>
    <cellStyle name="Normal 3 4 10 16 2" xfId="38751" xr:uid="{00000000-0005-0000-0000-000056970000}"/>
    <cellStyle name="Normal 3 4 10 16 3" xfId="38752" xr:uid="{00000000-0005-0000-0000-000057970000}"/>
    <cellStyle name="Normal 3 4 10 17" xfId="38753" xr:uid="{00000000-0005-0000-0000-000058970000}"/>
    <cellStyle name="Normal 3 4 10 17 2" xfId="38754" xr:uid="{00000000-0005-0000-0000-000059970000}"/>
    <cellStyle name="Normal 3 4 10 17 3" xfId="38755" xr:uid="{00000000-0005-0000-0000-00005A970000}"/>
    <cellStyle name="Normal 3 4 10 18" xfId="38756" xr:uid="{00000000-0005-0000-0000-00005B970000}"/>
    <cellStyle name="Normal 3 4 10 18 2" xfId="38757" xr:uid="{00000000-0005-0000-0000-00005C970000}"/>
    <cellStyle name="Normal 3 4 10 18 3" xfId="38758" xr:uid="{00000000-0005-0000-0000-00005D970000}"/>
    <cellStyle name="Normal 3 4 10 19" xfId="38759" xr:uid="{00000000-0005-0000-0000-00005E970000}"/>
    <cellStyle name="Normal 3 4 10 19 2" xfId="38760" xr:uid="{00000000-0005-0000-0000-00005F970000}"/>
    <cellStyle name="Normal 3 4 10 19 3" xfId="38761" xr:uid="{00000000-0005-0000-0000-000060970000}"/>
    <cellStyle name="Normal 3 4 10 2" xfId="38762" xr:uid="{00000000-0005-0000-0000-000061970000}"/>
    <cellStyle name="Normal 3 4 10 2 10" xfId="38763" xr:uid="{00000000-0005-0000-0000-000062970000}"/>
    <cellStyle name="Normal 3 4 10 2 10 2" xfId="38764" xr:uid="{00000000-0005-0000-0000-000063970000}"/>
    <cellStyle name="Normal 3 4 10 2 10 3" xfId="38765" xr:uid="{00000000-0005-0000-0000-000064970000}"/>
    <cellStyle name="Normal 3 4 10 2 11" xfId="38766" xr:uid="{00000000-0005-0000-0000-000065970000}"/>
    <cellStyle name="Normal 3 4 10 2 11 2" xfId="38767" xr:uid="{00000000-0005-0000-0000-000066970000}"/>
    <cellStyle name="Normal 3 4 10 2 11 3" xfId="38768" xr:uid="{00000000-0005-0000-0000-000067970000}"/>
    <cellStyle name="Normal 3 4 10 2 12" xfId="38769" xr:uid="{00000000-0005-0000-0000-000068970000}"/>
    <cellStyle name="Normal 3 4 10 2 12 2" xfId="38770" xr:uid="{00000000-0005-0000-0000-000069970000}"/>
    <cellStyle name="Normal 3 4 10 2 12 3" xfId="38771" xr:uid="{00000000-0005-0000-0000-00006A970000}"/>
    <cellStyle name="Normal 3 4 10 2 13" xfId="38772" xr:uid="{00000000-0005-0000-0000-00006B970000}"/>
    <cellStyle name="Normal 3 4 10 2 13 2" xfId="38773" xr:uid="{00000000-0005-0000-0000-00006C970000}"/>
    <cellStyle name="Normal 3 4 10 2 13 3" xfId="38774" xr:uid="{00000000-0005-0000-0000-00006D970000}"/>
    <cellStyle name="Normal 3 4 10 2 14" xfId="38775" xr:uid="{00000000-0005-0000-0000-00006E970000}"/>
    <cellStyle name="Normal 3 4 10 2 14 2" xfId="38776" xr:uid="{00000000-0005-0000-0000-00006F970000}"/>
    <cellStyle name="Normal 3 4 10 2 14 3" xfId="38777" xr:uid="{00000000-0005-0000-0000-000070970000}"/>
    <cellStyle name="Normal 3 4 10 2 15" xfId="38778" xr:uid="{00000000-0005-0000-0000-000071970000}"/>
    <cellStyle name="Normal 3 4 10 2 15 2" xfId="38779" xr:uid="{00000000-0005-0000-0000-000072970000}"/>
    <cellStyle name="Normal 3 4 10 2 15 3" xfId="38780" xr:uid="{00000000-0005-0000-0000-000073970000}"/>
    <cellStyle name="Normal 3 4 10 2 16" xfId="38781" xr:uid="{00000000-0005-0000-0000-000074970000}"/>
    <cellStyle name="Normal 3 4 10 2 17" xfId="38782" xr:uid="{00000000-0005-0000-0000-000075970000}"/>
    <cellStyle name="Normal 3 4 10 2 2" xfId="38783" xr:uid="{00000000-0005-0000-0000-000076970000}"/>
    <cellStyle name="Normal 3 4 10 2 2 10" xfId="38784" xr:uid="{00000000-0005-0000-0000-000077970000}"/>
    <cellStyle name="Normal 3 4 10 2 2 10 2" xfId="38785" xr:uid="{00000000-0005-0000-0000-000078970000}"/>
    <cellStyle name="Normal 3 4 10 2 2 10 3" xfId="38786" xr:uid="{00000000-0005-0000-0000-000079970000}"/>
    <cellStyle name="Normal 3 4 10 2 2 11" xfId="38787" xr:uid="{00000000-0005-0000-0000-00007A970000}"/>
    <cellStyle name="Normal 3 4 10 2 2 11 2" xfId="38788" xr:uid="{00000000-0005-0000-0000-00007B970000}"/>
    <cellStyle name="Normal 3 4 10 2 2 11 3" xfId="38789" xr:uid="{00000000-0005-0000-0000-00007C970000}"/>
    <cellStyle name="Normal 3 4 10 2 2 12" xfId="38790" xr:uid="{00000000-0005-0000-0000-00007D970000}"/>
    <cellStyle name="Normal 3 4 10 2 2 12 2" xfId="38791" xr:uid="{00000000-0005-0000-0000-00007E970000}"/>
    <cellStyle name="Normal 3 4 10 2 2 12 3" xfId="38792" xr:uid="{00000000-0005-0000-0000-00007F970000}"/>
    <cellStyle name="Normal 3 4 10 2 2 13" xfId="38793" xr:uid="{00000000-0005-0000-0000-000080970000}"/>
    <cellStyle name="Normal 3 4 10 2 2 13 2" xfId="38794" xr:uid="{00000000-0005-0000-0000-000081970000}"/>
    <cellStyle name="Normal 3 4 10 2 2 13 3" xfId="38795" xr:uid="{00000000-0005-0000-0000-000082970000}"/>
    <cellStyle name="Normal 3 4 10 2 2 14" xfId="38796" xr:uid="{00000000-0005-0000-0000-000083970000}"/>
    <cellStyle name="Normal 3 4 10 2 2 14 2" xfId="38797" xr:uid="{00000000-0005-0000-0000-000084970000}"/>
    <cellStyle name="Normal 3 4 10 2 2 14 3" xfId="38798" xr:uid="{00000000-0005-0000-0000-000085970000}"/>
    <cellStyle name="Normal 3 4 10 2 2 15" xfId="38799" xr:uid="{00000000-0005-0000-0000-000086970000}"/>
    <cellStyle name="Normal 3 4 10 2 2 16" xfId="38800" xr:uid="{00000000-0005-0000-0000-000087970000}"/>
    <cellStyle name="Normal 3 4 10 2 2 2" xfId="38801" xr:uid="{00000000-0005-0000-0000-000088970000}"/>
    <cellStyle name="Normal 3 4 10 2 2 2 2" xfId="38802" xr:uid="{00000000-0005-0000-0000-000089970000}"/>
    <cellStyle name="Normal 3 4 10 2 2 2 3" xfId="38803" xr:uid="{00000000-0005-0000-0000-00008A970000}"/>
    <cellStyle name="Normal 3 4 10 2 2 3" xfId="38804" xr:uid="{00000000-0005-0000-0000-00008B970000}"/>
    <cellStyle name="Normal 3 4 10 2 2 3 2" xfId="38805" xr:uid="{00000000-0005-0000-0000-00008C970000}"/>
    <cellStyle name="Normal 3 4 10 2 2 3 3" xfId="38806" xr:uid="{00000000-0005-0000-0000-00008D970000}"/>
    <cellStyle name="Normal 3 4 10 2 2 4" xfId="38807" xr:uid="{00000000-0005-0000-0000-00008E970000}"/>
    <cellStyle name="Normal 3 4 10 2 2 4 2" xfId="38808" xr:uid="{00000000-0005-0000-0000-00008F970000}"/>
    <cellStyle name="Normal 3 4 10 2 2 4 3" xfId="38809" xr:uid="{00000000-0005-0000-0000-000090970000}"/>
    <cellStyle name="Normal 3 4 10 2 2 5" xfId="38810" xr:uid="{00000000-0005-0000-0000-000091970000}"/>
    <cellStyle name="Normal 3 4 10 2 2 5 2" xfId="38811" xr:uid="{00000000-0005-0000-0000-000092970000}"/>
    <cellStyle name="Normal 3 4 10 2 2 5 3" xfId="38812" xr:uid="{00000000-0005-0000-0000-000093970000}"/>
    <cellStyle name="Normal 3 4 10 2 2 6" xfId="38813" xr:uid="{00000000-0005-0000-0000-000094970000}"/>
    <cellStyle name="Normal 3 4 10 2 2 6 2" xfId="38814" xr:uid="{00000000-0005-0000-0000-000095970000}"/>
    <cellStyle name="Normal 3 4 10 2 2 6 3" xfId="38815" xr:uid="{00000000-0005-0000-0000-000096970000}"/>
    <cellStyle name="Normal 3 4 10 2 2 7" xfId="38816" xr:uid="{00000000-0005-0000-0000-000097970000}"/>
    <cellStyle name="Normal 3 4 10 2 2 7 2" xfId="38817" xr:uid="{00000000-0005-0000-0000-000098970000}"/>
    <cellStyle name="Normal 3 4 10 2 2 7 3" xfId="38818" xr:uid="{00000000-0005-0000-0000-000099970000}"/>
    <cellStyle name="Normal 3 4 10 2 2 8" xfId="38819" xr:uid="{00000000-0005-0000-0000-00009A970000}"/>
    <cellStyle name="Normal 3 4 10 2 2 8 2" xfId="38820" xr:uid="{00000000-0005-0000-0000-00009B970000}"/>
    <cellStyle name="Normal 3 4 10 2 2 8 3" xfId="38821" xr:uid="{00000000-0005-0000-0000-00009C970000}"/>
    <cellStyle name="Normal 3 4 10 2 2 9" xfId="38822" xr:uid="{00000000-0005-0000-0000-00009D970000}"/>
    <cellStyle name="Normal 3 4 10 2 2 9 2" xfId="38823" xr:uid="{00000000-0005-0000-0000-00009E970000}"/>
    <cellStyle name="Normal 3 4 10 2 2 9 3" xfId="38824" xr:uid="{00000000-0005-0000-0000-00009F970000}"/>
    <cellStyle name="Normal 3 4 10 2 3" xfId="38825" xr:uid="{00000000-0005-0000-0000-0000A0970000}"/>
    <cellStyle name="Normal 3 4 10 2 3 2" xfId="38826" xr:uid="{00000000-0005-0000-0000-0000A1970000}"/>
    <cellStyle name="Normal 3 4 10 2 3 3" xfId="38827" xr:uid="{00000000-0005-0000-0000-0000A2970000}"/>
    <cellStyle name="Normal 3 4 10 2 4" xfId="38828" xr:uid="{00000000-0005-0000-0000-0000A3970000}"/>
    <cellStyle name="Normal 3 4 10 2 4 2" xfId="38829" xr:uid="{00000000-0005-0000-0000-0000A4970000}"/>
    <cellStyle name="Normal 3 4 10 2 4 3" xfId="38830" xr:uid="{00000000-0005-0000-0000-0000A5970000}"/>
    <cellStyle name="Normal 3 4 10 2 5" xfId="38831" xr:uid="{00000000-0005-0000-0000-0000A6970000}"/>
    <cellStyle name="Normal 3 4 10 2 5 2" xfId="38832" xr:uid="{00000000-0005-0000-0000-0000A7970000}"/>
    <cellStyle name="Normal 3 4 10 2 5 3" xfId="38833" xr:uid="{00000000-0005-0000-0000-0000A8970000}"/>
    <cellStyle name="Normal 3 4 10 2 6" xfId="38834" xr:uid="{00000000-0005-0000-0000-0000A9970000}"/>
    <cellStyle name="Normal 3 4 10 2 6 2" xfId="38835" xr:uid="{00000000-0005-0000-0000-0000AA970000}"/>
    <cellStyle name="Normal 3 4 10 2 6 3" xfId="38836" xr:uid="{00000000-0005-0000-0000-0000AB970000}"/>
    <cellStyle name="Normal 3 4 10 2 7" xfId="38837" xr:uid="{00000000-0005-0000-0000-0000AC970000}"/>
    <cellStyle name="Normal 3 4 10 2 7 2" xfId="38838" xr:uid="{00000000-0005-0000-0000-0000AD970000}"/>
    <cellStyle name="Normal 3 4 10 2 7 3" xfId="38839" xr:uid="{00000000-0005-0000-0000-0000AE970000}"/>
    <cellStyle name="Normal 3 4 10 2 8" xfId="38840" xr:uid="{00000000-0005-0000-0000-0000AF970000}"/>
    <cellStyle name="Normal 3 4 10 2 8 2" xfId="38841" xr:uid="{00000000-0005-0000-0000-0000B0970000}"/>
    <cellStyle name="Normal 3 4 10 2 8 3" xfId="38842" xr:uid="{00000000-0005-0000-0000-0000B1970000}"/>
    <cellStyle name="Normal 3 4 10 2 9" xfId="38843" xr:uid="{00000000-0005-0000-0000-0000B2970000}"/>
    <cellStyle name="Normal 3 4 10 2 9 2" xfId="38844" xr:uid="{00000000-0005-0000-0000-0000B3970000}"/>
    <cellStyle name="Normal 3 4 10 2 9 3" xfId="38845" xr:uid="{00000000-0005-0000-0000-0000B4970000}"/>
    <cellStyle name="Normal 3 4 10 20" xfId="38846" xr:uid="{00000000-0005-0000-0000-0000B5970000}"/>
    <cellStyle name="Normal 3 4 10 20 2" xfId="38847" xr:uid="{00000000-0005-0000-0000-0000B6970000}"/>
    <cellStyle name="Normal 3 4 10 20 3" xfId="38848" xr:uid="{00000000-0005-0000-0000-0000B7970000}"/>
    <cellStyle name="Normal 3 4 10 21" xfId="38849" xr:uid="{00000000-0005-0000-0000-0000B8970000}"/>
    <cellStyle name="Normal 3 4 10 21 2" xfId="38850" xr:uid="{00000000-0005-0000-0000-0000B9970000}"/>
    <cellStyle name="Normal 3 4 10 21 3" xfId="38851" xr:uid="{00000000-0005-0000-0000-0000BA970000}"/>
    <cellStyle name="Normal 3 4 10 22" xfId="38852" xr:uid="{00000000-0005-0000-0000-0000BB970000}"/>
    <cellStyle name="Normal 3 4 10 22 2" xfId="38853" xr:uid="{00000000-0005-0000-0000-0000BC970000}"/>
    <cellStyle name="Normal 3 4 10 22 3" xfId="38854" xr:uid="{00000000-0005-0000-0000-0000BD970000}"/>
    <cellStyle name="Normal 3 4 10 23" xfId="38855" xr:uid="{00000000-0005-0000-0000-0000BE970000}"/>
    <cellStyle name="Normal 3 4 10 23 2" xfId="38856" xr:uid="{00000000-0005-0000-0000-0000BF970000}"/>
    <cellStyle name="Normal 3 4 10 23 3" xfId="38857" xr:uid="{00000000-0005-0000-0000-0000C0970000}"/>
    <cellStyle name="Normal 3 4 10 24" xfId="38858" xr:uid="{00000000-0005-0000-0000-0000C1970000}"/>
    <cellStyle name="Normal 3 4 10 25" xfId="38859" xr:uid="{00000000-0005-0000-0000-0000C2970000}"/>
    <cellStyle name="Normal 3 4 10 3" xfId="38860" xr:uid="{00000000-0005-0000-0000-0000C3970000}"/>
    <cellStyle name="Normal 3 4 10 3 10" xfId="38861" xr:uid="{00000000-0005-0000-0000-0000C4970000}"/>
    <cellStyle name="Normal 3 4 10 3 10 2" xfId="38862" xr:uid="{00000000-0005-0000-0000-0000C5970000}"/>
    <cellStyle name="Normal 3 4 10 3 10 3" xfId="38863" xr:uid="{00000000-0005-0000-0000-0000C6970000}"/>
    <cellStyle name="Normal 3 4 10 3 11" xfId="38864" xr:uid="{00000000-0005-0000-0000-0000C7970000}"/>
    <cellStyle name="Normal 3 4 10 3 11 2" xfId="38865" xr:uid="{00000000-0005-0000-0000-0000C8970000}"/>
    <cellStyle name="Normal 3 4 10 3 11 3" xfId="38866" xr:uid="{00000000-0005-0000-0000-0000C9970000}"/>
    <cellStyle name="Normal 3 4 10 3 12" xfId="38867" xr:uid="{00000000-0005-0000-0000-0000CA970000}"/>
    <cellStyle name="Normal 3 4 10 3 12 2" xfId="38868" xr:uid="{00000000-0005-0000-0000-0000CB970000}"/>
    <cellStyle name="Normal 3 4 10 3 12 3" xfId="38869" xr:uid="{00000000-0005-0000-0000-0000CC970000}"/>
    <cellStyle name="Normal 3 4 10 3 13" xfId="38870" xr:uid="{00000000-0005-0000-0000-0000CD970000}"/>
    <cellStyle name="Normal 3 4 10 3 13 2" xfId="38871" xr:uid="{00000000-0005-0000-0000-0000CE970000}"/>
    <cellStyle name="Normal 3 4 10 3 13 3" xfId="38872" xr:uid="{00000000-0005-0000-0000-0000CF970000}"/>
    <cellStyle name="Normal 3 4 10 3 14" xfId="38873" xr:uid="{00000000-0005-0000-0000-0000D0970000}"/>
    <cellStyle name="Normal 3 4 10 3 14 2" xfId="38874" xr:uid="{00000000-0005-0000-0000-0000D1970000}"/>
    <cellStyle name="Normal 3 4 10 3 14 3" xfId="38875" xr:uid="{00000000-0005-0000-0000-0000D2970000}"/>
    <cellStyle name="Normal 3 4 10 3 15" xfId="38876" xr:uid="{00000000-0005-0000-0000-0000D3970000}"/>
    <cellStyle name="Normal 3 4 10 3 15 2" xfId="38877" xr:uid="{00000000-0005-0000-0000-0000D4970000}"/>
    <cellStyle name="Normal 3 4 10 3 15 3" xfId="38878" xr:uid="{00000000-0005-0000-0000-0000D5970000}"/>
    <cellStyle name="Normal 3 4 10 3 16" xfId="38879" xr:uid="{00000000-0005-0000-0000-0000D6970000}"/>
    <cellStyle name="Normal 3 4 10 3 17" xfId="38880" xr:uid="{00000000-0005-0000-0000-0000D7970000}"/>
    <cellStyle name="Normal 3 4 10 3 2" xfId="38881" xr:uid="{00000000-0005-0000-0000-0000D8970000}"/>
    <cellStyle name="Normal 3 4 10 3 2 10" xfId="38882" xr:uid="{00000000-0005-0000-0000-0000D9970000}"/>
    <cellStyle name="Normal 3 4 10 3 2 10 2" xfId="38883" xr:uid="{00000000-0005-0000-0000-0000DA970000}"/>
    <cellStyle name="Normal 3 4 10 3 2 10 3" xfId="38884" xr:uid="{00000000-0005-0000-0000-0000DB970000}"/>
    <cellStyle name="Normal 3 4 10 3 2 11" xfId="38885" xr:uid="{00000000-0005-0000-0000-0000DC970000}"/>
    <cellStyle name="Normal 3 4 10 3 2 11 2" xfId="38886" xr:uid="{00000000-0005-0000-0000-0000DD970000}"/>
    <cellStyle name="Normal 3 4 10 3 2 11 3" xfId="38887" xr:uid="{00000000-0005-0000-0000-0000DE970000}"/>
    <cellStyle name="Normal 3 4 10 3 2 12" xfId="38888" xr:uid="{00000000-0005-0000-0000-0000DF970000}"/>
    <cellStyle name="Normal 3 4 10 3 2 12 2" xfId="38889" xr:uid="{00000000-0005-0000-0000-0000E0970000}"/>
    <cellStyle name="Normal 3 4 10 3 2 12 3" xfId="38890" xr:uid="{00000000-0005-0000-0000-0000E1970000}"/>
    <cellStyle name="Normal 3 4 10 3 2 13" xfId="38891" xr:uid="{00000000-0005-0000-0000-0000E2970000}"/>
    <cellStyle name="Normal 3 4 10 3 2 13 2" xfId="38892" xr:uid="{00000000-0005-0000-0000-0000E3970000}"/>
    <cellStyle name="Normal 3 4 10 3 2 13 3" xfId="38893" xr:uid="{00000000-0005-0000-0000-0000E4970000}"/>
    <cellStyle name="Normal 3 4 10 3 2 14" xfId="38894" xr:uid="{00000000-0005-0000-0000-0000E5970000}"/>
    <cellStyle name="Normal 3 4 10 3 2 14 2" xfId="38895" xr:uid="{00000000-0005-0000-0000-0000E6970000}"/>
    <cellStyle name="Normal 3 4 10 3 2 14 3" xfId="38896" xr:uid="{00000000-0005-0000-0000-0000E7970000}"/>
    <cellStyle name="Normal 3 4 10 3 2 15" xfId="38897" xr:uid="{00000000-0005-0000-0000-0000E8970000}"/>
    <cellStyle name="Normal 3 4 10 3 2 16" xfId="38898" xr:uid="{00000000-0005-0000-0000-0000E9970000}"/>
    <cellStyle name="Normal 3 4 10 3 2 2" xfId="38899" xr:uid="{00000000-0005-0000-0000-0000EA970000}"/>
    <cellStyle name="Normal 3 4 10 3 2 2 2" xfId="38900" xr:uid="{00000000-0005-0000-0000-0000EB970000}"/>
    <cellStyle name="Normal 3 4 10 3 2 2 3" xfId="38901" xr:uid="{00000000-0005-0000-0000-0000EC970000}"/>
    <cellStyle name="Normal 3 4 10 3 2 3" xfId="38902" xr:uid="{00000000-0005-0000-0000-0000ED970000}"/>
    <cellStyle name="Normal 3 4 10 3 2 3 2" xfId="38903" xr:uid="{00000000-0005-0000-0000-0000EE970000}"/>
    <cellStyle name="Normal 3 4 10 3 2 3 3" xfId="38904" xr:uid="{00000000-0005-0000-0000-0000EF970000}"/>
    <cellStyle name="Normal 3 4 10 3 2 4" xfId="38905" xr:uid="{00000000-0005-0000-0000-0000F0970000}"/>
    <cellStyle name="Normal 3 4 10 3 2 4 2" xfId="38906" xr:uid="{00000000-0005-0000-0000-0000F1970000}"/>
    <cellStyle name="Normal 3 4 10 3 2 4 3" xfId="38907" xr:uid="{00000000-0005-0000-0000-0000F2970000}"/>
    <cellStyle name="Normal 3 4 10 3 2 5" xfId="38908" xr:uid="{00000000-0005-0000-0000-0000F3970000}"/>
    <cellStyle name="Normal 3 4 10 3 2 5 2" xfId="38909" xr:uid="{00000000-0005-0000-0000-0000F4970000}"/>
    <cellStyle name="Normal 3 4 10 3 2 5 3" xfId="38910" xr:uid="{00000000-0005-0000-0000-0000F5970000}"/>
    <cellStyle name="Normal 3 4 10 3 2 6" xfId="38911" xr:uid="{00000000-0005-0000-0000-0000F6970000}"/>
    <cellStyle name="Normal 3 4 10 3 2 6 2" xfId="38912" xr:uid="{00000000-0005-0000-0000-0000F7970000}"/>
    <cellStyle name="Normal 3 4 10 3 2 6 3" xfId="38913" xr:uid="{00000000-0005-0000-0000-0000F8970000}"/>
    <cellStyle name="Normal 3 4 10 3 2 7" xfId="38914" xr:uid="{00000000-0005-0000-0000-0000F9970000}"/>
    <cellStyle name="Normal 3 4 10 3 2 7 2" xfId="38915" xr:uid="{00000000-0005-0000-0000-0000FA970000}"/>
    <cellStyle name="Normal 3 4 10 3 2 7 3" xfId="38916" xr:uid="{00000000-0005-0000-0000-0000FB970000}"/>
    <cellStyle name="Normal 3 4 10 3 2 8" xfId="38917" xr:uid="{00000000-0005-0000-0000-0000FC970000}"/>
    <cellStyle name="Normal 3 4 10 3 2 8 2" xfId="38918" xr:uid="{00000000-0005-0000-0000-0000FD970000}"/>
    <cellStyle name="Normal 3 4 10 3 2 8 3" xfId="38919" xr:uid="{00000000-0005-0000-0000-0000FE970000}"/>
    <cellStyle name="Normal 3 4 10 3 2 9" xfId="38920" xr:uid="{00000000-0005-0000-0000-0000FF970000}"/>
    <cellStyle name="Normal 3 4 10 3 2 9 2" xfId="38921" xr:uid="{00000000-0005-0000-0000-000000980000}"/>
    <cellStyle name="Normal 3 4 10 3 2 9 3" xfId="38922" xr:uid="{00000000-0005-0000-0000-000001980000}"/>
    <cellStyle name="Normal 3 4 10 3 3" xfId="38923" xr:uid="{00000000-0005-0000-0000-000002980000}"/>
    <cellStyle name="Normal 3 4 10 3 3 2" xfId="38924" xr:uid="{00000000-0005-0000-0000-000003980000}"/>
    <cellStyle name="Normal 3 4 10 3 3 3" xfId="38925" xr:uid="{00000000-0005-0000-0000-000004980000}"/>
    <cellStyle name="Normal 3 4 10 3 4" xfId="38926" xr:uid="{00000000-0005-0000-0000-000005980000}"/>
    <cellStyle name="Normal 3 4 10 3 4 2" xfId="38927" xr:uid="{00000000-0005-0000-0000-000006980000}"/>
    <cellStyle name="Normal 3 4 10 3 4 3" xfId="38928" xr:uid="{00000000-0005-0000-0000-000007980000}"/>
    <cellStyle name="Normal 3 4 10 3 5" xfId="38929" xr:uid="{00000000-0005-0000-0000-000008980000}"/>
    <cellStyle name="Normal 3 4 10 3 5 2" xfId="38930" xr:uid="{00000000-0005-0000-0000-000009980000}"/>
    <cellStyle name="Normal 3 4 10 3 5 3" xfId="38931" xr:uid="{00000000-0005-0000-0000-00000A980000}"/>
    <cellStyle name="Normal 3 4 10 3 6" xfId="38932" xr:uid="{00000000-0005-0000-0000-00000B980000}"/>
    <cellStyle name="Normal 3 4 10 3 6 2" xfId="38933" xr:uid="{00000000-0005-0000-0000-00000C980000}"/>
    <cellStyle name="Normal 3 4 10 3 6 3" xfId="38934" xr:uid="{00000000-0005-0000-0000-00000D980000}"/>
    <cellStyle name="Normal 3 4 10 3 7" xfId="38935" xr:uid="{00000000-0005-0000-0000-00000E980000}"/>
    <cellStyle name="Normal 3 4 10 3 7 2" xfId="38936" xr:uid="{00000000-0005-0000-0000-00000F980000}"/>
    <cellStyle name="Normal 3 4 10 3 7 3" xfId="38937" xr:uid="{00000000-0005-0000-0000-000010980000}"/>
    <cellStyle name="Normal 3 4 10 3 8" xfId="38938" xr:uid="{00000000-0005-0000-0000-000011980000}"/>
    <cellStyle name="Normal 3 4 10 3 8 2" xfId="38939" xr:uid="{00000000-0005-0000-0000-000012980000}"/>
    <cellStyle name="Normal 3 4 10 3 8 3" xfId="38940" xr:uid="{00000000-0005-0000-0000-000013980000}"/>
    <cellStyle name="Normal 3 4 10 3 9" xfId="38941" xr:uid="{00000000-0005-0000-0000-000014980000}"/>
    <cellStyle name="Normal 3 4 10 3 9 2" xfId="38942" xr:uid="{00000000-0005-0000-0000-000015980000}"/>
    <cellStyle name="Normal 3 4 10 3 9 3" xfId="38943" xr:uid="{00000000-0005-0000-0000-000016980000}"/>
    <cellStyle name="Normal 3 4 10 4" xfId="38944" xr:uid="{00000000-0005-0000-0000-000017980000}"/>
    <cellStyle name="Normal 3 4 10 4 10" xfId="38945" xr:uid="{00000000-0005-0000-0000-000018980000}"/>
    <cellStyle name="Normal 3 4 10 4 10 2" xfId="38946" xr:uid="{00000000-0005-0000-0000-000019980000}"/>
    <cellStyle name="Normal 3 4 10 4 10 3" xfId="38947" xr:uid="{00000000-0005-0000-0000-00001A980000}"/>
    <cellStyle name="Normal 3 4 10 4 11" xfId="38948" xr:uid="{00000000-0005-0000-0000-00001B980000}"/>
    <cellStyle name="Normal 3 4 10 4 11 2" xfId="38949" xr:uid="{00000000-0005-0000-0000-00001C980000}"/>
    <cellStyle name="Normal 3 4 10 4 11 3" xfId="38950" xr:uid="{00000000-0005-0000-0000-00001D980000}"/>
    <cellStyle name="Normal 3 4 10 4 12" xfId="38951" xr:uid="{00000000-0005-0000-0000-00001E980000}"/>
    <cellStyle name="Normal 3 4 10 4 12 2" xfId="38952" xr:uid="{00000000-0005-0000-0000-00001F980000}"/>
    <cellStyle name="Normal 3 4 10 4 12 3" xfId="38953" xr:uid="{00000000-0005-0000-0000-000020980000}"/>
    <cellStyle name="Normal 3 4 10 4 13" xfId="38954" xr:uid="{00000000-0005-0000-0000-000021980000}"/>
    <cellStyle name="Normal 3 4 10 4 13 2" xfId="38955" xr:uid="{00000000-0005-0000-0000-000022980000}"/>
    <cellStyle name="Normal 3 4 10 4 13 3" xfId="38956" xr:uid="{00000000-0005-0000-0000-000023980000}"/>
    <cellStyle name="Normal 3 4 10 4 14" xfId="38957" xr:uid="{00000000-0005-0000-0000-000024980000}"/>
    <cellStyle name="Normal 3 4 10 4 14 2" xfId="38958" xr:uid="{00000000-0005-0000-0000-000025980000}"/>
    <cellStyle name="Normal 3 4 10 4 14 3" xfId="38959" xr:uid="{00000000-0005-0000-0000-000026980000}"/>
    <cellStyle name="Normal 3 4 10 4 15" xfId="38960" xr:uid="{00000000-0005-0000-0000-000027980000}"/>
    <cellStyle name="Normal 3 4 10 4 15 2" xfId="38961" xr:uid="{00000000-0005-0000-0000-000028980000}"/>
    <cellStyle name="Normal 3 4 10 4 15 3" xfId="38962" xr:uid="{00000000-0005-0000-0000-000029980000}"/>
    <cellStyle name="Normal 3 4 10 4 16" xfId="38963" xr:uid="{00000000-0005-0000-0000-00002A980000}"/>
    <cellStyle name="Normal 3 4 10 4 17" xfId="38964" xr:uid="{00000000-0005-0000-0000-00002B980000}"/>
    <cellStyle name="Normal 3 4 10 4 2" xfId="38965" xr:uid="{00000000-0005-0000-0000-00002C980000}"/>
    <cellStyle name="Normal 3 4 10 4 2 10" xfId="38966" xr:uid="{00000000-0005-0000-0000-00002D980000}"/>
    <cellStyle name="Normal 3 4 10 4 2 10 2" xfId="38967" xr:uid="{00000000-0005-0000-0000-00002E980000}"/>
    <cellStyle name="Normal 3 4 10 4 2 10 3" xfId="38968" xr:uid="{00000000-0005-0000-0000-00002F980000}"/>
    <cellStyle name="Normal 3 4 10 4 2 11" xfId="38969" xr:uid="{00000000-0005-0000-0000-000030980000}"/>
    <cellStyle name="Normal 3 4 10 4 2 11 2" xfId="38970" xr:uid="{00000000-0005-0000-0000-000031980000}"/>
    <cellStyle name="Normal 3 4 10 4 2 11 3" xfId="38971" xr:uid="{00000000-0005-0000-0000-000032980000}"/>
    <cellStyle name="Normal 3 4 10 4 2 12" xfId="38972" xr:uid="{00000000-0005-0000-0000-000033980000}"/>
    <cellStyle name="Normal 3 4 10 4 2 12 2" xfId="38973" xr:uid="{00000000-0005-0000-0000-000034980000}"/>
    <cellStyle name="Normal 3 4 10 4 2 12 3" xfId="38974" xr:uid="{00000000-0005-0000-0000-000035980000}"/>
    <cellStyle name="Normal 3 4 10 4 2 13" xfId="38975" xr:uid="{00000000-0005-0000-0000-000036980000}"/>
    <cellStyle name="Normal 3 4 10 4 2 13 2" xfId="38976" xr:uid="{00000000-0005-0000-0000-000037980000}"/>
    <cellStyle name="Normal 3 4 10 4 2 13 3" xfId="38977" xr:uid="{00000000-0005-0000-0000-000038980000}"/>
    <cellStyle name="Normal 3 4 10 4 2 14" xfId="38978" xr:uid="{00000000-0005-0000-0000-000039980000}"/>
    <cellStyle name="Normal 3 4 10 4 2 14 2" xfId="38979" xr:uid="{00000000-0005-0000-0000-00003A980000}"/>
    <cellStyle name="Normal 3 4 10 4 2 14 3" xfId="38980" xr:uid="{00000000-0005-0000-0000-00003B980000}"/>
    <cellStyle name="Normal 3 4 10 4 2 15" xfId="38981" xr:uid="{00000000-0005-0000-0000-00003C980000}"/>
    <cellStyle name="Normal 3 4 10 4 2 16" xfId="38982" xr:uid="{00000000-0005-0000-0000-00003D980000}"/>
    <cellStyle name="Normal 3 4 10 4 2 2" xfId="38983" xr:uid="{00000000-0005-0000-0000-00003E980000}"/>
    <cellStyle name="Normal 3 4 10 4 2 2 2" xfId="38984" xr:uid="{00000000-0005-0000-0000-00003F980000}"/>
    <cellStyle name="Normal 3 4 10 4 2 2 3" xfId="38985" xr:uid="{00000000-0005-0000-0000-000040980000}"/>
    <cellStyle name="Normal 3 4 10 4 2 3" xfId="38986" xr:uid="{00000000-0005-0000-0000-000041980000}"/>
    <cellStyle name="Normal 3 4 10 4 2 3 2" xfId="38987" xr:uid="{00000000-0005-0000-0000-000042980000}"/>
    <cellStyle name="Normal 3 4 10 4 2 3 3" xfId="38988" xr:uid="{00000000-0005-0000-0000-000043980000}"/>
    <cellStyle name="Normal 3 4 10 4 2 4" xfId="38989" xr:uid="{00000000-0005-0000-0000-000044980000}"/>
    <cellStyle name="Normal 3 4 10 4 2 4 2" xfId="38990" xr:uid="{00000000-0005-0000-0000-000045980000}"/>
    <cellStyle name="Normal 3 4 10 4 2 4 3" xfId="38991" xr:uid="{00000000-0005-0000-0000-000046980000}"/>
    <cellStyle name="Normal 3 4 10 4 2 5" xfId="38992" xr:uid="{00000000-0005-0000-0000-000047980000}"/>
    <cellStyle name="Normal 3 4 10 4 2 5 2" xfId="38993" xr:uid="{00000000-0005-0000-0000-000048980000}"/>
    <cellStyle name="Normal 3 4 10 4 2 5 3" xfId="38994" xr:uid="{00000000-0005-0000-0000-000049980000}"/>
    <cellStyle name="Normal 3 4 10 4 2 6" xfId="38995" xr:uid="{00000000-0005-0000-0000-00004A980000}"/>
    <cellStyle name="Normal 3 4 10 4 2 6 2" xfId="38996" xr:uid="{00000000-0005-0000-0000-00004B980000}"/>
    <cellStyle name="Normal 3 4 10 4 2 6 3" xfId="38997" xr:uid="{00000000-0005-0000-0000-00004C980000}"/>
    <cellStyle name="Normal 3 4 10 4 2 7" xfId="38998" xr:uid="{00000000-0005-0000-0000-00004D980000}"/>
    <cellStyle name="Normal 3 4 10 4 2 7 2" xfId="38999" xr:uid="{00000000-0005-0000-0000-00004E980000}"/>
    <cellStyle name="Normal 3 4 10 4 2 7 3" xfId="39000" xr:uid="{00000000-0005-0000-0000-00004F980000}"/>
    <cellStyle name="Normal 3 4 10 4 2 8" xfId="39001" xr:uid="{00000000-0005-0000-0000-000050980000}"/>
    <cellStyle name="Normal 3 4 10 4 2 8 2" xfId="39002" xr:uid="{00000000-0005-0000-0000-000051980000}"/>
    <cellStyle name="Normal 3 4 10 4 2 8 3" xfId="39003" xr:uid="{00000000-0005-0000-0000-000052980000}"/>
    <cellStyle name="Normal 3 4 10 4 2 9" xfId="39004" xr:uid="{00000000-0005-0000-0000-000053980000}"/>
    <cellStyle name="Normal 3 4 10 4 2 9 2" xfId="39005" xr:uid="{00000000-0005-0000-0000-000054980000}"/>
    <cellStyle name="Normal 3 4 10 4 2 9 3" xfId="39006" xr:uid="{00000000-0005-0000-0000-000055980000}"/>
    <cellStyle name="Normal 3 4 10 4 3" xfId="39007" xr:uid="{00000000-0005-0000-0000-000056980000}"/>
    <cellStyle name="Normal 3 4 10 4 3 2" xfId="39008" xr:uid="{00000000-0005-0000-0000-000057980000}"/>
    <cellStyle name="Normal 3 4 10 4 3 3" xfId="39009" xr:uid="{00000000-0005-0000-0000-000058980000}"/>
    <cellStyle name="Normal 3 4 10 4 4" xfId="39010" xr:uid="{00000000-0005-0000-0000-000059980000}"/>
    <cellStyle name="Normal 3 4 10 4 4 2" xfId="39011" xr:uid="{00000000-0005-0000-0000-00005A980000}"/>
    <cellStyle name="Normal 3 4 10 4 4 3" xfId="39012" xr:uid="{00000000-0005-0000-0000-00005B980000}"/>
    <cellStyle name="Normal 3 4 10 4 5" xfId="39013" xr:uid="{00000000-0005-0000-0000-00005C980000}"/>
    <cellStyle name="Normal 3 4 10 4 5 2" xfId="39014" xr:uid="{00000000-0005-0000-0000-00005D980000}"/>
    <cellStyle name="Normal 3 4 10 4 5 3" xfId="39015" xr:uid="{00000000-0005-0000-0000-00005E980000}"/>
    <cellStyle name="Normal 3 4 10 4 6" xfId="39016" xr:uid="{00000000-0005-0000-0000-00005F980000}"/>
    <cellStyle name="Normal 3 4 10 4 6 2" xfId="39017" xr:uid="{00000000-0005-0000-0000-000060980000}"/>
    <cellStyle name="Normal 3 4 10 4 6 3" xfId="39018" xr:uid="{00000000-0005-0000-0000-000061980000}"/>
    <cellStyle name="Normal 3 4 10 4 7" xfId="39019" xr:uid="{00000000-0005-0000-0000-000062980000}"/>
    <cellStyle name="Normal 3 4 10 4 7 2" xfId="39020" xr:uid="{00000000-0005-0000-0000-000063980000}"/>
    <cellStyle name="Normal 3 4 10 4 7 3" xfId="39021" xr:uid="{00000000-0005-0000-0000-000064980000}"/>
    <cellStyle name="Normal 3 4 10 4 8" xfId="39022" xr:uid="{00000000-0005-0000-0000-000065980000}"/>
    <cellStyle name="Normal 3 4 10 4 8 2" xfId="39023" xr:uid="{00000000-0005-0000-0000-000066980000}"/>
    <cellStyle name="Normal 3 4 10 4 8 3" xfId="39024" xr:uid="{00000000-0005-0000-0000-000067980000}"/>
    <cellStyle name="Normal 3 4 10 4 9" xfId="39025" xr:uid="{00000000-0005-0000-0000-000068980000}"/>
    <cellStyle name="Normal 3 4 10 4 9 2" xfId="39026" xr:uid="{00000000-0005-0000-0000-000069980000}"/>
    <cellStyle name="Normal 3 4 10 4 9 3" xfId="39027" xr:uid="{00000000-0005-0000-0000-00006A980000}"/>
    <cellStyle name="Normal 3 4 10 5" xfId="39028" xr:uid="{00000000-0005-0000-0000-00006B980000}"/>
    <cellStyle name="Normal 3 4 10 5 10" xfId="39029" xr:uid="{00000000-0005-0000-0000-00006C980000}"/>
    <cellStyle name="Normal 3 4 10 5 10 2" xfId="39030" xr:uid="{00000000-0005-0000-0000-00006D980000}"/>
    <cellStyle name="Normal 3 4 10 5 10 3" xfId="39031" xr:uid="{00000000-0005-0000-0000-00006E980000}"/>
    <cellStyle name="Normal 3 4 10 5 11" xfId="39032" xr:uid="{00000000-0005-0000-0000-00006F980000}"/>
    <cellStyle name="Normal 3 4 10 5 11 2" xfId="39033" xr:uid="{00000000-0005-0000-0000-000070980000}"/>
    <cellStyle name="Normal 3 4 10 5 11 3" xfId="39034" xr:uid="{00000000-0005-0000-0000-000071980000}"/>
    <cellStyle name="Normal 3 4 10 5 12" xfId="39035" xr:uid="{00000000-0005-0000-0000-000072980000}"/>
    <cellStyle name="Normal 3 4 10 5 12 2" xfId="39036" xr:uid="{00000000-0005-0000-0000-000073980000}"/>
    <cellStyle name="Normal 3 4 10 5 12 3" xfId="39037" xr:uid="{00000000-0005-0000-0000-000074980000}"/>
    <cellStyle name="Normal 3 4 10 5 13" xfId="39038" xr:uid="{00000000-0005-0000-0000-000075980000}"/>
    <cellStyle name="Normal 3 4 10 5 13 2" xfId="39039" xr:uid="{00000000-0005-0000-0000-000076980000}"/>
    <cellStyle name="Normal 3 4 10 5 13 3" xfId="39040" xr:uid="{00000000-0005-0000-0000-000077980000}"/>
    <cellStyle name="Normal 3 4 10 5 14" xfId="39041" xr:uid="{00000000-0005-0000-0000-000078980000}"/>
    <cellStyle name="Normal 3 4 10 5 14 2" xfId="39042" xr:uid="{00000000-0005-0000-0000-000079980000}"/>
    <cellStyle name="Normal 3 4 10 5 14 3" xfId="39043" xr:uid="{00000000-0005-0000-0000-00007A980000}"/>
    <cellStyle name="Normal 3 4 10 5 15" xfId="39044" xr:uid="{00000000-0005-0000-0000-00007B980000}"/>
    <cellStyle name="Normal 3 4 10 5 16" xfId="39045" xr:uid="{00000000-0005-0000-0000-00007C980000}"/>
    <cellStyle name="Normal 3 4 10 5 2" xfId="39046" xr:uid="{00000000-0005-0000-0000-00007D980000}"/>
    <cellStyle name="Normal 3 4 10 5 2 2" xfId="39047" xr:uid="{00000000-0005-0000-0000-00007E980000}"/>
    <cellStyle name="Normal 3 4 10 5 2 3" xfId="39048" xr:uid="{00000000-0005-0000-0000-00007F980000}"/>
    <cellStyle name="Normal 3 4 10 5 3" xfId="39049" xr:uid="{00000000-0005-0000-0000-000080980000}"/>
    <cellStyle name="Normal 3 4 10 5 3 2" xfId="39050" xr:uid="{00000000-0005-0000-0000-000081980000}"/>
    <cellStyle name="Normal 3 4 10 5 3 3" xfId="39051" xr:uid="{00000000-0005-0000-0000-000082980000}"/>
    <cellStyle name="Normal 3 4 10 5 4" xfId="39052" xr:uid="{00000000-0005-0000-0000-000083980000}"/>
    <cellStyle name="Normal 3 4 10 5 4 2" xfId="39053" xr:uid="{00000000-0005-0000-0000-000084980000}"/>
    <cellStyle name="Normal 3 4 10 5 4 3" xfId="39054" xr:uid="{00000000-0005-0000-0000-000085980000}"/>
    <cellStyle name="Normal 3 4 10 5 5" xfId="39055" xr:uid="{00000000-0005-0000-0000-000086980000}"/>
    <cellStyle name="Normal 3 4 10 5 5 2" xfId="39056" xr:uid="{00000000-0005-0000-0000-000087980000}"/>
    <cellStyle name="Normal 3 4 10 5 5 3" xfId="39057" xr:uid="{00000000-0005-0000-0000-000088980000}"/>
    <cellStyle name="Normal 3 4 10 5 6" xfId="39058" xr:uid="{00000000-0005-0000-0000-000089980000}"/>
    <cellStyle name="Normal 3 4 10 5 6 2" xfId="39059" xr:uid="{00000000-0005-0000-0000-00008A980000}"/>
    <cellStyle name="Normal 3 4 10 5 6 3" xfId="39060" xr:uid="{00000000-0005-0000-0000-00008B980000}"/>
    <cellStyle name="Normal 3 4 10 5 7" xfId="39061" xr:uid="{00000000-0005-0000-0000-00008C980000}"/>
    <cellStyle name="Normal 3 4 10 5 7 2" xfId="39062" xr:uid="{00000000-0005-0000-0000-00008D980000}"/>
    <cellStyle name="Normal 3 4 10 5 7 3" xfId="39063" xr:uid="{00000000-0005-0000-0000-00008E980000}"/>
    <cellStyle name="Normal 3 4 10 5 8" xfId="39064" xr:uid="{00000000-0005-0000-0000-00008F980000}"/>
    <cellStyle name="Normal 3 4 10 5 8 2" xfId="39065" xr:uid="{00000000-0005-0000-0000-000090980000}"/>
    <cellStyle name="Normal 3 4 10 5 8 3" xfId="39066" xr:uid="{00000000-0005-0000-0000-000091980000}"/>
    <cellStyle name="Normal 3 4 10 5 9" xfId="39067" xr:uid="{00000000-0005-0000-0000-000092980000}"/>
    <cellStyle name="Normal 3 4 10 5 9 2" xfId="39068" xr:uid="{00000000-0005-0000-0000-000093980000}"/>
    <cellStyle name="Normal 3 4 10 5 9 3" xfId="39069" xr:uid="{00000000-0005-0000-0000-000094980000}"/>
    <cellStyle name="Normal 3 4 10 6" xfId="39070" xr:uid="{00000000-0005-0000-0000-000095980000}"/>
    <cellStyle name="Normal 3 4 10 6 10" xfId="39071" xr:uid="{00000000-0005-0000-0000-000096980000}"/>
    <cellStyle name="Normal 3 4 10 6 10 2" xfId="39072" xr:uid="{00000000-0005-0000-0000-000097980000}"/>
    <cellStyle name="Normal 3 4 10 6 10 3" xfId="39073" xr:uid="{00000000-0005-0000-0000-000098980000}"/>
    <cellStyle name="Normal 3 4 10 6 11" xfId="39074" xr:uid="{00000000-0005-0000-0000-000099980000}"/>
    <cellStyle name="Normal 3 4 10 6 11 2" xfId="39075" xr:uid="{00000000-0005-0000-0000-00009A980000}"/>
    <cellStyle name="Normal 3 4 10 6 11 3" xfId="39076" xr:uid="{00000000-0005-0000-0000-00009B980000}"/>
    <cellStyle name="Normal 3 4 10 6 12" xfId="39077" xr:uid="{00000000-0005-0000-0000-00009C980000}"/>
    <cellStyle name="Normal 3 4 10 6 12 2" xfId="39078" xr:uid="{00000000-0005-0000-0000-00009D980000}"/>
    <cellStyle name="Normal 3 4 10 6 12 3" xfId="39079" xr:uid="{00000000-0005-0000-0000-00009E980000}"/>
    <cellStyle name="Normal 3 4 10 6 13" xfId="39080" xr:uid="{00000000-0005-0000-0000-00009F980000}"/>
    <cellStyle name="Normal 3 4 10 6 13 2" xfId="39081" xr:uid="{00000000-0005-0000-0000-0000A0980000}"/>
    <cellStyle name="Normal 3 4 10 6 13 3" xfId="39082" xr:uid="{00000000-0005-0000-0000-0000A1980000}"/>
    <cellStyle name="Normal 3 4 10 6 14" xfId="39083" xr:uid="{00000000-0005-0000-0000-0000A2980000}"/>
    <cellStyle name="Normal 3 4 10 6 14 2" xfId="39084" xr:uid="{00000000-0005-0000-0000-0000A3980000}"/>
    <cellStyle name="Normal 3 4 10 6 14 3" xfId="39085" xr:uid="{00000000-0005-0000-0000-0000A4980000}"/>
    <cellStyle name="Normal 3 4 10 6 15" xfId="39086" xr:uid="{00000000-0005-0000-0000-0000A5980000}"/>
    <cellStyle name="Normal 3 4 10 6 16" xfId="39087" xr:uid="{00000000-0005-0000-0000-0000A6980000}"/>
    <cellStyle name="Normal 3 4 10 6 2" xfId="39088" xr:uid="{00000000-0005-0000-0000-0000A7980000}"/>
    <cellStyle name="Normal 3 4 10 6 2 2" xfId="39089" xr:uid="{00000000-0005-0000-0000-0000A8980000}"/>
    <cellStyle name="Normal 3 4 10 6 2 3" xfId="39090" xr:uid="{00000000-0005-0000-0000-0000A9980000}"/>
    <cellStyle name="Normal 3 4 10 6 3" xfId="39091" xr:uid="{00000000-0005-0000-0000-0000AA980000}"/>
    <cellStyle name="Normal 3 4 10 6 3 2" xfId="39092" xr:uid="{00000000-0005-0000-0000-0000AB980000}"/>
    <cellStyle name="Normal 3 4 10 6 3 3" xfId="39093" xr:uid="{00000000-0005-0000-0000-0000AC980000}"/>
    <cellStyle name="Normal 3 4 10 6 4" xfId="39094" xr:uid="{00000000-0005-0000-0000-0000AD980000}"/>
    <cellStyle name="Normal 3 4 10 6 4 2" xfId="39095" xr:uid="{00000000-0005-0000-0000-0000AE980000}"/>
    <cellStyle name="Normal 3 4 10 6 4 3" xfId="39096" xr:uid="{00000000-0005-0000-0000-0000AF980000}"/>
    <cellStyle name="Normal 3 4 10 6 5" xfId="39097" xr:uid="{00000000-0005-0000-0000-0000B0980000}"/>
    <cellStyle name="Normal 3 4 10 6 5 2" xfId="39098" xr:uid="{00000000-0005-0000-0000-0000B1980000}"/>
    <cellStyle name="Normal 3 4 10 6 5 3" xfId="39099" xr:uid="{00000000-0005-0000-0000-0000B2980000}"/>
    <cellStyle name="Normal 3 4 10 6 6" xfId="39100" xr:uid="{00000000-0005-0000-0000-0000B3980000}"/>
    <cellStyle name="Normal 3 4 10 6 6 2" xfId="39101" xr:uid="{00000000-0005-0000-0000-0000B4980000}"/>
    <cellStyle name="Normal 3 4 10 6 6 3" xfId="39102" xr:uid="{00000000-0005-0000-0000-0000B5980000}"/>
    <cellStyle name="Normal 3 4 10 6 7" xfId="39103" xr:uid="{00000000-0005-0000-0000-0000B6980000}"/>
    <cellStyle name="Normal 3 4 10 6 7 2" xfId="39104" xr:uid="{00000000-0005-0000-0000-0000B7980000}"/>
    <cellStyle name="Normal 3 4 10 6 7 3" xfId="39105" xr:uid="{00000000-0005-0000-0000-0000B8980000}"/>
    <cellStyle name="Normal 3 4 10 6 8" xfId="39106" xr:uid="{00000000-0005-0000-0000-0000B9980000}"/>
    <cellStyle name="Normal 3 4 10 6 8 2" xfId="39107" xr:uid="{00000000-0005-0000-0000-0000BA980000}"/>
    <cellStyle name="Normal 3 4 10 6 8 3" xfId="39108" xr:uid="{00000000-0005-0000-0000-0000BB980000}"/>
    <cellStyle name="Normal 3 4 10 6 9" xfId="39109" xr:uid="{00000000-0005-0000-0000-0000BC980000}"/>
    <cellStyle name="Normal 3 4 10 6 9 2" xfId="39110" xr:uid="{00000000-0005-0000-0000-0000BD980000}"/>
    <cellStyle name="Normal 3 4 10 6 9 3" xfId="39111" xr:uid="{00000000-0005-0000-0000-0000BE980000}"/>
    <cellStyle name="Normal 3 4 10 7" xfId="39112" xr:uid="{00000000-0005-0000-0000-0000BF980000}"/>
    <cellStyle name="Normal 3 4 10 7 10" xfId="39113" xr:uid="{00000000-0005-0000-0000-0000C0980000}"/>
    <cellStyle name="Normal 3 4 10 7 10 2" xfId="39114" xr:uid="{00000000-0005-0000-0000-0000C1980000}"/>
    <cellStyle name="Normal 3 4 10 7 10 3" xfId="39115" xr:uid="{00000000-0005-0000-0000-0000C2980000}"/>
    <cellStyle name="Normal 3 4 10 7 11" xfId="39116" xr:uid="{00000000-0005-0000-0000-0000C3980000}"/>
    <cellStyle name="Normal 3 4 10 7 11 2" xfId="39117" xr:uid="{00000000-0005-0000-0000-0000C4980000}"/>
    <cellStyle name="Normal 3 4 10 7 11 3" xfId="39118" xr:uid="{00000000-0005-0000-0000-0000C5980000}"/>
    <cellStyle name="Normal 3 4 10 7 12" xfId="39119" xr:uid="{00000000-0005-0000-0000-0000C6980000}"/>
    <cellStyle name="Normal 3 4 10 7 12 2" xfId="39120" xr:uid="{00000000-0005-0000-0000-0000C7980000}"/>
    <cellStyle name="Normal 3 4 10 7 12 3" xfId="39121" xr:uid="{00000000-0005-0000-0000-0000C8980000}"/>
    <cellStyle name="Normal 3 4 10 7 13" xfId="39122" xr:uid="{00000000-0005-0000-0000-0000C9980000}"/>
    <cellStyle name="Normal 3 4 10 7 13 2" xfId="39123" xr:uid="{00000000-0005-0000-0000-0000CA980000}"/>
    <cellStyle name="Normal 3 4 10 7 13 3" xfId="39124" xr:uid="{00000000-0005-0000-0000-0000CB980000}"/>
    <cellStyle name="Normal 3 4 10 7 14" xfId="39125" xr:uid="{00000000-0005-0000-0000-0000CC980000}"/>
    <cellStyle name="Normal 3 4 10 7 14 2" xfId="39126" xr:uid="{00000000-0005-0000-0000-0000CD980000}"/>
    <cellStyle name="Normal 3 4 10 7 14 3" xfId="39127" xr:uid="{00000000-0005-0000-0000-0000CE980000}"/>
    <cellStyle name="Normal 3 4 10 7 15" xfId="39128" xr:uid="{00000000-0005-0000-0000-0000CF980000}"/>
    <cellStyle name="Normal 3 4 10 7 16" xfId="39129" xr:uid="{00000000-0005-0000-0000-0000D0980000}"/>
    <cellStyle name="Normal 3 4 10 7 2" xfId="39130" xr:uid="{00000000-0005-0000-0000-0000D1980000}"/>
    <cellStyle name="Normal 3 4 10 7 2 2" xfId="39131" xr:uid="{00000000-0005-0000-0000-0000D2980000}"/>
    <cellStyle name="Normal 3 4 10 7 2 3" xfId="39132" xr:uid="{00000000-0005-0000-0000-0000D3980000}"/>
    <cellStyle name="Normal 3 4 10 7 3" xfId="39133" xr:uid="{00000000-0005-0000-0000-0000D4980000}"/>
    <cellStyle name="Normal 3 4 10 7 3 2" xfId="39134" xr:uid="{00000000-0005-0000-0000-0000D5980000}"/>
    <cellStyle name="Normal 3 4 10 7 3 3" xfId="39135" xr:uid="{00000000-0005-0000-0000-0000D6980000}"/>
    <cellStyle name="Normal 3 4 10 7 4" xfId="39136" xr:uid="{00000000-0005-0000-0000-0000D7980000}"/>
    <cellStyle name="Normal 3 4 10 7 4 2" xfId="39137" xr:uid="{00000000-0005-0000-0000-0000D8980000}"/>
    <cellStyle name="Normal 3 4 10 7 4 3" xfId="39138" xr:uid="{00000000-0005-0000-0000-0000D9980000}"/>
    <cellStyle name="Normal 3 4 10 7 5" xfId="39139" xr:uid="{00000000-0005-0000-0000-0000DA980000}"/>
    <cellStyle name="Normal 3 4 10 7 5 2" xfId="39140" xr:uid="{00000000-0005-0000-0000-0000DB980000}"/>
    <cellStyle name="Normal 3 4 10 7 5 3" xfId="39141" xr:uid="{00000000-0005-0000-0000-0000DC980000}"/>
    <cellStyle name="Normal 3 4 10 7 6" xfId="39142" xr:uid="{00000000-0005-0000-0000-0000DD980000}"/>
    <cellStyle name="Normal 3 4 10 7 6 2" xfId="39143" xr:uid="{00000000-0005-0000-0000-0000DE980000}"/>
    <cellStyle name="Normal 3 4 10 7 6 3" xfId="39144" xr:uid="{00000000-0005-0000-0000-0000DF980000}"/>
    <cellStyle name="Normal 3 4 10 7 7" xfId="39145" xr:uid="{00000000-0005-0000-0000-0000E0980000}"/>
    <cellStyle name="Normal 3 4 10 7 7 2" xfId="39146" xr:uid="{00000000-0005-0000-0000-0000E1980000}"/>
    <cellStyle name="Normal 3 4 10 7 7 3" xfId="39147" xr:uid="{00000000-0005-0000-0000-0000E2980000}"/>
    <cellStyle name="Normal 3 4 10 7 8" xfId="39148" xr:uid="{00000000-0005-0000-0000-0000E3980000}"/>
    <cellStyle name="Normal 3 4 10 7 8 2" xfId="39149" xr:uid="{00000000-0005-0000-0000-0000E4980000}"/>
    <cellStyle name="Normal 3 4 10 7 8 3" xfId="39150" xr:uid="{00000000-0005-0000-0000-0000E5980000}"/>
    <cellStyle name="Normal 3 4 10 7 9" xfId="39151" xr:uid="{00000000-0005-0000-0000-0000E6980000}"/>
    <cellStyle name="Normal 3 4 10 7 9 2" xfId="39152" xr:uid="{00000000-0005-0000-0000-0000E7980000}"/>
    <cellStyle name="Normal 3 4 10 7 9 3" xfId="39153" xr:uid="{00000000-0005-0000-0000-0000E8980000}"/>
    <cellStyle name="Normal 3 4 10 8" xfId="39154" xr:uid="{00000000-0005-0000-0000-0000E9980000}"/>
    <cellStyle name="Normal 3 4 10 8 10" xfId="39155" xr:uid="{00000000-0005-0000-0000-0000EA980000}"/>
    <cellStyle name="Normal 3 4 10 8 10 2" xfId="39156" xr:uid="{00000000-0005-0000-0000-0000EB980000}"/>
    <cellStyle name="Normal 3 4 10 8 10 3" xfId="39157" xr:uid="{00000000-0005-0000-0000-0000EC980000}"/>
    <cellStyle name="Normal 3 4 10 8 11" xfId="39158" xr:uid="{00000000-0005-0000-0000-0000ED980000}"/>
    <cellStyle name="Normal 3 4 10 8 11 2" xfId="39159" xr:uid="{00000000-0005-0000-0000-0000EE980000}"/>
    <cellStyle name="Normal 3 4 10 8 11 3" xfId="39160" xr:uid="{00000000-0005-0000-0000-0000EF980000}"/>
    <cellStyle name="Normal 3 4 10 8 12" xfId="39161" xr:uid="{00000000-0005-0000-0000-0000F0980000}"/>
    <cellStyle name="Normal 3 4 10 8 12 2" xfId="39162" xr:uid="{00000000-0005-0000-0000-0000F1980000}"/>
    <cellStyle name="Normal 3 4 10 8 12 3" xfId="39163" xr:uid="{00000000-0005-0000-0000-0000F2980000}"/>
    <cellStyle name="Normal 3 4 10 8 13" xfId="39164" xr:uid="{00000000-0005-0000-0000-0000F3980000}"/>
    <cellStyle name="Normal 3 4 10 8 13 2" xfId="39165" xr:uid="{00000000-0005-0000-0000-0000F4980000}"/>
    <cellStyle name="Normal 3 4 10 8 13 3" xfId="39166" xr:uid="{00000000-0005-0000-0000-0000F5980000}"/>
    <cellStyle name="Normal 3 4 10 8 14" xfId="39167" xr:uid="{00000000-0005-0000-0000-0000F6980000}"/>
    <cellStyle name="Normal 3 4 10 8 14 2" xfId="39168" xr:uid="{00000000-0005-0000-0000-0000F7980000}"/>
    <cellStyle name="Normal 3 4 10 8 14 3" xfId="39169" xr:uid="{00000000-0005-0000-0000-0000F8980000}"/>
    <cellStyle name="Normal 3 4 10 8 15" xfId="39170" xr:uid="{00000000-0005-0000-0000-0000F9980000}"/>
    <cellStyle name="Normal 3 4 10 8 16" xfId="39171" xr:uid="{00000000-0005-0000-0000-0000FA980000}"/>
    <cellStyle name="Normal 3 4 10 8 2" xfId="39172" xr:uid="{00000000-0005-0000-0000-0000FB980000}"/>
    <cellStyle name="Normal 3 4 10 8 2 2" xfId="39173" xr:uid="{00000000-0005-0000-0000-0000FC980000}"/>
    <cellStyle name="Normal 3 4 10 8 2 3" xfId="39174" xr:uid="{00000000-0005-0000-0000-0000FD980000}"/>
    <cellStyle name="Normal 3 4 10 8 3" xfId="39175" xr:uid="{00000000-0005-0000-0000-0000FE980000}"/>
    <cellStyle name="Normal 3 4 10 8 3 2" xfId="39176" xr:uid="{00000000-0005-0000-0000-0000FF980000}"/>
    <cellStyle name="Normal 3 4 10 8 3 3" xfId="39177" xr:uid="{00000000-0005-0000-0000-000000990000}"/>
    <cellStyle name="Normal 3 4 10 8 4" xfId="39178" xr:uid="{00000000-0005-0000-0000-000001990000}"/>
    <cellStyle name="Normal 3 4 10 8 4 2" xfId="39179" xr:uid="{00000000-0005-0000-0000-000002990000}"/>
    <cellStyle name="Normal 3 4 10 8 4 3" xfId="39180" xr:uid="{00000000-0005-0000-0000-000003990000}"/>
    <cellStyle name="Normal 3 4 10 8 5" xfId="39181" xr:uid="{00000000-0005-0000-0000-000004990000}"/>
    <cellStyle name="Normal 3 4 10 8 5 2" xfId="39182" xr:uid="{00000000-0005-0000-0000-000005990000}"/>
    <cellStyle name="Normal 3 4 10 8 5 3" xfId="39183" xr:uid="{00000000-0005-0000-0000-000006990000}"/>
    <cellStyle name="Normal 3 4 10 8 6" xfId="39184" xr:uid="{00000000-0005-0000-0000-000007990000}"/>
    <cellStyle name="Normal 3 4 10 8 6 2" xfId="39185" xr:uid="{00000000-0005-0000-0000-000008990000}"/>
    <cellStyle name="Normal 3 4 10 8 6 3" xfId="39186" xr:uid="{00000000-0005-0000-0000-000009990000}"/>
    <cellStyle name="Normal 3 4 10 8 7" xfId="39187" xr:uid="{00000000-0005-0000-0000-00000A990000}"/>
    <cellStyle name="Normal 3 4 10 8 7 2" xfId="39188" xr:uid="{00000000-0005-0000-0000-00000B990000}"/>
    <cellStyle name="Normal 3 4 10 8 7 3" xfId="39189" xr:uid="{00000000-0005-0000-0000-00000C990000}"/>
    <cellStyle name="Normal 3 4 10 8 8" xfId="39190" xr:uid="{00000000-0005-0000-0000-00000D990000}"/>
    <cellStyle name="Normal 3 4 10 8 8 2" xfId="39191" xr:uid="{00000000-0005-0000-0000-00000E990000}"/>
    <cellStyle name="Normal 3 4 10 8 8 3" xfId="39192" xr:uid="{00000000-0005-0000-0000-00000F990000}"/>
    <cellStyle name="Normal 3 4 10 8 9" xfId="39193" xr:uid="{00000000-0005-0000-0000-000010990000}"/>
    <cellStyle name="Normal 3 4 10 8 9 2" xfId="39194" xr:uid="{00000000-0005-0000-0000-000011990000}"/>
    <cellStyle name="Normal 3 4 10 8 9 3" xfId="39195" xr:uid="{00000000-0005-0000-0000-000012990000}"/>
    <cellStyle name="Normal 3 4 10 9" xfId="39196" xr:uid="{00000000-0005-0000-0000-000013990000}"/>
    <cellStyle name="Normal 3 4 10 9 10" xfId="39197" xr:uid="{00000000-0005-0000-0000-000014990000}"/>
    <cellStyle name="Normal 3 4 10 9 10 2" xfId="39198" xr:uid="{00000000-0005-0000-0000-000015990000}"/>
    <cellStyle name="Normal 3 4 10 9 10 3" xfId="39199" xr:uid="{00000000-0005-0000-0000-000016990000}"/>
    <cellStyle name="Normal 3 4 10 9 11" xfId="39200" xr:uid="{00000000-0005-0000-0000-000017990000}"/>
    <cellStyle name="Normal 3 4 10 9 11 2" xfId="39201" xr:uid="{00000000-0005-0000-0000-000018990000}"/>
    <cellStyle name="Normal 3 4 10 9 11 3" xfId="39202" xr:uid="{00000000-0005-0000-0000-000019990000}"/>
    <cellStyle name="Normal 3 4 10 9 12" xfId="39203" xr:uid="{00000000-0005-0000-0000-00001A990000}"/>
    <cellStyle name="Normal 3 4 10 9 12 2" xfId="39204" xr:uid="{00000000-0005-0000-0000-00001B990000}"/>
    <cellStyle name="Normal 3 4 10 9 12 3" xfId="39205" xr:uid="{00000000-0005-0000-0000-00001C990000}"/>
    <cellStyle name="Normal 3 4 10 9 13" xfId="39206" xr:uid="{00000000-0005-0000-0000-00001D990000}"/>
    <cellStyle name="Normal 3 4 10 9 13 2" xfId="39207" xr:uid="{00000000-0005-0000-0000-00001E990000}"/>
    <cellStyle name="Normal 3 4 10 9 13 3" xfId="39208" xr:uid="{00000000-0005-0000-0000-00001F990000}"/>
    <cellStyle name="Normal 3 4 10 9 14" xfId="39209" xr:uid="{00000000-0005-0000-0000-000020990000}"/>
    <cellStyle name="Normal 3 4 10 9 14 2" xfId="39210" xr:uid="{00000000-0005-0000-0000-000021990000}"/>
    <cellStyle name="Normal 3 4 10 9 14 3" xfId="39211" xr:uid="{00000000-0005-0000-0000-000022990000}"/>
    <cellStyle name="Normal 3 4 10 9 15" xfId="39212" xr:uid="{00000000-0005-0000-0000-000023990000}"/>
    <cellStyle name="Normal 3 4 10 9 16" xfId="39213" xr:uid="{00000000-0005-0000-0000-000024990000}"/>
    <cellStyle name="Normal 3 4 10 9 2" xfId="39214" xr:uid="{00000000-0005-0000-0000-000025990000}"/>
    <cellStyle name="Normal 3 4 10 9 2 2" xfId="39215" xr:uid="{00000000-0005-0000-0000-000026990000}"/>
    <cellStyle name="Normal 3 4 10 9 2 3" xfId="39216" xr:uid="{00000000-0005-0000-0000-000027990000}"/>
    <cellStyle name="Normal 3 4 10 9 3" xfId="39217" xr:uid="{00000000-0005-0000-0000-000028990000}"/>
    <cellStyle name="Normal 3 4 10 9 3 2" xfId="39218" xr:uid="{00000000-0005-0000-0000-000029990000}"/>
    <cellStyle name="Normal 3 4 10 9 3 3" xfId="39219" xr:uid="{00000000-0005-0000-0000-00002A990000}"/>
    <cellStyle name="Normal 3 4 10 9 4" xfId="39220" xr:uid="{00000000-0005-0000-0000-00002B990000}"/>
    <cellStyle name="Normal 3 4 10 9 4 2" xfId="39221" xr:uid="{00000000-0005-0000-0000-00002C990000}"/>
    <cellStyle name="Normal 3 4 10 9 4 3" xfId="39222" xr:uid="{00000000-0005-0000-0000-00002D990000}"/>
    <cellStyle name="Normal 3 4 10 9 5" xfId="39223" xr:uid="{00000000-0005-0000-0000-00002E990000}"/>
    <cellStyle name="Normal 3 4 10 9 5 2" xfId="39224" xr:uid="{00000000-0005-0000-0000-00002F990000}"/>
    <cellStyle name="Normal 3 4 10 9 5 3" xfId="39225" xr:uid="{00000000-0005-0000-0000-000030990000}"/>
    <cellStyle name="Normal 3 4 10 9 6" xfId="39226" xr:uid="{00000000-0005-0000-0000-000031990000}"/>
    <cellStyle name="Normal 3 4 10 9 6 2" xfId="39227" xr:uid="{00000000-0005-0000-0000-000032990000}"/>
    <cellStyle name="Normal 3 4 10 9 6 3" xfId="39228" xr:uid="{00000000-0005-0000-0000-000033990000}"/>
    <cellStyle name="Normal 3 4 10 9 7" xfId="39229" xr:uid="{00000000-0005-0000-0000-000034990000}"/>
    <cellStyle name="Normal 3 4 10 9 7 2" xfId="39230" xr:uid="{00000000-0005-0000-0000-000035990000}"/>
    <cellStyle name="Normal 3 4 10 9 7 3" xfId="39231" xr:uid="{00000000-0005-0000-0000-000036990000}"/>
    <cellStyle name="Normal 3 4 10 9 8" xfId="39232" xr:uid="{00000000-0005-0000-0000-000037990000}"/>
    <cellStyle name="Normal 3 4 10 9 8 2" xfId="39233" xr:uid="{00000000-0005-0000-0000-000038990000}"/>
    <cellStyle name="Normal 3 4 10 9 8 3" xfId="39234" xr:uid="{00000000-0005-0000-0000-000039990000}"/>
    <cellStyle name="Normal 3 4 10 9 9" xfId="39235" xr:uid="{00000000-0005-0000-0000-00003A990000}"/>
    <cellStyle name="Normal 3 4 10 9 9 2" xfId="39236" xr:uid="{00000000-0005-0000-0000-00003B990000}"/>
    <cellStyle name="Normal 3 4 10 9 9 3" xfId="39237" xr:uid="{00000000-0005-0000-0000-00003C990000}"/>
    <cellStyle name="Normal 3 4 11" xfId="39238" xr:uid="{00000000-0005-0000-0000-00003D990000}"/>
    <cellStyle name="Normal 3 4 11 10" xfId="39239" xr:uid="{00000000-0005-0000-0000-00003E990000}"/>
    <cellStyle name="Normal 3 4 11 10 10" xfId="39240" xr:uid="{00000000-0005-0000-0000-00003F990000}"/>
    <cellStyle name="Normal 3 4 11 10 10 2" xfId="39241" xr:uid="{00000000-0005-0000-0000-000040990000}"/>
    <cellStyle name="Normal 3 4 11 10 10 3" xfId="39242" xr:uid="{00000000-0005-0000-0000-000041990000}"/>
    <cellStyle name="Normal 3 4 11 10 11" xfId="39243" xr:uid="{00000000-0005-0000-0000-000042990000}"/>
    <cellStyle name="Normal 3 4 11 10 11 2" xfId="39244" xr:uid="{00000000-0005-0000-0000-000043990000}"/>
    <cellStyle name="Normal 3 4 11 10 11 3" xfId="39245" xr:uid="{00000000-0005-0000-0000-000044990000}"/>
    <cellStyle name="Normal 3 4 11 10 12" xfId="39246" xr:uid="{00000000-0005-0000-0000-000045990000}"/>
    <cellStyle name="Normal 3 4 11 10 12 2" xfId="39247" xr:uid="{00000000-0005-0000-0000-000046990000}"/>
    <cellStyle name="Normal 3 4 11 10 12 3" xfId="39248" xr:uid="{00000000-0005-0000-0000-000047990000}"/>
    <cellStyle name="Normal 3 4 11 10 13" xfId="39249" xr:uid="{00000000-0005-0000-0000-000048990000}"/>
    <cellStyle name="Normal 3 4 11 10 13 2" xfId="39250" xr:uid="{00000000-0005-0000-0000-000049990000}"/>
    <cellStyle name="Normal 3 4 11 10 13 3" xfId="39251" xr:uid="{00000000-0005-0000-0000-00004A990000}"/>
    <cellStyle name="Normal 3 4 11 10 14" xfId="39252" xr:uid="{00000000-0005-0000-0000-00004B990000}"/>
    <cellStyle name="Normal 3 4 11 10 14 2" xfId="39253" xr:uid="{00000000-0005-0000-0000-00004C990000}"/>
    <cellStyle name="Normal 3 4 11 10 14 3" xfId="39254" xr:uid="{00000000-0005-0000-0000-00004D990000}"/>
    <cellStyle name="Normal 3 4 11 10 15" xfId="39255" xr:uid="{00000000-0005-0000-0000-00004E990000}"/>
    <cellStyle name="Normal 3 4 11 10 16" xfId="39256" xr:uid="{00000000-0005-0000-0000-00004F990000}"/>
    <cellStyle name="Normal 3 4 11 10 2" xfId="39257" xr:uid="{00000000-0005-0000-0000-000050990000}"/>
    <cellStyle name="Normal 3 4 11 10 2 2" xfId="39258" xr:uid="{00000000-0005-0000-0000-000051990000}"/>
    <cellStyle name="Normal 3 4 11 10 2 3" xfId="39259" xr:uid="{00000000-0005-0000-0000-000052990000}"/>
    <cellStyle name="Normal 3 4 11 10 3" xfId="39260" xr:uid="{00000000-0005-0000-0000-000053990000}"/>
    <cellStyle name="Normal 3 4 11 10 3 2" xfId="39261" xr:uid="{00000000-0005-0000-0000-000054990000}"/>
    <cellStyle name="Normal 3 4 11 10 3 3" xfId="39262" xr:uid="{00000000-0005-0000-0000-000055990000}"/>
    <cellStyle name="Normal 3 4 11 10 4" xfId="39263" xr:uid="{00000000-0005-0000-0000-000056990000}"/>
    <cellStyle name="Normal 3 4 11 10 4 2" xfId="39264" xr:uid="{00000000-0005-0000-0000-000057990000}"/>
    <cellStyle name="Normal 3 4 11 10 4 3" xfId="39265" xr:uid="{00000000-0005-0000-0000-000058990000}"/>
    <cellStyle name="Normal 3 4 11 10 5" xfId="39266" xr:uid="{00000000-0005-0000-0000-000059990000}"/>
    <cellStyle name="Normal 3 4 11 10 5 2" xfId="39267" xr:uid="{00000000-0005-0000-0000-00005A990000}"/>
    <cellStyle name="Normal 3 4 11 10 5 3" xfId="39268" xr:uid="{00000000-0005-0000-0000-00005B990000}"/>
    <cellStyle name="Normal 3 4 11 10 6" xfId="39269" xr:uid="{00000000-0005-0000-0000-00005C990000}"/>
    <cellStyle name="Normal 3 4 11 10 6 2" xfId="39270" xr:uid="{00000000-0005-0000-0000-00005D990000}"/>
    <cellStyle name="Normal 3 4 11 10 6 3" xfId="39271" xr:uid="{00000000-0005-0000-0000-00005E990000}"/>
    <cellStyle name="Normal 3 4 11 10 7" xfId="39272" xr:uid="{00000000-0005-0000-0000-00005F990000}"/>
    <cellStyle name="Normal 3 4 11 10 7 2" xfId="39273" xr:uid="{00000000-0005-0000-0000-000060990000}"/>
    <cellStyle name="Normal 3 4 11 10 7 3" xfId="39274" xr:uid="{00000000-0005-0000-0000-000061990000}"/>
    <cellStyle name="Normal 3 4 11 10 8" xfId="39275" xr:uid="{00000000-0005-0000-0000-000062990000}"/>
    <cellStyle name="Normal 3 4 11 10 8 2" xfId="39276" xr:uid="{00000000-0005-0000-0000-000063990000}"/>
    <cellStyle name="Normal 3 4 11 10 8 3" xfId="39277" xr:uid="{00000000-0005-0000-0000-000064990000}"/>
    <cellStyle name="Normal 3 4 11 10 9" xfId="39278" xr:uid="{00000000-0005-0000-0000-000065990000}"/>
    <cellStyle name="Normal 3 4 11 10 9 2" xfId="39279" xr:uid="{00000000-0005-0000-0000-000066990000}"/>
    <cellStyle name="Normal 3 4 11 10 9 3" xfId="39280" xr:uid="{00000000-0005-0000-0000-000067990000}"/>
    <cellStyle name="Normal 3 4 11 11" xfId="39281" xr:uid="{00000000-0005-0000-0000-000068990000}"/>
    <cellStyle name="Normal 3 4 11 11 2" xfId="39282" xr:uid="{00000000-0005-0000-0000-000069990000}"/>
    <cellStyle name="Normal 3 4 11 11 3" xfId="39283" xr:uid="{00000000-0005-0000-0000-00006A990000}"/>
    <cellStyle name="Normal 3 4 11 12" xfId="39284" xr:uid="{00000000-0005-0000-0000-00006B990000}"/>
    <cellStyle name="Normal 3 4 11 12 2" xfId="39285" xr:uid="{00000000-0005-0000-0000-00006C990000}"/>
    <cellStyle name="Normal 3 4 11 12 3" xfId="39286" xr:uid="{00000000-0005-0000-0000-00006D990000}"/>
    <cellStyle name="Normal 3 4 11 13" xfId="39287" xr:uid="{00000000-0005-0000-0000-00006E990000}"/>
    <cellStyle name="Normal 3 4 11 13 2" xfId="39288" xr:uid="{00000000-0005-0000-0000-00006F990000}"/>
    <cellStyle name="Normal 3 4 11 13 3" xfId="39289" xr:uid="{00000000-0005-0000-0000-000070990000}"/>
    <cellStyle name="Normal 3 4 11 14" xfId="39290" xr:uid="{00000000-0005-0000-0000-000071990000}"/>
    <cellStyle name="Normal 3 4 11 14 2" xfId="39291" xr:uid="{00000000-0005-0000-0000-000072990000}"/>
    <cellStyle name="Normal 3 4 11 14 3" xfId="39292" xr:uid="{00000000-0005-0000-0000-000073990000}"/>
    <cellStyle name="Normal 3 4 11 15" xfId="39293" xr:uid="{00000000-0005-0000-0000-000074990000}"/>
    <cellStyle name="Normal 3 4 11 15 2" xfId="39294" xr:uid="{00000000-0005-0000-0000-000075990000}"/>
    <cellStyle name="Normal 3 4 11 15 3" xfId="39295" xr:uid="{00000000-0005-0000-0000-000076990000}"/>
    <cellStyle name="Normal 3 4 11 16" xfId="39296" xr:uid="{00000000-0005-0000-0000-000077990000}"/>
    <cellStyle name="Normal 3 4 11 16 2" xfId="39297" xr:uid="{00000000-0005-0000-0000-000078990000}"/>
    <cellStyle name="Normal 3 4 11 16 3" xfId="39298" xr:uid="{00000000-0005-0000-0000-000079990000}"/>
    <cellStyle name="Normal 3 4 11 17" xfId="39299" xr:uid="{00000000-0005-0000-0000-00007A990000}"/>
    <cellStyle name="Normal 3 4 11 17 2" xfId="39300" xr:uid="{00000000-0005-0000-0000-00007B990000}"/>
    <cellStyle name="Normal 3 4 11 17 3" xfId="39301" xr:uid="{00000000-0005-0000-0000-00007C990000}"/>
    <cellStyle name="Normal 3 4 11 18" xfId="39302" xr:uid="{00000000-0005-0000-0000-00007D990000}"/>
    <cellStyle name="Normal 3 4 11 18 2" xfId="39303" xr:uid="{00000000-0005-0000-0000-00007E990000}"/>
    <cellStyle name="Normal 3 4 11 18 3" xfId="39304" xr:uid="{00000000-0005-0000-0000-00007F990000}"/>
    <cellStyle name="Normal 3 4 11 19" xfId="39305" xr:uid="{00000000-0005-0000-0000-000080990000}"/>
    <cellStyle name="Normal 3 4 11 19 2" xfId="39306" xr:uid="{00000000-0005-0000-0000-000081990000}"/>
    <cellStyle name="Normal 3 4 11 19 3" xfId="39307" xr:uid="{00000000-0005-0000-0000-000082990000}"/>
    <cellStyle name="Normal 3 4 11 2" xfId="39308" xr:uid="{00000000-0005-0000-0000-000083990000}"/>
    <cellStyle name="Normal 3 4 11 2 10" xfId="39309" xr:uid="{00000000-0005-0000-0000-000084990000}"/>
    <cellStyle name="Normal 3 4 11 2 10 2" xfId="39310" xr:uid="{00000000-0005-0000-0000-000085990000}"/>
    <cellStyle name="Normal 3 4 11 2 10 3" xfId="39311" xr:uid="{00000000-0005-0000-0000-000086990000}"/>
    <cellStyle name="Normal 3 4 11 2 11" xfId="39312" xr:uid="{00000000-0005-0000-0000-000087990000}"/>
    <cellStyle name="Normal 3 4 11 2 11 2" xfId="39313" xr:uid="{00000000-0005-0000-0000-000088990000}"/>
    <cellStyle name="Normal 3 4 11 2 11 3" xfId="39314" xr:uid="{00000000-0005-0000-0000-000089990000}"/>
    <cellStyle name="Normal 3 4 11 2 12" xfId="39315" xr:uid="{00000000-0005-0000-0000-00008A990000}"/>
    <cellStyle name="Normal 3 4 11 2 12 2" xfId="39316" xr:uid="{00000000-0005-0000-0000-00008B990000}"/>
    <cellStyle name="Normal 3 4 11 2 12 3" xfId="39317" xr:uid="{00000000-0005-0000-0000-00008C990000}"/>
    <cellStyle name="Normal 3 4 11 2 13" xfId="39318" xr:uid="{00000000-0005-0000-0000-00008D990000}"/>
    <cellStyle name="Normal 3 4 11 2 13 2" xfId="39319" xr:uid="{00000000-0005-0000-0000-00008E990000}"/>
    <cellStyle name="Normal 3 4 11 2 13 3" xfId="39320" xr:uid="{00000000-0005-0000-0000-00008F990000}"/>
    <cellStyle name="Normal 3 4 11 2 14" xfId="39321" xr:uid="{00000000-0005-0000-0000-000090990000}"/>
    <cellStyle name="Normal 3 4 11 2 14 2" xfId="39322" xr:uid="{00000000-0005-0000-0000-000091990000}"/>
    <cellStyle name="Normal 3 4 11 2 14 3" xfId="39323" xr:uid="{00000000-0005-0000-0000-000092990000}"/>
    <cellStyle name="Normal 3 4 11 2 15" xfId="39324" xr:uid="{00000000-0005-0000-0000-000093990000}"/>
    <cellStyle name="Normal 3 4 11 2 15 2" xfId="39325" xr:uid="{00000000-0005-0000-0000-000094990000}"/>
    <cellStyle name="Normal 3 4 11 2 15 3" xfId="39326" xr:uid="{00000000-0005-0000-0000-000095990000}"/>
    <cellStyle name="Normal 3 4 11 2 16" xfId="39327" xr:uid="{00000000-0005-0000-0000-000096990000}"/>
    <cellStyle name="Normal 3 4 11 2 17" xfId="39328" xr:uid="{00000000-0005-0000-0000-000097990000}"/>
    <cellStyle name="Normal 3 4 11 2 2" xfId="39329" xr:uid="{00000000-0005-0000-0000-000098990000}"/>
    <cellStyle name="Normal 3 4 11 2 2 10" xfId="39330" xr:uid="{00000000-0005-0000-0000-000099990000}"/>
    <cellStyle name="Normal 3 4 11 2 2 10 2" xfId="39331" xr:uid="{00000000-0005-0000-0000-00009A990000}"/>
    <cellStyle name="Normal 3 4 11 2 2 10 3" xfId="39332" xr:uid="{00000000-0005-0000-0000-00009B990000}"/>
    <cellStyle name="Normal 3 4 11 2 2 11" xfId="39333" xr:uid="{00000000-0005-0000-0000-00009C990000}"/>
    <cellStyle name="Normal 3 4 11 2 2 11 2" xfId="39334" xr:uid="{00000000-0005-0000-0000-00009D990000}"/>
    <cellStyle name="Normal 3 4 11 2 2 11 3" xfId="39335" xr:uid="{00000000-0005-0000-0000-00009E990000}"/>
    <cellStyle name="Normal 3 4 11 2 2 12" xfId="39336" xr:uid="{00000000-0005-0000-0000-00009F990000}"/>
    <cellStyle name="Normal 3 4 11 2 2 12 2" xfId="39337" xr:uid="{00000000-0005-0000-0000-0000A0990000}"/>
    <cellStyle name="Normal 3 4 11 2 2 12 3" xfId="39338" xr:uid="{00000000-0005-0000-0000-0000A1990000}"/>
    <cellStyle name="Normal 3 4 11 2 2 13" xfId="39339" xr:uid="{00000000-0005-0000-0000-0000A2990000}"/>
    <cellStyle name="Normal 3 4 11 2 2 13 2" xfId="39340" xr:uid="{00000000-0005-0000-0000-0000A3990000}"/>
    <cellStyle name="Normal 3 4 11 2 2 13 3" xfId="39341" xr:uid="{00000000-0005-0000-0000-0000A4990000}"/>
    <cellStyle name="Normal 3 4 11 2 2 14" xfId="39342" xr:uid="{00000000-0005-0000-0000-0000A5990000}"/>
    <cellStyle name="Normal 3 4 11 2 2 14 2" xfId="39343" xr:uid="{00000000-0005-0000-0000-0000A6990000}"/>
    <cellStyle name="Normal 3 4 11 2 2 14 3" xfId="39344" xr:uid="{00000000-0005-0000-0000-0000A7990000}"/>
    <cellStyle name="Normal 3 4 11 2 2 15" xfId="39345" xr:uid="{00000000-0005-0000-0000-0000A8990000}"/>
    <cellStyle name="Normal 3 4 11 2 2 16" xfId="39346" xr:uid="{00000000-0005-0000-0000-0000A9990000}"/>
    <cellStyle name="Normal 3 4 11 2 2 2" xfId="39347" xr:uid="{00000000-0005-0000-0000-0000AA990000}"/>
    <cellStyle name="Normal 3 4 11 2 2 2 2" xfId="39348" xr:uid="{00000000-0005-0000-0000-0000AB990000}"/>
    <cellStyle name="Normal 3 4 11 2 2 2 3" xfId="39349" xr:uid="{00000000-0005-0000-0000-0000AC990000}"/>
    <cellStyle name="Normal 3 4 11 2 2 3" xfId="39350" xr:uid="{00000000-0005-0000-0000-0000AD990000}"/>
    <cellStyle name="Normal 3 4 11 2 2 3 2" xfId="39351" xr:uid="{00000000-0005-0000-0000-0000AE990000}"/>
    <cellStyle name="Normal 3 4 11 2 2 3 3" xfId="39352" xr:uid="{00000000-0005-0000-0000-0000AF990000}"/>
    <cellStyle name="Normal 3 4 11 2 2 4" xfId="39353" xr:uid="{00000000-0005-0000-0000-0000B0990000}"/>
    <cellStyle name="Normal 3 4 11 2 2 4 2" xfId="39354" xr:uid="{00000000-0005-0000-0000-0000B1990000}"/>
    <cellStyle name="Normal 3 4 11 2 2 4 3" xfId="39355" xr:uid="{00000000-0005-0000-0000-0000B2990000}"/>
    <cellStyle name="Normal 3 4 11 2 2 5" xfId="39356" xr:uid="{00000000-0005-0000-0000-0000B3990000}"/>
    <cellStyle name="Normal 3 4 11 2 2 5 2" xfId="39357" xr:uid="{00000000-0005-0000-0000-0000B4990000}"/>
    <cellStyle name="Normal 3 4 11 2 2 5 3" xfId="39358" xr:uid="{00000000-0005-0000-0000-0000B5990000}"/>
    <cellStyle name="Normal 3 4 11 2 2 6" xfId="39359" xr:uid="{00000000-0005-0000-0000-0000B6990000}"/>
    <cellStyle name="Normal 3 4 11 2 2 6 2" xfId="39360" xr:uid="{00000000-0005-0000-0000-0000B7990000}"/>
    <cellStyle name="Normal 3 4 11 2 2 6 3" xfId="39361" xr:uid="{00000000-0005-0000-0000-0000B8990000}"/>
    <cellStyle name="Normal 3 4 11 2 2 7" xfId="39362" xr:uid="{00000000-0005-0000-0000-0000B9990000}"/>
    <cellStyle name="Normal 3 4 11 2 2 7 2" xfId="39363" xr:uid="{00000000-0005-0000-0000-0000BA990000}"/>
    <cellStyle name="Normal 3 4 11 2 2 7 3" xfId="39364" xr:uid="{00000000-0005-0000-0000-0000BB990000}"/>
    <cellStyle name="Normal 3 4 11 2 2 8" xfId="39365" xr:uid="{00000000-0005-0000-0000-0000BC990000}"/>
    <cellStyle name="Normal 3 4 11 2 2 8 2" xfId="39366" xr:uid="{00000000-0005-0000-0000-0000BD990000}"/>
    <cellStyle name="Normal 3 4 11 2 2 8 3" xfId="39367" xr:uid="{00000000-0005-0000-0000-0000BE990000}"/>
    <cellStyle name="Normal 3 4 11 2 2 9" xfId="39368" xr:uid="{00000000-0005-0000-0000-0000BF990000}"/>
    <cellStyle name="Normal 3 4 11 2 2 9 2" xfId="39369" xr:uid="{00000000-0005-0000-0000-0000C0990000}"/>
    <cellStyle name="Normal 3 4 11 2 2 9 3" xfId="39370" xr:uid="{00000000-0005-0000-0000-0000C1990000}"/>
    <cellStyle name="Normal 3 4 11 2 3" xfId="39371" xr:uid="{00000000-0005-0000-0000-0000C2990000}"/>
    <cellStyle name="Normal 3 4 11 2 3 2" xfId="39372" xr:uid="{00000000-0005-0000-0000-0000C3990000}"/>
    <cellStyle name="Normal 3 4 11 2 3 3" xfId="39373" xr:uid="{00000000-0005-0000-0000-0000C4990000}"/>
    <cellStyle name="Normal 3 4 11 2 4" xfId="39374" xr:uid="{00000000-0005-0000-0000-0000C5990000}"/>
    <cellStyle name="Normal 3 4 11 2 4 2" xfId="39375" xr:uid="{00000000-0005-0000-0000-0000C6990000}"/>
    <cellStyle name="Normal 3 4 11 2 4 3" xfId="39376" xr:uid="{00000000-0005-0000-0000-0000C7990000}"/>
    <cellStyle name="Normal 3 4 11 2 5" xfId="39377" xr:uid="{00000000-0005-0000-0000-0000C8990000}"/>
    <cellStyle name="Normal 3 4 11 2 5 2" xfId="39378" xr:uid="{00000000-0005-0000-0000-0000C9990000}"/>
    <cellStyle name="Normal 3 4 11 2 5 3" xfId="39379" xr:uid="{00000000-0005-0000-0000-0000CA990000}"/>
    <cellStyle name="Normal 3 4 11 2 6" xfId="39380" xr:uid="{00000000-0005-0000-0000-0000CB990000}"/>
    <cellStyle name="Normal 3 4 11 2 6 2" xfId="39381" xr:uid="{00000000-0005-0000-0000-0000CC990000}"/>
    <cellStyle name="Normal 3 4 11 2 6 3" xfId="39382" xr:uid="{00000000-0005-0000-0000-0000CD990000}"/>
    <cellStyle name="Normal 3 4 11 2 7" xfId="39383" xr:uid="{00000000-0005-0000-0000-0000CE990000}"/>
    <cellStyle name="Normal 3 4 11 2 7 2" xfId="39384" xr:uid="{00000000-0005-0000-0000-0000CF990000}"/>
    <cellStyle name="Normal 3 4 11 2 7 3" xfId="39385" xr:uid="{00000000-0005-0000-0000-0000D0990000}"/>
    <cellStyle name="Normal 3 4 11 2 8" xfId="39386" xr:uid="{00000000-0005-0000-0000-0000D1990000}"/>
    <cellStyle name="Normal 3 4 11 2 8 2" xfId="39387" xr:uid="{00000000-0005-0000-0000-0000D2990000}"/>
    <cellStyle name="Normal 3 4 11 2 8 3" xfId="39388" xr:uid="{00000000-0005-0000-0000-0000D3990000}"/>
    <cellStyle name="Normal 3 4 11 2 9" xfId="39389" xr:uid="{00000000-0005-0000-0000-0000D4990000}"/>
    <cellStyle name="Normal 3 4 11 2 9 2" xfId="39390" xr:uid="{00000000-0005-0000-0000-0000D5990000}"/>
    <cellStyle name="Normal 3 4 11 2 9 3" xfId="39391" xr:uid="{00000000-0005-0000-0000-0000D6990000}"/>
    <cellStyle name="Normal 3 4 11 20" xfId="39392" xr:uid="{00000000-0005-0000-0000-0000D7990000}"/>
    <cellStyle name="Normal 3 4 11 20 2" xfId="39393" xr:uid="{00000000-0005-0000-0000-0000D8990000}"/>
    <cellStyle name="Normal 3 4 11 20 3" xfId="39394" xr:uid="{00000000-0005-0000-0000-0000D9990000}"/>
    <cellStyle name="Normal 3 4 11 21" xfId="39395" xr:uid="{00000000-0005-0000-0000-0000DA990000}"/>
    <cellStyle name="Normal 3 4 11 21 2" xfId="39396" xr:uid="{00000000-0005-0000-0000-0000DB990000}"/>
    <cellStyle name="Normal 3 4 11 21 3" xfId="39397" xr:uid="{00000000-0005-0000-0000-0000DC990000}"/>
    <cellStyle name="Normal 3 4 11 22" xfId="39398" xr:uid="{00000000-0005-0000-0000-0000DD990000}"/>
    <cellStyle name="Normal 3 4 11 22 2" xfId="39399" xr:uid="{00000000-0005-0000-0000-0000DE990000}"/>
    <cellStyle name="Normal 3 4 11 22 3" xfId="39400" xr:uid="{00000000-0005-0000-0000-0000DF990000}"/>
    <cellStyle name="Normal 3 4 11 23" xfId="39401" xr:uid="{00000000-0005-0000-0000-0000E0990000}"/>
    <cellStyle name="Normal 3 4 11 23 2" xfId="39402" xr:uid="{00000000-0005-0000-0000-0000E1990000}"/>
    <cellStyle name="Normal 3 4 11 23 3" xfId="39403" xr:uid="{00000000-0005-0000-0000-0000E2990000}"/>
    <cellStyle name="Normal 3 4 11 24" xfId="39404" xr:uid="{00000000-0005-0000-0000-0000E3990000}"/>
    <cellStyle name="Normal 3 4 11 25" xfId="39405" xr:uid="{00000000-0005-0000-0000-0000E4990000}"/>
    <cellStyle name="Normal 3 4 11 3" xfId="39406" xr:uid="{00000000-0005-0000-0000-0000E5990000}"/>
    <cellStyle name="Normal 3 4 11 3 10" xfId="39407" xr:uid="{00000000-0005-0000-0000-0000E6990000}"/>
    <cellStyle name="Normal 3 4 11 3 10 2" xfId="39408" xr:uid="{00000000-0005-0000-0000-0000E7990000}"/>
    <cellStyle name="Normal 3 4 11 3 10 3" xfId="39409" xr:uid="{00000000-0005-0000-0000-0000E8990000}"/>
    <cellStyle name="Normal 3 4 11 3 11" xfId="39410" xr:uid="{00000000-0005-0000-0000-0000E9990000}"/>
    <cellStyle name="Normal 3 4 11 3 11 2" xfId="39411" xr:uid="{00000000-0005-0000-0000-0000EA990000}"/>
    <cellStyle name="Normal 3 4 11 3 11 3" xfId="39412" xr:uid="{00000000-0005-0000-0000-0000EB990000}"/>
    <cellStyle name="Normal 3 4 11 3 12" xfId="39413" xr:uid="{00000000-0005-0000-0000-0000EC990000}"/>
    <cellStyle name="Normal 3 4 11 3 12 2" xfId="39414" xr:uid="{00000000-0005-0000-0000-0000ED990000}"/>
    <cellStyle name="Normal 3 4 11 3 12 3" xfId="39415" xr:uid="{00000000-0005-0000-0000-0000EE990000}"/>
    <cellStyle name="Normal 3 4 11 3 13" xfId="39416" xr:uid="{00000000-0005-0000-0000-0000EF990000}"/>
    <cellStyle name="Normal 3 4 11 3 13 2" xfId="39417" xr:uid="{00000000-0005-0000-0000-0000F0990000}"/>
    <cellStyle name="Normal 3 4 11 3 13 3" xfId="39418" xr:uid="{00000000-0005-0000-0000-0000F1990000}"/>
    <cellStyle name="Normal 3 4 11 3 14" xfId="39419" xr:uid="{00000000-0005-0000-0000-0000F2990000}"/>
    <cellStyle name="Normal 3 4 11 3 14 2" xfId="39420" xr:uid="{00000000-0005-0000-0000-0000F3990000}"/>
    <cellStyle name="Normal 3 4 11 3 14 3" xfId="39421" xr:uid="{00000000-0005-0000-0000-0000F4990000}"/>
    <cellStyle name="Normal 3 4 11 3 15" xfId="39422" xr:uid="{00000000-0005-0000-0000-0000F5990000}"/>
    <cellStyle name="Normal 3 4 11 3 15 2" xfId="39423" xr:uid="{00000000-0005-0000-0000-0000F6990000}"/>
    <cellStyle name="Normal 3 4 11 3 15 3" xfId="39424" xr:uid="{00000000-0005-0000-0000-0000F7990000}"/>
    <cellStyle name="Normal 3 4 11 3 16" xfId="39425" xr:uid="{00000000-0005-0000-0000-0000F8990000}"/>
    <cellStyle name="Normal 3 4 11 3 17" xfId="39426" xr:uid="{00000000-0005-0000-0000-0000F9990000}"/>
    <cellStyle name="Normal 3 4 11 3 2" xfId="39427" xr:uid="{00000000-0005-0000-0000-0000FA990000}"/>
    <cellStyle name="Normal 3 4 11 3 2 10" xfId="39428" xr:uid="{00000000-0005-0000-0000-0000FB990000}"/>
    <cellStyle name="Normal 3 4 11 3 2 10 2" xfId="39429" xr:uid="{00000000-0005-0000-0000-0000FC990000}"/>
    <cellStyle name="Normal 3 4 11 3 2 10 3" xfId="39430" xr:uid="{00000000-0005-0000-0000-0000FD990000}"/>
    <cellStyle name="Normal 3 4 11 3 2 11" xfId="39431" xr:uid="{00000000-0005-0000-0000-0000FE990000}"/>
    <cellStyle name="Normal 3 4 11 3 2 11 2" xfId="39432" xr:uid="{00000000-0005-0000-0000-0000FF990000}"/>
    <cellStyle name="Normal 3 4 11 3 2 11 3" xfId="39433" xr:uid="{00000000-0005-0000-0000-0000009A0000}"/>
    <cellStyle name="Normal 3 4 11 3 2 12" xfId="39434" xr:uid="{00000000-0005-0000-0000-0000019A0000}"/>
    <cellStyle name="Normal 3 4 11 3 2 12 2" xfId="39435" xr:uid="{00000000-0005-0000-0000-0000029A0000}"/>
    <cellStyle name="Normal 3 4 11 3 2 12 3" xfId="39436" xr:uid="{00000000-0005-0000-0000-0000039A0000}"/>
    <cellStyle name="Normal 3 4 11 3 2 13" xfId="39437" xr:uid="{00000000-0005-0000-0000-0000049A0000}"/>
    <cellStyle name="Normal 3 4 11 3 2 13 2" xfId="39438" xr:uid="{00000000-0005-0000-0000-0000059A0000}"/>
    <cellStyle name="Normal 3 4 11 3 2 13 3" xfId="39439" xr:uid="{00000000-0005-0000-0000-0000069A0000}"/>
    <cellStyle name="Normal 3 4 11 3 2 14" xfId="39440" xr:uid="{00000000-0005-0000-0000-0000079A0000}"/>
    <cellStyle name="Normal 3 4 11 3 2 14 2" xfId="39441" xr:uid="{00000000-0005-0000-0000-0000089A0000}"/>
    <cellStyle name="Normal 3 4 11 3 2 14 3" xfId="39442" xr:uid="{00000000-0005-0000-0000-0000099A0000}"/>
    <cellStyle name="Normal 3 4 11 3 2 15" xfId="39443" xr:uid="{00000000-0005-0000-0000-00000A9A0000}"/>
    <cellStyle name="Normal 3 4 11 3 2 16" xfId="39444" xr:uid="{00000000-0005-0000-0000-00000B9A0000}"/>
    <cellStyle name="Normal 3 4 11 3 2 2" xfId="39445" xr:uid="{00000000-0005-0000-0000-00000C9A0000}"/>
    <cellStyle name="Normal 3 4 11 3 2 2 2" xfId="39446" xr:uid="{00000000-0005-0000-0000-00000D9A0000}"/>
    <cellStyle name="Normal 3 4 11 3 2 2 3" xfId="39447" xr:uid="{00000000-0005-0000-0000-00000E9A0000}"/>
    <cellStyle name="Normal 3 4 11 3 2 3" xfId="39448" xr:uid="{00000000-0005-0000-0000-00000F9A0000}"/>
    <cellStyle name="Normal 3 4 11 3 2 3 2" xfId="39449" xr:uid="{00000000-0005-0000-0000-0000109A0000}"/>
    <cellStyle name="Normal 3 4 11 3 2 3 3" xfId="39450" xr:uid="{00000000-0005-0000-0000-0000119A0000}"/>
    <cellStyle name="Normal 3 4 11 3 2 4" xfId="39451" xr:uid="{00000000-0005-0000-0000-0000129A0000}"/>
    <cellStyle name="Normal 3 4 11 3 2 4 2" xfId="39452" xr:uid="{00000000-0005-0000-0000-0000139A0000}"/>
    <cellStyle name="Normal 3 4 11 3 2 4 3" xfId="39453" xr:uid="{00000000-0005-0000-0000-0000149A0000}"/>
    <cellStyle name="Normal 3 4 11 3 2 5" xfId="39454" xr:uid="{00000000-0005-0000-0000-0000159A0000}"/>
    <cellStyle name="Normal 3 4 11 3 2 5 2" xfId="39455" xr:uid="{00000000-0005-0000-0000-0000169A0000}"/>
    <cellStyle name="Normal 3 4 11 3 2 5 3" xfId="39456" xr:uid="{00000000-0005-0000-0000-0000179A0000}"/>
    <cellStyle name="Normal 3 4 11 3 2 6" xfId="39457" xr:uid="{00000000-0005-0000-0000-0000189A0000}"/>
    <cellStyle name="Normal 3 4 11 3 2 6 2" xfId="39458" xr:uid="{00000000-0005-0000-0000-0000199A0000}"/>
    <cellStyle name="Normal 3 4 11 3 2 6 3" xfId="39459" xr:uid="{00000000-0005-0000-0000-00001A9A0000}"/>
    <cellStyle name="Normal 3 4 11 3 2 7" xfId="39460" xr:uid="{00000000-0005-0000-0000-00001B9A0000}"/>
    <cellStyle name="Normal 3 4 11 3 2 7 2" xfId="39461" xr:uid="{00000000-0005-0000-0000-00001C9A0000}"/>
    <cellStyle name="Normal 3 4 11 3 2 7 3" xfId="39462" xr:uid="{00000000-0005-0000-0000-00001D9A0000}"/>
    <cellStyle name="Normal 3 4 11 3 2 8" xfId="39463" xr:uid="{00000000-0005-0000-0000-00001E9A0000}"/>
    <cellStyle name="Normal 3 4 11 3 2 8 2" xfId="39464" xr:uid="{00000000-0005-0000-0000-00001F9A0000}"/>
    <cellStyle name="Normal 3 4 11 3 2 8 3" xfId="39465" xr:uid="{00000000-0005-0000-0000-0000209A0000}"/>
    <cellStyle name="Normal 3 4 11 3 2 9" xfId="39466" xr:uid="{00000000-0005-0000-0000-0000219A0000}"/>
    <cellStyle name="Normal 3 4 11 3 2 9 2" xfId="39467" xr:uid="{00000000-0005-0000-0000-0000229A0000}"/>
    <cellStyle name="Normal 3 4 11 3 2 9 3" xfId="39468" xr:uid="{00000000-0005-0000-0000-0000239A0000}"/>
    <cellStyle name="Normal 3 4 11 3 3" xfId="39469" xr:uid="{00000000-0005-0000-0000-0000249A0000}"/>
    <cellStyle name="Normal 3 4 11 3 3 2" xfId="39470" xr:uid="{00000000-0005-0000-0000-0000259A0000}"/>
    <cellStyle name="Normal 3 4 11 3 3 3" xfId="39471" xr:uid="{00000000-0005-0000-0000-0000269A0000}"/>
    <cellStyle name="Normal 3 4 11 3 4" xfId="39472" xr:uid="{00000000-0005-0000-0000-0000279A0000}"/>
    <cellStyle name="Normal 3 4 11 3 4 2" xfId="39473" xr:uid="{00000000-0005-0000-0000-0000289A0000}"/>
    <cellStyle name="Normal 3 4 11 3 4 3" xfId="39474" xr:uid="{00000000-0005-0000-0000-0000299A0000}"/>
    <cellStyle name="Normal 3 4 11 3 5" xfId="39475" xr:uid="{00000000-0005-0000-0000-00002A9A0000}"/>
    <cellStyle name="Normal 3 4 11 3 5 2" xfId="39476" xr:uid="{00000000-0005-0000-0000-00002B9A0000}"/>
    <cellStyle name="Normal 3 4 11 3 5 3" xfId="39477" xr:uid="{00000000-0005-0000-0000-00002C9A0000}"/>
    <cellStyle name="Normal 3 4 11 3 6" xfId="39478" xr:uid="{00000000-0005-0000-0000-00002D9A0000}"/>
    <cellStyle name="Normal 3 4 11 3 6 2" xfId="39479" xr:uid="{00000000-0005-0000-0000-00002E9A0000}"/>
    <cellStyle name="Normal 3 4 11 3 6 3" xfId="39480" xr:uid="{00000000-0005-0000-0000-00002F9A0000}"/>
    <cellStyle name="Normal 3 4 11 3 7" xfId="39481" xr:uid="{00000000-0005-0000-0000-0000309A0000}"/>
    <cellStyle name="Normal 3 4 11 3 7 2" xfId="39482" xr:uid="{00000000-0005-0000-0000-0000319A0000}"/>
    <cellStyle name="Normal 3 4 11 3 7 3" xfId="39483" xr:uid="{00000000-0005-0000-0000-0000329A0000}"/>
    <cellStyle name="Normal 3 4 11 3 8" xfId="39484" xr:uid="{00000000-0005-0000-0000-0000339A0000}"/>
    <cellStyle name="Normal 3 4 11 3 8 2" xfId="39485" xr:uid="{00000000-0005-0000-0000-0000349A0000}"/>
    <cellStyle name="Normal 3 4 11 3 8 3" xfId="39486" xr:uid="{00000000-0005-0000-0000-0000359A0000}"/>
    <cellStyle name="Normal 3 4 11 3 9" xfId="39487" xr:uid="{00000000-0005-0000-0000-0000369A0000}"/>
    <cellStyle name="Normal 3 4 11 3 9 2" xfId="39488" xr:uid="{00000000-0005-0000-0000-0000379A0000}"/>
    <cellStyle name="Normal 3 4 11 3 9 3" xfId="39489" xr:uid="{00000000-0005-0000-0000-0000389A0000}"/>
    <cellStyle name="Normal 3 4 11 4" xfId="39490" xr:uid="{00000000-0005-0000-0000-0000399A0000}"/>
    <cellStyle name="Normal 3 4 11 4 10" xfId="39491" xr:uid="{00000000-0005-0000-0000-00003A9A0000}"/>
    <cellStyle name="Normal 3 4 11 4 10 2" xfId="39492" xr:uid="{00000000-0005-0000-0000-00003B9A0000}"/>
    <cellStyle name="Normal 3 4 11 4 10 3" xfId="39493" xr:uid="{00000000-0005-0000-0000-00003C9A0000}"/>
    <cellStyle name="Normal 3 4 11 4 11" xfId="39494" xr:uid="{00000000-0005-0000-0000-00003D9A0000}"/>
    <cellStyle name="Normal 3 4 11 4 11 2" xfId="39495" xr:uid="{00000000-0005-0000-0000-00003E9A0000}"/>
    <cellStyle name="Normal 3 4 11 4 11 3" xfId="39496" xr:uid="{00000000-0005-0000-0000-00003F9A0000}"/>
    <cellStyle name="Normal 3 4 11 4 12" xfId="39497" xr:uid="{00000000-0005-0000-0000-0000409A0000}"/>
    <cellStyle name="Normal 3 4 11 4 12 2" xfId="39498" xr:uid="{00000000-0005-0000-0000-0000419A0000}"/>
    <cellStyle name="Normal 3 4 11 4 12 3" xfId="39499" xr:uid="{00000000-0005-0000-0000-0000429A0000}"/>
    <cellStyle name="Normal 3 4 11 4 13" xfId="39500" xr:uid="{00000000-0005-0000-0000-0000439A0000}"/>
    <cellStyle name="Normal 3 4 11 4 13 2" xfId="39501" xr:uid="{00000000-0005-0000-0000-0000449A0000}"/>
    <cellStyle name="Normal 3 4 11 4 13 3" xfId="39502" xr:uid="{00000000-0005-0000-0000-0000459A0000}"/>
    <cellStyle name="Normal 3 4 11 4 14" xfId="39503" xr:uid="{00000000-0005-0000-0000-0000469A0000}"/>
    <cellStyle name="Normal 3 4 11 4 14 2" xfId="39504" xr:uid="{00000000-0005-0000-0000-0000479A0000}"/>
    <cellStyle name="Normal 3 4 11 4 14 3" xfId="39505" xr:uid="{00000000-0005-0000-0000-0000489A0000}"/>
    <cellStyle name="Normal 3 4 11 4 15" xfId="39506" xr:uid="{00000000-0005-0000-0000-0000499A0000}"/>
    <cellStyle name="Normal 3 4 11 4 15 2" xfId="39507" xr:uid="{00000000-0005-0000-0000-00004A9A0000}"/>
    <cellStyle name="Normal 3 4 11 4 15 3" xfId="39508" xr:uid="{00000000-0005-0000-0000-00004B9A0000}"/>
    <cellStyle name="Normal 3 4 11 4 16" xfId="39509" xr:uid="{00000000-0005-0000-0000-00004C9A0000}"/>
    <cellStyle name="Normal 3 4 11 4 17" xfId="39510" xr:uid="{00000000-0005-0000-0000-00004D9A0000}"/>
    <cellStyle name="Normal 3 4 11 4 2" xfId="39511" xr:uid="{00000000-0005-0000-0000-00004E9A0000}"/>
    <cellStyle name="Normal 3 4 11 4 2 10" xfId="39512" xr:uid="{00000000-0005-0000-0000-00004F9A0000}"/>
    <cellStyle name="Normal 3 4 11 4 2 10 2" xfId="39513" xr:uid="{00000000-0005-0000-0000-0000509A0000}"/>
    <cellStyle name="Normal 3 4 11 4 2 10 3" xfId="39514" xr:uid="{00000000-0005-0000-0000-0000519A0000}"/>
    <cellStyle name="Normal 3 4 11 4 2 11" xfId="39515" xr:uid="{00000000-0005-0000-0000-0000529A0000}"/>
    <cellStyle name="Normal 3 4 11 4 2 11 2" xfId="39516" xr:uid="{00000000-0005-0000-0000-0000539A0000}"/>
    <cellStyle name="Normal 3 4 11 4 2 11 3" xfId="39517" xr:uid="{00000000-0005-0000-0000-0000549A0000}"/>
    <cellStyle name="Normal 3 4 11 4 2 12" xfId="39518" xr:uid="{00000000-0005-0000-0000-0000559A0000}"/>
    <cellStyle name="Normal 3 4 11 4 2 12 2" xfId="39519" xr:uid="{00000000-0005-0000-0000-0000569A0000}"/>
    <cellStyle name="Normal 3 4 11 4 2 12 3" xfId="39520" xr:uid="{00000000-0005-0000-0000-0000579A0000}"/>
    <cellStyle name="Normal 3 4 11 4 2 13" xfId="39521" xr:uid="{00000000-0005-0000-0000-0000589A0000}"/>
    <cellStyle name="Normal 3 4 11 4 2 13 2" xfId="39522" xr:uid="{00000000-0005-0000-0000-0000599A0000}"/>
    <cellStyle name="Normal 3 4 11 4 2 13 3" xfId="39523" xr:uid="{00000000-0005-0000-0000-00005A9A0000}"/>
    <cellStyle name="Normal 3 4 11 4 2 14" xfId="39524" xr:uid="{00000000-0005-0000-0000-00005B9A0000}"/>
    <cellStyle name="Normal 3 4 11 4 2 14 2" xfId="39525" xr:uid="{00000000-0005-0000-0000-00005C9A0000}"/>
    <cellStyle name="Normal 3 4 11 4 2 14 3" xfId="39526" xr:uid="{00000000-0005-0000-0000-00005D9A0000}"/>
    <cellStyle name="Normal 3 4 11 4 2 15" xfId="39527" xr:uid="{00000000-0005-0000-0000-00005E9A0000}"/>
    <cellStyle name="Normal 3 4 11 4 2 16" xfId="39528" xr:uid="{00000000-0005-0000-0000-00005F9A0000}"/>
    <cellStyle name="Normal 3 4 11 4 2 2" xfId="39529" xr:uid="{00000000-0005-0000-0000-0000609A0000}"/>
    <cellStyle name="Normal 3 4 11 4 2 2 2" xfId="39530" xr:uid="{00000000-0005-0000-0000-0000619A0000}"/>
    <cellStyle name="Normal 3 4 11 4 2 2 3" xfId="39531" xr:uid="{00000000-0005-0000-0000-0000629A0000}"/>
    <cellStyle name="Normal 3 4 11 4 2 3" xfId="39532" xr:uid="{00000000-0005-0000-0000-0000639A0000}"/>
    <cellStyle name="Normal 3 4 11 4 2 3 2" xfId="39533" xr:uid="{00000000-0005-0000-0000-0000649A0000}"/>
    <cellStyle name="Normal 3 4 11 4 2 3 3" xfId="39534" xr:uid="{00000000-0005-0000-0000-0000659A0000}"/>
    <cellStyle name="Normal 3 4 11 4 2 4" xfId="39535" xr:uid="{00000000-0005-0000-0000-0000669A0000}"/>
    <cellStyle name="Normal 3 4 11 4 2 4 2" xfId="39536" xr:uid="{00000000-0005-0000-0000-0000679A0000}"/>
    <cellStyle name="Normal 3 4 11 4 2 4 3" xfId="39537" xr:uid="{00000000-0005-0000-0000-0000689A0000}"/>
    <cellStyle name="Normal 3 4 11 4 2 5" xfId="39538" xr:uid="{00000000-0005-0000-0000-0000699A0000}"/>
    <cellStyle name="Normal 3 4 11 4 2 5 2" xfId="39539" xr:uid="{00000000-0005-0000-0000-00006A9A0000}"/>
    <cellStyle name="Normal 3 4 11 4 2 5 3" xfId="39540" xr:uid="{00000000-0005-0000-0000-00006B9A0000}"/>
    <cellStyle name="Normal 3 4 11 4 2 6" xfId="39541" xr:uid="{00000000-0005-0000-0000-00006C9A0000}"/>
    <cellStyle name="Normal 3 4 11 4 2 6 2" xfId="39542" xr:uid="{00000000-0005-0000-0000-00006D9A0000}"/>
    <cellStyle name="Normal 3 4 11 4 2 6 3" xfId="39543" xr:uid="{00000000-0005-0000-0000-00006E9A0000}"/>
    <cellStyle name="Normal 3 4 11 4 2 7" xfId="39544" xr:uid="{00000000-0005-0000-0000-00006F9A0000}"/>
    <cellStyle name="Normal 3 4 11 4 2 7 2" xfId="39545" xr:uid="{00000000-0005-0000-0000-0000709A0000}"/>
    <cellStyle name="Normal 3 4 11 4 2 7 3" xfId="39546" xr:uid="{00000000-0005-0000-0000-0000719A0000}"/>
    <cellStyle name="Normal 3 4 11 4 2 8" xfId="39547" xr:uid="{00000000-0005-0000-0000-0000729A0000}"/>
    <cellStyle name="Normal 3 4 11 4 2 8 2" xfId="39548" xr:uid="{00000000-0005-0000-0000-0000739A0000}"/>
    <cellStyle name="Normal 3 4 11 4 2 8 3" xfId="39549" xr:uid="{00000000-0005-0000-0000-0000749A0000}"/>
    <cellStyle name="Normal 3 4 11 4 2 9" xfId="39550" xr:uid="{00000000-0005-0000-0000-0000759A0000}"/>
    <cellStyle name="Normal 3 4 11 4 2 9 2" xfId="39551" xr:uid="{00000000-0005-0000-0000-0000769A0000}"/>
    <cellStyle name="Normal 3 4 11 4 2 9 3" xfId="39552" xr:uid="{00000000-0005-0000-0000-0000779A0000}"/>
    <cellStyle name="Normal 3 4 11 4 3" xfId="39553" xr:uid="{00000000-0005-0000-0000-0000789A0000}"/>
    <cellStyle name="Normal 3 4 11 4 3 2" xfId="39554" xr:uid="{00000000-0005-0000-0000-0000799A0000}"/>
    <cellStyle name="Normal 3 4 11 4 3 3" xfId="39555" xr:uid="{00000000-0005-0000-0000-00007A9A0000}"/>
    <cellStyle name="Normal 3 4 11 4 4" xfId="39556" xr:uid="{00000000-0005-0000-0000-00007B9A0000}"/>
    <cellStyle name="Normal 3 4 11 4 4 2" xfId="39557" xr:uid="{00000000-0005-0000-0000-00007C9A0000}"/>
    <cellStyle name="Normal 3 4 11 4 4 3" xfId="39558" xr:uid="{00000000-0005-0000-0000-00007D9A0000}"/>
    <cellStyle name="Normal 3 4 11 4 5" xfId="39559" xr:uid="{00000000-0005-0000-0000-00007E9A0000}"/>
    <cellStyle name="Normal 3 4 11 4 5 2" xfId="39560" xr:uid="{00000000-0005-0000-0000-00007F9A0000}"/>
    <cellStyle name="Normal 3 4 11 4 5 3" xfId="39561" xr:uid="{00000000-0005-0000-0000-0000809A0000}"/>
    <cellStyle name="Normal 3 4 11 4 6" xfId="39562" xr:uid="{00000000-0005-0000-0000-0000819A0000}"/>
    <cellStyle name="Normal 3 4 11 4 6 2" xfId="39563" xr:uid="{00000000-0005-0000-0000-0000829A0000}"/>
    <cellStyle name="Normal 3 4 11 4 6 3" xfId="39564" xr:uid="{00000000-0005-0000-0000-0000839A0000}"/>
    <cellStyle name="Normal 3 4 11 4 7" xfId="39565" xr:uid="{00000000-0005-0000-0000-0000849A0000}"/>
    <cellStyle name="Normal 3 4 11 4 7 2" xfId="39566" xr:uid="{00000000-0005-0000-0000-0000859A0000}"/>
    <cellStyle name="Normal 3 4 11 4 7 3" xfId="39567" xr:uid="{00000000-0005-0000-0000-0000869A0000}"/>
    <cellStyle name="Normal 3 4 11 4 8" xfId="39568" xr:uid="{00000000-0005-0000-0000-0000879A0000}"/>
    <cellStyle name="Normal 3 4 11 4 8 2" xfId="39569" xr:uid="{00000000-0005-0000-0000-0000889A0000}"/>
    <cellStyle name="Normal 3 4 11 4 8 3" xfId="39570" xr:uid="{00000000-0005-0000-0000-0000899A0000}"/>
    <cellStyle name="Normal 3 4 11 4 9" xfId="39571" xr:uid="{00000000-0005-0000-0000-00008A9A0000}"/>
    <cellStyle name="Normal 3 4 11 4 9 2" xfId="39572" xr:uid="{00000000-0005-0000-0000-00008B9A0000}"/>
    <cellStyle name="Normal 3 4 11 4 9 3" xfId="39573" xr:uid="{00000000-0005-0000-0000-00008C9A0000}"/>
    <cellStyle name="Normal 3 4 11 5" xfId="39574" xr:uid="{00000000-0005-0000-0000-00008D9A0000}"/>
    <cellStyle name="Normal 3 4 11 5 10" xfId="39575" xr:uid="{00000000-0005-0000-0000-00008E9A0000}"/>
    <cellStyle name="Normal 3 4 11 5 10 2" xfId="39576" xr:uid="{00000000-0005-0000-0000-00008F9A0000}"/>
    <cellStyle name="Normal 3 4 11 5 10 3" xfId="39577" xr:uid="{00000000-0005-0000-0000-0000909A0000}"/>
    <cellStyle name="Normal 3 4 11 5 11" xfId="39578" xr:uid="{00000000-0005-0000-0000-0000919A0000}"/>
    <cellStyle name="Normal 3 4 11 5 11 2" xfId="39579" xr:uid="{00000000-0005-0000-0000-0000929A0000}"/>
    <cellStyle name="Normal 3 4 11 5 11 3" xfId="39580" xr:uid="{00000000-0005-0000-0000-0000939A0000}"/>
    <cellStyle name="Normal 3 4 11 5 12" xfId="39581" xr:uid="{00000000-0005-0000-0000-0000949A0000}"/>
    <cellStyle name="Normal 3 4 11 5 12 2" xfId="39582" xr:uid="{00000000-0005-0000-0000-0000959A0000}"/>
    <cellStyle name="Normal 3 4 11 5 12 3" xfId="39583" xr:uid="{00000000-0005-0000-0000-0000969A0000}"/>
    <cellStyle name="Normal 3 4 11 5 13" xfId="39584" xr:uid="{00000000-0005-0000-0000-0000979A0000}"/>
    <cellStyle name="Normal 3 4 11 5 13 2" xfId="39585" xr:uid="{00000000-0005-0000-0000-0000989A0000}"/>
    <cellStyle name="Normal 3 4 11 5 13 3" xfId="39586" xr:uid="{00000000-0005-0000-0000-0000999A0000}"/>
    <cellStyle name="Normal 3 4 11 5 14" xfId="39587" xr:uid="{00000000-0005-0000-0000-00009A9A0000}"/>
    <cellStyle name="Normal 3 4 11 5 14 2" xfId="39588" xr:uid="{00000000-0005-0000-0000-00009B9A0000}"/>
    <cellStyle name="Normal 3 4 11 5 14 3" xfId="39589" xr:uid="{00000000-0005-0000-0000-00009C9A0000}"/>
    <cellStyle name="Normal 3 4 11 5 15" xfId="39590" xr:uid="{00000000-0005-0000-0000-00009D9A0000}"/>
    <cellStyle name="Normal 3 4 11 5 16" xfId="39591" xr:uid="{00000000-0005-0000-0000-00009E9A0000}"/>
    <cellStyle name="Normal 3 4 11 5 2" xfId="39592" xr:uid="{00000000-0005-0000-0000-00009F9A0000}"/>
    <cellStyle name="Normal 3 4 11 5 2 2" xfId="39593" xr:uid="{00000000-0005-0000-0000-0000A09A0000}"/>
    <cellStyle name="Normal 3 4 11 5 2 3" xfId="39594" xr:uid="{00000000-0005-0000-0000-0000A19A0000}"/>
    <cellStyle name="Normal 3 4 11 5 3" xfId="39595" xr:uid="{00000000-0005-0000-0000-0000A29A0000}"/>
    <cellStyle name="Normal 3 4 11 5 3 2" xfId="39596" xr:uid="{00000000-0005-0000-0000-0000A39A0000}"/>
    <cellStyle name="Normal 3 4 11 5 3 3" xfId="39597" xr:uid="{00000000-0005-0000-0000-0000A49A0000}"/>
    <cellStyle name="Normal 3 4 11 5 4" xfId="39598" xr:uid="{00000000-0005-0000-0000-0000A59A0000}"/>
    <cellStyle name="Normal 3 4 11 5 4 2" xfId="39599" xr:uid="{00000000-0005-0000-0000-0000A69A0000}"/>
    <cellStyle name="Normal 3 4 11 5 4 3" xfId="39600" xr:uid="{00000000-0005-0000-0000-0000A79A0000}"/>
    <cellStyle name="Normal 3 4 11 5 5" xfId="39601" xr:uid="{00000000-0005-0000-0000-0000A89A0000}"/>
    <cellStyle name="Normal 3 4 11 5 5 2" xfId="39602" xr:uid="{00000000-0005-0000-0000-0000A99A0000}"/>
    <cellStyle name="Normal 3 4 11 5 5 3" xfId="39603" xr:uid="{00000000-0005-0000-0000-0000AA9A0000}"/>
    <cellStyle name="Normal 3 4 11 5 6" xfId="39604" xr:uid="{00000000-0005-0000-0000-0000AB9A0000}"/>
    <cellStyle name="Normal 3 4 11 5 6 2" xfId="39605" xr:uid="{00000000-0005-0000-0000-0000AC9A0000}"/>
    <cellStyle name="Normal 3 4 11 5 6 3" xfId="39606" xr:uid="{00000000-0005-0000-0000-0000AD9A0000}"/>
    <cellStyle name="Normal 3 4 11 5 7" xfId="39607" xr:uid="{00000000-0005-0000-0000-0000AE9A0000}"/>
    <cellStyle name="Normal 3 4 11 5 7 2" xfId="39608" xr:uid="{00000000-0005-0000-0000-0000AF9A0000}"/>
    <cellStyle name="Normal 3 4 11 5 7 3" xfId="39609" xr:uid="{00000000-0005-0000-0000-0000B09A0000}"/>
    <cellStyle name="Normal 3 4 11 5 8" xfId="39610" xr:uid="{00000000-0005-0000-0000-0000B19A0000}"/>
    <cellStyle name="Normal 3 4 11 5 8 2" xfId="39611" xr:uid="{00000000-0005-0000-0000-0000B29A0000}"/>
    <cellStyle name="Normal 3 4 11 5 8 3" xfId="39612" xr:uid="{00000000-0005-0000-0000-0000B39A0000}"/>
    <cellStyle name="Normal 3 4 11 5 9" xfId="39613" xr:uid="{00000000-0005-0000-0000-0000B49A0000}"/>
    <cellStyle name="Normal 3 4 11 5 9 2" xfId="39614" xr:uid="{00000000-0005-0000-0000-0000B59A0000}"/>
    <cellStyle name="Normal 3 4 11 5 9 3" xfId="39615" xr:uid="{00000000-0005-0000-0000-0000B69A0000}"/>
    <cellStyle name="Normal 3 4 11 6" xfId="39616" xr:uid="{00000000-0005-0000-0000-0000B79A0000}"/>
    <cellStyle name="Normal 3 4 11 6 10" xfId="39617" xr:uid="{00000000-0005-0000-0000-0000B89A0000}"/>
    <cellStyle name="Normal 3 4 11 6 10 2" xfId="39618" xr:uid="{00000000-0005-0000-0000-0000B99A0000}"/>
    <cellStyle name="Normal 3 4 11 6 10 3" xfId="39619" xr:uid="{00000000-0005-0000-0000-0000BA9A0000}"/>
    <cellStyle name="Normal 3 4 11 6 11" xfId="39620" xr:uid="{00000000-0005-0000-0000-0000BB9A0000}"/>
    <cellStyle name="Normal 3 4 11 6 11 2" xfId="39621" xr:uid="{00000000-0005-0000-0000-0000BC9A0000}"/>
    <cellStyle name="Normal 3 4 11 6 11 3" xfId="39622" xr:uid="{00000000-0005-0000-0000-0000BD9A0000}"/>
    <cellStyle name="Normal 3 4 11 6 12" xfId="39623" xr:uid="{00000000-0005-0000-0000-0000BE9A0000}"/>
    <cellStyle name="Normal 3 4 11 6 12 2" xfId="39624" xr:uid="{00000000-0005-0000-0000-0000BF9A0000}"/>
    <cellStyle name="Normal 3 4 11 6 12 3" xfId="39625" xr:uid="{00000000-0005-0000-0000-0000C09A0000}"/>
    <cellStyle name="Normal 3 4 11 6 13" xfId="39626" xr:uid="{00000000-0005-0000-0000-0000C19A0000}"/>
    <cellStyle name="Normal 3 4 11 6 13 2" xfId="39627" xr:uid="{00000000-0005-0000-0000-0000C29A0000}"/>
    <cellStyle name="Normal 3 4 11 6 13 3" xfId="39628" xr:uid="{00000000-0005-0000-0000-0000C39A0000}"/>
    <cellStyle name="Normal 3 4 11 6 14" xfId="39629" xr:uid="{00000000-0005-0000-0000-0000C49A0000}"/>
    <cellStyle name="Normal 3 4 11 6 14 2" xfId="39630" xr:uid="{00000000-0005-0000-0000-0000C59A0000}"/>
    <cellStyle name="Normal 3 4 11 6 14 3" xfId="39631" xr:uid="{00000000-0005-0000-0000-0000C69A0000}"/>
    <cellStyle name="Normal 3 4 11 6 15" xfId="39632" xr:uid="{00000000-0005-0000-0000-0000C79A0000}"/>
    <cellStyle name="Normal 3 4 11 6 16" xfId="39633" xr:uid="{00000000-0005-0000-0000-0000C89A0000}"/>
    <cellStyle name="Normal 3 4 11 6 2" xfId="39634" xr:uid="{00000000-0005-0000-0000-0000C99A0000}"/>
    <cellStyle name="Normal 3 4 11 6 2 2" xfId="39635" xr:uid="{00000000-0005-0000-0000-0000CA9A0000}"/>
    <cellStyle name="Normal 3 4 11 6 2 3" xfId="39636" xr:uid="{00000000-0005-0000-0000-0000CB9A0000}"/>
    <cellStyle name="Normal 3 4 11 6 3" xfId="39637" xr:uid="{00000000-0005-0000-0000-0000CC9A0000}"/>
    <cellStyle name="Normal 3 4 11 6 3 2" xfId="39638" xr:uid="{00000000-0005-0000-0000-0000CD9A0000}"/>
    <cellStyle name="Normal 3 4 11 6 3 3" xfId="39639" xr:uid="{00000000-0005-0000-0000-0000CE9A0000}"/>
    <cellStyle name="Normal 3 4 11 6 4" xfId="39640" xr:uid="{00000000-0005-0000-0000-0000CF9A0000}"/>
    <cellStyle name="Normal 3 4 11 6 4 2" xfId="39641" xr:uid="{00000000-0005-0000-0000-0000D09A0000}"/>
    <cellStyle name="Normal 3 4 11 6 4 3" xfId="39642" xr:uid="{00000000-0005-0000-0000-0000D19A0000}"/>
    <cellStyle name="Normal 3 4 11 6 5" xfId="39643" xr:uid="{00000000-0005-0000-0000-0000D29A0000}"/>
    <cellStyle name="Normal 3 4 11 6 5 2" xfId="39644" xr:uid="{00000000-0005-0000-0000-0000D39A0000}"/>
    <cellStyle name="Normal 3 4 11 6 5 3" xfId="39645" xr:uid="{00000000-0005-0000-0000-0000D49A0000}"/>
    <cellStyle name="Normal 3 4 11 6 6" xfId="39646" xr:uid="{00000000-0005-0000-0000-0000D59A0000}"/>
    <cellStyle name="Normal 3 4 11 6 6 2" xfId="39647" xr:uid="{00000000-0005-0000-0000-0000D69A0000}"/>
    <cellStyle name="Normal 3 4 11 6 6 3" xfId="39648" xr:uid="{00000000-0005-0000-0000-0000D79A0000}"/>
    <cellStyle name="Normal 3 4 11 6 7" xfId="39649" xr:uid="{00000000-0005-0000-0000-0000D89A0000}"/>
    <cellStyle name="Normal 3 4 11 6 7 2" xfId="39650" xr:uid="{00000000-0005-0000-0000-0000D99A0000}"/>
    <cellStyle name="Normal 3 4 11 6 7 3" xfId="39651" xr:uid="{00000000-0005-0000-0000-0000DA9A0000}"/>
    <cellStyle name="Normal 3 4 11 6 8" xfId="39652" xr:uid="{00000000-0005-0000-0000-0000DB9A0000}"/>
    <cellStyle name="Normal 3 4 11 6 8 2" xfId="39653" xr:uid="{00000000-0005-0000-0000-0000DC9A0000}"/>
    <cellStyle name="Normal 3 4 11 6 8 3" xfId="39654" xr:uid="{00000000-0005-0000-0000-0000DD9A0000}"/>
    <cellStyle name="Normal 3 4 11 6 9" xfId="39655" xr:uid="{00000000-0005-0000-0000-0000DE9A0000}"/>
    <cellStyle name="Normal 3 4 11 6 9 2" xfId="39656" xr:uid="{00000000-0005-0000-0000-0000DF9A0000}"/>
    <cellStyle name="Normal 3 4 11 6 9 3" xfId="39657" xr:uid="{00000000-0005-0000-0000-0000E09A0000}"/>
    <cellStyle name="Normal 3 4 11 7" xfId="39658" xr:uid="{00000000-0005-0000-0000-0000E19A0000}"/>
    <cellStyle name="Normal 3 4 11 7 10" xfId="39659" xr:uid="{00000000-0005-0000-0000-0000E29A0000}"/>
    <cellStyle name="Normal 3 4 11 7 10 2" xfId="39660" xr:uid="{00000000-0005-0000-0000-0000E39A0000}"/>
    <cellStyle name="Normal 3 4 11 7 10 3" xfId="39661" xr:uid="{00000000-0005-0000-0000-0000E49A0000}"/>
    <cellStyle name="Normal 3 4 11 7 11" xfId="39662" xr:uid="{00000000-0005-0000-0000-0000E59A0000}"/>
    <cellStyle name="Normal 3 4 11 7 11 2" xfId="39663" xr:uid="{00000000-0005-0000-0000-0000E69A0000}"/>
    <cellStyle name="Normal 3 4 11 7 11 3" xfId="39664" xr:uid="{00000000-0005-0000-0000-0000E79A0000}"/>
    <cellStyle name="Normal 3 4 11 7 12" xfId="39665" xr:uid="{00000000-0005-0000-0000-0000E89A0000}"/>
    <cellStyle name="Normal 3 4 11 7 12 2" xfId="39666" xr:uid="{00000000-0005-0000-0000-0000E99A0000}"/>
    <cellStyle name="Normal 3 4 11 7 12 3" xfId="39667" xr:uid="{00000000-0005-0000-0000-0000EA9A0000}"/>
    <cellStyle name="Normal 3 4 11 7 13" xfId="39668" xr:uid="{00000000-0005-0000-0000-0000EB9A0000}"/>
    <cellStyle name="Normal 3 4 11 7 13 2" xfId="39669" xr:uid="{00000000-0005-0000-0000-0000EC9A0000}"/>
    <cellStyle name="Normal 3 4 11 7 13 3" xfId="39670" xr:uid="{00000000-0005-0000-0000-0000ED9A0000}"/>
    <cellStyle name="Normal 3 4 11 7 14" xfId="39671" xr:uid="{00000000-0005-0000-0000-0000EE9A0000}"/>
    <cellStyle name="Normal 3 4 11 7 14 2" xfId="39672" xr:uid="{00000000-0005-0000-0000-0000EF9A0000}"/>
    <cellStyle name="Normal 3 4 11 7 14 3" xfId="39673" xr:uid="{00000000-0005-0000-0000-0000F09A0000}"/>
    <cellStyle name="Normal 3 4 11 7 15" xfId="39674" xr:uid="{00000000-0005-0000-0000-0000F19A0000}"/>
    <cellStyle name="Normal 3 4 11 7 16" xfId="39675" xr:uid="{00000000-0005-0000-0000-0000F29A0000}"/>
    <cellStyle name="Normal 3 4 11 7 2" xfId="39676" xr:uid="{00000000-0005-0000-0000-0000F39A0000}"/>
    <cellStyle name="Normal 3 4 11 7 2 2" xfId="39677" xr:uid="{00000000-0005-0000-0000-0000F49A0000}"/>
    <cellStyle name="Normal 3 4 11 7 2 3" xfId="39678" xr:uid="{00000000-0005-0000-0000-0000F59A0000}"/>
    <cellStyle name="Normal 3 4 11 7 3" xfId="39679" xr:uid="{00000000-0005-0000-0000-0000F69A0000}"/>
    <cellStyle name="Normal 3 4 11 7 3 2" xfId="39680" xr:uid="{00000000-0005-0000-0000-0000F79A0000}"/>
    <cellStyle name="Normal 3 4 11 7 3 3" xfId="39681" xr:uid="{00000000-0005-0000-0000-0000F89A0000}"/>
    <cellStyle name="Normal 3 4 11 7 4" xfId="39682" xr:uid="{00000000-0005-0000-0000-0000F99A0000}"/>
    <cellStyle name="Normal 3 4 11 7 4 2" xfId="39683" xr:uid="{00000000-0005-0000-0000-0000FA9A0000}"/>
    <cellStyle name="Normal 3 4 11 7 4 3" xfId="39684" xr:uid="{00000000-0005-0000-0000-0000FB9A0000}"/>
    <cellStyle name="Normal 3 4 11 7 5" xfId="39685" xr:uid="{00000000-0005-0000-0000-0000FC9A0000}"/>
    <cellStyle name="Normal 3 4 11 7 5 2" xfId="39686" xr:uid="{00000000-0005-0000-0000-0000FD9A0000}"/>
    <cellStyle name="Normal 3 4 11 7 5 3" xfId="39687" xr:uid="{00000000-0005-0000-0000-0000FE9A0000}"/>
    <cellStyle name="Normal 3 4 11 7 6" xfId="39688" xr:uid="{00000000-0005-0000-0000-0000FF9A0000}"/>
    <cellStyle name="Normal 3 4 11 7 6 2" xfId="39689" xr:uid="{00000000-0005-0000-0000-0000009B0000}"/>
    <cellStyle name="Normal 3 4 11 7 6 3" xfId="39690" xr:uid="{00000000-0005-0000-0000-0000019B0000}"/>
    <cellStyle name="Normal 3 4 11 7 7" xfId="39691" xr:uid="{00000000-0005-0000-0000-0000029B0000}"/>
    <cellStyle name="Normal 3 4 11 7 7 2" xfId="39692" xr:uid="{00000000-0005-0000-0000-0000039B0000}"/>
    <cellStyle name="Normal 3 4 11 7 7 3" xfId="39693" xr:uid="{00000000-0005-0000-0000-0000049B0000}"/>
    <cellStyle name="Normal 3 4 11 7 8" xfId="39694" xr:uid="{00000000-0005-0000-0000-0000059B0000}"/>
    <cellStyle name="Normal 3 4 11 7 8 2" xfId="39695" xr:uid="{00000000-0005-0000-0000-0000069B0000}"/>
    <cellStyle name="Normal 3 4 11 7 8 3" xfId="39696" xr:uid="{00000000-0005-0000-0000-0000079B0000}"/>
    <cellStyle name="Normal 3 4 11 7 9" xfId="39697" xr:uid="{00000000-0005-0000-0000-0000089B0000}"/>
    <cellStyle name="Normal 3 4 11 7 9 2" xfId="39698" xr:uid="{00000000-0005-0000-0000-0000099B0000}"/>
    <cellStyle name="Normal 3 4 11 7 9 3" xfId="39699" xr:uid="{00000000-0005-0000-0000-00000A9B0000}"/>
    <cellStyle name="Normal 3 4 11 8" xfId="39700" xr:uid="{00000000-0005-0000-0000-00000B9B0000}"/>
    <cellStyle name="Normal 3 4 11 8 10" xfId="39701" xr:uid="{00000000-0005-0000-0000-00000C9B0000}"/>
    <cellStyle name="Normal 3 4 11 8 10 2" xfId="39702" xr:uid="{00000000-0005-0000-0000-00000D9B0000}"/>
    <cellStyle name="Normal 3 4 11 8 10 3" xfId="39703" xr:uid="{00000000-0005-0000-0000-00000E9B0000}"/>
    <cellStyle name="Normal 3 4 11 8 11" xfId="39704" xr:uid="{00000000-0005-0000-0000-00000F9B0000}"/>
    <cellStyle name="Normal 3 4 11 8 11 2" xfId="39705" xr:uid="{00000000-0005-0000-0000-0000109B0000}"/>
    <cellStyle name="Normal 3 4 11 8 11 3" xfId="39706" xr:uid="{00000000-0005-0000-0000-0000119B0000}"/>
    <cellStyle name="Normal 3 4 11 8 12" xfId="39707" xr:uid="{00000000-0005-0000-0000-0000129B0000}"/>
    <cellStyle name="Normal 3 4 11 8 12 2" xfId="39708" xr:uid="{00000000-0005-0000-0000-0000139B0000}"/>
    <cellStyle name="Normal 3 4 11 8 12 3" xfId="39709" xr:uid="{00000000-0005-0000-0000-0000149B0000}"/>
    <cellStyle name="Normal 3 4 11 8 13" xfId="39710" xr:uid="{00000000-0005-0000-0000-0000159B0000}"/>
    <cellStyle name="Normal 3 4 11 8 13 2" xfId="39711" xr:uid="{00000000-0005-0000-0000-0000169B0000}"/>
    <cellStyle name="Normal 3 4 11 8 13 3" xfId="39712" xr:uid="{00000000-0005-0000-0000-0000179B0000}"/>
    <cellStyle name="Normal 3 4 11 8 14" xfId="39713" xr:uid="{00000000-0005-0000-0000-0000189B0000}"/>
    <cellStyle name="Normal 3 4 11 8 14 2" xfId="39714" xr:uid="{00000000-0005-0000-0000-0000199B0000}"/>
    <cellStyle name="Normal 3 4 11 8 14 3" xfId="39715" xr:uid="{00000000-0005-0000-0000-00001A9B0000}"/>
    <cellStyle name="Normal 3 4 11 8 15" xfId="39716" xr:uid="{00000000-0005-0000-0000-00001B9B0000}"/>
    <cellStyle name="Normal 3 4 11 8 16" xfId="39717" xr:uid="{00000000-0005-0000-0000-00001C9B0000}"/>
    <cellStyle name="Normal 3 4 11 8 2" xfId="39718" xr:uid="{00000000-0005-0000-0000-00001D9B0000}"/>
    <cellStyle name="Normal 3 4 11 8 2 2" xfId="39719" xr:uid="{00000000-0005-0000-0000-00001E9B0000}"/>
    <cellStyle name="Normal 3 4 11 8 2 3" xfId="39720" xr:uid="{00000000-0005-0000-0000-00001F9B0000}"/>
    <cellStyle name="Normal 3 4 11 8 3" xfId="39721" xr:uid="{00000000-0005-0000-0000-0000209B0000}"/>
    <cellStyle name="Normal 3 4 11 8 3 2" xfId="39722" xr:uid="{00000000-0005-0000-0000-0000219B0000}"/>
    <cellStyle name="Normal 3 4 11 8 3 3" xfId="39723" xr:uid="{00000000-0005-0000-0000-0000229B0000}"/>
    <cellStyle name="Normal 3 4 11 8 4" xfId="39724" xr:uid="{00000000-0005-0000-0000-0000239B0000}"/>
    <cellStyle name="Normal 3 4 11 8 4 2" xfId="39725" xr:uid="{00000000-0005-0000-0000-0000249B0000}"/>
    <cellStyle name="Normal 3 4 11 8 4 3" xfId="39726" xr:uid="{00000000-0005-0000-0000-0000259B0000}"/>
    <cellStyle name="Normal 3 4 11 8 5" xfId="39727" xr:uid="{00000000-0005-0000-0000-0000269B0000}"/>
    <cellStyle name="Normal 3 4 11 8 5 2" xfId="39728" xr:uid="{00000000-0005-0000-0000-0000279B0000}"/>
    <cellStyle name="Normal 3 4 11 8 5 3" xfId="39729" xr:uid="{00000000-0005-0000-0000-0000289B0000}"/>
    <cellStyle name="Normal 3 4 11 8 6" xfId="39730" xr:uid="{00000000-0005-0000-0000-0000299B0000}"/>
    <cellStyle name="Normal 3 4 11 8 6 2" xfId="39731" xr:uid="{00000000-0005-0000-0000-00002A9B0000}"/>
    <cellStyle name="Normal 3 4 11 8 6 3" xfId="39732" xr:uid="{00000000-0005-0000-0000-00002B9B0000}"/>
    <cellStyle name="Normal 3 4 11 8 7" xfId="39733" xr:uid="{00000000-0005-0000-0000-00002C9B0000}"/>
    <cellStyle name="Normal 3 4 11 8 7 2" xfId="39734" xr:uid="{00000000-0005-0000-0000-00002D9B0000}"/>
    <cellStyle name="Normal 3 4 11 8 7 3" xfId="39735" xr:uid="{00000000-0005-0000-0000-00002E9B0000}"/>
    <cellStyle name="Normal 3 4 11 8 8" xfId="39736" xr:uid="{00000000-0005-0000-0000-00002F9B0000}"/>
    <cellStyle name="Normal 3 4 11 8 8 2" xfId="39737" xr:uid="{00000000-0005-0000-0000-0000309B0000}"/>
    <cellStyle name="Normal 3 4 11 8 8 3" xfId="39738" xr:uid="{00000000-0005-0000-0000-0000319B0000}"/>
    <cellStyle name="Normal 3 4 11 8 9" xfId="39739" xr:uid="{00000000-0005-0000-0000-0000329B0000}"/>
    <cellStyle name="Normal 3 4 11 8 9 2" xfId="39740" xr:uid="{00000000-0005-0000-0000-0000339B0000}"/>
    <cellStyle name="Normal 3 4 11 8 9 3" xfId="39741" xr:uid="{00000000-0005-0000-0000-0000349B0000}"/>
    <cellStyle name="Normal 3 4 11 9" xfId="39742" xr:uid="{00000000-0005-0000-0000-0000359B0000}"/>
    <cellStyle name="Normal 3 4 11 9 10" xfId="39743" xr:uid="{00000000-0005-0000-0000-0000369B0000}"/>
    <cellStyle name="Normal 3 4 11 9 10 2" xfId="39744" xr:uid="{00000000-0005-0000-0000-0000379B0000}"/>
    <cellStyle name="Normal 3 4 11 9 10 3" xfId="39745" xr:uid="{00000000-0005-0000-0000-0000389B0000}"/>
    <cellStyle name="Normal 3 4 11 9 11" xfId="39746" xr:uid="{00000000-0005-0000-0000-0000399B0000}"/>
    <cellStyle name="Normal 3 4 11 9 11 2" xfId="39747" xr:uid="{00000000-0005-0000-0000-00003A9B0000}"/>
    <cellStyle name="Normal 3 4 11 9 11 3" xfId="39748" xr:uid="{00000000-0005-0000-0000-00003B9B0000}"/>
    <cellStyle name="Normal 3 4 11 9 12" xfId="39749" xr:uid="{00000000-0005-0000-0000-00003C9B0000}"/>
    <cellStyle name="Normal 3 4 11 9 12 2" xfId="39750" xr:uid="{00000000-0005-0000-0000-00003D9B0000}"/>
    <cellStyle name="Normal 3 4 11 9 12 3" xfId="39751" xr:uid="{00000000-0005-0000-0000-00003E9B0000}"/>
    <cellStyle name="Normal 3 4 11 9 13" xfId="39752" xr:uid="{00000000-0005-0000-0000-00003F9B0000}"/>
    <cellStyle name="Normal 3 4 11 9 13 2" xfId="39753" xr:uid="{00000000-0005-0000-0000-0000409B0000}"/>
    <cellStyle name="Normal 3 4 11 9 13 3" xfId="39754" xr:uid="{00000000-0005-0000-0000-0000419B0000}"/>
    <cellStyle name="Normal 3 4 11 9 14" xfId="39755" xr:uid="{00000000-0005-0000-0000-0000429B0000}"/>
    <cellStyle name="Normal 3 4 11 9 14 2" xfId="39756" xr:uid="{00000000-0005-0000-0000-0000439B0000}"/>
    <cellStyle name="Normal 3 4 11 9 14 3" xfId="39757" xr:uid="{00000000-0005-0000-0000-0000449B0000}"/>
    <cellStyle name="Normal 3 4 11 9 15" xfId="39758" xr:uid="{00000000-0005-0000-0000-0000459B0000}"/>
    <cellStyle name="Normal 3 4 11 9 16" xfId="39759" xr:uid="{00000000-0005-0000-0000-0000469B0000}"/>
    <cellStyle name="Normal 3 4 11 9 2" xfId="39760" xr:uid="{00000000-0005-0000-0000-0000479B0000}"/>
    <cellStyle name="Normal 3 4 11 9 2 2" xfId="39761" xr:uid="{00000000-0005-0000-0000-0000489B0000}"/>
    <cellStyle name="Normal 3 4 11 9 2 3" xfId="39762" xr:uid="{00000000-0005-0000-0000-0000499B0000}"/>
    <cellStyle name="Normal 3 4 11 9 3" xfId="39763" xr:uid="{00000000-0005-0000-0000-00004A9B0000}"/>
    <cellStyle name="Normal 3 4 11 9 3 2" xfId="39764" xr:uid="{00000000-0005-0000-0000-00004B9B0000}"/>
    <cellStyle name="Normal 3 4 11 9 3 3" xfId="39765" xr:uid="{00000000-0005-0000-0000-00004C9B0000}"/>
    <cellStyle name="Normal 3 4 11 9 4" xfId="39766" xr:uid="{00000000-0005-0000-0000-00004D9B0000}"/>
    <cellStyle name="Normal 3 4 11 9 4 2" xfId="39767" xr:uid="{00000000-0005-0000-0000-00004E9B0000}"/>
    <cellStyle name="Normal 3 4 11 9 4 3" xfId="39768" xr:uid="{00000000-0005-0000-0000-00004F9B0000}"/>
    <cellStyle name="Normal 3 4 11 9 5" xfId="39769" xr:uid="{00000000-0005-0000-0000-0000509B0000}"/>
    <cellStyle name="Normal 3 4 11 9 5 2" xfId="39770" xr:uid="{00000000-0005-0000-0000-0000519B0000}"/>
    <cellStyle name="Normal 3 4 11 9 5 3" xfId="39771" xr:uid="{00000000-0005-0000-0000-0000529B0000}"/>
    <cellStyle name="Normal 3 4 11 9 6" xfId="39772" xr:uid="{00000000-0005-0000-0000-0000539B0000}"/>
    <cellStyle name="Normal 3 4 11 9 6 2" xfId="39773" xr:uid="{00000000-0005-0000-0000-0000549B0000}"/>
    <cellStyle name="Normal 3 4 11 9 6 3" xfId="39774" xr:uid="{00000000-0005-0000-0000-0000559B0000}"/>
    <cellStyle name="Normal 3 4 11 9 7" xfId="39775" xr:uid="{00000000-0005-0000-0000-0000569B0000}"/>
    <cellStyle name="Normal 3 4 11 9 7 2" xfId="39776" xr:uid="{00000000-0005-0000-0000-0000579B0000}"/>
    <cellStyle name="Normal 3 4 11 9 7 3" xfId="39777" xr:uid="{00000000-0005-0000-0000-0000589B0000}"/>
    <cellStyle name="Normal 3 4 11 9 8" xfId="39778" xr:uid="{00000000-0005-0000-0000-0000599B0000}"/>
    <cellStyle name="Normal 3 4 11 9 8 2" xfId="39779" xr:uid="{00000000-0005-0000-0000-00005A9B0000}"/>
    <cellStyle name="Normal 3 4 11 9 8 3" xfId="39780" xr:uid="{00000000-0005-0000-0000-00005B9B0000}"/>
    <cellStyle name="Normal 3 4 11 9 9" xfId="39781" xr:uid="{00000000-0005-0000-0000-00005C9B0000}"/>
    <cellStyle name="Normal 3 4 11 9 9 2" xfId="39782" xr:uid="{00000000-0005-0000-0000-00005D9B0000}"/>
    <cellStyle name="Normal 3 4 11 9 9 3" xfId="39783" xr:uid="{00000000-0005-0000-0000-00005E9B0000}"/>
    <cellStyle name="Normal 3 4 12" xfId="39784" xr:uid="{00000000-0005-0000-0000-00005F9B0000}"/>
    <cellStyle name="Normal 3 4 12 10" xfId="39785" xr:uid="{00000000-0005-0000-0000-0000609B0000}"/>
    <cellStyle name="Normal 3 4 12 10 10" xfId="39786" xr:uid="{00000000-0005-0000-0000-0000619B0000}"/>
    <cellStyle name="Normal 3 4 12 10 10 2" xfId="39787" xr:uid="{00000000-0005-0000-0000-0000629B0000}"/>
    <cellStyle name="Normal 3 4 12 10 10 3" xfId="39788" xr:uid="{00000000-0005-0000-0000-0000639B0000}"/>
    <cellStyle name="Normal 3 4 12 10 11" xfId="39789" xr:uid="{00000000-0005-0000-0000-0000649B0000}"/>
    <cellStyle name="Normal 3 4 12 10 11 2" xfId="39790" xr:uid="{00000000-0005-0000-0000-0000659B0000}"/>
    <cellStyle name="Normal 3 4 12 10 11 3" xfId="39791" xr:uid="{00000000-0005-0000-0000-0000669B0000}"/>
    <cellStyle name="Normal 3 4 12 10 12" xfId="39792" xr:uid="{00000000-0005-0000-0000-0000679B0000}"/>
    <cellStyle name="Normal 3 4 12 10 12 2" xfId="39793" xr:uid="{00000000-0005-0000-0000-0000689B0000}"/>
    <cellStyle name="Normal 3 4 12 10 12 3" xfId="39794" xr:uid="{00000000-0005-0000-0000-0000699B0000}"/>
    <cellStyle name="Normal 3 4 12 10 13" xfId="39795" xr:uid="{00000000-0005-0000-0000-00006A9B0000}"/>
    <cellStyle name="Normal 3 4 12 10 13 2" xfId="39796" xr:uid="{00000000-0005-0000-0000-00006B9B0000}"/>
    <cellStyle name="Normal 3 4 12 10 13 3" xfId="39797" xr:uid="{00000000-0005-0000-0000-00006C9B0000}"/>
    <cellStyle name="Normal 3 4 12 10 14" xfId="39798" xr:uid="{00000000-0005-0000-0000-00006D9B0000}"/>
    <cellStyle name="Normal 3 4 12 10 14 2" xfId="39799" xr:uid="{00000000-0005-0000-0000-00006E9B0000}"/>
    <cellStyle name="Normal 3 4 12 10 14 3" xfId="39800" xr:uid="{00000000-0005-0000-0000-00006F9B0000}"/>
    <cellStyle name="Normal 3 4 12 10 15" xfId="39801" xr:uid="{00000000-0005-0000-0000-0000709B0000}"/>
    <cellStyle name="Normal 3 4 12 10 16" xfId="39802" xr:uid="{00000000-0005-0000-0000-0000719B0000}"/>
    <cellStyle name="Normal 3 4 12 10 2" xfId="39803" xr:uid="{00000000-0005-0000-0000-0000729B0000}"/>
    <cellStyle name="Normal 3 4 12 10 2 2" xfId="39804" xr:uid="{00000000-0005-0000-0000-0000739B0000}"/>
    <cellStyle name="Normal 3 4 12 10 2 3" xfId="39805" xr:uid="{00000000-0005-0000-0000-0000749B0000}"/>
    <cellStyle name="Normal 3 4 12 10 3" xfId="39806" xr:uid="{00000000-0005-0000-0000-0000759B0000}"/>
    <cellStyle name="Normal 3 4 12 10 3 2" xfId="39807" xr:uid="{00000000-0005-0000-0000-0000769B0000}"/>
    <cellStyle name="Normal 3 4 12 10 3 3" xfId="39808" xr:uid="{00000000-0005-0000-0000-0000779B0000}"/>
    <cellStyle name="Normal 3 4 12 10 4" xfId="39809" xr:uid="{00000000-0005-0000-0000-0000789B0000}"/>
    <cellStyle name="Normal 3 4 12 10 4 2" xfId="39810" xr:uid="{00000000-0005-0000-0000-0000799B0000}"/>
    <cellStyle name="Normal 3 4 12 10 4 3" xfId="39811" xr:uid="{00000000-0005-0000-0000-00007A9B0000}"/>
    <cellStyle name="Normal 3 4 12 10 5" xfId="39812" xr:uid="{00000000-0005-0000-0000-00007B9B0000}"/>
    <cellStyle name="Normal 3 4 12 10 5 2" xfId="39813" xr:uid="{00000000-0005-0000-0000-00007C9B0000}"/>
    <cellStyle name="Normal 3 4 12 10 5 3" xfId="39814" xr:uid="{00000000-0005-0000-0000-00007D9B0000}"/>
    <cellStyle name="Normal 3 4 12 10 6" xfId="39815" xr:uid="{00000000-0005-0000-0000-00007E9B0000}"/>
    <cellStyle name="Normal 3 4 12 10 6 2" xfId="39816" xr:uid="{00000000-0005-0000-0000-00007F9B0000}"/>
    <cellStyle name="Normal 3 4 12 10 6 3" xfId="39817" xr:uid="{00000000-0005-0000-0000-0000809B0000}"/>
    <cellStyle name="Normal 3 4 12 10 7" xfId="39818" xr:uid="{00000000-0005-0000-0000-0000819B0000}"/>
    <cellStyle name="Normal 3 4 12 10 7 2" xfId="39819" xr:uid="{00000000-0005-0000-0000-0000829B0000}"/>
    <cellStyle name="Normal 3 4 12 10 7 3" xfId="39820" xr:uid="{00000000-0005-0000-0000-0000839B0000}"/>
    <cellStyle name="Normal 3 4 12 10 8" xfId="39821" xr:uid="{00000000-0005-0000-0000-0000849B0000}"/>
    <cellStyle name="Normal 3 4 12 10 8 2" xfId="39822" xr:uid="{00000000-0005-0000-0000-0000859B0000}"/>
    <cellStyle name="Normal 3 4 12 10 8 3" xfId="39823" xr:uid="{00000000-0005-0000-0000-0000869B0000}"/>
    <cellStyle name="Normal 3 4 12 10 9" xfId="39824" xr:uid="{00000000-0005-0000-0000-0000879B0000}"/>
    <cellStyle name="Normal 3 4 12 10 9 2" xfId="39825" xr:uid="{00000000-0005-0000-0000-0000889B0000}"/>
    <cellStyle name="Normal 3 4 12 10 9 3" xfId="39826" xr:uid="{00000000-0005-0000-0000-0000899B0000}"/>
    <cellStyle name="Normal 3 4 12 11" xfId="39827" xr:uid="{00000000-0005-0000-0000-00008A9B0000}"/>
    <cellStyle name="Normal 3 4 12 11 2" xfId="39828" xr:uid="{00000000-0005-0000-0000-00008B9B0000}"/>
    <cellStyle name="Normal 3 4 12 11 3" xfId="39829" xr:uid="{00000000-0005-0000-0000-00008C9B0000}"/>
    <cellStyle name="Normal 3 4 12 12" xfId="39830" xr:uid="{00000000-0005-0000-0000-00008D9B0000}"/>
    <cellStyle name="Normal 3 4 12 12 2" xfId="39831" xr:uid="{00000000-0005-0000-0000-00008E9B0000}"/>
    <cellStyle name="Normal 3 4 12 12 3" xfId="39832" xr:uid="{00000000-0005-0000-0000-00008F9B0000}"/>
    <cellStyle name="Normal 3 4 12 13" xfId="39833" xr:uid="{00000000-0005-0000-0000-0000909B0000}"/>
    <cellStyle name="Normal 3 4 12 13 2" xfId="39834" xr:uid="{00000000-0005-0000-0000-0000919B0000}"/>
    <cellStyle name="Normal 3 4 12 13 3" xfId="39835" xr:uid="{00000000-0005-0000-0000-0000929B0000}"/>
    <cellStyle name="Normal 3 4 12 14" xfId="39836" xr:uid="{00000000-0005-0000-0000-0000939B0000}"/>
    <cellStyle name="Normal 3 4 12 14 2" xfId="39837" xr:uid="{00000000-0005-0000-0000-0000949B0000}"/>
    <cellStyle name="Normal 3 4 12 14 3" xfId="39838" xr:uid="{00000000-0005-0000-0000-0000959B0000}"/>
    <cellStyle name="Normal 3 4 12 15" xfId="39839" xr:uid="{00000000-0005-0000-0000-0000969B0000}"/>
    <cellStyle name="Normal 3 4 12 15 2" xfId="39840" xr:uid="{00000000-0005-0000-0000-0000979B0000}"/>
    <cellStyle name="Normal 3 4 12 15 3" xfId="39841" xr:uid="{00000000-0005-0000-0000-0000989B0000}"/>
    <cellStyle name="Normal 3 4 12 16" xfId="39842" xr:uid="{00000000-0005-0000-0000-0000999B0000}"/>
    <cellStyle name="Normal 3 4 12 16 2" xfId="39843" xr:uid="{00000000-0005-0000-0000-00009A9B0000}"/>
    <cellStyle name="Normal 3 4 12 16 3" xfId="39844" xr:uid="{00000000-0005-0000-0000-00009B9B0000}"/>
    <cellStyle name="Normal 3 4 12 17" xfId="39845" xr:uid="{00000000-0005-0000-0000-00009C9B0000}"/>
    <cellStyle name="Normal 3 4 12 17 2" xfId="39846" xr:uid="{00000000-0005-0000-0000-00009D9B0000}"/>
    <cellStyle name="Normal 3 4 12 17 3" xfId="39847" xr:uid="{00000000-0005-0000-0000-00009E9B0000}"/>
    <cellStyle name="Normal 3 4 12 18" xfId="39848" xr:uid="{00000000-0005-0000-0000-00009F9B0000}"/>
    <cellStyle name="Normal 3 4 12 18 2" xfId="39849" xr:uid="{00000000-0005-0000-0000-0000A09B0000}"/>
    <cellStyle name="Normal 3 4 12 18 3" xfId="39850" xr:uid="{00000000-0005-0000-0000-0000A19B0000}"/>
    <cellStyle name="Normal 3 4 12 19" xfId="39851" xr:uid="{00000000-0005-0000-0000-0000A29B0000}"/>
    <cellStyle name="Normal 3 4 12 19 2" xfId="39852" xr:uid="{00000000-0005-0000-0000-0000A39B0000}"/>
    <cellStyle name="Normal 3 4 12 19 3" xfId="39853" xr:uid="{00000000-0005-0000-0000-0000A49B0000}"/>
    <cellStyle name="Normal 3 4 12 2" xfId="39854" xr:uid="{00000000-0005-0000-0000-0000A59B0000}"/>
    <cellStyle name="Normal 3 4 12 2 10" xfId="39855" xr:uid="{00000000-0005-0000-0000-0000A69B0000}"/>
    <cellStyle name="Normal 3 4 12 2 10 2" xfId="39856" xr:uid="{00000000-0005-0000-0000-0000A79B0000}"/>
    <cellStyle name="Normal 3 4 12 2 10 3" xfId="39857" xr:uid="{00000000-0005-0000-0000-0000A89B0000}"/>
    <cellStyle name="Normal 3 4 12 2 11" xfId="39858" xr:uid="{00000000-0005-0000-0000-0000A99B0000}"/>
    <cellStyle name="Normal 3 4 12 2 11 2" xfId="39859" xr:uid="{00000000-0005-0000-0000-0000AA9B0000}"/>
    <cellStyle name="Normal 3 4 12 2 11 3" xfId="39860" xr:uid="{00000000-0005-0000-0000-0000AB9B0000}"/>
    <cellStyle name="Normal 3 4 12 2 12" xfId="39861" xr:uid="{00000000-0005-0000-0000-0000AC9B0000}"/>
    <cellStyle name="Normal 3 4 12 2 12 2" xfId="39862" xr:uid="{00000000-0005-0000-0000-0000AD9B0000}"/>
    <cellStyle name="Normal 3 4 12 2 12 3" xfId="39863" xr:uid="{00000000-0005-0000-0000-0000AE9B0000}"/>
    <cellStyle name="Normal 3 4 12 2 13" xfId="39864" xr:uid="{00000000-0005-0000-0000-0000AF9B0000}"/>
    <cellStyle name="Normal 3 4 12 2 13 2" xfId="39865" xr:uid="{00000000-0005-0000-0000-0000B09B0000}"/>
    <cellStyle name="Normal 3 4 12 2 13 3" xfId="39866" xr:uid="{00000000-0005-0000-0000-0000B19B0000}"/>
    <cellStyle name="Normal 3 4 12 2 14" xfId="39867" xr:uid="{00000000-0005-0000-0000-0000B29B0000}"/>
    <cellStyle name="Normal 3 4 12 2 14 2" xfId="39868" xr:uid="{00000000-0005-0000-0000-0000B39B0000}"/>
    <cellStyle name="Normal 3 4 12 2 14 3" xfId="39869" xr:uid="{00000000-0005-0000-0000-0000B49B0000}"/>
    <cellStyle name="Normal 3 4 12 2 15" xfId="39870" xr:uid="{00000000-0005-0000-0000-0000B59B0000}"/>
    <cellStyle name="Normal 3 4 12 2 15 2" xfId="39871" xr:uid="{00000000-0005-0000-0000-0000B69B0000}"/>
    <cellStyle name="Normal 3 4 12 2 15 3" xfId="39872" xr:uid="{00000000-0005-0000-0000-0000B79B0000}"/>
    <cellStyle name="Normal 3 4 12 2 16" xfId="39873" xr:uid="{00000000-0005-0000-0000-0000B89B0000}"/>
    <cellStyle name="Normal 3 4 12 2 17" xfId="39874" xr:uid="{00000000-0005-0000-0000-0000B99B0000}"/>
    <cellStyle name="Normal 3 4 12 2 2" xfId="39875" xr:uid="{00000000-0005-0000-0000-0000BA9B0000}"/>
    <cellStyle name="Normal 3 4 12 2 2 10" xfId="39876" xr:uid="{00000000-0005-0000-0000-0000BB9B0000}"/>
    <cellStyle name="Normal 3 4 12 2 2 10 2" xfId="39877" xr:uid="{00000000-0005-0000-0000-0000BC9B0000}"/>
    <cellStyle name="Normal 3 4 12 2 2 10 3" xfId="39878" xr:uid="{00000000-0005-0000-0000-0000BD9B0000}"/>
    <cellStyle name="Normal 3 4 12 2 2 11" xfId="39879" xr:uid="{00000000-0005-0000-0000-0000BE9B0000}"/>
    <cellStyle name="Normal 3 4 12 2 2 11 2" xfId="39880" xr:uid="{00000000-0005-0000-0000-0000BF9B0000}"/>
    <cellStyle name="Normal 3 4 12 2 2 11 3" xfId="39881" xr:uid="{00000000-0005-0000-0000-0000C09B0000}"/>
    <cellStyle name="Normal 3 4 12 2 2 12" xfId="39882" xr:uid="{00000000-0005-0000-0000-0000C19B0000}"/>
    <cellStyle name="Normal 3 4 12 2 2 12 2" xfId="39883" xr:uid="{00000000-0005-0000-0000-0000C29B0000}"/>
    <cellStyle name="Normal 3 4 12 2 2 12 3" xfId="39884" xr:uid="{00000000-0005-0000-0000-0000C39B0000}"/>
    <cellStyle name="Normal 3 4 12 2 2 13" xfId="39885" xr:uid="{00000000-0005-0000-0000-0000C49B0000}"/>
    <cellStyle name="Normal 3 4 12 2 2 13 2" xfId="39886" xr:uid="{00000000-0005-0000-0000-0000C59B0000}"/>
    <cellStyle name="Normal 3 4 12 2 2 13 3" xfId="39887" xr:uid="{00000000-0005-0000-0000-0000C69B0000}"/>
    <cellStyle name="Normal 3 4 12 2 2 14" xfId="39888" xr:uid="{00000000-0005-0000-0000-0000C79B0000}"/>
    <cellStyle name="Normal 3 4 12 2 2 14 2" xfId="39889" xr:uid="{00000000-0005-0000-0000-0000C89B0000}"/>
    <cellStyle name="Normal 3 4 12 2 2 14 3" xfId="39890" xr:uid="{00000000-0005-0000-0000-0000C99B0000}"/>
    <cellStyle name="Normal 3 4 12 2 2 15" xfId="39891" xr:uid="{00000000-0005-0000-0000-0000CA9B0000}"/>
    <cellStyle name="Normal 3 4 12 2 2 16" xfId="39892" xr:uid="{00000000-0005-0000-0000-0000CB9B0000}"/>
    <cellStyle name="Normal 3 4 12 2 2 2" xfId="39893" xr:uid="{00000000-0005-0000-0000-0000CC9B0000}"/>
    <cellStyle name="Normal 3 4 12 2 2 2 2" xfId="39894" xr:uid="{00000000-0005-0000-0000-0000CD9B0000}"/>
    <cellStyle name="Normal 3 4 12 2 2 2 3" xfId="39895" xr:uid="{00000000-0005-0000-0000-0000CE9B0000}"/>
    <cellStyle name="Normal 3 4 12 2 2 3" xfId="39896" xr:uid="{00000000-0005-0000-0000-0000CF9B0000}"/>
    <cellStyle name="Normal 3 4 12 2 2 3 2" xfId="39897" xr:uid="{00000000-0005-0000-0000-0000D09B0000}"/>
    <cellStyle name="Normal 3 4 12 2 2 3 3" xfId="39898" xr:uid="{00000000-0005-0000-0000-0000D19B0000}"/>
    <cellStyle name="Normal 3 4 12 2 2 4" xfId="39899" xr:uid="{00000000-0005-0000-0000-0000D29B0000}"/>
    <cellStyle name="Normal 3 4 12 2 2 4 2" xfId="39900" xr:uid="{00000000-0005-0000-0000-0000D39B0000}"/>
    <cellStyle name="Normal 3 4 12 2 2 4 3" xfId="39901" xr:uid="{00000000-0005-0000-0000-0000D49B0000}"/>
    <cellStyle name="Normal 3 4 12 2 2 5" xfId="39902" xr:uid="{00000000-0005-0000-0000-0000D59B0000}"/>
    <cellStyle name="Normal 3 4 12 2 2 5 2" xfId="39903" xr:uid="{00000000-0005-0000-0000-0000D69B0000}"/>
    <cellStyle name="Normal 3 4 12 2 2 5 3" xfId="39904" xr:uid="{00000000-0005-0000-0000-0000D79B0000}"/>
    <cellStyle name="Normal 3 4 12 2 2 6" xfId="39905" xr:uid="{00000000-0005-0000-0000-0000D89B0000}"/>
    <cellStyle name="Normal 3 4 12 2 2 6 2" xfId="39906" xr:uid="{00000000-0005-0000-0000-0000D99B0000}"/>
    <cellStyle name="Normal 3 4 12 2 2 6 3" xfId="39907" xr:uid="{00000000-0005-0000-0000-0000DA9B0000}"/>
    <cellStyle name="Normal 3 4 12 2 2 7" xfId="39908" xr:uid="{00000000-0005-0000-0000-0000DB9B0000}"/>
    <cellStyle name="Normal 3 4 12 2 2 7 2" xfId="39909" xr:uid="{00000000-0005-0000-0000-0000DC9B0000}"/>
    <cellStyle name="Normal 3 4 12 2 2 7 3" xfId="39910" xr:uid="{00000000-0005-0000-0000-0000DD9B0000}"/>
    <cellStyle name="Normal 3 4 12 2 2 8" xfId="39911" xr:uid="{00000000-0005-0000-0000-0000DE9B0000}"/>
    <cellStyle name="Normal 3 4 12 2 2 8 2" xfId="39912" xr:uid="{00000000-0005-0000-0000-0000DF9B0000}"/>
    <cellStyle name="Normal 3 4 12 2 2 8 3" xfId="39913" xr:uid="{00000000-0005-0000-0000-0000E09B0000}"/>
    <cellStyle name="Normal 3 4 12 2 2 9" xfId="39914" xr:uid="{00000000-0005-0000-0000-0000E19B0000}"/>
    <cellStyle name="Normal 3 4 12 2 2 9 2" xfId="39915" xr:uid="{00000000-0005-0000-0000-0000E29B0000}"/>
    <cellStyle name="Normal 3 4 12 2 2 9 3" xfId="39916" xr:uid="{00000000-0005-0000-0000-0000E39B0000}"/>
    <cellStyle name="Normal 3 4 12 2 3" xfId="39917" xr:uid="{00000000-0005-0000-0000-0000E49B0000}"/>
    <cellStyle name="Normal 3 4 12 2 3 2" xfId="39918" xr:uid="{00000000-0005-0000-0000-0000E59B0000}"/>
    <cellStyle name="Normal 3 4 12 2 3 3" xfId="39919" xr:uid="{00000000-0005-0000-0000-0000E69B0000}"/>
    <cellStyle name="Normal 3 4 12 2 4" xfId="39920" xr:uid="{00000000-0005-0000-0000-0000E79B0000}"/>
    <cellStyle name="Normal 3 4 12 2 4 2" xfId="39921" xr:uid="{00000000-0005-0000-0000-0000E89B0000}"/>
    <cellStyle name="Normal 3 4 12 2 4 3" xfId="39922" xr:uid="{00000000-0005-0000-0000-0000E99B0000}"/>
    <cellStyle name="Normal 3 4 12 2 5" xfId="39923" xr:uid="{00000000-0005-0000-0000-0000EA9B0000}"/>
    <cellStyle name="Normal 3 4 12 2 5 2" xfId="39924" xr:uid="{00000000-0005-0000-0000-0000EB9B0000}"/>
    <cellStyle name="Normal 3 4 12 2 5 3" xfId="39925" xr:uid="{00000000-0005-0000-0000-0000EC9B0000}"/>
    <cellStyle name="Normal 3 4 12 2 6" xfId="39926" xr:uid="{00000000-0005-0000-0000-0000ED9B0000}"/>
    <cellStyle name="Normal 3 4 12 2 6 2" xfId="39927" xr:uid="{00000000-0005-0000-0000-0000EE9B0000}"/>
    <cellStyle name="Normal 3 4 12 2 6 3" xfId="39928" xr:uid="{00000000-0005-0000-0000-0000EF9B0000}"/>
    <cellStyle name="Normal 3 4 12 2 7" xfId="39929" xr:uid="{00000000-0005-0000-0000-0000F09B0000}"/>
    <cellStyle name="Normal 3 4 12 2 7 2" xfId="39930" xr:uid="{00000000-0005-0000-0000-0000F19B0000}"/>
    <cellStyle name="Normal 3 4 12 2 7 3" xfId="39931" xr:uid="{00000000-0005-0000-0000-0000F29B0000}"/>
    <cellStyle name="Normal 3 4 12 2 8" xfId="39932" xr:uid="{00000000-0005-0000-0000-0000F39B0000}"/>
    <cellStyle name="Normal 3 4 12 2 8 2" xfId="39933" xr:uid="{00000000-0005-0000-0000-0000F49B0000}"/>
    <cellStyle name="Normal 3 4 12 2 8 3" xfId="39934" xr:uid="{00000000-0005-0000-0000-0000F59B0000}"/>
    <cellStyle name="Normal 3 4 12 2 9" xfId="39935" xr:uid="{00000000-0005-0000-0000-0000F69B0000}"/>
    <cellStyle name="Normal 3 4 12 2 9 2" xfId="39936" xr:uid="{00000000-0005-0000-0000-0000F79B0000}"/>
    <cellStyle name="Normal 3 4 12 2 9 3" xfId="39937" xr:uid="{00000000-0005-0000-0000-0000F89B0000}"/>
    <cellStyle name="Normal 3 4 12 20" xfId="39938" xr:uid="{00000000-0005-0000-0000-0000F99B0000}"/>
    <cellStyle name="Normal 3 4 12 20 2" xfId="39939" xr:uid="{00000000-0005-0000-0000-0000FA9B0000}"/>
    <cellStyle name="Normal 3 4 12 20 3" xfId="39940" xr:uid="{00000000-0005-0000-0000-0000FB9B0000}"/>
    <cellStyle name="Normal 3 4 12 21" xfId="39941" xr:uid="{00000000-0005-0000-0000-0000FC9B0000}"/>
    <cellStyle name="Normal 3 4 12 21 2" xfId="39942" xr:uid="{00000000-0005-0000-0000-0000FD9B0000}"/>
    <cellStyle name="Normal 3 4 12 21 3" xfId="39943" xr:uid="{00000000-0005-0000-0000-0000FE9B0000}"/>
    <cellStyle name="Normal 3 4 12 22" xfId="39944" xr:uid="{00000000-0005-0000-0000-0000FF9B0000}"/>
    <cellStyle name="Normal 3 4 12 22 2" xfId="39945" xr:uid="{00000000-0005-0000-0000-0000009C0000}"/>
    <cellStyle name="Normal 3 4 12 22 3" xfId="39946" xr:uid="{00000000-0005-0000-0000-0000019C0000}"/>
    <cellStyle name="Normal 3 4 12 23" xfId="39947" xr:uid="{00000000-0005-0000-0000-0000029C0000}"/>
    <cellStyle name="Normal 3 4 12 23 2" xfId="39948" xr:uid="{00000000-0005-0000-0000-0000039C0000}"/>
    <cellStyle name="Normal 3 4 12 23 3" xfId="39949" xr:uid="{00000000-0005-0000-0000-0000049C0000}"/>
    <cellStyle name="Normal 3 4 12 24" xfId="39950" xr:uid="{00000000-0005-0000-0000-0000059C0000}"/>
    <cellStyle name="Normal 3 4 12 25" xfId="39951" xr:uid="{00000000-0005-0000-0000-0000069C0000}"/>
    <cellStyle name="Normal 3 4 12 3" xfId="39952" xr:uid="{00000000-0005-0000-0000-0000079C0000}"/>
    <cellStyle name="Normal 3 4 12 3 10" xfId="39953" xr:uid="{00000000-0005-0000-0000-0000089C0000}"/>
    <cellStyle name="Normal 3 4 12 3 10 2" xfId="39954" xr:uid="{00000000-0005-0000-0000-0000099C0000}"/>
    <cellStyle name="Normal 3 4 12 3 10 3" xfId="39955" xr:uid="{00000000-0005-0000-0000-00000A9C0000}"/>
    <cellStyle name="Normal 3 4 12 3 11" xfId="39956" xr:uid="{00000000-0005-0000-0000-00000B9C0000}"/>
    <cellStyle name="Normal 3 4 12 3 11 2" xfId="39957" xr:uid="{00000000-0005-0000-0000-00000C9C0000}"/>
    <cellStyle name="Normal 3 4 12 3 11 3" xfId="39958" xr:uid="{00000000-0005-0000-0000-00000D9C0000}"/>
    <cellStyle name="Normal 3 4 12 3 12" xfId="39959" xr:uid="{00000000-0005-0000-0000-00000E9C0000}"/>
    <cellStyle name="Normal 3 4 12 3 12 2" xfId="39960" xr:uid="{00000000-0005-0000-0000-00000F9C0000}"/>
    <cellStyle name="Normal 3 4 12 3 12 3" xfId="39961" xr:uid="{00000000-0005-0000-0000-0000109C0000}"/>
    <cellStyle name="Normal 3 4 12 3 13" xfId="39962" xr:uid="{00000000-0005-0000-0000-0000119C0000}"/>
    <cellStyle name="Normal 3 4 12 3 13 2" xfId="39963" xr:uid="{00000000-0005-0000-0000-0000129C0000}"/>
    <cellStyle name="Normal 3 4 12 3 13 3" xfId="39964" xr:uid="{00000000-0005-0000-0000-0000139C0000}"/>
    <cellStyle name="Normal 3 4 12 3 14" xfId="39965" xr:uid="{00000000-0005-0000-0000-0000149C0000}"/>
    <cellStyle name="Normal 3 4 12 3 14 2" xfId="39966" xr:uid="{00000000-0005-0000-0000-0000159C0000}"/>
    <cellStyle name="Normal 3 4 12 3 14 3" xfId="39967" xr:uid="{00000000-0005-0000-0000-0000169C0000}"/>
    <cellStyle name="Normal 3 4 12 3 15" xfId="39968" xr:uid="{00000000-0005-0000-0000-0000179C0000}"/>
    <cellStyle name="Normal 3 4 12 3 15 2" xfId="39969" xr:uid="{00000000-0005-0000-0000-0000189C0000}"/>
    <cellStyle name="Normal 3 4 12 3 15 3" xfId="39970" xr:uid="{00000000-0005-0000-0000-0000199C0000}"/>
    <cellStyle name="Normal 3 4 12 3 16" xfId="39971" xr:uid="{00000000-0005-0000-0000-00001A9C0000}"/>
    <cellStyle name="Normal 3 4 12 3 17" xfId="39972" xr:uid="{00000000-0005-0000-0000-00001B9C0000}"/>
    <cellStyle name="Normal 3 4 12 3 2" xfId="39973" xr:uid="{00000000-0005-0000-0000-00001C9C0000}"/>
    <cellStyle name="Normal 3 4 12 3 2 10" xfId="39974" xr:uid="{00000000-0005-0000-0000-00001D9C0000}"/>
    <cellStyle name="Normal 3 4 12 3 2 10 2" xfId="39975" xr:uid="{00000000-0005-0000-0000-00001E9C0000}"/>
    <cellStyle name="Normal 3 4 12 3 2 10 3" xfId="39976" xr:uid="{00000000-0005-0000-0000-00001F9C0000}"/>
    <cellStyle name="Normal 3 4 12 3 2 11" xfId="39977" xr:uid="{00000000-0005-0000-0000-0000209C0000}"/>
    <cellStyle name="Normal 3 4 12 3 2 11 2" xfId="39978" xr:uid="{00000000-0005-0000-0000-0000219C0000}"/>
    <cellStyle name="Normal 3 4 12 3 2 11 3" xfId="39979" xr:uid="{00000000-0005-0000-0000-0000229C0000}"/>
    <cellStyle name="Normal 3 4 12 3 2 12" xfId="39980" xr:uid="{00000000-0005-0000-0000-0000239C0000}"/>
    <cellStyle name="Normal 3 4 12 3 2 12 2" xfId="39981" xr:uid="{00000000-0005-0000-0000-0000249C0000}"/>
    <cellStyle name="Normal 3 4 12 3 2 12 3" xfId="39982" xr:uid="{00000000-0005-0000-0000-0000259C0000}"/>
    <cellStyle name="Normal 3 4 12 3 2 13" xfId="39983" xr:uid="{00000000-0005-0000-0000-0000269C0000}"/>
    <cellStyle name="Normal 3 4 12 3 2 13 2" xfId="39984" xr:uid="{00000000-0005-0000-0000-0000279C0000}"/>
    <cellStyle name="Normal 3 4 12 3 2 13 3" xfId="39985" xr:uid="{00000000-0005-0000-0000-0000289C0000}"/>
    <cellStyle name="Normal 3 4 12 3 2 14" xfId="39986" xr:uid="{00000000-0005-0000-0000-0000299C0000}"/>
    <cellStyle name="Normal 3 4 12 3 2 14 2" xfId="39987" xr:uid="{00000000-0005-0000-0000-00002A9C0000}"/>
    <cellStyle name="Normal 3 4 12 3 2 14 3" xfId="39988" xr:uid="{00000000-0005-0000-0000-00002B9C0000}"/>
    <cellStyle name="Normal 3 4 12 3 2 15" xfId="39989" xr:uid="{00000000-0005-0000-0000-00002C9C0000}"/>
    <cellStyle name="Normal 3 4 12 3 2 16" xfId="39990" xr:uid="{00000000-0005-0000-0000-00002D9C0000}"/>
    <cellStyle name="Normal 3 4 12 3 2 2" xfId="39991" xr:uid="{00000000-0005-0000-0000-00002E9C0000}"/>
    <cellStyle name="Normal 3 4 12 3 2 2 2" xfId="39992" xr:uid="{00000000-0005-0000-0000-00002F9C0000}"/>
    <cellStyle name="Normal 3 4 12 3 2 2 3" xfId="39993" xr:uid="{00000000-0005-0000-0000-0000309C0000}"/>
    <cellStyle name="Normal 3 4 12 3 2 3" xfId="39994" xr:uid="{00000000-0005-0000-0000-0000319C0000}"/>
    <cellStyle name="Normal 3 4 12 3 2 3 2" xfId="39995" xr:uid="{00000000-0005-0000-0000-0000329C0000}"/>
    <cellStyle name="Normal 3 4 12 3 2 3 3" xfId="39996" xr:uid="{00000000-0005-0000-0000-0000339C0000}"/>
    <cellStyle name="Normal 3 4 12 3 2 4" xfId="39997" xr:uid="{00000000-0005-0000-0000-0000349C0000}"/>
    <cellStyle name="Normal 3 4 12 3 2 4 2" xfId="39998" xr:uid="{00000000-0005-0000-0000-0000359C0000}"/>
    <cellStyle name="Normal 3 4 12 3 2 4 3" xfId="39999" xr:uid="{00000000-0005-0000-0000-0000369C0000}"/>
    <cellStyle name="Normal 3 4 12 3 2 5" xfId="40000" xr:uid="{00000000-0005-0000-0000-0000379C0000}"/>
    <cellStyle name="Normal 3 4 12 3 2 5 2" xfId="40001" xr:uid="{00000000-0005-0000-0000-0000389C0000}"/>
    <cellStyle name="Normal 3 4 12 3 2 5 3" xfId="40002" xr:uid="{00000000-0005-0000-0000-0000399C0000}"/>
    <cellStyle name="Normal 3 4 12 3 2 6" xfId="40003" xr:uid="{00000000-0005-0000-0000-00003A9C0000}"/>
    <cellStyle name="Normal 3 4 12 3 2 6 2" xfId="40004" xr:uid="{00000000-0005-0000-0000-00003B9C0000}"/>
    <cellStyle name="Normal 3 4 12 3 2 6 3" xfId="40005" xr:uid="{00000000-0005-0000-0000-00003C9C0000}"/>
    <cellStyle name="Normal 3 4 12 3 2 7" xfId="40006" xr:uid="{00000000-0005-0000-0000-00003D9C0000}"/>
    <cellStyle name="Normal 3 4 12 3 2 7 2" xfId="40007" xr:uid="{00000000-0005-0000-0000-00003E9C0000}"/>
    <cellStyle name="Normal 3 4 12 3 2 7 3" xfId="40008" xr:uid="{00000000-0005-0000-0000-00003F9C0000}"/>
    <cellStyle name="Normal 3 4 12 3 2 8" xfId="40009" xr:uid="{00000000-0005-0000-0000-0000409C0000}"/>
    <cellStyle name="Normal 3 4 12 3 2 8 2" xfId="40010" xr:uid="{00000000-0005-0000-0000-0000419C0000}"/>
    <cellStyle name="Normal 3 4 12 3 2 8 3" xfId="40011" xr:uid="{00000000-0005-0000-0000-0000429C0000}"/>
    <cellStyle name="Normal 3 4 12 3 2 9" xfId="40012" xr:uid="{00000000-0005-0000-0000-0000439C0000}"/>
    <cellStyle name="Normal 3 4 12 3 2 9 2" xfId="40013" xr:uid="{00000000-0005-0000-0000-0000449C0000}"/>
    <cellStyle name="Normal 3 4 12 3 2 9 3" xfId="40014" xr:uid="{00000000-0005-0000-0000-0000459C0000}"/>
    <cellStyle name="Normal 3 4 12 3 3" xfId="40015" xr:uid="{00000000-0005-0000-0000-0000469C0000}"/>
    <cellStyle name="Normal 3 4 12 3 3 2" xfId="40016" xr:uid="{00000000-0005-0000-0000-0000479C0000}"/>
    <cellStyle name="Normal 3 4 12 3 3 3" xfId="40017" xr:uid="{00000000-0005-0000-0000-0000489C0000}"/>
    <cellStyle name="Normal 3 4 12 3 4" xfId="40018" xr:uid="{00000000-0005-0000-0000-0000499C0000}"/>
    <cellStyle name="Normal 3 4 12 3 4 2" xfId="40019" xr:uid="{00000000-0005-0000-0000-00004A9C0000}"/>
    <cellStyle name="Normal 3 4 12 3 4 3" xfId="40020" xr:uid="{00000000-0005-0000-0000-00004B9C0000}"/>
    <cellStyle name="Normal 3 4 12 3 5" xfId="40021" xr:uid="{00000000-0005-0000-0000-00004C9C0000}"/>
    <cellStyle name="Normal 3 4 12 3 5 2" xfId="40022" xr:uid="{00000000-0005-0000-0000-00004D9C0000}"/>
    <cellStyle name="Normal 3 4 12 3 5 3" xfId="40023" xr:uid="{00000000-0005-0000-0000-00004E9C0000}"/>
    <cellStyle name="Normal 3 4 12 3 6" xfId="40024" xr:uid="{00000000-0005-0000-0000-00004F9C0000}"/>
    <cellStyle name="Normal 3 4 12 3 6 2" xfId="40025" xr:uid="{00000000-0005-0000-0000-0000509C0000}"/>
    <cellStyle name="Normal 3 4 12 3 6 3" xfId="40026" xr:uid="{00000000-0005-0000-0000-0000519C0000}"/>
    <cellStyle name="Normal 3 4 12 3 7" xfId="40027" xr:uid="{00000000-0005-0000-0000-0000529C0000}"/>
    <cellStyle name="Normal 3 4 12 3 7 2" xfId="40028" xr:uid="{00000000-0005-0000-0000-0000539C0000}"/>
    <cellStyle name="Normal 3 4 12 3 7 3" xfId="40029" xr:uid="{00000000-0005-0000-0000-0000549C0000}"/>
    <cellStyle name="Normal 3 4 12 3 8" xfId="40030" xr:uid="{00000000-0005-0000-0000-0000559C0000}"/>
    <cellStyle name="Normal 3 4 12 3 8 2" xfId="40031" xr:uid="{00000000-0005-0000-0000-0000569C0000}"/>
    <cellStyle name="Normal 3 4 12 3 8 3" xfId="40032" xr:uid="{00000000-0005-0000-0000-0000579C0000}"/>
    <cellStyle name="Normal 3 4 12 3 9" xfId="40033" xr:uid="{00000000-0005-0000-0000-0000589C0000}"/>
    <cellStyle name="Normal 3 4 12 3 9 2" xfId="40034" xr:uid="{00000000-0005-0000-0000-0000599C0000}"/>
    <cellStyle name="Normal 3 4 12 3 9 3" xfId="40035" xr:uid="{00000000-0005-0000-0000-00005A9C0000}"/>
    <cellStyle name="Normal 3 4 12 4" xfId="40036" xr:uid="{00000000-0005-0000-0000-00005B9C0000}"/>
    <cellStyle name="Normal 3 4 12 4 10" xfId="40037" xr:uid="{00000000-0005-0000-0000-00005C9C0000}"/>
    <cellStyle name="Normal 3 4 12 4 10 2" xfId="40038" xr:uid="{00000000-0005-0000-0000-00005D9C0000}"/>
    <cellStyle name="Normal 3 4 12 4 10 3" xfId="40039" xr:uid="{00000000-0005-0000-0000-00005E9C0000}"/>
    <cellStyle name="Normal 3 4 12 4 11" xfId="40040" xr:uid="{00000000-0005-0000-0000-00005F9C0000}"/>
    <cellStyle name="Normal 3 4 12 4 11 2" xfId="40041" xr:uid="{00000000-0005-0000-0000-0000609C0000}"/>
    <cellStyle name="Normal 3 4 12 4 11 3" xfId="40042" xr:uid="{00000000-0005-0000-0000-0000619C0000}"/>
    <cellStyle name="Normal 3 4 12 4 12" xfId="40043" xr:uid="{00000000-0005-0000-0000-0000629C0000}"/>
    <cellStyle name="Normal 3 4 12 4 12 2" xfId="40044" xr:uid="{00000000-0005-0000-0000-0000639C0000}"/>
    <cellStyle name="Normal 3 4 12 4 12 3" xfId="40045" xr:uid="{00000000-0005-0000-0000-0000649C0000}"/>
    <cellStyle name="Normal 3 4 12 4 13" xfId="40046" xr:uid="{00000000-0005-0000-0000-0000659C0000}"/>
    <cellStyle name="Normal 3 4 12 4 13 2" xfId="40047" xr:uid="{00000000-0005-0000-0000-0000669C0000}"/>
    <cellStyle name="Normal 3 4 12 4 13 3" xfId="40048" xr:uid="{00000000-0005-0000-0000-0000679C0000}"/>
    <cellStyle name="Normal 3 4 12 4 14" xfId="40049" xr:uid="{00000000-0005-0000-0000-0000689C0000}"/>
    <cellStyle name="Normal 3 4 12 4 14 2" xfId="40050" xr:uid="{00000000-0005-0000-0000-0000699C0000}"/>
    <cellStyle name="Normal 3 4 12 4 14 3" xfId="40051" xr:uid="{00000000-0005-0000-0000-00006A9C0000}"/>
    <cellStyle name="Normal 3 4 12 4 15" xfId="40052" xr:uid="{00000000-0005-0000-0000-00006B9C0000}"/>
    <cellStyle name="Normal 3 4 12 4 15 2" xfId="40053" xr:uid="{00000000-0005-0000-0000-00006C9C0000}"/>
    <cellStyle name="Normal 3 4 12 4 15 3" xfId="40054" xr:uid="{00000000-0005-0000-0000-00006D9C0000}"/>
    <cellStyle name="Normal 3 4 12 4 16" xfId="40055" xr:uid="{00000000-0005-0000-0000-00006E9C0000}"/>
    <cellStyle name="Normal 3 4 12 4 17" xfId="40056" xr:uid="{00000000-0005-0000-0000-00006F9C0000}"/>
    <cellStyle name="Normal 3 4 12 4 2" xfId="40057" xr:uid="{00000000-0005-0000-0000-0000709C0000}"/>
    <cellStyle name="Normal 3 4 12 4 2 10" xfId="40058" xr:uid="{00000000-0005-0000-0000-0000719C0000}"/>
    <cellStyle name="Normal 3 4 12 4 2 10 2" xfId="40059" xr:uid="{00000000-0005-0000-0000-0000729C0000}"/>
    <cellStyle name="Normal 3 4 12 4 2 10 3" xfId="40060" xr:uid="{00000000-0005-0000-0000-0000739C0000}"/>
    <cellStyle name="Normal 3 4 12 4 2 11" xfId="40061" xr:uid="{00000000-0005-0000-0000-0000749C0000}"/>
    <cellStyle name="Normal 3 4 12 4 2 11 2" xfId="40062" xr:uid="{00000000-0005-0000-0000-0000759C0000}"/>
    <cellStyle name="Normal 3 4 12 4 2 11 3" xfId="40063" xr:uid="{00000000-0005-0000-0000-0000769C0000}"/>
    <cellStyle name="Normal 3 4 12 4 2 12" xfId="40064" xr:uid="{00000000-0005-0000-0000-0000779C0000}"/>
    <cellStyle name="Normal 3 4 12 4 2 12 2" xfId="40065" xr:uid="{00000000-0005-0000-0000-0000789C0000}"/>
    <cellStyle name="Normal 3 4 12 4 2 12 3" xfId="40066" xr:uid="{00000000-0005-0000-0000-0000799C0000}"/>
    <cellStyle name="Normal 3 4 12 4 2 13" xfId="40067" xr:uid="{00000000-0005-0000-0000-00007A9C0000}"/>
    <cellStyle name="Normal 3 4 12 4 2 13 2" xfId="40068" xr:uid="{00000000-0005-0000-0000-00007B9C0000}"/>
    <cellStyle name="Normal 3 4 12 4 2 13 3" xfId="40069" xr:uid="{00000000-0005-0000-0000-00007C9C0000}"/>
    <cellStyle name="Normal 3 4 12 4 2 14" xfId="40070" xr:uid="{00000000-0005-0000-0000-00007D9C0000}"/>
    <cellStyle name="Normal 3 4 12 4 2 14 2" xfId="40071" xr:uid="{00000000-0005-0000-0000-00007E9C0000}"/>
    <cellStyle name="Normal 3 4 12 4 2 14 3" xfId="40072" xr:uid="{00000000-0005-0000-0000-00007F9C0000}"/>
    <cellStyle name="Normal 3 4 12 4 2 15" xfId="40073" xr:uid="{00000000-0005-0000-0000-0000809C0000}"/>
    <cellStyle name="Normal 3 4 12 4 2 16" xfId="40074" xr:uid="{00000000-0005-0000-0000-0000819C0000}"/>
    <cellStyle name="Normal 3 4 12 4 2 2" xfId="40075" xr:uid="{00000000-0005-0000-0000-0000829C0000}"/>
    <cellStyle name="Normal 3 4 12 4 2 2 2" xfId="40076" xr:uid="{00000000-0005-0000-0000-0000839C0000}"/>
    <cellStyle name="Normal 3 4 12 4 2 2 3" xfId="40077" xr:uid="{00000000-0005-0000-0000-0000849C0000}"/>
    <cellStyle name="Normal 3 4 12 4 2 3" xfId="40078" xr:uid="{00000000-0005-0000-0000-0000859C0000}"/>
    <cellStyle name="Normal 3 4 12 4 2 3 2" xfId="40079" xr:uid="{00000000-0005-0000-0000-0000869C0000}"/>
    <cellStyle name="Normal 3 4 12 4 2 3 3" xfId="40080" xr:uid="{00000000-0005-0000-0000-0000879C0000}"/>
    <cellStyle name="Normal 3 4 12 4 2 4" xfId="40081" xr:uid="{00000000-0005-0000-0000-0000889C0000}"/>
    <cellStyle name="Normal 3 4 12 4 2 4 2" xfId="40082" xr:uid="{00000000-0005-0000-0000-0000899C0000}"/>
    <cellStyle name="Normal 3 4 12 4 2 4 3" xfId="40083" xr:uid="{00000000-0005-0000-0000-00008A9C0000}"/>
    <cellStyle name="Normal 3 4 12 4 2 5" xfId="40084" xr:uid="{00000000-0005-0000-0000-00008B9C0000}"/>
    <cellStyle name="Normal 3 4 12 4 2 5 2" xfId="40085" xr:uid="{00000000-0005-0000-0000-00008C9C0000}"/>
    <cellStyle name="Normal 3 4 12 4 2 5 3" xfId="40086" xr:uid="{00000000-0005-0000-0000-00008D9C0000}"/>
    <cellStyle name="Normal 3 4 12 4 2 6" xfId="40087" xr:uid="{00000000-0005-0000-0000-00008E9C0000}"/>
    <cellStyle name="Normal 3 4 12 4 2 6 2" xfId="40088" xr:uid="{00000000-0005-0000-0000-00008F9C0000}"/>
    <cellStyle name="Normal 3 4 12 4 2 6 3" xfId="40089" xr:uid="{00000000-0005-0000-0000-0000909C0000}"/>
    <cellStyle name="Normal 3 4 12 4 2 7" xfId="40090" xr:uid="{00000000-0005-0000-0000-0000919C0000}"/>
    <cellStyle name="Normal 3 4 12 4 2 7 2" xfId="40091" xr:uid="{00000000-0005-0000-0000-0000929C0000}"/>
    <cellStyle name="Normal 3 4 12 4 2 7 3" xfId="40092" xr:uid="{00000000-0005-0000-0000-0000939C0000}"/>
    <cellStyle name="Normal 3 4 12 4 2 8" xfId="40093" xr:uid="{00000000-0005-0000-0000-0000949C0000}"/>
    <cellStyle name="Normal 3 4 12 4 2 8 2" xfId="40094" xr:uid="{00000000-0005-0000-0000-0000959C0000}"/>
    <cellStyle name="Normal 3 4 12 4 2 8 3" xfId="40095" xr:uid="{00000000-0005-0000-0000-0000969C0000}"/>
    <cellStyle name="Normal 3 4 12 4 2 9" xfId="40096" xr:uid="{00000000-0005-0000-0000-0000979C0000}"/>
    <cellStyle name="Normal 3 4 12 4 2 9 2" xfId="40097" xr:uid="{00000000-0005-0000-0000-0000989C0000}"/>
    <cellStyle name="Normal 3 4 12 4 2 9 3" xfId="40098" xr:uid="{00000000-0005-0000-0000-0000999C0000}"/>
    <cellStyle name="Normal 3 4 12 4 3" xfId="40099" xr:uid="{00000000-0005-0000-0000-00009A9C0000}"/>
    <cellStyle name="Normal 3 4 12 4 3 2" xfId="40100" xr:uid="{00000000-0005-0000-0000-00009B9C0000}"/>
    <cellStyle name="Normal 3 4 12 4 3 3" xfId="40101" xr:uid="{00000000-0005-0000-0000-00009C9C0000}"/>
    <cellStyle name="Normal 3 4 12 4 4" xfId="40102" xr:uid="{00000000-0005-0000-0000-00009D9C0000}"/>
    <cellStyle name="Normal 3 4 12 4 4 2" xfId="40103" xr:uid="{00000000-0005-0000-0000-00009E9C0000}"/>
    <cellStyle name="Normal 3 4 12 4 4 3" xfId="40104" xr:uid="{00000000-0005-0000-0000-00009F9C0000}"/>
    <cellStyle name="Normal 3 4 12 4 5" xfId="40105" xr:uid="{00000000-0005-0000-0000-0000A09C0000}"/>
    <cellStyle name="Normal 3 4 12 4 5 2" xfId="40106" xr:uid="{00000000-0005-0000-0000-0000A19C0000}"/>
    <cellStyle name="Normal 3 4 12 4 5 3" xfId="40107" xr:uid="{00000000-0005-0000-0000-0000A29C0000}"/>
    <cellStyle name="Normal 3 4 12 4 6" xfId="40108" xr:uid="{00000000-0005-0000-0000-0000A39C0000}"/>
    <cellStyle name="Normal 3 4 12 4 6 2" xfId="40109" xr:uid="{00000000-0005-0000-0000-0000A49C0000}"/>
    <cellStyle name="Normal 3 4 12 4 6 3" xfId="40110" xr:uid="{00000000-0005-0000-0000-0000A59C0000}"/>
    <cellStyle name="Normal 3 4 12 4 7" xfId="40111" xr:uid="{00000000-0005-0000-0000-0000A69C0000}"/>
    <cellStyle name="Normal 3 4 12 4 7 2" xfId="40112" xr:uid="{00000000-0005-0000-0000-0000A79C0000}"/>
    <cellStyle name="Normal 3 4 12 4 7 3" xfId="40113" xr:uid="{00000000-0005-0000-0000-0000A89C0000}"/>
    <cellStyle name="Normal 3 4 12 4 8" xfId="40114" xr:uid="{00000000-0005-0000-0000-0000A99C0000}"/>
    <cellStyle name="Normal 3 4 12 4 8 2" xfId="40115" xr:uid="{00000000-0005-0000-0000-0000AA9C0000}"/>
    <cellStyle name="Normal 3 4 12 4 8 3" xfId="40116" xr:uid="{00000000-0005-0000-0000-0000AB9C0000}"/>
    <cellStyle name="Normal 3 4 12 4 9" xfId="40117" xr:uid="{00000000-0005-0000-0000-0000AC9C0000}"/>
    <cellStyle name="Normal 3 4 12 4 9 2" xfId="40118" xr:uid="{00000000-0005-0000-0000-0000AD9C0000}"/>
    <cellStyle name="Normal 3 4 12 4 9 3" xfId="40119" xr:uid="{00000000-0005-0000-0000-0000AE9C0000}"/>
    <cellStyle name="Normal 3 4 12 5" xfId="40120" xr:uid="{00000000-0005-0000-0000-0000AF9C0000}"/>
    <cellStyle name="Normal 3 4 12 5 10" xfId="40121" xr:uid="{00000000-0005-0000-0000-0000B09C0000}"/>
    <cellStyle name="Normal 3 4 12 5 10 2" xfId="40122" xr:uid="{00000000-0005-0000-0000-0000B19C0000}"/>
    <cellStyle name="Normal 3 4 12 5 10 3" xfId="40123" xr:uid="{00000000-0005-0000-0000-0000B29C0000}"/>
    <cellStyle name="Normal 3 4 12 5 11" xfId="40124" xr:uid="{00000000-0005-0000-0000-0000B39C0000}"/>
    <cellStyle name="Normal 3 4 12 5 11 2" xfId="40125" xr:uid="{00000000-0005-0000-0000-0000B49C0000}"/>
    <cellStyle name="Normal 3 4 12 5 11 3" xfId="40126" xr:uid="{00000000-0005-0000-0000-0000B59C0000}"/>
    <cellStyle name="Normal 3 4 12 5 12" xfId="40127" xr:uid="{00000000-0005-0000-0000-0000B69C0000}"/>
    <cellStyle name="Normal 3 4 12 5 12 2" xfId="40128" xr:uid="{00000000-0005-0000-0000-0000B79C0000}"/>
    <cellStyle name="Normal 3 4 12 5 12 3" xfId="40129" xr:uid="{00000000-0005-0000-0000-0000B89C0000}"/>
    <cellStyle name="Normal 3 4 12 5 13" xfId="40130" xr:uid="{00000000-0005-0000-0000-0000B99C0000}"/>
    <cellStyle name="Normal 3 4 12 5 13 2" xfId="40131" xr:uid="{00000000-0005-0000-0000-0000BA9C0000}"/>
    <cellStyle name="Normal 3 4 12 5 13 3" xfId="40132" xr:uid="{00000000-0005-0000-0000-0000BB9C0000}"/>
    <cellStyle name="Normal 3 4 12 5 14" xfId="40133" xr:uid="{00000000-0005-0000-0000-0000BC9C0000}"/>
    <cellStyle name="Normal 3 4 12 5 14 2" xfId="40134" xr:uid="{00000000-0005-0000-0000-0000BD9C0000}"/>
    <cellStyle name="Normal 3 4 12 5 14 3" xfId="40135" xr:uid="{00000000-0005-0000-0000-0000BE9C0000}"/>
    <cellStyle name="Normal 3 4 12 5 15" xfId="40136" xr:uid="{00000000-0005-0000-0000-0000BF9C0000}"/>
    <cellStyle name="Normal 3 4 12 5 16" xfId="40137" xr:uid="{00000000-0005-0000-0000-0000C09C0000}"/>
    <cellStyle name="Normal 3 4 12 5 2" xfId="40138" xr:uid="{00000000-0005-0000-0000-0000C19C0000}"/>
    <cellStyle name="Normal 3 4 12 5 2 2" xfId="40139" xr:uid="{00000000-0005-0000-0000-0000C29C0000}"/>
    <cellStyle name="Normal 3 4 12 5 2 3" xfId="40140" xr:uid="{00000000-0005-0000-0000-0000C39C0000}"/>
    <cellStyle name="Normal 3 4 12 5 3" xfId="40141" xr:uid="{00000000-0005-0000-0000-0000C49C0000}"/>
    <cellStyle name="Normal 3 4 12 5 3 2" xfId="40142" xr:uid="{00000000-0005-0000-0000-0000C59C0000}"/>
    <cellStyle name="Normal 3 4 12 5 3 3" xfId="40143" xr:uid="{00000000-0005-0000-0000-0000C69C0000}"/>
    <cellStyle name="Normal 3 4 12 5 4" xfId="40144" xr:uid="{00000000-0005-0000-0000-0000C79C0000}"/>
    <cellStyle name="Normal 3 4 12 5 4 2" xfId="40145" xr:uid="{00000000-0005-0000-0000-0000C89C0000}"/>
    <cellStyle name="Normal 3 4 12 5 4 3" xfId="40146" xr:uid="{00000000-0005-0000-0000-0000C99C0000}"/>
    <cellStyle name="Normal 3 4 12 5 5" xfId="40147" xr:uid="{00000000-0005-0000-0000-0000CA9C0000}"/>
    <cellStyle name="Normal 3 4 12 5 5 2" xfId="40148" xr:uid="{00000000-0005-0000-0000-0000CB9C0000}"/>
    <cellStyle name="Normal 3 4 12 5 5 3" xfId="40149" xr:uid="{00000000-0005-0000-0000-0000CC9C0000}"/>
    <cellStyle name="Normal 3 4 12 5 6" xfId="40150" xr:uid="{00000000-0005-0000-0000-0000CD9C0000}"/>
    <cellStyle name="Normal 3 4 12 5 6 2" xfId="40151" xr:uid="{00000000-0005-0000-0000-0000CE9C0000}"/>
    <cellStyle name="Normal 3 4 12 5 6 3" xfId="40152" xr:uid="{00000000-0005-0000-0000-0000CF9C0000}"/>
    <cellStyle name="Normal 3 4 12 5 7" xfId="40153" xr:uid="{00000000-0005-0000-0000-0000D09C0000}"/>
    <cellStyle name="Normal 3 4 12 5 7 2" xfId="40154" xr:uid="{00000000-0005-0000-0000-0000D19C0000}"/>
    <cellStyle name="Normal 3 4 12 5 7 3" xfId="40155" xr:uid="{00000000-0005-0000-0000-0000D29C0000}"/>
    <cellStyle name="Normal 3 4 12 5 8" xfId="40156" xr:uid="{00000000-0005-0000-0000-0000D39C0000}"/>
    <cellStyle name="Normal 3 4 12 5 8 2" xfId="40157" xr:uid="{00000000-0005-0000-0000-0000D49C0000}"/>
    <cellStyle name="Normal 3 4 12 5 8 3" xfId="40158" xr:uid="{00000000-0005-0000-0000-0000D59C0000}"/>
    <cellStyle name="Normal 3 4 12 5 9" xfId="40159" xr:uid="{00000000-0005-0000-0000-0000D69C0000}"/>
    <cellStyle name="Normal 3 4 12 5 9 2" xfId="40160" xr:uid="{00000000-0005-0000-0000-0000D79C0000}"/>
    <cellStyle name="Normal 3 4 12 5 9 3" xfId="40161" xr:uid="{00000000-0005-0000-0000-0000D89C0000}"/>
    <cellStyle name="Normal 3 4 12 6" xfId="40162" xr:uid="{00000000-0005-0000-0000-0000D99C0000}"/>
    <cellStyle name="Normal 3 4 12 6 10" xfId="40163" xr:uid="{00000000-0005-0000-0000-0000DA9C0000}"/>
    <cellStyle name="Normal 3 4 12 6 10 2" xfId="40164" xr:uid="{00000000-0005-0000-0000-0000DB9C0000}"/>
    <cellStyle name="Normal 3 4 12 6 10 3" xfId="40165" xr:uid="{00000000-0005-0000-0000-0000DC9C0000}"/>
    <cellStyle name="Normal 3 4 12 6 11" xfId="40166" xr:uid="{00000000-0005-0000-0000-0000DD9C0000}"/>
    <cellStyle name="Normal 3 4 12 6 11 2" xfId="40167" xr:uid="{00000000-0005-0000-0000-0000DE9C0000}"/>
    <cellStyle name="Normal 3 4 12 6 11 3" xfId="40168" xr:uid="{00000000-0005-0000-0000-0000DF9C0000}"/>
    <cellStyle name="Normal 3 4 12 6 12" xfId="40169" xr:uid="{00000000-0005-0000-0000-0000E09C0000}"/>
    <cellStyle name="Normal 3 4 12 6 12 2" xfId="40170" xr:uid="{00000000-0005-0000-0000-0000E19C0000}"/>
    <cellStyle name="Normal 3 4 12 6 12 3" xfId="40171" xr:uid="{00000000-0005-0000-0000-0000E29C0000}"/>
    <cellStyle name="Normal 3 4 12 6 13" xfId="40172" xr:uid="{00000000-0005-0000-0000-0000E39C0000}"/>
    <cellStyle name="Normal 3 4 12 6 13 2" xfId="40173" xr:uid="{00000000-0005-0000-0000-0000E49C0000}"/>
    <cellStyle name="Normal 3 4 12 6 13 3" xfId="40174" xr:uid="{00000000-0005-0000-0000-0000E59C0000}"/>
    <cellStyle name="Normal 3 4 12 6 14" xfId="40175" xr:uid="{00000000-0005-0000-0000-0000E69C0000}"/>
    <cellStyle name="Normal 3 4 12 6 14 2" xfId="40176" xr:uid="{00000000-0005-0000-0000-0000E79C0000}"/>
    <cellStyle name="Normal 3 4 12 6 14 3" xfId="40177" xr:uid="{00000000-0005-0000-0000-0000E89C0000}"/>
    <cellStyle name="Normal 3 4 12 6 15" xfId="40178" xr:uid="{00000000-0005-0000-0000-0000E99C0000}"/>
    <cellStyle name="Normal 3 4 12 6 16" xfId="40179" xr:uid="{00000000-0005-0000-0000-0000EA9C0000}"/>
    <cellStyle name="Normal 3 4 12 6 2" xfId="40180" xr:uid="{00000000-0005-0000-0000-0000EB9C0000}"/>
    <cellStyle name="Normal 3 4 12 6 2 2" xfId="40181" xr:uid="{00000000-0005-0000-0000-0000EC9C0000}"/>
    <cellStyle name="Normal 3 4 12 6 2 3" xfId="40182" xr:uid="{00000000-0005-0000-0000-0000ED9C0000}"/>
    <cellStyle name="Normal 3 4 12 6 3" xfId="40183" xr:uid="{00000000-0005-0000-0000-0000EE9C0000}"/>
    <cellStyle name="Normal 3 4 12 6 3 2" xfId="40184" xr:uid="{00000000-0005-0000-0000-0000EF9C0000}"/>
    <cellStyle name="Normal 3 4 12 6 3 3" xfId="40185" xr:uid="{00000000-0005-0000-0000-0000F09C0000}"/>
    <cellStyle name="Normal 3 4 12 6 4" xfId="40186" xr:uid="{00000000-0005-0000-0000-0000F19C0000}"/>
    <cellStyle name="Normal 3 4 12 6 4 2" xfId="40187" xr:uid="{00000000-0005-0000-0000-0000F29C0000}"/>
    <cellStyle name="Normal 3 4 12 6 4 3" xfId="40188" xr:uid="{00000000-0005-0000-0000-0000F39C0000}"/>
    <cellStyle name="Normal 3 4 12 6 5" xfId="40189" xr:uid="{00000000-0005-0000-0000-0000F49C0000}"/>
    <cellStyle name="Normal 3 4 12 6 5 2" xfId="40190" xr:uid="{00000000-0005-0000-0000-0000F59C0000}"/>
    <cellStyle name="Normal 3 4 12 6 5 3" xfId="40191" xr:uid="{00000000-0005-0000-0000-0000F69C0000}"/>
    <cellStyle name="Normal 3 4 12 6 6" xfId="40192" xr:uid="{00000000-0005-0000-0000-0000F79C0000}"/>
    <cellStyle name="Normal 3 4 12 6 6 2" xfId="40193" xr:uid="{00000000-0005-0000-0000-0000F89C0000}"/>
    <cellStyle name="Normal 3 4 12 6 6 3" xfId="40194" xr:uid="{00000000-0005-0000-0000-0000F99C0000}"/>
    <cellStyle name="Normal 3 4 12 6 7" xfId="40195" xr:uid="{00000000-0005-0000-0000-0000FA9C0000}"/>
    <cellStyle name="Normal 3 4 12 6 7 2" xfId="40196" xr:uid="{00000000-0005-0000-0000-0000FB9C0000}"/>
    <cellStyle name="Normal 3 4 12 6 7 3" xfId="40197" xr:uid="{00000000-0005-0000-0000-0000FC9C0000}"/>
    <cellStyle name="Normal 3 4 12 6 8" xfId="40198" xr:uid="{00000000-0005-0000-0000-0000FD9C0000}"/>
    <cellStyle name="Normal 3 4 12 6 8 2" xfId="40199" xr:uid="{00000000-0005-0000-0000-0000FE9C0000}"/>
    <cellStyle name="Normal 3 4 12 6 8 3" xfId="40200" xr:uid="{00000000-0005-0000-0000-0000FF9C0000}"/>
    <cellStyle name="Normal 3 4 12 6 9" xfId="40201" xr:uid="{00000000-0005-0000-0000-0000009D0000}"/>
    <cellStyle name="Normal 3 4 12 6 9 2" xfId="40202" xr:uid="{00000000-0005-0000-0000-0000019D0000}"/>
    <cellStyle name="Normal 3 4 12 6 9 3" xfId="40203" xr:uid="{00000000-0005-0000-0000-0000029D0000}"/>
    <cellStyle name="Normal 3 4 12 7" xfId="40204" xr:uid="{00000000-0005-0000-0000-0000039D0000}"/>
    <cellStyle name="Normal 3 4 12 7 10" xfId="40205" xr:uid="{00000000-0005-0000-0000-0000049D0000}"/>
    <cellStyle name="Normal 3 4 12 7 10 2" xfId="40206" xr:uid="{00000000-0005-0000-0000-0000059D0000}"/>
    <cellStyle name="Normal 3 4 12 7 10 3" xfId="40207" xr:uid="{00000000-0005-0000-0000-0000069D0000}"/>
    <cellStyle name="Normal 3 4 12 7 11" xfId="40208" xr:uid="{00000000-0005-0000-0000-0000079D0000}"/>
    <cellStyle name="Normal 3 4 12 7 11 2" xfId="40209" xr:uid="{00000000-0005-0000-0000-0000089D0000}"/>
    <cellStyle name="Normal 3 4 12 7 11 3" xfId="40210" xr:uid="{00000000-0005-0000-0000-0000099D0000}"/>
    <cellStyle name="Normal 3 4 12 7 12" xfId="40211" xr:uid="{00000000-0005-0000-0000-00000A9D0000}"/>
    <cellStyle name="Normal 3 4 12 7 12 2" xfId="40212" xr:uid="{00000000-0005-0000-0000-00000B9D0000}"/>
    <cellStyle name="Normal 3 4 12 7 12 3" xfId="40213" xr:uid="{00000000-0005-0000-0000-00000C9D0000}"/>
    <cellStyle name="Normal 3 4 12 7 13" xfId="40214" xr:uid="{00000000-0005-0000-0000-00000D9D0000}"/>
    <cellStyle name="Normal 3 4 12 7 13 2" xfId="40215" xr:uid="{00000000-0005-0000-0000-00000E9D0000}"/>
    <cellStyle name="Normal 3 4 12 7 13 3" xfId="40216" xr:uid="{00000000-0005-0000-0000-00000F9D0000}"/>
    <cellStyle name="Normal 3 4 12 7 14" xfId="40217" xr:uid="{00000000-0005-0000-0000-0000109D0000}"/>
    <cellStyle name="Normal 3 4 12 7 14 2" xfId="40218" xr:uid="{00000000-0005-0000-0000-0000119D0000}"/>
    <cellStyle name="Normal 3 4 12 7 14 3" xfId="40219" xr:uid="{00000000-0005-0000-0000-0000129D0000}"/>
    <cellStyle name="Normal 3 4 12 7 15" xfId="40220" xr:uid="{00000000-0005-0000-0000-0000139D0000}"/>
    <cellStyle name="Normal 3 4 12 7 16" xfId="40221" xr:uid="{00000000-0005-0000-0000-0000149D0000}"/>
    <cellStyle name="Normal 3 4 12 7 2" xfId="40222" xr:uid="{00000000-0005-0000-0000-0000159D0000}"/>
    <cellStyle name="Normal 3 4 12 7 2 2" xfId="40223" xr:uid="{00000000-0005-0000-0000-0000169D0000}"/>
    <cellStyle name="Normal 3 4 12 7 2 3" xfId="40224" xr:uid="{00000000-0005-0000-0000-0000179D0000}"/>
    <cellStyle name="Normal 3 4 12 7 3" xfId="40225" xr:uid="{00000000-0005-0000-0000-0000189D0000}"/>
    <cellStyle name="Normal 3 4 12 7 3 2" xfId="40226" xr:uid="{00000000-0005-0000-0000-0000199D0000}"/>
    <cellStyle name="Normal 3 4 12 7 3 3" xfId="40227" xr:uid="{00000000-0005-0000-0000-00001A9D0000}"/>
    <cellStyle name="Normal 3 4 12 7 4" xfId="40228" xr:uid="{00000000-0005-0000-0000-00001B9D0000}"/>
    <cellStyle name="Normal 3 4 12 7 4 2" xfId="40229" xr:uid="{00000000-0005-0000-0000-00001C9D0000}"/>
    <cellStyle name="Normal 3 4 12 7 4 3" xfId="40230" xr:uid="{00000000-0005-0000-0000-00001D9D0000}"/>
    <cellStyle name="Normal 3 4 12 7 5" xfId="40231" xr:uid="{00000000-0005-0000-0000-00001E9D0000}"/>
    <cellStyle name="Normal 3 4 12 7 5 2" xfId="40232" xr:uid="{00000000-0005-0000-0000-00001F9D0000}"/>
    <cellStyle name="Normal 3 4 12 7 5 3" xfId="40233" xr:uid="{00000000-0005-0000-0000-0000209D0000}"/>
    <cellStyle name="Normal 3 4 12 7 6" xfId="40234" xr:uid="{00000000-0005-0000-0000-0000219D0000}"/>
    <cellStyle name="Normal 3 4 12 7 6 2" xfId="40235" xr:uid="{00000000-0005-0000-0000-0000229D0000}"/>
    <cellStyle name="Normal 3 4 12 7 6 3" xfId="40236" xr:uid="{00000000-0005-0000-0000-0000239D0000}"/>
    <cellStyle name="Normal 3 4 12 7 7" xfId="40237" xr:uid="{00000000-0005-0000-0000-0000249D0000}"/>
    <cellStyle name="Normal 3 4 12 7 7 2" xfId="40238" xr:uid="{00000000-0005-0000-0000-0000259D0000}"/>
    <cellStyle name="Normal 3 4 12 7 7 3" xfId="40239" xr:uid="{00000000-0005-0000-0000-0000269D0000}"/>
    <cellStyle name="Normal 3 4 12 7 8" xfId="40240" xr:uid="{00000000-0005-0000-0000-0000279D0000}"/>
    <cellStyle name="Normal 3 4 12 7 8 2" xfId="40241" xr:uid="{00000000-0005-0000-0000-0000289D0000}"/>
    <cellStyle name="Normal 3 4 12 7 8 3" xfId="40242" xr:uid="{00000000-0005-0000-0000-0000299D0000}"/>
    <cellStyle name="Normal 3 4 12 7 9" xfId="40243" xr:uid="{00000000-0005-0000-0000-00002A9D0000}"/>
    <cellStyle name="Normal 3 4 12 7 9 2" xfId="40244" xr:uid="{00000000-0005-0000-0000-00002B9D0000}"/>
    <cellStyle name="Normal 3 4 12 7 9 3" xfId="40245" xr:uid="{00000000-0005-0000-0000-00002C9D0000}"/>
    <cellStyle name="Normal 3 4 12 8" xfId="40246" xr:uid="{00000000-0005-0000-0000-00002D9D0000}"/>
    <cellStyle name="Normal 3 4 12 8 10" xfId="40247" xr:uid="{00000000-0005-0000-0000-00002E9D0000}"/>
    <cellStyle name="Normal 3 4 12 8 10 2" xfId="40248" xr:uid="{00000000-0005-0000-0000-00002F9D0000}"/>
    <cellStyle name="Normal 3 4 12 8 10 3" xfId="40249" xr:uid="{00000000-0005-0000-0000-0000309D0000}"/>
    <cellStyle name="Normal 3 4 12 8 11" xfId="40250" xr:uid="{00000000-0005-0000-0000-0000319D0000}"/>
    <cellStyle name="Normal 3 4 12 8 11 2" xfId="40251" xr:uid="{00000000-0005-0000-0000-0000329D0000}"/>
    <cellStyle name="Normal 3 4 12 8 11 3" xfId="40252" xr:uid="{00000000-0005-0000-0000-0000339D0000}"/>
    <cellStyle name="Normal 3 4 12 8 12" xfId="40253" xr:uid="{00000000-0005-0000-0000-0000349D0000}"/>
    <cellStyle name="Normal 3 4 12 8 12 2" xfId="40254" xr:uid="{00000000-0005-0000-0000-0000359D0000}"/>
    <cellStyle name="Normal 3 4 12 8 12 3" xfId="40255" xr:uid="{00000000-0005-0000-0000-0000369D0000}"/>
    <cellStyle name="Normal 3 4 12 8 13" xfId="40256" xr:uid="{00000000-0005-0000-0000-0000379D0000}"/>
    <cellStyle name="Normal 3 4 12 8 13 2" xfId="40257" xr:uid="{00000000-0005-0000-0000-0000389D0000}"/>
    <cellStyle name="Normal 3 4 12 8 13 3" xfId="40258" xr:uid="{00000000-0005-0000-0000-0000399D0000}"/>
    <cellStyle name="Normal 3 4 12 8 14" xfId="40259" xr:uid="{00000000-0005-0000-0000-00003A9D0000}"/>
    <cellStyle name="Normal 3 4 12 8 14 2" xfId="40260" xr:uid="{00000000-0005-0000-0000-00003B9D0000}"/>
    <cellStyle name="Normal 3 4 12 8 14 3" xfId="40261" xr:uid="{00000000-0005-0000-0000-00003C9D0000}"/>
    <cellStyle name="Normal 3 4 12 8 15" xfId="40262" xr:uid="{00000000-0005-0000-0000-00003D9D0000}"/>
    <cellStyle name="Normal 3 4 12 8 16" xfId="40263" xr:uid="{00000000-0005-0000-0000-00003E9D0000}"/>
    <cellStyle name="Normal 3 4 12 8 2" xfId="40264" xr:uid="{00000000-0005-0000-0000-00003F9D0000}"/>
    <cellStyle name="Normal 3 4 12 8 2 2" xfId="40265" xr:uid="{00000000-0005-0000-0000-0000409D0000}"/>
    <cellStyle name="Normal 3 4 12 8 2 3" xfId="40266" xr:uid="{00000000-0005-0000-0000-0000419D0000}"/>
    <cellStyle name="Normal 3 4 12 8 3" xfId="40267" xr:uid="{00000000-0005-0000-0000-0000429D0000}"/>
    <cellStyle name="Normal 3 4 12 8 3 2" xfId="40268" xr:uid="{00000000-0005-0000-0000-0000439D0000}"/>
    <cellStyle name="Normal 3 4 12 8 3 3" xfId="40269" xr:uid="{00000000-0005-0000-0000-0000449D0000}"/>
    <cellStyle name="Normal 3 4 12 8 4" xfId="40270" xr:uid="{00000000-0005-0000-0000-0000459D0000}"/>
    <cellStyle name="Normal 3 4 12 8 4 2" xfId="40271" xr:uid="{00000000-0005-0000-0000-0000469D0000}"/>
    <cellStyle name="Normal 3 4 12 8 4 3" xfId="40272" xr:uid="{00000000-0005-0000-0000-0000479D0000}"/>
    <cellStyle name="Normal 3 4 12 8 5" xfId="40273" xr:uid="{00000000-0005-0000-0000-0000489D0000}"/>
    <cellStyle name="Normal 3 4 12 8 5 2" xfId="40274" xr:uid="{00000000-0005-0000-0000-0000499D0000}"/>
    <cellStyle name="Normal 3 4 12 8 5 3" xfId="40275" xr:uid="{00000000-0005-0000-0000-00004A9D0000}"/>
    <cellStyle name="Normal 3 4 12 8 6" xfId="40276" xr:uid="{00000000-0005-0000-0000-00004B9D0000}"/>
    <cellStyle name="Normal 3 4 12 8 6 2" xfId="40277" xr:uid="{00000000-0005-0000-0000-00004C9D0000}"/>
    <cellStyle name="Normal 3 4 12 8 6 3" xfId="40278" xr:uid="{00000000-0005-0000-0000-00004D9D0000}"/>
    <cellStyle name="Normal 3 4 12 8 7" xfId="40279" xr:uid="{00000000-0005-0000-0000-00004E9D0000}"/>
    <cellStyle name="Normal 3 4 12 8 7 2" xfId="40280" xr:uid="{00000000-0005-0000-0000-00004F9D0000}"/>
    <cellStyle name="Normal 3 4 12 8 7 3" xfId="40281" xr:uid="{00000000-0005-0000-0000-0000509D0000}"/>
    <cellStyle name="Normal 3 4 12 8 8" xfId="40282" xr:uid="{00000000-0005-0000-0000-0000519D0000}"/>
    <cellStyle name="Normal 3 4 12 8 8 2" xfId="40283" xr:uid="{00000000-0005-0000-0000-0000529D0000}"/>
    <cellStyle name="Normal 3 4 12 8 8 3" xfId="40284" xr:uid="{00000000-0005-0000-0000-0000539D0000}"/>
    <cellStyle name="Normal 3 4 12 8 9" xfId="40285" xr:uid="{00000000-0005-0000-0000-0000549D0000}"/>
    <cellStyle name="Normal 3 4 12 8 9 2" xfId="40286" xr:uid="{00000000-0005-0000-0000-0000559D0000}"/>
    <cellStyle name="Normal 3 4 12 8 9 3" xfId="40287" xr:uid="{00000000-0005-0000-0000-0000569D0000}"/>
    <cellStyle name="Normal 3 4 12 9" xfId="40288" xr:uid="{00000000-0005-0000-0000-0000579D0000}"/>
    <cellStyle name="Normal 3 4 12 9 10" xfId="40289" xr:uid="{00000000-0005-0000-0000-0000589D0000}"/>
    <cellStyle name="Normal 3 4 12 9 10 2" xfId="40290" xr:uid="{00000000-0005-0000-0000-0000599D0000}"/>
    <cellStyle name="Normal 3 4 12 9 10 3" xfId="40291" xr:uid="{00000000-0005-0000-0000-00005A9D0000}"/>
    <cellStyle name="Normal 3 4 12 9 11" xfId="40292" xr:uid="{00000000-0005-0000-0000-00005B9D0000}"/>
    <cellStyle name="Normal 3 4 12 9 11 2" xfId="40293" xr:uid="{00000000-0005-0000-0000-00005C9D0000}"/>
    <cellStyle name="Normal 3 4 12 9 11 3" xfId="40294" xr:uid="{00000000-0005-0000-0000-00005D9D0000}"/>
    <cellStyle name="Normal 3 4 12 9 12" xfId="40295" xr:uid="{00000000-0005-0000-0000-00005E9D0000}"/>
    <cellStyle name="Normal 3 4 12 9 12 2" xfId="40296" xr:uid="{00000000-0005-0000-0000-00005F9D0000}"/>
    <cellStyle name="Normal 3 4 12 9 12 3" xfId="40297" xr:uid="{00000000-0005-0000-0000-0000609D0000}"/>
    <cellStyle name="Normal 3 4 12 9 13" xfId="40298" xr:uid="{00000000-0005-0000-0000-0000619D0000}"/>
    <cellStyle name="Normal 3 4 12 9 13 2" xfId="40299" xr:uid="{00000000-0005-0000-0000-0000629D0000}"/>
    <cellStyle name="Normal 3 4 12 9 13 3" xfId="40300" xr:uid="{00000000-0005-0000-0000-0000639D0000}"/>
    <cellStyle name="Normal 3 4 12 9 14" xfId="40301" xr:uid="{00000000-0005-0000-0000-0000649D0000}"/>
    <cellStyle name="Normal 3 4 12 9 14 2" xfId="40302" xr:uid="{00000000-0005-0000-0000-0000659D0000}"/>
    <cellStyle name="Normal 3 4 12 9 14 3" xfId="40303" xr:uid="{00000000-0005-0000-0000-0000669D0000}"/>
    <cellStyle name="Normal 3 4 12 9 15" xfId="40304" xr:uid="{00000000-0005-0000-0000-0000679D0000}"/>
    <cellStyle name="Normal 3 4 12 9 16" xfId="40305" xr:uid="{00000000-0005-0000-0000-0000689D0000}"/>
    <cellStyle name="Normal 3 4 12 9 2" xfId="40306" xr:uid="{00000000-0005-0000-0000-0000699D0000}"/>
    <cellStyle name="Normal 3 4 12 9 2 2" xfId="40307" xr:uid="{00000000-0005-0000-0000-00006A9D0000}"/>
    <cellStyle name="Normal 3 4 12 9 2 3" xfId="40308" xr:uid="{00000000-0005-0000-0000-00006B9D0000}"/>
    <cellStyle name="Normal 3 4 12 9 3" xfId="40309" xr:uid="{00000000-0005-0000-0000-00006C9D0000}"/>
    <cellStyle name="Normal 3 4 12 9 3 2" xfId="40310" xr:uid="{00000000-0005-0000-0000-00006D9D0000}"/>
    <cellStyle name="Normal 3 4 12 9 3 3" xfId="40311" xr:uid="{00000000-0005-0000-0000-00006E9D0000}"/>
    <cellStyle name="Normal 3 4 12 9 4" xfId="40312" xr:uid="{00000000-0005-0000-0000-00006F9D0000}"/>
    <cellStyle name="Normal 3 4 12 9 4 2" xfId="40313" xr:uid="{00000000-0005-0000-0000-0000709D0000}"/>
    <cellStyle name="Normal 3 4 12 9 4 3" xfId="40314" xr:uid="{00000000-0005-0000-0000-0000719D0000}"/>
    <cellStyle name="Normal 3 4 12 9 5" xfId="40315" xr:uid="{00000000-0005-0000-0000-0000729D0000}"/>
    <cellStyle name="Normal 3 4 12 9 5 2" xfId="40316" xr:uid="{00000000-0005-0000-0000-0000739D0000}"/>
    <cellStyle name="Normal 3 4 12 9 5 3" xfId="40317" xr:uid="{00000000-0005-0000-0000-0000749D0000}"/>
    <cellStyle name="Normal 3 4 12 9 6" xfId="40318" xr:uid="{00000000-0005-0000-0000-0000759D0000}"/>
    <cellStyle name="Normal 3 4 12 9 6 2" xfId="40319" xr:uid="{00000000-0005-0000-0000-0000769D0000}"/>
    <cellStyle name="Normal 3 4 12 9 6 3" xfId="40320" xr:uid="{00000000-0005-0000-0000-0000779D0000}"/>
    <cellStyle name="Normal 3 4 12 9 7" xfId="40321" xr:uid="{00000000-0005-0000-0000-0000789D0000}"/>
    <cellStyle name="Normal 3 4 12 9 7 2" xfId="40322" xr:uid="{00000000-0005-0000-0000-0000799D0000}"/>
    <cellStyle name="Normal 3 4 12 9 7 3" xfId="40323" xr:uid="{00000000-0005-0000-0000-00007A9D0000}"/>
    <cellStyle name="Normal 3 4 12 9 8" xfId="40324" xr:uid="{00000000-0005-0000-0000-00007B9D0000}"/>
    <cellStyle name="Normal 3 4 12 9 8 2" xfId="40325" xr:uid="{00000000-0005-0000-0000-00007C9D0000}"/>
    <cellStyle name="Normal 3 4 12 9 8 3" xfId="40326" xr:uid="{00000000-0005-0000-0000-00007D9D0000}"/>
    <cellStyle name="Normal 3 4 12 9 9" xfId="40327" xr:uid="{00000000-0005-0000-0000-00007E9D0000}"/>
    <cellStyle name="Normal 3 4 12 9 9 2" xfId="40328" xr:uid="{00000000-0005-0000-0000-00007F9D0000}"/>
    <cellStyle name="Normal 3 4 12 9 9 3" xfId="40329" xr:uid="{00000000-0005-0000-0000-0000809D0000}"/>
    <cellStyle name="Normal 3 4 13" xfId="40330" xr:uid="{00000000-0005-0000-0000-0000819D0000}"/>
    <cellStyle name="Normal 3 4 13 10" xfId="40331" xr:uid="{00000000-0005-0000-0000-0000829D0000}"/>
    <cellStyle name="Normal 3 4 13 10 2" xfId="40332" xr:uid="{00000000-0005-0000-0000-0000839D0000}"/>
    <cellStyle name="Normal 3 4 13 10 3" xfId="40333" xr:uid="{00000000-0005-0000-0000-0000849D0000}"/>
    <cellStyle name="Normal 3 4 13 11" xfId="40334" xr:uid="{00000000-0005-0000-0000-0000859D0000}"/>
    <cellStyle name="Normal 3 4 13 11 2" xfId="40335" xr:uid="{00000000-0005-0000-0000-0000869D0000}"/>
    <cellStyle name="Normal 3 4 13 11 3" xfId="40336" xr:uid="{00000000-0005-0000-0000-0000879D0000}"/>
    <cellStyle name="Normal 3 4 13 12" xfId="40337" xr:uid="{00000000-0005-0000-0000-0000889D0000}"/>
    <cellStyle name="Normal 3 4 13 12 2" xfId="40338" xr:uid="{00000000-0005-0000-0000-0000899D0000}"/>
    <cellStyle name="Normal 3 4 13 12 3" xfId="40339" xr:uid="{00000000-0005-0000-0000-00008A9D0000}"/>
    <cellStyle name="Normal 3 4 13 13" xfId="40340" xr:uid="{00000000-0005-0000-0000-00008B9D0000}"/>
    <cellStyle name="Normal 3 4 13 13 2" xfId="40341" xr:uid="{00000000-0005-0000-0000-00008C9D0000}"/>
    <cellStyle name="Normal 3 4 13 13 3" xfId="40342" xr:uid="{00000000-0005-0000-0000-00008D9D0000}"/>
    <cellStyle name="Normal 3 4 13 14" xfId="40343" xr:uid="{00000000-0005-0000-0000-00008E9D0000}"/>
    <cellStyle name="Normal 3 4 13 14 2" xfId="40344" xr:uid="{00000000-0005-0000-0000-00008F9D0000}"/>
    <cellStyle name="Normal 3 4 13 14 3" xfId="40345" xr:uid="{00000000-0005-0000-0000-0000909D0000}"/>
    <cellStyle name="Normal 3 4 13 15" xfId="40346" xr:uid="{00000000-0005-0000-0000-0000919D0000}"/>
    <cellStyle name="Normal 3 4 13 15 2" xfId="40347" xr:uid="{00000000-0005-0000-0000-0000929D0000}"/>
    <cellStyle name="Normal 3 4 13 15 3" xfId="40348" xr:uid="{00000000-0005-0000-0000-0000939D0000}"/>
    <cellStyle name="Normal 3 4 13 16" xfId="40349" xr:uid="{00000000-0005-0000-0000-0000949D0000}"/>
    <cellStyle name="Normal 3 4 13 17" xfId="40350" xr:uid="{00000000-0005-0000-0000-0000959D0000}"/>
    <cellStyle name="Normal 3 4 13 2" xfId="40351" xr:uid="{00000000-0005-0000-0000-0000969D0000}"/>
    <cellStyle name="Normal 3 4 13 2 10" xfId="40352" xr:uid="{00000000-0005-0000-0000-0000979D0000}"/>
    <cellStyle name="Normal 3 4 13 2 10 2" xfId="40353" xr:uid="{00000000-0005-0000-0000-0000989D0000}"/>
    <cellStyle name="Normal 3 4 13 2 10 3" xfId="40354" xr:uid="{00000000-0005-0000-0000-0000999D0000}"/>
    <cellStyle name="Normal 3 4 13 2 11" xfId="40355" xr:uid="{00000000-0005-0000-0000-00009A9D0000}"/>
    <cellStyle name="Normal 3 4 13 2 11 2" xfId="40356" xr:uid="{00000000-0005-0000-0000-00009B9D0000}"/>
    <cellStyle name="Normal 3 4 13 2 11 3" xfId="40357" xr:uid="{00000000-0005-0000-0000-00009C9D0000}"/>
    <cellStyle name="Normal 3 4 13 2 12" xfId="40358" xr:uid="{00000000-0005-0000-0000-00009D9D0000}"/>
    <cellStyle name="Normal 3 4 13 2 12 2" xfId="40359" xr:uid="{00000000-0005-0000-0000-00009E9D0000}"/>
    <cellStyle name="Normal 3 4 13 2 12 3" xfId="40360" xr:uid="{00000000-0005-0000-0000-00009F9D0000}"/>
    <cellStyle name="Normal 3 4 13 2 13" xfId="40361" xr:uid="{00000000-0005-0000-0000-0000A09D0000}"/>
    <cellStyle name="Normal 3 4 13 2 13 2" xfId="40362" xr:uid="{00000000-0005-0000-0000-0000A19D0000}"/>
    <cellStyle name="Normal 3 4 13 2 13 3" xfId="40363" xr:uid="{00000000-0005-0000-0000-0000A29D0000}"/>
    <cellStyle name="Normal 3 4 13 2 14" xfId="40364" xr:uid="{00000000-0005-0000-0000-0000A39D0000}"/>
    <cellStyle name="Normal 3 4 13 2 14 2" xfId="40365" xr:uid="{00000000-0005-0000-0000-0000A49D0000}"/>
    <cellStyle name="Normal 3 4 13 2 14 3" xfId="40366" xr:uid="{00000000-0005-0000-0000-0000A59D0000}"/>
    <cellStyle name="Normal 3 4 13 2 15" xfId="40367" xr:uid="{00000000-0005-0000-0000-0000A69D0000}"/>
    <cellStyle name="Normal 3 4 13 2 16" xfId="40368" xr:uid="{00000000-0005-0000-0000-0000A79D0000}"/>
    <cellStyle name="Normal 3 4 13 2 2" xfId="40369" xr:uid="{00000000-0005-0000-0000-0000A89D0000}"/>
    <cellStyle name="Normal 3 4 13 2 2 2" xfId="40370" xr:uid="{00000000-0005-0000-0000-0000A99D0000}"/>
    <cellStyle name="Normal 3 4 13 2 2 3" xfId="40371" xr:uid="{00000000-0005-0000-0000-0000AA9D0000}"/>
    <cellStyle name="Normal 3 4 13 2 3" xfId="40372" xr:uid="{00000000-0005-0000-0000-0000AB9D0000}"/>
    <cellStyle name="Normal 3 4 13 2 3 2" xfId="40373" xr:uid="{00000000-0005-0000-0000-0000AC9D0000}"/>
    <cellStyle name="Normal 3 4 13 2 3 3" xfId="40374" xr:uid="{00000000-0005-0000-0000-0000AD9D0000}"/>
    <cellStyle name="Normal 3 4 13 2 4" xfId="40375" xr:uid="{00000000-0005-0000-0000-0000AE9D0000}"/>
    <cellStyle name="Normal 3 4 13 2 4 2" xfId="40376" xr:uid="{00000000-0005-0000-0000-0000AF9D0000}"/>
    <cellStyle name="Normal 3 4 13 2 4 3" xfId="40377" xr:uid="{00000000-0005-0000-0000-0000B09D0000}"/>
    <cellStyle name="Normal 3 4 13 2 5" xfId="40378" xr:uid="{00000000-0005-0000-0000-0000B19D0000}"/>
    <cellStyle name="Normal 3 4 13 2 5 2" xfId="40379" xr:uid="{00000000-0005-0000-0000-0000B29D0000}"/>
    <cellStyle name="Normal 3 4 13 2 5 3" xfId="40380" xr:uid="{00000000-0005-0000-0000-0000B39D0000}"/>
    <cellStyle name="Normal 3 4 13 2 6" xfId="40381" xr:uid="{00000000-0005-0000-0000-0000B49D0000}"/>
    <cellStyle name="Normal 3 4 13 2 6 2" xfId="40382" xr:uid="{00000000-0005-0000-0000-0000B59D0000}"/>
    <cellStyle name="Normal 3 4 13 2 6 3" xfId="40383" xr:uid="{00000000-0005-0000-0000-0000B69D0000}"/>
    <cellStyle name="Normal 3 4 13 2 7" xfId="40384" xr:uid="{00000000-0005-0000-0000-0000B79D0000}"/>
    <cellStyle name="Normal 3 4 13 2 7 2" xfId="40385" xr:uid="{00000000-0005-0000-0000-0000B89D0000}"/>
    <cellStyle name="Normal 3 4 13 2 7 3" xfId="40386" xr:uid="{00000000-0005-0000-0000-0000B99D0000}"/>
    <cellStyle name="Normal 3 4 13 2 8" xfId="40387" xr:uid="{00000000-0005-0000-0000-0000BA9D0000}"/>
    <cellStyle name="Normal 3 4 13 2 8 2" xfId="40388" xr:uid="{00000000-0005-0000-0000-0000BB9D0000}"/>
    <cellStyle name="Normal 3 4 13 2 8 3" xfId="40389" xr:uid="{00000000-0005-0000-0000-0000BC9D0000}"/>
    <cellStyle name="Normal 3 4 13 2 9" xfId="40390" xr:uid="{00000000-0005-0000-0000-0000BD9D0000}"/>
    <cellStyle name="Normal 3 4 13 2 9 2" xfId="40391" xr:uid="{00000000-0005-0000-0000-0000BE9D0000}"/>
    <cellStyle name="Normal 3 4 13 2 9 3" xfId="40392" xr:uid="{00000000-0005-0000-0000-0000BF9D0000}"/>
    <cellStyle name="Normal 3 4 13 3" xfId="40393" xr:uid="{00000000-0005-0000-0000-0000C09D0000}"/>
    <cellStyle name="Normal 3 4 13 3 2" xfId="40394" xr:uid="{00000000-0005-0000-0000-0000C19D0000}"/>
    <cellStyle name="Normal 3 4 13 3 3" xfId="40395" xr:uid="{00000000-0005-0000-0000-0000C29D0000}"/>
    <cellStyle name="Normal 3 4 13 4" xfId="40396" xr:uid="{00000000-0005-0000-0000-0000C39D0000}"/>
    <cellStyle name="Normal 3 4 13 4 2" xfId="40397" xr:uid="{00000000-0005-0000-0000-0000C49D0000}"/>
    <cellStyle name="Normal 3 4 13 4 3" xfId="40398" xr:uid="{00000000-0005-0000-0000-0000C59D0000}"/>
    <cellStyle name="Normal 3 4 13 5" xfId="40399" xr:uid="{00000000-0005-0000-0000-0000C69D0000}"/>
    <cellStyle name="Normal 3 4 13 5 2" xfId="40400" xr:uid="{00000000-0005-0000-0000-0000C79D0000}"/>
    <cellStyle name="Normal 3 4 13 5 3" xfId="40401" xr:uid="{00000000-0005-0000-0000-0000C89D0000}"/>
    <cellStyle name="Normal 3 4 13 6" xfId="40402" xr:uid="{00000000-0005-0000-0000-0000C99D0000}"/>
    <cellStyle name="Normal 3 4 13 6 2" xfId="40403" xr:uid="{00000000-0005-0000-0000-0000CA9D0000}"/>
    <cellStyle name="Normal 3 4 13 6 3" xfId="40404" xr:uid="{00000000-0005-0000-0000-0000CB9D0000}"/>
    <cellStyle name="Normal 3 4 13 7" xfId="40405" xr:uid="{00000000-0005-0000-0000-0000CC9D0000}"/>
    <cellStyle name="Normal 3 4 13 7 2" xfId="40406" xr:uid="{00000000-0005-0000-0000-0000CD9D0000}"/>
    <cellStyle name="Normal 3 4 13 7 3" xfId="40407" xr:uid="{00000000-0005-0000-0000-0000CE9D0000}"/>
    <cellStyle name="Normal 3 4 13 8" xfId="40408" xr:uid="{00000000-0005-0000-0000-0000CF9D0000}"/>
    <cellStyle name="Normal 3 4 13 8 2" xfId="40409" xr:uid="{00000000-0005-0000-0000-0000D09D0000}"/>
    <cellStyle name="Normal 3 4 13 8 3" xfId="40410" xr:uid="{00000000-0005-0000-0000-0000D19D0000}"/>
    <cellStyle name="Normal 3 4 13 9" xfId="40411" xr:uid="{00000000-0005-0000-0000-0000D29D0000}"/>
    <cellStyle name="Normal 3 4 13 9 2" xfId="40412" xr:uid="{00000000-0005-0000-0000-0000D39D0000}"/>
    <cellStyle name="Normal 3 4 13 9 3" xfId="40413" xr:uid="{00000000-0005-0000-0000-0000D49D0000}"/>
    <cellStyle name="Normal 3 4 14" xfId="40414" xr:uid="{00000000-0005-0000-0000-0000D59D0000}"/>
    <cellStyle name="Normal 3 4 14 10" xfId="40415" xr:uid="{00000000-0005-0000-0000-0000D69D0000}"/>
    <cellStyle name="Normal 3 4 14 10 2" xfId="40416" xr:uid="{00000000-0005-0000-0000-0000D79D0000}"/>
    <cellStyle name="Normal 3 4 14 10 3" xfId="40417" xr:uid="{00000000-0005-0000-0000-0000D89D0000}"/>
    <cellStyle name="Normal 3 4 14 11" xfId="40418" xr:uid="{00000000-0005-0000-0000-0000D99D0000}"/>
    <cellStyle name="Normal 3 4 14 11 2" xfId="40419" xr:uid="{00000000-0005-0000-0000-0000DA9D0000}"/>
    <cellStyle name="Normal 3 4 14 11 3" xfId="40420" xr:uid="{00000000-0005-0000-0000-0000DB9D0000}"/>
    <cellStyle name="Normal 3 4 14 12" xfId="40421" xr:uid="{00000000-0005-0000-0000-0000DC9D0000}"/>
    <cellStyle name="Normal 3 4 14 12 2" xfId="40422" xr:uid="{00000000-0005-0000-0000-0000DD9D0000}"/>
    <cellStyle name="Normal 3 4 14 12 3" xfId="40423" xr:uid="{00000000-0005-0000-0000-0000DE9D0000}"/>
    <cellStyle name="Normal 3 4 14 13" xfId="40424" xr:uid="{00000000-0005-0000-0000-0000DF9D0000}"/>
    <cellStyle name="Normal 3 4 14 13 2" xfId="40425" xr:uid="{00000000-0005-0000-0000-0000E09D0000}"/>
    <cellStyle name="Normal 3 4 14 13 3" xfId="40426" xr:uid="{00000000-0005-0000-0000-0000E19D0000}"/>
    <cellStyle name="Normal 3 4 14 14" xfId="40427" xr:uid="{00000000-0005-0000-0000-0000E29D0000}"/>
    <cellStyle name="Normal 3 4 14 14 2" xfId="40428" xr:uid="{00000000-0005-0000-0000-0000E39D0000}"/>
    <cellStyle name="Normal 3 4 14 14 3" xfId="40429" xr:uid="{00000000-0005-0000-0000-0000E49D0000}"/>
    <cellStyle name="Normal 3 4 14 15" xfId="40430" xr:uid="{00000000-0005-0000-0000-0000E59D0000}"/>
    <cellStyle name="Normal 3 4 14 15 2" xfId="40431" xr:uid="{00000000-0005-0000-0000-0000E69D0000}"/>
    <cellStyle name="Normal 3 4 14 15 3" xfId="40432" xr:uid="{00000000-0005-0000-0000-0000E79D0000}"/>
    <cellStyle name="Normal 3 4 14 16" xfId="40433" xr:uid="{00000000-0005-0000-0000-0000E89D0000}"/>
    <cellStyle name="Normal 3 4 14 17" xfId="40434" xr:uid="{00000000-0005-0000-0000-0000E99D0000}"/>
    <cellStyle name="Normal 3 4 14 2" xfId="40435" xr:uid="{00000000-0005-0000-0000-0000EA9D0000}"/>
    <cellStyle name="Normal 3 4 14 2 10" xfId="40436" xr:uid="{00000000-0005-0000-0000-0000EB9D0000}"/>
    <cellStyle name="Normal 3 4 14 2 10 2" xfId="40437" xr:uid="{00000000-0005-0000-0000-0000EC9D0000}"/>
    <cellStyle name="Normal 3 4 14 2 10 3" xfId="40438" xr:uid="{00000000-0005-0000-0000-0000ED9D0000}"/>
    <cellStyle name="Normal 3 4 14 2 11" xfId="40439" xr:uid="{00000000-0005-0000-0000-0000EE9D0000}"/>
    <cellStyle name="Normal 3 4 14 2 11 2" xfId="40440" xr:uid="{00000000-0005-0000-0000-0000EF9D0000}"/>
    <cellStyle name="Normal 3 4 14 2 11 3" xfId="40441" xr:uid="{00000000-0005-0000-0000-0000F09D0000}"/>
    <cellStyle name="Normal 3 4 14 2 12" xfId="40442" xr:uid="{00000000-0005-0000-0000-0000F19D0000}"/>
    <cellStyle name="Normal 3 4 14 2 12 2" xfId="40443" xr:uid="{00000000-0005-0000-0000-0000F29D0000}"/>
    <cellStyle name="Normal 3 4 14 2 12 3" xfId="40444" xr:uid="{00000000-0005-0000-0000-0000F39D0000}"/>
    <cellStyle name="Normal 3 4 14 2 13" xfId="40445" xr:uid="{00000000-0005-0000-0000-0000F49D0000}"/>
    <cellStyle name="Normal 3 4 14 2 13 2" xfId="40446" xr:uid="{00000000-0005-0000-0000-0000F59D0000}"/>
    <cellStyle name="Normal 3 4 14 2 13 3" xfId="40447" xr:uid="{00000000-0005-0000-0000-0000F69D0000}"/>
    <cellStyle name="Normal 3 4 14 2 14" xfId="40448" xr:uid="{00000000-0005-0000-0000-0000F79D0000}"/>
    <cellStyle name="Normal 3 4 14 2 14 2" xfId="40449" xr:uid="{00000000-0005-0000-0000-0000F89D0000}"/>
    <cellStyle name="Normal 3 4 14 2 14 3" xfId="40450" xr:uid="{00000000-0005-0000-0000-0000F99D0000}"/>
    <cellStyle name="Normal 3 4 14 2 15" xfId="40451" xr:uid="{00000000-0005-0000-0000-0000FA9D0000}"/>
    <cellStyle name="Normal 3 4 14 2 16" xfId="40452" xr:uid="{00000000-0005-0000-0000-0000FB9D0000}"/>
    <cellStyle name="Normal 3 4 14 2 2" xfId="40453" xr:uid="{00000000-0005-0000-0000-0000FC9D0000}"/>
    <cellStyle name="Normal 3 4 14 2 2 2" xfId="40454" xr:uid="{00000000-0005-0000-0000-0000FD9D0000}"/>
    <cellStyle name="Normal 3 4 14 2 2 3" xfId="40455" xr:uid="{00000000-0005-0000-0000-0000FE9D0000}"/>
    <cellStyle name="Normal 3 4 14 2 3" xfId="40456" xr:uid="{00000000-0005-0000-0000-0000FF9D0000}"/>
    <cellStyle name="Normal 3 4 14 2 3 2" xfId="40457" xr:uid="{00000000-0005-0000-0000-0000009E0000}"/>
    <cellStyle name="Normal 3 4 14 2 3 3" xfId="40458" xr:uid="{00000000-0005-0000-0000-0000019E0000}"/>
    <cellStyle name="Normal 3 4 14 2 4" xfId="40459" xr:uid="{00000000-0005-0000-0000-0000029E0000}"/>
    <cellStyle name="Normal 3 4 14 2 4 2" xfId="40460" xr:uid="{00000000-0005-0000-0000-0000039E0000}"/>
    <cellStyle name="Normal 3 4 14 2 4 3" xfId="40461" xr:uid="{00000000-0005-0000-0000-0000049E0000}"/>
    <cellStyle name="Normal 3 4 14 2 5" xfId="40462" xr:uid="{00000000-0005-0000-0000-0000059E0000}"/>
    <cellStyle name="Normal 3 4 14 2 5 2" xfId="40463" xr:uid="{00000000-0005-0000-0000-0000069E0000}"/>
    <cellStyle name="Normal 3 4 14 2 5 3" xfId="40464" xr:uid="{00000000-0005-0000-0000-0000079E0000}"/>
    <cellStyle name="Normal 3 4 14 2 6" xfId="40465" xr:uid="{00000000-0005-0000-0000-0000089E0000}"/>
    <cellStyle name="Normal 3 4 14 2 6 2" xfId="40466" xr:uid="{00000000-0005-0000-0000-0000099E0000}"/>
    <cellStyle name="Normal 3 4 14 2 6 3" xfId="40467" xr:uid="{00000000-0005-0000-0000-00000A9E0000}"/>
    <cellStyle name="Normal 3 4 14 2 7" xfId="40468" xr:uid="{00000000-0005-0000-0000-00000B9E0000}"/>
    <cellStyle name="Normal 3 4 14 2 7 2" xfId="40469" xr:uid="{00000000-0005-0000-0000-00000C9E0000}"/>
    <cellStyle name="Normal 3 4 14 2 7 3" xfId="40470" xr:uid="{00000000-0005-0000-0000-00000D9E0000}"/>
    <cellStyle name="Normal 3 4 14 2 8" xfId="40471" xr:uid="{00000000-0005-0000-0000-00000E9E0000}"/>
    <cellStyle name="Normal 3 4 14 2 8 2" xfId="40472" xr:uid="{00000000-0005-0000-0000-00000F9E0000}"/>
    <cellStyle name="Normal 3 4 14 2 8 3" xfId="40473" xr:uid="{00000000-0005-0000-0000-0000109E0000}"/>
    <cellStyle name="Normal 3 4 14 2 9" xfId="40474" xr:uid="{00000000-0005-0000-0000-0000119E0000}"/>
    <cellStyle name="Normal 3 4 14 2 9 2" xfId="40475" xr:uid="{00000000-0005-0000-0000-0000129E0000}"/>
    <cellStyle name="Normal 3 4 14 2 9 3" xfId="40476" xr:uid="{00000000-0005-0000-0000-0000139E0000}"/>
    <cellStyle name="Normal 3 4 14 3" xfId="40477" xr:uid="{00000000-0005-0000-0000-0000149E0000}"/>
    <cellStyle name="Normal 3 4 14 3 2" xfId="40478" xr:uid="{00000000-0005-0000-0000-0000159E0000}"/>
    <cellStyle name="Normal 3 4 14 3 3" xfId="40479" xr:uid="{00000000-0005-0000-0000-0000169E0000}"/>
    <cellStyle name="Normal 3 4 14 4" xfId="40480" xr:uid="{00000000-0005-0000-0000-0000179E0000}"/>
    <cellStyle name="Normal 3 4 14 4 2" xfId="40481" xr:uid="{00000000-0005-0000-0000-0000189E0000}"/>
    <cellStyle name="Normal 3 4 14 4 3" xfId="40482" xr:uid="{00000000-0005-0000-0000-0000199E0000}"/>
    <cellStyle name="Normal 3 4 14 5" xfId="40483" xr:uid="{00000000-0005-0000-0000-00001A9E0000}"/>
    <cellStyle name="Normal 3 4 14 5 2" xfId="40484" xr:uid="{00000000-0005-0000-0000-00001B9E0000}"/>
    <cellStyle name="Normal 3 4 14 5 3" xfId="40485" xr:uid="{00000000-0005-0000-0000-00001C9E0000}"/>
    <cellStyle name="Normal 3 4 14 6" xfId="40486" xr:uid="{00000000-0005-0000-0000-00001D9E0000}"/>
    <cellStyle name="Normal 3 4 14 6 2" xfId="40487" xr:uid="{00000000-0005-0000-0000-00001E9E0000}"/>
    <cellStyle name="Normal 3 4 14 6 3" xfId="40488" xr:uid="{00000000-0005-0000-0000-00001F9E0000}"/>
    <cellStyle name="Normal 3 4 14 7" xfId="40489" xr:uid="{00000000-0005-0000-0000-0000209E0000}"/>
    <cellStyle name="Normal 3 4 14 7 2" xfId="40490" xr:uid="{00000000-0005-0000-0000-0000219E0000}"/>
    <cellStyle name="Normal 3 4 14 7 3" xfId="40491" xr:uid="{00000000-0005-0000-0000-0000229E0000}"/>
    <cellStyle name="Normal 3 4 14 8" xfId="40492" xr:uid="{00000000-0005-0000-0000-0000239E0000}"/>
    <cellStyle name="Normal 3 4 14 8 2" xfId="40493" xr:uid="{00000000-0005-0000-0000-0000249E0000}"/>
    <cellStyle name="Normal 3 4 14 8 3" xfId="40494" xr:uid="{00000000-0005-0000-0000-0000259E0000}"/>
    <cellStyle name="Normal 3 4 14 9" xfId="40495" xr:uid="{00000000-0005-0000-0000-0000269E0000}"/>
    <cellStyle name="Normal 3 4 14 9 2" xfId="40496" xr:uid="{00000000-0005-0000-0000-0000279E0000}"/>
    <cellStyle name="Normal 3 4 14 9 3" xfId="40497" xr:uid="{00000000-0005-0000-0000-0000289E0000}"/>
    <cellStyle name="Normal 3 4 15" xfId="40498" xr:uid="{00000000-0005-0000-0000-0000299E0000}"/>
    <cellStyle name="Normal 3 4 15 10" xfId="40499" xr:uid="{00000000-0005-0000-0000-00002A9E0000}"/>
    <cellStyle name="Normal 3 4 15 10 2" xfId="40500" xr:uid="{00000000-0005-0000-0000-00002B9E0000}"/>
    <cellStyle name="Normal 3 4 15 10 3" xfId="40501" xr:uid="{00000000-0005-0000-0000-00002C9E0000}"/>
    <cellStyle name="Normal 3 4 15 11" xfId="40502" xr:uid="{00000000-0005-0000-0000-00002D9E0000}"/>
    <cellStyle name="Normal 3 4 15 11 2" xfId="40503" xr:uid="{00000000-0005-0000-0000-00002E9E0000}"/>
    <cellStyle name="Normal 3 4 15 11 3" xfId="40504" xr:uid="{00000000-0005-0000-0000-00002F9E0000}"/>
    <cellStyle name="Normal 3 4 15 12" xfId="40505" xr:uid="{00000000-0005-0000-0000-0000309E0000}"/>
    <cellStyle name="Normal 3 4 15 12 2" xfId="40506" xr:uid="{00000000-0005-0000-0000-0000319E0000}"/>
    <cellStyle name="Normal 3 4 15 12 3" xfId="40507" xr:uid="{00000000-0005-0000-0000-0000329E0000}"/>
    <cellStyle name="Normal 3 4 15 13" xfId="40508" xr:uid="{00000000-0005-0000-0000-0000339E0000}"/>
    <cellStyle name="Normal 3 4 15 13 2" xfId="40509" xr:uid="{00000000-0005-0000-0000-0000349E0000}"/>
    <cellStyle name="Normal 3 4 15 13 3" xfId="40510" xr:uid="{00000000-0005-0000-0000-0000359E0000}"/>
    <cellStyle name="Normal 3 4 15 14" xfId="40511" xr:uid="{00000000-0005-0000-0000-0000369E0000}"/>
    <cellStyle name="Normal 3 4 15 14 2" xfId="40512" xr:uid="{00000000-0005-0000-0000-0000379E0000}"/>
    <cellStyle name="Normal 3 4 15 14 3" xfId="40513" xr:uid="{00000000-0005-0000-0000-0000389E0000}"/>
    <cellStyle name="Normal 3 4 15 15" xfId="40514" xr:uid="{00000000-0005-0000-0000-0000399E0000}"/>
    <cellStyle name="Normal 3 4 15 15 2" xfId="40515" xr:uid="{00000000-0005-0000-0000-00003A9E0000}"/>
    <cellStyle name="Normal 3 4 15 15 3" xfId="40516" xr:uid="{00000000-0005-0000-0000-00003B9E0000}"/>
    <cellStyle name="Normal 3 4 15 16" xfId="40517" xr:uid="{00000000-0005-0000-0000-00003C9E0000}"/>
    <cellStyle name="Normal 3 4 15 17" xfId="40518" xr:uid="{00000000-0005-0000-0000-00003D9E0000}"/>
    <cellStyle name="Normal 3 4 15 2" xfId="40519" xr:uid="{00000000-0005-0000-0000-00003E9E0000}"/>
    <cellStyle name="Normal 3 4 15 2 10" xfId="40520" xr:uid="{00000000-0005-0000-0000-00003F9E0000}"/>
    <cellStyle name="Normal 3 4 15 2 10 2" xfId="40521" xr:uid="{00000000-0005-0000-0000-0000409E0000}"/>
    <cellStyle name="Normal 3 4 15 2 10 3" xfId="40522" xr:uid="{00000000-0005-0000-0000-0000419E0000}"/>
    <cellStyle name="Normal 3 4 15 2 11" xfId="40523" xr:uid="{00000000-0005-0000-0000-0000429E0000}"/>
    <cellStyle name="Normal 3 4 15 2 11 2" xfId="40524" xr:uid="{00000000-0005-0000-0000-0000439E0000}"/>
    <cellStyle name="Normal 3 4 15 2 11 3" xfId="40525" xr:uid="{00000000-0005-0000-0000-0000449E0000}"/>
    <cellStyle name="Normal 3 4 15 2 12" xfId="40526" xr:uid="{00000000-0005-0000-0000-0000459E0000}"/>
    <cellStyle name="Normal 3 4 15 2 12 2" xfId="40527" xr:uid="{00000000-0005-0000-0000-0000469E0000}"/>
    <cellStyle name="Normal 3 4 15 2 12 3" xfId="40528" xr:uid="{00000000-0005-0000-0000-0000479E0000}"/>
    <cellStyle name="Normal 3 4 15 2 13" xfId="40529" xr:uid="{00000000-0005-0000-0000-0000489E0000}"/>
    <cellStyle name="Normal 3 4 15 2 13 2" xfId="40530" xr:uid="{00000000-0005-0000-0000-0000499E0000}"/>
    <cellStyle name="Normal 3 4 15 2 13 3" xfId="40531" xr:uid="{00000000-0005-0000-0000-00004A9E0000}"/>
    <cellStyle name="Normal 3 4 15 2 14" xfId="40532" xr:uid="{00000000-0005-0000-0000-00004B9E0000}"/>
    <cellStyle name="Normal 3 4 15 2 14 2" xfId="40533" xr:uid="{00000000-0005-0000-0000-00004C9E0000}"/>
    <cellStyle name="Normal 3 4 15 2 14 3" xfId="40534" xr:uid="{00000000-0005-0000-0000-00004D9E0000}"/>
    <cellStyle name="Normal 3 4 15 2 15" xfId="40535" xr:uid="{00000000-0005-0000-0000-00004E9E0000}"/>
    <cellStyle name="Normal 3 4 15 2 16" xfId="40536" xr:uid="{00000000-0005-0000-0000-00004F9E0000}"/>
    <cellStyle name="Normal 3 4 15 2 2" xfId="40537" xr:uid="{00000000-0005-0000-0000-0000509E0000}"/>
    <cellStyle name="Normal 3 4 15 2 2 2" xfId="40538" xr:uid="{00000000-0005-0000-0000-0000519E0000}"/>
    <cellStyle name="Normal 3 4 15 2 2 3" xfId="40539" xr:uid="{00000000-0005-0000-0000-0000529E0000}"/>
    <cellStyle name="Normal 3 4 15 2 3" xfId="40540" xr:uid="{00000000-0005-0000-0000-0000539E0000}"/>
    <cellStyle name="Normal 3 4 15 2 3 2" xfId="40541" xr:uid="{00000000-0005-0000-0000-0000549E0000}"/>
    <cellStyle name="Normal 3 4 15 2 3 3" xfId="40542" xr:uid="{00000000-0005-0000-0000-0000559E0000}"/>
    <cellStyle name="Normal 3 4 15 2 4" xfId="40543" xr:uid="{00000000-0005-0000-0000-0000569E0000}"/>
    <cellStyle name="Normal 3 4 15 2 4 2" xfId="40544" xr:uid="{00000000-0005-0000-0000-0000579E0000}"/>
    <cellStyle name="Normal 3 4 15 2 4 3" xfId="40545" xr:uid="{00000000-0005-0000-0000-0000589E0000}"/>
    <cellStyle name="Normal 3 4 15 2 5" xfId="40546" xr:uid="{00000000-0005-0000-0000-0000599E0000}"/>
    <cellStyle name="Normal 3 4 15 2 5 2" xfId="40547" xr:uid="{00000000-0005-0000-0000-00005A9E0000}"/>
    <cellStyle name="Normal 3 4 15 2 5 3" xfId="40548" xr:uid="{00000000-0005-0000-0000-00005B9E0000}"/>
    <cellStyle name="Normal 3 4 15 2 6" xfId="40549" xr:uid="{00000000-0005-0000-0000-00005C9E0000}"/>
    <cellStyle name="Normal 3 4 15 2 6 2" xfId="40550" xr:uid="{00000000-0005-0000-0000-00005D9E0000}"/>
    <cellStyle name="Normal 3 4 15 2 6 3" xfId="40551" xr:uid="{00000000-0005-0000-0000-00005E9E0000}"/>
    <cellStyle name="Normal 3 4 15 2 7" xfId="40552" xr:uid="{00000000-0005-0000-0000-00005F9E0000}"/>
    <cellStyle name="Normal 3 4 15 2 7 2" xfId="40553" xr:uid="{00000000-0005-0000-0000-0000609E0000}"/>
    <cellStyle name="Normal 3 4 15 2 7 3" xfId="40554" xr:uid="{00000000-0005-0000-0000-0000619E0000}"/>
    <cellStyle name="Normal 3 4 15 2 8" xfId="40555" xr:uid="{00000000-0005-0000-0000-0000629E0000}"/>
    <cellStyle name="Normal 3 4 15 2 8 2" xfId="40556" xr:uid="{00000000-0005-0000-0000-0000639E0000}"/>
    <cellStyle name="Normal 3 4 15 2 8 3" xfId="40557" xr:uid="{00000000-0005-0000-0000-0000649E0000}"/>
    <cellStyle name="Normal 3 4 15 2 9" xfId="40558" xr:uid="{00000000-0005-0000-0000-0000659E0000}"/>
    <cellStyle name="Normal 3 4 15 2 9 2" xfId="40559" xr:uid="{00000000-0005-0000-0000-0000669E0000}"/>
    <cellStyle name="Normal 3 4 15 2 9 3" xfId="40560" xr:uid="{00000000-0005-0000-0000-0000679E0000}"/>
    <cellStyle name="Normal 3 4 15 3" xfId="40561" xr:uid="{00000000-0005-0000-0000-0000689E0000}"/>
    <cellStyle name="Normal 3 4 15 3 2" xfId="40562" xr:uid="{00000000-0005-0000-0000-0000699E0000}"/>
    <cellStyle name="Normal 3 4 15 3 3" xfId="40563" xr:uid="{00000000-0005-0000-0000-00006A9E0000}"/>
    <cellStyle name="Normal 3 4 15 4" xfId="40564" xr:uid="{00000000-0005-0000-0000-00006B9E0000}"/>
    <cellStyle name="Normal 3 4 15 4 2" xfId="40565" xr:uid="{00000000-0005-0000-0000-00006C9E0000}"/>
    <cellStyle name="Normal 3 4 15 4 3" xfId="40566" xr:uid="{00000000-0005-0000-0000-00006D9E0000}"/>
    <cellStyle name="Normal 3 4 15 5" xfId="40567" xr:uid="{00000000-0005-0000-0000-00006E9E0000}"/>
    <cellStyle name="Normal 3 4 15 5 2" xfId="40568" xr:uid="{00000000-0005-0000-0000-00006F9E0000}"/>
    <cellStyle name="Normal 3 4 15 5 3" xfId="40569" xr:uid="{00000000-0005-0000-0000-0000709E0000}"/>
    <cellStyle name="Normal 3 4 15 6" xfId="40570" xr:uid="{00000000-0005-0000-0000-0000719E0000}"/>
    <cellStyle name="Normal 3 4 15 6 2" xfId="40571" xr:uid="{00000000-0005-0000-0000-0000729E0000}"/>
    <cellStyle name="Normal 3 4 15 6 3" xfId="40572" xr:uid="{00000000-0005-0000-0000-0000739E0000}"/>
    <cellStyle name="Normal 3 4 15 7" xfId="40573" xr:uid="{00000000-0005-0000-0000-0000749E0000}"/>
    <cellStyle name="Normal 3 4 15 7 2" xfId="40574" xr:uid="{00000000-0005-0000-0000-0000759E0000}"/>
    <cellStyle name="Normal 3 4 15 7 3" xfId="40575" xr:uid="{00000000-0005-0000-0000-0000769E0000}"/>
    <cellStyle name="Normal 3 4 15 8" xfId="40576" xr:uid="{00000000-0005-0000-0000-0000779E0000}"/>
    <cellStyle name="Normal 3 4 15 8 2" xfId="40577" xr:uid="{00000000-0005-0000-0000-0000789E0000}"/>
    <cellStyle name="Normal 3 4 15 8 3" xfId="40578" xr:uid="{00000000-0005-0000-0000-0000799E0000}"/>
    <cellStyle name="Normal 3 4 15 9" xfId="40579" xr:uid="{00000000-0005-0000-0000-00007A9E0000}"/>
    <cellStyle name="Normal 3 4 15 9 2" xfId="40580" xr:uid="{00000000-0005-0000-0000-00007B9E0000}"/>
    <cellStyle name="Normal 3 4 15 9 3" xfId="40581" xr:uid="{00000000-0005-0000-0000-00007C9E0000}"/>
    <cellStyle name="Normal 3 4 16" xfId="40582" xr:uid="{00000000-0005-0000-0000-00007D9E0000}"/>
    <cellStyle name="Normal 3 4 16 10" xfId="40583" xr:uid="{00000000-0005-0000-0000-00007E9E0000}"/>
    <cellStyle name="Normal 3 4 16 10 2" xfId="40584" xr:uid="{00000000-0005-0000-0000-00007F9E0000}"/>
    <cellStyle name="Normal 3 4 16 10 3" xfId="40585" xr:uid="{00000000-0005-0000-0000-0000809E0000}"/>
    <cellStyle name="Normal 3 4 16 11" xfId="40586" xr:uid="{00000000-0005-0000-0000-0000819E0000}"/>
    <cellStyle name="Normal 3 4 16 11 2" xfId="40587" xr:uid="{00000000-0005-0000-0000-0000829E0000}"/>
    <cellStyle name="Normal 3 4 16 11 3" xfId="40588" xr:uid="{00000000-0005-0000-0000-0000839E0000}"/>
    <cellStyle name="Normal 3 4 16 12" xfId="40589" xr:uid="{00000000-0005-0000-0000-0000849E0000}"/>
    <cellStyle name="Normal 3 4 16 12 2" xfId="40590" xr:uid="{00000000-0005-0000-0000-0000859E0000}"/>
    <cellStyle name="Normal 3 4 16 12 3" xfId="40591" xr:uid="{00000000-0005-0000-0000-0000869E0000}"/>
    <cellStyle name="Normal 3 4 16 13" xfId="40592" xr:uid="{00000000-0005-0000-0000-0000879E0000}"/>
    <cellStyle name="Normal 3 4 16 13 2" xfId="40593" xr:uid="{00000000-0005-0000-0000-0000889E0000}"/>
    <cellStyle name="Normal 3 4 16 13 3" xfId="40594" xr:uid="{00000000-0005-0000-0000-0000899E0000}"/>
    <cellStyle name="Normal 3 4 16 14" xfId="40595" xr:uid="{00000000-0005-0000-0000-00008A9E0000}"/>
    <cellStyle name="Normal 3 4 16 14 2" xfId="40596" xr:uid="{00000000-0005-0000-0000-00008B9E0000}"/>
    <cellStyle name="Normal 3 4 16 14 3" xfId="40597" xr:uid="{00000000-0005-0000-0000-00008C9E0000}"/>
    <cellStyle name="Normal 3 4 16 15" xfId="40598" xr:uid="{00000000-0005-0000-0000-00008D9E0000}"/>
    <cellStyle name="Normal 3 4 16 16" xfId="40599" xr:uid="{00000000-0005-0000-0000-00008E9E0000}"/>
    <cellStyle name="Normal 3 4 16 2" xfId="40600" xr:uid="{00000000-0005-0000-0000-00008F9E0000}"/>
    <cellStyle name="Normal 3 4 16 2 2" xfId="40601" xr:uid="{00000000-0005-0000-0000-0000909E0000}"/>
    <cellStyle name="Normal 3 4 16 2 3" xfId="40602" xr:uid="{00000000-0005-0000-0000-0000919E0000}"/>
    <cellStyle name="Normal 3 4 16 3" xfId="40603" xr:uid="{00000000-0005-0000-0000-0000929E0000}"/>
    <cellStyle name="Normal 3 4 16 3 2" xfId="40604" xr:uid="{00000000-0005-0000-0000-0000939E0000}"/>
    <cellStyle name="Normal 3 4 16 3 3" xfId="40605" xr:uid="{00000000-0005-0000-0000-0000949E0000}"/>
    <cellStyle name="Normal 3 4 16 4" xfId="40606" xr:uid="{00000000-0005-0000-0000-0000959E0000}"/>
    <cellStyle name="Normal 3 4 16 4 2" xfId="40607" xr:uid="{00000000-0005-0000-0000-0000969E0000}"/>
    <cellStyle name="Normal 3 4 16 4 3" xfId="40608" xr:uid="{00000000-0005-0000-0000-0000979E0000}"/>
    <cellStyle name="Normal 3 4 16 5" xfId="40609" xr:uid="{00000000-0005-0000-0000-0000989E0000}"/>
    <cellStyle name="Normal 3 4 16 5 2" xfId="40610" xr:uid="{00000000-0005-0000-0000-0000999E0000}"/>
    <cellStyle name="Normal 3 4 16 5 3" xfId="40611" xr:uid="{00000000-0005-0000-0000-00009A9E0000}"/>
    <cellStyle name="Normal 3 4 16 6" xfId="40612" xr:uid="{00000000-0005-0000-0000-00009B9E0000}"/>
    <cellStyle name="Normal 3 4 16 6 2" xfId="40613" xr:uid="{00000000-0005-0000-0000-00009C9E0000}"/>
    <cellStyle name="Normal 3 4 16 6 3" xfId="40614" xr:uid="{00000000-0005-0000-0000-00009D9E0000}"/>
    <cellStyle name="Normal 3 4 16 7" xfId="40615" xr:uid="{00000000-0005-0000-0000-00009E9E0000}"/>
    <cellStyle name="Normal 3 4 16 7 2" xfId="40616" xr:uid="{00000000-0005-0000-0000-00009F9E0000}"/>
    <cellStyle name="Normal 3 4 16 7 3" xfId="40617" xr:uid="{00000000-0005-0000-0000-0000A09E0000}"/>
    <cellStyle name="Normal 3 4 16 8" xfId="40618" xr:uid="{00000000-0005-0000-0000-0000A19E0000}"/>
    <cellStyle name="Normal 3 4 16 8 2" xfId="40619" xr:uid="{00000000-0005-0000-0000-0000A29E0000}"/>
    <cellStyle name="Normal 3 4 16 8 3" xfId="40620" xr:uid="{00000000-0005-0000-0000-0000A39E0000}"/>
    <cellStyle name="Normal 3 4 16 9" xfId="40621" xr:uid="{00000000-0005-0000-0000-0000A49E0000}"/>
    <cellStyle name="Normal 3 4 16 9 2" xfId="40622" xr:uid="{00000000-0005-0000-0000-0000A59E0000}"/>
    <cellStyle name="Normal 3 4 16 9 3" xfId="40623" xr:uid="{00000000-0005-0000-0000-0000A69E0000}"/>
    <cellStyle name="Normal 3 4 17" xfId="40624" xr:uid="{00000000-0005-0000-0000-0000A79E0000}"/>
    <cellStyle name="Normal 3 4 17 10" xfId="40625" xr:uid="{00000000-0005-0000-0000-0000A89E0000}"/>
    <cellStyle name="Normal 3 4 17 10 2" xfId="40626" xr:uid="{00000000-0005-0000-0000-0000A99E0000}"/>
    <cellStyle name="Normal 3 4 17 10 3" xfId="40627" xr:uid="{00000000-0005-0000-0000-0000AA9E0000}"/>
    <cellStyle name="Normal 3 4 17 11" xfId="40628" xr:uid="{00000000-0005-0000-0000-0000AB9E0000}"/>
    <cellStyle name="Normal 3 4 17 11 2" xfId="40629" xr:uid="{00000000-0005-0000-0000-0000AC9E0000}"/>
    <cellStyle name="Normal 3 4 17 11 3" xfId="40630" xr:uid="{00000000-0005-0000-0000-0000AD9E0000}"/>
    <cellStyle name="Normal 3 4 17 12" xfId="40631" xr:uid="{00000000-0005-0000-0000-0000AE9E0000}"/>
    <cellStyle name="Normal 3 4 17 12 2" xfId="40632" xr:uid="{00000000-0005-0000-0000-0000AF9E0000}"/>
    <cellStyle name="Normal 3 4 17 12 3" xfId="40633" xr:uid="{00000000-0005-0000-0000-0000B09E0000}"/>
    <cellStyle name="Normal 3 4 17 13" xfId="40634" xr:uid="{00000000-0005-0000-0000-0000B19E0000}"/>
    <cellStyle name="Normal 3 4 17 13 2" xfId="40635" xr:uid="{00000000-0005-0000-0000-0000B29E0000}"/>
    <cellStyle name="Normal 3 4 17 13 3" xfId="40636" xr:uid="{00000000-0005-0000-0000-0000B39E0000}"/>
    <cellStyle name="Normal 3 4 17 14" xfId="40637" xr:uid="{00000000-0005-0000-0000-0000B49E0000}"/>
    <cellStyle name="Normal 3 4 17 14 2" xfId="40638" xr:uid="{00000000-0005-0000-0000-0000B59E0000}"/>
    <cellStyle name="Normal 3 4 17 14 3" xfId="40639" xr:uid="{00000000-0005-0000-0000-0000B69E0000}"/>
    <cellStyle name="Normal 3 4 17 15" xfId="40640" xr:uid="{00000000-0005-0000-0000-0000B79E0000}"/>
    <cellStyle name="Normal 3 4 17 16" xfId="40641" xr:uid="{00000000-0005-0000-0000-0000B89E0000}"/>
    <cellStyle name="Normal 3 4 17 2" xfId="40642" xr:uid="{00000000-0005-0000-0000-0000B99E0000}"/>
    <cellStyle name="Normal 3 4 17 2 2" xfId="40643" xr:uid="{00000000-0005-0000-0000-0000BA9E0000}"/>
    <cellStyle name="Normal 3 4 17 2 3" xfId="40644" xr:uid="{00000000-0005-0000-0000-0000BB9E0000}"/>
    <cellStyle name="Normal 3 4 17 3" xfId="40645" xr:uid="{00000000-0005-0000-0000-0000BC9E0000}"/>
    <cellStyle name="Normal 3 4 17 3 2" xfId="40646" xr:uid="{00000000-0005-0000-0000-0000BD9E0000}"/>
    <cellStyle name="Normal 3 4 17 3 3" xfId="40647" xr:uid="{00000000-0005-0000-0000-0000BE9E0000}"/>
    <cellStyle name="Normal 3 4 17 4" xfId="40648" xr:uid="{00000000-0005-0000-0000-0000BF9E0000}"/>
    <cellStyle name="Normal 3 4 17 4 2" xfId="40649" xr:uid="{00000000-0005-0000-0000-0000C09E0000}"/>
    <cellStyle name="Normal 3 4 17 4 3" xfId="40650" xr:uid="{00000000-0005-0000-0000-0000C19E0000}"/>
    <cellStyle name="Normal 3 4 17 5" xfId="40651" xr:uid="{00000000-0005-0000-0000-0000C29E0000}"/>
    <cellStyle name="Normal 3 4 17 5 2" xfId="40652" xr:uid="{00000000-0005-0000-0000-0000C39E0000}"/>
    <cellStyle name="Normal 3 4 17 5 3" xfId="40653" xr:uid="{00000000-0005-0000-0000-0000C49E0000}"/>
    <cellStyle name="Normal 3 4 17 6" xfId="40654" xr:uid="{00000000-0005-0000-0000-0000C59E0000}"/>
    <cellStyle name="Normal 3 4 17 6 2" xfId="40655" xr:uid="{00000000-0005-0000-0000-0000C69E0000}"/>
    <cellStyle name="Normal 3 4 17 6 3" xfId="40656" xr:uid="{00000000-0005-0000-0000-0000C79E0000}"/>
    <cellStyle name="Normal 3 4 17 7" xfId="40657" xr:uid="{00000000-0005-0000-0000-0000C89E0000}"/>
    <cellStyle name="Normal 3 4 17 7 2" xfId="40658" xr:uid="{00000000-0005-0000-0000-0000C99E0000}"/>
    <cellStyle name="Normal 3 4 17 7 3" xfId="40659" xr:uid="{00000000-0005-0000-0000-0000CA9E0000}"/>
    <cellStyle name="Normal 3 4 17 8" xfId="40660" xr:uid="{00000000-0005-0000-0000-0000CB9E0000}"/>
    <cellStyle name="Normal 3 4 17 8 2" xfId="40661" xr:uid="{00000000-0005-0000-0000-0000CC9E0000}"/>
    <cellStyle name="Normal 3 4 17 8 3" xfId="40662" xr:uid="{00000000-0005-0000-0000-0000CD9E0000}"/>
    <cellStyle name="Normal 3 4 17 9" xfId="40663" xr:uid="{00000000-0005-0000-0000-0000CE9E0000}"/>
    <cellStyle name="Normal 3 4 17 9 2" xfId="40664" xr:uid="{00000000-0005-0000-0000-0000CF9E0000}"/>
    <cellStyle name="Normal 3 4 17 9 3" xfId="40665" xr:uid="{00000000-0005-0000-0000-0000D09E0000}"/>
    <cellStyle name="Normal 3 4 18" xfId="40666" xr:uid="{00000000-0005-0000-0000-0000D19E0000}"/>
    <cellStyle name="Normal 3 4 18 10" xfId="40667" xr:uid="{00000000-0005-0000-0000-0000D29E0000}"/>
    <cellStyle name="Normal 3 4 18 10 2" xfId="40668" xr:uid="{00000000-0005-0000-0000-0000D39E0000}"/>
    <cellStyle name="Normal 3 4 18 10 3" xfId="40669" xr:uid="{00000000-0005-0000-0000-0000D49E0000}"/>
    <cellStyle name="Normal 3 4 18 11" xfId="40670" xr:uid="{00000000-0005-0000-0000-0000D59E0000}"/>
    <cellStyle name="Normal 3 4 18 11 2" xfId="40671" xr:uid="{00000000-0005-0000-0000-0000D69E0000}"/>
    <cellStyle name="Normal 3 4 18 11 3" xfId="40672" xr:uid="{00000000-0005-0000-0000-0000D79E0000}"/>
    <cellStyle name="Normal 3 4 18 12" xfId="40673" xr:uid="{00000000-0005-0000-0000-0000D89E0000}"/>
    <cellStyle name="Normal 3 4 18 12 2" xfId="40674" xr:uid="{00000000-0005-0000-0000-0000D99E0000}"/>
    <cellStyle name="Normal 3 4 18 12 3" xfId="40675" xr:uid="{00000000-0005-0000-0000-0000DA9E0000}"/>
    <cellStyle name="Normal 3 4 18 13" xfId="40676" xr:uid="{00000000-0005-0000-0000-0000DB9E0000}"/>
    <cellStyle name="Normal 3 4 18 13 2" xfId="40677" xr:uid="{00000000-0005-0000-0000-0000DC9E0000}"/>
    <cellStyle name="Normal 3 4 18 13 3" xfId="40678" xr:uid="{00000000-0005-0000-0000-0000DD9E0000}"/>
    <cellStyle name="Normal 3 4 18 14" xfId="40679" xr:uid="{00000000-0005-0000-0000-0000DE9E0000}"/>
    <cellStyle name="Normal 3 4 18 14 2" xfId="40680" xr:uid="{00000000-0005-0000-0000-0000DF9E0000}"/>
    <cellStyle name="Normal 3 4 18 14 3" xfId="40681" xr:uid="{00000000-0005-0000-0000-0000E09E0000}"/>
    <cellStyle name="Normal 3 4 18 15" xfId="40682" xr:uid="{00000000-0005-0000-0000-0000E19E0000}"/>
    <cellStyle name="Normal 3 4 18 16" xfId="40683" xr:uid="{00000000-0005-0000-0000-0000E29E0000}"/>
    <cellStyle name="Normal 3 4 18 2" xfId="40684" xr:uid="{00000000-0005-0000-0000-0000E39E0000}"/>
    <cellStyle name="Normal 3 4 18 2 2" xfId="40685" xr:uid="{00000000-0005-0000-0000-0000E49E0000}"/>
    <cellStyle name="Normal 3 4 18 2 3" xfId="40686" xr:uid="{00000000-0005-0000-0000-0000E59E0000}"/>
    <cellStyle name="Normal 3 4 18 3" xfId="40687" xr:uid="{00000000-0005-0000-0000-0000E69E0000}"/>
    <cellStyle name="Normal 3 4 18 3 2" xfId="40688" xr:uid="{00000000-0005-0000-0000-0000E79E0000}"/>
    <cellStyle name="Normal 3 4 18 3 3" xfId="40689" xr:uid="{00000000-0005-0000-0000-0000E89E0000}"/>
    <cellStyle name="Normal 3 4 18 4" xfId="40690" xr:uid="{00000000-0005-0000-0000-0000E99E0000}"/>
    <cellStyle name="Normal 3 4 18 4 2" xfId="40691" xr:uid="{00000000-0005-0000-0000-0000EA9E0000}"/>
    <cellStyle name="Normal 3 4 18 4 3" xfId="40692" xr:uid="{00000000-0005-0000-0000-0000EB9E0000}"/>
    <cellStyle name="Normal 3 4 18 5" xfId="40693" xr:uid="{00000000-0005-0000-0000-0000EC9E0000}"/>
    <cellStyle name="Normal 3 4 18 5 2" xfId="40694" xr:uid="{00000000-0005-0000-0000-0000ED9E0000}"/>
    <cellStyle name="Normal 3 4 18 5 3" xfId="40695" xr:uid="{00000000-0005-0000-0000-0000EE9E0000}"/>
    <cellStyle name="Normal 3 4 18 6" xfId="40696" xr:uid="{00000000-0005-0000-0000-0000EF9E0000}"/>
    <cellStyle name="Normal 3 4 18 6 2" xfId="40697" xr:uid="{00000000-0005-0000-0000-0000F09E0000}"/>
    <cellStyle name="Normal 3 4 18 6 3" xfId="40698" xr:uid="{00000000-0005-0000-0000-0000F19E0000}"/>
    <cellStyle name="Normal 3 4 18 7" xfId="40699" xr:uid="{00000000-0005-0000-0000-0000F29E0000}"/>
    <cellStyle name="Normal 3 4 18 7 2" xfId="40700" xr:uid="{00000000-0005-0000-0000-0000F39E0000}"/>
    <cellStyle name="Normal 3 4 18 7 3" xfId="40701" xr:uid="{00000000-0005-0000-0000-0000F49E0000}"/>
    <cellStyle name="Normal 3 4 18 8" xfId="40702" xr:uid="{00000000-0005-0000-0000-0000F59E0000}"/>
    <cellStyle name="Normal 3 4 18 8 2" xfId="40703" xr:uid="{00000000-0005-0000-0000-0000F69E0000}"/>
    <cellStyle name="Normal 3 4 18 8 3" xfId="40704" xr:uid="{00000000-0005-0000-0000-0000F79E0000}"/>
    <cellStyle name="Normal 3 4 18 9" xfId="40705" xr:uid="{00000000-0005-0000-0000-0000F89E0000}"/>
    <cellStyle name="Normal 3 4 18 9 2" xfId="40706" xr:uid="{00000000-0005-0000-0000-0000F99E0000}"/>
    <cellStyle name="Normal 3 4 18 9 3" xfId="40707" xr:uid="{00000000-0005-0000-0000-0000FA9E0000}"/>
    <cellStyle name="Normal 3 4 19" xfId="40708" xr:uid="{00000000-0005-0000-0000-0000FB9E0000}"/>
    <cellStyle name="Normal 3 4 19 10" xfId="40709" xr:uid="{00000000-0005-0000-0000-0000FC9E0000}"/>
    <cellStyle name="Normal 3 4 19 10 2" xfId="40710" xr:uid="{00000000-0005-0000-0000-0000FD9E0000}"/>
    <cellStyle name="Normal 3 4 19 10 3" xfId="40711" xr:uid="{00000000-0005-0000-0000-0000FE9E0000}"/>
    <cellStyle name="Normal 3 4 19 11" xfId="40712" xr:uid="{00000000-0005-0000-0000-0000FF9E0000}"/>
    <cellStyle name="Normal 3 4 19 11 2" xfId="40713" xr:uid="{00000000-0005-0000-0000-0000009F0000}"/>
    <cellStyle name="Normal 3 4 19 11 3" xfId="40714" xr:uid="{00000000-0005-0000-0000-0000019F0000}"/>
    <cellStyle name="Normal 3 4 19 12" xfId="40715" xr:uid="{00000000-0005-0000-0000-0000029F0000}"/>
    <cellStyle name="Normal 3 4 19 12 2" xfId="40716" xr:uid="{00000000-0005-0000-0000-0000039F0000}"/>
    <cellStyle name="Normal 3 4 19 12 3" xfId="40717" xr:uid="{00000000-0005-0000-0000-0000049F0000}"/>
    <cellStyle name="Normal 3 4 19 13" xfId="40718" xr:uid="{00000000-0005-0000-0000-0000059F0000}"/>
    <cellStyle name="Normal 3 4 19 13 2" xfId="40719" xr:uid="{00000000-0005-0000-0000-0000069F0000}"/>
    <cellStyle name="Normal 3 4 19 13 3" xfId="40720" xr:uid="{00000000-0005-0000-0000-0000079F0000}"/>
    <cellStyle name="Normal 3 4 19 14" xfId="40721" xr:uid="{00000000-0005-0000-0000-0000089F0000}"/>
    <cellStyle name="Normal 3 4 19 14 2" xfId="40722" xr:uid="{00000000-0005-0000-0000-0000099F0000}"/>
    <cellStyle name="Normal 3 4 19 14 3" xfId="40723" xr:uid="{00000000-0005-0000-0000-00000A9F0000}"/>
    <cellStyle name="Normal 3 4 19 15" xfId="40724" xr:uid="{00000000-0005-0000-0000-00000B9F0000}"/>
    <cellStyle name="Normal 3 4 19 16" xfId="40725" xr:uid="{00000000-0005-0000-0000-00000C9F0000}"/>
    <cellStyle name="Normal 3 4 19 2" xfId="40726" xr:uid="{00000000-0005-0000-0000-00000D9F0000}"/>
    <cellStyle name="Normal 3 4 19 2 2" xfId="40727" xr:uid="{00000000-0005-0000-0000-00000E9F0000}"/>
    <cellStyle name="Normal 3 4 19 2 3" xfId="40728" xr:uid="{00000000-0005-0000-0000-00000F9F0000}"/>
    <cellStyle name="Normal 3 4 19 3" xfId="40729" xr:uid="{00000000-0005-0000-0000-0000109F0000}"/>
    <cellStyle name="Normal 3 4 19 3 2" xfId="40730" xr:uid="{00000000-0005-0000-0000-0000119F0000}"/>
    <cellStyle name="Normal 3 4 19 3 3" xfId="40731" xr:uid="{00000000-0005-0000-0000-0000129F0000}"/>
    <cellStyle name="Normal 3 4 19 4" xfId="40732" xr:uid="{00000000-0005-0000-0000-0000139F0000}"/>
    <cellStyle name="Normal 3 4 19 4 2" xfId="40733" xr:uid="{00000000-0005-0000-0000-0000149F0000}"/>
    <cellStyle name="Normal 3 4 19 4 3" xfId="40734" xr:uid="{00000000-0005-0000-0000-0000159F0000}"/>
    <cellStyle name="Normal 3 4 19 5" xfId="40735" xr:uid="{00000000-0005-0000-0000-0000169F0000}"/>
    <cellStyle name="Normal 3 4 19 5 2" xfId="40736" xr:uid="{00000000-0005-0000-0000-0000179F0000}"/>
    <cellStyle name="Normal 3 4 19 5 3" xfId="40737" xr:uid="{00000000-0005-0000-0000-0000189F0000}"/>
    <cellStyle name="Normal 3 4 19 6" xfId="40738" xr:uid="{00000000-0005-0000-0000-0000199F0000}"/>
    <cellStyle name="Normal 3 4 19 6 2" xfId="40739" xr:uid="{00000000-0005-0000-0000-00001A9F0000}"/>
    <cellStyle name="Normal 3 4 19 6 3" xfId="40740" xr:uid="{00000000-0005-0000-0000-00001B9F0000}"/>
    <cellStyle name="Normal 3 4 19 7" xfId="40741" xr:uid="{00000000-0005-0000-0000-00001C9F0000}"/>
    <cellStyle name="Normal 3 4 19 7 2" xfId="40742" xr:uid="{00000000-0005-0000-0000-00001D9F0000}"/>
    <cellStyle name="Normal 3 4 19 7 3" xfId="40743" xr:uid="{00000000-0005-0000-0000-00001E9F0000}"/>
    <cellStyle name="Normal 3 4 19 8" xfId="40744" xr:uid="{00000000-0005-0000-0000-00001F9F0000}"/>
    <cellStyle name="Normal 3 4 19 8 2" xfId="40745" xr:uid="{00000000-0005-0000-0000-0000209F0000}"/>
    <cellStyle name="Normal 3 4 19 8 3" xfId="40746" xr:uid="{00000000-0005-0000-0000-0000219F0000}"/>
    <cellStyle name="Normal 3 4 19 9" xfId="40747" xr:uid="{00000000-0005-0000-0000-0000229F0000}"/>
    <cellStyle name="Normal 3 4 19 9 2" xfId="40748" xr:uid="{00000000-0005-0000-0000-0000239F0000}"/>
    <cellStyle name="Normal 3 4 19 9 3" xfId="40749" xr:uid="{00000000-0005-0000-0000-0000249F0000}"/>
    <cellStyle name="Normal 3 4 2" xfId="40750" xr:uid="{00000000-0005-0000-0000-0000259F0000}"/>
    <cellStyle name="Normal 3 4 2 10" xfId="40751" xr:uid="{00000000-0005-0000-0000-0000269F0000}"/>
    <cellStyle name="Normal 3 4 2 10 10" xfId="40752" xr:uid="{00000000-0005-0000-0000-0000279F0000}"/>
    <cellStyle name="Normal 3 4 2 10 10 2" xfId="40753" xr:uid="{00000000-0005-0000-0000-0000289F0000}"/>
    <cellStyle name="Normal 3 4 2 10 10 3" xfId="40754" xr:uid="{00000000-0005-0000-0000-0000299F0000}"/>
    <cellStyle name="Normal 3 4 2 10 11" xfId="40755" xr:uid="{00000000-0005-0000-0000-00002A9F0000}"/>
    <cellStyle name="Normal 3 4 2 10 11 2" xfId="40756" xr:uid="{00000000-0005-0000-0000-00002B9F0000}"/>
    <cellStyle name="Normal 3 4 2 10 11 3" xfId="40757" xr:uid="{00000000-0005-0000-0000-00002C9F0000}"/>
    <cellStyle name="Normal 3 4 2 10 12" xfId="40758" xr:uid="{00000000-0005-0000-0000-00002D9F0000}"/>
    <cellStyle name="Normal 3 4 2 10 12 2" xfId="40759" xr:uid="{00000000-0005-0000-0000-00002E9F0000}"/>
    <cellStyle name="Normal 3 4 2 10 12 3" xfId="40760" xr:uid="{00000000-0005-0000-0000-00002F9F0000}"/>
    <cellStyle name="Normal 3 4 2 10 13" xfId="40761" xr:uid="{00000000-0005-0000-0000-0000309F0000}"/>
    <cellStyle name="Normal 3 4 2 10 13 2" xfId="40762" xr:uid="{00000000-0005-0000-0000-0000319F0000}"/>
    <cellStyle name="Normal 3 4 2 10 13 3" xfId="40763" xr:uid="{00000000-0005-0000-0000-0000329F0000}"/>
    <cellStyle name="Normal 3 4 2 10 14" xfId="40764" xr:uid="{00000000-0005-0000-0000-0000339F0000}"/>
    <cellStyle name="Normal 3 4 2 10 14 2" xfId="40765" xr:uid="{00000000-0005-0000-0000-0000349F0000}"/>
    <cellStyle name="Normal 3 4 2 10 14 3" xfId="40766" xr:uid="{00000000-0005-0000-0000-0000359F0000}"/>
    <cellStyle name="Normal 3 4 2 10 15" xfId="40767" xr:uid="{00000000-0005-0000-0000-0000369F0000}"/>
    <cellStyle name="Normal 3 4 2 10 16" xfId="40768" xr:uid="{00000000-0005-0000-0000-0000379F0000}"/>
    <cellStyle name="Normal 3 4 2 10 2" xfId="40769" xr:uid="{00000000-0005-0000-0000-0000389F0000}"/>
    <cellStyle name="Normal 3 4 2 10 2 2" xfId="40770" xr:uid="{00000000-0005-0000-0000-0000399F0000}"/>
    <cellStyle name="Normal 3 4 2 10 2 3" xfId="40771" xr:uid="{00000000-0005-0000-0000-00003A9F0000}"/>
    <cellStyle name="Normal 3 4 2 10 3" xfId="40772" xr:uid="{00000000-0005-0000-0000-00003B9F0000}"/>
    <cellStyle name="Normal 3 4 2 10 3 2" xfId="40773" xr:uid="{00000000-0005-0000-0000-00003C9F0000}"/>
    <cellStyle name="Normal 3 4 2 10 3 3" xfId="40774" xr:uid="{00000000-0005-0000-0000-00003D9F0000}"/>
    <cellStyle name="Normal 3 4 2 10 4" xfId="40775" xr:uid="{00000000-0005-0000-0000-00003E9F0000}"/>
    <cellStyle name="Normal 3 4 2 10 4 2" xfId="40776" xr:uid="{00000000-0005-0000-0000-00003F9F0000}"/>
    <cellStyle name="Normal 3 4 2 10 4 3" xfId="40777" xr:uid="{00000000-0005-0000-0000-0000409F0000}"/>
    <cellStyle name="Normal 3 4 2 10 5" xfId="40778" xr:uid="{00000000-0005-0000-0000-0000419F0000}"/>
    <cellStyle name="Normal 3 4 2 10 5 2" xfId="40779" xr:uid="{00000000-0005-0000-0000-0000429F0000}"/>
    <cellStyle name="Normal 3 4 2 10 5 3" xfId="40780" xr:uid="{00000000-0005-0000-0000-0000439F0000}"/>
    <cellStyle name="Normal 3 4 2 10 6" xfId="40781" xr:uid="{00000000-0005-0000-0000-0000449F0000}"/>
    <cellStyle name="Normal 3 4 2 10 6 2" xfId="40782" xr:uid="{00000000-0005-0000-0000-0000459F0000}"/>
    <cellStyle name="Normal 3 4 2 10 6 3" xfId="40783" xr:uid="{00000000-0005-0000-0000-0000469F0000}"/>
    <cellStyle name="Normal 3 4 2 10 7" xfId="40784" xr:uid="{00000000-0005-0000-0000-0000479F0000}"/>
    <cellStyle name="Normal 3 4 2 10 7 2" xfId="40785" xr:uid="{00000000-0005-0000-0000-0000489F0000}"/>
    <cellStyle name="Normal 3 4 2 10 7 3" xfId="40786" xr:uid="{00000000-0005-0000-0000-0000499F0000}"/>
    <cellStyle name="Normal 3 4 2 10 8" xfId="40787" xr:uid="{00000000-0005-0000-0000-00004A9F0000}"/>
    <cellStyle name="Normal 3 4 2 10 8 2" xfId="40788" xr:uid="{00000000-0005-0000-0000-00004B9F0000}"/>
    <cellStyle name="Normal 3 4 2 10 8 3" xfId="40789" xr:uid="{00000000-0005-0000-0000-00004C9F0000}"/>
    <cellStyle name="Normal 3 4 2 10 9" xfId="40790" xr:uid="{00000000-0005-0000-0000-00004D9F0000}"/>
    <cellStyle name="Normal 3 4 2 10 9 2" xfId="40791" xr:uid="{00000000-0005-0000-0000-00004E9F0000}"/>
    <cellStyle name="Normal 3 4 2 10 9 3" xfId="40792" xr:uid="{00000000-0005-0000-0000-00004F9F0000}"/>
    <cellStyle name="Normal 3 4 2 11" xfId="40793" xr:uid="{00000000-0005-0000-0000-0000509F0000}"/>
    <cellStyle name="Normal 3 4 2 11 10" xfId="40794" xr:uid="{00000000-0005-0000-0000-0000519F0000}"/>
    <cellStyle name="Normal 3 4 2 11 10 2" xfId="40795" xr:uid="{00000000-0005-0000-0000-0000529F0000}"/>
    <cellStyle name="Normal 3 4 2 11 10 3" xfId="40796" xr:uid="{00000000-0005-0000-0000-0000539F0000}"/>
    <cellStyle name="Normal 3 4 2 11 11" xfId="40797" xr:uid="{00000000-0005-0000-0000-0000549F0000}"/>
    <cellStyle name="Normal 3 4 2 11 11 2" xfId="40798" xr:uid="{00000000-0005-0000-0000-0000559F0000}"/>
    <cellStyle name="Normal 3 4 2 11 11 3" xfId="40799" xr:uid="{00000000-0005-0000-0000-0000569F0000}"/>
    <cellStyle name="Normal 3 4 2 11 12" xfId="40800" xr:uid="{00000000-0005-0000-0000-0000579F0000}"/>
    <cellStyle name="Normal 3 4 2 11 12 2" xfId="40801" xr:uid="{00000000-0005-0000-0000-0000589F0000}"/>
    <cellStyle name="Normal 3 4 2 11 12 3" xfId="40802" xr:uid="{00000000-0005-0000-0000-0000599F0000}"/>
    <cellStyle name="Normal 3 4 2 11 13" xfId="40803" xr:uid="{00000000-0005-0000-0000-00005A9F0000}"/>
    <cellStyle name="Normal 3 4 2 11 13 2" xfId="40804" xr:uid="{00000000-0005-0000-0000-00005B9F0000}"/>
    <cellStyle name="Normal 3 4 2 11 13 3" xfId="40805" xr:uid="{00000000-0005-0000-0000-00005C9F0000}"/>
    <cellStyle name="Normal 3 4 2 11 14" xfId="40806" xr:uid="{00000000-0005-0000-0000-00005D9F0000}"/>
    <cellStyle name="Normal 3 4 2 11 14 2" xfId="40807" xr:uid="{00000000-0005-0000-0000-00005E9F0000}"/>
    <cellStyle name="Normal 3 4 2 11 14 3" xfId="40808" xr:uid="{00000000-0005-0000-0000-00005F9F0000}"/>
    <cellStyle name="Normal 3 4 2 11 15" xfId="40809" xr:uid="{00000000-0005-0000-0000-0000609F0000}"/>
    <cellStyle name="Normal 3 4 2 11 16" xfId="40810" xr:uid="{00000000-0005-0000-0000-0000619F0000}"/>
    <cellStyle name="Normal 3 4 2 11 2" xfId="40811" xr:uid="{00000000-0005-0000-0000-0000629F0000}"/>
    <cellStyle name="Normal 3 4 2 11 2 2" xfId="40812" xr:uid="{00000000-0005-0000-0000-0000639F0000}"/>
    <cellStyle name="Normal 3 4 2 11 2 3" xfId="40813" xr:uid="{00000000-0005-0000-0000-0000649F0000}"/>
    <cellStyle name="Normal 3 4 2 11 3" xfId="40814" xr:uid="{00000000-0005-0000-0000-0000659F0000}"/>
    <cellStyle name="Normal 3 4 2 11 3 2" xfId="40815" xr:uid="{00000000-0005-0000-0000-0000669F0000}"/>
    <cellStyle name="Normal 3 4 2 11 3 3" xfId="40816" xr:uid="{00000000-0005-0000-0000-0000679F0000}"/>
    <cellStyle name="Normal 3 4 2 11 4" xfId="40817" xr:uid="{00000000-0005-0000-0000-0000689F0000}"/>
    <cellStyle name="Normal 3 4 2 11 4 2" xfId="40818" xr:uid="{00000000-0005-0000-0000-0000699F0000}"/>
    <cellStyle name="Normal 3 4 2 11 4 3" xfId="40819" xr:uid="{00000000-0005-0000-0000-00006A9F0000}"/>
    <cellStyle name="Normal 3 4 2 11 5" xfId="40820" xr:uid="{00000000-0005-0000-0000-00006B9F0000}"/>
    <cellStyle name="Normal 3 4 2 11 5 2" xfId="40821" xr:uid="{00000000-0005-0000-0000-00006C9F0000}"/>
    <cellStyle name="Normal 3 4 2 11 5 3" xfId="40822" xr:uid="{00000000-0005-0000-0000-00006D9F0000}"/>
    <cellStyle name="Normal 3 4 2 11 6" xfId="40823" xr:uid="{00000000-0005-0000-0000-00006E9F0000}"/>
    <cellStyle name="Normal 3 4 2 11 6 2" xfId="40824" xr:uid="{00000000-0005-0000-0000-00006F9F0000}"/>
    <cellStyle name="Normal 3 4 2 11 6 3" xfId="40825" xr:uid="{00000000-0005-0000-0000-0000709F0000}"/>
    <cellStyle name="Normal 3 4 2 11 7" xfId="40826" xr:uid="{00000000-0005-0000-0000-0000719F0000}"/>
    <cellStyle name="Normal 3 4 2 11 7 2" xfId="40827" xr:uid="{00000000-0005-0000-0000-0000729F0000}"/>
    <cellStyle name="Normal 3 4 2 11 7 3" xfId="40828" xr:uid="{00000000-0005-0000-0000-0000739F0000}"/>
    <cellStyle name="Normal 3 4 2 11 8" xfId="40829" xr:uid="{00000000-0005-0000-0000-0000749F0000}"/>
    <cellStyle name="Normal 3 4 2 11 8 2" xfId="40830" xr:uid="{00000000-0005-0000-0000-0000759F0000}"/>
    <cellStyle name="Normal 3 4 2 11 8 3" xfId="40831" xr:uid="{00000000-0005-0000-0000-0000769F0000}"/>
    <cellStyle name="Normal 3 4 2 11 9" xfId="40832" xr:uid="{00000000-0005-0000-0000-0000779F0000}"/>
    <cellStyle name="Normal 3 4 2 11 9 2" xfId="40833" xr:uid="{00000000-0005-0000-0000-0000789F0000}"/>
    <cellStyle name="Normal 3 4 2 11 9 3" xfId="40834" xr:uid="{00000000-0005-0000-0000-0000799F0000}"/>
    <cellStyle name="Normal 3 4 2 12" xfId="40835" xr:uid="{00000000-0005-0000-0000-00007A9F0000}"/>
    <cellStyle name="Normal 3 4 2 12 10" xfId="40836" xr:uid="{00000000-0005-0000-0000-00007B9F0000}"/>
    <cellStyle name="Normal 3 4 2 12 10 2" xfId="40837" xr:uid="{00000000-0005-0000-0000-00007C9F0000}"/>
    <cellStyle name="Normal 3 4 2 12 10 3" xfId="40838" xr:uid="{00000000-0005-0000-0000-00007D9F0000}"/>
    <cellStyle name="Normal 3 4 2 12 11" xfId="40839" xr:uid="{00000000-0005-0000-0000-00007E9F0000}"/>
    <cellStyle name="Normal 3 4 2 12 11 2" xfId="40840" xr:uid="{00000000-0005-0000-0000-00007F9F0000}"/>
    <cellStyle name="Normal 3 4 2 12 11 3" xfId="40841" xr:uid="{00000000-0005-0000-0000-0000809F0000}"/>
    <cellStyle name="Normal 3 4 2 12 12" xfId="40842" xr:uid="{00000000-0005-0000-0000-0000819F0000}"/>
    <cellStyle name="Normal 3 4 2 12 12 2" xfId="40843" xr:uid="{00000000-0005-0000-0000-0000829F0000}"/>
    <cellStyle name="Normal 3 4 2 12 12 3" xfId="40844" xr:uid="{00000000-0005-0000-0000-0000839F0000}"/>
    <cellStyle name="Normal 3 4 2 12 13" xfId="40845" xr:uid="{00000000-0005-0000-0000-0000849F0000}"/>
    <cellStyle name="Normal 3 4 2 12 13 2" xfId="40846" xr:uid="{00000000-0005-0000-0000-0000859F0000}"/>
    <cellStyle name="Normal 3 4 2 12 13 3" xfId="40847" xr:uid="{00000000-0005-0000-0000-0000869F0000}"/>
    <cellStyle name="Normal 3 4 2 12 14" xfId="40848" xr:uid="{00000000-0005-0000-0000-0000879F0000}"/>
    <cellStyle name="Normal 3 4 2 12 14 2" xfId="40849" xr:uid="{00000000-0005-0000-0000-0000889F0000}"/>
    <cellStyle name="Normal 3 4 2 12 14 3" xfId="40850" xr:uid="{00000000-0005-0000-0000-0000899F0000}"/>
    <cellStyle name="Normal 3 4 2 12 15" xfId="40851" xr:uid="{00000000-0005-0000-0000-00008A9F0000}"/>
    <cellStyle name="Normal 3 4 2 12 16" xfId="40852" xr:uid="{00000000-0005-0000-0000-00008B9F0000}"/>
    <cellStyle name="Normal 3 4 2 12 2" xfId="40853" xr:uid="{00000000-0005-0000-0000-00008C9F0000}"/>
    <cellStyle name="Normal 3 4 2 12 2 2" xfId="40854" xr:uid="{00000000-0005-0000-0000-00008D9F0000}"/>
    <cellStyle name="Normal 3 4 2 12 2 3" xfId="40855" xr:uid="{00000000-0005-0000-0000-00008E9F0000}"/>
    <cellStyle name="Normal 3 4 2 12 3" xfId="40856" xr:uid="{00000000-0005-0000-0000-00008F9F0000}"/>
    <cellStyle name="Normal 3 4 2 12 3 2" xfId="40857" xr:uid="{00000000-0005-0000-0000-0000909F0000}"/>
    <cellStyle name="Normal 3 4 2 12 3 3" xfId="40858" xr:uid="{00000000-0005-0000-0000-0000919F0000}"/>
    <cellStyle name="Normal 3 4 2 12 4" xfId="40859" xr:uid="{00000000-0005-0000-0000-0000929F0000}"/>
    <cellStyle name="Normal 3 4 2 12 4 2" xfId="40860" xr:uid="{00000000-0005-0000-0000-0000939F0000}"/>
    <cellStyle name="Normal 3 4 2 12 4 3" xfId="40861" xr:uid="{00000000-0005-0000-0000-0000949F0000}"/>
    <cellStyle name="Normal 3 4 2 12 5" xfId="40862" xr:uid="{00000000-0005-0000-0000-0000959F0000}"/>
    <cellStyle name="Normal 3 4 2 12 5 2" xfId="40863" xr:uid="{00000000-0005-0000-0000-0000969F0000}"/>
    <cellStyle name="Normal 3 4 2 12 5 3" xfId="40864" xr:uid="{00000000-0005-0000-0000-0000979F0000}"/>
    <cellStyle name="Normal 3 4 2 12 6" xfId="40865" xr:uid="{00000000-0005-0000-0000-0000989F0000}"/>
    <cellStyle name="Normal 3 4 2 12 6 2" xfId="40866" xr:uid="{00000000-0005-0000-0000-0000999F0000}"/>
    <cellStyle name="Normal 3 4 2 12 6 3" xfId="40867" xr:uid="{00000000-0005-0000-0000-00009A9F0000}"/>
    <cellStyle name="Normal 3 4 2 12 7" xfId="40868" xr:uid="{00000000-0005-0000-0000-00009B9F0000}"/>
    <cellStyle name="Normal 3 4 2 12 7 2" xfId="40869" xr:uid="{00000000-0005-0000-0000-00009C9F0000}"/>
    <cellStyle name="Normal 3 4 2 12 7 3" xfId="40870" xr:uid="{00000000-0005-0000-0000-00009D9F0000}"/>
    <cellStyle name="Normal 3 4 2 12 8" xfId="40871" xr:uid="{00000000-0005-0000-0000-00009E9F0000}"/>
    <cellStyle name="Normal 3 4 2 12 8 2" xfId="40872" xr:uid="{00000000-0005-0000-0000-00009F9F0000}"/>
    <cellStyle name="Normal 3 4 2 12 8 3" xfId="40873" xr:uid="{00000000-0005-0000-0000-0000A09F0000}"/>
    <cellStyle name="Normal 3 4 2 12 9" xfId="40874" xr:uid="{00000000-0005-0000-0000-0000A19F0000}"/>
    <cellStyle name="Normal 3 4 2 12 9 2" xfId="40875" xr:uid="{00000000-0005-0000-0000-0000A29F0000}"/>
    <cellStyle name="Normal 3 4 2 12 9 3" xfId="40876" xr:uid="{00000000-0005-0000-0000-0000A39F0000}"/>
    <cellStyle name="Normal 3 4 2 13" xfId="40877" xr:uid="{00000000-0005-0000-0000-0000A49F0000}"/>
    <cellStyle name="Normal 3 4 2 13 10" xfId="40878" xr:uid="{00000000-0005-0000-0000-0000A59F0000}"/>
    <cellStyle name="Normal 3 4 2 13 10 2" xfId="40879" xr:uid="{00000000-0005-0000-0000-0000A69F0000}"/>
    <cellStyle name="Normal 3 4 2 13 10 3" xfId="40880" xr:uid="{00000000-0005-0000-0000-0000A79F0000}"/>
    <cellStyle name="Normal 3 4 2 13 11" xfId="40881" xr:uid="{00000000-0005-0000-0000-0000A89F0000}"/>
    <cellStyle name="Normal 3 4 2 13 11 2" xfId="40882" xr:uid="{00000000-0005-0000-0000-0000A99F0000}"/>
    <cellStyle name="Normal 3 4 2 13 11 3" xfId="40883" xr:uid="{00000000-0005-0000-0000-0000AA9F0000}"/>
    <cellStyle name="Normal 3 4 2 13 12" xfId="40884" xr:uid="{00000000-0005-0000-0000-0000AB9F0000}"/>
    <cellStyle name="Normal 3 4 2 13 12 2" xfId="40885" xr:uid="{00000000-0005-0000-0000-0000AC9F0000}"/>
    <cellStyle name="Normal 3 4 2 13 12 3" xfId="40886" xr:uid="{00000000-0005-0000-0000-0000AD9F0000}"/>
    <cellStyle name="Normal 3 4 2 13 13" xfId="40887" xr:uid="{00000000-0005-0000-0000-0000AE9F0000}"/>
    <cellStyle name="Normal 3 4 2 13 13 2" xfId="40888" xr:uid="{00000000-0005-0000-0000-0000AF9F0000}"/>
    <cellStyle name="Normal 3 4 2 13 13 3" xfId="40889" xr:uid="{00000000-0005-0000-0000-0000B09F0000}"/>
    <cellStyle name="Normal 3 4 2 13 14" xfId="40890" xr:uid="{00000000-0005-0000-0000-0000B19F0000}"/>
    <cellStyle name="Normal 3 4 2 13 14 2" xfId="40891" xr:uid="{00000000-0005-0000-0000-0000B29F0000}"/>
    <cellStyle name="Normal 3 4 2 13 14 3" xfId="40892" xr:uid="{00000000-0005-0000-0000-0000B39F0000}"/>
    <cellStyle name="Normal 3 4 2 13 15" xfId="40893" xr:uid="{00000000-0005-0000-0000-0000B49F0000}"/>
    <cellStyle name="Normal 3 4 2 13 16" xfId="40894" xr:uid="{00000000-0005-0000-0000-0000B59F0000}"/>
    <cellStyle name="Normal 3 4 2 13 2" xfId="40895" xr:uid="{00000000-0005-0000-0000-0000B69F0000}"/>
    <cellStyle name="Normal 3 4 2 13 2 2" xfId="40896" xr:uid="{00000000-0005-0000-0000-0000B79F0000}"/>
    <cellStyle name="Normal 3 4 2 13 2 3" xfId="40897" xr:uid="{00000000-0005-0000-0000-0000B89F0000}"/>
    <cellStyle name="Normal 3 4 2 13 3" xfId="40898" xr:uid="{00000000-0005-0000-0000-0000B99F0000}"/>
    <cellStyle name="Normal 3 4 2 13 3 2" xfId="40899" xr:uid="{00000000-0005-0000-0000-0000BA9F0000}"/>
    <cellStyle name="Normal 3 4 2 13 3 3" xfId="40900" xr:uid="{00000000-0005-0000-0000-0000BB9F0000}"/>
    <cellStyle name="Normal 3 4 2 13 4" xfId="40901" xr:uid="{00000000-0005-0000-0000-0000BC9F0000}"/>
    <cellStyle name="Normal 3 4 2 13 4 2" xfId="40902" xr:uid="{00000000-0005-0000-0000-0000BD9F0000}"/>
    <cellStyle name="Normal 3 4 2 13 4 3" xfId="40903" xr:uid="{00000000-0005-0000-0000-0000BE9F0000}"/>
    <cellStyle name="Normal 3 4 2 13 5" xfId="40904" xr:uid="{00000000-0005-0000-0000-0000BF9F0000}"/>
    <cellStyle name="Normal 3 4 2 13 5 2" xfId="40905" xr:uid="{00000000-0005-0000-0000-0000C09F0000}"/>
    <cellStyle name="Normal 3 4 2 13 5 3" xfId="40906" xr:uid="{00000000-0005-0000-0000-0000C19F0000}"/>
    <cellStyle name="Normal 3 4 2 13 6" xfId="40907" xr:uid="{00000000-0005-0000-0000-0000C29F0000}"/>
    <cellStyle name="Normal 3 4 2 13 6 2" xfId="40908" xr:uid="{00000000-0005-0000-0000-0000C39F0000}"/>
    <cellStyle name="Normal 3 4 2 13 6 3" xfId="40909" xr:uid="{00000000-0005-0000-0000-0000C49F0000}"/>
    <cellStyle name="Normal 3 4 2 13 7" xfId="40910" xr:uid="{00000000-0005-0000-0000-0000C59F0000}"/>
    <cellStyle name="Normal 3 4 2 13 7 2" xfId="40911" xr:uid="{00000000-0005-0000-0000-0000C69F0000}"/>
    <cellStyle name="Normal 3 4 2 13 7 3" xfId="40912" xr:uid="{00000000-0005-0000-0000-0000C79F0000}"/>
    <cellStyle name="Normal 3 4 2 13 8" xfId="40913" xr:uid="{00000000-0005-0000-0000-0000C89F0000}"/>
    <cellStyle name="Normal 3 4 2 13 8 2" xfId="40914" xr:uid="{00000000-0005-0000-0000-0000C99F0000}"/>
    <cellStyle name="Normal 3 4 2 13 8 3" xfId="40915" xr:uid="{00000000-0005-0000-0000-0000CA9F0000}"/>
    <cellStyle name="Normal 3 4 2 13 9" xfId="40916" xr:uid="{00000000-0005-0000-0000-0000CB9F0000}"/>
    <cellStyle name="Normal 3 4 2 13 9 2" xfId="40917" xr:uid="{00000000-0005-0000-0000-0000CC9F0000}"/>
    <cellStyle name="Normal 3 4 2 13 9 3" xfId="40918" xr:uid="{00000000-0005-0000-0000-0000CD9F0000}"/>
    <cellStyle name="Normal 3 4 2 14" xfId="40919" xr:uid="{00000000-0005-0000-0000-0000CE9F0000}"/>
    <cellStyle name="Normal 3 4 2 14 10" xfId="40920" xr:uid="{00000000-0005-0000-0000-0000CF9F0000}"/>
    <cellStyle name="Normal 3 4 2 14 10 2" xfId="40921" xr:uid="{00000000-0005-0000-0000-0000D09F0000}"/>
    <cellStyle name="Normal 3 4 2 14 10 3" xfId="40922" xr:uid="{00000000-0005-0000-0000-0000D19F0000}"/>
    <cellStyle name="Normal 3 4 2 14 11" xfId="40923" xr:uid="{00000000-0005-0000-0000-0000D29F0000}"/>
    <cellStyle name="Normal 3 4 2 14 11 2" xfId="40924" xr:uid="{00000000-0005-0000-0000-0000D39F0000}"/>
    <cellStyle name="Normal 3 4 2 14 11 3" xfId="40925" xr:uid="{00000000-0005-0000-0000-0000D49F0000}"/>
    <cellStyle name="Normal 3 4 2 14 12" xfId="40926" xr:uid="{00000000-0005-0000-0000-0000D59F0000}"/>
    <cellStyle name="Normal 3 4 2 14 12 2" xfId="40927" xr:uid="{00000000-0005-0000-0000-0000D69F0000}"/>
    <cellStyle name="Normal 3 4 2 14 12 3" xfId="40928" xr:uid="{00000000-0005-0000-0000-0000D79F0000}"/>
    <cellStyle name="Normal 3 4 2 14 13" xfId="40929" xr:uid="{00000000-0005-0000-0000-0000D89F0000}"/>
    <cellStyle name="Normal 3 4 2 14 13 2" xfId="40930" xr:uid="{00000000-0005-0000-0000-0000D99F0000}"/>
    <cellStyle name="Normal 3 4 2 14 13 3" xfId="40931" xr:uid="{00000000-0005-0000-0000-0000DA9F0000}"/>
    <cellStyle name="Normal 3 4 2 14 14" xfId="40932" xr:uid="{00000000-0005-0000-0000-0000DB9F0000}"/>
    <cellStyle name="Normal 3 4 2 14 14 2" xfId="40933" xr:uid="{00000000-0005-0000-0000-0000DC9F0000}"/>
    <cellStyle name="Normal 3 4 2 14 14 3" xfId="40934" xr:uid="{00000000-0005-0000-0000-0000DD9F0000}"/>
    <cellStyle name="Normal 3 4 2 14 15" xfId="40935" xr:uid="{00000000-0005-0000-0000-0000DE9F0000}"/>
    <cellStyle name="Normal 3 4 2 14 16" xfId="40936" xr:uid="{00000000-0005-0000-0000-0000DF9F0000}"/>
    <cellStyle name="Normal 3 4 2 14 2" xfId="40937" xr:uid="{00000000-0005-0000-0000-0000E09F0000}"/>
    <cellStyle name="Normal 3 4 2 14 2 2" xfId="40938" xr:uid="{00000000-0005-0000-0000-0000E19F0000}"/>
    <cellStyle name="Normal 3 4 2 14 2 3" xfId="40939" xr:uid="{00000000-0005-0000-0000-0000E29F0000}"/>
    <cellStyle name="Normal 3 4 2 14 3" xfId="40940" xr:uid="{00000000-0005-0000-0000-0000E39F0000}"/>
    <cellStyle name="Normal 3 4 2 14 3 2" xfId="40941" xr:uid="{00000000-0005-0000-0000-0000E49F0000}"/>
    <cellStyle name="Normal 3 4 2 14 3 3" xfId="40942" xr:uid="{00000000-0005-0000-0000-0000E59F0000}"/>
    <cellStyle name="Normal 3 4 2 14 4" xfId="40943" xr:uid="{00000000-0005-0000-0000-0000E69F0000}"/>
    <cellStyle name="Normal 3 4 2 14 4 2" xfId="40944" xr:uid="{00000000-0005-0000-0000-0000E79F0000}"/>
    <cellStyle name="Normal 3 4 2 14 4 3" xfId="40945" xr:uid="{00000000-0005-0000-0000-0000E89F0000}"/>
    <cellStyle name="Normal 3 4 2 14 5" xfId="40946" xr:uid="{00000000-0005-0000-0000-0000E99F0000}"/>
    <cellStyle name="Normal 3 4 2 14 5 2" xfId="40947" xr:uid="{00000000-0005-0000-0000-0000EA9F0000}"/>
    <cellStyle name="Normal 3 4 2 14 5 3" xfId="40948" xr:uid="{00000000-0005-0000-0000-0000EB9F0000}"/>
    <cellStyle name="Normal 3 4 2 14 6" xfId="40949" xr:uid="{00000000-0005-0000-0000-0000EC9F0000}"/>
    <cellStyle name="Normal 3 4 2 14 6 2" xfId="40950" xr:uid="{00000000-0005-0000-0000-0000ED9F0000}"/>
    <cellStyle name="Normal 3 4 2 14 6 3" xfId="40951" xr:uid="{00000000-0005-0000-0000-0000EE9F0000}"/>
    <cellStyle name="Normal 3 4 2 14 7" xfId="40952" xr:uid="{00000000-0005-0000-0000-0000EF9F0000}"/>
    <cellStyle name="Normal 3 4 2 14 7 2" xfId="40953" xr:uid="{00000000-0005-0000-0000-0000F09F0000}"/>
    <cellStyle name="Normal 3 4 2 14 7 3" xfId="40954" xr:uid="{00000000-0005-0000-0000-0000F19F0000}"/>
    <cellStyle name="Normal 3 4 2 14 8" xfId="40955" xr:uid="{00000000-0005-0000-0000-0000F29F0000}"/>
    <cellStyle name="Normal 3 4 2 14 8 2" xfId="40956" xr:uid="{00000000-0005-0000-0000-0000F39F0000}"/>
    <cellStyle name="Normal 3 4 2 14 8 3" xfId="40957" xr:uid="{00000000-0005-0000-0000-0000F49F0000}"/>
    <cellStyle name="Normal 3 4 2 14 9" xfId="40958" xr:uid="{00000000-0005-0000-0000-0000F59F0000}"/>
    <cellStyle name="Normal 3 4 2 14 9 2" xfId="40959" xr:uid="{00000000-0005-0000-0000-0000F69F0000}"/>
    <cellStyle name="Normal 3 4 2 14 9 3" xfId="40960" xr:uid="{00000000-0005-0000-0000-0000F79F0000}"/>
    <cellStyle name="Normal 3 4 2 15" xfId="40961" xr:uid="{00000000-0005-0000-0000-0000F89F0000}"/>
    <cellStyle name="Normal 3 4 2 16" xfId="40962" xr:uid="{00000000-0005-0000-0000-0000F99F0000}"/>
    <cellStyle name="Normal 3 4 2 17" xfId="40963" xr:uid="{00000000-0005-0000-0000-0000FA9F0000}"/>
    <cellStyle name="Normal 3 4 2 17 10" xfId="40964" xr:uid="{00000000-0005-0000-0000-0000FB9F0000}"/>
    <cellStyle name="Normal 3 4 2 17 10 2" xfId="40965" xr:uid="{00000000-0005-0000-0000-0000FC9F0000}"/>
    <cellStyle name="Normal 3 4 2 17 10 3" xfId="40966" xr:uid="{00000000-0005-0000-0000-0000FD9F0000}"/>
    <cellStyle name="Normal 3 4 2 17 11" xfId="40967" xr:uid="{00000000-0005-0000-0000-0000FE9F0000}"/>
    <cellStyle name="Normal 3 4 2 17 11 2" xfId="40968" xr:uid="{00000000-0005-0000-0000-0000FF9F0000}"/>
    <cellStyle name="Normal 3 4 2 17 11 3" xfId="40969" xr:uid="{00000000-0005-0000-0000-000000A00000}"/>
    <cellStyle name="Normal 3 4 2 17 12" xfId="40970" xr:uid="{00000000-0005-0000-0000-000001A00000}"/>
    <cellStyle name="Normal 3 4 2 17 12 2" xfId="40971" xr:uid="{00000000-0005-0000-0000-000002A00000}"/>
    <cellStyle name="Normal 3 4 2 17 12 3" xfId="40972" xr:uid="{00000000-0005-0000-0000-000003A00000}"/>
    <cellStyle name="Normal 3 4 2 17 13" xfId="40973" xr:uid="{00000000-0005-0000-0000-000004A00000}"/>
    <cellStyle name="Normal 3 4 2 17 13 2" xfId="40974" xr:uid="{00000000-0005-0000-0000-000005A00000}"/>
    <cellStyle name="Normal 3 4 2 17 13 3" xfId="40975" xr:uid="{00000000-0005-0000-0000-000006A00000}"/>
    <cellStyle name="Normal 3 4 2 17 14" xfId="40976" xr:uid="{00000000-0005-0000-0000-000007A00000}"/>
    <cellStyle name="Normal 3 4 2 17 14 2" xfId="40977" xr:uid="{00000000-0005-0000-0000-000008A00000}"/>
    <cellStyle name="Normal 3 4 2 17 14 3" xfId="40978" xr:uid="{00000000-0005-0000-0000-000009A00000}"/>
    <cellStyle name="Normal 3 4 2 17 15" xfId="40979" xr:uid="{00000000-0005-0000-0000-00000AA00000}"/>
    <cellStyle name="Normal 3 4 2 17 16" xfId="40980" xr:uid="{00000000-0005-0000-0000-00000BA00000}"/>
    <cellStyle name="Normal 3 4 2 17 2" xfId="40981" xr:uid="{00000000-0005-0000-0000-00000CA00000}"/>
    <cellStyle name="Normal 3 4 2 17 2 2" xfId="40982" xr:uid="{00000000-0005-0000-0000-00000DA00000}"/>
    <cellStyle name="Normal 3 4 2 17 2 3" xfId="40983" xr:uid="{00000000-0005-0000-0000-00000EA00000}"/>
    <cellStyle name="Normal 3 4 2 17 3" xfId="40984" xr:uid="{00000000-0005-0000-0000-00000FA00000}"/>
    <cellStyle name="Normal 3 4 2 17 3 2" xfId="40985" xr:uid="{00000000-0005-0000-0000-000010A00000}"/>
    <cellStyle name="Normal 3 4 2 17 3 3" xfId="40986" xr:uid="{00000000-0005-0000-0000-000011A00000}"/>
    <cellStyle name="Normal 3 4 2 17 4" xfId="40987" xr:uid="{00000000-0005-0000-0000-000012A00000}"/>
    <cellStyle name="Normal 3 4 2 17 4 2" xfId="40988" xr:uid="{00000000-0005-0000-0000-000013A00000}"/>
    <cellStyle name="Normal 3 4 2 17 4 3" xfId="40989" xr:uid="{00000000-0005-0000-0000-000014A00000}"/>
    <cellStyle name="Normal 3 4 2 17 5" xfId="40990" xr:uid="{00000000-0005-0000-0000-000015A00000}"/>
    <cellStyle name="Normal 3 4 2 17 5 2" xfId="40991" xr:uid="{00000000-0005-0000-0000-000016A00000}"/>
    <cellStyle name="Normal 3 4 2 17 5 3" xfId="40992" xr:uid="{00000000-0005-0000-0000-000017A00000}"/>
    <cellStyle name="Normal 3 4 2 17 6" xfId="40993" xr:uid="{00000000-0005-0000-0000-000018A00000}"/>
    <cellStyle name="Normal 3 4 2 17 6 2" xfId="40994" xr:uid="{00000000-0005-0000-0000-000019A00000}"/>
    <cellStyle name="Normal 3 4 2 17 6 3" xfId="40995" xr:uid="{00000000-0005-0000-0000-00001AA00000}"/>
    <cellStyle name="Normal 3 4 2 17 7" xfId="40996" xr:uid="{00000000-0005-0000-0000-00001BA00000}"/>
    <cellStyle name="Normal 3 4 2 17 7 2" xfId="40997" xr:uid="{00000000-0005-0000-0000-00001CA00000}"/>
    <cellStyle name="Normal 3 4 2 17 7 3" xfId="40998" xr:uid="{00000000-0005-0000-0000-00001DA00000}"/>
    <cellStyle name="Normal 3 4 2 17 8" xfId="40999" xr:uid="{00000000-0005-0000-0000-00001EA00000}"/>
    <cellStyle name="Normal 3 4 2 17 8 2" xfId="41000" xr:uid="{00000000-0005-0000-0000-00001FA00000}"/>
    <cellStyle name="Normal 3 4 2 17 8 3" xfId="41001" xr:uid="{00000000-0005-0000-0000-000020A00000}"/>
    <cellStyle name="Normal 3 4 2 17 9" xfId="41002" xr:uid="{00000000-0005-0000-0000-000021A00000}"/>
    <cellStyle name="Normal 3 4 2 17 9 2" xfId="41003" xr:uid="{00000000-0005-0000-0000-000022A00000}"/>
    <cellStyle name="Normal 3 4 2 17 9 3" xfId="41004" xr:uid="{00000000-0005-0000-0000-000023A00000}"/>
    <cellStyle name="Normal 3 4 2 18" xfId="41005" xr:uid="{00000000-0005-0000-0000-000024A00000}"/>
    <cellStyle name="Normal 3 4 2 18 10" xfId="41006" xr:uid="{00000000-0005-0000-0000-000025A00000}"/>
    <cellStyle name="Normal 3 4 2 18 10 2" xfId="41007" xr:uid="{00000000-0005-0000-0000-000026A00000}"/>
    <cellStyle name="Normal 3 4 2 18 10 3" xfId="41008" xr:uid="{00000000-0005-0000-0000-000027A00000}"/>
    <cellStyle name="Normal 3 4 2 18 11" xfId="41009" xr:uid="{00000000-0005-0000-0000-000028A00000}"/>
    <cellStyle name="Normal 3 4 2 18 11 2" xfId="41010" xr:uid="{00000000-0005-0000-0000-000029A00000}"/>
    <cellStyle name="Normal 3 4 2 18 11 3" xfId="41011" xr:uid="{00000000-0005-0000-0000-00002AA00000}"/>
    <cellStyle name="Normal 3 4 2 18 12" xfId="41012" xr:uid="{00000000-0005-0000-0000-00002BA00000}"/>
    <cellStyle name="Normal 3 4 2 18 12 2" xfId="41013" xr:uid="{00000000-0005-0000-0000-00002CA00000}"/>
    <cellStyle name="Normal 3 4 2 18 12 3" xfId="41014" xr:uid="{00000000-0005-0000-0000-00002DA00000}"/>
    <cellStyle name="Normal 3 4 2 18 13" xfId="41015" xr:uid="{00000000-0005-0000-0000-00002EA00000}"/>
    <cellStyle name="Normal 3 4 2 18 13 2" xfId="41016" xr:uid="{00000000-0005-0000-0000-00002FA00000}"/>
    <cellStyle name="Normal 3 4 2 18 13 3" xfId="41017" xr:uid="{00000000-0005-0000-0000-000030A00000}"/>
    <cellStyle name="Normal 3 4 2 18 14" xfId="41018" xr:uid="{00000000-0005-0000-0000-000031A00000}"/>
    <cellStyle name="Normal 3 4 2 18 14 2" xfId="41019" xr:uid="{00000000-0005-0000-0000-000032A00000}"/>
    <cellStyle name="Normal 3 4 2 18 14 3" xfId="41020" xr:uid="{00000000-0005-0000-0000-000033A00000}"/>
    <cellStyle name="Normal 3 4 2 18 15" xfId="41021" xr:uid="{00000000-0005-0000-0000-000034A00000}"/>
    <cellStyle name="Normal 3 4 2 18 16" xfId="41022" xr:uid="{00000000-0005-0000-0000-000035A00000}"/>
    <cellStyle name="Normal 3 4 2 18 2" xfId="41023" xr:uid="{00000000-0005-0000-0000-000036A00000}"/>
    <cellStyle name="Normal 3 4 2 18 2 2" xfId="41024" xr:uid="{00000000-0005-0000-0000-000037A00000}"/>
    <cellStyle name="Normal 3 4 2 18 2 3" xfId="41025" xr:uid="{00000000-0005-0000-0000-000038A00000}"/>
    <cellStyle name="Normal 3 4 2 18 3" xfId="41026" xr:uid="{00000000-0005-0000-0000-000039A00000}"/>
    <cellStyle name="Normal 3 4 2 18 3 2" xfId="41027" xr:uid="{00000000-0005-0000-0000-00003AA00000}"/>
    <cellStyle name="Normal 3 4 2 18 3 3" xfId="41028" xr:uid="{00000000-0005-0000-0000-00003BA00000}"/>
    <cellStyle name="Normal 3 4 2 18 4" xfId="41029" xr:uid="{00000000-0005-0000-0000-00003CA00000}"/>
    <cellStyle name="Normal 3 4 2 18 4 2" xfId="41030" xr:uid="{00000000-0005-0000-0000-00003DA00000}"/>
    <cellStyle name="Normal 3 4 2 18 4 3" xfId="41031" xr:uid="{00000000-0005-0000-0000-00003EA00000}"/>
    <cellStyle name="Normal 3 4 2 18 5" xfId="41032" xr:uid="{00000000-0005-0000-0000-00003FA00000}"/>
    <cellStyle name="Normal 3 4 2 18 5 2" xfId="41033" xr:uid="{00000000-0005-0000-0000-000040A00000}"/>
    <cellStyle name="Normal 3 4 2 18 5 3" xfId="41034" xr:uid="{00000000-0005-0000-0000-000041A00000}"/>
    <cellStyle name="Normal 3 4 2 18 6" xfId="41035" xr:uid="{00000000-0005-0000-0000-000042A00000}"/>
    <cellStyle name="Normal 3 4 2 18 6 2" xfId="41036" xr:uid="{00000000-0005-0000-0000-000043A00000}"/>
    <cellStyle name="Normal 3 4 2 18 6 3" xfId="41037" xr:uid="{00000000-0005-0000-0000-000044A00000}"/>
    <cellStyle name="Normal 3 4 2 18 7" xfId="41038" xr:uid="{00000000-0005-0000-0000-000045A00000}"/>
    <cellStyle name="Normal 3 4 2 18 7 2" xfId="41039" xr:uid="{00000000-0005-0000-0000-000046A00000}"/>
    <cellStyle name="Normal 3 4 2 18 7 3" xfId="41040" xr:uid="{00000000-0005-0000-0000-000047A00000}"/>
    <cellStyle name="Normal 3 4 2 18 8" xfId="41041" xr:uid="{00000000-0005-0000-0000-000048A00000}"/>
    <cellStyle name="Normal 3 4 2 18 8 2" xfId="41042" xr:uid="{00000000-0005-0000-0000-000049A00000}"/>
    <cellStyle name="Normal 3 4 2 18 8 3" xfId="41043" xr:uid="{00000000-0005-0000-0000-00004AA00000}"/>
    <cellStyle name="Normal 3 4 2 18 9" xfId="41044" xr:uid="{00000000-0005-0000-0000-00004BA00000}"/>
    <cellStyle name="Normal 3 4 2 18 9 2" xfId="41045" xr:uid="{00000000-0005-0000-0000-00004CA00000}"/>
    <cellStyle name="Normal 3 4 2 18 9 3" xfId="41046" xr:uid="{00000000-0005-0000-0000-00004DA00000}"/>
    <cellStyle name="Normal 3 4 2 2" xfId="41047" xr:uid="{00000000-0005-0000-0000-00004EA00000}"/>
    <cellStyle name="Normal 3 4 2 2 10" xfId="41048" xr:uid="{00000000-0005-0000-0000-00004FA00000}"/>
    <cellStyle name="Normal 3 4 2 2 10 2" xfId="41049" xr:uid="{00000000-0005-0000-0000-000050A00000}"/>
    <cellStyle name="Normal 3 4 2 2 10 3" xfId="41050" xr:uid="{00000000-0005-0000-0000-000051A00000}"/>
    <cellStyle name="Normal 3 4 2 2 11" xfId="41051" xr:uid="{00000000-0005-0000-0000-000052A00000}"/>
    <cellStyle name="Normal 3 4 2 2 11 2" xfId="41052" xr:uid="{00000000-0005-0000-0000-000053A00000}"/>
    <cellStyle name="Normal 3 4 2 2 11 3" xfId="41053" xr:uid="{00000000-0005-0000-0000-000054A00000}"/>
    <cellStyle name="Normal 3 4 2 2 12" xfId="41054" xr:uid="{00000000-0005-0000-0000-000055A00000}"/>
    <cellStyle name="Normal 3 4 2 2 12 2" xfId="41055" xr:uid="{00000000-0005-0000-0000-000056A00000}"/>
    <cellStyle name="Normal 3 4 2 2 12 3" xfId="41056" xr:uid="{00000000-0005-0000-0000-000057A00000}"/>
    <cellStyle name="Normal 3 4 2 2 13" xfId="41057" xr:uid="{00000000-0005-0000-0000-000058A00000}"/>
    <cellStyle name="Normal 3 4 2 2 13 2" xfId="41058" xr:uid="{00000000-0005-0000-0000-000059A00000}"/>
    <cellStyle name="Normal 3 4 2 2 13 3" xfId="41059" xr:uid="{00000000-0005-0000-0000-00005AA00000}"/>
    <cellStyle name="Normal 3 4 2 2 14" xfId="41060" xr:uid="{00000000-0005-0000-0000-00005BA00000}"/>
    <cellStyle name="Normal 3 4 2 2 14 2" xfId="41061" xr:uid="{00000000-0005-0000-0000-00005CA00000}"/>
    <cellStyle name="Normal 3 4 2 2 14 3" xfId="41062" xr:uid="{00000000-0005-0000-0000-00005DA00000}"/>
    <cellStyle name="Normal 3 4 2 2 15" xfId="41063" xr:uid="{00000000-0005-0000-0000-00005EA00000}"/>
    <cellStyle name="Normal 3 4 2 2 15 2" xfId="41064" xr:uid="{00000000-0005-0000-0000-00005FA00000}"/>
    <cellStyle name="Normal 3 4 2 2 15 3" xfId="41065" xr:uid="{00000000-0005-0000-0000-000060A00000}"/>
    <cellStyle name="Normal 3 4 2 2 16" xfId="41066" xr:uid="{00000000-0005-0000-0000-000061A00000}"/>
    <cellStyle name="Normal 3 4 2 2 16 2" xfId="41067" xr:uid="{00000000-0005-0000-0000-000062A00000}"/>
    <cellStyle name="Normal 3 4 2 2 16 3" xfId="41068" xr:uid="{00000000-0005-0000-0000-000063A00000}"/>
    <cellStyle name="Normal 3 4 2 2 17" xfId="41069" xr:uid="{00000000-0005-0000-0000-000064A00000}"/>
    <cellStyle name="Normal 3 4 2 2 17 2" xfId="41070" xr:uid="{00000000-0005-0000-0000-000065A00000}"/>
    <cellStyle name="Normal 3 4 2 2 17 3" xfId="41071" xr:uid="{00000000-0005-0000-0000-000066A00000}"/>
    <cellStyle name="Normal 3 4 2 2 18" xfId="41072" xr:uid="{00000000-0005-0000-0000-000067A00000}"/>
    <cellStyle name="Normal 3 4 2 2 19" xfId="41073" xr:uid="{00000000-0005-0000-0000-000068A00000}"/>
    <cellStyle name="Normal 3 4 2 2 2" xfId="41074" xr:uid="{00000000-0005-0000-0000-000069A00000}"/>
    <cellStyle name="Normal 3 4 2 2 3" xfId="41075" xr:uid="{00000000-0005-0000-0000-00006AA00000}"/>
    <cellStyle name="Normal 3 4 2 2 4" xfId="41076" xr:uid="{00000000-0005-0000-0000-00006BA00000}"/>
    <cellStyle name="Normal 3 4 2 2 5" xfId="41077" xr:uid="{00000000-0005-0000-0000-00006CA00000}"/>
    <cellStyle name="Normal 3 4 2 2 5 2" xfId="41078" xr:uid="{00000000-0005-0000-0000-00006DA00000}"/>
    <cellStyle name="Normal 3 4 2 2 5 3" xfId="41079" xr:uid="{00000000-0005-0000-0000-00006EA00000}"/>
    <cellStyle name="Normal 3 4 2 2 6" xfId="41080" xr:uid="{00000000-0005-0000-0000-00006FA00000}"/>
    <cellStyle name="Normal 3 4 2 2 6 2" xfId="41081" xr:uid="{00000000-0005-0000-0000-000070A00000}"/>
    <cellStyle name="Normal 3 4 2 2 6 3" xfId="41082" xr:uid="{00000000-0005-0000-0000-000071A00000}"/>
    <cellStyle name="Normal 3 4 2 2 7" xfId="41083" xr:uid="{00000000-0005-0000-0000-000072A00000}"/>
    <cellStyle name="Normal 3 4 2 2 7 2" xfId="41084" xr:uid="{00000000-0005-0000-0000-000073A00000}"/>
    <cellStyle name="Normal 3 4 2 2 7 3" xfId="41085" xr:uid="{00000000-0005-0000-0000-000074A00000}"/>
    <cellStyle name="Normal 3 4 2 2 8" xfId="41086" xr:uid="{00000000-0005-0000-0000-000075A00000}"/>
    <cellStyle name="Normal 3 4 2 2 8 2" xfId="41087" xr:uid="{00000000-0005-0000-0000-000076A00000}"/>
    <cellStyle name="Normal 3 4 2 2 8 3" xfId="41088" xr:uid="{00000000-0005-0000-0000-000077A00000}"/>
    <cellStyle name="Normal 3 4 2 2 9" xfId="41089" xr:uid="{00000000-0005-0000-0000-000078A00000}"/>
    <cellStyle name="Normal 3 4 2 2 9 2" xfId="41090" xr:uid="{00000000-0005-0000-0000-000079A00000}"/>
    <cellStyle name="Normal 3 4 2 2 9 3" xfId="41091" xr:uid="{00000000-0005-0000-0000-00007AA00000}"/>
    <cellStyle name="Normal 3 4 2 3" xfId="41092" xr:uid="{00000000-0005-0000-0000-00007BA00000}"/>
    <cellStyle name="Normal 3 4 2 4" xfId="41093" xr:uid="{00000000-0005-0000-0000-00007CA00000}"/>
    <cellStyle name="Normal 3 4 2 5" xfId="41094" xr:uid="{00000000-0005-0000-0000-00007DA00000}"/>
    <cellStyle name="Normal 3 4 2 6" xfId="41095" xr:uid="{00000000-0005-0000-0000-00007EA00000}"/>
    <cellStyle name="Normal 3 4 2 6 10" xfId="41096" xr:uid="{00000000-0005-0000-0000-00007FA00000}"/>
    <cellStyle name="Normal 3 4 2 6 10 2" xfId="41097" xr:uid="{00000000-0005-0000-0000-000080A00000}"/>
    <cellStyle name="Normal 3 4 2 6 10 3" xfId="41098" xr:uid="{00000000-0005-0000-0000-000081A00000}"/>
    <cellStyle name="Normal 3 4 2 6 11" xfId="41099" xr:uid="{00000000-0005-0000-0000-000082A00000}"/>
    <cellStyle name="Normal 3 4 2 6 11 2" xfId="41100" xr:uid="{00000000-0005-0000-0000-000083A00000}"/>
    <cellStyle name="Normal 3 4 2 6 11 3" xfId="41101" xr:uid="{00000000-0005-0000-0000-000084A00000}"/>
    <cellStyle name="Normal 3 4 2 6 12" xfId="41102" xr:uid="{00000000-0005-0000-0000-000085A00000}"/>
    <cellStyle name="Normal 3 4 2 6 12 2" xfId="41103" xr:uid="{00000000-0005-0000-0000-000086A00000}"/>
    <cellStyle name="Normal 3 4 2 6 12 3" xfId="41104" xr:uid="{00000000-0005-0000-0000-000087A00000}"/>
    <cellStyle name="Normal 3 4 2 6 13" xfId="41105" xr:uid="{00000000-0005-0000-0000-000088A00000}"/>
    <cellStyle name="Normal 3 4 2 6 13 2" xfId="41106" xr:uid="{00000000-0005-0000-0000-000089A00000}"/>
    <cellStyle name="Normal 3 4 2 6 13 3" xfId="41107" xr:uid="{00000000-0005-0000-0000-00008AA00000}"/>
    <cellStyle name="Normal 3 4 2 6 14" xfId="41108" xr:uid="{00000000-0005-0000-0000-00008BA00000}"/>
    <cellStyle name="Normal 3 4 2 6 14 2" xfId="41109" xr:uid="{00000000-0005-0000-0000-00008CA00000}"/>
    <cellStyle name="Normal 3 4 2 6 14 3" xfId="41110" xr:uid="{00000000-0005-0000-0000-00008DA00000}"/>
    <cellStyle name="Normal 3 4 2 6 15" xfId="41111" xr:uid="{00000000-0005-0000-0000-00008EA00000}"/>
    <cellStyle name="Normal 3 4 2 6 15 2" xfId="41112" xr:uid="{00000000-0005-0000-0000-00008FA00000}"/>
    <cellStyle name="Normal 3 4 2 6 15 3" xfId="41113" xr:uid="{00000000-0005-0000-0000-000090A00000}"/>
    <cellStyle name="Normal 3 4 2 6 16" xfId="41114" xr:uid="{00000000-0005-0000-0000-000091A00000}"/>
    <cellStyle name="Normal 3 4 2 6 17" xfId="41115" xr:uid="{00000000-0005-0000-0000-000092A00000}"/>
    <cellStyle name="Normal 3 4 2 6 2" xfId="41116" xr:uid="{00000000-0005-0000-0000-000093A00000}"/>
    <cellStyle name="Normal 3 4 2 6 2 10" xfId="41117" xr:uid="{00000000-0005-0000-0000-000094A00000}"/>
    <cellStyle name="Normal 3 4 2 6 2 10 2" xfId="41118" xr:uid="{00000000-0005-0000-0000-000095A00000}"/>
    <cellStyle name="Normal 3 4 2 6 2 10 3" xfId="41119" xr:uid="{00000000-0005-0000-0000-000096A00000}"/>
    <cellStyle name="Normal 3 4 2 6 2 11" xfId="41120" xr:uid="{00000000-0005-0000-0000-000097A00000}"/>
    <cellStyle name="Normal 3 4 2 6 2 11 2" xfId="41121" xr:uid="{00000000-0005-0000-0000-000098A00000}"/>
    <cellStyle name="Normal 3 4 2 6 2 11 3" xfId="41122" xr:uid="{00000000-0005-0000-0000-000099A00000}"/>
    <cellStyle name="Normal 3 4 2 6 2 12" xfId="41123" xr:uid="{00000000-0005-0000-0000-00009AA00000}"/>
    <cellStyle name="Normal 3 4 2 6 2 12 2" xfId="41124" xr:uid="{00000000-0005-0000-0000-00009BA00000}"/>
    <cellStyle name="Normal 3 4 2 6 2 12 3" xfId="41125" xr:uid="{00000000-0005-0000-0000-00009CA00000}"/>
    <cellStyle name="Normal 3 4 2 6 2 13" xfId="41126" xr:uid="{00000000-0005-0000-0000-00009DA00000}"/>
    <cellStyle name="Normal 3 4 2 6 2 13 2" xfId="41127" xr:uid="{00000000-0005-0000-0000-00009EA00000}"/>
    <cellStyle name="Normal 3 4 2 6 2 13 3" xfId="41128" xr:uid="{00000000-0005-0000-0000-00009FA00000}"/>
    <cellStyle name="Normal 3 4 2 6 2 14" xfId="41129" xr:uid="{00000000-0005-0000-0000-0000A0A00000}"/>
    <cellStyle name="Normal 3 4 2 6 2 14 2" xfId="41130" xr:uid="{00000000-0005-0000-0000-0000A1A00000}"/>
    <cellStyle name="Normal 3 4 2 6 2 14 3" xfId="41131" xr:uid="{00000000-0005-0000-0000-0000A2A00000}"/>
    <cellStyle name="Normal 3 4 2 6 2 15" xfId="41132" xr:uid="{00000000-0005-0000-0000-0000A3A00000}"/>
    <cellStyle name="Normal 3 4 2 6 2 16" xfId="41133" xr:uid="{00000000-0005-0000-0000-0000A4A00000}"/>
    <cellStyle name="Normal 3 4 2 6 2 2" xfId="41134" xr:uid="{00000000-0005-0000-0000-0000A5A00000}"/>
    <cellStyle name="Normal 3 4 2 6 2 2 2" xfId="41135" xr:uid="{00000000-0005-0000-0000-0000A6A00000}"/>
    <cellStyle name="Normal 3 4 2 6 2 2 3" xfId="41136" xr:uid="{00000000-0005-0000-0000-0000A7A00000}"/>
    <cellStyle name="Normal 3 4 2 6 2 3" xfId="41137" xr:uid="{00000000-0005-0000-0000-0000A8A00000}"/>
    <cellStyle name="Normal 3 4 2 6 2 3 2" xfId="41138" xr:uid="{00000000-0005-0000-0000-0000A9A00000}"/>
    <cellStyle name="Normal 3 4 2 6 2 3 3" xfId="41139" xr:uid="{00000000-0005-0000-0000-0000AAA00000}"/>
    <cellStyle name="Normal 3 4 2 6 2 4" xfId="41140" xr:uid="{00000000-0005-0000-0000-0000ABA00000}"/>
    <cellStyle name="Normal 3 4 2 6 2 4 2" xfId="41141" xr:uid="{00000000-0005-0000-0000-0000ACA00000}"/>
    <cellStyle name="Normal 3 4 2 6 2 4 3" xfId="41142" xr:uid="{00000000-0005-0000-0000-0000ADA00000}"/>
    <cellStyle name="Normal 3 4 2 6 2 5" xfId="41143" xr:uid="{00000000-0005-0000-0000-0000AEA00000}"/>
    <cellStyle name="Normal 3 4 2 6 2 5 2" xfId="41144" xr:uid="{00000000-0005-0000-0000-0000AFA00000}"/>
    <cellStyle name="Normal 3 4 2 6 2 5 3" xfId="41145" xr:uid="{00000000-0005-0000-0000-0000B0A00000}"/>
    <cellStyle name="Normal 3 4 2 6 2 6" xfId="41146" xr:uid="{00000000-0005-0000-0000-0000B1A00000}"/>
    <cellStyle name="Normal 3 4 2 6 2 6 2" xfId="41147" xr:uid="{00000000-0005-0000-0000-0000B2A00000}"/>
    <cellStyle name="Normal 3 4 2 6 2 6 3" xfId="41148" xr:uid="{00000000-0005-0000-0000-0000B3A00000}"/>
    <cellStyle name="Normal 3 4 2 6 2 7" xfId="41149" xr:uid="{00000000-0005-0000-0000-0000B4A00000}"/>
    <cellStyle name="Normal 3 4 2 6 2 7 2" xfId="41150" xr:uid="{00000000-0005-0000-0000-0000B5A00000}"/>
    <cellStyle name="Normal 3 4 2 6 2 7 3" xfId="41151" xr:uid="{00000000-0005-0000-0000-0000B6A00000}"/>
    <cellStyle name="Normal 3 4 2 6 2 8" xfId="41152" xr:uid="{00000000-0005-0000-0000-0000B7A00000}"/>
    <cellStyle name="Normal 3 4 2 6 2 8 2" xfId="41153" xr:uid="{00000000-0005-0000-0000-0000B8A00000}"/>
    <cellStyle name="Normal 3 4 2 6 2 8 3" xfId="41154" xr:uid="{00000000-0005-0000-0000-0000B9A00000}"/>
    <cellStyle name="Normal 3 4 2 6 2 9" xfId="41155" xr:uid="{00000000-0005-0000-0000-0000BAA00000}"/>
    <cellStyle name="Normal 3 4 2 6 2 9 2" xfId="41156" xr:uid="{00000000-0005-0000-0000-0000BBA00000}"/>
    <cellStyle name="Normal 3 4 2 6 2 9 3" xfId="41157" xr:uid="{00000000-0005-0000-0000-0000BCA00000}"/>
    <cellStyle name="Normal 3 4 2 6 3" xfId="41158" xr:uid="{00000000-0005-0000-0000-0000BDA00000}"/>
    <cellStyle name="Normal 3 4 2 6 3 2" xfId="41159" xr:uid="{00000000-0005-0000-0000-0000BEA00000}"/>
    <cellStyle name="Normal 3 4 2 6 3 3" xfId="41160" xr:uid="{00000000-0005-0000-0000-0000BFA00000}"/>
    <cellStyle name="Normal 3 4 2 6 4" xfId="41161" xr:uid="{00000000-0005-0000-0000-0000C0A00000}"/>
    <cellStyle name="Normal 3 4 2 6 4 2" xfId="41162" xr:uid="{00000000-0005-0000-0000-0000C1A00000}"/>
    <cellStyle name="Normal 3 4 2 6 4 3" xfId="41163" xr:uid="{00000000-0005-0000-0000-0000C2A00000}"/>
    <cellStyle name="Normal 3 4 2 6 5" xfId="41164" xr:uid="{00000000-0005-0000-0000-0000C3A00000}"/>
    <cellStyle name="Normal 3 4 2 6 5 2" xfId="41165" xr:uid="{00000000-0005-0000-0000-0000C4A00000}"/>
    <cellStyle name="Normal 3 4 2 6 5 3" xfId="41166" xr:uid="{00000000-0005-0000-0000-0000C5A00000}"/>
    <cellStyle name="Normal 3 4 2 6 6" xfId="41167" xr:uid="{00000000-0005-0000-0000-0000C6A00000}"/>
    <cellStyle name="Normal 3 4 2 6 6 2" xfId="41168" xr:uid="{00000000-0005-0000-0000-0000C7A00000}"/>
    <cellStyle name="Normal 3 4 2 6 6 3" xfId="41169" xr:uid="{00000000-0005-0000-0000-0000C8A00000}"/>
    <cellStyle name="Normal 3 4 2 6 7" xfId="41170" xr:uid="{00000000-0005-0000-0000-0000C9A00000}"/>
    <cellStyle name="Normal 3 4 2 6 7 2" xfId="41171" xr:uid="{00000000-0005-0000-0000-0000CAA00000}"/>
    <cellStyle name="Normal 3 4 2 6 7 3" xfId="41172" xr:uid="{00000000-0005-0000-0000-0000CBA00000}"/>
    <cellStyle name="Normal 3 4 2 6 8" xfId="41173" xr:uid="{00000000-0005-0000-0000-0000CCA00000}"/>
    <cellStyle name="Normal 3 4 2 6 8 2" xfId="41174" xr:uid="{00000000-0005-0000-0000-0000CDA00000}"/>
    <cellStyle name="Normal 3 4 2 6 8 3" xfId="41175" xr:uid="{00000000-0005-0000-0000-0000CEA00000}"/>
    <cellStyle name="Normal 3 4 2 6 9" xfId="41176" xr:uid="{00000000-0005-0000-0000-0000CFA00000}"/>
    <cellStyle name="Normal 3 4 2 6 9 2" xfId="41177" xr:uid="{00000000-0005-0000-0000-0000D0A00000}"/>
    <cellStyle name="Normal 3 4 2 6 9 3" xfId="41178" xr:uid="{00000000-0005-0000-0000-0000D1A00000}"/>
    <cellStyle name="Normal 3 4 2 7" xfId="41179" xr:uid="{00000000-0005-0000-0000-0000D2A00000}"/>
    <cellStyle name="Normal 3 4 2 7 10" xfId="41180" xr:uid="{00000000-0005-0000-0000-0000D3A00000}"/>
    <cellStyle name="Normal 3 4 2 7 10 2" xfId="41181" xr:uid="{00000000-0005-0000-0000-0000D4A00000}"/>
    <cellStyle name="Normal 3 4 2 7 10 3" xfId="41182" xr:uid="{00000000-0005-0000-0000-0000D5A00000}"/>
    <cellStyle name="Normal 3 4 2 7 11" xfId="41183" xr:uid="{00000000-0005-0000-0000-0000D6A00000}"/>
    <cellStyle name="Normal 3 4 2 7 11 2" xfId="41184" xr:uid="{00000000-0005-0000-0000-0000D7A00000}"/>
    <cellStyle name="Normal 3 4 2 7 11 3" xfId="41185" xr:uid="{00000000-0005-0000-0000-0000D8A00000}"/>
    <cellStyle name="Normal 3 4 2 7 12" xfId="41186" xr:uid="{00000000-0005-0000-0000-0000D9A00000}"/>
    <cellStyle name="Normal 3 4 2 7 12 2" xfId="41187" xr:uid="{00000000-0005-0000-0000-0000DAA00000}"/>
    <cellStyle name="Normal 3 4 2 7 12 3" xfId="41188" xr:uid="{00000000-0005-0000-0000-0000DBA00000}"/>
    <cellStyle name="Normal 3 4 2 7 13" xfId="41189" xr:uid="{00000000-0005-0000-0000-0000DCA00000}"/>
    <cellStyle name="Normal 3 4 2 7 13 2" xfId="41190" xr:uid="{00000000-0005-0000-0000-0000DDA00000}"/>
    <cellStyle name="Normal 3 4 2 7 13 3" xfId="41191" xr:uid="{00000000-0005-0000-0000-0000DEA00000}"/>
    <cellStyle name="Normal 3 4 2 7 14" xfId="41192" xr:uid="{00000000-0005-0000-0000-0000DFA00000}"/>
    <cellStyle name="Normal 3 4 2 7 14 2" xfId="41193" xr:uid="{00000000-0005-0000-0000-0000E0A00000}"/>
    <cellStyle name="Normal 3 4 2 7 14 3" xfId="41194" xr:uid="{00000000-0005-0000-0000-0000E1A00000}"/>
    <cellStyle name="Normal 3 4 2 7 15" xfId="41195" xr:uid="{00000000-0005-0000-0000-0000E2A00000}"/>
    <cellStyle name="Normal 3 4 2 7 15 2" xfId="41196" xr:uid="{00000000-0005-0000-0000-0000E3A00000}"/>
    <cellStyle name="Normal 3 4 2 7 15 3" xfId="41197" xr:uid="{00000000-0005-0000-0000-0000E4A00000}"/>
    <cellStyle name="Normal 3 4 2 7 16" xfId="41198" xr:uid="{00000000-0005-0000-0000-0000E5A00000}"/>
    <cellStyle name="Normal 3 4 2 7 17" xfId="41199" xr:uid="{00000000-0005-0000-0000-0000E6A00000}"/>
    <cellStyle name="Normal 3 4 2 7 2" xfId="41200" xr:uid="{00000000-0005-0000-0000-0000E7A00000}"/>
    <cellStyle name="Normal 3 4 2 7 2 10" xfId="41201" xr:uid="{00000000-0005-0000-0000-0000E8A00000}"/>
    <cellStyle name="Normal 3 4 2 7 2 10 2" xfId="41202" xr:uid="{00000000-0005-0000-0000-0000E9A00000}"/>
    <cellStyle name="Normal 3 4 2 7 2 10 3" xfId="41203" xr:uid="{00000000-0005-0000-0000-0000EAA00000}"/>
    <cellStyle name="Normal 3 4 2 7 2 11" xfId="41204" xr:uid="{00000000-0005-0000-0000-0000EBA00000}"/>
    <cellStyle name="Normal 3 4 2 7 2 11 2" xfId="41205" xr:uid="{00000000-0005-0000-0000-0000ECA00000}"/>
    <cellStyle name="Normal 3 4 2 7 2 11 3" xfId="41206" xr:uid="{00000000-0005-0000-0000-0000EDA00000}"/>
    <cellStyle name="Normal 3 4 2 7 2 12" xfId="41207" xr:uid="{00000000-0005-0000-0000-0000EEA00000}"/>
    <cellStyle name="Normal 3 4 2 7 2 12 2" xfId="41208" xr:uid="{00000000-0005-0000-0000-0000EFA00000}"/>
    <cellStyle name="Normal 3 4 2 7 2 12 3" xfId="41209" xr:uid="{00000000-0005-0000-0000-0000F0A00000}"/>
    <cellStyle name="Normal 3 4 2 7 2 13" xfId="41210" xr:uid="{00000000-0005-0000-0000-0000F1A00000}"/>
    <cellStyle name="Normal 3 4 2 7 2 13 2" xfId="41211" xr:uid="{00000000-0005-0000-0000-0000F2A00000}"/>
    <cellStyle name="Normal 3 4 2 7 2 13 3" xfId="41212" xr:uid="{00000000-0005-0000-0000-0000F3A00000}"/>
    <cellStyle name="Normal 3 4 2 7 2 14" xfId="41213" xr:uid="{00000000-0005-0000-0000-0000F4A00000}"/>
    <cellStyle name="Normal 3 4 2 7 2 14 2" xfId="41214" xr:uid="{00000000-0005-0000-0000-0000F5A00000}"/>
    <cellStyle name="Normal 3 4 2 7 2 14 3" xfId="41215" xr:uid="{00000000-0005-0000-0000-0000F6A00000}"/>
    <cellStyle name="Normal 3 4 2 7 2 15" xfId="41216" xr:uid="{00000000-0005-0000-0000-0000F7A00000}"/>
    <cellStyle name="Normal 3 4 2 7 2 16" xfId="41217" xr:uid="{00000000-0005-0000-0000-0000F8A00000}"/>
    <cellStyle name="Normal 3 4 2 7 2 2" xfId="41218" xr:uid="{00000000-0005-0000-0000-0000F9A00000}"/>
    <cellStyle name="Normal 3 4 2 7 2 2 2" xfId="41219" xr:uid="{00000000-0005-0000-0000-0000FAA00000}"/>
    <cellStyle name="Normal 3 4 2 7 2 2 3" xfId="41220" xr:uid="{00000000-0005-0000-0000-0000FBA00000}"/>
    <cellStyle name="Normal 3 4 2 7 2 3" xfId="41221" xr:uid="{00000000-0005-0000-0000-0000FCA00000}"/>
    <cellStyle name="Normal 3 4 2 7 2 3 2" xfId="41222" xr:uid="{00000000-0005-0000-0000-0000FDA00000}"/>
    <cellStyle name="Normal 3 4 2 7 2 3 3" xfId="41223" xr:uid="{00000000-0005-0000-0000-0000FEA00000}"/>
    <cellStyle name="Normal 3 4 2 7 2 4" xfId="41224" xr:uid="{00000000-0005-0000-0000-0000FFA00000}"/>
    <cellStyle name="Normal 3 4 2 7 2 4 2" xfId="41225" xr:uid="{00000000-0005-0000-0000-000000A10000}"/>
    <cellStyle name="Normal 3 4 2 7 2 4 3" xfId="41226" xr:uid="{00000000-0005-0000-0000-000001A10000}"/>
    <cellStyle name="Normal 3 4 2 7 2 5" xfId="41227" xr:uid="{00000000-0005-0000-0000-000002A10000}"/>
    <cellStyle name="Normal 3 4 2 7 2 5 2" xfId="41228" xr:uid="{00000000-0005-0000-0000-000003A10000}"/>
    <cellStyle name="Normal 3 4 2 7 2 5 3" xfId="41229" xr:uid="{00000000-0005-0000-0000-000004A10000}"/>
    <cellStyle name="Normal 3 4 2 7 2 6" xfId="41230" xr:uid="{00000000-0005-0000-0000-000005A10000}"/>
    <cellStyle name="Normal 3 4 2 7 2 6 2" xfId="41231" xr:uid="{00000000-0005-0000-0000-000006A10000}"/>
    <cellStyle name="Normal 3 4 2 7 2 6 3" xfId="41232" xr:uid="{00000000-0005-0000-0000-000007A10000}"/>
    <cellStyle name="Normal 3 4 2 7 2 7" xfId="41233" xr:uid="{00000000-0005-0000-0000-000008A10000}"/>
    <cellStyle name="Normal 3 4 2 7 2 7 2" xfId="41234" xr:uid="{00000000-0005-0000-0000-000009A10000}"/>
    <cellStyle name="Normal 3 4 2 7 2 7 3" xfId="41235" xr:uid="{00000000-0005-0000-0000-00000AA10000}"/>
    <cellStyle name="Normal 3 4 2 7 2 8" xfId="41236" xr:uid="{00000000-0005-0000-0000-00000BA10000}"/>
    <cellStyle name="Normal 3 4 2 7 2 8 2" xfId="41237" xr:uid="{00000000-0005-0000-0000-00000CA10000}"/>
    <cellStyle name="Normal 3 4 2 7 2 8 3" xfId="41238" xr:uid="{00000000-0005-0000-0000-00000DA10000}"/>
    <cellStyle name="Normal 3 4 2 7 2 9" xfId="41239" xr:uid="{00000000-0005-0000-0000-00000EA10000}"/>
    <cellStyle name="Normal 3 4 2 7 2 9 2" xfId="41240" xr:uid="{00000000-0005-0000-0000-00000FA10000}"/>
    <cellStyle name="Normal 3 4 2 7 2 9 3" xfId="41241" xr:uid="{00000000-0005-0000-0000-000010A10000}"/>
    <cellStyle name="Normal 3 4 2 7 3" xfId="41242" xr:uid="{00000000-0005-0000-0000-000011A10000}"/>
    <cellStyle name="Normal 3 4 2 7 3 2" xfId="41243" xr:uid="{00000000-0005-0000-0000-000012A10000}"/>
    <cellStyle name="Normal 3 4 2 7 3 3" xfId="41244" xr:uid="{00000000-0005-0000-0000-000013A10000}"/>
    <cellStyle name="Normal 3 4 2 7 4" xfId="41245" xr:uid="{00000000-0005-0000-0000-000014A10000}"/>
    <cellStyle name="Normal 3 4 2 7 4 2" xfId="41246" xr:uid="{00000000-0005-0000-0000-000015A10000}"/>
    <cellStyle name="Normal 3 4 2 7 4 3" xfId="41247" xr:uid="{00000000-0005-0000-0000-000016A10000}"/>
    <cellStyle name="Normal 3 4 2 7 5" xfId="41248" xr:uid="{00000000-0005-0000-0000-000017A10000}"/>
    <cellStyle name="Normal 3 4 2 7 5 2" xfId="41249" xr:uid="{00000000-0005-0000-0000-000018A10000}"/>
    <cellStyle name="Normal 3 4 2 7 5 3" xfId="41250" xr:uid="{00000000-0005-0000-0000-000019A10000}"/>
    <cellStyle name="Normal 3 4 2 7 6" xfId="41251" xr:uid="{00000000-0005-0000-0000-00001AA10000}"/>
    <cellStyle name="Normal 3 4 2 7 6 2" xfId="41252" xr:uid="{00000000-0005-0000-0000-00001BA10000}"/>
    <cellStyle name="Normal 3 4 2 7 6 3" xfId="41253" xr:uid="{00000000-0005-0000-0000-00001CA10000}"/>
    <cellStyle name="Normal 3 4 2 7 7" xfId="41254" xr:uid="{00000000-0005-0000-0000-00001DA10000}"/>
    <cellStyle name="Normal 3 4 2 7 7 2" xfId="41255" xr:uid="{00000000-0005-0000-0000-00001EA10000}"/>
    <cellStyle name="Normal 3 4 2 7 7 3" xfId="41256" xr:uid="{00000000-0005-0000-0000-00001FA10000}"/>
    <cellStyle name="Normal 3 4 2 7 8" xfId="41257" xr:uid="{00000000-0005-0000-0000-000020A10000}"/>
    <cellStyle name="Normal 3 4 2 7 8 2" xfId="41258" xr:uid="{00000000-0005-0000-0000-000021A10000}"/>
    <cellStyle name="Normal 3 4 2 7 8 3" xfId="41259" xr:uid="{00000000-0005-0000-0000-000022A10000}"/>
    <cellStyle name="Normal 3 4 2 7 9" xfId="41260" xr:uid="{00000000-0005-0000-0000-000023A10000}"/>
    <cellStyle name="Normal 3 4 2 7 9 2" xfId="41261" xr:uid="{00000000-0005-0000-0000-000024A10000}"/>
    <cellStyle name="Normal 3 4 2 7 9 3" xfId="41262" xr:uid="{00000000-0005-0000-0000-000025A10000}"/>
    <cellStyle name="Normal 3 4 2 8" xfId="41263" xr:uid="{00000000-0005-0000-0000-000026A10000}"/>
    <cellStyle name="Normal 3 4 2 8 10" xfId="41264" xr:uid="{00000000-0005-0000-0000-000027A10000}"/>
    <cellStyle name="Normal 3 4 2 8 10 2" xfId="41265" xr:uid="{00000000-0005-0000-0000-000028A10000}"/>
    <cellStyle name="Normal 3 4 2 8 10 3" xfId="41266" xr:uid="{00000000-0005-0000-0000-000029A10000}"/>
    <cellStyle name="Normal 3 4 2 8 11" xfId="41267" xr:uid="{00000000-0005-0000-0000-00002AA10000}"/>
    <cellStyle name="Normal 3 4 2 8 11 2" xfId="41268" xr:uid="{00000000-0005-0000-0000-00002BA10000}"/>
    <cellStyle name="Normal 3 4 2 8 11 3" xfId="41269" xr:uid="{00000000-0005-0000-0000-00002CA10000}"/>
    <cellStyle name="Normal 3 4 2 8 12" xfId="41270" xr:uid="{00000000-0005-0000-0000-00002DA10000}"/>
    <cellStyle name="Normal 3 4 2 8 12 2" xfId="41271" xr:uid="{00000000-0005-0000-0000-00002EA10000}"/>
    <cellStyle name="Normal 3 4 2 8 12 3" xfId="41272" xr:uid="{00000000-0005-0000-0000-00002FA10000}"/>
    <cellStyle name="Normal 3 4 2 8 13" xfId="41273" xr:uid="{00000000-0005-0000-0000-000030A10000}"/>
    <cellStyle name="Normal 3 4 2 8 13 2" xfId="41274" xr:uid="{00000000-0005-0000-0000-000031A10000}"/>
    <cellStyle name="Normal 3 4 2 8 13 3" xfId="41275" xr:uid="{00000000-0005-0000-0000-000032A10000}"/>
    <cellStyle name="Normal 3 4 2 8 14" xfId="41276" xr:uid="{00000000-0005-0000-0000-000033A10000}"/>
    <cellStyle name="Normal 3 4 2 8 14 2" xfId="41277" xr:uid="{00000000-0005-0000-0000-000034A10000}"/>
    <cellStyle name="Normal 3 4 2 8 14 3" xfId="41278" xr:uid="{00000000-0005-0000-0000-000035A10000}"/>
    <cellStyle name="Normal 3 4 2 8 15" xfId="41279" xr:uid="{00000000-0005-0000-0000-000036A10000}"/>
    <cellStyle name="Normal 3 4 2 8 15 2" xfId="41280" xr:uid="{00000000-0005-0000-0000-000037A10000}"/>
    <cellStyle name="Normal 3 4 2 8 15 3" xfId="41281" xr:uid="{00000000-0005-0000-0000-000038A10000}"/>
    <cellStyle name="Normal 3 4 2 8 16" xfId="41282" xr:uid="{00000000-0005-0000-0000-000039A10000}"/>
    <cellStyle name="Normal 3 4 2 8 17" xfId="41283" xr:uid="{00000000-0005-0000-0000-00003AA10000}"/>
    <cellStyle name="Normal 3 4 2 8 2" xfId="41284" xr:uid="{00000000-0005-0000-0000-00003BA10000}"/>
    <cellStyle name="Normal 3 4 2 8 2 10" xfId="41285" xr:uid="{00000000-0005-0000-0000-00003CA10000}"/>
    <cellStyle name="Normal 3 4 2 8 2 10 2" xfId="41286" xr:uid="{00000000-0005-0000-0000-00003DA10000}"/>
    <cellStyle name="Normal 3 4 2 8 2 10 3" xfId="41287" xr:uid="{00000000-0005-0000-0000-00003EA10000}"/>
    <cellStyle name="Normal 3 4 2 8 2 11" xfId="41288" xr:uid="{00000000-0005-0000-0000-00003FA10000}"/>
    <cellStyle name="Normal 3 4 2 8 2 11 2" xfId="41289" xr:uid="{00000000-0005-0000-0000-000040A10000}"/>
    <cellStyle name="Normal 3 4 2 8 2 11 3" xfId="41290" xr:uid="{00000000-0005-0000-0000-000041A10000}"/>
    <cellStyle name="Normal 3 4 2 8 2 12" xfId="41291" xr:uid="{00000000-0005-0000-0000-000042A10000}"/>
    <cellStyle name="Normal 3 4 2 8 2 12 2" xfId="41292" xr:uid="{00000000-0005-0000-0000-000043A10000}"/>
    <cellStyle name="Normal 3 4 2 8 2 12 3" xfId="41293" xr:uid="{00000000-0005-0000-0000-000044A10000}"/>
    <cellStyle name="Normal 3 4 2 8 2 13" xfId="41294" xr:uid="{00000000-0005-0000-0000-000045A10000}"/>
    <cellStyle name="Normal 3 4 2 8 2 13 2" xfId="41295" xr:uid="{00000000-0005-0000-0000-000046A10000}"/>
    <cellStyle name="Normal 3 4 2 8 2 13 3" xfId="41296" xr:uid="{00000000-0005-0000-0000-000047A10000}"/>
    <cellStyle name="Normal 3 4 2 8 2 14" xfId="41297" xr:uid="{00000000-0005-0000-0000-000048A10000}"/>
    <cellStyle name="Normal 3 4 2 8 2 14 2" xfId="41298" xr:uid="{00000000-0005-0000-0000-000049A10000}"/>
    <cellStyle name="Normal 3 4 2 8 2 14 3" xfId="41299" xr:uid="{00000000-0005-0000-0000-00004AA10000}"/>
    <cellStyle name="Normal 3 4 2 8 2 15" xfId="41300" xr:uid="{00000000-0005-0000-0000-00004BA10000}"/>
    <cellStyle name="Normal 3 4 2 8 2 16" xfId="41301" xr:uid="{00000000-0005-0000-0000-00004CA10000}"/>
    <cellStyle name="Normal 3 4 2 8 2 2" xfId="41302" xr:uid="{00000000-0005-0000-0000-00004DA10000}"/>
    <cellStyle name="Normal 3 4 2 8 2 2 2" xfId="41303" xr:uid="{00000000-0005-0000-0000-00004EA10000}"/>
    <cellStyle name="Normal 3 4 2 8 2 2 3" xfId="41304" xr:uid="{00000000-0005-0000-0000-00004FA10000}"/>
    <cellStyle name="Normal 3 4 2 8 2 3" xfId="41305" xr:uid="{00000000-0005-0000-0000-000050A10000}"/>
    <cellStyle name="Normal 3 4 2 8 2 3 2" xfId="41306" xr:uid="{00000000-0005-0000-0000-000051A10000}"/>
    <cellStyle name="Normal 3 4 2 8 2 3 3" xfId="41307" xr:uid="{00000000-0005-0000-0000-000052A10000}"/>
    <cellStyle name="Normal 3 4 2 8 2 4" xfId="41308" xr:uid="{00000000-0005-0000-0000-000053A10000}"/>
    <cellStyle name="Normal 3 4 2 8 2 4 2" xfId="41309" xr:uid="{00000000-0005-0000-0000-000054A10000}"/>
    <cellStyle name="Normal 3 4 2 8 2 4 3" xfId="41310" xr:uid="{00000000-0005-0000-0000-000055A10000}"/>
    <cellStyle name="Normal 3 4 2 8 2 5" xfId="41311" xr:uid="{00000000-0005-0000-0000-000056A10000}"/>
    <cellStyle name="Normal 3 4 2 8 2 5 2" xfId="41312" xr:uid="{00000000-0005-0000-0000-000057A10000}"/>
    <cellStyle name="Normal 3 4 2 8 2 5 3" xfId="41313" xr:uid="{00000000-0005-0000-0000-000058A10000}"/>
    <cellStyle name="Normal 3 4 2 8 2 6" xfId="41314" xr:uid="{00000000-0005-0000-0000-000059A10000}"/>
    <cellStyle name="Normal 3 4 2 8 2 6 2" xfId="41315" xr:uid="{00000000-0005-0000-0000-00005AA10000}"/>
    <cellStyle name="Normal 3 4 2 8 2 6 3" xfId="41316" xr:uid="{00000000-0005-0000-0000-00005BA10000}"/>
    <cellStyle name="Normal 3 4 2 8 2 7" xfId="41317" xr:uid="{00000000-0005-0000-0000-00005CA10000}"/>
    <cellStyle name="Normal 3 4 2 8 2 7 2" xfId="41318" xr:uid="{00000000-0005-0000-0000-00005DA10000}"/>
    <cellStyle name="Normal 3 4 2 8 2 7 3" xfId="41319" xr:uid="{00000000-0005-0000-0000-00005EA10000}"/>
    <cellStyle name="Normal 3 4 2 8 2 8" xfId="41320" xr:uid="{00000000-0005-0000-0000-00005FA10000}"/>
    <cellStyle name="Normal 3 4 2 8 2 8 2" xfId="41321" xr:uid="{00000000-0005-0000-0000-000060A10000}"/>
    <cellStyle name="Normal 3 4 2 8 2 8 3" xfId="41322" xr:uid="{00000000-0005-0000-0000-000061A10000}"/>
    <cellStyle name="Normal 3 4 2 8 2 9" xfId="41323" xr:uid="{00000000-0005-0000-0000-000062A10000}"/>
    <cellStyle name="Normal 3 4 2 8 2 9 2" xfId="41324" xr:uid="{00000000-0005-0000-0000-000063A10000}"/>
    <cellStyle name="Normal 3 4 2 8 2 9 3" xfId="41325" xr:uid="{00000000-0005-0000-0000-000064A10000}"/>
    <cellStyle name="Normal 3 4 2 8 3" xfId="41326" xr:uid="{00000000-0005-0000-0000-000065A10000}"/>
    <cellStyle name="Normal 3 4 2 8 3 2" xfId="41327" xr:uid="{00000000-0005-0000-0000-000066A10000}"/>
    <cellStyle name="Normal 3 4 2 8 3 3" xfId="41328" xr:uid="{00000000-0005-0000-0000-000067A10000}"/>
    <cellStyle name="Normal 3 4 2 8 4" xfId="41329" xr:uid="{00000000-0005-0000-0000-000068A10000}"/>
    <cellStyle name="Normal 3 4 2 8 4 2" xfId="41330" xr:uid="{00000000-0005-0000-0000-000069A10000}"/>
    <cellStyle name="Normal 3 4 2 8 4 3" xfId="41331" xr:uid="{00000000-0005-0000-0000-00006AA10000}"/>
    <cellStyle name="Normal 3 4 2 8 5" xfId="41332" xr:uid="{00000000-0005-0000-0000-00006BA10000}"/>
    <cellStyle name="Normal 3 4 2 8 5 2" xfId="41333" xr:uid="{00000000-0005-0000-0000-00006CA10000}"/>
    <cellStyle name="Normal 3 4 2 8 5 3" xfId="41334" xr:uid="{00000000-0005-0000-0000-00006DA10000}"/>
    <cellStyle name="Normal 3 4 2 8 6" xfId="41335" xr:uid="{00000000-0005-0000-0000-00006EA10000}"/>
    <cellStyle name="Normal 3 4 2 8 6 2" xfId="41336" xr:uid="{00000000-0005-0000-0000-00006FA10000}"/>
    <cellStyle name="Normal 3 4 2 8 6 3" xfId="41337" xr:uid="{00000000-0005-0000-0000-000070A10000}"/>
    <cellStyle name="Normal 3 4 2 8 7" xfId="41338" xr:uid="{00000000-0005-0000-0000-000071A10000}"/>
    <cellStyle name="Normal 3 4 2 8 7 2" xfId="41339" xr:uid="{00000000-0005-0000-0000-000072A10000}"/>
    <cellStyle name="Normal 3 4 2 8 7 3" xfId="41340" xr:uid="{00000000-0005-0000-0000-000073A10000}"/>
    <cellStyle name="Normal 3 4 2 8 8" xfId="41341" xr:uid="{00000000-0005-0000-0000-000074A10000}"/>
    <cellStyle name="Normal 3 4 2 8 8 2" xfId="41342" xr:uid="{00000000-0005-0000-0000-000075A10000}"/>
    <cellStyle name="Normal 3 4 2 8 8 3" xfId="41343" xr:uid="{00000000-0005-0000-0000-000076A10000}"/>
    <cellStyle name="Normal 3 4 2 8 9" xfId="41344" xr:uid="{00000000-0005-0000-0000-000077A10000}"/>
    <cellStyle name="Normal 3 4 2 8 9 2" xfId="41345" xr:uid="{00000000-0005-0000-0000-000078A10000}"/>
    <cellStyle name="Normal 3 4 2 8 9 3" xfId="41346" xr:uid="{00000000-0005-0000-0000-000079A10000}"/>
    <cellStyle name="Normal 3 4 2 9" xfId="41347" xr:uid="{00000000-0005-0000-0000-00007AA10000}"/>
    <cellStyle name="Normal 3 4 2 9 10" xfId="41348" xr:uid="{00000000-0005-0000-0000-00007BA10000}"/>
    <cellStyle name="Normal 3 4 2 9 10 2" xfId="41349" xr:uid="{00000000-0005-0000-0000-00007CA10000}"/>
    <cellStyle name="Normal 3 4 2 9 10 3" xfId="41350" xr:uid="{00000000-0005-0000-0000-00007DA10000}"/>
    <cellStyle name="Normal 3 4 2 9 11" xfId="41351" xr:uid="{00000000-0005-0000-0000-00007EA10000}"/>
    <cellStyle name="Normal 3 4 2 9 11 2" xfId="41352" xr:uid="{00000000-0005-0000-0000-00007FA10000}"/>
    <cellStyle name="Normal 3 4 2 9 11 3" xfId="41353" xr:uid="{00000000-0005-0000-0000-000080A10000}"/>
    <cellStyle name="Normal 3 4 2 9 12" xfId="41354" xr:uid="{00000000-0005-0000-0000-000081A10000}"/>
    <cellStyle name="Normal 3 4 2 9 12 2" xfId="41355" xr:uid="{00000000-0005-0000-0000-000082A10000}"/>
    <cellStyle name="Normal 3 4 2 9 12 3" xfId="41356" xr:uid="{00000000-0005-0000-0000-000083A10000}"/>
    <cellStyle name="Normal 3 4 2 9 13" xfId="41357" xr:uid="{00000000-0005-0000-0000-000084A10000}"/>
    <cellStyle name="Normal 3 4 2 9 13 2" xfId="41358" xr:uid="{00000000-0005-0000-0000-000085A10000}"/>
    <cellStyle name="Normal 3 4 2 9 13 3" xfId="41359" xr:uid="{00000000-0005-0000-0000-000086A10000}"/>
    <cellStyle name="Normal 3 4 2 9 14" xfId="41360" xr:uid="{00000000-0005-0000-0000-000087A10000}"/>
    <cellStyle name="Normal 3 4 2 9 14 2" xfId="41361" xr:uid="{00000000-0005-0000-0000-000088A10000}"/>
    <cellStyle name="Normal 3 4 2 9 14 3" xfId="41362" xr:uid="{00000000-0005-0000-0000-000089A10000}"/>
    <cellStyle name="Normal 3 4 2 9 15" xfId="41363" xr:uid="{00000000-0005-0000-0000-00008AA10000}"/>
    <cellStyle name="Normal 3 4 2 9 16" xfId="41364" xr:uid="{00000000-0005-0000-0000-00008BA10000}"/>
    <cellStyle name="Normal 3 4 2 9 2" xfId="41365" xr:uid="{00000000-0005-0000-0000-00008CA10000}"/>
    <cellStyle name="Normal 3 4 2 9 2 2" xfId="41366" xr:uid="{00000000-0005-0000-0000-00008DA10000}"/>
    <cellStyle name="Normal 3 4 2 9 2 3" xfId="41367" xr:uid="{00000000-0005-0000-0000-00008EA10000}"/>
    <cellStyle name="Normal 3 4 2 9 3" xfId="41368" xr:uid="{00000000-0005-0000-0000-00008FA10000}"/>
    <cellStyle name="Normal 3 4 2 9 3 2" xfId="41369" xr:uid="{00000000-0005-0000-0000-000090A10000}"/>
    <cellStyle name="Normal 3 4 2 9 3 3" xfId="41370" xr:uid="{00000000-0005-0000-0000-000091A10000}"/>
    <cellStyle name="Normal 3 4 2 9 4" xfId="41371" xr:uid="{00000000-0005-0000-0000-000092A10000}"/>
    <cellStyle name="Normal 3 4 2 9 4 2" xfId="41372" xr:uid="{00000000-0005-0000-0000-000093A10000}"/>
    <cellStyle name="Normal 3 4 2 9 4 3" xfId="41373" xr:uid="{00000000-0005-0000-0000-000094A10000}"/>
    <cellStyle name="Normal 3 4 2 9 5" xfId="41374" xr:uid="{00000000-0005-0000-0000-000095A10000}"/>
    <cellStyle name="Normal 3 4 2 9 5 2" xfId="41375" xr:uid="{00000000-0005-0000-0000-000096A10000}"/>
    <cellStyle name="Normal 3 4 2 9 5 3" xfId="41376" xr:uid="{00000000-0005-0000-0000-000097A10000}"/>
    <cellStyle name="Normal 3 4 2 9 6" xfId="41377" xr:uid="{00000000-0005-0000-0000-000098A10000}"/>
    <cellStyle name="Normal 3 4 2 9 6 2" xfId="41378" xr:uid="{00000000-0005-0000-0000-000099A10000}"/>
    <cellStyle name="Normal 3 4 2 9 6 3" xfId="41379" xr:uid="{00000000-0005-0000-0000-00009AA10000}"/>
    <cellStyle name="Normal 3 4 2 9 7" xfId="41380" xr:uid="{00000000-0005-0000-0000-00009BA10000}"/>
    <cellStyle name="Normal 3 4 2 9 7 2" xfId="41381" xr:uid="{00000000-0005-0000-0000-00009CA10000}"/>
    <cellStyle name="Normal 3 4 2 9 7 3" xfId="41382" xr:uid="{00000000-0005-0000-0000-00009DA10000}"/>
    <cellStyle name="Normal 3 4 2 9 8" xfId="41383" xr:uid="{00000000-0005-0000-0000-00009EA10000}"/>
    <cellStyle name="Normal 3 4 2 9 8 2" xfId="41384" xr:uid="{00000000-0005-0000-0000-00009FA10000}"/>
    <cellStyle name="Normal 3 4 2 9 8 3" xfId="41385" xr:uid="{00000000-0005-0000-0000-0000A0A10000}"/>
    <cellStyle name="Normal 3 4 2 9 9" xfId="41386" xr:uid="{00000000-0005-0000-0000-0000A1A10000}"/>
    <cellStyle name="Normal 3 4 2 9 9 2" xfId="41387" xr:uid="{00000000-0005-0000-0000-0000A2A10000}"/>
    <cellStyle name="Normal 3 4 2 9 9 3" xfId="41388" xr:uid="{00000000-0005-0000-0000-0000A3A10000}"/>
    <cellStyle name="Normal 3 4 20" xfId="41389" xr:uid="{00000000-0005-0000-0000-0000A4A10000}"/>
    <cellStyle name="Normal 3 4 20 10" xfId="41390" xr:uid="{00000000-0005-0000-0000-0000A5A10000}"/>
    <cellStyle name="Normal 3 4 20 10 2" xfId="41391" xr:uid="{00000000-0005-0000-0000-0000A6A10000}"/>
    <cellStyle name="Normal 3 4 20 10 3" xfId="41392" xr:uid="{00000000-0005-0000-0000-0000A7A10000}"/>
    <cellStyle name="Normal 3 4 20 11" xfId="41393" xr:uid="{00000000-0005-0000-0000-0000A8A10000}"/>
    <cellStyle name="Normal 3 4 20 11 2" xfId="41394" xr:uid="{00000000-0005-0000-0000-0000A9A10000}"/>
    <cellStyle name="Normal 3 4 20 11 3" xfId="41395" xr:uid="{00000000-0005-0000-0000-0000AAA10000}"/>
    <cellStyle name="Normal 3 4 20 12" xfId="41396" xr:uid="{00000000-0005-0000-0000-0000ABA10000}"/>
    <cellStyle name="Normal 3 4 20 12 2" xfId="41397" xr:uid="{00000000-0005-0000-0000-0000ACA10000}"/>
    <cellStyle name="Normal 3 4 20 12 3" xfId="41398" xr:uid="{00000000-0005-0000-0000-0000ADA10000}"/>
    <cellStyle name="Normal 3 4 20 13" xfId="41399" xr:uid="{00000000-0005-0000-0000-0000AEA10000}"/>
    <cellStyle name="Normal 3 4 20 13 2" xfId="41400" xr:uid="{00000000-0005-0000-0000-0000AFA10000}"/>
    <cellStyle name="Normal 3 4 20 13 3" xfId="41401" xr:uid="{00000000-0005-0000-0000-0000B0A10000}"/>
    <cellStyle name="Normal 3 4 20 14" xfId="41402" xr:uid="{00000000-0005-0000-0000-0000B1A10000}"/>
    <cellStyle name="Normal 3 4 20 14 2" xfId="41403" xr:uid="{00000000-0005-0000-0000-0000B2A10000}"/>
    <cellStyle name="Normal 3 4 20 14 3" xfId="41404" xr:uid="{00000000-0005-0000-0000-0000B3A10000}"/>
    <cellStyle name="Normal 3 4 20 15" xfId="41405" xr:uid="{00000000-0005-0000-0000-0000B4A10000}"/>
    <cellStyle name="Normal 3 4 20 16" xfId="41406" xr:uid="{00000000-0005-0000-0000-0000B5A10000}"/>
    <cellStyle name="Normal 3 4 20 2" xfId="41407" xr:uid="{00000000-0005-0000-0000-0000B6A10000}"/>
    <cellStyle name="Normal 3 4 20 2 2" xfId="41408" xr:uid="{00000000-0005-0000-0000-0000B7A10000}"/>
    <cellStyle name="Normal 3 4 20 2 3" xfId="41409" xr:uid="{00000000-0005-0000-0000-0000B8A10000}"/>
    <cellStyle name="Normal 3 4 20 3" xfId="41410" xr:uid="{00000000-0005-0000-0000-0000B9A10000}"/>
    <cellStyle name="Normal 3 4 20 3 2" xfId="41411" xr:uid="{00000000-0005-0000-0000-0000BAA10000}"/>
    <cellStyle name="Normal 3 4 20 3 3" xfId="41412" xr:uid="{00000000-0005-0000-0000-0000BBA10000}"/>
    <cellStyle name="Normal 3 4 20 4" xfId="41413" xr:uid="{00000000-0005-0000-0000-0000BCA10000}"/>
    <cellStyle name="Normal 3 4 20 4 2" xfId="41414" xr:uid="{00000000-0005-0000-0000-0000BDA10000}"/>
    <cellStyle name="Normal 3 4 20 4 3" xfId="41415" xr:uid="{00000000-0005-0000-0000-0000BEA10000}"/>
    <cellStyle name="Normal 3 4 20 5" xfId="41416" xr:uid="{00000000-0005-0000-0000-0000BFA10000}"/>
    <cellStyle name="Normal 3 4 20 5 2" xfId="41417" xr:uid="{00000000-0005-0000-0000-0000C0A10000}"/>
    <cellStyle name="Normal 3 4 20 5 3" xfId="41418" xr:uid="{00000000-0005-0000-0000-0000C1A10000}"/>
    <cellStyle name="Normal 3 4 20 6" xfId="41419" xr:uid="{00000000-0005-0000-0000-0000C2A10000}"/>
    <cellStyle name="Normal 3 4 20 6 2" xfId="41420" xr:uid="{00000000-0005-0000-0000-0000C3A10000}"/>
    <cellStyle name="Normal 3 4 20 6 3" xfId="41421" xr:uid="{00000000-0005-0000-0000-0000C4A10000}"/>
    <cellStyle name="Normal 3 4 20 7" xfId="41422" xr:uid="{00000000-0005-0000-0000-0000C5A10000}"/>
    <cellStyle name="Normal 3 4 20 7 2" xfId="41423" xr:uid="{00000000-0005-0000-0000-0000C6A10000}"/>
    <cellStyle name="Normal 3 4 20 7 3" xfId="41424" xr:uid="{00000000-0005-0000-0000-0000C7A10000}"/>
    <cellStyle name="Normal 3 4 20 8" xfId="41425" xr:uid="{00000000-0005-0000-0000-0000C8A10000}"/>
    <cellStyle name="Normal 3 4 20 8 2" xfId="41426" xr:uid="{00000000-0005-0000-0000-0000C9A10000}"/>
    <cellStyle name="Normal 3 4 20 8 3" xfId="41427" xr:uid="{00000000-0005-0000-0000-0000CAA10000}"/>
    <cellStyle name="Normal 3 4 20 9" xfId="41428" xr:uid="{00000000-0005-0000-0000-0000CBA10000}"/>
    <cellStyle name="Normal 3 4 20 9 2" xfId="41429" xr:uid="{00000000-0005-0000-0000-0000CCA10000}"/>
    <cellStyle name="Normal 3 4 20 9 3" xfId="41430" xr:uid="{00000000-0005-0000-0000-0000CDA10000}"/>
    <cellStyle name="Normal 3 4 21" xfId="41431" xr:uid="{00000000-0005-0000-0000-0000CEA10000}"/>
    <cellStyle name="Normal 3 4 21 10" xfId="41432" xr:uid="{00000000-0005-0000-0000-0000CFA10000}"/>
    <cellStyle name="Normal 3 4 21 10 2" xfId="41433" xr:uid="{00000000-0005-0000-0000-0000D0A10000}"/>
    <cellStyle name="Normal 3 4 21 10 3" xfId="41434" xr:uid="{00000000-0005-0000-0000-0000D1A10000}"/>
    <cellStyle name="Normal 3 4 21 11" xfId="41435" xr:uid="{00000000-0005-0000-0000-0000D2A10000}"/>
    <cellStyle name="Normal 3 4 21 11 2" xfId="41436" xr:uid="{00000000-0005-0000-0000-0000D3A10000}"/>
    <cellStyle name="Normal 3 4 21 11 3" xfId="41437" xr:uid="{00000000-0005-0000-0000-0000D4A10000}"/>
    <cellStyle name="Normal 3 4 21 12" xfId="41438" xr:uid="{00000000-0005-0000-0000-0000D5A10000}"/>
    <cellStyle name="Normal 3 4 21 12 2" xfId="41439" xr:uid="{00000000-0005-0000-0000-0000D6A10000}"/>
    <cellStyle name="Normal 3 4 21 12 3" xfId="41440" xr:uid="{00000000-0005-0000-0000-0000D7A10000}"/>
    <cellStyle name="Normal 3 4 21 13" xfId="41441" xr:uid="{00000000-0005-0000-0000-0000D8A10000}"/>
    <cellStyle name="Normal 3 4 21 13 2" xfId="41442" xr:uid="{00000000-0005-0000-0000-0000D9A10000}"/>
    <cellStyle name="Normal 3 4 21 13 3" xfId="41443" xr:uid="{00000000-0005-0000-0000-0000DAA10000}"/>
    <cellStyle name="Normal 3 4 21 14" xfId="41444" xr:uid="{00000000-0005-0000-0000-0000DBA10000}"/>
    <cellStyle name="Normal 3 4 21 14 2" xfId="41445" xr:uid="{00000000-0005-0000-0000-0000DCA10000}"/>
    <cellStyle name="Normal 3 4 21 14 3" xfId="41446" xr:uid="{00000000-0005-0000-0000-0000DDA10000}"/>
    <cellStyle name="Normal 3 4 21 15" xfId="41447" xr:uid="{00000000-0005-0000-0000-0000DEA10000}"/>
    <cellStyle name="Normal 3 4 21 16" xfId="41448" xr:uid="{00000000-0005-0000-0000-0000DFA10000}"/>
    <cellStyle name="Normal 3 4 21 2" xfId="41449" xr:uid="{00000000-0005-0000-0000-0000E0A10000}"/>
    <cellStyle name="Normal 3 4 21 2 2" xfId="41450" xr:uid="{00000000-0005-0000-0000-0000E1A10000}"/>
    <cellStyle name="Normal 3 4 21 2 3" xfId="41451" xr:uid="{00000000-0005-0000-0000-0000E2A10000}"/>
    <cellStyle name="Normal 3 4 21 3" xfId="41452" xr:uid="{00000000-0005-0000-0000-0000E3A10000}"/>
    <cellStyle name="Normal 3 4 21 3 2" xfId="41453" xr:uid="{00000000-0005-0000-0000-0000E4A10000}"/>
    <cellStyle name="Normal 3 4 21 3 3" xfId="41454" xr:uid="{00000000-0005-0000-0000-0000E5A10000}"/>
    <cellStyle name="Normal 3 4 21 4" xfId="41455" xr:uid="{00000000-0005-0000-0000-0000E6A10000}"/>
    <cellStyle name="Normal 3 4 21 4 2" xfId="41456" xr:uid="{00000000-0005-0000-0000-0000E7A10000}"/>
    <cellStyle name="Normal 3 4 21 4 3" xfId="41457" xr:uid="{00000000-0005-0000-0000-0000E8A10000}"/>
    <cellStyle name="Normal 3 4 21 5" xfId="41458" xr:uid="{00000000-0005-0000-0000-0000E9A10000}"/>
    <cellStyle name="Normal 3 4 21 5 2" xfId="41459" xr:uid="{00000000-0005-0000-0000-0000EAA10000}"/>
    <cellStyle name="Normal 3 4 21 5 3" xfId="41460" xr:uid="{00000000-0005-0000-0000-0000EBA10000}"/>
    <cellStyle name="Normal 3 4 21 6" xfId="41461" xr:uid="{00000000-0005-0000-0000-0000ECA10000}"/>
    <cellStyle name="Normal 3 4 21 6 2" xfId="41462" xr:uid="{00000000-0005-0000-0000-0000EDA10000}"/>
    <cellStyle name="Normal 3 4 21 6 3" xfId="41463" xr:uid="{00000000-0005-0000-0000-0000EEA10000}"/>
    <cellStyle name="Normal 3 4 21 7" xfId="41464" xr:uid="{00000000-0005-0000-0000-0000EFA10000}"/>
    <cellStyle name="Normal 3 4 21 7 2" xfId="41465" xr:uid="{00000000-0005-0000-0000-0000F0A10000}"/>
    <cellStyle name="Normal 3 4 21 7 3" xfId="41466" xr:uid="{00000000-0005-0000-0000-0000F1A10000}"/>
    <cellStyle name="Normal 3 4 21 8" xfId="41467" xr:uid="{00000000-0005-0000-0000-0000F2A10000}"/>
    <cellStyle name="Normal 3 4 21 8 2" xfId="41468" xr:uid="{00000000-0005-0000-0000-0000F3A10000}"/>
    <cellStyle name="Normal 3 4 21 8 3" xfId="41469" xr:uid="{00000000-0005-0000-0000-0000F4A10000}"/>
    <cellStyle name="Normal 3 4 21 9" xfId="41470" xr:uid="{00000000-0005-0000-0000-0000F5A10000}"/>
    <cellStyle name="Normal 3 4 21 9 2" xfId="41471" xr:uid="{00000000-0005-0000-0000-0000F6A10000}"/>
    <cellStyle name="Normal 3 4 21 9 3" xfId="41472" xr:uid="{00000000-0005-0000-0000-0000F7A10000}"/>
    <cellStyle name="Normal 3 4 22" xfId="41473" xr:uid="{00000000-0005-0000-0000-0000F8A10000}"/>
    <cellStyle name="Normal 3 4 23" xfId="41474" xr:uid="{00000000-0005-0000-0000-0000F9A10000}"/>
    <cellStyle name="Normal 3 4 24" xfId="41475" xr:uid="{00000000-0005-0000-0000-0000FAA10000}"/>
    <cellStyle name="Normal 3 4 24 10" xfId="41476" xr:uid="{00000000-0005-0000-0000-0000FBA10000}"/>
    <cellStyle name="Normal 3 4 24 10 2" xfId="41477" xr:uid="{00000000-0005-0000-0000-0000FCA10000}"/>
    <cellStyle name="Normal 3 4 24 10 3" xfId="41478" xr:uid="{00000000-0005-0000-0000-0000FDA10000}"/>
    <cellStyle name="Normal 3 4 24 11" xfId="41479" xr:uid="{00000000-0005-0000-0000-0000FEA10000}"/>
    <cellStyle name="Normal 3 4 24 11 2" xfId="41480" xr:uid="{00000000-0005-0000-0000-0000FFA10000}"/>
    <cellStyle name="Normal 3 4 24 11 3" xfId="41481" xr:uid="{00000000-0005-0000-0000-000000A20000}"/>
    <cellStyle name="Normal 3 4 24 12" xfId="41482" xr:uid="{00000000-0005-0000-0000-000001A20000}"/>
    <cellStyle name="Normal 3 4 24 12 2" xfId="41483" xr:uid="{00000000-0005-0000-0000-000002A20000}"/>
    <cellStyle name="Normal 3 4 24 12 3" xfId="41484" xr:uid="{00000000-0005-0000-0000-000003A20000}"/>
    <cellStyle name="Normal 3 4 24 13" xfId="41485" xr:uid="{00000000-0005-0000-0000-000004A20000}"/>
    <cellStyle name="Normal 3 4 24 13 2" xfId="41486" xr:uid="{00000000-0005-0000-0000-000005A20000}"/>
    <cellStyle name="Normal 3 4 24 13 3" xfId="41487" xr:uid="{00000000-0005-0000-0000-000006A20000}"/>
    <cellStyle name="Normal 3 4 24 14" xfId="41488" xr:uid="{00000000-0005-0000-0000-000007A20000}"/>
    <cellStyle name="Normal 3 4 24 14 2" xfId="41489" xr:uid="{00000000-0005-0000-0000-000008A20000}"/>
    <cellStyle name="Normal 3 4 24 14 3" xfId="41490" xr:uid="{00000000-0005-0000-0000-000009A20000}"/>
    <cellStyle name="Normal 3 4 24 15" xfId="41491" xr:uid="{00000000-0005-0000-0000-00000AA20000}"/>
    <cellStyle name="Normal 3 4 24 16" xfId="41492" xr:uid="{00000000-0005-0000-0000-00000BA20000}"/>
    <cellStyle name="Normal 3 4 24 2" xfId="41493" xr:uid="{00000000-0005-0000-0000-00000CA20000}"/>
    <cellStyle name="Normal 3 4 24 2 2" xfId="41494" xr:uid="{00000000-0005-0000-0000-00000DA20000}"/>
    <cellStyle name="Normal 3 4 24 2 3" xfId="41495" xr:uid="{00000000-0005-0000-0000-00000EA20000}"/>
    <cellStyle name="Normal 3 4 24 3" xfId="41496" xr:uid="{00000000-0005-0000-0000-00000FA20000}"/>
    <cellStyle name="Normal 3 4 24 3 2" xfId="41497" xr:uid="{00000000-0005-0000-0000-000010A20000}"/>
    <cellStyle name="Normal 3 4 24 3 3" xfId="41498" xr:uid="{00000000-0005-0000-0000-000011A20000}"/>
    <cellStyle name="Normal 3 4 24 4" xfId="41499" xr:uid="{00000000-0005-0000-0000-000012A20000}"/>
    <cellStyle name="Normal 3 4 24 4 2" xfId="41500" xr:uid="{00000000-0005-0000-0000-000013A20000}"/>
    <cellStyle name="Normal 3 4 24 4 3" xfId="41501" xr:uid="{00000000-0005-0000-0000-000014A20000}"/>
    <cellStyle name="Normal 3 4 24 5" xfId="41502" xr:uid="{00000000-0005-0000-0000-000015A20000}"/>
    <cellStyle name="Normal 3 4 24 5 2" xfId="41503" xr:uid="{00000000-0005-0000-0000-000016A20000}"/>
    <cellStyle name="Normal 3 4 24 5 3" xfId="41504" xr:uid="{00000000-0005-0000-0000-000017A20000}"/>
    <cellStyle name="Normal 3 4 24 6" xfId="41505" xr:uid="{00000000-0005-0000-0000-000018A20000}"/>
    <cellStyle name="Normal 3 4 24 6 2" xfId="41506" xr:uid="{00000000-0005-0000-0000-000019A20000}"/>
    <cellStyle name="Normal 3 4 24 6 3" xfId="41507" xr:uid="{00000000-0005-0000-0000-00001AA20000}"/>
    <cellStyle name="Normal 3 4 24 7" xfId="41508" xr:uid="{00000000-0005-0000-0000-00001BA20000}"/>
    <cellStyle name="Normal 3 4 24 7 2" xfId="41509" xr:uid="{00000000-0005-0000-0000-00001CA20000}"/>
    <cellStyle name="Normal 3 4 24 7 3" xfId="41510" xr:uid="{00000000-0005-0000-0000-00001DA20000}"/>
    <cellStyle name="Normal 3 4 24 8" xfId="41511" xr:uid="{00000000-0005-0000-0000-00001EA20000}"/>
    <cellStyle name="Normal 3 4 24 8 2" xfId="41512" xr:uid="{00000000-0005-0000-0000-00001FA20000}"/>
    <cellStyle name="Normal 3 4 24 8 3" xfId="41513" xr:uid="{00000000-0005-0000-0000-000020A20000}"/>
    <cellStyle name="Normal 3 4 24 9" xfId="41514" xr:uid="{00000000-0005-0000-0000-000021A20000}"/>
    <cellStyle name="Normal 3 4 24 9 2" xfId="41515" xr:uid="{00000000-0005-0000-0000-000022A20000}"/>
    <cellStyle name="Normal 3 4 24 9 3" xfId="41516" xr:uid="{00000000-0005-0000-0000-000023A20000}"/>
    <cellStyle name="Normal 3 4 25" xfId="41517" xr:uid="{00000000-0005-0000-0000-000024A20000}"/>
    <cellStyle name="Normal 3 4 25 10" xfId="41518" xr:uid="{00000000-0005-0000-0000-000025A20000}"/>
    <cellStyle name="Normal 3 4 25 10 2" xfId="41519" xr:uid="{00000000-0005-0000-0000-000026A20000}"/>
    <cellStyle name="Normal 3 4 25 10 3" xfId="41520" xr:uid="{00000000-0005-0000-0000-000027A20000}"/>
    <cellStyle name="Normal 3 4 25 11" xfId="41521" xr:uid="{00000000-0005-0000-0000-000028A20000}"/>
    <cellStyle name="Normal 3 4 25 11 2" xfId="41522" xr:uid="{00000000-0005-0000-0000-000029A20000}"/>
    <cellStyle name="Normal 3 4 25 11 3" xfId="41523" xr:uid="{00000000-0005-0000-0000-00002AA20000}"/>
    <cellStyle name="Normal 3 4 25 12" xfId="41524" xr:uid="{00000000-0005-0000-0000-00002BA20000}"/>
    <cellStyle name="Normal 3 4 25 12 2" xfId="41525" xr:uid="{00000000-0005-0000-0000-00002CA20000}"/>
    <cellStyle name="Normal 3 4 25 12 3" xfId="41526" xr:uid="{00000000-0005-0000-0000-00002DA20000}"/>
    <cellStyle name="Normal 3 4 25 13" xfId="41527" xr:uid="{00000000-0005-0000-0000-00002EA20000}"/>
    <cellStyle name="Normal 3 4 25 13 2" xfId="41528" xr:uid="{00000000-0005-0000-0000-00002FA20000}"/>
    <cellStyle name="Normal 3 4 25 13 3" xfId="41529" xr:uid="{00000000-0005-0000-0000-000030A20000}"/>
    <cellStyle name="Normal 3 4 25 14" xfId="41530" xr:uid="{00000000-0005-0000-0000-000031A20000}"/>
    <cellStyle name="Normal 3 4 25 14 2" xfId="41531" xr:uid="{00000000-0005-0000-0000-000032A20000}"/>
    <cellStyle name="Normal 3 4 25 14 3" xfId="41532" xr:uid="{00000000-0005-0000-0000-000033A20000}"/>
    <cellStyle name="Normal 3 4 25 15" xfId="41533" xr:uid="{00000000-0005-0000-0000-000034A20000}"/>
    <cellStyle name="Normal 3 4 25 16" xfId="41534" xr:uid="{00000000-0005-0000-0000-000035A20000}"/>
    <cellStyle name="Normal 3 4 25 2" xfId="41535" xr:uid="{00000000-0005-0000-0000-000036A20000}"/>
    <cellStyle name="Normal 3 4 25 2 2" xfId="41536" xr:uid="{00000000-0005-0000-0000-000037A20000}"/>
    <cellStyle name="Normal 3 4 25 2 3" xfId="41537" xr:uid="{00000000-0005-0000-0000-000038A20000}"/>
    <cellStyle name="Normal 3 4 25 3" xfId="41538" xr:uid="{00000000-0005-0000-0000-000039A20000}"/>
    <cellStyle name="Normal 3 4 25 3 2" xfId="41539" xr:uid="{00000000-0005-0000-0000-00003AA20000}"/>
    <cellStyle name="Normal 3 4 25 3 3" xfId="41540" xr:uid="{00000000-0005-0000-0000-00003BA20000}"/>
    <cellStyle name="Normal 3 4 25 4" xfId="41541" xr:uid="{00000000-0005-0000-0000-00003CA20000}"/>
    <cellStyle name="Normal 3 4 25 4 2" xfId="41542" xr:uid="{00000000-0005-0000-0000-00003DA20000}"/>
    <cellStyle name="Normal 3 4 25 4 3" xfId="41543" xr:uid="{00000000-0005-0000-0000-00003EA20000}"/>
    <cellStyle name="Normal 3 4 25 5" xfId="41544" xr:uid="{00000000-0005-0000-0000-00003FA20000}"/>
    <cellStyle name="Normal 3 4 25 5 2" xfId="41545" xr:uid="{00000000-0005-0000-0000-000040A20000}"/>
    <cellStyle name="Normal 3 4 25 5 3" xfId="41546" xr:uid="{00000000-0005-0000-0000-000041A20000}"/>
    <cellStyle name="Normal 3 4 25 6" xfId="41547" xr:uid="{00000000-0005-0000-0000-000042A20000}"/>
    <cellStyle name="Normal 3 4 25 6 2" xfId="41548" xr:uid="{00000000-0005-0000-0000-000043A20000}"/>
    <cellStyle name="Normal 3 4 25 6 3" xfId="41549" xr:uid="{00000000-0005-0000-0000-000044A20000}"/>
    <cellStyle name="Normal 3 4 25 7" xfId="41550" xr:uid="{00000000-0005-0000-0000-000045A20000}"/>
    <cellStyle name="Normal 3 4 25 7 2" xfId="41551" xr:uid="{00000000-0005-0000-0000-000046A20000}"/>
    <cellStyle name="Normal 3 4 25 7 3" xfId="41552" xr:uid="{00000000-0005-0000-0000-000047A20000}"/>
    <cellStyle name="Normal 3 4 25 8" xfId="41553" xr:uid="{00000000-0005-0000-0000-000048A20000}"/>
    <cellStyle name="Normal 3 4 25 8 2" xfId="41554" xr:uid="{00000000-0005-0000-0000-000049A20000}"/>
    <cellStyle name="Normal 3 4 25 8 3" xfId="41555" xr:uid="{00000000-0005-0000-0000-00004AA20000}"/>
    <cellStyle name="Normal 3 4 25 9" xfId="41556" xr:uid="{00000000-0005-0000-0000-00004BA20000}"/>
    <cellStyle name="Normal 3 4 25 9 2" xfId="41557" xr:uid="{00000000-0005-0000-0000-00004CA20000}"/>
    <cellStyle name="Normal 3 4 25 9 3" xfId="41558" xr:uid="{00000000-0005-0000-0000-00004DA20000}"/>
    <cellStyle name="Normal 3 4 3" xfId="41559" xr:uid="{00000000-0005-0000-0000-00004EA20000}"/>
    <cellStyle name="Normal 3 4 3 10" xfId="41560" xr:uid="{00000000-0005-0000-0000-00004FA20000}"/>
    <cellStyle name="Normal 3 4 3 10 10" xfId="41561" xr:uid="{00000000-0005-0000-0000-000050A20000}"/>
    <cellStyle name="Normal 3 4 3 10 10 2" xfId="41562" xr:uid="{00000000-0005-0000-0000-000051A20000}"/>
    <cellStyle name="Normal 3 4 3 10 10 3" xfId="41563" xr:uid="{00000000-0005-0000-0000-000052A20000}"/>
    <cellStyle name="Normal 3 4 3 10 11" xfId="41564" xr:uid="{00000000-0005-0000-0000-000053A20000}"/>
    <cellStyle name="Normal 3 4 3 10 11 2" xfId="41565" xr:uid="{00000000-0005-0000-0000-000054A20000}"/>
    <cellStyle name="Normal 3 4 3 10 11 3" xfId="41566" xr:uid="{00000000-0005-0000-0000-000055A20000}"/>
    <cellStyle name="Normal 3 4 3 10 12" xfId="41567" xr:uid="{00000000-0005-0000-0000-000056A20000}"/>
    <cellStyle name="Normal 3 4 3 10 12 2" xfId="41568" xr:uid="{00000000-0005-0000-0000-000057A20000}"/>
    <cellStyle name="Normal 3 4 3 10 12 3" xfId="41569" xr:uid="{00000000-0005-0000-0000-000058A20000}"/>
    <cellStyle name="Normal 3 4 3 10 13" xfId="41570" xr:uid="{00000000-0005-0000-0000-000059A20000}"/>
    <cellStyle name="Normal 3 4 3 10 13 2" xfId="41571" xr:uid="{00000000-0005-0000-0000-00005AA20000}"/>
    <cellStyle name="Normal 3 4 3 10 13 3" xfId="41572" xr:uid="{00000000-0005-0000-0000-00005BA20000}"/>
    <cellStyle name="Normal 3 4 3 10 14" xfId="41573" xr:uid="{00000000-0005-0000-0000-00005CA20000}"/>
    <cellStyle name="Normal 3 4 3 10 14 2" xfId="41574" xr:uid="{00000000-0005-0000-0000-00005DA20000}"/>
    <cellStyle name="Normal 3 4 3 10 14 3" xfId="41575" xr:uid="{00000000-0005-0000-0000-00005EA20000}"/>
    <cellStyle name="Normal 3 4 3 10 15" xfId="41576" xr:uid="{00000000-0005-0000-0000-00005FA20000}"/>
    <cellStyle name="Normal 3 4 3 10 16" xfId="41577" xr:uid="{00000000-0005-0000-0000-000060A20000}"/>
    <cellStyle name="Normal 3 4 3 10 2" xfId="41578" xr:uid="{00000000-0005-0000-0000-000061A20000}"/>
    <cellStyle name="Normal 3 4 3 10 2 2" xfId="41579" xr:uid="{00000000-0005-0000-0000-000062A20000}"/>
    <cellStyle name="Normal 3 4 3 10 2 3" xfId="41580" xr:uid="{00000000-0005-0000-0000-000063A20000}"/>
    <cellStyle name="Normal 3 4 3 10 3" xfId="41581" xr:uid="{00000000-0005-0000-0000-000064A20000}"/>
    <cellStyle name="Normal 3 4 3 10 3 2" xfId="41582" xr:uid="{00000000-0005-0000-0000-000065A20000}"/>
    <cellStyle name="Normal 3 4 3 10 3 3" xfId="41583" xr:uid="{00000000-0005-0000-0000-000066A20000}"/>
    <cellStyle name="Normal 3 4 3 10 4" xfId="41584" xr:uid="{00000000-0005-0000-0000-000067A20000}"/>
    <cellStyle name="Normal 3 4 3 10 4 2" xfId="41585" xr:uid="{00000000-0005-0000-0000-000068A20000}"/>
    <cellStyle name="Normal 3 4 3 10 4 3" xfId="41586" xr:uid="{00000000-0005-0000-0000-000069A20000}"/>
    <cellStyle name="Normal 3 4 3 10 5" xfId="41587" xr:uid="{00000000-0005-0000-0000-00006AA20000}"/>
    <cellStyle name="Normal 3 4 3 10 5 2" xfId="41588" xr:uid="{00000000-0005-0000-0000-00006BA20000}"/>
    <cellStyle name="Normal 3 4 3 10 5 3" xfId="41589" xr:uid="{00000000-0005-0000-0000-00006CA20000}"/>
    <cellStyle name="Normal 3 4 3 10 6" xfId="41590" xr:uid="{00000000-0005-0000-0000-00006DA20000}"/>
    <cellStyle name="Normal 3 4 3 10 6 2" xfId="41591" xr:uid="{00000000-0005-0000-0000-00006EA20000}"/>
    <cellStyle name="Normal 3 4 3 10 6 3" xfId="41592" xr:uid="{00000000-0005-0000-0000-00006FA20000}"/>
    <cellStyle name="Normal 3 4 3 10 7" xfId="41593" xr:uid="{00000000-0005-0000-0000-000070A20000}"/>
    <cellStyle name="Normal 3 4 3 10 7 2" xfId="41594" xr:uid="{00000000-0005-0000-0000-000071A20000}"/>
    <cellStyle name="Normal 3 4 3 10 7 3" xfId="41595" xr:uid="{00000000-0005-0000-0000-000072A20000}"/>
    <cellStyle name="Normal 3 4 3 10 8" xfId="41596" xr:uid="{00000000-0005-0000-0000-000073A20000}"/>
    <cellStyle name="Normal 3 4 3 10 8 2" xfId="41597" xr:uid="{00000000-0005-0000-0000-000074A20000}"/>
    <cellStyle name="Normal 3 4 3 10 8 3" xfId="41598" xr:uid="{00000000-0005-0000-0000-000075A20000}"/>
    <cellStyle name="Normal 3 4 3 10 9" xfId="41599" xr:uid="{00000000-0005-0000-0000-000076A20000}"/>
    <cellStyle name="Normal 3 4 3 10 9 2" xfId="41600" xr:uid="{00000000-0005-0000-0000-000077A20000}"/>
    <cellStyle name="Normal 3 4 3 10 9 3" xfId="41601" xr:uid="{00000000-0005-0000-0000-000078A20000}"/>
    <cellStyle name="Normal 3 4 3 11" xfId="41602" xr:uid="{00000000-0005-0000-0000-000079A20000}"/>
    <cellStyle name="Normal 3 4 3 11 10" xfId="41603" xr:uid="{00000000-0005-0000-0000-00007AA20000}"/>
    <cellStyle name="Normal 3 4 3 11 10 2" xfId="41604" xr:uid="{00000000-0005-0000-0000-00007BA20000}"/>
    <cellStyle name="Normal 3 4 3 11 10 3" xfId="41605" xr:uid="{00000000-0005-0000-0000-00007CA20000}"/>
    <cellStyle name="Normal 3 4 3 11 11" xfId="41606" xr:uid="{00000000-0005-0000-0000-00007DA20000}"/>
    <cellStyle name="Normal 3 4 3 11 11 2" xfId="41607" xr:uid="{00000000-0005-0000-0000-00007EA20000}"/>
    <cellStyle name="Normal 3 4 3 11 11 3" xfId="41608" xr:uid="{00000000-0005-0000-0000-00007FA20000}"/>
    <cellStyle name="Normal 3 4 3 11 12" xfId="41609" xr:uid="{00000000-0005-0000-0000-000080A20000}"/>
    <cellStyle name="Normal 3 4 3 11 12 2" xfId="41610" xr:uid="{00000000-0005-0000-0000-000081A20000}"/>
    <cellStyle name="Normal 3 4 3 11 12 3" xfId="41611" xr:uid="{00000000-0005-0000-0000-000082A20000}"/>
    <cellStyle name="Normal 3 4 3 11 13" xfId="41612" xr:uid="{00000000-0005-0000-0000-000083A20000}"/>
    <cellStyle name="Normal 3 4 3 11 13 2" xfId="41613" xr:uid="{00000000-0005-0000-0000-000084A20000}"/>
    <cellStyle name="Normal 3 4 3 11 13 3" xfId="41614" xr:uid="{00000000-0005-0000-0000-000085A20000}"/>
    <cellStyle name="Normal 3 4 3 11 14" xfId="41615" xr:uid="{00000000-0005-0000-0000-000086A20000}"/>
    <cellStyle name="Normal 3 4 3 11 14 2" xfId="41616" xr:uid="{00000000-0005-0000-0000-000087A20000}"/>
    <cellStyle name="Normal 3 4 3 11 14 3" xfId="41617" xr:uid="{00000000-0005-0000-0000-000088A20000}"/>
    <cellStyle name="Normal 3 4 3 11 15" xfId="41618" xr:uid="{00000000-0005-0000-0000-000089A20000}"/>
    <cellStyle name="Normal 3 4 3 11 16" xfId="41619" xr:uid="{00000000-0005-0000-0000-00008AA20000}"/>
    <cellStyle name="Normal 3 4 3 11 2" xfId="41620" xr:uid="{00000000-0005-0000-0000-00008BA20000}"/>
    <cellStyle name="Normal 3 4 3 11 2 2" xfId="41621" xr:uid="{00000000-0005-0000-0000-00008CA20000}"/>
    <cellStyle name="Normal 3 4 3 11 2 3" xfId="41622" xr:uid="{00000000-0005-0000-0000-00008DA20000}"/>
    <cellStyle name="Normal 3 4 3 11 3" xfId="41623" xr:uid="{00000000-0005-0000-0000-00008EA20000}"/>
    <cellStyle name="Normal 3 4 3 11 3 2" xfId="41624" xr:uid="{00000000-0005-0000-0000-00008FA20000}"/>
    <cellStyle name="Normal 3 4 3 11 3 3" xfId="41625" xr:uid="{00000000-0005-0000-0000-000090A20000}"/>
    <cellStyle name="Normal 3 4 3 11 4" xfId="41626" xr:uid="{00000000-0005-0000-0000-000091A20000}"/>
    <cellStyle name="Normal 3 4 3 11 4 2" xfId="41627" xr:uid="{00000000-0005-0000-0000-000092A20000}"/>
    <cellStyle name="Normal 3 4 3 11 4 3" xfId="41628" xr:uid="{00000000-0005-0000-0000-000093A20000}"/>
    <cellStyle name="Normal 3 4 3 11 5" xfId="41629" xr:uid="{00000000-0005-0000-0000-000094A20000}"/>
    <cellStyle name="Normal 3 4 3 11 5 2" xfId="41630" xr:uid="{00000000-0005-0000-0000-000095A20000}"/>
    <cellStyle name="Normal 3 4 3 11 5 3" xfId="41631" xr:uid="{00000000-0005-0000-0000-000096A20000}"/>
    <cellStyle name="Normal 3 4 3 11 6" xfId="41632" xr:uid="{00000000-0005-0000-0000-000097A20000}"/>
    <cellStyle name="Normal 3 4 3 11 6 2" xfId="41633" xr:uid="{00000000-0005-0000-0000-000098A20000}"/>
    <cellStyle name="Normal 3 4 3 11 6 3" xfId="41634" xr:uid="{00000000-0005-0000-0000-000099A20000}"/>
    <cellStyle name="Normal 3 4 3 11 7" xfId="41635" xr:uid="{00000000-0005-0000-0000-00009AA20000}"/>
    <cellStyle name="Normal 3 4 3 11 7 2" xfId="41636" xr:uid="{00000000-0005-0000-0000-00009BA20000}"/>
    <cellStyle name="Normal 3 4 3 11 7 3" xfId="41637" xr:uid="{00000000-0005-0000-0000-00009CA20000}"/>
    <cellStyle name="Normal 3 4 3 11 8" xfId="41638" xr:uid="{00000000-0005-0000-0000-00009DA20000}"/>
    <cellStyle name="Normal 3 4 3 11 8 2" xfId="41639" xr:uid="{00000000-0005-0000-0000-00009EA20000}"/>
    <cellStyle name="Normal 3 4 3 11 8 3" xfId="41640" xr:uid="{00000000-0005-0000-0000-00009FA20000}"/>
    <cellStyle name="Normal 3 4 3 11 9" xfId="41641" xr:uid="{00000000-0005-0000-0000-0000A0A20000}"/>
    <cellStyle name="Normal 3 4 3 11 9 2" xfId="41642" xr:uid="{00000000-0005-0000-0000-0000A1A20000}"/>
    <cellStyle name="Normal 3 4 3 11 9 3" xfId="41643" xr:uid="{00000000-0005-0000-0000-0000A2A20000}"/>
    <cellStyle name="Normal 3 4 3 12" xfId="41644" xr:uid="{00000000-0005-0000-0000-0000A3A20000}"/>
    <cellStyle name="Normal 3 4 3 12 10" xfId="41645" xr:uid="{00000000-0005-0000-0000-0000A4A20000}"/>
    <cellStyle name="Normal 3 4 3 12 10 2" xfId="41646" xr:uid="{00000000-0005-0000-0000-0000A5A20000}"/>
    <cellStyle name="Normal 3 4 3 12 10 3" xfId="41647" xr:uid="{00000000-0005-0000-0000-0000A6A20000}"/>
    <cellStyle name="Normal 3 4 3 12 11" xfId="41648" xr:uid="{00000000-0005-0000-0000-0000A7A20000}"/>
    <cellStyle name="Normal 3 4 3 12 11 2" xfId="41649" xr:uid="{00000000-0005-0000-0000-0000A8A20000}"/>
    <cellStyle name="Normal 3 4 3 12 11 3" xfId="41650" xr:uid="{00000000-0005-0000-0000-0000A9A20000}"/>
    <cellStyle name="Normal 3 4 3 12 12" xfId="41651" xr:uid="{00000000-0005-0000-0000-0000AAA20000}"/>
    <cellStyle name="Normal 3 4 3 12 12 2" xfId="41652" xr:uid="{00000000-0005-0000-0000-0000ABA20000}"/>
    <cellStyle name="Normal 3 4 3 12 12 3" xfId="41653" xr:uid="{00000000-0005-0000-0000-0000ACA20000}"/>
    <cellStyle name="Normal 3 4 3 12 13" xfId="41654" xr:uid="{00000000-0005-0000-0000-0000ADA20000}"/>
    <cellStyle name="Normal 3 4 3 12 13 2" xfId="41655" xr:uid="{00000000-0005-0000-0000-0000AEA20000}"/>
    <cellStyle name="Normal 3 4 3 12 13 3" xfId="41656" xr:uid="{00000000-0005-0000-0000-0000AFA20000}"/>
    <cellStyle name="Normal 3 4 3 12 14" xfId="41657" xr:uid="{00000000-0005-0000-0000-0000B0A20000}"/>
    <cellStyle name="Normal 3 4 3 12 14 2" xfId="41658" xr:uid="{00000000-0005-0000-0000-0000B1A20000}"/>
    <cellStyle name="Normal 3 4 3 12 14 3" xfId="41659" xr:uid="{00000000-0005-0000-0000-0000B2A20000}"/>
    <cellStyle name="Normal 3 4 3 12 15" xfId="41660" xr:uid="{00000000-0005-0000-0000-0000B3A20000}"/>
    <cellStyle name="Normal 3 4 3 12 16" xfId="41661" xr:uid="{00000000-0005-0000-0000-0000B4A20000}"/>
    <cellStyle name="Normal 3 4 3 12 2" xfId="41662" xr:uid="{00000000-0005-0000-0000-0000B5A20000}"/>
    <cellStyle name="Normal 3 4 3 12 2 2" xfId="41663" xr:uid="{00000000-0005-0000-0000-0000B6A20000}"/>
    <cellStyle name="Normal 3 4 3 12 2 3" xfId="41664" xr:uid="{00000000-0005-0000-0000-0000B7A20000}"/>
    <cellStyle name="Normal 3 4 3 12 3" xfId="41665" xr:uid="{00000000-0005-0000-0000-0000B8A20000}"/>
    <cellStyle name="Normal 3 4 3 12 3 2" xfId="41666" xr:uid="{00000000-0005-0000-0000-0000B9A20000}"/>
    <cellStyle name="Normal 3 4 3 12 3 3" xfId="41667" xr:uid="{00000000-0005-0000-0000-0000BAA20000}"/>
    <cellStyle name="Normal 3 4 3 12 4" xfId="41668" xr:uid="{00000000-0005-0000-0000-0000BBA20000}"/>
    <cellStyle name="Normal 3 4 3 12 4 2" xfId="41669" xr:uid="{00000000-0005-0000-0000-0000BCA20000}"/>
    <cellStyle name="Normal 3 4 3 12 4 3" xfId="41670" xr:uid="{00000000-0005-0000-0000-0000BDA20000}"/>
    <cellStyle name="Normal 3 4 3 12 5" xfId="41671" xr:uid="{00000000-0005-0000-0000-0000BEA20000}"/>
    <cellStyle name="Normal 3 4 3 12 5 2" xfId="41672" xr:uid="{00000000-0005-0000-0000-0000BFA20000}"/>
    <cellStyle name="Normal 3 4 3 12 5 3" xfId="41673" xr:uid="{00000000-0005-0000-0000-0000C0A20000}"/>
    <cellStyle name="Normal 3 4 3 12 6" xfId="41674" xr:uid="{00000000-0005-0000-0000-0000C1A20000}"/>
    <cellStyle name="Normal 3 4 3 12 6 2" xfId="41675" xr:uid="{00000000-0005-0000-0000-0000C2A20000}"/>
    <cellStyle name="Normal 3 4 3 12 6 3" xfId="41676" xr:uid="{00000000-0005-0000-0000-0000C3A20000}"/>
    <cellStyle name="Normal 3 4 3 12 7" xfId="41677" xr:uid="{00000000-0005-0000-0000-0000C4A20000}"/>
    <cellStyle name="Normal 3 4 3 12 7 2" xfId="41678" xr:uid="{00000000-0005-0000-0000-0000C5A20000}"/>
    <cellStyle name="Normal 3 4 3 12 7 3" xfId="41679" xr:uid="{00000000-0005-0000-0000-0000C6A20000}"/>
    <cellStyle name="Normal 3 4 3 12 8" xfId="41680" xr:uid="{00000000-0005-0000-0000-0000C7A20000}"/>
    <cellStyle name="Normal 3 4 3 12 8 2" xfId="41681" xr:uid="{00000000-0005-0000-0000-0000C8A20000}"/>
    <cellStyle name="Normal 3 4 3 12 8 3" xfId="41682" xr:uid="{00000000-0005-0000-0000-0000C9A20000}"/>
    <cellStyle name="Normal 3 4 3 12 9" xfId="41683" xr:uid="{00000000-0005-0000-0000-0000CAA20000}"/>
    <cellStyle name="Normal 3 4 3 12 9 2" xfId="41684" xr:uid="{00000000-0005-0000-0000-0000CBA20000}"/>
    <cellStyle name="Normal 3 4 3 12 9 3" xfId="41685" xr:uid="{00000000-0005-0000-0000-0000CCA20000}"/>
    <cellStyle name="Normal 3 4 3 13" xfId="41686" xr:uid="{00000000-0005-0000-0000-0000CDA20000}"/>
    <cellStyle name="Normal 3 4 3 13 10" xfId="41687" xr:uid="{00000000-0005-0000-0000-0000CEA20000}"/>
    <cellStyle name="Normal 3 4 3 13 10 2" xfId="41688" xr:uid="{00000000-0005-0000-0000-0000CFA20000}"/>
    <cellStyle name="Normal 3 4 3 13 10 3" xfId="41689" xr:uid="{00000000-0005-0000-0000-0000D0A20000}"/>
    <cellStyle name="Normal 3 4 3 13 11" xfId="41690" xr:uid="{00000000-0005-0000-0000-0000D1A20000}"/>
    <cellStyle name="Normal 3 4 3 13 11 2" xfId="41691" xr:uid="{00000000-0005-0000-0000-0000D2A20000}"/>
    <cellStyle name="Normal 3 4 3 13 11 3" xfId="41692" xr:uid="{00000000-0005-0000-0000-0000D3A20000}"/>
    <cellStyle name="Normal 3 4 3 13 12" xfId="41693" xr:uid="{00000000-0005-0000-0000-0000D4A20000}"/>
    <cellStyle name="Normal 3 4 3 13 12 2" xfId="41694" xr:uid="{00000000-0005-0000-0000-0000D5A20000}"/>
    <cellStyle name="Normal 3 4 3 13 12 3" xfId="41695" xr:uid="{00000000-0005-0000-0000-0000D6A20000}"/>
    <cellStyle name="Normal 3 4 3 13 13" xfId="41696" xr:uid="{00000000-0005-0000-0000-0000D7A20000}"/>
    <cellStyle name="Normal 3 4 3 13 13 2" xfId="41697" xr:uid="{00000000-0005-0000-0000-0000D8A20000}"/>
    <cellStyle name="Normal 3 4 3 13 13 3" xfId="41698" xr:uid="{00000000-0005-0000-0000-0000D9A20000}"/>
    <cellStyle name="Normal 3 4 3 13 14" xfId="41699" xr:uid="{00000000-0005-0000-0000-0000DAA20000}"/>
    <cellStyle name="Normal 3 4 3 13 14 2" xfId="41700" xr:uid="{00000000-0005-0000-0000-0000DBA20000}"/>
    <cellStyle name="Normal 3 4 3 13 14 3" xfId="41701" xr:uid="{00000000-0005-0000-0000-0000DCA20000}"/>
    <cellStyle name="Normal 3 4 3 13 15" xfId="41702" xr:uid="{00000000-0005-0000-0000-0000DDA20000}"/>
    <cellStyle name="Normal 3 4 3 13 16" xfId="41703" xr:uid="{00000000-0005-0000-0000-0000DEA20000}"/>
    <cellStyle name="Normal 3 4 3 13 2" xfId="41704" xr:uid="{00000000-0005-0000-0000-0000DFA20000}"/>
    <cellStyle name="Normal 3 4 3 13 2 2" xfId="41705" xr:uid="{00000000-0005-0000-0000-0000E0A20000}"/>
    <cellStyle name="Normal 3 4 3 13 2 3" xfId="41706" xr:uid="{00000000-0005-0000-0000-0000E1A20000}"/>
    <cellStyle name="Normal 3 4 3 13 3" xfId="41707" xr:uid="{00000000-0005-0000-0000-0000E2A20000}"/>
    <cellStyle name="Normal 3 4 3 13 3 2" xfId="41708" xr:uid="{00000000-0005-0000-0000-0000E3A20000}"/>
    <cellStyle name="Normal 3 4 3 13 3 3" xfId="41709" xr:uid="{00000000-0005-0000-0000-0000E4A20000}"/>
    <cellStyle name="Normal 3 4 3 13 4" xfId="41710" xr:uid="{00000000-0005-0000-0000-0000E5A20000}"/>
    <cellStyle name="Normal 3 4 3 13 4 2" xfId="41711" xr:uid="{00000000-0005-0000-0000-0000E6A20000}"/>
    <cellStyle name="Normal 3 4 3 13 4 3" xfId="41712" xr:uid="{00000000-0005-0000-0000-0000E7A20000}"/>
    <cellStyle name="Normal 3 4 3 13 5" xfId="41713" xr:uid="{00000000-0005-0000-0000-0000E8A20000}"/>
    <cellStyle name="Normal 3 4 3 13 5 2" xfId="41714" xr:uid="{00000000-0005-0000-0000-0000E9A20000}"/>
    <cellStyle name="Normal 3 4 3 13 5 3" xfId="41715" xr:uid="{00000000-0005-0000-0000-0000EAA20000}"/>
    <cellStyle name="Normal 3 4 3 13 6" xfId="41716" xr:uid="{00000000-0005-0000-0000-0000EBA20000}"/>
    <cellStyle name="Normal 3 4 3 13 6 2" xfId="41717" xr:uid="{00000000-0005-0000-0000-0000ECA20000}"/>
    <cellStyle name="Normal 3 4 3 13 6 3" xfId="41718" xr:uid="{00000000-0005-0000-0000-0000EDA20000}"/>
    <cellStyle name="Normal 3 4 3 13 7" xfId="41719" xr:uid="{00000000-0005-0000-0000-0000EEA20000}"/>
    <cellStyle name="Normal 3 4 3 13 7 2" xfId="41720" xr:uid="{00000000-0005-0000-0000-0000EFA20000}"/>
    <cellStyle name="Normal 3 4 3 13 7 3" xfId="41721" xr:uid="{00000000-0005-0000-0000-0000F0A20000}"/>
    <cellStyle name="Normal 3 4 3 13 8" xfId="41722" xr:uid="{00000000-0005-0000-0000-0000F1A20000}"/>
    <cellStyle name="Normal 3 4 3 13 8 2" xfId="41723" xr:uid="{00000000-0005-0000-0000-0000F2A20000}"/>
    <cellStyle name="Normal 3 4 3 13 8 3" xfId="41724" xr:uid="{00000000-0005-0000-0000-0000F3A20000}"/>
    <cellStyle name="Normal 3 4 3 13 9" xfId="41725" xr:uid="{00000000-0005-0000-0000-0000F4A20000}"/>
    <cellStyle name="Normal 3 4 3 13 9 2" xfId="41726" xr:uid="{00000000-0005-0000-0000-0000F5A20000}"/>
    <cellStyle name="Normal 3 4 3 13 9 3" xfId="41727" xr:uid="{00000000-0005-0000-0000-0000F6A20000}"/>
    <cellStyle name="Normal 3 4 3 14" xfId="41728" xr:uid="{00000000-0005-0000-0000-0000F7A20000}"/>
    <cellStyle name="Normal 3 4 3 14 10" xfId="41729" xr:uid="{00000000-0005-0000-0000-0000F8A20000}"/>
    <cellStyle name="Normal 3 4 3 14 10 2" xfId="41730" xr:uid="{00000000-0005-0000-0000-0000F9A20000}"/>
    <cellStyle name="Normal 3 4 3 14 10 3" xfId="41731" xr:uid="{00000000-0005-0000-0000-0000FAA20000}"/>
    <cellStyle name="Normal 3 4 3 14 11" xfId="41732" xr:uid="{00000000-0005-0000-0000-0000FBA20000}"/>
    <cellStyle name="Normal 3 4 3 14 11 2" xfId="41733" xr:uid="{00000000-0005-0000-0000-0000FCA20000}"/>
    <cellStyle name="Normal 3 4 3 14 11 3" xfId="41734" xr:uid="{00000000-0005-0000-0000-0000FDA20000}"/>
    <cellStyle name="Normal 3 4 3 14 12" xfId="41735" xr:uid="{00000000-0005-0000-0000-0000FEA20000}"/>
    <cellStyle name="Normal 3 4 3 14 12 2" xfId="41736" xr:uid="{00000000-0005-0000-0000-0000FFA20000}"/>
    <cellStyle name="Normal 3 4 3 14 12 3" xfId="41737" xr:uid="{00000000-0005-0000-0000-000000A30000}"/>
    <cellStyle name="Normal 3 4 3 14 13" xfId="41738" xr:uid="{00000000-0005-0000-0000-000001A30000}"/>
    <cellStyle name="Normal 3 4 3 14 13 2" xfId="41739" xr:uid="{00000000-0005-0000-0000-000002A30000}"/>
    <cellStyle name="Normal 3 4 3 14 13 3" xfId="41740" xr:uid="{00000000-0005-0000-0000-000003A30000}"/>
    <cellStyle name="Normal 3 4 3 14 14" xfId="41741" xr:uid="{00000000-0005-0000-0000-000004A30000}"/>
    <cellStyle name="Normal 3 4 3 14 14 2" xfId="41742" xr:uid="{00000000-0005-0000-0000-000005A30000}"/>
    <cellStyle name="Normal 3 4 3 14 14 3" xfId="41743" xr:uid="{00000000-0005-0000-0000-000006A30000}"/>
    <cellStyle name="Normal 3 4 3 14 15" xfId="41744" xr:uid="{00000000-0005-0000-0000-000007A30000}"/>
    <cellStyle name="Normal 3 4 3 14 16" xfId="41745" xr:uid="{00000000-0005-0000-0000-000008A30000}"/>
    <cellStyle name="Normal 3 4 3 14 2" xfId="41746" xr:uid="{00000000-0005-0000-0000-000009A30000}"/>
    <cellStyle name="Normal 3 4 3 14 2 2" xfId="41747" xr:uid="{00000000-0005-0000-0000-00000AA30000}"/>
    <cellStyle name="Normal 3 4 3 14 2 3" xfId="41748" xr:uid="{00000000-0005-0000-0000-00000BA30000}"/>
    <cellStyle name="Normal 3 4 3 14 3" xfId="41749" xr:uid="{00000000-0005-0000-0000-00000CA30000}"/>
    <cellStyle name="Normal 3 4 3 14 3 2" xfId="41750" xr:uid="{00000000-0005-0000-0000-00000DA30000}"/>
    <cellStyle name="Normal 3 4 3 14 3 3" xfId="41751" xr:uid="{00000000-0005-0000-0000-00000EA30000}"/>
    <cellStyle name="Normal 3 4 3 14 4" xfId="41752" xr:uid="{00000000-0005-0000-0000-00000FA30000}"/>
    <cellStyle name="Normal 3 4 3 14 4 2" xfId="41753" xr:uid="{00000000-0005-0000-0000-000010A30000}"/>
    <cellStyle name="Normal 3 4 3 14 4 3" xfId="41754" xr:uid="{00000000-0005-0000-0000-000011A30000}"/>
    <cellStyle name="Normal 3 4 3 14 5" xfId="41755" xr:uid="{00000000-0005-0000-0000-000012A30000}"/>
    <cellStyle name="Normal 3 4 3 14 5 2" xfId="41756" xr:uid="{00000000-0005-0000-0000-000013A30000}"/>
    <cellStyle name="Normal 3 4 3 14 5 3" xfId="41757" xr:uid="{00000000-0005-0000-0000-000014A30000}"/>
    <cellStyle name="Normal 3 4 3 14 6" xfId="41758" xr:uid="{00000000-0005-0000-0000-000015A30000}"/>
    <cellStyle name="Normal 3 4 3 14 6 2" xfId="41759" xr:uid="{00000000-0005-0000-0000-000016A30000}"/>
    <cellStyle name="Normal 3 4 3 14 6 3" xfId="41760" xr:uid="{00000000-0005-0000-0000-000017A30000}"/>
    <cellStyle name="Normal 3 4 3 14 7" xfId="41761" xr:uid="{00000000-0005-0000-0000-000018A30000}"/>
    <cellStyle name="Normal 3 4 3 14 7 2" xfId="41762" xr:uid="{00000000-0005-0000-0000-000019A30000}"/>
    <cellStyle name="Normal 3 4 3 14 7 3" xfId="41763" xr:uid="{00000000-0005-0000-0000-00001AA30000}"/>
    <cellStyle name="Normal 3 4 3 14 8" xfId="41764" xr:uid="{00000000-0005-0000-0000-00001BA30000}"/>
    <cellStyle name="Normal 3 4 3 14 8 2" xfId="41765" xr:uid="{00000000-0005-0000-0000-00001CA30000}"/>
    <cellStyle name="Normal 3 4 3 14 8 3" xfId="41766" xr:uid="{00000000-0005-0000-0000-00001DA30000}"/>
    <cellStyle name="Normal 3 4 3 14 9" xfId="41767" xr:uid="{00000000-0005-0000-0000-00001EA30000}"/>
    <cellStyle name="Normal 3 4 3 14 9 2" xfId="41768" xr:uid="{00000000-0005-0000-0000-00001FA30000}"/>
    <cellStyle name="Normal 3 4 3 14 9 3" xfId="41769" xr:uid="{00000000-0005-0000-0000-000020A30000}"/>
    <cellStyle name="Normal 3 4 3 15" xfId="41770" xr:uid="{00000000-0005-0000-0000-000021A30000}"/>
    <cellStyle name="Normal 3 4 3 15 2" xfId="41771" xr:uid="{00000000-0005-0000-0000-000022A30000}"/>
    <cellStyle name="Normal 3 4 3 15 3" xfId="41772" xr:uid="{00000000-0005-0000-0000-000023A30000}"/>
    <cellStyle name="Normal 3 4 3 16" xfId="41773" xr:uid="{00000000-0005-0000-0000-000024A30000}"/>
    <cellStyle name="Normal 3 4 3 16 2" xfId="41774" xr:uid="{00000000-0005-0000-0000-000025A30000}"/>
    <cellStyle name="Normal 3 4 3 16 3" xfId="41775" xr:uid="{00000000-0005-0000-0000-000026A30000}"/>
    <cellStyle name="Normal 3 4 3 17" xfId="41776" xr:uid="{00000000-0005-0000-0000-000027A30000}"/>
    <cellStyle name="Normal 3 4 3 17 2" xfId="41777" xr:uid="{00000000-0005-0000-0000-000028A30000}"/>
    <cellStyle name="Normal 3 4 3 17 3" xfId="41778" xr:uid="{00000000-0005-0000-0000-000029A30000}"/>
    <cellStyle name="Normal 3 4 3 18" xfId="41779" xr:uid="{00000000-0005-0000-0000-00002AA30000}"/>
    <cellStyle name="Normal 3 4 3 18 2" xfId="41780" xr:uid="{00000000-0005-0000-0000-00002BA30000}"/>
    <cellStyle name="Normal 3 4 3 18 3" xfId="41781" xr:uid="{00000000-0005-0000-0000-00002CA30000}"/>
    <cellStyle name="Normal 3 4 3 19" xfId="41782" xr:uid="{00000000-0005-0000-0000-00002DA30000}"/>
    <cellStyle name="Normal 3 4 3 19 2" xfId="41783" xr:uid="{00000000-0005-0000-0000-00002EA30000}"/>
    <cellStyle name="Normal 3 4 3 19 3" xfId="41784" xr:uid="{00000000-0005-0000-0000-00002FA30000}"/>
    <cellStyle name="Normal 3 4 3 2" xfId="41785" xr:uid="{00000000-0005-0000-0000-000030A30000}"/>
    <cellStyle name="Normal 3 4 3 20" xfId="41786" xr:uid="{00000000-0005-0000-0000-000031A30000}"/>
    <cellStyle name="Normal 3 4 3 20 2" xfId="41787" xr:uid="{00000000-0005-0000-0000-000032A30000}"/>
    <cellStyle name="Normal 3 4 3 20 3" xfId="41788" xr:uid="{00000000-0005-0000-0000-000033A30000}"/>
    <cellStyle name="Normal 3 4 3 21" xfId="41789" xr:uid="{00000000-0005-0000-0000-000034A30000}"/>
    <cellStyle name="Normal 3 4 3 21 2" xfId="41790" xr:uid="{00000000-0005-0000-0000-000035A30000}"/>
    <cellStyle name="Normal 3 4 3 21 3" xfId="41791" xr:uid="{00000000-0005-0000-0000-000036A30000}"/>
    <cellStyle name="Normal 3 4 3 22" xfId="41792" xr:uid="{00000000-0005-0000-0000-000037A30000}"/>
    <cellStyle name="Normal 3 4 3 22 2" xfId="41793" xr:uid="{00000000-0005-0000-0000-000038A30000}"/>
    <cellStyle name="Normal 3 4 3 22 3" xfId="41794" xr:uid="{00000000-0005-0000-0000-000039A30000}"/>
    <cellStyle name="Normal 3 4 3 23" xfId="41795" xr:uid="{00000000-0005-0000-0000-00003AA30000}"/>
    <cellStyle name="Normal 3 4 3 23 2" xfId="41796" xr:uid="{00000000-0005-0000-0000-00003BA30000}"/>
    <cellStyle name="Normal 3 4 3 23 3" xfId="41797" xr:uid="{00000000-0005-0000-0000-00003CA30000}"/>
    <cellStyle name="Normal 3 4 3 24" xfId="41798" xr:uid="{00000000-0005-0000-0000-00003DA30000}"/>
    <cellStyle name="Normal 3 4 3 24 2" xfId="41799" xr:uid="{00000000-0005-0000-0000-00003EA30000}"/>
    <cellStyle name="Normal 3 4 3 24 3" xfId="41800" xr:uid="{00000000-0005-0000-0000-00003FA30000}"/>
    <cellStyle name="Normal 3 4 3 25" xfId="41801" xr:uid="{00000000-0005-0000-0000-000040A30000}"/>
    <cellStyle name="Normal 3 4 3 25 2" xfId="41802" xr:uid="{00000000-0005-0000-0000-000041A30000}"/>
    <cellStyle name="Normal 3 4 3 25 3" xfId="41803" xr:uid="{00000000-0005-0000-0000-000042A30000}"/>
    <cellStyle name="Normal 3 4 3 26" xfId="41804" xr:uid="{00000000-0005-0000-0000-000043A30000}"/>
    <cellStyle name="Normal 3 4 3 26 2" xfId="41805" xr:uid="{00000000-0005-0000-0000-000044A30000}"/>
    <cellStyle name="Normal 3 4 3 26 3" xfId="41806" xr:uid="{00000000-0005-0000-0000-000045A30000}"/>
    <cellStyle name="Normal 3 4 3 27" xfId="41807" xr:uid="{00000000-0005-0000-0000-000046A30000}"/>
    <cellStyle name="Normal 3 4 3 27 2" xfId="41808" xr:uid="{00000000-0005-0000-0000-000047A30000}"/>
    <cellStyle name="Normal 3 4 3 27 3" xfId="41809" xr:uid="{00000000-0005-0000-0000-000048A30000}"/>
    <cellStyle name="Normal 3 4 3 28" xfId="41810" xr:uid="{00000000-0005-0000-0000-000049A30000}"/>
    <cellStyle name="Normal 3 4 3 29" xfId="41811" xr:uid="{00000000-0005-0000-0000-00004AA30000}"/>
    <cellStyle name="Normal 3 4 3 3" xfId="41812" xr:uid="{00000000-0005-0000-0000-00004BA30000}"/>
    <cellStyle name="Normal 3 4 3 4" xfId="41813" xr:uid="{00000000-0005-0000-0000-00004CA30000}"/>
    <cellStyle name="Normal 3 4 3 5" xfId="41814" xr:uid="{00000000-0005-0000-0000-00004DA30000}"/>
    <cellStyle name="Normal 3 4 3 6" xfId="41815" xr:uid="{00000000-0005-0000-0000-00004EA30000}"/>
    <cellStyle name="Normal 3 4 3 6 10" xfId="41816" xr:uid="{00000000-0005-0000-0000-00004FA30000}"/>
    <cellStyle name="Normal 3 4 3 6 10 2" xfId="41817" xr:uid="{00000000-0005-0000-0000-000050A30000}"/>
    <cellStyle name="Normal 3 4 3 6 10 3" xfId="41818" xr:uid="{00000000-0005-0000-0000-000051A30000}"/>
    <cellStyle name="Normal 3 4 3 6 11" xfId="41819" xr:uid="{00000000-0005-0000-0000-000052A30000}"/>
    <cellStyle name="Normal 3 4 3 6 11 2" xfId="41820" xr:uid="{00000000-0005-0000-0000-000053A30000}"/>
    <cellStyle name="Normal 3 4 3 6 11 3" xfId="41821" xr:uid="{00000000-0005-0000-0000-000054A30000}"/>
    <cellStyle name="Normal 3 4 3 6 12" xfId="41822" xr:uid="{00000000-0005-0000-0000-000055A30000}"/>
    <cellStyle name="Normal 3 4 3 6 12 2" xfId="41823" xr:uid="{00000000-0005-0000-0000-000056A30000}"/>
    <cellStyle name="Normal 3 4 3 6 12 3" xfId="41824" xr:uid="{00000000-0005-0000-0000-000057A30000}"/>
    <cellStyle name="Normal 3 4 3 6 13" xfId="41825" xr:uid="{00000000-0005-0000-0000-000058A30000}"/>
    <cellStyle name="Normal 3 4 3 6 13 2" xfId="41826" xr:uid="{00000000-0005-0000-0000-000059A30000}"/>
    <cellStyle name="Normal 3 4 3 6 13 3" xfId="41827" xr:uid="{00000000-0005-0000-0000-00005AA30000}"/>
    <cellStyle name="Normal 3 4 3 6 14" xfId="41828" xr:uid="{00000000-0005-0000-0000-00005BA30000}"/>
    <cellStyle name="Normal 3 4 3 6 14 2" xfId="41829" xr:uid="{00000000-0005-0000-0000-00005CA30000}"/>
    <cellStyle name="Normal 3 4 3 6 14 3" xfId="41830" xr:uid="{00000000-0005-0000-0000-00005DA30000}"/>
    <cellStyle name="Normal 3 4 3 6 15" xfId="41831" xr:uid="{00000000-0005-0000-0000-00005EA30000}"/>
    <cellStyle name="Normal 3 4 3 6 15 2" xfId="41832" xr:uid="{00000000-0005-0000-0000-00005FA30000}"/>
    <cellStyle name="Normal 3 4 3 6 15 3" xfId="41833" xr:uid="{00000000-0005-0000-0000-000060A30000}"/>
    <cellStyle name="Normal 3 4 3 6 16" xfId="41834" xr:uid="{00000000-0005-0000-0000-000061A30000}"/>
    <cellStyle name="Normal 3 4 3 6 17" xfId="41835" xr:uid="{00000000-0005-0000-0000-000062A30000}"/>
    <cellStyle name="Normal 3 4 3 6 2" xfId="41836" xr:uid="{00000000-0005-0000-0000-000063A30000}"/>
    <cellStyle name="Normal 3 4 3 6 2 10" xfId="41837" xr:uid="{00000000-0005-0000-0000-000064A30000}"/>
    <cellStyle name="Normal 3 4 3 6 2 10 2" xfId="41838" xr:uid="{00000000-0005-0000-0000-000065A30000}"/>
    <cellStyle name="Normal 3 4 3 6 2 10 3" xfId="41839" xr:uid="{00000000-0005-0000-0000-000066A30000}"/>
    <cellStyle name="Normal 3 4 3 6 2 11" xfId="41840" xr:uid="{00000000-0005-0000-0000-000067A30000}"/>
    <cellStyle name="Normal 3 4 3 6 2 11 2" xfId="41841" xr:uid="{00000000-0005-0000-0000-000068A30000}"/>
    <cellStyle name="Normal 3 4 3 6 2 11 3" xfId="41842" xr:uid="{00000000-0005-0000-0000-000069A30000}"/>
    <cellStyle name="Normal 3 4 3 6 2 12" xfId="41843" xr:uid="{00000000-0005-0000-0000-00006AA30000}"/>
    <cellStyle name="Normal 3 4 3 6 2 12 2" xfId="41844" xr:uid="{00000000-0005-0000-0000-00006BA30000}"/>
    <cellStyle name="Normal 3 4 3 6 2 12 3" xfId="41845" xr:uid="{00000000-0005-0000-0000-00006CA30000}"/>
    <cellStyle name="Normal 3 4 3 6 2 13" xfId="41846" xr:uid="{00000000-0005-0000-0000-00006DA30000}"/>
    <cellStyle name="Normal 3 4 3 6 2 13 2" xfId="41847" xr:uid="{00000000-0005-0000-0000-00006EA30000}"/>
    <cellStyle name="Normal 3 4 3 6 2 13 3" xfId="41848" xr:uid="{00000000-0005-0000-0000-00006FA30000}"/>
    <cellStyle name="Normal 3 4 3 6 2 14" xfId="41849" xr:uid="{00000000-0005-0000-0000-000070A30000}"/>
    <cellStyle name="Normal 3 4 3 6 2 14 2" xfId="41850" xr:uid="{00000000-0005-0000-0000-000071A30000}"/>
    <cellStyle name="Normal 3 4 3 6 2 14 3" xfId="41851" xr:uid="{00000000-0005-0000-0000-000072A30000}"/>
    <cellStyle name="Normal 3 4 3 6 2 15" xfId="41852" xr:uid="{00000000-0005-0000-0000-000073A30000}"/>
    <cellStyle name="Normal 3 4 3 6 2 16" xfId="41853" xr:uid="{00000000-0005-0000-0000-000074A30000}"/>
    <cellStyle name="Normal 3 4 3 6 2 2" xfId="41854" xr:uid="{00000000-0005-0000-0000-000075A30000}"/>
    <cellStyle name="Normal 3 4 3 6 2 2 2" xfId="41855" xr:uid="{00000000-0005-0000-0000-000076A30000}"/>
    <cellStyle name="Normal 3 4 3 6 2 2 3" xfId="41856" xr:uid="{00000000-0005-0000-0000-000077A30000}"/>
    <cellStyle name="Normal 3 4 3 6 2 3" xfId="41857" xr:uid="{00000000-0005-0000-0000-000078A30000}"/>
    <cellStyle name="Normal 3 4 3 6 2 3 2" xfId="41858" xr:uid="{00000000-0005-0000-0000-000079A30000}"/>
    <cellStyle name="Normal 3 4 3 6 2 3 3" xfId="41859" xr:uid="{00000000-0005-0000-0000-00007AA30000}"/>
    <cellStyle name="Normal 3 4 3 6 2 4" xfId="41860" xr:uid="{00000000-0005-0000-0000-00007BA30000}"/>
    <cellStyle name="Normal 3 4 3 6 2 4 2" xfId="41861" xr:uid="{00000000-0005-0000-0000-00007CA30000}"/>
    <cellStyle name="Normal 3 4 3 6 2 4 3" xfId="41862" xr:uid="{00000000-0005-0000-0000-00007DA30000}"/>
    <cellStyle name="Normal 3 4 3 6 2 5" xfId="41863" xr:uid="{00000000-0005-0000-0000-00007EA30000}"/>
    <cellStyle name="Normal 3 4 3 6 2 5 2" xfId="41864" xr:uid="{00000000-0005-0000-0000-00007FA30000}"/>
    <cellStyle name="Normal 3 4 3 6 2 5 3" xfId="41865" xr:uid="{00000000-0005-0000-0000-000080A30000}"/>
    <cellStyle name="Normal 3 4 3 6 2 6" xfId="41866" xr:uid="{00000000-0005-0000-0000-000081A30000}"/>
    <cellStyle name="Normal 3 4 3 6 2 6 2" xfId="41867" xr:uid="{00000000-0005-0000-0000-000082A30000}"/>
    <cellStyle name="Normal 3 4 3 6 2 6 3" xfId="41868" xr:uid="{00000000-0005-0000-0000-000083A30000}"/>
    <cellStyle name="Normal 3 4 3 6 2 7" xfId="41869" xr:uid="{00000000-0005-0000-0000-000084A30000}"/>
    <cellStyle name="Normal 3 4 3 6 2 7 2" xfId="41870" xr:uid="{00000000-0005-0000-0000-000085A30000}"/>
    <cellStyle name="Normal 3 4 3 6 2 7 3" xfId="41871" xr:uid="{00000000-0005-0000-0000-000086A30000}"/>
    <cellStyle name="Normal 3 4 3 6 2 8" xfId="41872" xr:uid="{00000000-0005-0000-0000-000087A30000}"/>
    <cellStyle name="Normal 3 4 3 6 2 8 2" xfId="41873" xr:uid="{00000000-0005-0000-0000-000088A30000}"/>
    <cellStyle name="Normal 3 4 3 6 2 8 3" xfId="41874" xr:uid="{00000000-0005-0000-0000-000089A30000}"/>
    <cellStyle name="Normal 3 4 3 6 2 9" xfId="41875" xr:uid="{00000000-0005-0000-0000-00008AA30000}"/>
    <cellStyle name="Normal 3 4 3 6 2 9 2" xfId="41876" xr:uid="{00000000-0005-0000-0000-00008BA30000}"/>
    <cellStyle name="Normal 3 4 3 6 2 9 3" xfId="41877" xr:uid="{00000000-0005-0000-0000-00008CA30000}"/>
    <cellStyle name="Normal 3 4 3 6 3" xfId="41878" xr:uid="{00000000-0005-0000-0000-00008DA30000}"/>
    <cellStyle name="Normal 3 4 3 6 3 2" xfId="41879" xr:uid="{00000000-0005-0000-0000-00008EA30000}"/>
    <cellStyle name="Normal 3 4 3 6 3 3" xfId="41880" xr:uid="{00000000-0005-0000-0000-00008FA30000}"/>
    <cellStyle name="Normal 3 4 3 6 4" xfId="41881" xr:uid="{00000000-0005-0000-0000-000090A30000}"/>
    <cellStyle name="Normal 3 4 3 6 4 2" xfId="41882" xr:uid="{00000000-0005-0000-0000-000091A30000}"/>
    <cellStyle name="Normal 3 4 3 6 4 3" xfId="41883" xr:uid="{00000000-0005-0000-0000-000092A30000}"/>
    <cellStyle name="Normal 3 4 3 6 5" xfId="41884" xr:uid="{00000000-0005-0000-0000-000093A30000}"/>
    <cellStyle name="Normal 3 4 3 6 5 2" xfId="41885" xr:uid="{00000000-0005-0000-0000-000094A30000}"/>
    <cellStyle name="Normal 3 4 3 6 5 3" xfId="41886" xr:uid="{00000000-0005-0000-0000-000095A30000}"/>
    <cellStyle name="Normal 3 4 3 6 6" xfId="41887" xr:uid="{00000000-0005-0000-0000-000096A30000}"/>
    <cellStyle name="Normal 3 4 3 6 6 2" xfId="41888" xr:uid="{00000000-0005-0000-0000-000097A30000}"/>
    <cellStyle name="Normal 3 4 3 6 6 3" xfId="41889" xr:uid="{00000000-0005-0000-0000-000098A30000}"/>
    <cellStyle name="Normal 3 4 3 6 7" xfId="41890" xr:uid="{00000000-0005-0000-0000-000099A30000}"/>
    <cellStyle name="Normal 3 4 3 6 7 2" xfId="41891" xr:uid="{00000000-0005-0000-0000-00009AA30000}"/>
    <cellStyle name="Normal 3 4 3 6 7 3" xfId="41892" xr:uid="{00000000-0005-0000-0000-00009BA30000}"/>
    <cellStyle name="Normal 3 4 3 6 8" xfId="41893" xr:uid="{00000000-0005-0000-0000-00009CA30000}"/>
    <cellStyle name="Normal 3 4 3 6 8 2" xfId="41894" xr:uid="{00000000-0005-0000-0000-00009DA30000}"/>
    <cellStyle name="Normal 3 4 3 6 8 3" xfId="41895" xr:uid="{00000000-0005-0000-0000-00009EA30000}"/>
    <cellStyle name="Normal 3 4 3 6 9" xfId="41896" xr:uid="{00000000-0005-0000-0000-00009FA30000}"/>
    <cellStyle name="Normal 3 4 3 6 9 2" xfId="41897" xr:uid="{00000000-0005-0000-0000-0000A0A30000}"/>
    <cellStyle name="Normal 3 4 3 6 9 3" xfId="41898" xr:uid="{00000000-0005-0000-0000-0000A1A30000}"/>
    <cellStyle name="Normal 3 4 3 7" xfId="41899" xr:uid="{00000000-0005-0000-0000-0000A2A30000}"/>
    <cellStyle name="Normal 3 4 3 7 10" xfId="41900" xr:uid="{00000000-0005-0000-0000-0000A3A30000}"/>
    <cellStyle name="Normal 3 4 3 7 10 2" xfId="41901" xr:uid="{00000000-0005-0000-0000-0000A4A30000}"/>
    <cellStyle name="Normal 3 4 3 7 10 3" xfId="41902" xr:uid="{00000000-0005-0000-0000-0000A5A30000}"/>
    <cellStyle name="Normal 3 4 3 7 11" xfId="41903" xr:uid="{00000000-0005-0000-0000-0000A6A30000}"/>
    <cellStyle name="Normal 3 4 3 7 11 2" xfId="41904" xr:uid="{00000000-0005-0000-0000-0000A7A30000}"/>
    <cellStyle name="Normal 3 4 3 7 11 3" xfId="41905" xr:uid="{00000000-0005-0000-0000-0000A8A30000}"/>
    <cellStyle name="Normal 3 4 3 7 12" xfId="41906" xr:uid="{00000000-0005-0000-0000-0000A9A30000}"/>
    <cellStyle name="Normal 3 4 3 7 12 2" xfId="41907" xr:uid="{00000000-0005-0000-0000-0000AAA30000}"/>
    <cellStyle name="Normal 3 4 3 7 12 3" xfId="41908" xr:uid="{00000000-0005-0000-0000-0000ABA30000}"/>
    <cellStyle name="Normal 3 4 3 7 13" xfId="41909" xr:uid="{00000000-0005-0000-0000-0000ACA30000}"/>
    <cellStyle name="Normal 3 4 3 7 13 2" xfId="41910" xr:uid="{00000000-0005-0000-0000-0000ADA30000}"/>
    <cellStyle name="Normal 3 4 3 7 13 3" xfId="41911" xr:uid="{00000000-0005-0000-0000-0000AEA30000}"/>
    <cellStyle name="Normal 3 4 3 7 14" xfId="41912" xr:uid="{00000000-0005-0000-0000-0000AFA30000}"/>
    <cellStyle name="Normal 3 4 3 7 14 2" xfId="41913" xr:uid="{00000000-0005-0000-0000-0000B0A30000}"/>
    <cellStyle name="Normal 3 4 3 7 14 3" xfId="41914" xr:uid="{00000000-0005-0000-0000-0000B1A30000}"/>
    <cellStyle name="Normal 3 4 3 7 15" xfId="41915" xr:uid="{00000000-0005-0000-0000-0000B2A30000}"/>
    <cellStyle name="Normal 3 4 3 7 15 2" xfId="41916" xr:uid="{00000000-0005-0000-0000-0000B3A30000}"/>
    <cellStyle name="Normal 3 4 3 7 15 3" xfId="41917" xr:uid="{00000000-0005-0000-0000-0000B4A30000}"/>
    <cellStyle name="Normal 3 4 3 7 16" xfId="41918" xr:uid="{00000000-0005-0000-0000-0000B5A30000}"/>
    <cellStyle name="Normal 3 4 3 7 17" xfId="41919" xr:uid="{00000000-0005-0000-0000-0000B6A30000}"/>
    <cellStyle name="Normal 3 4 3 7 2" xfId="41920" xr:uid="{00000000-0005-0000-0000-0000B7A30000}"/>
    <cellStyle name="Normal 3 4 3 7 2 10" xfId="41921" xr:uid="{00000000-0005-0000-0000-0000B8A30000}"/>
    <cellStyle name="Normal 3 4 3 7 2 10 2" xfId="41922" xr:uid="{00000000-0005-0000-0000-0000B9A30000}"/>
    <cellStyle name="Normal 3 4 3 7 2 10 3" xfId="41923" xr:uid="{00000000-0005-0000-0000-0000BAA30000}"/>
    <cellStyle name="Normal 3 4 3 7 2 11" xfId="41924" xr:uid="{00000000-0005-0000-0000-0000BBA30000}"/>
    <cellStyle name="Normal 3 4 3 7 2 11 2" xfId="41925" xr:uid="{00000000-0005-0000-0000-0000BCA30000}"/>
    <cellStyle name="Normal 3 4 3 7 2 11 3" xfId="41926" xr:uid="{00000000-0005-0000-0000-0000BDA30000}"/>
    <cellStyle name="Normal 3 4 3 7 2 12" xfId="41927" xr:uid="{00000000-0005-0000-0000-0000BEA30000}"/>
    <cellStyle name="Normal 3 4 3 7 2 12 2" xfId="41928" xr:uid="{00000000-0005-0000-0000-0000BFA30000}"/>
    <cellStyle name="Normal 3 4 3 7 2 12 3" xfId="41929" xr:uid="{00000000-0005-0000-0000-0000C0A30000}"/>
    <cellStyle name="Normal 3 4 3 7 2 13" xfId="41930" xr:uid="{00000000-0005-0000-0000-0000C1A30000}"/>
    <cellStyle name="Normal 3 4 3 7 2 13 2" xfId="41931" xr:uid="{00000000-0005-0000-0000-0000C2A30000}"/>
    <cellStyle name="Normal 3 4 3 7 2 13 3" xfId="41932" xr:uid="{00000000-0005-0000-0000-0000C3A30000}"/>
    <cellStyle name="Normal 3 4 3 7 2 14" xfId="41933" xr:uid="{00000000-0005-0000-0000-0000C4A30000}"/>
    <cellStyle name="Normal 3 4 3 7 2 14 2" xfId="41934" xr:uid="{00000000-0005-0000-0000-0000C5A30000}"/>
    <cellStyle name="Normal 3 4 3 7 2 14 3" xfId="41935" xr:uid="{00000000-0005-0000-0000-0000C6A30000}"/>
    <cellStyle name="Normal 3 4 3 7 2 15" xfId="41936" xr:uid="{00000000-0005-0000-0000-0000C7A30000}"/>
    <cellStyle name="Normal 3 4 3 7 2 16" xfId="41937" xr:uid="{00000000-0005-0000-0000-0000C8A30000}"/>
    <cellStyle name="Normal 3 4 3 7 2 2" xfId="41938" xr:uid="{00000000-0005-0000-0000-0000C9A30000}"/>
    <cellStyle name="Normal 3 4 3 7 2 2 2" xfId="41939" xr:uid="{00000000-0005-0000-0000-0000CAA30000}"/>
    <cellStyle name="Normal 3 4 3 7 2 2 3" xfId="41940" xr:uid="{00000000-0005-0000-0000-0000CBA30000}"/>
    <cellStyle name="Normal 3 4 3 7 2 3" xfId="41941" xr:uid="{00000000-0005-0000-0000-0000CCA30000}"/>
    <cellStyle name="Normal 3 4 3 7 2 3 2" xfId="41942" xr:uid="{00000000-0005-0000-0000-0000CDA30000}"/>
    <cellStyle name="Normal 3 4 3 7 2 3 3" xfId="41943" xr:uid="{00000000-0005-0000-0000-0000CEA30000}"/>
    <cellStyle name="Normal 3 4 3 7 2 4" xfId="41944" xr:uid="{00000000-0005-0000-0000-0000CFA30000}"/>
    <cellStyle name="Normal 3 4 3 7 2 4 2" xfId="41945" xr:uid="{00000000-0005-0000-0000-0000D0A30000}"/>
    <cellStyle name="Normal 3 4 3 7 2 4 3" xfId="41946" xr:uid="{00000000-0005-0000-0000-0000D1A30000}"/>
    <cellStyle name="Normal 3 4 3 7 2 5" xfId="41947" xr:uid="{00000000-0005-0000-0000-0000D2A30000}"/>
    <cellStyle name="Normal 3 4 3 7 2 5 2" xfId="41948" xr:uid="{00000000-0005-0000-0000-0000D3A30000}"/>
    <cellStyle name="Normal 3 4 3 7 2 5 3" xfId="41949" xr:uid="{00000000-0005-0000-0000-0000D4A30000}"/>
    <cellStyle name="Normal 3 4 3 7 2 6" xfId="41950" xr:uid="{00000000-0005-0000-0000-0000D5A30000}"/>
    <cellStyle name="Normal 3 4 3 7 2 6 2" xfId="41951" xr:uid="{00000000-0005-0000-0000-0000D6A30000}"/>
    <cellStyle name="Normal 3 4 3 7 2 6 3" xfId="41952" xr:uid="{00000000-0005-0000-0000-0000D7A30000}"/>
    <cellStyle name="Normal 3 4 3 7 2 7" xfId="41953" xr:uid="{00000000-0005-0000-0000-0000D8A30000}"/>
    <cellStyle name="Normal 3 4 3 7 2 7 2" xfId="41954" xr:uid="{00000000-0005-0000-0000-0000D9A30000}"/>
    <cellStyle name="Normal 3 4 3 7 2 7 3" xfId="41955" xr:uid="{00000000-0005-0000-0000-0000DAA30000}"/>
    <cellStyle name="Normal 3 4 3 7 2 8" xfId="41956" xr:uid="{00000000-0005-0000-0000-0000DBA30000}"/>
    <cellStyle name="Normal 3 4 3 7 2 8 2" xfId="41957" xr:uid="{00000000-0005-0000-0000-0000DCA30000}"/>
    <cellStyle name="Normal 3 4 3 7 2 8 3" xfId="41958" xr:uid="{00000000-0005-0000-0000-0000DDA30000}"/>
    <cellStyle name="Normal 3 4 3 7 2 9" xfId="41959" xr:uid="{00000000-0005-0000-0000-0000DEA30000}"/>
    <cellStyle name="Normal 3 4 3 7 2 9 2" xfId="41960" xr:uid="{00000000-0005-0000-0000-0000DFA30000}"/>
    <cellStyle name="Normal 3 4 3 7 2 9 3" xfId="41961" xr:uid="{00000000-0005-0000-0000-0000E0A30000}"/>
    <cellStyle name="Normal 3 4 3 7 3" xfId="41962" xr:uid="{00000000-0005-0000-0000-0000E1A30000}"/>
    <cellStyle name="Normal 3 4 3 7 3 2" xfId="41963" xr:uid="{00000000-0005-0000-0000-0000E2A30000}"/>
    <cellStyle name="Normal 3 4 3 7 3 3" xfId="41964" xr:uid="{00000000-0005-0000-0000-0000E3A30000}"/>
    <cellStyle name="Normal 3 4 3 7 4" xfId="41965" xr:uid="{00000000-0005-0000-0000-0000E4A30000}"/>
    <cellStyle name="Normal 3 4 3 7 4 2" xfId="41966" xr:uid="{00000000-0005-0000-0000-0000E5A30000}"/>
    <cellStyle name="Normal 3 4 3 7 4 3" xfId="41967" xr:uid="{00000000-0005-0000-0000-0000E6A30000}"/>
    <cellStyle name="Normal 3 4 3 7 5" xfId="41968" xr:uid="{00000000-0005-0000-0000-0000E7A30000}"/>
    <cellStyle name="Normal 3 4 3 7 5 2" xfId="41969" xr:uid="{00000000-0005-0000-0000-0000E8A30000}"/>
    <cellStyle name="Normal 3 4 3 7 5 3" xfId="41970" xr:uid="{00000000-0005-0000-0000-0000E9A30000}"/>
    <cellStyle name="Normal 3 4 3 7 6" xfId="41971" xr:uid="{00000000-0005-0000-0000-0000EAA30000}"/>
    <cellStyle name="Normal 3 4 3 7 6 2" xfId="41972" xr:uid="{00000000-0005-0000-0000-0000EBA30000}"/>
    <cellStyle name="Normal 3 4 3 7 6 3" xfId="41973" xr:uid="{00000000-0005-0000-0000-0000ECA30000}"/>
    <cellStyle name="Normal 3 4 3 7 7" xfId="41974" xr:uid="{00000000-0005-0000-0000-0000EDA30000}"/>
    <cellStyle name="Normal 3 4 3 7 7 2" xfId="41975" xr:uid="{00000000-0005-0000-0000-0000EEA30000}"/>
    <cellStyle name="Normal 3 4 3 7 7 3" xfId="41976" xr:uid="{00000000-0005-0000-0000-0000EFA30000}"/>
    <cellStyle name="Normal 3 4 3 7 8" xfId="41977" xr:uid="{00000000-0005-0000-0000-0000F0A30000}"/>
    <cellStyle name="Normal 3 4 3 7 8 2" xfId="41978" xr:uid="{00000000-0005-0000-0000-0000F1A30000}"/>
    <cellStyle name="Normal 3 4 3 7 8 3" xfId="41979" xr:uid="{00000000-0005-0000-0000-0000F2A30000}"/>
    <cellStyle name="Normal 3 4 3 7 9" xfId="41980" xr:uid="{00000000-0005-0000-0000-0000F3A30000}"/>
    <cellStyle name="Normal 3 4 3 7 9 2" xfId="41981" xr:uid="{00000000-0005-0000-0000-0000F4A30000}"/>
    <cellStyle name="Normal 3 4 3 7 9 3" xfId="41982" xr:uid="{00000000-0005-0000-0000-0000F5A30000}"/>
    <cellStyle name="Normal 3 4 3 8" xfId="41983" xr:uid="{00000000-0005-0000-0000-0000F6A30000}"/>
    <cellStyle name="Normal 3 4 3 8 10" xfId="41984" xr:uid="{00000000-0005-0000-0000-0000F7A30000}"/>
    <cellStyle name="Normal 3 4 3 8 10 2" xfId="41985" xr:uid="{00000000-0005-0000-0000-0000F8A30000}"/>
    <cellStyle name="Normal 3 4 3 8 10 3" xfId="41986" xr:uid="{00000000-0005-0000-0000-0000F9A30000}"/>
    <cellStyle name="Normal 3 4 3 8 11" xfId="41987" xr:uid="{00000000-0005-0000-0000-0000FAA30000}"/>
    <cellStyle name="Normal 3 4 3 8 11 2" xfId="41988" xr:uid="{00000000-0005-0000-0000-0000FBA30000}"/>
    <cellStyle name="Normal 3 4 3 8 11 3" xfId="41989" xr:uid="{00000000-0005-0000-0000-0000FCA30000}"/>
    <cellStyle name="Normal 3 4 3 8 12" xfId="41990" xr:uid="{00000000-0005-0000-0000-0000FDA30000}"/>
    <cellStyle name="Normal 3 4 3 8 12 2" xfId="41991" xr:uid="{00000000-0005-0000-0000-0000FEA30000}"/>
    <cellStyle name="Normal 3 4 3 8 12 3" xfId="41992" xr:uid="{00000000-0005-0000-0000-0000FFA30000}"/>
    <cellStyle name="Normal 3 4 3 8 13" xfId="41993" xr:uid="{00000000-0005-0000-0000-000000A40000}"/>
    <cellStyle name="Normal 3 4 3 8 13 2" xfId="41994" xr:uid="{00000000-0005-0000-0000-000001A40000}"/>
    <cellStyle name="Normal 3 4 3 8 13 3" xfId="41995" xr:uid="{00000000-0005-0000-0000-000002A40000}"/>
    <cellStyle name="Normal 3 4 3 8 14" xfId="41996" xr:uid="{00000000-0005-0000-0000-000003A40000}"/>
    <cellStyle name="Normal 3 4 3 8 14 2" xfId="41997" xr:uid="{00000000-0005-0000-0000-000004A40000}"/>
    <cellStyle name="Normal 3 4 3 8 14 3" xfId="41998" xr:uid="{00000000-0005-0000-0000-000005A40000}"/>
    <cellStyle name="Normal 3 4 3 8 15" xfId="41999" xr:uid="{00000000-0005-0000-0000-000006A40000}"/>
    <cellStyle name="Normal 3 4 3 8 15 2" xfId="42000" xr:uid="{00000000-0005-0000-0000-000007A40000}"/>
    <cellStyle name="Normal 3 4 3 8 15 3" xfId="42001" xr:uid="{00000000-0005-0000-0000-000008A40000}"/>
    <cellStyle name="Normal 3 4 3 8 16" xfId="42002" xr:uid="{00000000-0005-0000-0000-000009A40000}"/>
    <cellStyle name="Normal 3 4 3 8 17" xfId="42003" xr:uid="{00000000-0005-0000-0000-00000AA40000}"/>
    <cellStyle name="Normal 3 4 3 8 2" xfId="42004" xr:uid="{00000000-0005-0000-0000-00000BA40000}"/>
    <cellStyle name="Normal 3 4 3 8 2 10" xfId="42005" xr:uid="{00000000-0005-0000-0000-00000CA40000}"/>
    <cellStyle name="Normal 3 4 3 8 2 10 2" xfId="42006" xr:uid="{00000000-0005-0000-0000-00000DA40000}"/>
    <cellStyle name="Normal 3 4 3 8 2 10 3" xfId="42007" xr:uid="{00000000-0005-0000-0000-00000EA40000}"/>
    <cellStyle name="Normal 3 4 3 8 2 11" xfId="42008" xr:uid="{00000000-0005-0000-0000-00000FA40000}"/>
    <cellStyle name="Normal 3 4 3 8 2 11 2" xfId="42009" xr:uid="{00000000-0005-0000-0000-000010A40000}"/>
    <cellStyle name="Normal 3 4 3 8 2 11 3" xfId="42010" xr:uid="{00000000-0005-0000-0000-000011A40000}"/>
    <cellStyle name="Normal 3 4 3 8 2 12" xfId="42011" xr:uid="{00000000-0005-0000-0000-000012A40000}"/>
    <cellStyle name="Normal 3 4 3 8 2 12 2" xfId="42012" xr:uid="{00000000-0005-0000-0000-000013A40000}"/>
    <cellStyle name="Normal 3 4 3 8 2 12 3" xfId="42013" xr:uid="{00000000-0005-0000-0000-000014A40000}"/>
    <cellStyle name="Normal 3 4 3 8 2 13" xfId="42014" xr:uid="{00000000-0005-0000-0000-000015A40000}"/>
    <cellStyle name="Normal 3 4 3 8 2 13 2" xfId="42015" xr:uid="{00000000-0005-0000-0000-000016A40000}"/>
    <cellStyle name="Normal 3 4 3 8 2 13 3" xfId="42016" xr:uid="{00000000-0005-0000-0000-000017A40000}"/>
    <cellStyle name="Normal 3 4 3 8 2 14" xfId="42017" xr:uid="{00000000-0005-0000-0000-000018A40000}"/>
    <cellStyle name="Normal 3 4 3 8 2 14 2" xfId="42018" xr:uid="{00000000-0005-0000-0000-000019A40000}"/>
    <cellStyle name="Normal 3 4 3 8 2 14 3" xfId="42019" xr:uid="{00000000-0005-0000-0000-00001AA40000}"/>
    <cellStyle name="Normal 3 4 3 8 2 15" xfId="42020" xr:uid="{00000000-0005-0000-0000-00001BA40000}"/>
    <cellStyle name="Normal 3 4 3 8 2 16" xfId="42021" xr:uid="{00000000-0005-0000-0000-00001CA40000}"/>
    <cellStyle name="Normal 3 4 3 8 2 2" xfId="42022" xr:uid="{00000000-0005-0000-0000-00001DA40000}"/>
    <cellStyle name="Normal 3 4 3 8 2 2 2" xfId="42023" xr:uid="{00000000-0005-0000-0000-00001EA40000}"/>
    <cellStyle name="Normal 3 4 3 8 2 2 3" xfId="42024" xr:uid="{00000000-0005-0000-0000-00001FA40000}"/>
    <cellStyle name="Normal 3 4 3 8 2 3" xfId="42025" xr:uid="{00000000-0005-0000-0000-000020A40000}"/>
    <cellStyle name="Normal 3 4 3 8 2 3 2" xfId="42026" xr:uid="{00000000-0005-0000-0000-000021A40000}"/>
    <cellStyle name="Normal 3 4 3 8 2 3 3" xfId="42027" xr:uid="{00000000-0005-0000-0000-000022A40000}"/>
    <cellStyle name="Normal 3 4 3 8 2 4" xfId="42028" xr:uid="{00000000-0005-0000-0000-000023A40000}"/>
    <cellStyle name="Normal 3 4 3 8 2 4 2" xfId="42029" xr:uid="{00000000-0005-0000-0000-000024A40000}"/>
    <cellStyle name="Normal 3 4 3 8 2 4 3" xfId="42030" xr:uid="{00000000-0005-0000-0000-000025A40000}"/>
    <cellStyle name="Normal 3 4 3 8 2 5" xfId="42031" xr:uid="{00000000-0005-0000-0000-000026A40000}"/>
    <cellStyle name="Normal 3 4 3 8 2 5 2" xfId="42032" xr:uid="{00000000-0005-0000-0000-000027A40000}"/>
    <cellStyle name="Normal 3 4 3 8 2 5 3" xfId="42033" xr:uid="{00000000-0005-0000-0000-000028A40000}"/>
    <cellStyle name="Normal 3 4 3 8 2 6" xfId="42034" xr:uid="{00000000-0005-0000-0000-000029A40000}"/>
    <cellStyle name="Normal 3 4 3 8 2 6 2" xfId="42035" xr:uid="{00000000-0005-0000-0000-00002AA40000}"/>
    <cellStyle name="Normal 3 4 3 8 2 6 3" xfId="42036" xr:uid="{00000000-0005-0000-0000-00002BA40000}"/>
    <cellStyle name="Normal 3 4 3 8 2 7" xfId="42037" xr:uid="{00000000-0005-0000-0000-00002CA40000}"/>
    <cellStyle name="Normal 3 4 3 8 2 7 2" xfId="42038" xr:uid="{00000000-0005-0000-0000-00002DA40000}"/>
    <cellStyle name="Normal 3 4 3 8 2 7 3" xfId="42039" xr:uid="{00000000-0005-0000-0000-00002EA40000}"/>
    <cellStyle name="Normal 3 4 3 8 2 8" xfId="42040" xr:uid="{00000000-0005-0000-0000-00002FA40000}"/>
    <cellStyle name="Normal 3 4 3 8 2 8 2" xfId="42041" xr:uid="{00000000-0005-0000-0000-000030A40000}"/>
    <cellStyle name="Normal 3 4 3 8 2 8 3" xfId="42042" xr:uid="{00000000-0005-0000-0000-000031A40000}"/>
    <cellStyle name="Normal 3 4 3 8 2 9" xfId="42043" xr:uid="{00000000-0005-0000-0000-000032A40000}"/>
    <cellStyle name="Normal 3 4 3 8 2 9 2" xfId="42044" xr:uid="{00000000-0005-0000-0000-000033A40000}"/>
    <cellStyle name="Normal 3 4 3 8 2 9 3" xfId="42045" xr:uid="{00000000-0005-0000-0000-000034A40000}"/>
    <cellStyle name="Normal 3 4 3 8 3" xfId="42046" xr:uid="{00000000-0005-0000-0000-000035A40000}"/>
    <cellStyle name="Normal 3 4 3 8 3 2" xfId="42047" xr:uid="{00000000-0005-0000-0000-000036A40000}"/>
    <cellStyle name="Normal 3 4 3 8 3 3" xfId="42048" xr:uid="{00000000-0005-0000-0000-000037A40000}"/>
    <cellStyle name="Normal 3 4 3 8 4" xfId="42049" xr:uid="{00000000-0005-0000-0000-000038A40000}"/>
    <cellStyle name="Normal 3 4 3 8 4 2" xfId="42050" xr:uid="{00000000-0005-0000-0000-000039A40000}"/>
    <cellStyle name="Normal 3 4 3 8 4 3" xfId="42051" xr:uid="{00000000-0005-0000-0000-00003AA40000}"/>
    <cellStyle name="Normal 3 4 3 8 5" xfId="42052" xr:uid="{00000000-0005-0000-0000-00003BA40000}"/>
    <cellStyle name="Normal 3 4 3 8 5 2" xfId="42053" xr:uid="{00000000-0005-0000-0000-00003CA40000}"/>
    <cellStyle name="Normal 3 4 3 8 5 3" xfId="42054" xr:uid="{00000000-0005-0000-0000-00003DA40000}"/>
    <cellStyle name="Normal 3 4 3 8 6" xfId="42055" xr:uid="{00000000-0005-0000-0000-00003EA40000}"/>
    <cellStyle name="Normal 3 4 3 8 6 2" xfId="42056" xr:uid="{00000000-0005-0000-0000-00003FA40000}"/>
    <cellStyle name="Normal 3 4 3 8 6 3" xfId="42057" xr:uid="{00000000-0005-0000-0000-000040A40000}"/>
    <cellStyle name="Normal 3 4 3 8 7" xfId="42058" xr:uid="{00000000-0005-0000-0000-000041A40000}"/>
    <cellStyle name="Normal 3 4 3 8 7 2" xfId="42059" xr:uid="{00000000-0005-0000-0000-000042A40000}"/>
    <cellStyle name="Normal 3 4 3 8 7 3" xfId="42060" xr:uid="{00000000-0005-0000-0000-000043A40000}"/>
    <cellStyle name="Normal 3 4 3 8 8" xfId="42061" xr:uid="{00000000-0005-0000-0000-000044A40000}"/>
    <cellStyle name="Normal 3 4 3 8 8 2" xfId="42062" xr:uid="{00000000-0005-0000-0000-000045A40000}"/>
    <cellStyle name="Normal 3 4 3 8 8 3" xfId="42063" xr:uid="{00000000-0005-0000-0000-000046A40000}"/>
    <cellStyle name="Normal 3 4 3 8 9" xfId="42064" xr:uid="{00000000-0005-0000-0000-000047A40000}"/>
    <cellStyle name="Normal 3 4 3 8 9 2" xfId="42065" xr:uid="{00000000-0005-0000-0000-000048A40000}"/>
    <cellStyle name="Normal 3 4 3 8 9 3" xfId="42066" xr:uid="{00000000-0005-0000-0000-000049A40000}"/>
    <cellStyle name="Normal 3 4 3 9" xfId="42067" xr:uid="{00000000-0005-0000-0000-00004AA40000}"/>
    <cellStyle name="Normal 3 4 3 9 10" xfId="42068" xr:uid="{00000000-0005-0000-0000-00004BA40000}"/>
    <cellStyle name="Normal 3 4 3 9 10 2" xfId="42069" xr:uid="{00000000-0005-0000-0000-00004CA40000}"/>
    <cellStyle name="Normal 3 4 3 9 10 3" xfId="42070" xr:uid="{00000000-0005-0000-0000-00004DA40000}"/>
    <cellStyle name="Normal 3 4 3 9 11" xfId="42071" xr:uid="{00000000-0005-0000-0000-00004EA40000}"/>
    <cellStyle name="Normal 3 4 3 9 11 2" xfId="42072" xr:uid="{00000000-0005-0000-0000-00004FA40000}"/>
    <cellStyle name="Normal 3 4 3 9 11 3" xfId="42073" xr:uid="{00000000-0005-0000-0000-000050A40000}"/>
    <cellStyle name="Normal 3 4 3 9 12" xfId="42074" xr:uid="{00000000-0005-0000-0000-000051A40000}"/>
    <cellStyle name="Normal 3 4 3 9 12 2" xfId="42075" xr:uid="{00000000-0005-0000-0000-000052A40000}"/>
    <cellStyle name="Normal 3 4 3 9 12 3" xfId="42076" xr:uid="{00000000-0005-0000-0000-000053A40000}"/>
    <cellStyle name="Normal 3 4 3 9 13" xfId="42077" xr:uid="{00000000-0005-0000-0000-000054A40000}"/>
    <cellStyle name="Normal 3 4 3 9 13 2" xfId="42078" xr:uid="{00000000-0005-0000-0000-000055A40000}"/>
    <cellStyle name="Normal 3 4 3 9 13 3" xfId="42079" xr:uid="{00000000-0005-0000-0000-000056A40000}"/>
    <cellStyle name="Normal 3 4 3 9 14" xfId="42080" xr:uid="{00000000-0005-0000-0000-000057A40000}"/>
    <cellStyle name="Normal 3 4 3 9 14 2" xfId="42081" xr:uid="{00000000-0005-0000-0000-000058A40000}"/>
    <cellStyle name="Normal 3 4 3 9 14 3" xfId="42082" xr:uid="{00000000-0005-0000-0000-000059A40000}"/>
    <cellStyle name="Normal 3 4 3 9 15" xfId="42083" xr:uid="{00000000-0005-0000-0000-00005AA40000}"/>
    <cellStyle name="Normal 3 4 3 9 16" xfId="42084" xr:uid="{00000000-0005-0000-0000-00005BA40000}"/>
    <cellStyle name="Normal 3 4 3 9 2" xfId="42085" xr:uid="{00000000-0005-0000-0000-00005CA40000}"/>
    <cellStyle name="Normal 3 4 3 9 2 2" xfId="42086" xr:uid="{00000000-0005-0000-0000-00005DA40000}"/>
    <cellStyle name="Normal 3 4 3 9 2 3" xfId="42087" xr:uid="{00000000-0005-0000-0000-00005EA40000}"/>
    <cellStyle name="Normal 3 4 3 9 3" xfId="42088" xr:uid="{00000000-0005-0000-0000-00005FA40000}"/>
    <cellStyle name="Normal 3 4 3 9 3 2" xfId="42089" xr:uid="{00000000-0005-0000-0000-000060A40000}"/>
    <cellStyle name="Normal 3 4 3 9 3 3" xfId="42090" xr:uid="{00000000-0005-0000-0000-000061A40000}"/>
    <cellStyle name="Normal 3 4 3 9 4" xfId="42091" xr:uid="{00000000-0005-0000-0000-000062A40000}"/>
    <cellStyle name="Normal 3 4 3 9 4 2" xfId="42092" xr:uid="{00000000-0005-0000-0000-000063A40000}"/>
    <cellStyle name="Normal 3 4 3 9 4 3" xfId="42093" xr:uid="{00000000-0005-0000-0000-000064A40000}"/>
    <cellStyle name="Normal 3 4 3 9 5" xfId="42094" xr:uid="{00000000-0005-0000-0000-000065A40000}"/>
    <cellStyle name="Normal 3 4 3 9 5 2" xfId="42095" xr:uid="{00000000-0005-0000-0000-000066A40000}"/>
    <cellStyle name="Normal 3 4 3 9 5 3" xfId="42096" xr:uid="{00000000-0005-0000-0000-000067A40000}"/>
    <cellStyle name="Normal 3 4 3 9 6" xfId="42097" xr:uid="{00000000-0005-0000-0000-000068A40000}"/>
    <cellStyle name="Normal 3 4 3 9 6 2" xfId="42098" xr:uid="{00000000-0005-0000-0000-000069A40000}"/>
    <cellStyle name="Normal 3 4 3 9 6 3" xfId="42099" xr:uid="{00000000-0005-0000-0000-00006AA40000}"/>
    <cellStyle name="Normal 3 4 3 9 7" xfId="42100" xr:uid="{00000000-0005-0000-0000-00006BA40000}"/>
    <cellStyle name="Normal 3 4 3 9 7 2" xfId="42101" xr:uid="{00000000-0005-0000-0000-00006CA40000}"/>
    <cellStyle name="Normal 3 4 3 9 7 3" xfId="42102" xr:uid="{00000000-0005-0000-0000-00006DA40000}"/>
    <cellStyle name="Normal 3 4 3 9 8" xfId="42103" xr:uid="{00000000-0005-0000-0000-00006EA40000}"/>
    <cellStyle name="Normal 3 4 3 9 8 2" xfId="42104" xr:uid="{00000000-0005-0000-0000-00006FA40000}"/>
    <cellStyle name="Normal 3 4 3 9 8 3" xfId="42105" xr:uid="{00000000-0005-0000-0000-000070A40000}"/>
    <cellStyle name="Normal 3 4 3 9 9" xfId="42106" xr:uid="{00000000-0005-0000-0000-000071A40000}"/>
    <cellStyle name="Normal 3 4 3 9 9 2" xfId="42107" xr:uid="{00000000-0005-0000-0000-000072A40000}"/>
    <cellStyle name="Normal 3 4 3 9 9 3" xfId="42108" xr:uid="{00000000-0005-0000-0000-000073A40000}"/>
    <cellStyle name="Normal 3 4 4" xfId="42109" xr:uid="{00000000-0005-0000-0000-000074A40000}"/>
    <cellStyle name="Normal 3 4 4 10" xfId="42110" xr:uid="{00000000-0005-0000-0000-000075A40000}"/>
    <cellStyle name="Normal 3 4 4 10 10" xfId="42111" xr:uid="{00000000-0005-0000-0000-000076A40000}"/>
    <cellStyle name="Normal 3 4 4 10 10 2" xfId="42112" xr:uid="{00000000-0005-0000-0000-000077A40000}"/>
    <cellStyle name="Normal 3 4 4 10 10 3" xfId="42113" xr:uid="{00000000-0005-0000-0000-000078A40000}"/>
    <cellStyle name="Normal 3 4 4 10 11" xfId="42114" xr:uid="{00000000-0005-0000-0000-000079A40000}"/>
    <cellStyle name="Normal 3 4 4 10 11 2" xfId="42115" xr:uid="{00000000-0005-0000-0000-00007AA40000}"/>
    <cellStyle name="Normal 3 4 4 10 11 3" xfId="42116" xr:uid="{00000000-0005-0000-0000-00007BA40000}"/>
    <cellStyle name="Normal 3 4 4 10 12" xfId="42117" xr:uid="{00000000-0005-0000-0000-00007CA40000}"/>
    <cellStyle name="Normal 3 4 4 10 12 2" xfId="42118" xr:uid="{00000000-0005-0000-0000-00007DA40000}"/>
    <cellStyle name="Normal 3 4 4 10 12 3" xfId="42119" xr:uid="{00000000-0005-0000-0000-00007EA40000}"/>
    <cellStyle name="Normal 3 4 4 10 13" xfId="42120" xr:uid="{00000000-0005-0000-0000-00007FA40000}"/>
    <cellStyle name="Normal 3 4 4 10 13 2" xfId="42121" xr:uid="{00000000-0005-0000-0000-000080A40000}"/>
    <cellStyle name="Normal 3 4 4 10 13 3" xfId="42122" xr:uid="{00000000-0005-0000-0000-000081A40000}"/>
    <cellStyle name="Normal 3 4 4 10 14" xfId="42123" xr:uid="{00000000-0005-0000-0000-000082A40000}"/>
    <cellStyle name="Normal 3 4 4 10 14 2" xfId="42124" xr:uid="{00000000-0005-0000-0000-000083A40000}"/>
    <cellStyle name="Normal 3 4 4 10 14 3" xfId="42125" xr:uid="{00000000-0005-0000-0000-000084A40000}"/>
    <cellStyle name="Normal 3 4 4 10 15" xfId="42126" xr:uid="{00000000-0005-0000-0000-000085A40000}"/>
    <cellStyle name="Normal 3 4 4 10 16" xfId="42127" xr:uid="{00000000-0005-0000-0000-000086A40000}"/>
    <cellStyle name="Normal 3 4 4 10 2" xfId="42128" xr:uid="{00000000-0005-0000-0000-000087A40000}"/>
    <cellStyle name="Normal 3 4 4 10 2 2" xfId="42129" xr:uid="{00000000-0005-0000-0000-000088A40000}"/>
    <cellStyle name="Normal 3 4 4 10 2 3" xfId="42130" xr:uid="{00000000-0005-0000-0000-000089A40000}"/>
    <cellStyle name="Normal 3 4 4 10 3" xfId="42131" xr:uid="{00000000-0005-0000-0000-00008AA40000}"/>
    <cellStyle name="Normal 3 4 4 10 3 2" xfId="42132" xr:uid="{00000000-0005-0000-0000-00008BA40000}"/>
    <cellStyle name="Normal 3 4 4 10 3 3" xfId="42133" xr:uid="{00000000-0005-0000-0000-00008CA40000}"/>
    <cellStyle name="Normal 3 4 4 10 4" xfId="42134" xr:uid="{00000000-0005-0000-0000-00008DA40000}"/>
    <cellStyle name="Normal 3 4 4 10 4 2" xfId="42135" xr:uid="{00000000-0005-0000-0000-00008EA40000}"/>
    <cellStyle name="Normal 3 4 4 10 4 3" xfId="42136" xr:uid="{00000000-0005-0000-0000-00008FA40000}"/>
    <cellStyle name="Normal 3 4 4 10 5" xfId="42137" xr:uid="{00000000-0005-0000-0000-000090A40000}"/>
    <cellStyle name="Normal 3 4 4 10 5 2" xfId="42138" xr:uid="{00000000-0005-0000-0000-000091A40000}"/>
    <cellStyle name="Normal 3 4 4 10 5 3" xfId="42139" xr:uid="{00000000-0005-0000-0000-000092A40000}"/>
    <cellStyle name="Normal 3 4 4 10 6" xfId="42140" xr:uid="{00000000-0005-0000-0000-000093A40000}"/>
    <cellStyle name="Normal 3 4 4 10 6 2" xfId="42141" xr:uid="{00000000-0005-0000-0000-000094A40000}"/>
    <cellStyle name="Normal 3 4 4 10 6 3" xfId="42142" xr:uid="{00000000-0005-0000-0000-000095A40000}"/>
    <cellStyle name="Normal 3 4 4 10 7" xfId="42143" xr:uid="{00000000-0005-0000-0000-000096A40000}"/>
    <cellStyle name="Normal 3 4 4 10 7 2" xfId="42144" xr:uid="{00000000-0005-0000-0000-000097A40000}"/>
    <cellStyle name="Normal 3 4 4 10 7 3" xfId="42145" xr:uid="{00000000-0005-0000-0000-000098A40000}"/>
    <cellStyle name="Normal 3 4 4 10 8" xfId="42146" xr:uid="{00000000-0005-0000-0000-000099A40000}"/>
    <cellStyle name="Normal 3 4 4 10 8 2" xfId="42147" xr:uid="{00000000-0005-0000-0000-00009AA40000}"/>
    <cellStyle name="Normal 3 4 4 10 8 3" xfId="42148" xr:uid="{00000000-0005-0000-0000-00009BA40000}"/>
    <cellStyle name="Normal 3 4 4 10 9" xfId="42149" xr:uid="{00000000-0005-0000-0000-00009CA40000}"/>
    <cellStyle name="Normal 3 4 4 10 9 2" xfId="42150" xr:uid="{00000000-0005-0000-0000-00009DA40000}"/>
    <cellStyle name="Normal 3 4 4 10 9 3" xfId="42151" xr:uid="{00000000-0005-0000-0000-00009EA40000}"/>
    <cellStyle name="Normal 3 4 4 11" xfId="42152" xr:uid="{00000000-0005-0000-0000-00009FA40000}"/>
    <cellStyle name="Normal 3 4 4 11 10" xfId="42153" xr:uid="{00000000-0005-0000-0000-0000A0A40000}"/>
    <cellStyle name="Normal 3 4 4 11 10 2" xfId="42154" xr:uid="{00000000-0005-0000-0000-0000A1A40000}"/>
    <cellStyle name="Normal 3 4 4 11 10 3" xfId="42155" xr:uid="{00000000-0005-0000-0000-0000A2A40000}"/>
    <cellStyle name="Normal 3 4 4 11 11" xfId="42156" xr:uid="{00000000-0005-0000-0000-0000A3A40000}"/>
    <cellStyle name="Normal 3 4 4 11 11 2" xfId="42157" xr:uid="{00000000-0005-0000-0000-0000A4A40000}"/>
    <cellStyle name="Normal 3 4 4 11 11 3" xfId="42158" xr:uid="{00000000-0005-0000-0000-0000A5A40000}"/>
    <cellStyle name="Normal 3 4 4 11 12" xfId="42159" xr:uid="{00000000-0005-0000-0000-0000A6A40000}"/>
    <cellStyle name="Normal 3 4 4 11 12 2" xfId="42160" xr:uid="{00000000-0005-0000-0000-0000A7A40000}"/>
    <cellStyle name="Normal 3 4 4 11 12 3" xfId="42161" xr:uid="{00000000-0005-0000-0000-0000A8A40000}"/>
    <cellStyle name="Normal 3 4 4 11 13" xfId="42162" xr:uid="{00000000-0005-0000-0000-0000A9A40000}"/>
    <cellStyle name="Normal 3 4 4 11 13 2" xfId="42163" xr:uid="{00000000-0005-0000-0000-0000AAA40000}"/>
    <cellStyle name="Normal 3 4 4 11 13 3" xfId="42164" xr:uid="{00000000-0005-0000-0000-0000ABA40000}"/>
    <cellStyle name="Normal 3 4 4 11 14" xfId="42165" xr:uid="{00000000-0005-0000-0000-0000ACA40000}"/>
    <cellStyle name="Normal 3 4 4 11 14 2" xfId="42166" xr:uid="{00000000-0005-0000-0000-0000ADA40000}"/>
    <cellStyle name="Normal 3 4 4 11 14 3" xfId="42167" xr:uid="{00000000-0005-0000-0000-0000AEA40000}"/>
    <cellStyle name="Normal 3 4 4 11 15" xfId="42168" xr:uid="{00000000-0005-0000-0000-0000AFA40000}"/>
    <cellStyle name="Normal 3 4 4 11 16" xfId="42169" xr:uid="{00000000-0005-0000-0000-0000B0A40000}"/>
    <cellStyle name="Normal 3 4 4 11 2" xfId="42170" xr:uid="{00000000-0005-0000-0000-0000B1A40000}"/>
    <cellStyle name="Normal 3 4 4 11 2 2" xfId="42171" xr:uid="{00000000-0005-0000-0000-0000B2A40000}"/>
    <cellStyle name="Normal 3 4 4 11 2 3" xfId="42172" xr:uid="{00000000-0005-0000-0000-0000B3A40000}"/>
    <cellStyle name="Normal 3 4 4 11 3" xfId="42173" xr:uid="{00000000-0005-0000-0000-0000B4A40000}"/>
    <cellStyle name="Normal 3 4 4 11 3 2" xfId="42174" xr:uid="{00000000-0005-0000-0000-0000B5A40000}"/>
    <cellStyle name="Normal 3 4 4 11 3 3" xfId="42175" xr:uid="{00000000-0005-0000-0000-0000B6A40000}"/>
    <cellStyle name="Normal 3 4 4 11 4" xfId="42176" xr:uid="{00000000-0005-0000-0000-0000B7A40000}"/>
    <cellStyle name="Normal 3 4 4 11 4 2" xfId="42177" xr:uid="{00000000-0005-0000-0000-0000B8A40000}"/>
    <cellStyle name="Normal 3 4 4 11 4 3" xfId="42178" xr:uid="{00000000-0005-0000-0000-0000B9A40000}"/>
    <cellStyle name="Normal 3 4 4 11 5" xfId="42179" xr:uid="{00000000-0005-0000-0000-0000BAA40000}"/>
    <cellStyle name="Normal 3 4 4 11 5 2" xfId="42180" xr:uid="{00000000-0005-0000-0000-0000BBA40000}"/>
    <cellStyle name="Normal 3 4 4 11 5 3" xfId="42181" xr:uid="{00000000-0005-0000-0000-0000BCA40000}"/>
    <cellStyle name="Normal 3 4 4 11 6" xfId="42182" xr:uid="{00000000-0005-0000-0000-0000BDA40000}"/>
    <cellStyle name="Normal 3 4 4 11 6 2" xfId="42183" xr:uid="{00000000-0005-0000-0000-0000BEA40000}"/>
    <cellStyle name="Normal 3 4 4 11 6 3" xfId="42184" xr:uid="{00000000-0005-0000-0000-0000BFA40000}"/>
    <cellStyle name="Normal 3 4 4 11 7" xfId="42185" xr:uid="{00000000-0005-0000-0000-0000C0A40000}"/>
    <cellStyle name="Normal 3 4 4 11 7 2" xfId="42186" xr:uid="{00000000-0005-0000-0000-0000C1A40000}"/>
    <cellStyle name="Normal 3 4 4 11 7 3" xfId="42187" xr:uid="{00000000-0005-0000-0000-0000C2A40000}"/>
    <cellStyle name="Normal 3 4 4 11 8" xfId="42188" xr:uid="{00000000-0005-0000-0000-0000C3A40000}"/>
    <cellStyle name="Normal 3 4 4 11 8 2" xfId="42189" xr:uid="{00000000-0005-0000-0000-0000C4A40000}"/>
    <cellStyle name="Normal 3 4 4 11 8 3" xfId="42190" xr:uid="{00000000-0005-0000-0000-0000C5A40000}"/>
    <cellStyle name="Normal 3 4 4 11 9" xfId="42191" xr:uid="{00000000-0005-0000-0000-0000C6A40000}"/>
    <cellStyle name="Normal 3 4 4 11 9 2" xfId="42192" xr:uid="{00000000-0005-0000-0000-0000C7A40000}"/>
    <cellStyle name="Normal 3 4 4 11 9 3" xfId="42193" xr:uid="{00000000-0005-0000-0000-0000C8A40000}"/>
    <cellStyle name="Normal 3 4 4 12" xfId="42194" xr:uid="{00000000-0005-0000-0000-0000C9A40000}"/>
    <cellStyle name="Normal 3 4 4 12 10" xfId="42195" xr:uid="{00000000-0005-0000-0000-0000CAA40000}"/>
    <cellStyle name="Normal 3 4 4 12 10 2" xfId="42196" xr:uid="{00000000-0005-0000-0000-0000CBA40000}"/>
    <cellStyle name="Normal 3 4 4 12 10 3" xfId="42197" xr:uid="{00000000-0005-0000-0000-0000CCA40000}"/>
    <cellStyle name="Normal 3 4 4 12 11" xfId="42198" xr:uid="{00000000-0005-0000-0000-0000CDA40000}"/>
    <cellStyle name="Normal 3 4 4 12 11 2" xfId="42199" xr:uid="{00000000-0005-0000-0000-0000CEA40000}"/>
    <cellStyle name="Normal 3 4 4 12 11 3" xfId="42200" xr:uid="{00000000-0005-0000-0000-0000CFA40000}"/>
    <cellStyle name="Normal 3 4 4 12 12" xfId="42201" xr:uid="{00000000-0005-0000-0000-0000D0A40000}"/>
    <cellStyle name="Normal 3 4 4 12 12 2" xfId="42202" xr:uid="{00000000-0005-0000-0000-0000D1A40000}"/>
    <cellStyle name="Normal 3 4 4 12 12 3" xfId="42203" xr:uid="{00000000-0005-0000-0000-0000D2A40000}"/>
    <cellStyle name="Normal 3 4 4 12 13" xfId="42204" xr:uid="{00000000-0005-0000-0000-0000D3A40000}"/>
    <cellStyle name="Normal 3 4 4 12 13 2" xfId="42205" xr:uid="{00000000-0005-0000-0000-0000D4A40000}"/>
    <cellStyle name="Normal 3 4 4 12 13 3" xfId="42206" xr:uid="{00000000-0005-0000-0000-0000D5A40000}"/>
    <cellStyle name="Normal 3 4 4 12 14" xfId="42207" xr:uid="{00000000-0005-0000-0000-0000D6A40000}"/>
    <cellStyle name="Normal 3 4 4 12 14 2" xfId="42208" xr:uid="{00000000-0005-0000-0000-0000D7A40000}"/>
    <cellStyle name="Normal 3 4 4 12 14 3" xfId="42209" xr:uid="{00000000-0005-0000-0000-0000D8A40000}"/>
    <cellStyle name="Normal 3 4 4 12 15" xfId="42210" xr:uid="{00000000-0005-0000-0000-0000D9A40000}"/>
    <cellStyle name="Normal 3 4 4 12 16" xfId="42211" xr:uid="{00000000-0005-0000-0000-0000DAA40000}"/>
    <cellStyle name="Normal 3 4 4 12 2" xfId="42212" xr:uid="{00000000-0005-0000-0000-0000DBA40000}"/>
    <cellStyle name="Normal 3 4 4 12 2 2" xfId="42213" xr:uid="{00000000-0005-0000-0000-0000DCA40000}"/>
    <cellStyle name="Normal 3 4 4 12 2 3" xfId="42214" xr:uid="{00000000-0005-0000-0000-0000DDA40000}"/>
    <cellStyle name="Normal 3 4 4 12 3" xfId="42215" xr:uid="{00000000-0005-0000-0000-0000DEA40000}"/>
    <cellStyle name="Normal 3 4 4 12 3 2" xfId="42216" xr:uid="{00000000-0005-0000-0000-0000DFA40000}"/>
    <cellStyle name="Normal 3 4 4 12 3 3" xfId="42217" xr:uid="{00000000-0005-0000-0000-0000E0A40000}"/>
    <cellStyle name="Normal 3 4 4 12 4" xfId="42218" xr:uid="{00000000-0005-0000-0000-0000E1A40000}"/>
    <cellStyle name="Normal 3 4 4 12 4 2" xfId="42219" xr:uid="{00000000-0005-0000-0000-0000E2A40000}"/>
    <cellStyle name="Normal 3 4 4 12 4 3" xfId="42220" xr:uid="{00000000-0005-0000-0000-0000E3A40000}"/>
    <cellStyle name="Normal 3 4 4 12 5" xfId="42221" xr:uid="{00000000-0005-0000-0000-0000E4A40000}"/>
    <cellStyle name="Normal 3 4 4 12 5 2" xfId="42222" xr:uid="{00000000-0005-0000-0000-0000E5A40000}"/>
    <cellStyle name="Normal 3 4 4 12 5 3" xfId="42223" xr:uid="{00000000-0005-0000-0000-0000E6A40000}"/>
    <cellStyle name="Normal 3 4 4 12 6" xfId="42224" xr:uid="{00000000-0005-0000-0000-0000E7A40000}"/>
    <cellStyle name="Normal 3 4 4 12 6 2" xfId="42225" xr:uid="{00000000-0005-0000-0000-0000E8A40000}"/>
    <cellStyle name="Normal 3 4 4 12 6 3" xfId="42226" xr:uid="{00000000-0005-0000-0000-0000E9A40000}"/>
    <cellStyle name="Normal 3 4 4 12 7" xfId="42227" xr:uid="{00000000-0005-0000-0000-0000EAA40000}"/>
    <cellStyle name="Normal 3 4 4 12 7 2" xfId="42228" xr:uid="{00000000-0005-0000-0000-0000EBA40000}"/>
    <cellStyle name="Normal 3 4 4 12 7 3" xfId="42229" xr:uid="{00000000-0005-0000-0000-0000ECA40000}"/>
    <cellStyle name="Normal 3 4 4 12 8" xfId="42230" xr:uid="{00000000-0005-0000-0000-0000EDA40000}"/>
    <cellStyle name="Normal 3 4 4 12 8 2" xfId="42231" xr:uid="{00000000-0005-0000-0000-0000EEA40000}"/>
    <cellStyle name="Normal 3 4 4 12 8 3" xfId="42232" xr:uid="{00000000-0005-0000-0000-0000EFA40000}"/>
    <cellStyle name="Normal 3 4 4 12 9" xfId="42233" xr:uid="{00000000-0005-0000-0000-0000F0A40000}"/>
    <cellStyle name="Normal 3 4 4 12 9 2" xfId="42234" xr:uid="{00000000-0005-0000-0000-0000F1A40000}"/>
    <cellStyle name="Normal 3 4 4 12 9 3" xfId="42235" xr:uid="{00000000-0005-0000-0000-0000F2A40000}"/>
    <cellStyle name="Normal 3 4 4 13" xfId="42236" xr:uid="{00000000-0005-0000-0000-0000F3A40000}"/>
    <cellStyle name="Normal 3 4 4 13 10" xfId="42237" xr:uid="{00000000-0005-0000-0000-0000F4A40000}"/>
    <cellStyle name="Normal 3 4 4 13 10 2" xfId="42238" xr:uid="{00000000-0005-0000-0000-0000F5A40000}"/>
    <cellStyle name="Normal 3 4 4 13 10 3" xfId="42239" xr:uid="{00000000-0005-0000-0000-0000F6A40000}"/>
    <cellStyle name="Normal 3 4 4 13 11" xfId="42240" xr:uid="{00000000-0005-0000-0000-0000F7A40000}"/>
    <cellStyle name="Normal 3 4 4 13 11 2" xfId="42241" xr:uid="{00000000-0005-0000-0000-0000F8A40000}"/>
    <cellStyle name="Normal 3 4 4 13 11 3" xfId="42242" xr:uid="{00000000-0005-0000-0000-0000F9A40000}"/>
    <cellStyle name="Normal 3 4 4 13 12" xfId="42243" xr:uid="{00000000-0005-0000-0000-0000FAA40000}"/>
    <cellStyle name="Normal 3 4 4 13 12 2" xfId="42244" xr:uid="{00000000-0005-0000-0000-0000FBA40000}"/>
    <cellStyle name="Normal 3 4 4 13 12 3" xfId="42245" xr:uid="{00000000-0005-0000-0000-0000FCA40000}"/>
    <cellStyle name="Normal 3 4 4 13 13" xfId="42246" xr:uid="{00000000-0005-0000-0000-0000FDA40000}"/>
    <cellStyle name="Normal 3 4 4 13 13 2" xfId="42247" xr:uid="{00000000-0005-0000-0000-0000FEA40000}"/>
    <cellStyle name="Normal 3 4 4 13 13 3" xfId="42248" xr:uid="{00000000-0005-0000-0000-0000FFA40000}"/>
    <cellStyle name="Normal 3 4 4 13 14" xfId="42249" xr:uid="{00000000-0005-0000-0000-000000A50000}"/>
    <cellStyle name="Normal 3 4 4 13 14 2" xfId="42250" xr:uid="{00000000-0005-0000-0000-000001A50000}"/>
    <cellStyle name="Normal 3 4 4 13 14 3" xfId="42251" xr:uid="{00000000-0005-0000-0000-000002A50000}"/>
    <cellStyle name="Normal 3 4 4 13 15" xfId="42252" xr:uid="{00000000-0005-0000-0000-000003A50000}"/>
    <cellStyle name="Normal 3 4 4 13 16" xfId="42253" xr:uid="{00000000-0005-0000-0000-000004A50000}"/>
    <cellStyle name="Normal 3 4 4 13 2" xfId="42254" xr:uid="{00000000-0005-0000-0000-000005A50000}"/>
    <cellStyle name="Normal 3 4 4 13 2 2" xfId="42255" xr:uid="{00000000-0005-0000-0000-000006A50000}"/>
    <cellStyle name="Normal 3 4 4 13 2 3" xfId="42256" xr:uid="{00000000-0005-0000-0000-000007A50000}"/>
    <cellStyle name="Normal 3 4 4 13 3" xfId="42257" xr:uid="{00000000-0005-0000-0000-000008A50000}"/>
    <cellStyle name="Normal 3 4 4 13 3 2" xfId="42258" xr:uid="{00000000-0005-0000-0000-000009A50000}"/>
    <cellStyle name="Normal 3 4 4 13 3 3" xfId="42259" xr:uid="{00000000-0005-0000-0000-00000AA50000}"/>
    <cellStyle name="Normal 3 4 4 13 4" xfId="42260" xr:uid="{00000000-0005-0000-0000-00000BA50000}"/>
    <cellStyle name="Normal 3 4 4 13 4 2" xfId="42261" xr:uid="{00000000-0005-0000-0000-00000CA50000}"/>
    <cellStyle name="Normal 3 4 4 13 4 3" xfId="42262" xr:uid="{00000000-0005-0000-0000-00000DA50000}"/>
    <cellStyle name="Normal 3 4 4 13 5" xfId="42263" xr:uid="{00000000-0005-0000-0000-00000EA50000}"/>
    <cellStyle name="Normal 3 4 4 13 5 2" xfId="42264" xr:uid="{00000000-0005-0000-0000-00000FA50000}"/>
    <cellStyle name="Normal 3 4 4 13 5 3" xfId="42265" xr:uid="{00000000-0005-0000-0000-000010A50000}"/>
    <cellStyle name="Normal 3 4 4 13 6" xfId="42266" xr:uid="{00000000-0005-0000-0000-000011A50000}"/>
    <cellStyle name="Normal 3 4 4 13 6 2" xfId="42267" xr:uid="{00000000-0005-0000-0000-000012A50000}"/>
    <cellStyle name="Normal 3 4 4 13 6 3" xfId="42268" xr:uid="{00000000-0005-0000-0000-000013A50000}"/>
    <cellStyle name="Normal 3 4 4 13 7" xfId="42269" xr:uid="{00000000-0005-0000-0000-000014A50000}"/>
    <cellStyle name="Normal 3 4 4 13 7 2" xfId="42270" xr:uid="{00000000-0005-0000-0000-000015A50000}"/>
    <cellStyle name="Normal 3 4 4 13 7 3" xfId="42271" xr:uid="{00000000-0005-0000-0000-000016A50000}"/>
    <cellStyle name="Normal 3 4 4 13 8" xfId="42272" xr:uid="{00000000-0005-0000-0000-000017A50000}"/>
    <cellStyle name="Normal 3 4 4 13 8 2" xfId="42273" xr:uid="{00000000-0005-0000-0000-000018A50000}"/>
    <cellStyle name="Normal 3 4 4 13 8 3" xfId="42274" xr:uid="{00000000-0005-0000-0000-000019A50000}"/>
    <cellStyle name="Normal 3 4 4 13 9" xfId="42275" xr:uid="{00000000-0005-0000-0000-00001AA50000}"/>
    <cellStyle name="Normal 3 4 4 13 9 2" xfId="42276" xr:uid="{00000000-0005-0000-0000-00001BA50000}"/>
    <cellStyle name="Normal 3 4 4 13 9 3" xfId="42277" xr:uid="{00000000-0005-0000-0000-00001CA50000}"/>
    <cellStyle name="Normal 3 4 4 14" xfId="42278" xr:uid="{00000000-0005-0000-0000-00001DA50000}"/>
    <cellStyle name="Normal 3 4 4 14 10" xfId="42279" xr:uid="{00000000-0005-0000-0000-00001EA50000}"/>
    <cellStyle name="Normal 3 4 4 14 10 2" xfId="42280" xr:uid="{00000000-0005-0000-0000-00001FA50000}"/>
    <cellStyle name="Normal 3 4 4 14 10 3" xfId="42281" xr:uid="{00000000-0005-0000-0000-000020A50000}"/>
    <cellStyle name="Normal 3 4 4 14 11" xfId="42282" xr:uid="{00000000-0005-0000-0000-000021A50000}"/>
    <cellStyle name="Normal 3 4 4 14 11 2" xfId="42283" xr:uid="{00000000-0005-0000-0000-000022A50000}"/>
    <cellStyle name="Normal 3 4 4 14 11 3" xfId="42284" xr:uid="{00000000-0005-0000-0000-000023A50000}"/>
    <cellStyle name="Normal 3 4 4 14 12" xfId="42285" xr:uid="{00000000-0005-0000-0000-000024A50000}"/>
    <cellStyle name="Normal 3 4 4 14 12 2" xfId="42286" xr:uid="{00000000-0005-0000-0000-000025A50000}"/>
    <cellStyle name="Normal 3 4 4 14 12 3" xfId="42287" xr:uid="{00000000-0005-0000-0000-000026A50000}"/>
    <cellStyle name="Normal 3 4 4 14 13" xfId="42288" xr:uid="{00000000-0005-0000-0000-000027A50000}"/>
    <cellStyle name="Normal 3 4 4 14 13 2" xfId="42289" xr:uid="{00000000-0005-0000-0000-000028A50000}"/>
    <cellStyle name="Normal 3 4 4 14 13 3" xfId="42290" xr:uid="{00000000-0005-0000-0000-000029A50000}"/>
    <cellStyle name="Normal 3 4 4 14 14" xfId="42291" xr:uid="{00000000-0005-0000-0000-00002AA50000}"/>
    <cellStyle name="Normal 3 4 4 14 14 2" xfId="42292" xr:uid="{00000000-0005-0000-0000-00002BA50000}"/>
    <cellStyle name="Normal 3 4 4 14 14 3" xfId="42293" xr:uid="{00000000-0005-0000-0000-00002CA50000}"/>
    <cellStyle name="Normal 3 4 4 14 15" xfId="42294" xr:uid="{00000000-0005-0000-0000-00002DA50000}"/>
    <cellStyle name="Normal 3 4 4 14 16" xfId="42295" xr:uid="{00000000-0005-0000-0000-00002EA50000}"/>
    <cellStyle name="Normal 3 4 4 14 2" xfId="42296" xr:uid="{00000000-0005-0000-0000-00002FA50000}"/>
    <cellStyle name="Normal 3 4 4 14 2 2" xfId="42297" xr:uid="{00000000-0005-0000-0000-000030A50000}"/>
    <cellStyle name="Normal 3 4 4 14 2 3" xfId="42298" xr:uid="{00000000-0005-0000-0000-000031A50000}"/>
    <cellStyle name="Normal 3 4 4 14 3" xfId="42299" xr:uid="{00000000-0005-0000-0000-000032A50000}"/>
    <cellStyle name="Normal 3 4 4 14 3 2" xfId="42300" xr:uid="{00000000-0005-0000-0000-000033A50000}"/>
    <cellStyle name="Normal 3 4 4 14 3 3" xfId="42301" xr:uid="{00000000-0005-0000-0000-000034A50000}"/>
    <cellStyle name="Normal 3 4 4 14 4" xfId="42302" xr:uid="{00000000-0005-0000-0000-000035A50000}"/>
    <cellStyle name="Normal 3 4 4 14 4 2" xfId="42303" xr:uid="{00000000-0005-0000-0000-000036A50000}"/>
    <cellStyle name="Normal 3 4 4 14 4 3" xfId="42304" xr:uid="{00000000-0005-0000-0000-000037A50000}"/>
    <cellStyle name="Normal 3 4 4 14 5" xfId="42305" xr:uid="{00000000-0005-0000-0000-000038A50000}"/>
    <cellStyle name="Normal 3 4 4 14 5 2" xfId="42306" xr:uid="{00000000-0005-0000-0000-000039A50000}"/>
    <cellStyle name="Normal 3 4 4 14 5 3" xfId="42307" xr:uid="{00000000-0005-0000-0000-00003AA50000}"/>
    <cellStyle name="Normal 3 4 4 14 6" xfId="42308" xr:uid="{00000000-0005-0000-0000-00003BA50000}"/>
    <cellStyle name="Normal 3 4 4 14 6 2" xfId="42309" xr:uid="{00000000-0005-0000-0000-00003CA50000}"/>
    <cellStyle name="Normal 3 4 4 14 6 3" xfId="42310" xr:uid="{00000000-0005-0000-0000-00003DA50000}"/>
    <cellStyle name="Normal 3 4 4 14 7" xfId="42311" xr:uid="{00000000-0005-0000-0000-00003EA50000}"/>
    <cellStyle name="Normal 3 4 4 14 7 2" xfId="42312" xr:uid="{00000000-0005-0000-0000-00003FA50000}"/>
    <cellStyle name="Normal 3 4 4 14 7 3" xfId="42313" xr:uid="{00000000-0005-0000-0000-000040A50000}"/>
    <cellStyle name="Normal 3 4 4 14 8" xfId="42314" xr:uid="{00000000-0005-0000-0000-000041A50000}"/>
    <cellStyle name="Normal 3 4 4 14 8 2" xfId="42315" xr:uid="{00000000-0005-0000-0000-000042A50000}"/>
    <cellStyle name="Normal 3 4 4 14 8 3" xfId="42316" xr:uid="{00000000-0005-0000-0000-000043A50000}"/>
    <cellStyle name="Normal 3 4 4 14 9" xfId="42317" xr:uid="{00000000-0005-0000-0000-000044A50000}"/>
    <cellStyle name="Normal 3 4 4 14 9 2" xfId="42318" xr:uid="{00000000-0005-0000-0000-000045A50000}"/>
    <cellStyle name="Normal 3 4 4 14 9 3" xfId="42319" xr:uid="{00000000-0005-0000-0000-000046A50000}"/>
    <cellStyle name="Normal 3 4 4 15" xfId="42320" xr:uid="{00000000-0005-0000-0000-000047A50000}"/>
    <cellStyle name="Normal 3 4 4 15 2" xfId="42321" xr:uid="{00000000-0005-0000-0000-000048A50000}"/>
    <cellStyle name="Normal 3 4 4 15 3" xfId="42322" xr:uid="{00000000-0005-0000-0000-000049A50000}"/>
    <cellStyle name="Normal 3 4 4 16" xfId="42323" xr:uid="{00000000-0005-0000-0000-00004AA50000}"/>
    <cellStyle name="Normal 3 4 4 16 2" xfId="42324" xr:uid="{00000000-0005-0000-0000-00004BA50000}"/>
    <cellStyle name="Normal 3 4 4 16 3" xfId="42325" xr:uid="{00000000-0005-0000-0000-00004CA50000}"/>
    <cellStyle name="Normal 3 4 4 17" xfId="42326" xr:uid="{00000000-0005-0000-0000-00004DA50000}"/>
    <cellStyle name="Normal 3 4 4 17 2" xfId="42327" xr:uid="{00000000-0005-0000-0000-00004EA50000}"/>
    <cellStyle name="Normal 3 4 4 17 3" xfId="42328" xr:uid="{00000000-0005-0000-0000-00004FA50000}"/>
    <cellStyle name="Normal 3 4 4 18" xfId="42329" xr:uid="{00000000-0005-0000-0000-000050A50000}"/>
    <cellStyle name="Normal 3 4 4 18 2" xfId="42330" xr:uid="{00000000-0005-0000-0000-000051A50000}"/>
    <cellStyle name="Normal 3 4 4 18 3" xfId="42331" xr:uid="{00000000-0005-0000-0000-000052A50000}"/>
    <cellStyle name="Normal 3 4 4 19" xfId="42332" xr:uid="{00000000-0005-0000-0000-000053A50000}"/>
    <cellStyle name="Normal 3 4 4 19 2" xfId="42333" xr:uid="{00000000-0005-0000-0000-000054A50000}"/>
    <cellStyle name="Normal 3 4 4 19 3" xfId="42334" xr:uid="{00000000-0005-0000-0000-000055A50000}"/>
    <cellStyle name="Normal 3 4 4 2" xfId="42335" xr:uid="{00000000-0005-0000-0000-000056A50000}"/>
    <cellStyle name="Normal 3 4 4 20" xfId="42336" xr:uid="{00000000-0005-0000-0000-000057A50000}"/>
    <cellStyle name="Normal 3 4 4 20 2" xfId="42337" xr:uid="{00000000-0005-0000-0000-000058A50000}"/>
    <cellStyle name="Normal 3 4 4 20 3" xfId="42338" xr:uid="{00000000-0005-0000-0000-000059A50000}"/>
    <cellStyle name="Normal 3 4 4 21" xfId="42339" xr:uid="{00000000-0005-0000-0000-00005AA50000}"/>
    <cellStyle name="Normal 3 4 4 21 2" xfId="42340" xr:uid="{00000000-0005-0000-0000-00005BA50000}"/>
    <cellStyle name="Normal 3 4 4 21 3" xfId="42341" xr:uid="{00000000-0005-0000-0000-00005CA50000}"/>
    <cellStyle name="Normal 3 4 4 22" xfId="42342" xr:uid="{00000000-0005-0000-0000-00005DA50000}"/>
    <cellStyle name="Normal 3 4 4 22 2" xfId="42343" xr:uid="{00000000-0005-0000-0000-00005EA50000}"/>
    <cellStyle name="Normal 3 4 4 22 3" xfId="42344" xr:uid="{00000000-0005-0000-0000-00005FA50000}"/>
    <cellStyle name="Normal 3 4 4 23" xfId="42345" xr:uid="{00000000-0005-0000-0000-000060A50000}"/>
    <cellStyle name="Normal 3 4 4 23 2" xfId="42346" xr:uid="{00000000-0005-0000-0000-000061A50000}"/>
    <cellStyle name="Normal 3 4 4 23 3" xfId="42347" xr:uid="{00000000-0005-0000-0000-000062A50000}"/>
    <cellStyle name="Normal 3 4 4 24" xfId="42348" xr:uid="{00000000-0005-0000-0000-000063A50000}"/>
    <cellStyle name="Normal 3 4 4 24 2" xfId="42349" xr:uid="{00000000-0005-0000-0000-000064A50000}"/>
    <cellStyle name="Normal 3 4 4 24 3" xfId="42350" xr:uid="{00000000-0005-0000-0000-000065A50000}"/>
    <cellStyle name="Normal 3 4 4 25" xfId="42351" xr:uid="{00000000-0005-0000-0000-000066A50000}"/>
    <cellStyle name="Normal 3 4 4 25 2" xfId="42352" xr:uid="{00000000-0005-0000-0000-000067A50000}"/>
    <cellStyle name="Normal 3 4 4 25 3" xfId="42353" xr:uid="{00000000-0005-0000-0000-000068A50000}"/>
    <cellStyle name="Normal 3 4 4 26" xfId="42354" xr:uid="{00000000-0005-0000-0000-000069A50000}"/>
    <cellStyle name="Normal 3 4 4 26 2" xfId="42355" xr:uid="{00000000-0005-0000-0000-00006AA50000}"/>
    <cellStyle name="Normal 3 4 4 26 3" xfId="42356" xr:uid="{00000000-0005-0000-0000-00006BA50000}"/>
    <cellStyle name="Normal 3 4 4 27" xfId="42357" xr:uid="{00000000-0005-0000-0000-00006CA50000}"/>
    <cellStyle name="Normal 3 4 4 27 2" xfId="42358" xr:uid="{00000000-0005-0000-0000-00006DA50000}"/>
    <cellStyle name="Normal 3 4 4 27 3" xfId="42359" xr:uid="{00000000-0005-0000-0000-00006EA50000}"/>
    <cellStyle name="Normal 3 4 4 28" xfId="42360" xr:uid="{00000000-0005-0000-0000-00006FA50000}"/>
    <cellStyle name="Normal 3 4 4 29" xfId="42361" xr:uid="{00000000-0005-0000-0000-000070A50000}"/>
    <cellStyle name="Normal 3 4 4 3" xfId="42362" xr:uid="{00000000-0005-0000-0000-000071A50000}"/>
    <cellStyle name="Normal 3 4 4 4" xfId="42363" xr:uid="{00000000-0005-0000-0000-000072A50000}"/>
    <cellStyle name="Normal 3 4 4 5" xfId="42364" xr:uid="{00000000-0005-0000-0000-000073A50000}"/>
    <cellStyle name="Normal 3 4 4 6" xfId="42365" xr:uid="{00000000-0005-0000-0000-000074A50000}"/>
    <cellStyle name="Normal 3 4 4 6 10" xfId="42366" xr:uid="{00000000-0005-0000-0000-000075A50000}"/>
    <cellStyle name="Normal 3 4 4 6 10 2" xfId="42367" xr:uid="{00000000-0005-0000-0000-000076A50000}"/>
    <cellStyle name="Normal 3 4 4 6 10 3" xfId="42368" xr:uid="{00000000-0005-0000-0000-000077A50000}"/>
    <cellStyle name="Normal 3 4 4 6 11" xfId="42369" xr:uid="{00000000-0005-0000-0000-000078A50000}"/>
    <cellStyle name="Normal 3 4 4 6 11 2" xfId="42370" xr:uid="{00000000-0005-0000-0000-000079A50000}"/>
    <cellStyle name="Normal 3 4 4 6 11 3" xfId="42371" xr:uid="{00000000-0005-0000-0000-00007AA50000}"/>
    <cellStyle name="Normal 3 4 4 6 12" xfId="42372" xr:uid="{00000000-0005-0000-0000-00007BA50000}"/>
    <cellStyle name="Normal 3 4 4 6 12 2" xfId="42373" xr:uid="{00000000-0005-0000-0000-00007CA50000}"/>
    <cellStyle name="Normal 3 4 4 6 12 3" xfId="42374" xr:uid="{00000000-0005-0000-0000-00007DA50000}"/>
    <cellStyle name="Normal 3 4 4 6 13" xfId="42375" xr:uid="{00000000-0005-0000-0000-00007EA50000}"/>
    <cellStyle name="Normal 3 4 4 6 13 2" xfId="42376" xr:uid="{00000000-0005-0000-0000-00007FA50000}"/>
    <cellStyle name="Normal 3 4 4 6 13 3" xfId="42377" xr:uid="{00000000-0005-0000-0000-000080A50000}"/>
    <cellStyle name="Normal 3 4 4 6 14" xfId="42378" xr:uid="{00000000-0005-0000-0000-000081A50000}"/>
    <cellStyle name="Normal 3 4 4 6 14 2" xfId="42379" xr:uid="{00000000-0005-0000-0000-000082A50000}"/>
    <cellStyle name="Normal 3 4 4 6 14 3" xfId="42380" xr:uid="{00000000-0005-0000-0000-000083A50000}"/>
    <cellStyle name="Normal 3 4 4 6 15" xfId="42381" xr:uid="{00000000-0005-0000-0000-000084A50000}"/>
    <cellStyle name="Normal 3 4 4 6 15 2" xfId="42382" xr:uid="{00000000-0005-0000-0000-000085A50000}"/>
    <cellStyle name="Normal 3 4 4 6 15 3" xfId="42383" xr:uid="{00000000-0005-0000-0000-000086A50000}"/>
    <cellStyle name="Normal 3 4 4 6 16" xfId="42384" xr:uid="{00000000-0005-0000-0000-000087A50000}"/>
    <cellStyle name="Normal 3 4 4 6 17" xfId="42385" xr:uid="{00000000-0005-0000-0000-000088A50000}"/>
    <cellStyle name="Normal 3 4 4 6 2" xfId="42386" xr:uid="{00000000-0005-0000-0000-000089A50000}"/>
    <cellStyle name="Normal 3 4 4 6 2 10" xfId="42387" xr:uid="{00000000-0005-0000-0000-00008AA50000}"/>
    <cellStyle name="Normal 3 4 4 6 2 10 2" xfId="42388" xr:uid="{00000000-0005-0000-0000-00008BA50000}"/>
    <cellStyle name="Normal 3 4 4 6 2 10 3" xfId="42389" xr:uid="{00000000-0005-0000-0000-00008CA50000}"/>
    <cellStyle name="Normal 3 4 4 6 2 11" xfId="42390" xr:uid="{00000000-0005-0000-0000-00008DA50000}"/>
    <cellStyle name="Normal 3 4 4 6 2 11 2" xfId="42391" xr:uid="{00000000-0005-0000-0000-00008EA50000}"/>
    <cellStyle name="Normal 3 4 4 6 2 11 3" xfId="42392" xr:uid="{00000000-0005-0000-0000-00008FA50000}"/>
    <cellStyle name="Normal 3 4 4 6 2 12" xfId="42393" xr:uid="{00000000-0005-0000-0000-000090A50000}"/>
    <cellStyle name="Normal 3 4 4 6 2 12 2" xfId="42394" xr:uid="{00000000-0005-0000-0000-000091A50000}"/>
    <cellStyle name="Normal 3 4 4 6 2 12 3" xfId="42395" xr:uid="{00000000-0005-0000-0000-000092A50000}"/>
    <cellStyle name="Normal 3 4 4 6 2 13" xfId="42396" xr:uid="{00000000-0005-0000-0000-000093A50000}"/>
    <cellStyle name="Normal 3 4 4 6 2 13 2" xfId="42397" xr:uid="{00000000-0005-0000-0000-000094A50000}"/>
    <cellStyle name="Normal 3 4 4 6 2 13 3" xfId="42398" xr:uid="{00000000-0005-0000-0000-000095A50000}"/>
    <cellStyle name="Normal 3 4 4 6 2 14" xfId="42399" xr:uid="{00000000-0005-0000-0000-000096A50000}"/>
    <cellStyle name="Normal 3 4 4 6 2 14 2" xfId="42400" xr:uid="{00000000-0005-0000-0000-000097A50000}"/>
    <cellStyle name="Normal 3 4 4 6 2 14 3" xfId="42401" xr:uid="{00000000-0005-0000-0000-000098A50000}"/>
    <cellStyle name="Normal 3 4 4 6 2 15" xfId="42402" xr:uid="{00000000-0005-0000-0000-000099A50000}"/>
    <cellStyle name="Normal 3 4 4 6 2 16" xfId="42403" xr:uid="{00000000-0005-0000-0000-00009AA50000}"/>
    <cellStyle name="Normal 3 4 4 6 2 2" xfId="42404" xr:uid="{00000000-0005-0000-0000-00009BA50000}"/>
    <cellStyle name="Normal 3 4 4 6 2 2 2" xfId="42405" xr:uid="{00000000-0005-0000-0000-00009CA50000}"/>
    <cellStyle name="Normal 3 4 4 6 2 2 3" xfId="42406" xr:uid="{00000000-0005-0000-0000-00009DA50000}"/>
    <cellStyle name="Normal 3 4 4 6 2 3" xfId="42407" xr:uid="{00000000-0005-0000-0000-00009EA50000}"/>
    <cellStyle name="Normal 3 4 4 6 2 3 2" xfId="42408" xr:uid="{00000000-0005-0000-0000-00009FA50000}"/>
    <cellStyle name="Normal 3 4 4 6 2 3 3" xfId="42409" xr:uid="{00000000-0005-0000-0000-0000A0A50000}"/>
    <cellStyle name="Normal 3 4 4 6 2 4" xfId="42410" xr:uid="{00000000-0005-0000-0000-0000A1A50000}"/>
    <cellStyle name="Normal 3 4 4 6 2 4 2" xfId="42411" xr:uid="{00000000-0005-0000-0000-0000A2A50000}"/>
    <cellStyle name="Normal 3 4 4 6 2 4 3" xfId="42412" xr:uid="{00000000-0005-0000-0000-0000A3A50000}"/>
    <cellStyle name="Normal 3 4 4 6 2 5" xfId="42413" xr:uid="{00000000-0005-0000-0000-0000A4A50000}"/>
    <cellStyle name="Normal 3 4 4 6 2 5 2" xfId="42414" xr:uid="{00000000-0005-0000-0000-0000A5A50000}"/>
    <cellStyle name="Normal 3 4 4 6 2 5 3" xfId="42415" xr:uid="{00000000-0005-0000-0000-0000A6A50000}"/>
    <cellStyle name="Normal 3 4 4 6 2 6" xfId="42416" xr:uid="{00000000-0005-0000-0000-0000A7A50000}"/>
    <cellStyle name="Normal 3 4 4 6 2 6 2" xfId="42417" xr:uid="{00000000-0005-0000-0000-0000A8A50000}"/>
    <cellStyle name="Normal 3 4 4 6 2 6 3" xfId="42418" xr:uid="{00000000-0005-0000-0000-0000A9A50000}"/>
    <cellStyle name="Normal 3 4 4 6 2 7" xfId="42419" xr:uid="{00000000-0005-0000-0000-0000AAA50000}"/>
    <cellStyle name="Normal 3 4 4 6 2 7 2" xfId="42420" xr:uid="{00000000-0005-0000-0000-0000ABA50000}"/>
    <cellStyle name="Normal 3 4 4 6 2 7 3" xfId="42421" xr:uid="{00000000-0005-0000-0000-0000ACA50000}"/>
    <cellStyle name="Normal 3 4 4 6 2 8" xfId="42422" xr:uid="{00000000-0005-0000-0000-0000ADA50000}"/>
    <cellStyle name="Normal 3 4 4 6 2 8 2" xfId="42423" xr:uid="{00000000-0005-0000-0000-0000AEA50000}"/>
    <cellStyle name="Normal 3 4 4 6 2 8 3" xfId="42424" xr:uid="{00000000-0005-0000-0000-0000AFA50000}"/>
    <cellStyle name="Normal 3 4 4 6 2 9" xfId="42425" xr:uid="{00000000-0005-0000-0000-0000B0A50000}"/>
    <cellStyle name="Normal 3 4 4 6 2 9 2" xfId="42426" xr:uid="{00000000-0005-0000-0000-0000B1A50000}"/>
    <cellStyle name="Normal 3 4 4 6 2 9 3" xfId="42427" xr:uid="{00000000-0005-0000-0000-0000B2A50000}"/>
    <cellStyle name="Normal 3 4 4 6 3" xfId="42428" xr:uid="{00000000-0005-0000-0000-0000B3A50000}"/>
    <cellStyle name="Normal 3 4 4 6 3 2" xfId="42429" xr:uid="{00000000-0005-0000-0000-0000B4A50000}"/>
    <cellStyle name="Normal 3 4 4 6 3 3" xfId="42430" xr:uid="{00000000-0005-0000-0000-0000B5A50000}"/>
    <cellStyle name="Normal 3 4 4 6 4" xfId="42431" xr:uid="{00000000-0005-0000-0000-0000B6A50000}"/>
    <cellStyle name="Normal 3 4 4 6 4 2" xfId="42432" xr:uid="{00000000-0005-0000-0000-0000B7A50000}"/>
    <cellStyle name="Normal 3 4 4 6 4 3" xfId="42433" xr:uid="{00000000-0005-0000-0000-0000B8A50000}"/>
    <cellStyle name="Normal 3 4 4 6 5" xfId="42434" xr:uid="{00000000-0005-0000-0000-0000B9A50000}"/>
    <cellStyle name="Normal 3 4 4 6 5 2" xfId="42435" xr:uid="{00000000-0005-0000-0000-0000BAA50000}"/>
    <cellStyle name="Normal 3 4 4 6 5 3" xfId="42436" xr:uid="{00000000-0005-0000-0000-0000BBA50000}"/>
    <cellStyle name="Normal 3 4 4 6 6" xfId="42437" xr:uid="{00000000-0005-0000-0000-0000BCA50000}"/>
    <cellStyle name="Normal 3 4 4 6 6 2" xfId="42438" xr:uid="{00000000-0005-0000-0000-0000BDA50000}"/>
    <cellStyle name="Normal 3 4 4 6 6 3" xfId="42439" xr:uid="{00000000-0005-0000-0000-0000BEA50000}"/>
    <cellStyle name="Normal 3 4 4 6 7" xfId="42440" xr:uid="{00000000-0005-0000-0000-0000BFA50000}"/>
    <cellStyle name="Normal 3 4 4 6 7 2" xfId="42441" xr:uid="{00000000-0005-0000-0000-0000C0A50000}"/>
    <cellStyle name="Normal 3 4 4 6 7 3" xfId="42442" xr:uid="{00000000-0005-0000-0000-0000C1A50000}"/>
    <cellStyle name="Normal 3 4 4 6 8" xfId="42443" xr:uid="{00000000-0005-0000-0000-0000C2A50000}"/>
    <cellStyle name="Normal 3 4 4 6 8 2" xfId="42444" xr:uid="{00000000-0005-0000-0000-0000C3A50000}"/>
    <cellStyle name="Normal 3 4 4 6 8 3" xfId="42445" xr:uid="{00000000-0005-0000-0000-0000C4A50000}"/>
    <cellStyle name="Normal 3 4 4 6 9" xfId="42446" xr:uid="{00000000-0005-0000-0000-0000C5A50000}"/>
    <cellStyle name="Normal 3 4 4 6 9 2" xfId="42447" xr:uid="{00000000-0005-0000-0000-0000C6A50000}"/>
    <cellStyle name="Normal 3 4 4 6 9 3" xfId="42448" xr:uid="{00000000-0005-0000-0000-0000C7A50000}"/>
    <cellStyle name="Normal 3 4 4 7" xfId="42449" xr:uid="{00000000-0005-0000-0000-0000C8A50000}"/>
    <cellStyle name="Normal 3 4 4 7 10" xfId="42450" xr:uid="{00000000-0005-0000-0000-0000C9A50000}"/>
    <cellStyle name="Normal 3 4 4 7 10 2" xfId="42451" xr:uid="{00000000-0005-0000-0000-0000CAA50000}"/>
    <cellStyle name="Normal 3 4 4 7 10 3" xfId="42452" xr:uid="{00000000-0005-0000-0000-0000CBA50000}"/>
    <cellStyle name="Normal 3 4 4 7 11" xfId="42453" xr:uid="{00000000-0005-0000-0000-0000CCA50000}"/>
    <cellStyle name="Normal 3 4 4 7 11 2" xfId="42454" xr:uid="{00000000-0005-0000-0000-0000CDA50000}"/>
    <cellStyle name="Normal 3 4 4 7 11 3" xfId="42455" xr:uid="{00000000-0005-0000-0000-0000CEA50000}"/>
    <cellStyle name="Normal 3 4 4 7 12" xfId="42456" xr:uid="{00000000-0005-0000-0000-0000CFA50000}"/>
    <cellStyle name="Normal 3 4 4 7 12 2" xfId="42457" xr:uid="{00000000-0005-0000-0000-0000D0A50000}"/>
    <cellStyle name="Normal 3 4 4 7 12 3" xfId="42458" xr:uid="{00000000-0005-0000-0000-0000D1A50000}"/>
    <cellStyle name="Normal 3 4 4 7 13" xfId="42459" xr:uid="{00000000-0005-0000-0000-0000D2A50000}"/>
    <cellStyle name="Normal 3 4 4 7 13 2" xfId="42460" xr:uid="{00000000-0005-0000-0000-0000D3A50000}"/>
    <cellStyle name="Normal 3 4 4 7 13 3" xfId="42461" xr:uid="{00000000-0005-0000-0000-0000D4A50000}"/>
    <cellStyle name="Normal 3 4 4 7 14" xfId="42462" xr:uid="{00000000-0005-0000-0000-0000D5A50000}"/>
    <cellStyle name="Normal 3 4 4 7 14 2" xfId="42463" xr:uid="{00000000-0005-0000-0000-0000D6A50000}"/>
    <cellStyle name="Normal 3 4 4 7 14 3" xfId="42464" xr:uid="{00000000-0005-0000-0000-0000D7A50000}"/>
    <cellStyle name="Normal 3 4 4 7 15" xfId="42465" xr:uid="{00000000-0005-0000-0000-0000D8A50000}"/>
    <cellStyle name="Normal 3 4 4 7 15 2" xfId="42466" xr:uid="{00000000-0005-0000-0000-0000D9A50000}"/>
    <cellStyle name="Normal 3 4 4 7 15 3" xfId="42467" xr:uid="{00000000-0005-0000-0000-0000DAA50000}"/>
    <cellStyle name="Normal 3 4 4 7 16" xfId="42468" xr:uid="{00000000-0005-0000-0000-0000DBA50000}"/>
    <cellStyle name="Normal 3 4 4 7 17" xfId="42469" xr:uid="{00000000-0005-0000-0000-0000DCA50000}"/>
    <cellStyle name="Normal 3 4 4 7 2" xfId="42470" xr:uid="{00000000-0005-0000-0000-0000DDA50000}"/>
    <cellStyle name="Normal 3 4 4 7 2 10" xfId="42471" xr:uid="{00000000-0005-0000-0000-0000DEA50000}"/>
    <cellStyle name="Normal 3 4 4 7 2 10 2" xfId="42472" xr:uid="{00000000-0005-0000-0000-0000DFA50000}"/>
    <cellStyle name="Normal 3 4 4 7 2 10 3" xfId="42473" xr:uid="{00000000-0005-0000-0000-0000E0A50000}"/>
    <cellStyle name="Normal 3 4 4 7 2 11" xfId="42474" xr:uid="{00000000-0005-0000-0000-0000E1A50000}"/>
    <cellStyle name="Normal 3 4 4 7 2 11 2" xfId="42475" xr:uid="{00000000-0005-0000-0000-0000E2A50000}"/>
    <cellStyle name="Normal 3 4 4 7 2 11 3" xfId="42476" xr:uid="{00000000-0005-0000-0000-0000E3A50000}"/>
    <cellStyle name="Normal 3 4 4 7 2 12" xfId="42477" xr:uid="{00000000-0005-0000-0000-0000E4A50000}"/>
    <cellStyle name="Normal 3 4 4 7 2 12 2" xfId="42478" xr:uid="{00000000-0005-0000-0000-0000E5A50000}"/>
    <cellStyle name="Normal 3 4 4 7 2 12 3" xfId="42479" xr:uid="{00000000-0005-0000-0000-0000E6A50000}"/>
    <cellStyle name="Normal 3 4 4 7 2 13" xfId="42480" xr:uid="{00000000-0005-0000-0000-0000E7A50000}"/>
    <cellStyle name="Normal 3 4 4 7 2 13 2" xfId="42481" xr:uid="{00000000-0005-0000-0000-0000E8A50000}"/>
    <cellStyle name="Normal 3 4 4 7 2 13 3" xfId="42482" xr:uid="{00000000-0005-0000-0000-0000E9A50000}"/>
    <cellStyle name="Normal 3 4 4 7 2 14" xfId="42483" xr:uid="{00000000-0005-0000-0000-0000EAA50000}"/>
    <cellStyle name="Normal 3 4 4 7 2 14 2" xfId="42484" xr:uid="{00000000-0005-0000-0000-0000EBA50000}"/>
    <cellStyle name="Normal 3 4 4 7 2 14 3" xfId="42485" xr:uid="{00000000-0005-0000-0000-0000ECA50000}"/>
    <cellStyle name="Normal 3 4 4 7 2 15" xfId="42486" xr:uid="{00000000-0005-0000-0000-0000EDA50000}"/>
    <cellStyle name="Normal 3 4 4 7 2 16" xfId="42487" xr:uid="{00000000-0005-0000-0000-0000EEA50000}"/>
    <cellStyle name="Normal 3 4 4 7 2 2" xfId="42488" xr:uid="{00000000-0005-0000-0000-0000EFA50000}"/>
    <cellStyle name="Normal 3 4 4 7 2 2 2" xfId="42489" xr:uid="{00000000-0005-0000-0000-0000F0A50000}"/>
    <cellStyle name="Normal 3 4 4 7 2 2 3" xfId="42490" xr:uid="{00000000-0005-0000-0000-0000F1A50000}"/>
    <cellStyle name="Normal 3 4 4 7 2 3" xfId="42491" xr:uid="{00000000-0005-0000-0000-0000F2A50000}"/>
    <cellStyle name="Normal 3 4 4 7 2 3 2" xfId="42492" xr:uid="{00000000-0005-0000-0000-0000F3A50000}"/>
    <cellStyle name="Normal 3 4 4 7 2 3 3" xfId="42493" xr:uid="{00000000-0005-0000-0000-0000F4A50000}"/>
    <cellStyle name="Normal 3 4 4 7 2 4" xfId="42494" xr:uid="{00000000-0005-0000-0000-0000F5A50000}"/>
    <cellStyle name="Normal 3 4 4 7 2 4 2" xfId="42495" xr:uid="{00000000-0005-0000-0000-0000F6A50000}"/>
    <cellStyle name="Normal 3 4 4 7 2 4 3" xfId="42496" xr:uid="{00000000-0005-0000-0000-0000F7A50000}"/>
    <cellStyle name="Normal 3 4 4 7 2 5" xfId="42497" xr:uid="{00000000-0005-0000-0000-0000F8A50000}"/>
    <cellStyle name="Normal 3 4 4 7 2 5 2" xfId="42498" xr:uid="{00000000-0005-0000-0000-0000F9A50000}"/>
    <cellStyle name="Normal 3 4 4 7 2 5 3" xfId="42499" xr:uid="{00000000-0005-0000-0000-0000FAA50000}"/>
    <cellStyle name="Normal 3 4 4 7 2 6" xfId="42500" xr:uid="{00000000-0005-0000-0000-0000FBA50000}"/>
    <cellStyle name="Normal 3 4 4 7 2 6 2" xfId="42501" xr:uid="{00000000-0005-0000-0000-0000FCA50000}"/>
    <cellStyle name="Normal 3 4 4 7 2 6 3" xfId="42502" xr:uid="{00000000-0005-0000-0000-0000FDA50000}"/>
    <cellStyle name="Normal 3 4 4 7 2 7" xfId="42503" xr:uid="{00000000-0005-0000-0000-0000FEA50000}"/>
    <cellStyle name="Normal 3 4 4 7 2 7 2" xfId="42504" xr:uid="{00000000-0005-0000-0000-0000FFA50000}"/>
    <cellStyle name="Normal 3 4 4 7 2 7 3" xfId="42505" xr:uid="{00000000-0005-0000-0000-000000A60000}"/>
    <cellStyle name="Normal 3 4 4 7 2 8" xfId="42506" xr:uid="{00000000-0005-0000-0000-000001A60000}"/>
    <cellStyle name="Normal 3 4 4 7 2 8 2" xfId="42507" xr:uid="{00000000-0005-0000-0000-000002A60000}"/>
    <cellStyle name="Normal 3 4 4 7 2 8 3" xfId="42508" xr:uid="{00000000-0005-0000-0000-000003A60000}"/>
    <cellStyle name="Normal 3 4 4 7 2 9" xfId="42509" xr:uid="{00000000-0005-0000-0000-000004A60000}"/>
    <cellStyle name="Normal 3 4 4 7 2 9 2" xfId="42510" xr:uid="{00000000-0005-0000-0000-000005A60000}"/>
    <cellStyle name="Normal 3 4 4 7 2 9 3" xfId="42511" xr:uid="{00000000-0005-0000-0000-000006A60000}"/>
    <cellStyle name="Normal 3 4 4 7 3" xfId="42512" xr:uid="{00000000-0005-0000-0000-000007A60000}"/>
    <cellStyle name="Normal 3 4 4 7 3 2" xfId="42513" xr:uid="{00000000-0005-0000-0000-000008A60000}"/>
    <cellStyle name="Normal 3 4 4 7 3 3" xfId="42514" xr:uid="{00000000-0005-0000-0000-000009A60000}"/>
    <cellStyle name="Normal 3 4 4 7 4" xfId="42515" xr:uid="{00000000-0005-0000-0000-00000AA60000}"/>
    <cellStyle name="Normal 3 4 4 7 4 2" xfId="42516" xr:uid="{00000000-0005-0000-0000-00000BA60000}"/>
    <cellStyle name="Normal 3 4 4 7 4 3" xfId="42517" xr:uid="{00000000-0005-0000-0000-00000CA60000}"/>
    <cellStyle name="Normal 3 4 4 7 5" xfId="42518" xr:uid="{00000000-0005-0000-0000-00000DA60000}"/>
    <cellStyle name="Normal 3 4 4 7 5 2" xfId="42519" xr:uid="{00000000-0005-0000-0000-00000EA60000}"/>
    <cellStyle name="Normal 3 4 4 7 5 3" xfId="42520" xr:uid="{00000000-0005-0000-0000-00000FA60000}"/>
    <cellStyle name="Normal 3 4 4 7 6" xfId="42521" xr:uid="{00000000-0005-0000-0000-000010A60000}"/>
    <cellStyle name="Normal 3 4 4 7 6 2" xfId="42522" xr:uid="{00000000-0005-0000-0000-000011A60000}"/>
    <cellStyle name="Normal 3 4 4 7 6 3" xfId="42523" xr:uid="{00000000-0005-0000-0000-000012A60000}"/>
    <cellStyle name="Normal 3 4 4 7 7" xfId="42524" xr:uid="{00000000-0005-0000-0000-000013A60000}"/>
    <cellStyle name="Normal 3 4 4 7 7 2" xfId="42525" xr:uid="{00000000-0005-0000-0000-000014A60000}"/>
    <cellStyle name="Normal 3 4 4 7 7 3" xfId="42526" xr:uid="{00000000-0005-0000-0000-000015A60000}"/>
    <cellStyle name="Normal 3 4 4 7 8" xfId="42527" xr:uid="{00000000-0005-0000-0000-000016A60000}"/>
    <cellStyle name="Normal 3 4 4 7 8 2" xfId="42528" xr:uid="{00000000-0005-0000-0000-000017A60000}"/>
    <cellStyle name="Normal 3 4 4 7 8 3" xfId="42529" xr:uid="{00000000-0005-0000-0000-000018A60000}"/>
    <cellStyle name="Normal 3 4 4 7 9" xfId="42530" xr:uid="{00000000-0005-0000-0000-000019A60000}"/>
    <cellStyle name="Normal 3 4 4 7 9 2" xfId="42531" xr:uid="{00000000-0005-0000-0000-00001AA60000}"/>
    <cellStyle name="Normal 3 4 4 7 9 3" xfId="42532" xr:uid="{00000000-0005-0000-0000-00001BA60000}"/>
    <cellStyle name="Normal 3 4 4 8" xfId="42533" xr:uid="{00000000-0005-0000-0000-00001CA60000}"/>
    <cellStyle name="Normal 3 4 4 8 10" xfId="42534" xr:uid="{00000000-0005-0000-0000-00001DA60000}"/>
    <cellStyle name="Normal 3 4 4 8 10 2" xfId="42535" xr:uid="{00000000-0005-0000-0000-00001EA60000}"/>
    <cellStyle name="Normal 3 4 4 8 10 3" xfId="42536" xr:uid="{00000000-0005-0000-0000-00001FA60000}"/>
    <cellStyle name="Normal 3 4 4 8 11" xfId="42537" xr:uid="{00000000-0005-0000-0000-000020A60000}"/>
    <cellStyle name="Normal 3 4 4 8 11 2" xfId="42538" xr:uid="{00000000-0005-0000-0000-000021A60000}"/>
    <cellStyle name="Normal 3 4 4 8 11 3" xfId="42539" xr:uid="{00000000-0005-0000-0000-000022A60000}"/>
    <cellStyle name="Normal 3 4 4 8 12" xfId="42540" xr:uid="{00000000-0005-0000-0000-000023A60000}"/>
    <cellStyle name="Normal 3 4 4 8 12 2" xfId="42541" xr:uid="{00000000-0005-0000-0000-000024A60000}"/>
    <cellStyle name="Normal 3 4 4 8 12 3" xfId="42542" xr:uid="{00000000-0005-0000-0000-000025A60000}"/>
    <cellStyle name="Normal 3 4 4 8 13" xfId="42543" xr:uid="{00000000-0005-0000-0000-000026A60000}"/>
    <cellStyle name="Normal 3 4 4 8 13 2" xfId="42544" xr:uid="{00000000-0005-0000-0000-000027A60000}"/>
    <cellStyle name="Normal 3 4 4 8 13 3" xfId="42545" xr:uid="{00000000-0005-0000-0000-000028A60000}"/>
    <cellStyle name="Normal 3 4 4 8 14" xfId="42546" xr:uid="{00000000-0005-0000-0000-000029A60000}"/>
    <cellStyle name="Normal 3 4 4 8 14 2" xfId="42547" xr:uid="{00000000-0005-0000-0000-00002AA60000}"/>
    <cellStyle name="Normal 3 4 4 8 14 3" xfId="42548" xr:uid="{00000000-0005-0000-0000-00002BA60000}"/>
    <cellStyle name="Normal 3 4 4 8 15" xfId="42549" xr:uid="{00000000-0005-0000-0000-00002CA60000}"/>
    <cellStyle name="Normal 3 4 4 8 15 2" xfId="42550" xr:uid="{00000000-0005-0000-0000-00002DA60000}"/>
    <cellStyle name="Normal 3 4 4 8 15 3" xfId="42551" xr:uid="{00000000-0005-0000-0000-00002EA60000}"/>
    <cellStyle name="Normal 3 4 4 8 16" xfId="42552" xr:uid="{00000000-0005-0000-0000-00002FA60000}"/>
    <cellStyle name="Normal 3 4 4 8 17" xfId="42553" xr:uid="{00000000-0005-0000-0000-000030A60000}"/>
    <cellStyle name="Normal 3 4 4 8 2" xfId="42554" xr:uid="{00000000-0005-0000-0000-000031A60000}"/>
    <cellStyle name="Normal 3 4 4 8 2 10" xfId="42555" xr:uid="{00000000-0005-0000-0000-000032A60000}"/>
    <cellStyle name="Normal 3 4 4 8 2 10 2" xfId="42556" xr:uid="{00000000-0005-0000-0000-000033A60000}"/>
    <cellStyle name="Normal 3 4 4 8 2 10 3" xfId="42557" xr:uid="{00000000-0005-0000-0000-000034A60000}"/>
    <cellStyle name="Normal 3 4 4 8 2 11" xfId="42558" xr:uid="{00000000-0005-0000-0000-000035A60000}"/>
    <cellStyle name="Normal 3 4 4 8 2 11 2" xfId="42559" xr:uid="{00000000-0005-0000-0000-000036A60000}"/>
    <cellStyle name="Normal 3 4 4 8 2 11 3" xfId="42560" xr:uid="{00000000-0005-0000-0000-000037A60000}"/>
    <cellStyle name="Normal 3 4 4 8 2 12" xfId="42561" xr:uid="{00000000-0005-0000-0000-000038A60000}"/>
    <cellStyle name="Normal 3 4 4 8 2 12 2" xfId="42562" xr:uid="{00000000-0005-0000-0000-000039A60000}"/>
    <cellStyle name="Normal 3 4 4 8 2 12 3" xfId="42563" xr:uid="{00000000-0005-0000-0000-00003AA60000}"/>
    <cellStyle name="Normal 3 4 4 8 2 13" xfId="42564" xr:uid="{00000000-0005-0000-0000-00003BA60000}"/>
    <cellStyle name="Normal 3 4 4 8 2 13 2" xfId="42565" xr:uid="{00000000-0005-0000-0000-00003CA60000}"/>
    <cellStyle name="Normal 3 4 4 8 2 13 3" xfId="42566" xr:uid="{00000000-0005-0000-0000-00003DA60000}"/>
    <cellStyle name="Normal 3 4 4 8 2 14" xfId="42567" xr:uid="{00000000-0005-0000-0000-00003EA60000}"/>
    <cellStyle name="Normal 3 4 4 8 2 14 2" xfId="42568" xr:uid="{00000000-0005-0000-0000-00003FA60000}"/>
    <cellStyle name="Normal 3 4 4 8 2 14 3" xfId="42569" xr:uid="{00000000-0005-0000-0000-000040A60000}"/>
    <cellStyle name="Normal 3 4 4 8 2 15" xfId="42570" xr:uid="{00000000-0005-0000-0000-000041A60000}"/>
    <cellStyle name="Normal 3 4 4 8 2 16" xfId="42571" xr:uid="{00000000-0005-0000-0000-000042A60000}"/>
    <cellStyle name="Normal 3 4 4 8 2 2" xfId="42572" xr:uid="{00000000-0005-0000-0000-000043A60000}"/>
    <cellStyle name="Normal 3 4 4 8 2 2 2" xfId="42573" xr:uid="{00000000-0005-0000-0000-000044A60000}"/>
    <cellStyle name="Normal 3 4 4 8 2 2 3" xfId="42574" xr:uid="{00000000-0005-0000-0000-000045A60000}"/>
    <cellStyle name="Normal 3 4 4 8 2 3" xfId="42575" xr:uid="{00000000-0005-0000-0000-000046A60000}"/>
    <cellStyle name="Normal 3 4 4 8 2 3 2" xfId="42576" xr:uid="{00000000-0005-0000-0000-000047A60000}"/>
    <cellStyle name="Normal 3 4 4 8 2 3 3" xfId="42577" xr:uid="{00000000-0005-0000-0000-000048A60000}"/>
    <cellStyle name="Normal 3 4 4 8 2 4" xfId="42578" xr:uid="{00000000-0005-0000-0000-000049A60000}"/>
    <cellStyle name="Normal 3 4 4 8 2 4 2" xfId="42579" xr:uid="{00000000-0005-0000-0000-00004AA60000}"/>
    <cellStyle name="Normal 3 4 4 8 2 4 3" xfId="42580" xr:uid="{00000000-0005-0000-0000-00004BA60000}"/>
    <cellStyle name="Normal 3 4 4 8 2 5" xfId="42581" xr:uid="{00000000-0005-0000-0000-00004CA60000}"/>
    <cellStyle name="Normal 3 4 4 8 2 5 2" xfId="42582" xr:uid="{00000000-0005-0000-0000-00004DA60000}"/>
    <cellStyle name="Normal 3 4 4 8 2 5 3" xfId="42583" xr:uid="{00000000-0005-0000-0000-00004EA60000}"/>
    <cellStyle name="Normal 3 4 4 8 2 6" xfId="42584" xr:uid="{00000000-0005-0000-0000-00004FA60000}"/>
    <cellStyle name="Normal 3 4 4 8 2 6 2" xfId="42585" xr:uid="{00000000-0005-0000-0000-000050A60000}"/>
    <cellStyle name="Normal 3 4 4 8 2 6 3" xfId="42586" xr:uid="{00000000-0005-0000-0000-000051A60000}"/>
    <cellStyle name="Normal 3 4 4 8 2 7" xfId="42587" xr:uid="{00000000-0005-0000-0000-000052A60000}"/>
    <cellStyle name="Normal 3 4 4 8 2 7 2" xfId="42588" xr:uid="{00000000-0005-0000-0000-000053A60000}"/>
    <cellStyle name="Normal 3 4 4 8 2 7 3" xfId="42589" xr:uid="{00000000-0005-0000-0000-000054A60000}"/>
    <cellStyle name="Normal 3 4 4 8 2 8" xfId="42590" xr:uid="{00000000-0005-0000-0000-000055A60000}"/>
    <cellStyle name="Normal 3 4 4 8 2 8 2" xfId="42591" xr:uid="{00000000-0005-0000-0000-000056A60000}"/>
    <cellStyle name="Normal 3 4 4 8 2 8 3" xfId="42592" xr:uid="{00000000-0005-0000-0000-000057A60000}"/>
    <cellStyle name="Normal 3 4 4 8 2 9" xfId="42593" xr:uid="{00000000-0005-0000-0000-000058A60000}"/>
    <cellStyle name="Normal 3 4 4 8 2 9 2" xfId="42594" xr:uid="{00000000-0005-0000-0000-000059A60000}"/>
    <cellStyle name="Normal 3 4 4 8 2 9 3" xfId="42595" xr:uid="{00000000-0005-0000-0000-00005AA60000}"/>
    <cellStyle name="Normal 3 4 4 8 3" xfId="42596" xr:uid="{00000000-0005-0000-0000-00005BA60000}"/>
    <cellStyle name="Normal 3 4 4 8 3 2" xfId="42597" xr:uid="{00000000-0005-0000-0000-00005CA60000}"/>
    <cellStyle name="Normal 3 4 4 8 3 3" xfId="42598" xr:uid="{00000000-0005-0000-0000-00005DA60000}"/>
    <cellStyle name="Normal 3 4 4 8 4" xfId="42599" xr:uid="{00000000-0005-0000-0000-00005EA60000}"/>
    <cellStyle name="Normal 3 4 4 8 4 2" xfId="42600" xr:uid="{00000000-0005-0000-0000-00005FA60000}"/>
    <cellStyle name="Normal 3 4 4 8 4 3" xfId="42601" xr:uid="{00000000-0005-0000-0000-000060A60000}"/>
    <cellStyle name="Normal 3 4 4 8 5" xfId="42602" xr:uid="{00000000-0005-0000-0000-000061A60000}"/>
    <cellStyle name="Normal 3 4 4 8 5 2" xfId="42603" xr:uid="{00000000-0005-0000-0000-000062A60000}"/>
    <cellStyle name="Normal 3 4 4 8 5 3" xfId="42604" xr:uid="{00000000-0005-0000-0000-000063A60000}"/>
    <cellStyle name="Normal 3 4 4 8 6" xfId="42605" xr:uid="{00000000-0005-0000-0000-000064A60000}"/>
    <cellStyle name="Normal 3 4 4 8 6 2" xfId="42606" xr:uid="{00000000-0005-0000-0000-000065A60000}"/>
    <cellStyle name="Normal 3 4 4 8 6 3" xfId="42607" xr:uid="{00000000-0005-0000-0000-000066A60000}"/>
    <cellStyle name="Normal 3 4 4 8 7" xfId="42608" xr:uid="{00000000-0005-0000-0000-000067A60000}"/>
    <cellStyle name="Normal 3 4 4 8 7 2" xfId="42609" xr:uid="{00000000-0005-0000-0000-000068A60000}"/>
    <cellStyle name="Normal 3 4 4 8 7 3" xfId="42610" xr:uid="{00000000-0005-0000-0000-000069A60000}"/>
    <cellStyle name="Normal 3 4 4 8 8" xfId="42611" xr:uid="{00000000-0005-0000-0000-00006AA60000}"/>
    <cellStyle name="Normal 3 4 4 8 8 2" xfId="42612" xr:uid="{00000000-0005-0000-0000-00006BA60000}"/>
    <cellStyle name="Normal 3 4 4 8 8 3" xfId="42613" xr:uid="{00000000-0005-0000-0000-00006CA60000}"/>
    <cellStyle name="Normal 3 4 4 8 9" xfId="42614" xr:uid="{00000000-0005-0000-0000-00006DA60000}"/>
    <cellStyle name="Normal 3 4 4 8 9 2" xfId="42615" xr:uid="{00000000-0005-0000-0000-00006EA60000}"/>
    <cellStyle name="Normal 3 4 4 8 9 3" xfId="42616" xr:uid="{00000000-0005-0000-0000-00006FA60000}"/>
    <cellStyle name="Normal 3 4 4 9" xfId="42617" xr:uid="{00000000-0005-0000-0000-000070A60000}"/>
    <cellStyle name="Normal 3 4 4 9 10" xfId="42618" xr:uid="{00000000-0005-0000-0000-000071A60000}"/>
    <cellStyle name="Normal 3 4 4 9 10 2" xfId="42619" xr:uid="{00000000-0005-0000-0000-000072A60000}"/>
    <cellStyle name="Normal 3 4 4 9 10 3" xfId="42620" xr:uid="{00000000-0005-0000-0000-000073A60000}"/>
    <cellStyle name="Normal 3 4 4 9 11" xfId="42621" xr:uid="{00000000-0005-0000-0000-000074A60000}"/>
    <cellStyle name="Normal 3 4 4 9 11 2" xfId="42622" xr:uid="{00000000-0005-0000-0000-000075A60000}"/>
    <cellStyle name="Normal 3 4 4 9 11 3" xfId="42623" xr:uid="{00000000-0005-0000-0000-000076A60000}"/>
    <cellStyle name="Normal 3 4 4 9 12" xfId="42624" xr:uid="{00000000-0005-0000-0000-000077A60000}"/>
    <cellStyle name="Normal 3 4 4 9 12 2" xfId="42625" xr:uid="{00000000-0005-0000-0000-000078A60000}"/>
    <cellStyle name="Normal 3 4 4 9 12 3" xfId="42626" xr:uid="{00000000-0005-0000-0000-000079A60000}"/>
    <cellStyle name="Normal 3 4 4 9 13" xfId="42627" xr:uid="{00000000-0005-0000-0000-00007AA60000}"/>
    <cellStyle name="Normal 3 4 4 9 13 2" xfId="42628" xr:uid="{00000000-0005-0000-0000-00007BA60000}"/>
    <cellStyle name="Normal 3 4 4 9 13 3" xfId="42629" xr:uid="{00000000-0005-0000-0000-00007CA60000}"/>
    <cellStyle name="Normal 3 4 4 9 14" xfId="42630" xr:uid="{00000000-0005-0000-0000-00007DA60000}"/>
    <cellStyle name="Normal 3 4 4 9 14 2" xfId="42631" xr:uid="{00000000-0005-0000-0000-00007EA60000}"/>
    <cellStyle name="Normal 3 4 4 9 14 3" xfId="42632" xr:uid="{00000000-0005-0000-0000-00007FA60000}"/>
    <cellStyle name="Normal 3 4 4 9 15" xfId="42633" xr:uid="{00000000-0005-0000-0000-000080A60000}"/>
    <cellStyle name="Normal 3 4 4 9 16" xfId="42634" xr:uid="{00000000-0005-0000-0000-000081A60000}"/>
    <cellStyle name="Normal 3 4 4 9 2" xfId="42635" xr:uid="{00000000-0005-0000-0000-000082A60000}"/>
    <cellStyle name="Normal 3 4 4 9 2 2" xfId="42636" xr:uid="{00000000-0005-0000-0000-000083A60000}"/>
    <cellStyle name="Normal 3 4 4 9 2 3" xfId="42637" xr:uid="{00000000-0005-0000-0000-000084A60000}"/>
    <cellStyle name="Normal 3 4 4 9 3" xfId="42638" xr:uid="{00000000-0005-0000-0000-000085A60000}"/>
    <cellStyle name="Normal 3 4 4 9 3 2" xfId="42639" xr:uid="{00000000-0005-0000-0000-000086A60000}"/>
    <cellStyle name="Normal 3 4 4 9 3 3" xfId="42640" xr:uid="{00000000-0005-0000-0000-000087A60000}"/>
    <cellStyle name="Normal 3 4 4 9 4" xfId="42641" xr:uid="{00000000-0005-0000-0000-000088A60000}"/>
    <cellStyle name="Normal 3 4 4 9 4 2" xfId="42642" xr:uid="{00000000-0005-0000-0000-000089A60000}"/>
    <cellStyle name="Normal 3 4 4 9 4 3" xfId="42643" xr:uid="{00000000-0005-0000-0000-00008AA60000}"/>
    <cellStyle name="Normal 3 4 4 9 5" xfId="42644" xr:uid="{00000000-0005-0000-0000-00008BA60000}"/>
    <cellStyle name="Normal 3 4 4 9 5 2" xfId="42645" xr:uid="{00000000-0005-0000-0000-00008CA60000}"/>
    <cellStyle name="Normal 3 4 4 9 5 3" xfId="42646" xr:uid="{00000000-0005-0000-0000-00008DA60000}"/>
    <cellStyle name="Normal 3 4 4 9 6" xfId="42647" xr:uid="{00000000-0005-0000-0000-00008EA60000}"/>
    <cellStyle name="Normal 3 4 4 9 6 2" xfId="42648" xr:uid="{00000000-0005-0000-0000-00008FA60000}"/>
    <cellStyle name="Normal 3 4 4 9 6 3" xfId="42649" xr:uid="{00000000-0005-0000-0000-000090A60000}"/>
    <cellStyle name="Normal 3 4 4 9 7" xfId="42650" xr:uid="{00000000-0005-0000-0000-000091A60000}"/>
    <cellStyle name="Normal 3 4 4 9 7 2" xfId="42651" xr:uid="{00000000-0005-0000-0000-000092A60000}"/>
    <cellStyle name="Normal 3 4 4 9 7 3" xfId="42652" xr:uid="{00000000-0005-0000-0000-000093A60000}"/>
    <cellStyle name="Normal 3 4 4 9 8" xfId="42653" xr:uid="{00000000-0005-0000-0000-000094A60000}"/>
    <cellStyle name="Normal 3 4 4 9 8 2" xfId="42654" xr:uid="{00000000-0005-0000-0000-000095A60000}"/>
    <cellStyle name="Normal 3 4 4 9 8 3" xfId="42655" xr:uid="{00000000-0005-0000-0000-000096A60000}"/>
    <cellStyle name="Normal 3 4 4 9 9" xfId="42656" xr:uid="{00000000-0005-0000-0000-000097A60000}"/>
    <cellStyle name="Normal 3 4 4 9 9 2" xfId="42657" xr:uid="{00000000-0005-0000-0000-000098A60000}"/>
    <cellStyle name="Normal 3 4 4 9 9 3" xfId="42658" xr:uid="{00000000-0005-0000-0000-000099A60000}"/>
    <cellStyle name="Normal 3 4 5" xfId="42659" xr:uid="{00000000-0005-0000-0000-00009AA60000}"/>
    <cellStyle name="Normal 3 4 5 10" xfId="42660" xr:uid="{00000000-0005-0000-0000-00009BA60000}"/>
    <cellStyle name="Normal 3 4 5 10 10" xfId="42661" xr:uid="{00000000-0005-0000-0000-00009CA60000}"/>
    <cellStyle name="Normal 3 4 5 10 10 2" xfId="42662" xr:uid="{00000000-0005-0000-0000-00009DA60000}"/>
    <cellStyle name="Normal 3 4 5 10 10 3" xfId="42663" xr:uid="{00000000-0005-0000-0000-00009EA60000}"/>
    <cellStyle name="Normal 3 4 5 10 11" xfId="42664" xr:uid="{00000000-0005-0000-0000-00009FA60000}"/>
    <cellStyle name="Normal 3 4 5 10 11 2" xfId="42665" xr:uid="{00000000-0005-0000-0000-0000A0A60000}"/>
    <cellStyle name="Normal 3 4 5 10 11 3" xfId="42666" xr:uid="{00000000-0005-0000-0000-0000A1A60000}"/>
    <cellStyle name="Normal 3 4 5 10 12" xfId="42667" xr:uid="{00000000-0005-0000-0000-0000A2A60000}"/>
    <cellStyle name="Normal 3 4 5 10 12 2" xfId="42668" xr:uid="{00000000-0005-0000-0000-0000A3A60000}"/>
    <cellStyle name="Normal 3 4 5 10 12 3" xfId="42669" xr:uid="{00000000-0005-0000-0000-0000A4A60000}"/>
    <cellStyle name="Normal 3 4 5 10 13" xfId="42670" xr:uid="{00000000-0005-0000-0000-0000A5A60000}"/>
    <cellStyle name="Normal 3 4 5 10 13 2" xfId="42671" xr:uid="{00000000-0005-0000-0000-0000A6A60000}"/>
    <cellStyle name="Normal 3 4 5 10 13 3" xfId="42672" xr:uid="{00000000-0005-0000-0000-0000A7A60000}"/>
    <cellStyle name="Normal 3 4 5 10 14" xfId="42673" xr:uid="{00000000-0005-0000-0000-0000A8A60000}"/>
    <cellStyle name="Normal 3 4 5 10 14 2" xfId="42674" xr:uid="{00000000-0005-0000-0000-0000A9A60000}"/>
    <cellStyle name="Normal 3 4 5 10 14 3" xfId="42675" xr:uid="{00000000-0005-0000-0000-0000AAA60000}"/>
    <cellStyle name="Normal 3 4 5 10 15" xfId="42676" xr:uid="{00000000-0005-0000-0000-0000ABA60000}"/>
    <cellStyle name="Normal 3 4 5 10 16" xfId="42677" xr:uid="{00000000-0005-0000-0000-0000ACA60000}"/>
    <cellStyle name="Normal 3 4 5 10 2" xfId="42678" xr:uid="{00000000-0005-0000-0000-0000ADA60000}"/>
    <cellStyle name="Normal 3 4 5 10 2 2" xfId="42679" xr:uid="{00000000-0005-0000-0000-0000AEA60000}"/>
    <cellStyle name="Normal 3 4 5 10 2 3" xfId="42680" xr:uid="{00000000-0005-0000-0000-0000AFA60000}"/>
    <cellStyle name="Normal 3 4 5 10 3" xfId="42681" xr:uid="{00000000-0005-0000-0000-0000B0A60000}"/>
    <cellStyle name="Normal 3 4 5 10 3 2" xfId="42682" xr:uid="{00000000-0005-0000-0000-0000B1A60000}"/>
    <cellStyle name="Normal 3 4 5 10 3 3" xfId="42683" xr:uid="{00000000-0005-0000-0000-0000B2A60000}"/>
    <cellStyle name="Normal 3 4 5 10 4" xfId="42684" xr:uid="{00000000-0005-0000-0000-0000B3A60000}"/>
    <cellStyle name="Normal 3 4 5 10 4 2" xfId="42685" xr:uid="{00000000-0005-0000-0000-0000B4A60000}"/>
    <cellStyle name="Normal 3 4 5 10 4 3" xfId="42686" xr:uid="{00000000-0005-0000-0000-0000B5A60000}"/>
    <cellStyle name="Normal 3 4 5 10 5" xfId="42687" xr:uid="{00000000-0005-0000-0000-0000B6A60000}"/>
    <cellStyle name="Normal 3 4 5 10 5 2" xfId="42688" xr:uid="{00000000-0005-0000-0000-0000B7A60000}"/>
    <cellStyle name="Normal 3 4 5 10 5 3" xfId="42689" xr:uid="{00000000-0005-0000-0000-0000B8A60000}"/>
    <cellStyle name="Normal 3 4 5 10 6" xfId="42690" xr:uid="{00000000-0005-0000-0000-0000B9A60000}"/>
    <cellStyle name="Normal 3 4 5 10 6 2" xfId="42691" xr:uid="{00000000-0005-0000-0000-0000BAA60000}"/>
    <cellStyle name="Normal 3 4 5 10 6 3" xfId="42692" xr:uid="{00000000-0005-0000-0000-0000BBA60000}"/>
    <cellStyle name="Normal 3 4 5 10 7" xfId="42693" xr:uid="{00000000-0005-0000-0000-0000BCA60000}"/>
    <cellStyle name="Normal 3 4 5 10 7 2" xfId="42694" xr:uid="{00000000-0005-0000-0000-0000BDA60000}"/>
    <cellStyle name="Normal 3 4 5 10 7 3" xfId="42695" xr:uid="{00000000-0005-0000-0000-0000BEA60000}"/>
    <cellStyle name="Normal 3 4 5 10 8" xfId="42696" xr:uid="{00000000-0005-0000-0000-0000BFA60000}"/>
    <cellStyle name="Normal 3 4 5 10 8 2" xfId="42697" xr:uid="{00000000-0005-0000-0000-0000C0A60000}"/>
    <cellStyle name="Normal 3 4 5 10 8 3" xfId="42698" xr:uid="{00000000-0005-0000-0000-0000C1A60000}"/>
    <cellStyle name="Normal 3 4 5 10 9" xfId="42699" xr:uid="{00000000-0005-0000-0000-0000C2A60000}"/>
    <cellStyle name="Normal 3 4 5 10 9 2" xfId="42700" xr:uid="{00000000-0005-0000-0000-0000C3A60000}"/>
    <cellStyle name="Normal 3 4 5 10 9 3" xfId="42701" xr:uid="{00000000-0005-0000-0000-0000C4A60000}"/>
    <cellStyle name="Normal 3 4 5 11" xfId="42702" xr:uid="{00000000-0005-0000-0000-0000C5A60000}"/>
    <cellStyle name="Normal 3 4 5 11 10" xfId="42703" xr:uid="{00000000-0005-0000-0000-0000C6A60000}"/>
    <cellStyle name="Normal 3 4 5 11 10 2" xfId="42704" xr:uid="{00000000-0005-0000-0000-0000C7A60000}"/>
    <cellStyle name="Normal 3 4 5 11 10 3" xfId="42705" xr:uid="{00000000-0005-0000-0000-0000C8A60000}"/>
    <cellStyle name="Normal 3 4 5 11 11" xfId="42706" xr:uid="{00000000-0005-0000-0000-0000C9A60000}"/>
    <cellStyle name="Normal 3 4 5 11 11 2" xfId="42707" xr:uid="{00000000-0005-0000-0000-0000CAA60000}"/>
    <cellStyle name="Normal 3 4 5 11 11 3" xfId="42708" xr:uid="{00000000-0005-0000-0000-0000CBA60000}"/>
    <cellStyle name="Normal 3 4 5 11 12" xfId="42709" xr:uid="{00000000-0005-0000-0000-0000CCA60000}"/>
    <cellStyle name="Normal 3 4 5 11 12 2" xfId="42710" xr:uid="{00000000-0005-0000-0000-0000CDA60000}"/>
    <cellStyle name="Normal 3 4 5 11 12 3" xfId="42711" xr:uid="{00000000-0005-0000-0000-0000CEA60000}"/>
    <cellStyle name="Normal 3 4 5 11 13" xfId="42712" xr:uid="{00000000-0005-0000-0000-0000CFA60000}"/>
    <cellStyle name="Normal 3 4 5 11 13 2" xfId="42713" xr:uid="{00000000-0005-0000-0000-0000D0A60000}"/>
    <cellStyle name="Normal 3 4 5 11 13 3" xfId="42714" xr:uid="{00000000-0005-0000-0000-0000D1A60000}"/>
    <cellStyle name="Normal 3 4 5 11 14" xfId="42715" xr:uid="{00000000-0005-0000-0000-0000D2A60000}"/>
    <cellStyle name="Normal 3 4 5 11 14 2" xfId="42716" xr:uid="{00000000-0005-0000-0000-0000D3A60000}"/>
    <cellStyle name="Normal 3 4 5 11 14 3" xfId="42717" xr:uid="{00000000-0005-0000-0000-0000D4A60000}"/>
    <cellStyle name="Normal 3 4 5 11 15" xfId="42718" xr:uid="{00000000-0005-0000-0000-0000D5A60000}"/>
    <cellStyle name="Normal 3 4 5 11 16" xfId="42719" xr:uid="{00000000-0005-0000-0000-0000D6A60000}"/>
    <cellStyle name="Normal 3 4 5 11 2" xfId="42720" xr:uid="{00000000-0005-0000-0000-0000D7A60000}"/>
    <cellStyle name="Normal 3 4 5 11 2 2" xfId="42721" xr:uid="{00000000-0005-0000-0000-0000D8A60000}"/>
    <cellStyle name="Normal 3 4 5 11 2 3" xfId="42722" xr:uid="{00000000-0005-0000-0000-0000D9A60000}"/>
    <cellStyle name="Normal 3 4 5 11 3" xfId="42723" xr:uid="{00000000-0005-0000-0000-0000DAA60000}"/>
    <cellStyle name="Normal 3 4 5 11 3 2" xfId="42724" xr:uid="{00000000-0005-0000-0000-0000DBA60000}"/>
    <cellStyle name="Normal 3 4 5 11 3 3" xfId="42725" xr:uid="{00000000-0005-0000-0000-0000DCA60000}"/>
    <cellStyle name="Normal 3 4 5 11 4" xfId="42726" xr:uid="{00000000-0005-0000-0000-0000DDA60000}"/>
    <cellStyle name="Normal 3 4 5 11 4 2" xfId="42727" xr:uid="{00000000-0005-0000-0000-0000DEA60000}"/>
    <cellStyle name="Normal 3 4 5 11 4 3" xfId="42728" xr:uid="{00000000-0005-0000-0000-0000DFA60000}"/>
    <cellStyle name="Normal 3 4 5 11 5" xfId="42729" xr:uid="{00000000-0005-0000-0000-0000E0A60000}"/>
    <cellStyle name="Normal 3 4 5 11 5 2" xfId="42730" xr:uid="{00000000-0005-0000-0000-0000E1A60000}"/>
    <cellStyle name="Normal 3 4 5 11 5 3" xfId="42731" xr:uid="{00000000-0005-0000-0000-0000E2A60000}"/>
    <cellStyle name="Normal 3 4 5 11 6" xfId="42732" xr:uid="{00000000-0005-0000-0000-0000E3A60000}"/>
    <cellStyle name="Normal 3 4 5 11 6 2" xfId="42733" xr:uid="{00000000-0005-0000-0000-0000E4A60000}"/>
    <cellStyle name="Normal 3 4 5 11 6 3" xfId="42734" xr:uid="{00000000-0005-0000-0000-0000E5A60000}"/>
    <cellStyle name="Normal 3 4 5 11 7" xfId="42735" xr:uid="{00000000-0005-0000-0000-0000E6A60000}"/>
    <cellStyle name="Normal 3 4 5 11 7 2" xfId="42736" xr:uid="{00000000-0005-0000-0000-0000E7A60000}"/>
    <cellStyle name="Normal 3 4 5 11 7 3" xfId="42737" xr:uid="{00000000-0005-0000-0000-0000E8A60000}"/>
    <cellStyle name="Normal 3 4 5 11 8" xfId="42738" xr:uid="{00000000-0005-0000-0000-0000E9A60000}"/>
    <cellStyle name="Normal 3 4 5 11 8 2" xfId="42739" xr:uid="{00000000-0005-0000-0000-0000EAA60000}"/>
    <cellStyle name="Normal 3 4 5 11 8 3" xfId="42740" xr:uid="{00000000-0005-0000-0000-0000EBA60000}"/>
    <cellStyle name="Normal 3 4 5 11 9" xfId="42741" xr:uid="{00000000-0005-0000-0000-0000ECA60000}"/>
    <cellStyle name="Normal 3 4 5 11 9 2" xfId="42742" xr:uid="{00000000-0005-0000-0000-0000EDA60000}"/>
    <cellStyle name="Normal 3 4 5 11 9 3" xfId="42743" xr:uid="{00000000-0005-0000-0000-0000EEA60000}"/>
    <cellStyle name="Normal 3 4 5 12" xfId="42744" xr:uid="{00000000-0005-0000-0000-0000EFA60000}"/>
    <cellStyle name="Normal 3 4 5 12 10" xfId="42745" xr:uid="{00000000-0005-0000-0000-0000F0A60000}"/>
    <cellStyle name="Normal 3 4 5 12 10 2" xfId="42746" xr:uid="{00000000-0005-0000-0000-0000F1A60000}"/>
    <cellStyle name="Normal 3 4 5 12 10 3" xfId="42747" xr:uid="{00000000-0005-0000-0000-0000F2A60000}"/>
    <cellStyle name="Normal 3 4 5 12 11" xfId="42748" xr:uid="{00000000-0005-0000-0000-0000F3A60000}"/>
    <cellStyle name="Normal 3 4 5 12 11 2" xfId="42749" xr:uid="{00000000-0005-0000-0000-0000F4A60000}"/>
    <cellStyle name="Normal 3 4 5 12 11 3" xfId="42750" xr:uid="{00000000-0005-0000-0000-0000F5A60000}"/>
    <cellStyle name="Normal 3 4 5 12 12" xfId="42751" xr:uid="{00000000-0005-0000-0000-0000F6A60000}"/>
    <cellStyle name="Normal 3 4 5 12 12 2" xfId="42752" xr:uid="{00000000-0005-0000-0000-0000F7A60000}"/>
    <cellStyle name="Normal 3 4 5 12 12 3" xfId="42753" xr:uid="{00000000-0005-0000-0000-0000F8A60000}"/>
    <cellStyle name="Normal 3 4 5 12 13" xfId="42754" xr:uid="{00000000-0005-0000-0000-0000F9A60000}"/>
    <cellStyle name="Normal 3 4 5 12 13 2" xfId="42755" xr:uid="{00000000-0005-0000-0000-0000FAA60000}"/>
    <cellStyle name="Normal 3 4 5 12 13 3" xfId="42756" xr:uid="{00000000-0005-0000-0000-0000FBA60000}"/>
    <cellStyle name="Normal 3 4 5 12 14" xfId="42757" xr:uid="{00000000-0005-0000-0000-0000FCA60000}"/>
    <cellStyle name="Normal 3 4 5 12 14 2" xfId="42758" xr:uid="{00000000-0005-0000-0000-0000FDA60000}"/>
    <cellStyle name="Normal 3 4 5 12 14 3" xfId="42759" xr:uid="{00000000-0005-0000-0000-0000FEA60000}"/>
    <cellStyle name="Normal 3 4 5 12 15" xfId="42760" xr:uid="{00000000-0005-0000-0000-0000FFA60000}"/>
    <cellStyle name="Normal 3 4 5 12 16" xfId="42761" xr:uid="{00000000-0005-0000-0000-000000A70000}"/>
    <cellStyle name="Normal 3 4 5 12 2" xfId="42762" xr:uid="{00000000-0005-0000-0000-000001A70000}"/>
    <cellStyle name="Normal 3 4 5 12 2 2" xfId="42763" xr:uid="{00000000-0005-0000-0000-000002A70000}"/>
    <cellStyle name="Normal 3 4 5 12 2 3" xfId="42764" xr:uid="{00000000-0005-0000-0000-000003A70000}"/>
    <cellStyle name="Normal 3 4 5 12 3" xfId="42765" xr:uid="{00000000-0005-0000-0000-000004A70000}"/>
    <cellStyle name="Normal 3 4 5 12 3 2" xfId="42766" xr:uid="{00000000-0005-0000-0000-000005A70000}"/>
    <cellStyle name="Normal 3 4 5 12 3 3" xfId="42767" xr:uid="{00000000-0005-0000-0000-000006A70000}"/>
    <cellStyle name="Normal 3 4 5 12 4" xfId="42768" xr:uid="{00000000-0005-0000-0000-000007A70000}"/>
    <cellStyle name="Normal 3 4 5 12 4 2" xfId="42769" xr:uid="{00000000-0005-0000-0000-000008A70000}"/>
    <cellStyle name="Normal 3 4 5 12 4 3" xfId="42770" xr:uid="{00000000-0005-0000-0000-000009A70000}"/>
    <cellStyle name="Normal 3 4 5 12 5" xfId="42771" xr:uid="{00000000-0005-0000-0000-00000AA70000}"/>
    <cellStyle name="Normal 3 4 5 12 5 2" xfId="42772" xr:uid="{00000000-0005-0000-0000-00000BA70000}"/>
    <cellStyle name="Normal 3 4 5 12 5 3" xfId="42773" xr:uid="{00000000-0005-0000-0000-00000CA70000}"/>
    <cellStyle name="Normal 3 4 5 12 6" xfId="42774" xr:uid="{00000000-0005-0000-0000-00000DA70000}"/>
    <cellStyle name="Normal 3 4 5 12 6 2" xfId="42775" xr:uid="{00000000-0005-0000-0000-00000EA70000}"/>
    <cellStyle name="Normal 3 4 5 12 6 3" xfId="42776" xr:uid="{00000000-0005-0000-0000-00000FA70000}"/>
    <cellStyle name="Normal 3 4 5 12 7" xfId="42777" xr:uid="{00000000-0005-0000-0000-000010A70000}"/>
    <cellStyle name="Normal 3 4 5 12 7 2" xfId="42778" xr:uid="{00000000-0005-0000-0000-000011A70000}"/>
    <cellStyle name="Normal 3 4 5 12 7 3" xfId="42779" xr:uid="{00000000-0005-0000-0000-000012A70000}"/>
    <cellStyle name="Normal 3 4 5 12 8" xfId="42780" xr:uid="{00000000-0005-0000-0000-000013A70000}"/>
    <cellStyle name="Normal 3 4 5 12 8 2" xfId="42781" xr:uid="{00000000-0005-0000-0000-000014A70000}"/>
    <cellStyle name="Normal 3 4 5 12 8 3" xfId="42782" xr:uid="{00000000-0005-0000-0000-000015A70000}"/>
    <cellStyle name="Normal 3 4 5 12 9" xfId="42783" xr:uid="{00000000-0005-0000-0000-000016A70000}"/>
    <cellStyle name="Normal 3 4 5 12 9 2" xfId="42784" xr:uid="{00000000-0005-0000-0000-000017A70000}"/>
    <cellStyle name="Normal 3 4 5 12 9 3" xfId="42785" xr:uid="{00000000-0005-0000-0000-000018A70000}"/>
    <cellStyle name="Normal 3 4 5 13" xfId="42786" xr:uid="{00000000-0005-0000-0000-000019A70000}"/>
    <cellStyle name="Normal 3 4 5 13 10" xfId="42787" xr:uid="{00000000-0005-0000-0000-00001AA70000}"/>
    <cellStyle name="Normal 3 4 5 13 10 2" xfId="42788" xr:uid="{00000000-0005-0000-0000-00001BA70000}"/>
    <cellStyle name="Normal 3 4 5 13 10 3" xfId="42789" xr:uid="{00000000-0005-0000-0000-00001CA70000}"/>
    <cellStyle name="Normal 3 4 5 13 11" xfId="42790" xr:uid="{00000000-0005-0000-0000-00001DA70000}"/>
    <cellStyle name="Normal 3 4 5 13 11 2" xfId="42791" xr:uid="{00000000-0005-0000-0000-00001EA70000}"/>
    <cellStyle name="Normal 3 4 5 13 11 3" xfId="42792" xr:uid="{00000000-0005-0000-0000-00001FA70000}"/>
    <cellStyle name="Normal 3 4 5 13 12" xfId="42793" xr:uid="{00000000-0005-0000-0000-000020A70000}"/>
    <cellStyle name="Normal 3 4 5 13 12 2" xfId="42794" xr:uid="{00000000-0005-0000-0000-000021A70000}"/>
    <cellStyle name="Normal 3 4 5 13 12 3" xfId="42795" xr:uid="{00000000-0005-0000-0000-000022A70000}"/>
    <cellStyle name="Normal 3 4 5 13 13" xfId="42796" xr:uid="{00000000-0005-0000-0000-000023A70000}"/>
    <cellStyle name="Normal 3 4 5 13 13 2" xfId="42797" xr:uid="{00000000-0005-0000-0000-000024A70000}"/>
    <cellStyle name="Normal 3 4 5 13 13 3" xfId="42798" xr:uid="{00000000-0005-0000-0000-000025A70000}"/>
    <cellStyle name="Normal 3 4 5 13 14" xfId="42799" xr:uid="{00000000-0005-0000-0000-000026A70000}"/>
    <cellStyle name="Normal 3 4 5 13 14 2" xfId="42800" xr:uid="{00000000-0005-0000-0000-000027A70000}"/>
    <cellStyle name="Normal 3 4 5 13 14 3" xfId="42801" xr:uid="{00000000-0005-0000-0000-000028A70000}"/>
    <cellStyle name="Normal 3 4 5 13 15" xfId="42802" xr:uid="{00000000-0005-0000-0000-000029A70000}"/>
    <cellStyle name="Normal 3 4 5 13 16" xfId="42803" xr:uid="{00000000-0005-0000-0000-00002AA70000}"/>
    <cellStyle name="Normal 3 4 5 13 2" xfId="42804" xr:uid="{00000000-0005-0000-0000-00002BA70000}"/>
    <cellStyle name="Normal 3 4 5 13 2 2" xfId="42805" xr:uid="{00000000-0005-0000-0000-00002CA70000}"/>
    <cellStyle name="Normal 3 4 5 13 2 3" xfId="42806" xr:uid="{00000000-0005-0000-0000-00002DA70000}"/>
    <cellStyle name="Normal 3 4 5 13 3" xfId="42807" xr:uid="{00000000-0005-0000-0000-00002EA70000}"/>
    <cellStyle name="Normal 3 4 5 13 3 2" xfId="42808" xr:uid="{00000000-0005-0000-0000-00002FA70000}"/>
    <cellStyle name="Normal 3 4 5 13 3 3" xfId="42809" xr:uid="{00000000-0005-0000-0000-000030A70000}"/>
    <cellStyle name="Normal 3 4 5 13 4" xfId="42810" xr:uid="{00000000-0005-0000-0000-000031A70000}"/>
    <cellStyle name="Normal 3 4 5 13 4 2" xfId="42811" xr:uid="{00000000-0005-0000-0000-000032A70000}"/>
    <cellStyle name="Normal 3 4 5 13 4 3" xfId="42812" xr:uid="{00000000-0005-0000-0000-000033A70000}"/>
    <cellStyle name="Normal 3 4 5 13 5" xfId="42813" xr:uid="{00000000-0005-0000-0000-000034A70000}"/>
    <cellStyle name="Normal 3 4 5 13 5 2" xfId="42814" xr:uid="{00000000-0005-0000-0000-000035A70000}"/>
    <cellStyle name="Normal 3 4 5 13 5 3" xfId="42815" xr:uid="{00000000-0005-0000-0000-000036A70000}"/>
    <cellStyle name="Normal 3 4 5 13 6" xfId="42816" xr:uid="{00000000-0005-0000-0000-000037A70000}"/>
    <cellStyle name="Normal 3 4 5 13 6 2" xfId="42817" xr:uid="{00000000-0005-0000-0000-000038A70000}"/>
    <cellStyle name="Normal 3 4 5 13 6 3" xfId="42818" xr:uid="{00000000-0005-0000-0000-000039A70000}"/>
    <cellStyle name="Normal 3 4 5 13 7" xfId="42819" xr:uid="{00000000-0005-0000-0000-00003AA70000}"/>
    <cellStyle name="Normal 3 4 5 13 7 2" xfId="42820" xr:uid="{00000000-0005-0000-0000-00003BA70000}"/>
    <cellStyle name="Normal 3 4 5 13 7 3" xfId="42821" xr:uid="{00000000-0005-0000-0000-00003CA70000}"/>
    <cellStyle name="Normal 3 4 5 13 8" xfId="42822" xr:uid="{00000000-0005-0000-0000-00003DA70000}"/>
    <cellStyle name="Normal 3 4 5 13 8 2" xfId="42823" xr:uid="{00000000-0005-0000-0000-00003EA70000}"/>
    <cellStyle name="Normal 3 4 5 13 8 3" xfId="42824" xr:uid="{00000000-0005-0000-0000-00003FA70000}"/>
    <cellStyle name="Normal 3 4 5 13 9" xfId="42825" xr:uid="{00000000-0005-0000-0000-000040A70000}"/>
    <cellStyle name="Normal 3 4 5 13 9 2" xfId="42826" xr:uid="{00000000-0005-0000-0000-000041A70000}"/>
    <cellStyle name="Normal 3 4 5 13 9 3" xfId="42827" xr:uid="{00000000-0005-0000-0000-000042A70000}"/>
    <cellStyle name="Normal 3 4 5 14" xfId="42828" xr:uid="{00000000-0005-0000-0000-000043A70000}"/>
    <cellStyle name="Normal 3 4 5 14 10" xfId="42829" xr:uid="{00000000-0005-0000-0000-000044A70000}"/>
    <cellStyle name="Normal 3 4 5 14 10 2" xfId="42830" xr:uid="{00000000-0005-0000-0000-000045A70000}"/>
    <cellStyle name="Normal 3 4 5 14 10 3" xfId="42831" xr:uid="{00000000-0005-0000-0000-000046A70000}"/>
    <cellStyle name="Normal 3 4 5 14 11" xfId="42832" xr:uid="{00000000-0005-0000-0000-000047A70000}"/>
    <cellStyle name="Normal 3 4 5 14 11 2" xfId="42833" xr:uid="{00000000-0005-0000-0000-000048A70000}"/>
    <cellStyle name="Normal 3 4 5 14 11 3" xfId="42834" xr:uid="{00000000-0005-0000-0000-000049A70000}"/>
    <cellStyle name="Normal 3 4 5 14 12" xfId="42835" xr:uid="{00000000-0005-0000-0000-00004AA70000}"/>
    <cellStyle name="Normal 3 4 5 14 12 2" xfId="42836" xr:uid="{00000000-0005-0000-0000-00004BA70000}"/>
    <cellStyle name="Normal 3 4 5 14 12 3" xfId="42837" xr:uid="{00000000-0005-0000-0000-00004CA70000}"/>
    <cellStyle name="Normal 3 4 5 14 13" xfId="42838" xr:uid="{00000000-0005-0000-0000-00004DA70000}"/>
    <cellStyle name="Normal 3 4 5 14 13 2" xfId="42839" xr:uid="{00000000-0005-0000-0000-00004EA70000}"/>
    <cellStyle name="Normal 3 4 5 14 13 3" xfId="42840" xr:uid="{00000000-0005-0000-0000-00004FA70000}"/>
    <cellStyle name="Normal 3 4 5 14 14" xfId="42841" xr:uid="{00000000-0005-0000-0000-000050A70000}"/>
    <cellStyle name="Normal 3 4 5 14 14 2" xfId="42842" xr:uid="{00000000-0005-0000-0000-000051A70000}"/>
    <cellStyle name="Normal 3 4 5 14 14 3" xfId="42843" xr:uid="{00000000-0005-0000-0000-000052A70000}"/>
    <cellStyle name="Normal 3 4 5 14 15" xfId="42844" xr:uid="{00000000-0005-0000-0000-000053A70000}"/>
    <cellStyle name="Normal 3 4 5 14 16" xfId="42845" xr:uid="{00000000-0005-0000-0000-000054A70000}"/>
    <cellStyle name="Normal 3 4 5 14 2" xfId="42846" xr:uid="{00000000-0005-0000-0000-000055A70000}"/>
    <cellStyle name="Normal 3 4 5 14 2 2" xfId="42847" xr:uid="{00000000-0005-0000-0000-000056A70000}"/>
    <cellStyle name="Normal 3 4 5 14 2 3" xfId="42848" xr:uid="{00000000-0005-0000-0000-000057A70000}"/>
    <cellStyle name="Normal 3 4 5 14 3" xfId="42849" xr:uid="{00000000-0005-0000-0000-000058A70000}"/>
    <cellStyle name="Normal 3 4 5 14 3 2" xfId="42850" xr:uid="{00000000-0005-0000-0000-000059A70000}"/>
    <cellStyle name="Normal 3 4 5 14 3 3" xfId="42851" xr:uid="{00000000-0005-0000-0000-00005AA70000}"/>
    <cellStyle name="Normal 3 4 5 14 4" xfId="42852" xr:uid="{00000000-0005-0000-0000-00005BA70000}"/>
    <cellStyle name="Normal 3 4 5 14 4 2" xfId="42853" xr:uid="{00000000-0005-0000-0000-00005CA70000}"/>
    <cellStyle name="Normal 3 4 5 14 4 3" xfId="42854" xr:uid="{00000000-0005-0000-0000-00005DA70000}"/>
    <cellStyle name="Normal 3 4 5 14 5" xfId="42855" xr:uid="{00000000-0005-0000-0000-00005EA70000}"/>
    <cellStyle name="Normal 3 4 5 14 5 2" xfId="42856" xr:uid="{00000000-0005-0000-0000-00005FA70000}"/>
    <cellStyle name="Normal 3 4 5 14 5 3" xfId="42857" xr:uid="{00000000-0005-0000-0000-000060A70000}"/>
    <cellStyle name="Normal 3 4 5 14 6" xfId="42858" xr:uid="{00000000-0005-0000-0000-000061A70000}"/>
    <cellStyle name="Normal 3 4 5 14 6 2" xfId="42859" xr:uid="{00000000-0005-0000-0000-000062A70000}"/>
    <cellStyle name="Normal 3 4 5 14 6 3" xfId="42860" xr:uid="{00000000-0005-0000-0000-000063A70000}"/>
    <cellStyle name="Normal 3 4 5 14 7" xfId="42861" xr:uid="{00000000-0005-0000-0000-000064A70000}"/>
    <cellStyle name="Normal 3 4 5 14 7 2" xfId="42862" xr:uid="{00000000-0005-0000-0000-000065A70000}"/>
    <cellStyle name="Normal 3 4 5 14 7 3" xfId="42863" xr:uid="{00000000-0005-0000-0000-000066A70000}"/>
    <cellStyle name="Normal 3 4 5 14 8" xfId="42864" xr:uid="{00000000-0005-0000-0000-000067A70000}"/>
    <cellStyle name="Normal 3 4 5 14 8 2" xfId="42865" xr:uid="{00000000-0005-0000-0000-000068A70000}"/>
    <cellStyle name="Normal 3 4 5 14 8 3" xfId="42866" xr:uid="{00000000-0005-0000-0000-000069A70000}"/>
    <cellStyle name="Normal 3 4 5 14 9" xfId="42867" xr:uid="{00000000-0005-0000-0000-00006AA70000}"/>
    <cellStyle name="Normal 3 4 5 14 9 2" xfId="42868" xr:uid="{00000000-0005-0000-0000-00006BA70000}"/>
    <cellStyle name="Normal 3 4 5 14 9 3" xfId="42869" xr:uid="{00000000-0005-0000-0000-00006CA70000}"/>
    <cellStyle name="Normal 3 4 5 15" xfId="42870" xr:uid="{00000000-0005-0000-0000-00006DA70000}"/>
    <cellStyle name="Normal 3 4 5 15 2" xfId="42871" xr:uid="{00000000-0005-0000-0000-00006EA70000}"/>
    <cellStyle name="Normal 3 4 5 15 3" xfId="42872" xr:uid="{00000000-0005-0000-0000-00006FA70000}"/>
    <cellStyle name="Normal 3 4 5 16" xfId="42873" xr:uid="{00000000-0005-0000-0000-000070A70000}"/>
    <cellStyle name="Normal 3 4 5 16 2" xfId="42874" xr:uid="{00000000-0005-0000-0000-000071A70000}"/>
    <cellStyle name="Normal 3 4 5 16 3" xfId="42875" xr:uid="{00000000-0005-0000-0000-000072A70000}"/>
    <cellStyle name="Normal 3 4 5 17" xfId="42876" xr:uid="{00000000-0005-0000-0000-000073A70000}"/>
    <cellStyle name="Normal 3 4 5 17 2" xfId="42877" xr:uid="{00000000-0005-0000-0000-000074A70000}"/>
    <cellStyle name="Normal 3 4 5 17 3" xfId="42878" xr:uid="{00000000-0005-0000-0000-000075A70000}"/>
    <cellStyle name="Normal 3 4 5 18" xfId="42879" xr:uid="{00000000-0005-0000-0000-000076A70000}"/>
    <cellStyle name="Normal 3 4 5 18 2" xfId="42880" xr:uid="{00000000-0005-0000-0000-000077A70000}"/>
    <cellStyle name="Normal 3 4 5 18 3" xfId="42881" xr:uid="{00000000-0005-0000-0000-000078A70000}"/>
    <cellStyle name="Normal 3 4 5 19" xfId="42882" xr:uid="{00000000-0005-0000-0000-000079A70000}"/>
    <cellStyle name="Normal 3 4 5 19 2" xfId="42883" xr:uid="{00000000-0005-0000-0000-00007AA70000}"/>
    <cellStyle name="Normal 3 4 5 19 3" xfId="42884" xr:uid="{00000000-0005-0000-0000-00007BA70000}"/>
    <cellStyle name="Normal 3 4 5 2" xfId="42885" xr:uid="{00000000-0005-0000-0000-00007CA70000}"/>
    <cellStyle name="Normal 3 4 5 20" xfId="42886" xr:uid="{00000000-0005-0000-0000-00007DA70000}"/>
    <cellStyle name="Normal 3 4 5 20 2" xfId="42887" xr:uid="{00000000-0005-0000-0000-00007EA70000}"/>
    <cellStyle name="Normal 3 4 5 20 3" xfId="42888" xr:uid="{00000000-0005-0000-0000-00007FA70000}"/>
    <cellStyle name="Normal 3 4 5 21" xfId="42889" xr:uid="{00000000-0005-0000-0000-000080A70000}"/>
    <cellStyle name="Normal 3 4 5 21 2" xfId="42890" xr:uid="{00000000-0005-0000-0000-000081A70000}"/>
    <cellStyle name="Normal 3 4 5 21 3" xfId="42891" xr:uid="{00000000-0005-0000-0000-000082A70000}"/>
    <cellStyle name="Normal 3 4 5 22" xfId="42892" xr:uid="{00000000-0005-0000-0000-000083A70000}"/>
    <cellStyle name="Normal 3 4 5 22 2" xfId="42893" xr:uid="{00000000-0005-0000-0000-000084A70000}"/>
    <cellStyle name="Normal 3 4 5 22 3" xfId="42894" xr:uid="{00000000-0005-0000-0000-000085A70000}"/>
    <cellStyle name="Normal 3 4 5 23" xfId="42895" xr:uid="{00000000-0005-0000-0000-000086A70000}"/>
    <cellStyle name="Normal 3 4 5 23 2" xfId="42896" xr:uid="{00000000-0005-0000-0000-000087A70000}"/>
    <cellStyle name="Normal 3 4 5 23 3" xfId="42897" xr:uid="{00000000-0005-0000-0000-000088A70000}"/>
    <cellStyle name="Normal 3 4 5 24" xfId="42898" xr:uid="{00000000-0005-0000-0000-000089A70000}"/>
    <cellStyle name="Normal 3 4 5 24 2" xfId="42899" xr:uid="{00000000-0005-0000-0000-00008AA70000}"/>
    <cellStyle name="Normal 3 4 5 24 3" xfId="42900" xr:uid="{00000000-0005-0000-0000-00008BA70000}"/>
    <cellStyle name="Normal 3 4 5 25" xfId="42901" xr:uid="{00000000-0005-0000-0000-00008CA70000}"/>
    <cellStyle name="Normal 3 4 5 25 2" xfId="42902" xr:uid="{00000000-0005-0000-0000-00008DA70000}"/>
    <cellStyle name="Normal 3 4 5 25 3" xfId="42903" xr:uid="{00000000-0005-0000-0000-00008EA70000}"/>
    <cellStyle name="Normal 3 4 5 26" xfId="42904" xr:uid="{00000000-0005-0000-0000-00008FA70000}"/>
    <cellStyle name="Normal 3 4 5 26 2" xfId="42905" xr:uid="{00000000-0005-0000-0000-000090A70000}"/>
    <cellStyle name="Normal 3 4 5 26 3" xfId="42906" xr:uid="{00000000-0005-0000-0000-000091A70000}"/>
    <cellStyle name="Normal 3 4 5 27" xfId="42907" xr:uid="{00000000-0005-0000-0000-000092A70000}"/>
    <cellStyle name="Normal 3 4 5 27 2" xfId="42908" xr:uid="{00000000-0005-0000-0000-000093A70000}"/>
    <cellStyle name="Normal 3 4 5 27 3" xfId="42909" xr:uid="{00000000-0005-0000-0000-000094A70000}"/>
    <cellStyle name="Normal 3 4 5 28" xfId="42910" xr:uid="{00000000-0005-0000-0000-000095A70000}"/>
    <cellStyle name="Normal 3 4 5 29" xfId="42911" xr:uid="{00000000-0005-0000-0000-000096A70000}"/>
    <cellStyle name="Normal 3 4 5 3" xfId="42912" xr:uid="{00000000-0005-0000-0000-000097A70000}"/>
    <cellStyle name="Normal 3 4 5 4" xfId="42913" xr:uid="{00000000-0005-0000-0000-000098A70000}"/>
    <cellStyle name="Normal 3 4 5 5" xfId="42914" xr:uid="{00000000-0005-0000-0000-000099A70000}"/>
    <cellStyle name="Normal 3 4 5 6" xfId="42915" xr:uid="{00000000-0005-0000-0000-00009AA70000}"/>
    <cellStyle name="Normal 3 4 5 6 10" xfId="42916" xr:uid="{00000000-0005-0000-0000-00009BA70000}"/>
    <cellStyle name="Normal 3 4 5 6 10 2" xfId="42917" xr:uid="{00000000-0005-0000-0000-00009CA70000}"/>
    <cellStyle name="Normal 3 4 5 6 10 3" xfId="42918" xr:uid="{00000000-0005-0000-0000-00009DA70000}"/>
    <cellStyle name="Normal 3 4 5 6 11" xfId="42919" xr:uid="{00000000-0005-0000-0000-00009EA70000}"/>
    <cellStyle name="Normal 3 4 5 6 11 2" xfId="42920" xr:uid="{00000000-0005-0000-0000-00009FA70000}"/>
    <cellStyle name="Normal 3 4 5 6 11 3" xfId="42921" xr:uid="{00000000-0005-0000-0000-0000A0A70000}"/>
    <cellStyle name="Normal 3 4 5 6 12" xfId="42922" xr:uid="{00000000-0005-0000-0000-0000A1A70000}"/>
    <cellStyle name="Normal 3 4 5 6 12 2" xfId="42923" xr:uid="{00000000-0005-0000-0000-0000A2A70000}"/>
    <cellStyle name="Normal 3 4 5 6 12 3" xfId="42924" xr:uid="{00000000-0005-0000-0000-0000A3A70000}"/>
    <cellStyle name="Normal 3 4 5 6 13" xfId="42925" xr:uid="{00000000-0005-0000-0000-0000A4A70000}"/>
    <cellStyle name="Normal 3 4 5 6 13 2" xfId="42926" xr:uid="{00000000-0005-0000-0000-0000A5A70000}"/>
    <cellStyle name="Normal 3 4 5 6 13 3" xfId="42927" xr:uid="{00000000-0005-0000-0000-0000A6A70000}"/>
    <cellStyle name="Normal 3 4 5 6 14" xfId="42928" xr:uid="{00000000-0005-0000-0000-0000A7A70000}"/>
    <cellStyle name="Normal 3 4 5 6 14 2" xfId="42929" xr:uid="{00000000-0005-0000-0000-0000A8A70000}"/>
    <cellStyle name="Normal 3 4 5 6 14 3" xfId="42930" xr:uid="{00000000-0005-0000-0000-0000A9A70000}"/>
    <cellStyle name="Normal 3 4 5 6 15" xfId="42931" xr:uid="{00000000-0005-0000-0000-0000AAA70000}"/>
    <cellStyle name="Normal 3 4 5 6 15 2" xfId="42932" xr:uid="{00000000-0005-0000-0000-0000ABA70000}"/>
    <cellStyle name="Normal 3 4 5 6 15 3" xfId="42933" xr:uid="{00000000-0005-0000-0000-0000ACA70000}"/>
    <cellStyle name="Normal 3 4 5 6 16" xfId="42934" xr:uid="{00000000-0005-0000-0000-0000ADA70000}"/>
    <cellStyle name="Normal 3 4 5 6 17" xfId="42935" xr:uid="{00000000-0005-0000-0000-0000AEA70000}"/>
    <cellStyle name="Normal 3 4 5 6 2" xfId="42936" xr:uid="{00000000-0005-0000-0000-0000AFA70000}"/>
    <cellStyle name="Normal 3 4 5 6 2 10" xfId="42937" xr:uid="{00000000-0005-0000-0000-0000B0A70000}"/>
    <cellStyle name="Normal 3 4 5 6 2 10 2" xfId="42938" xr:uid="{00000000-0005-0000-0000-0000B1A70000}"/>
    <cellStyle name="Normal 3 4 5 6 2 10 3" xfId="42939" xr:uid="{00000000-0005-0000-0000-0000B2A70000}"/>
    <cellStyle name="Normal 3 4 5 6 2 11" xfId="42940" xr:uid="{00000000-0005-0000-0000-0000B3A70000}"/>
    <cellStyle name="Normal 3 4 5 6 2 11 2" xfId="42941" xr:uid="{00000000-0005-0000-0000-0000B4A70000}"/>
    <cellStyle name="Normal 3 4 5 6 2 11 3" xfId="42942" xr:uid="{00000000-0005-0000-0000-0000B5A70000}"/>
    <cellStyle name="Normal 3 4 5 6 2 12" xfId="42943" xr:uid="{00000000-0005-0000-0000-0000B6A70000}"/>
    <cellStyle name="Normal 3 4 5 6 2 12 2" xfId="42944" xr:uid="{00000000-0005-0000-0000-0000B7A70000}"/>
    <cellStyle name="Normal 3 4 5 6 2 12 3" xfId="42945" xr:uid="{00000000-0005-0000-0000-0000B8A70000}"/>
    <cellStyle name="Normal 3 4 5 6 2 13" xfId="42946" xr:uid="{00000000-0005-0000-0000-0000B9A70000}"/>
    <cellStyle name="Normal 3 4 5 6 2 13 2" xfId="42947" xr:uid="{00000000-0005-0000-0000-0000BAA70000}"/>
    <cellStyle name="Normal 3 4 5 6 2 13 3" xfId="42948" xr:uid="{00000000-0005-0000-0000-0000BBA70000}"/>
    <cellStyle name="Normal 3 4 5 6 2 14" xfId="42949" xr:uid="{00000000-0005-0000-0000-0000BCA70000}"/>
    <cellStyle name="Normal 3 4 5 6 2 14 2" xfId="42950" xr:uid="{00000000-0005-0000-0000-0000BDA70000}"/>
    <cellStyle name="Normal 3 4 5 6 2 14 3" xfId="42951" xr:uid="{00000000-0005-0000-0000-0000BEA70000}"/>
    <cellStyle name="Normal 3 4 5 6 2 15" xfId="42952" xr:uid="{00000000-0005-0000-0000-0000BFA70000}"/>
    <cellStyle name="Normal 3 4 5 6 2 16" xfId="42953" xr:uid="{00000000-0005-0000-0000-0000C0A70000}"/>
    <cellStyle name="Normal 3 4 5 6 2 2" xfId="42954" xr:uid="{00000000-0005-0000-0000-0000C1A70000}"/>
    <cellStyle name="Normal 3 4 5 6 2 2 2" xfId="42955" xr:uid="{00000000-0005-0000-0000-0000C2A70000}"/>
    <cellStyle name="Normal 3 4 5 6 2 2 3" xfId="42956" xr:uid="{00000000-0005-0000-0000-0000C3A70000}"/>
    <cellStyle name="Normal 3 4 5 6 2 3" xfId="42957" xr:uid="{00000000-0005-0000-0000-0000C4A70000}"/>
    <cellStyle name="Normal 3 4 5 6 2 3 2" xfId="42958" xr:uid="{00000000-0005-0000-0000-0000C5A70000}"/>
    <cellStyle name="Normal 3 4 5 6 2 3 3" xfId="42959" xr:uid="{00000000-0005-0000-0000-0000C6A70000}"/>
    <cellStyle name="Normal 3 4 5 6 2 4" xfId="42960" xr:uid="{00000000-0005-0000-0000-0000C7A70000}"/>
    <cellStyle name="Normal 3 4 5 6 2 4 2" xfId="42961" xr:uid="{00000000-0005-0000-0000-0000C8A70000}"/>
    <cellStyle name="Normal 3 4 5 6 2 4 3" xfId="42962" xr:uid="{00000000-0005-0000-0000-0000C9A70000}"/>
    <cellStyle name="Normal 3 4 5 6 2 5" xfId="42963" xr:uid="{00000000-0005-0000-0000-0000CAA70000}"/>
    <cellStyle name="Normal 3 4 5 6 2 5 2" xfId="42964" xr:uid="{00000000-0005-0000-0000-0000CBA70000}"/>
    <cellStyle name="Normal 3 4 5 6 2 5 3" xfId="42965" xr:uid="{00000000-0005-0000-0000-0000CCA70000}"/>
    <cellStyle name="Normal 3 4 5 6 2 6" xfId="42966" xr:uid="{00000000-0005-0000-0000-0000CDA70000}"/>
    <cellStyle name="Normal 3 4 5 6 2 6 2" xfId="42967" xr:uid="{00000000-0005-0000-0000-0000CEA70000}"/>
    <cellStyle name="Normal 3 4 5 6 2 6 3" xfId="42968" xr:uid="{00000000-0005-0000-0000-0000CFA70000}"/>
    <cellStyle name="Normal 3 4 5 6 2 7" xfId="42969" xr:uid="{00000000-0005-0000-0000-0000D0A70000}"/>
    <cellStyle name="Normal 3 4 5 6 2 7 2" xfId="42970" xr:uid="{00000000-0005-0000-0000-0000D1A70000}"/>
    <cellStyle name="Normal 3 4 5 6 2 7 3" xfId="42971" xr:uid="{00000000-0005-0000-0000-0000D2A70000}"/>
    <cellStyle name="Normal 3 4 5 6 2 8" xfId="42972" xr:uid="{00000000-0005-0000-0000-0000D3A70000}"/>
    <cellStyle name="Normal 3 4 5 6 2 8 2" xfId="42973" xr:uid="{00000000-0005-0000-0000-0000D4A70000}"/>
    <cellStyle name="Normal 3 4 5 6 2 8 3" xfId="42974" xr:uid="{00000000-0005-0000-0000-0000D5A70000}"/>
    <cellStyle name="Normal 3 4 5 6 2 9" xfId="42975" xr:uid="{00000000-0005-0000-0000-0000D6A70000}"/>
    <cellStyle name="Normal 3 4 5 6 2 9 2" xfId="42976" xr:uid="{00000000-0005-0000-0000-0000D7A70000}"/>
    <cellStyle name="Normal 3 4 5 6 2 9 3" xfId="42977" xr:uid="{00000000-0005-0000-0000-0000D8A70000}"/>
    <cellStyle name="Normal 3 4 5 6 3" xfId="42978" xr:uid="{00000000-0005-0000-0000-0000D9A70000}"/>
    <cellStyle name="Normal 3 4 5 6 3 2" xfId="42979" xr:uid="{00000000-0005-0000-0000-0000DAA70000}"/>
    <cellStyle name="Normal 3 4 5 6 3 3" xfId="42980" xr:uid="{00000000-0005-0000-0000-0000DBA70000}"/>
    <cellStyle name="Normal 3 4 5 6 4" xfId="42981" xr:uid="{00000000-0005-0000-0000-0000DCA70000}"/>
    <cellStyle name="Normal 3 4 5 6 4 2" xfId="42982" xr:uid="{00000000-0005-0000-0000-0000DDA70000}"/>
    <cellStyle name="Normal 3 4 5 6 4 3" xfId="42983" xr:uid="{00000000-0005-0000-0000-0000DEA70000}"/>
    <cellStyle name="Normal 3 4 5 6 5" xfId="42984" xr:uid="{00000000-0005-0000-0000-0000DFA70000}"/>
    <cellStyle name="Normal 3 4 5 6 5 2" xfId="42985" xr:uid="{00000000-0005-0000-0000-0000E0A70000}"/>
    <cellStyle name="Normal 3 4 5 6 5 3" xfId="42986" xr:uid="{00000000-0005-0000-0000-0000E1A70000}"/>
    <cellStyle name="Normal 3 4 5 6 6" xfId="42987" xr:uid="{00000000-0005-0000-0000-0000E2A70000}"/>
    <cellStyle name="Normal 3 4 5 6 6 2" xfId="42988" xr:uid="{00000000-0005-0000-0000-0000E3A70000}"/>
    <cellStyle name="Normal 3 4 5 6 6 3" xfId="42989" xr:uid="{00000000-0005-0000-0000-0000E4A70000}"/>
    <cellStyle name="Normal 3 4 5 6 7" xfId="42990" xr:uid="{00000000-0005-0000-0000-0000E5A70000}"/>
    <cellStyle name="Normal 3 4 5 6 7 2" xfId="42991" xr:uid="{00000000-0005-0000-0000-0000E6A70000}"/>
    <cellStyle name="Normal 3 4 5 6 7 3" xfId="42992" xr:uid="{00000000-0005-0000-0000-0000E7A70000}"/>
    <cellStyle name="Normal 3 4 5 6 8" xfId="42993" xr:uid="{00000000-0005-0000-0000-0000E8A70000}"/>
    <cellStyle name="Normal 3 4 5 6 8 2" xfId="42994" xr:uid="{00000000-0005-0000-0000-0000E9A70000}"/>
    <cellStyle name="Normal 3 4 5 6 8 3" xfId="42995" xr:uid="{00000000-0005-0000-0000-0000EAA70000}"/>
    <cellStyle name="Normal 3 4 5 6 9" xfId="42996" xr:uid="{00000000-0005-0000-0000-0000EBA70000}"/>
    <cellStyle name="Normal 3 4 5 6 9 2" xfId="42997" xr:uid="{00000000-0005-0000-0000-0000ECA70000}"/>
    <cellStyle name="Normal 3 4 5 6 9 3" xfId="42998" xr:uid="{00000000-0005-0000-0000-0000EDA70000}"/>
    <cellStyle name="Normal 3 4 5 7" xfId="42999" xr:uid="{00000000-0005-0000-0000-0000EEA70000}"/>
    <cellStyle name="Normal 3 4 5 7 10" xfId="43000" xr:uid="{00000000-0005-0000-0000-0000EFA70000}"/>
    <cellStyle name="Normal 3 4 5 7 10 2" xfId="43001" xr:uid="{00000000-0005-0000-0000-0000F0A70000}"/>
    <cellStyle name="Normal 3 4 5 7 10 3" xfId="43002" xr:uid="{00000000-0005-0000-0000-0000F1A70000}"/>
    <cellStyle name="Normal 3 4 5 7 11" xfId="43003" xr:uid="{00000000-0005-0000-0000-0000F2A70000}"/>
    <cellStyle name="Normal 3 4 5 7 11 2" xfId="43004" xr:uid="{00000000-0005-0000-0000-0000F3A70000}"/>
    <cellStyle name="Normal 3 4 5 7 11 3" xfId="43005" xr:uid="{00000000-0005-0000-0000-0000F4A70000}"/>
    <cellStyle name="Normal 3 4 5 7 12" xfId="43006" xr:uid="{00000000-0005-0000-0000-0000F5A70000}"/>
    <cellStyle name="Normal 3 4 5 7 12 2" xfId="43007" xr:uid="{00000000-0005-0000-0000-0000F6A70000}"/>
    <cellStyle name="Normal 3 4 5 7 12 3" xfId="43008" xr:uid="{00000000-0005-0000-0000-0000F7A70000}"/>
    <cellStyle name="Normal 3 4 5 7 13" xfId="43009" xr:uid="{00000000-0005-0000-0000-0000F8A70000}"/>
    <cellStyle name="Normal 3 4 5 7 13 2" xfId="43010" xr:uid="{00000000-0005-0000-0000-0000F9A70000}"/>
    <cellStyle name="Normal 3 4 5 7 13 3" xfId="43011" xr:uid="{00000000-0005-0000-0000-0000FAA70000}"/>
    <cellStyle name="Normal 3 4 5 7 14" xfId="43012" xr:uid="{00000000-0005-0000-0000-0000FBA70000}"/>
    <cellStyle name="Normal 3 4 5 7 14 2" xfId="43013" xr:uid="{00000000-0005-0000-0000-0000FCA70000}"/>
    <cellStyle name="Normal 3 4 5 7 14 3" xfId="43014" xr:uid="{00000000-0005-0000-0000-0000FDA70000}"/>
    <cellStyle name="Normal 3 4 5 7 15" xfId="43015" xr:uid="{00000000-0005-0000-0000-0000FEA70000}"/>
    <cellStyle name="Normal 3 4 5 7 15 2" xfId="43016" xr:uid="{00000000-0005-0000-0000-0000FFA70000}"/>
    <cellStyle name="Normal 3 4 5 7 15 3" xfId="43017" xr:uid="{00000000-0005-0000-0000-000000A80000}"/>
    <cellStyle name="Normal 3 4 5 7 16" xfId="43018" xr:uid="{00000000-0005-0000-0000-000001A80000}"/>
    <cellStyle name="Normal 3 4 5 7 17" xfId="43019" xr:uid="{00000000-0005-0000-0000-000002A80000}"/>
    <cellStyle name="Normal 3 4 5 7 2" xfId="43020" xr:uid="{00000000-0005-0000-0000-000003A80000}"/>
    <cellStyle name="Normal 3 4 5 7 2 10" xfId="43021" xr:uid="{00000000-0005-0000-0000-000004A80000}"/>
    <cellStyle name="Normal 3 4 5 7 2 10 2" xfId="43022" xr:uid="{00000000-0005-0000-0000-000005A80000}"/>
    <cellStyle name="Normal 3 4 5 7 2 10 3" xfId="43023" xr:uid="{00000000-0005-0000-0000-000006A80000}"/>
    <cellStyle name="Normal 3 4 5 7 2 11" xfId="43024" xr:uid="{00000000-0005-0000-0000-000007A80000}"/>
    <cellStyle name="Normal 3 4 5 7 2 11 2" xfId="43025" xr:uid="{00000000-0005-0000-0000-000008A80000}"/>
    <cellStyle name="Normal 3 4 5 7 2 11 3" xfId="43026" xr:uid="{00000000-0005-0000-0000-000009A80000}"/>
    <cellStyle name="Normal 3 4 5 7 2 12" xfId="43027" xr:uid="{00000000-0005-0000-0000-00000AA80000}"/>
    <cellStyle name="Normal 3 4 5 7 2 12 2" xfId="43028" xr:uid="{00000000-0005-0000-0000-00000BA80000}"/>
    <cellStyle name="Normal 3 4 5 7 2 12 3" xfId="43029" xr:uid="{00000000-0005-0000-0000-00000CA80000}"/>
    <cellStyle name="Normal 3 4 5 7 2 13" xfId="43030" xr:uid="{00000000-0005-0000-0000-00000DA80000}"/>
    <cellStyle name="Normal 3 4 5 7 2 13 2" xfId="43031" xr:uid="{00000000-0005-0000-0000-00000EA80000}"/>
    <cellStyle name="Normal 3 4 5 7 2 13 3" xfId="43032" xr:uid="{00000000-0005-0000-0000-00000FA80000}"/>
    <cellStyle name="Normal 3 4 5 7 2 14" xfId="43033" xr:uid="{00000000-0005-0000-0000-000010A80000}"/>
    <cellStyle name="Normal 3 4 5 7 2 14 2" xfId="43034" xr:uid="{00000000-0005-0000-0000-000011A80000}"/>
    <cellStyle name="Normal 3 4 5 7 2 14 3" xfId="43035" xr:uid="{00000000-0005-0000-0000-000012A80000}"/>
    <cellStyle name="Normal 3 4 5 7 2 15" xfId="43036" xr:uid="{00000000-0005-0000-0000-000013A80000}"/>
    <cellStyle name="Normal 3 4 5 7 2 16" xfId="43037" xr:uid="{00000000-0005-0000-0000-000014A80000}"/>
    <cellStyle name="Normal 3 4 5 7 2 2" xfId="43038" xr:uid="{00000000-0005-0000-0000-000015A80000}"/>
    <cellStyle name="Normal 3 4 5 7 2 2 2" xfId="43039" xr:uid="{00000000-0005-0000-0000-000016A80000}"/>
    <cellStyle name="Normal 3 4 5 7 2 2 3" xfId="43040" xr:uid="{00000000-0005-0000-0000-000017A80000}"/>
    <cellStyle name="Normal 3 4 5 7 2 3" xfId="43041" xr:uid="{00000000-0005-0000-0000-000018A80000}"/>
    <cellStyle name="Normal 3 4 5 7 2 3 2" xfId="43042" xr:uid="{00000000-0005-0000-0000-000019A80000}"/>
    <cellStyle name="Normal 3 4 5 7 2 3 3" xfId="43043" xr:uid="{00000000-0005-0000-0000-00001AA80000}"/>
    <cellStyle name="Normal 3 4 5 7 2 4" xfId="43044" xr:uid="{00000000-0005-0000-0000-00001BA80000}"/>
    <cellStyle name="Normal 3 4 5 7 2 4 2" xfId="43045" xr:uid="{00000000-0005-0000-0000-00001CA80000}"/>
    <cellStyle name="Normal 3 4 5 7 2 4 3" xfId="43046" xr:uid="{00000000-0005-0000-0000-00001DA80000}"/>
    <cellStyle name="Normal 3 4 5 7 2 5" xfId="43047" xr:uid="{00000000-0005-0000-0000-00001EA80000}"/>
    <cellStyle name="Normal 3 4 5 7 2 5 2" xfId="43048" xr:uid="{00000000-0005-0000-0000-00001FA80000}"/>
    <cellStyle name="Normal 3 4 5 7 2 5 3" xfId="43049" xr:uid="{00000000-0005-0000-0000-000020A80000}"/>
    <cellStyle name="Normal 3 4 5 7 2 6" xfId="43050" xr:uid="{00000000-0005-0000-0000-000021A80000}"/>
    <cellStyle name="Normal 3 4 5 7 2 6 2" xfId="43051" xr:uid="{00000000-0005-0000-0000-000022A80000}"/>
    <cellStyle name="Normal 3 4 5 7 2 6 3" xfId="43052" xr:uid="{00000000-0005-0000-0000-000023A80000}"/>
    <cellStyle name="Normal 3 4 5 7 2 7" xfId="43053" xr:uid="{00000000-0005-0000-0000-000024A80000}"/>
    <cellStyle name="Normal 3 4 5 7 2 7 2" xfId="43054" xr:uid="{00000000-0005-0000-0000-000025A80000}"/>
    <cellStyle name="Normal 3 4 5 7 2 7 3" xfId="43055" xr:uid="{00000000-0005-0000-0000-000026A80000}"/>
    <cellStyle name="Normal 3 4 5 7 2 8" xfId="43056" xr:uid="{00000000-0005-0000-0000-000027A80000}"/>
    <cellStyle name="Normal 3 4 5 7 2 8 2" xfId="43057" xr:uid="{00000000-0005-0000-0000-000028A80000}"/>
    <cellStyle name="Normal 3 4 5 7 2 8 3" xfId="43058" xr:uid="{00000000-0005-0000-0000-000029A80000}"/>
    <cellStyle name="Normal 3 4 5 7 2 9" xfId="43059" xr:uid="{00000000-0005-0000-0000-00002AA80000}"/>
    <cellStyle name="Normal 3 4 5 7 2 9 2" xfId="43060" xr:uid="{00000000-0005-0000-0000-00002BA80000}"/>
    <cellStyle name="Normal 3 4 5 7 2 9 3" xfId="43061" xr:uid="{00000000-0005-0000-0000-00002CA80000}"/>
    <cellStyle name="Normal 3 4 5 7 3" xfId="43062" xr:uid="{00000000-0005-0000-0000-00002DA80000}"/>
    <cellStyle name="Normal 3 4 5 7 3 2" xfId="43063" xr:uid="{00000000-0005-0000-0000-00002EA80000}"/>
    <cellStyle name="Normal 3 4 5 7 3 3" xfId="43064" xr:uid="{00000000-0005-0000-0000-00002FA80000}"/>
    <cellStyle name="Normal 3 4 5 7 4" xfId="43065" xr:uid="{00000000-0005-0000-0000-000030A80000}"/>
    <cellStyle name="Normal 3 4 5 7 4 2" xfId="43066" xr:uid="{00000000-0005-0000-0000-000031A80000}"/>
    <cellStyle name="Normal 3 4 5 7 4 3" xfId="43067" xr:uid="{00000000-0005-0000-0000-000032A80000}"/>
    <cellStyle name="Normal 3 4 5 7 5" xfId="43068" xr:uid="{00000000-0005-0000-0000-000033A80000}"/>
    <cellStyle name="Normal 3 4 5 7 5 2" xfId="43069" xr:uid="{00000000-0005-0000-0000-000034A80000}"/>
    <cellStyle name="Normal 3 4 5 7 5 3" xfId="43070" xr:uid="{00000000-0005-0000-0000-000035A80000}"/>
    <cellStyle name="Normal 3 4 5 7 6" xfId="43071" xr:uid="{00000000-0005-0000-0000-000036A80000}"/>
    <cellStyle name="Normal 3 4 5 7 6 2" xfId="43072" xr:uid="{00000000-0005-0000-0000-000037A80000}"/>
    <cellStyle name="Normal 3 4 5 7 6 3" xfId="43073" xr:uid="{00000000-0005-0000-0000-000038A80000}"/>
    <cellStyle name="Normal 3 4 5 7 7" xfId="43074" xr:uid="{00000000-0005-0000-0000-000039A80000}"/>
    <cellStyle name="Normal 3 4 5 7 7 2" xfId="43075" xr:uid="{00000000-0005-0000-0000-00003AA80000}"/>
    <cellStyle name="Normal 3 4 5 7 7 3" xfId="43076" xr:uid="{00000000-0005-0000-0000-00003BA80000}"/>
    <cellStyle name="Normal 3 4 5 7 8" xfId="43077" xr:uid="{00000000-0005-0000-0000-00003CA80000}"/>
    <cellStyle name="Normal 3 4 5 7 8 2" xfId="43078" xr:uid="{00000000-0005-0000-0000-00003DA80000}"/>
    <cellStyle name="Normal 3 4 5 7 8 3" xfId="43079" xr:uid="{00000000-0005-0000-0000-00003EA80000}"/>
    <cellStyle name="Normal 3 4 5 7 9" xfId="43080" xr:uid="{00000000-0005-0000-0000-00003FA80000}"/>
    <cellStyle name="Normal 3 4 5 7 9 2" xfId="43081" xr:uid="{00000000-0005-0000-0000-000040A80000}"/>
    <cellStyle name="Normal 3 4 5 7 9 3" xfId="43082" xr:uid="{00000000-0005-0000-0000-000041A80000}"/>
    <cellStyle name="Normal 3 4 5 8" xfId="43083" xr:uid="{00000000-0005-0000-0000-000042A80000}"/>
    <cellStyle name="Normal 3 4 5 8 10" xfId="43084" xr:uid="{00000000-0005-0000-0000-000043A80000}"/>
    <cellStyle name="Normal 3 4 5 8 10 2" xfId="43085" xr:uid="{00000000-0005-0000-0000-000044A80000}"/>
    <cellStyle name="Normal 3 4 5 8 10 3" xfId="43086" xr:uid="{00000000-0005-0000-0000-000045A80000}"/>
    <cellStyle name="Normal 3 4 5 8 11" xfId="43087" xr:uid="{00000000-0005-0000-0000-000046A80000}"/>
    <cellStyle name="Normal 3 4 5 8 11 2" xfId="43088" xr:uid="{00000000-0005-0000-0000-000047A80000}"/>
    <cellStyle name="Normal 3 4 5 8 11 3" xfId="43089" xr:uid="{00000000-0005-0000-0000-000048A80000}"/>
    <cellStyle name="Normal 3 4 5 8 12" xfId="43090" xr:uid="{00000000-0005-0000-0000-000049A80000}"/>
    <cellStyle name="Normal 3 4 5 8 12 2" xfId="43091" xr:uid="{00000000-0005-0000-0000-00004AA80000}"/>
    <cellStyle name="Normal 3 4 5 8 12 3" xfId="43092" xr:uid="{00000000-0005-0000-0000-00004BA80000}"/>
    <cellStyle name="Normal 3 4 5 8 13" xfId="43093" xr:uid="{00000000-0005-0000-0000-00004CA80000}"/>
    <cellStyle name="Normal 3 4 5 8 13 2" xfId="43094" xr:uid="{00000000-0005-0000-0000-00004DA80000}"/>
    <cellStyle name="Normal 3 4 5 8 13 3" xfId="43095" xr:uid="{00000000-0005-0000-0000-00004EA80000}"/>
    <cellStyle name="Normal 3 4 5 8 14" xfId="43096" xr:uid="{00000000-0005-0000-0000-00004FA80000}"/>
    <cellStyle name="Normal 3 4 5 8 14 2" xfId="43097" xr:uid="{00000000-0005-0000-0000-000050A80000}"/>
    <cellStyle name="Normal 3 4 5 8 14 3" xfId="43098" xr:uid="{00000000-0005-0000-0000-000051A80000}"/>
    <cellStyle name="Normal 3 4 5 8 15" xfId="43099" xr:uid="{00000000-0005-0000-0000-000052A80000}"/>
    <cellStyle name="Normal 3 4 5 8 15 2" xfId="43100" xr:uid="{00000000-0005-0000-0000-000053A80000}"/>
    <cellStyle name="Normal 3 4 5 8 15 3" xfId="43101" xr:uid="{00000000-0005-0000-0000-000054A80000}"/>
    <cellStyle name="Normal 3 4 5 8 16" xfId="43102" xr:uid="{00000000-0005-0000-0000-000055A80000}"/>
    <cellStyle name="Normal 3 4 5 8 17" xfId="43103" xr:uid="{00000000-0005-0000-0000-000056A80000}"/>
    <cellStyle name="Normal 3 4 5 8 2" xfId="43104" xr:uid="{00000000-0005-0000-0000-000057A80000}"/>
    <cellStyle name="Normal 3 4 5 8 2 10" xfId="43105" xr:uid="{00000000-0005-0000-0000-000058A80000}"/>
    <cellStyle name="Normal 3 4 5 8 2 10 2" xfId="43106" xr:uid="{00000000-0005-0000-0000-000059A80000}"/>
    <cellStyle name="Normal 3 4 5 8 2 10 3" xfId="43107" xr:uid="{00000000-0005-0000-0000-00005AA80000}"/>
    <cellStyle name="Normal 3 4 5 8 2 11" xfId="43108" xr:uid="{00000000-0005-0000-0000-00005BA80000}"/>
    <cellStyle name="Normal 3 4 5 8 2 11 2" xfId="43109" xr:uid="{00000000-0005-0000-0000-00005CA80000}"/>
    <cellStyle name="Normal 3 4 5 8 2 11 3" xfId="43110" xr:uid="{00000000-0005-0000-0000-00005DA80000}"/>
    <cellStyle name="Normal 3 4 5 8 2 12" xfId="43111" xr:uid="{00000000-0005-0000-0000-00005EA80000}"/>
    <cellStyle name="Normal 3 4 5 8 2 12 2" xfId="43112" xr:uid="{00000000-0005-0000-0000-00005FA80000}"/>
    <cellStyle name="Normal 3 4 5 8 2 12 3" xfId="43113" xr:uid="{00000000-0005-0000-0000-000060A80000}"/>
    <cellStyle name="Normal 3 4 5 8 2 13" xfId="43114" xr:uid="{00000000-0005-0000-0000-000061A80000}"/>
    <cellStyle name="Normal 3 4 5 8 2 13 2" xfId="43115" xr:uid="{00000000-0005-0000-0000-000062A80000}"/>
    <cellStyle name="Normal 3 4 5 8 2 13 3" xfId="43116" xr:uid="{00000000-0005-0000-0000-000063A80000}"/>
    <cellStyle name="Normal 3 4 5 8 2 14" xfId="43117" xr:uid="{00000000-0005-0000-0000-000064A80000}"/>
    <cellStyle name="Normal 3 4 5 8 2 14 2" xfId="43118" xr:uid="{00000000-0005-0000-0000-000065A80000}"/>
    <cellStyle name="Normal 3 4 5 8 2 14 3" xfId="43119" xr:uid="{00000000-0005-0000-0000-000066A80000}"/>
    <cellStyle name="Normal 3 4 5 8 2 15" xfId="43120" xr:uid="{00000000-0005-0000-0000-000067A80000}"/>
    <cellStyle name="Normal 3 4 5 8 2 16" xfId="43121" xr:uid="{00000000-0005-0000-0000-000068A80000}"/>
    <cellStyle name="Normal 3 4 5 8 2 2" xfId="43122" xr:uid="{00000000-0005-0000-0000-000069A80000}"/>
    <cellStyle name="Normal 3 4 5 8 2 2 2" xfId="43123" xr:uid="{00000000-0005-0000-0000-00006AA80000}"/>
    <cellStyle name="Normal 3 4 5 8 2 2 3" xfId="43124" xr:uid="{00000000-0005-0000-0000-00006BA80000}"/>
    <cellStyle name="Normal 3 4 5 8 2 3" xfId="43125" xr:uid="{00000000-0005-0000-0000-00006CA80000}"/>
    <cellStyle name="Normal 3 4 5 8 2 3 2" xfId="43126" xr:uid="{00000000-0005-0000-0000-00006DA80000}"/>
    <cellStyle name="Normal 3 4 5 8 2 3 3" xfId="43127" xr:uid="{00000000-0005-0000-0000-00006EA80000}"/>
    <cellStyle name="Normal 3 4 5 8 2 4" xfId="43128" xr:uid="{00000000-0005-0000-0000-00006FA80000}"/>
    <cellStyle name="Normal 3 4 5 8 2 4 2" xfId="43129" xr:uid="{00000000-0005-0000-0000-000070A80000}"/>
    <cellStyle name="Normal 3 4 5 8 2 4 3" xfId="43130" xr:uid="{00000000-0005-0000-0000-000071A80000}"/>
    <cellStyle name="Normal 3 4 5 8 2 5" xfId="43131" xr:uid="{00000000-0005-0000-0000-000072A80000}"/>
    <cellStyle name="Normal 3 4 5 8 2 5 2" xfId="43132" xr:uid="{00000000-0005-0000-0000-000073A80000}"/>
    <cellStyle name="Normal 3 4 5 8 2 5 3" xfId="43133" xr:uid="{00000000-0005-0000-0000-000074A80000}"/>
    <cellStyle name="Normal 3 4 5 8 2 6" xfId="43134" xr:uid="{00000000-0005-0000-0000-000075A80000}"/>
    <cellStyle name="Normal 3 4 5 8 2 6 2" xfId="43135" xr:uid="{00000000-0005-0000-0000-000076A80000}"/>
    <cellStyle name="Normal 3 4 5 8 2 6 3" xfId="43136" xr:uid="{00000000-0005-0000-0000-000077A80000}"/>
    <cellStyle name="Normal 3 4 5 8 2 7" xfId="43137" xr:uid="{00000000-0005-0000-0000-000078A80000}"/>
    <cellStyle name="Normal 3 4 5 8 2 7 2" xfId="43138" xr:uid="{00000000-0005-0000-0000-000079A80000}"/>
    <cellStyle name="Normal 3 4 5 8 2 7 3" xfId="43139" xr:uid="{00000000-0005-0000-0000-00007AA80000}"/>
    <cellStyle name="Normal 3 4 5 8 2 8" xfId="43140" xr:uid="{00000000-0005-0000-0000-00007BA80000}"/>
    <cellStyle name="Normal 3 4 5 8 2 8 2" xfId="43141" xr:uid="{00000000-0005-0000-0000-00007CA80000}"/>
    <cellStyle name="Normal 3 4 5 8 2 8 3" xfId="43142" xr:uid="{00000000-0005-0000-0000-00007DA80000}"/>
    <cellStyle name="Normal 3 4 5 8 2 9" xfId="43143" xr:uid="{00000000-0005-0000-0000-00007EA80000}"/>
    <cellStyle name="Normal 3 4 5 8 2 9 2" xfId="43144" xr:uid="{00000000-0005-0000-0000-00007FA80000}"/>
    <cellStyle name="Normal 3 4 5 8 2 9 3" xfId="43145" xr:uid="{00000000-0005-0000-0000-000080A80000}"/>
    <cellStyle name="Normal 3 4 5 8 3" xfId="43146" xr:uid="{00000000-0005-0000-0000-000081A80000}"/>
    <cellStyle name="Normal 3 4 5 8 3 2" xfId="43147" xr:uid="{00000000-0005-0000-0000-000082A80000}"/>
    <cellStyle name="Normal 3 4 5 8 3 3" xfId="43148" xr:uid="{00000000-0005-0000-0000-000083A80000}"/>
    <cellStyle name="Normal 3 4 5 8 4" xfId="43149" xr:uid="{00000000-0005-0000-0000-000084A80000}"/>
    <cellStyle name="Normal 3 4 5 8 4 2" xfId="43150" xr:uid="{00000000-0005-0000-0000-000085A80000}"/>
    <cellStyle name="Normal 3 4 5 8 4 3" xfId="43151" xr:uid="{00000000-0005-0000-0000-000086A80000}"/>
    <cellStyle name="Normal 3 4 5 8 5" xfId="43152" xr:uid="{00000000-0005-0000-0000-000087A80000}"/>
    <cellStyle name="Normal 3 4 5 8 5 2" xfId="43153" xr:uid="{00000000-0005-0000-0000-000088A80000}"/>
    <cellStyle name="Normal 3 4 5 8 5 3" xfId="43154" xr:uid="{00000000-0005-0000-0000-000089A80000}"/>
    <cellStyle name="Normal 3 4 5 8 6" xfId="43155" xr:uid="{00000000-0005-0000-0000-00008AA80000}"/>
    <cellStyle name="Normal 3 4 5 8 6 2" xfId="43156" xr:uid="{00000000-0005-0000-0000-00008BA80000}"/>
    <cellStyle name="Normal 3 4 5 8 6 3" xfId="43157" xr:uid="{00000000-0005-0000-0000-00008CA80000}"/>
    <cellStyle name="Normal 3 4 5 8 7" xfId="43158" xr:uid="{00000000-0005-0000-0000-00008DA80000}"/>
    <cellStyle name="Normal 3 4 5 8 7 2" xfId="43159" xr:uid="{00000000-0005-0000-0000-00008EA80000}"/>
    <cellStyle name="Normal 3 4 5 8 7 3" xfId="43160" xr:uid="{00000000-0005-0000-0000-00008FA80000}"/>
    <cellStyle name="Normal 3 4 5 8 8" xfId="43161" xr:uid="{00000000-0005-0000-0000-000090A80000}"/>
    <cellStyle name="Normal 3 4 5 8 8 2" xfId="43162" xr:uid="{00000000-0005-0000-0000-000091A80000}"/>
    <cellStyle name="Normal 3 4 5 8 8 3" xfId="43163" xr:uid="{00000000-0005-0000-0000-000092A80000}"/>
    <cellStyle name="Normal 3 4 5 8 9" xfId="43164" xr:uid="{00000000-0005-0000-0000-000093A80000}"/>
    <cellStyle name="Normal 3 4 5 8 9 2" xfId="43165" xr:uid="{00000000-0005-0000-0000-000094A80000}"/>
    <cellStyle name="Normal 3 4 5 8 9 3" xfId="43166" xr:uid="{00000000-0005-0000-0000-000095A80000}"/>
    <cellStyle name="Normal 3 4 5 9" xfId="43167" xr:uid="{00000000-0005-0000-0000-000096A80000}"/>
    <cellStyle name="Normal 3 4 5 9 10" xfId="43168" xr:uid="{00000000-0005-0000-0000-000097A80000}"/>
    <cellStyle name="Normal 3 4 5 9 10 2" xfId="43169" xr:uid="{00000000-0005-0000-0000-000098A80000}"/>
    <cellStyle name="Normal 3 4 5 9 10 3" xfId="43170" xr:uid="{00000000-0005-0000-0000-000099A80000}"/>
    <cellStyle name="Normal 3 4 5 9 11" xfId="43171" xr:uid="{00000000-0005-0000-0000-00009AA80000}"/>
    <cellStyle name="Normal 3 4 5 9 11 2" xfId="43172" xr:uid="{00000000-0005-0000-0000-00009BA80000}"/>
    <cellStyle name="Normal 3 4 5 9 11 3" xfId="43173" xr:uid="{00000000-0005-0000-0000-00009CA80000}"/>
    <cellStyle name="Normal 3 4 5 9 12" xfId="43174" xr:uid="{00000000-0005-0000-0000-00009DA80000}"/>
    <cellStyle name="Normal 3 4 5 9 12 2" xfId="43175" xr:uid="{00000000-0005-0000-0000-00009EA80000}"/>
    <cellStyle name="Normal 3 4 5 9 12 3" xfId="43176" xr:uid="{00000000-0005-0000-0000-00009FA80000}"/>
    <cellStyle name="Normal 3 4 5 9 13" xfId="43177" xr:uid="{00000000-0005-0000-0000-0000A0A80000}"/>
    <cellStyle name="Normal 3 4 5 9 13 2" xfId="43178" xr:uid="{00000000-0005-0000-0000-0000A1A80000}"/>
    <cellStyle name="Normal 3 4 5 9 13 3" xfId="43179" xr:uid="{00000000-0005-0000-0000-0000A2A80000}"/>
    <cellStyle name="Normal 3 4 5 9 14" xfId="43180" xr:uid="{00000000-0005-0000-0000-0000A3A80000}"/>
    <cellStyle name="Normal 3 4 5 9 14 2" xfId="43181" xr:uid="{00000000-0005-0000-0000-0000A4A80000}"/>
    <cellStyle name="Normal 3 4 5 9 14 3" xfId="43182" xr:uid="{00000000-0005-0000-0000-0000A5A80000}"/>
    <cellStyle name="Normal 3 4 5 9 15" xfId="43183" xr:uid="{00000000-0005-0000-0000-0000A6A80000}"/>
    <cellStyle name="Normal 3 4 5 9 16" xfId="43184" xr:uid="{00000000-0005-0000-0000-0000A7A80000}"/>
    <cellStyle name="Normal 3 4 5 9 2" xfId="43185" xr:uid="{00000000-0005-0000-0000-0000A8A80000}"/>
    <cellStyle name="Normal 3 4 5 9 2 2" xfId="43186" xr:uid="{00000000-0005-0000-0000-0000A9A80000}"/>
    <cellStyle name="Normal 3 4 5 9 2 3" xfId="43187" xr:uid="{00000000-0005-0000-0000-0000AAA80000}"/>
    <cellStyle name="Normal 3 4 5 9 3" xfId="43188" xr:uid="{00000000-0005-0000-0000-0000ABA80000}"/>
    <cellStyle name="Normal 3 4 5 9 3 2" xfId="43189" xr:uid="{00000000-0005-0000-0000-0000ACA80000}"/>
    <cellStyle name="Normal 3 4 5 9 3 3" xfId="43190" xr:uid="{00000000-0005-0000-0000-0000ADA80000}"/>
    <cellStyle name="Normal 3 4 5 9 4" xfId="43191" xr:uid="{00000000-0005-0000-0000-0000AEA80000}"/>
    <cellStyle name="Normal 3 4 5 9 4 2" xfId="43192" xr:uid="{00000000-0005-0000-0000-0000AFA80000}"/>
    <cellStyle name="Normal 3 4 5 9 4 3" xfId="43193" xr:uid="{00000000-0005-0000-0000-0000B0A80000}"/>
    <cellStyle name="Normal 3 4 5 9 5" xfId="43194" xr:uid="{00000000-0005-0000-0000-0000B1A80000}"/>
    <cellStyle name="Normal 3 4 5 9 5 2" xfId="43195" xr:uid="{00000000-0005-0000-0000-0000B2A80000}"/>
    <cellStyle name="Normal 3 4 5 9 5 3" xfId="43196" xr:uid="{00000000-0005-0000-0000-0000B3A80000}"/>
    <cellStyle name="Normal 3 4 5 9 6" xfId="43197" xr:uid="{00000000-0005-0000-0000-0000B4A80000}"/>
    <cellStyle name="Normal 3 4 5 9 6 2" xfId="43198" xr:uid="{00000000-0005-0000-0000-0000B5A80000}"/>
    <cellStyle name="Normal 3 4 5 9 6 3" xfId="43199" xr:uid="{00000000-0005-0000-0000-0000B6A80000}"/>
    <cellStyle name="Normal 3 4 5 9 7" xfId="43200" xr:uid="{00000000-0005-0000-0000-0000B7A80000}"/>
    <cellStyle name="Normal 3 4 5 9 7 2" xfId="43201" xr:uid="{00000000-0005-0000-0000-0000B8A80000}"/>
    <cellStyle name="Normal 3 4 5 9 7 3" xfId="43202" xr:uid="{00000000-0005-0000-0000-0000B9A80000}"/>
    <cellStyle name="Normal 3 4 5 9 8" xfId="43203" xr:uid="{00000000-0005-0000-0000-0000BAA80000}"/>
    <cellStyle name="Normal 3 4 5 9 8 2" xfId="43204" xr:uid="{00000000-0005-0000-0000-0000BBA80000}"/>
    <cellStyle name="Normal 3 4 5 9 8 3" xfId="43205" xr:uid="{00000000-0005-0000-0000-0000BCA80000}"/>
    <cellStyle name="Normal 3 4 5 9 9" xfId="43206" xr:uid="{00000000-0005-0000-0000-0000BDA80000}"/>
    <cellStyle name="Normal 3 4 5 9 9 2" xfId="43207" xr:uid="{00000000-0005-0000-0000-0000BEA80000}"/>
    <cellStyle name="Normal 3 4 5 9 9 3" xfId="43208" xr:uid="{00000000-0005-0000-0000-0000BFA80000}"/>
    <cellStyle name="Normal 3 4 6" xfId="43209" xr:uid="{00000000-0005-0000-0000-0000C0A80000}"/>
    <cellStyle name="Normal 3 4 6 10" xfId="43210" xr:uid="{00000000-0005-0000-0000-0000C1A80000}"/>
    <cellStyle name="Normal 3 4 6 10 10" xfId="43211" xr:uid="{00000000-0005-0000-0000-0000C2A80000}"/>
    <cellStyle name="Normal 3 4 6 10 10 2" xfId="43212" xr:uid="{00000000-0005-0000-0000-0000C3A80000}"/>
    <cellStyle name="Normal 3 4 6 10 10 3" xfId="43213" xr:uid="{00000000-0005-0000-0000-0000C4A80000}"/>
    <cellStyle name="Normal 3 4 6 10 11" xfId="43214" xr:uid="{00000000-0005-0000-0000-0000C5A80000}"/>
    <cellStyle name="Normal 3 4 6 10 11 2" xfId="43215" xr:uid="{00000000-0005-0000-0000-0000C6A80000}"/>
    <cellStyle name="Normal 3 4 6 10 11 3" xfId="43216" xr:uid="{00000000-0005-0000-0000-0000C7A80000}"/>
    <cellStyle name="Normal 3 4 6 10 12" xfId="43217" xr:uid="{00000000-0005-0000-0000-0000C8A80000}"/>
    <cellStyle name="Normal 3 4 6 10 12 2" xfId="43218" xr:uid="{00000000-0005-0000-0000-0000C9A80000}"/>
    <cellStyle name="Normal 3 4 6 10 12 3" xfId="43219" xr:uid="{00000000-0005-0000-0000-0000CAA80000}"/>
    <cellStyle name="Normal 3 4 6 10 13" xfId="43220" xr:uid="{00000000-0005-0000-0000-0000CBA80000}"/>
    <cellStyle name="Normal 3 4 6 10 13 2" xfId="43221" xr:uid="{00000000-0005-0000-0000-0000CCA80000}"/>
    <cellStyle name="Normal 3 4 6 10 13 3" xfId="43222" xr:uid="{00000000-0005-0000-0000-0000CDA80000}"/>
    <cellStyle name="Normal 3 4 6 10 14" xfId="43223" xr:uid="{00000000-0005-0000-0000-0000CEA80000}"/>
    <cellStyle name="Normal 3 4 6 10 14 2" xfId="43224" xr:uid="{00000000-0005-0000-0000-0000CFA80000}"/>
    <cellStyle name="Normal 3 4 6 10 14 3" xfId="43225" xr:uid="{00000000-0005-0000-0000-0000D0A80000}"/>
    <cellStyle name="Normal 3 4 6 10 15" xfId="43226" xr:uid="{00000000-0005-0000-0000-0000D1A80000}"/>
    <cellStyle name="Normal 3 4 6 10 16" xfId="43227" xr:uid="{00000000-0005-0000-0000-0000D2A80000}"/>
    <cellStyle name="Normal 3 4 6 10 2" xfId="43228" xr:uid="{00000000-0005-0000-0000-0000D3A80000}"/>
    <cellStyle name="Normal 3 4 6 10 2 2" xfId="43229" xr:uid="{00000000-0005-0000-0000-0000D4A80000}"/>
    <cellStyle name="Normal 3 4 6 10 2 3" xfId="43230" xr:uid="{00000000-0005-0000-0000-0000D5A80000}"/>
    <cellStyle name="Normal 3 4 6 10 3" xfId="43231" xr:uid="{00000000-0005-0000-0000-0000D6A80000}"/>
    <cellStyle name="Normal 3 4 6 10 3 2" xfId="43232" xr:uid="{00000000-0005-0000-0000-0000D7A80000}"/>
    <cellStyle name="Normal 3 4 6 10 3 3" xfId="43233" xr:uid="{00000000-0005-0000-0000-0000D8A80000}"/>
    <cellStyle name="Normal 3 4 6 10 4" xfId="43234" xr:uid="{00000000-0005-0000-0000-0000D9A80000}"/>
    <cellStyle name="Normal 3 4 6 10 4 2" xfId="43235" xr:uid="{00000000-0005-0000-0000-0000DAA80000}"/>
    <cellStyle name="Normal 3 4 6 10 4 3" xfId="43236" xr:uid="{00000000-0005-0000-0000-0000DBA80000}"/>
    <cellStyle name="Normal 3 4 6 10 5" xfId="43237" xr:uid="{00000000-0005-0000-0000-0000DCA80000}"/>
    <cellStyle name="Normal 3 4 6 10 5 2" xfId="43238" xr:uid="{00000000-0005-0000-0000-0000DDA80000}"/>
    <cellStyle name="Normal 3 4 6 10 5 3" xfId="43239" xr:uid="{00000000-0005-0000-0000-0000DEA80000}"/>
    <cellStyle name="Normal 3 4 6 10 6" xfId="43240" xr:uid="{00000000-0005-0000-0000-0000DFA80000}"/>
    <cellStyle name="Normal 3 4 6 10 6 2" xfId="43241" xr:uid="{00000000-0005-0000-0000-0000E0A80000}"/>
    <cellStyle name="Normal 3 4 6 10 6 3" xfId="43242" xr:uid="{00000000-0005-0000-0000-0000E1A80000}"/>
    <cellStyle name="Normal 3 4 6 10 7" xfId="43243" xr:uid="{00000000-0005-0000-0000-0000E2A80000}"/>
    <cellStyle name="Normal 3 4 6 10 7 2" xfId="43244" xr:uid="{00000000-0005-0000-0000-0000E3A80000}"/>
    <cellStyle name="Normal 3 4 6 10 7 3" xfId="43245" xr:uid="{00000000-0005-0000-0000-0000E4A80000}"/>
    <cellStyle name="Normal 3 4 6 10 8" xfId="43246" xr:uid="{00000000-0005-0000-0000-0000E5A80000}"/>
    <cellStyle name="Normal 3 4 6 10 8 2" xfId="43247" xr:uid="{00000000-0005-0000-0000-0000E6A80000}"/>
    <cellStyle name="Normal 3 4 6 10 8 3" xfId="43248" xr:uid="{00000000-0005-0000-0000-0000E7A80000}"/>
    <cellStyle name="Normal 3 4 6 10 9" xfId="43249" xr:uid="{00000000-0005-0000-0000-0000E8A80000}"/>
    <cellStyle name="Normal 3 4 6 10 9 2" xfId="43250" xr:uid="{00000000-0005-0000-0000-0000E9A80000}"/>
    <cellStyle name="Normal 3 4 6 10 9 3" xfId="43251" xr:uid="{00000000-0005-0000-0000-0000EAA80000}"/>
    <cellStyle name="Normal 3 4 6 11" xfId="43252" xr:uid="{00000000-0005-0000-0000-0000EBA80000}"/>
    <cellStyle name="Normal 3 4 6 11 10" xfId="43253" xr:uid="{00000000-0005-0000-0000-0000ECA80000}"/>
    <cellStyle name="Normal 3 4 6 11 10 2" xfId="43254" xr:uid="{00000000-0005-0000-0000-0000EDA80000}"/>
    <cellStyle name="Normal 3 4 6 11 10 3" xfId="43255" xr:uid="{00000000-0005-0000-0000-0000EEA80000}"/>
    <cellStyle name="Normal 3 4 6 11 11" xfId="43256" xr:uid="{00000000-0005-0000-0000-0000EFA80000}"/>
    <cellStyle name="Normal 3 4 6 11 11 2" xfId="43257" xr:uid="{00000000-0005-0000-0000-0000F0A80000}"/>
    <cellStyle name="Normal 3 4 6 11 11 3" xfId="43258" xr:uid="{00000000-0005-0000-0000-0000F1A80000}"/>
    <cellStyle name="Normal 3 4 6 11 12" xfId="43259" xr:uid="{00000000-0005-0000-0000-0000F2A80000}"/>
    <cellStyle name="Normal 3 4 6 11 12 2" xfId="43260" xr:uid="{00000000-0005-0000-0000-0000F3A80000}"/>
    <cellStyle name="Normal 3 4 6 11 12 3" xfId="43261" xr:uid="{00000000-0005-0000-0000-0000F4A80000}"/>
    <cellStyle name="Normal 3 4 6 11 13" xfId="43262" xr:uid="{00000000-0005-0000-0000-0000F5A80000}"/>
    <cellStyle name="Normal 3 4 6 11 13 2" xfId="43263" xr:uid="{00000000-0005-0000-0000-0000F6A80000}"/>
    <cellStyle name="Normal 3 4 6 11 13 3" xfId="43264" xr:uid="{00000000-0005-0000-0000-0000F7A80000}"/>
    <cellStyle name="Normal 3 4 6 11 14" xfId="43265" xr:uid="{00000000-0005-0000-0000-0000F8A80000}"/>
    <cellStyle name="Normal 3 4 6 11 14 2" xfId="43266" xr:uid="{00000000-0005-0000-0000-0000F9A80000}"/>
    <cellStyle name="Normal 3 4 6 11 14 3" xfId="43267" xr:uid="{00000000-0005-0000-0000-0000FAA80000}"/>
    <cellStyle name="Normal 3 4 6 11 15" xfId="43268" xr:uid="{00000000-0005-0000-0000-0000FBA80000}"/>
    <cellStyle name="Normal 3 4 6 11 16" xfId="43269" xr:uid="{00000000-0005-0000-0000-0000FCA80000}"/>
    <cellStyle name="Normal 3 4 6 11 2" xfId="43270" xr:uid="{00000000-0005-0000-0000-0000FDA80000}"/>
    <cellStyle name="Normal 3 4 6 11 2 2" xfId="43271" xr:uid="{00000000-0005-0000-0000-0000FEA80000}"/>
    <cellStyle name="Normal 3 4 6 11 2 3" xfId="43272" xr:uid="{00000000-0005-0000-0000-0000FFA80000}"/>
    <cellStyle name="Normal 3 4 6 11 3" xfId="43273" xr:uid="{00000000-0005-0000-0000-000000A90000}"/>
    <cellStyle name="Normal 3 4 6 11 3 2" xfId="43274" xr:uid="{00000000-0005-0000-0000-000001A90000}"/>
    <cellStyle name="Normal 3 4 6 11 3 3" xfId="43275" xr:uid="{00000000-0005-0000-0000-000002A90000}"/>
    <cellStyle name="Normal 3 4 6 11 4" xfId="43276" xr:uid="{00000000-0005-0000-0000-000003A90000}"/>
    <cellStyle name="Normal 3 4 6 11 4 2" xfId="43277" xr:uid="{00000000-0005-0000-0000-000004A90000}"/>
    <cellStyle name="Normal 3 4 6 11 4 3" xfId="43278" xr:uid="{00000000-0005-0000-0000-000005A90000}"/>
    <cellStyle name="Normal 3 4 6 11 5" xfId="43279" xr:uid="{00000000-0005-0000-0000-000006A90000}"/>
    <cellStyle name="Normal 3 4 6 11 5 2" xfId="43280" xr:uid="{00000000-0005-0000-0000-000007A90000}"/>
    <cellStyle name="Normal 3 4 6 11 5 3" xfId="43281" xr:uid="{00000000-0005-0000-0000-000008A90000}"/>
    <cellStyle name="Normal 3 4 6 11 6" xfId="43282" xr:uid="{00000000-0005-0000-0000-000009A90000}"/>
    <cellStyle name="Normal 3 4 6 11 6 2" xfId="43283" xr:uid="{00000000-0005-0000-0000-00000AA90000}"/>
    <cellStyle name="Normal 3 4 6 11 6 3" xfId="43284" xr:uid="{00000000-0005-0000-0000-00000BA90000}"/>
    <cellStyle name="Normal 3 4 6 11 7" xfId="43285" xr:uid="{00000000-0005-0000-0000-00000CA90000}"/>
    <cellStyle name="Normal 3 4 6 11 7 2" xfId="43286" xr:uid="{00000000-0005-0000-0000-00000DA90000}"/>
    <cellStyle name="Normal 3 4 6 11 7 3" xfId="43287" xr:uid="{00000000-0005-0000-0000-00000EA90000}"/>
    <cellStyle name="Normal 3 4 6 11 8" xfId="43288" xr:uid="{00000000-0005-0000-0000-00000FA90000}"/>
    <cellStyle name="Normal 3 4 6 11 8 2" xfId="43289" xr:uid="{00000000-0005-0000-0000-000010A90000}"/>
    <cellStyle name="Normal 3 4 6 11 8 3" xfId="43290" xr:uid="{00000000-0005-0000-0000-000011A90000}"/>
    <cellStyle name="Normal 3 4 6 11 9" xfId="43291" xr:uid="{00000000-0005-0000-0000-000012A90000}"/>
    <cellStyle name="Normal 3 4 6 11 9 2" xfId="43292" xr:uid="{00000000-0005-0000-0000-000013A90000}"/>
    <cellStyle name="Normal 3 4 6 11 9 3" xfId="43293" xr:uid="{00000000-0005-0000-0000-000014A90000}"/>
    <cellStyle name="Normal 3 4 6 12" xfId="43294" xr:uid="{00000000-0005-0000-0000-000015A90000}"/>
    <cellStyle name="Normal 3 4 6 12 10" xfId="43295" xr:uid="{00000000-0005-0000-0000-000016A90000}"/>
    <cellStyle name="Normal 3 4 6 12 10 2" xfId="43296" xr:uid="{00000000-0005-0000-0000-000017A90000}"/>
    <cellStyle name="Normal 3 4 6 12 10 3" xfId="43297" xr:uid="{00000000-0005-0000-0000-000018A90000}"/>
    <cellStyle name="Normal 3 4 6 12 11" xfId="43298" xr:uid="{00000000-0005-0000-0000-000019A90000}"/>
    <cellStyle name="Normal 3 4 6 12 11 2" xfId="43299" xr:uid="{00000000-0005-0000-0000-00001AA90000}"/>
    <cellStyle name="Normal 3 4 6 12 11 3" xfId="43300" xr:uid="{00000000-0005-0000-0000-00001BA90000}"/>
    <cellStyle name="Normal 3 4 6 12 12" xfId="43301" xr:uid="{00000000-0005-0000-0000-00001CA90000}"/>
    <cellStyle name="Normal 3 4 6 12 12 2" xfId="43302" xr:uid="{00000000-0005-0000-0000-00001DA90000}"/>
    <cellStyle name="Normal 3 4 6 12 12 3" xfId="43303" xr:uid="{00000000-0005-0000-0000-00001EA90000}"/>
    <cellStyle name="Normal 3 4 6 12 13" xfId="43304" xr:uid="{00000000-0005-0000-0000-00001FA90000}"/>
    <cellStyle name="Normal 3 4 6 12 13 2" xfId="43305" xr:uid="{00000000-0005-0000-0000-000020A90000}"/>
    <cellStyle name="Normal 3 4 6 12 13 3" xfId="43306" xr:uid="{00000000-0005-0000-0000-000021A90000}"/>
    <cellStyle name="Normal 3 4 6 12 14" xfId="43307" xr:uid="{00000000-0005-0000-0000-000022A90000}"/>
    <cellStyle name="Normal 3 4 6 12 14 2" xfId="43308" xr:uid="{00000000-0005-0000-0000-000023A90000}"/>
    <cellStyle name="Normal 3 4 6 12 14 3" xfId="43309" xr:uid="{00000000-0005-0000-0000-000024A90000}"/>
    <cellStyle name="Normal 3 4 6 12 15" xfId="43310" xr:uid="{00000000-0005-0000-0000-000025A90000}"/>
    <cellStyle name="Normal 3 4 6 12 16" xfId="43311" xr:uid="{00000000-0005-0000-0000-000026A90000}"/>
    <cellStyle name="Normal 3 4 6 12 2" xfId="43312" xr:uid="{00000000-0005-0000-0000-000027A90000}"/>
    <cellStyle name="Normal 3 4 6 12 2 2" xfId="43313" xr:uid="{00000000-0005-0000-0000-000028A90000}"/>
    <cellStyle name="Normal 3 4 6 12 2 3" xfId="43314" xr:uid="{00000000-0005-0000-0000-000029A90000}"/>
    <cellStyle name="Normal 3 4 6 12 3" xfId="43315" xr:uid="{00000000-0005-0000-0000-00002AA90000}"/>
    <cellStyle name="Normal 3 4 6 12 3 2" xfId="43316" xr:uid="{00000000-0005-0000-0000-00002BA90000}"/>
    <cellStyle name="Normal 3 4 6 12 3 3" xfId="43317" xr:uid="{00000000-0005-0000-0000-00002CA90000}"/>
    <cellStyle name="Normal 3 4 6 12 4" xfId="43318" xr:uid="{00000000-0005-0000-0000-00002DA90000}"/>
    <cellStyle name="Normal 3 4 6 12 4 2" xfId="43319" xr:uid="{00000000-0005-0000-0000-00002EA90000}"/>
    <cellStyle name="Normal 3 4 6 12 4 3" xfId="43320" xr:uid="{00000000-0005-0000-0000-00002FA90000}"/>
    <cellStyle name="Normal 3 4 6 12 5" xfId="43321" xr:uid="{00000000-0005-0000-0000-000030A90000}"/>
    <cellStyle name="Normal 3 4 6 12 5 2" xfId="43322" xr:uid="{00000000-0005-0000-0000-000031A90000}"/>
    <cellStyle name="Normal 3 4 6 12 5 3" xfId="43323" xr:uid="{00000000-0005-0000-0000-000032A90000}"/>
    <cellStyle name="Normal 3 4 6 12 6" xfId="43324" xr:uid="{00000000-0005-0000-0000-000033A90000}"/>
    <cellStyle name="Normal 3 4 6 12 6 2" xfId="43325" xr:uid="{00000000-0005-0000-0000-000034A90000}"/>
    <cellStyle name="Normal 3 4 6 12 6 3" xfId="43326" xr:uid="{00000000-0005-0000-0000-000035A90000}"/>
    <cellStyle name="Normal 3 4 6 12 7" xfId="43327" xr:uid="{00000000-0005-0000-0000-000036A90000}"/>
    <cellStyle name="Normal 3 4 6 12 7 2" xfId="43328" xr:uid="{00000000-0005-0000-0000-000037A90000}"/>
    <cellStyle name="Normal 3 4 6 12 7 3" xfId="43329" xr:uid="{00000000-0005-0000-0000-000038A90000}"/>
    <cellStyle name="Normal 3 4 6 12 8" xfId="43330" xr:uid="{00000000-0005-0000-0000-000039A90000}"/>
    <cellStyle name="Normal 3 4 6 12 8 2" xfId="43331" xr:uid="{00000000-0005-0000-0000-00003AA90000}"/>
    <cellStyle name="Normal 3 4 6 12 8 3" xfId="43332" xr:uid="{00000000-0005-0000-0000-00003BA90000}"/>
    <cellStyle name="Normal 3 4 6 12 9" xfId="43333" xr:uid="{00000000-0005-0000-0000-00003CA90000}"/>
    <cellStyle name="Normal 3 4 6 12 9 2" xfId="43334" xr:uid="{00000000-0005-0000-0000-00003DA90000}"/>
    <cellStyle name="Normal 3 4 6 12 9 3" xfId="43335" xr:uid="{00000000-0005-0000-0000-00003EA90000}"/>
    <cellStyle name="Normal 3 4 6 13" xfId="43336" xr:uid="{00000000-0005-0000-0000-00003FA90000}"/>
    <cellStyle name="Normal 3 4 6 13 10" xfId="43337" xr:uid="{00000000-0005-0000-0000-000040A90000}"/>
    <cellStyle name="Normal 3 4 6 13 10 2" xfId="43338" xr:uid="{00000000-0005-0000-0000-000041A90000}"/>
    <cellStyle name="Normal 3 4 6 13 10 3" xfId="43339" xr:uid="{00000000-0005-0000-0000-000042A90000}"/>
    <cellStyle name="Normal 3 4 6 13 11" xfId="43340" xr:uid="{00000000-0005-0000-0000-000043A90000}"/>
    <cellStyle name="Normal 3 4 6 13 11 2" xfId="43341" xr:uid="{00000000-0005-0000-0000-000044A90000}"/>
    <cellStyle name="Normal 3 4 6 13 11 3" xfId="43342" xr:uid="{00000000-0005-0000-0000-000045A90000}"/>
    <cellStyle name="Normal 3 4 6 13 12" xfId="43343" xr:uid="{00000000-0005-0000-0000-000046A90000}"/>
    <cellStyle name="Normal 3 4 6 13 12 2" xfId="43344" xr:uid="{00000000-0005-0000-0000-000047A90000}"/>
    <cellStyle name="Normal 3 4 6 13 12 3" xfId="43345" xr:uid="{00000000-0005-0000-0000-000048A90000}"/>
    <cellStyle name="Normal 3 4 6 13 13" xfId="43346" xr:uid="{00000000-0005-0000-0000-000049A90000}"/>
    <cellStyle name="Normal 3 4 6 13 13 2" xfId="43347" xr:uid="{00000000-0005-0000-0000-00004AA90000}"/>
    <cellStyle name="Normal 3 4 6 13 13 3" xfId="43348" xr:uid="{00000000-0005-0000-0000-00004BA90000}"/>
    <cellStyle name="Normal 3 4 6 13 14" xfId="43349" xr:uid="{00000000-0005-0000-0000-00004CA90000}"/>
    <cellStyle name="Normal 3 4 6 13 14 2" xfId="43350" xr:uid="{00000000-0005-0000-0000-00004DA90000}"/>
    <cellStyle name="Normal 3 4 6 13 14 3" xfId="43351" xr:uid="{00000000-0005-0000-0000-00004EA90000}"/>
    <cellStyle name="Normal 3 4 6 13 15" xfId="43352" xr:uid="{00000000-0005-0000-0000-00004FA90000}"/>
    <cellStyle name="Normal 3 4 6 13 16" xfId="43353" xr:uid="{00000000-0005-0000-0000-000050A90000}"/>
    <cellStyle name="Normal 3 4 6 13 2" xfId="43354" xr:uid="{00000000-0005-0000-0000-000051A90000}"/>
    <cellStyle name="Normal 3 4 6 13 2 2" xfId="43355" xr:uid="{00000000-0005-0000-0000-000052A90000}"/>
    <cellStyle name="Normal 3 4 6 13 2 3" xfId="43356" xr:uid="{00000000-0005-0000-0000-000053A90000}"/>
    <cellStyle name="Normal 3 4 6 13 3" xfId="43357" xr:uid="{00000000-0005-0000-0000-000054A90000}"/>
    <cellStyle name="Normal 3 4 6 13 3 2" xfId="43358" xr:uid="{00000000-0005-0000-0000-000055A90000}"/>
    <cellStyle name="Normal 3 4 6 13 3 3" xfId="43359" xr:uid="{00000000-0005-0000-0000-000056A90000}"/>
    <cellStyle name="Normal 3 4 6 13 4" xfId="43360" xr:uid="{00000000-0005-0000-0000-000057A90000}"/>
    <cellStyle name="Normal 3 4 6 13 4 2" xfId="43361" xr:uid="{00000000-0005-0000-0000-000058A90000}"/>
    <cellStyle name="Normal 3 4 6 13 4 3" xfId="43362" xr:uid="{00000000-0005-0000-0000-000059A90000}"/>
    <cellStyle name="Normal 3 4 6 13 5" xfId="43363" xr:uid="{00000000-0005-0000-0000-00005AA90000}"/>
    <cellStyle name="Normal 3 4 6 13 5 2" xfId="43364" xr:uid="{00000000-0005-0000-0000-00005BA90000}"/>
    <cellStyle name="Normal 3 4 6 13 5 3" xfId="43365" xr:uid="{00000000-0005-0000-0000-00005CA90000}"/>
    <cellStyle name="Normal 3 4 6 13 6" xfId="43366" xr:uid="{00000000-0005-0000-0000-00005DA90000}"/>
    <cellStyle name="Normal 3 4 6 13 6 2" xfId="43367" xr:uid="{00000000-0005-0000-0000-00005EA90000}"/>
    <cellStyle name="Normal 3 4 6 13 6 3" xfId="43368" xr:uid="{00000000-0005-0000-0000-00005FA90000}"/>
    <cellStyle name="Normal 3 4 6 13 7" xfId="43369" xr:uid="{00000000-0005-0000-0000-000060A90000}"/>
    <cellStyle name="Normal 3 4 6 13 7 2" xfId="43370" xr:uid="{00000000-0005-0000-0000-000061A90000}"/>
    <cellStyle name="Normal 3 4 6 13 7 3" xfId="43371" xr:uid="{00000000-0005-0000-0000-000062A90000}"/>
    <cellStyle name="Normal 3 4 6 13 8" xfId="43372" xr:uid="{00000000-0005-0000-0000-000063A90000}"/>
    <cellStyle name="Normal 3 4 6 13 8 2" xfId="43373" xr:uid="{00000000-0005-0000-0000-000064A90000}"/>
    <cellStyle name="Normal 3 4 6 13 8 3" xfId="43374" xr:uid="{00000000-0005-0000-0000-000065A90000}"/>
    <cellStyle name="Normal 3 4 6 13 9" xfId="43375" xr:uid="{00000000-0005-0000-0000-000066A90000}"/>
    <cellStyle name="Normal 3 4 6 13 9 2" xfId="43376" xr:uid="{00000000-0005-0000-0000-000067A90000}"/>
    <cellStyle name="Normal 3 4 6 13 9 3" xfId="43377" xr:uid="{00000000-0005-0000-0000-000068A90000}"/>
    <cellStyle name="Normal 3 4 6 14" xfId="43378" xr:uid="{00000000-0005-0000-0000-000069A90000}"/>
    <cellStyle name="Normal 3 4 6 14 10" xfId="43379" xr:uid="{00000000-0005-0000-0000-00006AA90000}"/>
    <cellStyle name="Normal 3 4 6 14 10 2" xfId="43380" xr:uid="{00000000-0005-0000-0000-00006BA90000}"/>
    <cellStyle name="Normal 3 4 6 14 10 3" xfId="43381" xr:uid="{00000000-0005-0000-0000-00006CA90000}"/>
    <cellStyle name="Normal 3 4 6 14 11" xfId="43382" xr:uid="{00000000-0005-0000-0000-00006DA90000}"/>
    <cellStyle name="Normal 3 4 6 14 11 2" xfId="43383" xr:uid="{00000000-0005-0000-0000-00006EA90000}"/>
    <cellStyle name="Normal 3 4 6 14 11 3" xfId="43384" xr:uid="{00000000-0005-0000-0000-00006FA90000}"/>
    <cellStyle name="Normal 3 4 6 14 12" xfId="43385" xr:uid="{00000000-0005-0000-0000-000070A90000}"/>
    <cellStyle name="Normal 3 4 6 14 12 2" xfId="43386" xr:uid="{00000000-0005-0000-0000-000071A90000}"/>
    <cellStyle name="Normal 3 4 6 14 12 3" xfId="43387" xr:uid="{00000000-0005-0000-0000-000072A90000}"/>
    <cellStyle name="Normal 3 4 6 14 13" xfId="43388" xr:uid="{00000000-0005-0000-0000-000073A90000}"/>
    <cellStyle name="Normal 3 4 6 14 13 2" xfId="43389" xr:uid="{00000000-0005-0000-0000-000074A90000}"/>
    <cellStyle name="Normal 3 4 6 14 13 3" xfId="43390" xr:uid="{00000000-0005-0000-0000-000075A90000}"/>
    <cellStyle name="Normal 3 4 6 14 14" xfId="43391" xr:uid="{00000000-0005-0000-0000-000076A90000}"/>
    <cellStyle name="Normal 3 4 6 14 14 2" xfId="43392" xr:uid="{00000000-0005-0000-0000-000077A90000}"/>
    <cellStyle name="Normal 3 4 6 14 14 3" xfId="43393" xr:uid="{00000000-0005-0000-0000-000078A90000}"/>
    <cellStyle name="Normal 3 4 6 14 15" xfId="43394" xr:uid="{00000000-0005-0000-0000-000079A90000}"/>
    <cellStyle name="Normal 3 4 6 14 16" xfId="43395" xr:uid="{00000000-0005-0000-0000-00007AA90000}"/>
    <cellStyle name="Normal 3 4 6 14 2" xfId="43396" xr:uid="{00000000-0005-0000-0000-00007BA90000}"/>
    <cellStyle name="Normal 3 4 6 14 2 2" xfId="43397" xr:uid="{00000000-0005-0000-0000-00007CA90000}"/>
    <cellStyle name="Normal 3 4 6 14 2 3" xfId="43398" xr:uid="{00000000-0005-0000-0000-00007DA90000}"/>
    <cellStyle name="Normal 3 4 6 14 3" xfId="43399" xr:uid="{00000000-0005-0000-0000-00007EA90000}"/>
    <cellStyle name="Normal 3 4 6 14 3 2" xfId="43400" xr:uid="{00000000-0005-0000-0000-00007FA90000}"/>
    <cellStyle name="Normal 3 4 6 14 3 3" xfId="43401" xr:uid="{00000000-0005-0000-0000-000080A90000}"/>
    <cellStyle name="Normal 3 4 6 14 4" xfId="43402" xr:uid="{00000000-0005-0000-0000-000081A90000}"/>
    <cellStyle name="Normal 3 4 6 14 4 2" xfId="43403" xr:uid="{00000000-0005-0000-0000-000082A90000}"/>
    <cellStyle name="Normal 3 4 6 14 4 3" xfId="43404" xr:uid="{00000000-0005-0000-0000-000083A90000}"/>
    <cellStyle name="Normal 3 4 6 14 5" xfId="43405" xr:uid="{00000000-0005-0000-0000-000084A90000}"/>
    <cellStyle name="Normal 3 4 6 14 5 2" xfId="43406" xr:uid="{00000000-0005-0000-0000-000085A90000}"/>
    <cellStyle name="Normal 3 4 6 14 5 3" xfId="43407" xr:uid="{00000000-0005-0000-0000-000086A90000}"/>
    <cellStyle name="Normal 3 4 6 14 6" xfId="43408" xr:uid="{00000000-0005-0000-0000-000087A90000}"/>
    <cellStyle name="Normal 3 4 6 14 6 2" xfId="43409" xr:uid="{00000000-0005-0000-0000-000088A90000}"/>
    <cellStyle name="Normal 3 4 6 14 6 3" xfId="43410" xr:uid="{00000000-0005-0000-0000-000089A90000}"/>
    <cellStyle name="Normal 3 4 6 14 7" xfId="43411" xr:uid="{00000000-0005-0000-0000-00008AA90000}"/>
    <cellStyle name="Normal 3 4 6 14 7 2" xfId="43412" xr:uid="{00000000-0005-0000-0000-00008BA90000}"/>
    <cellStyle name="Normal 3 4 6 14 7 3" xfId="43413" xr:uid="{00000000-0005-0000-0000-00008CA90000}"/>
    <cellStyle name="Normal 3 4 6 14 8" xfId="43414" xr:uid="{00000000-0005-0000-0000-00008DA90000}"/>
    <cellStyle name="Normal 3 4 6 14 8 2" xfId="43415" xr:uid="{00000000-0005-0000-0000-00008EA90000}"/>
    <cellStyle name="Normal 3 4 6 14 8 3" xfId="43416" xr:uid="{00000000-0005-0000-0000-00008FA90000}"/>
    <cellStyle name="Normal 3 4 6 14 9" xfId="43417" xr:uid="{00000000-0005-0000-0000-000090A90000}"/>
    <cellStyle name="Normal 3 4 6 14 9 2" xfId="43418" xr:uid="{00000000-0005-0000-0000-000091A90000}"/>
    <cellStyle name="Normal 3 4 6 14 9 3" xfId="43419" xr:uid="{00000000-0005-0000-0000-000092A90000}"/>
    <cellStyle name="Normal 3 4 6 15" xfId="43420" xr:uid="{00000000-0005-0000-0000-000093A90000}"/>
    <cellStyle name="Normal 3 4 6 15 2" xfId="43421" xr:uid="{00000000-0005-0000-0000-000094A90000}"/>
    <cellStyle name="Normal 3 4 6 15 3" xfId="43422" xr:uid="{00000000-0005-0000-0000-000095A90000}"/>
    <cellStyle name="Normal 3 4 6 16" xfId="43423" xr:uid="{00000000-0005-0000-0000-000096A90000}"/>
    <cellStyle name="Normal 3 4 6 16 2" xfId="43424" xr:uid="{00000000-0005-0000-0000-000097A90000}"/>
    <cellStyle name="Normal 3 4 6 16 3" xfId="43425" xr:uid="{00000000-0005-0000-0000-000098A90000}"/>
    <cellStyle name="Normal 3 4 6 17" xfId="43426" xr:uid="{00000000-0005-0000-0000-000099A90000}"/>
    <cellStyle name="Normal 3 4 6 17 2" xfId="43427" xr:uid="{00000000-0005-0000-0000-00009AA90000}"/>
    <cellStyle name="Normal 3 4 6 17 3" xfId="43428" xr:uid="{00000000-0005-0000-0000-00009BA90000}"/>
    <cellStyle name="Normal 3 4 6 18" xfId="43429" xr:uid="{00000000-0005-0000-0000-00009CA90000}"/>
    <cellStyle name="Normal 3 4 6 18 2" xfId="43430" xr:uid="{00000000-0005-0000-0000-00009DA90000}"/>
    <cellStyle name="Normal 3 4 6 18 3" xfId="43431" xr:uid="{00000000-0005-0000-0000-00009EA90000}"/>
    <cellStyle name="Normal 3 4 6 19" xfId="43432" xr:uid="{00000000-0005-0000-0000-00009FA90000}"/>
    <cellStyle name="Normal 3 4 6 19 2" xfId="43433" xr:uid="{00000000-0005-0000-0000-0000A0A90000}"/>
    <cellStyle name="Normal 3 4 6 19 3" xfId="43434" xr:uid="{00000000-0005-0000-0000-0000A1A90000}"/>
    <cellStyle name="Normal 3 4 6 2" xfId="43435" xr:uid="{00000000-0005-0000-0000-0000A2A90000}"/>
    <cellStyle name="Normal 3 4 6 20" xfId="43436" xr:uid="{00000000-0005-0000-0000-0000A3A90000}"/>
    <cellStyle name="Normal 3 4 6 20 2" xfId="43437" xr:uid="{00000000-0005-0000-0000-0000A4A90000}"/>
    <cellStyle name="Normal 3 4 6 20 3" xfId="43438" xr:uid="{00000000-0005-0000-0000-0000A5A90000}"/>
    <cellStyle name="Normal 3 4 6 21" xfId="43439" xr:uid="{00000000-0005-0000-0000-0000A6A90000}"/>
    <cellStyle name="Normal 3 4 6 21 2" xfId="43440" xr:uid="{00000000-0005-0000-0000-0000A7A90000}"/>
    <cellStyle name="Normal 3 4 6 21 3" xfId="43441" xr:uid="{00000000-0005-0000-0000-0000A8A90000}"/>
    <cellStyle name="Normal 3 4 6 22" xfId="43442" xr:uid="{00000000-0005-0000-0000-0000A9A90000}"/>
    <cellStyle name="Normal 3 4 6 22 2" xfId="43443" xr:uid="{00000000-0005-0000-0000-0000AAA90000}"/>
    <cellStyle name="Normal 3 4 6 22 3" xfId="43444" xr:uid="{00000000-0005-0000-0000-0000ABA90000}"/>
    <cellStyle name="Normal 3 4 6 23" xfId="43445" xr:uid="{00000000-0005-0000-0000-0000ACA90000}"/>
    <cellStyle name="Normal 3 4 6 23 2" xfId="43446" xr:uid="{00000000-0005-0000-0000-0000ADA90000}"/>
    <cellStyle name="Normal 3 4 6 23 3" xfId="43447" xr:uid="{00000000-0005-0000-0000-0000AEA90000}"/>
    <cellStyle name="Normal 3 4 6 24" xfId="43448" xr:uid="{00000000-0005-0000-0000-0000AFA90000}"/>
    <cellStyle name="Normal 3 4 6 24 2" xfId="43449" xr:uid="{00000000-0005-0000-0000-0000B0A90000}"/>
    <cellStyle name="Normal 3 4 6 24 3" xfId="43450" xr:uid="{00000000-0005-0000-0000-0000B1A90000}"/>
    <cellStyle name="Normal 3 4 6 25" xfId="43451" xr:uid="{00000000-0005-0000-0000-0000B2A90000}"/>
    <cellStyle name="Normal 3 4 6 25 2" xfId="43452" xr:uid="{00000000-0005-0000-0000-0000B3A90000}"/>
    <cellStyle name="Normal 3 4 6 25 3" xfId="43453" xr:uid="{00000000-0005-0000-0000-0000B4A90000}"/>
    <cellStyle name="Normal 3 4 6 26" xfId="43454" xr:uid="{00000000-0005-0000-0000-0000B5A90000}"/>
    <cellStyle name="Normal 3 4 6 26 2" xfId="43455" xr:uid="{00000000-0005-0000-0000-0000B6A90000}"/>
    <cellStyle name="Normal 3 4 6 26 3" xfId="43456" xr:uid="{00000000-0005-0000-0000-0000B7A90000}"/>
    <cellStyle name="Normal 3 4 6 27" xfId="43457" xr:uid="{00000000-0005-0000-0000-0000B8A90000}"/>
    <cellStyle name="Normal 3 4 6 27 2" xfId="43458" xr:uid="{00000000-0005-0000-0000-0000B9A90000}"/>
    <cellStyle name="Normal 3 4 6 27 3" xfId="43459" xr:uid="{00000000-0005-0000-0000-0000BAA90000}"/>
    <cellStyle name="Normal 3 4 6 28" xfId="43460" xr:uid="{00000000-0005-0000-0000-0000BBA90000}"/>
    <cellStyle name="Normal 3 4 6 29" xfId="43461" xr:uid="{00000000-0005-0000-0000-0000BCA90000}"/>
    <cellStyle name="Normal 3 4 6 3" xfId="43462" xr:uid="{00000000-0005-0000-0000-0000BDA90000}"/>
    <cellStyle name="Normal 3 4 6 4" xfId="43463" xr:uid="{00000000-0005-0000-0000-0000BEA90000}"/>
    <cellStyle name="Normal 3 4 6 5" xfId="43464" xr:uid="{00000000-0005-0000-0000-0000BFA90000}"/>
    <cellStyle name="Normal 3 4 6 6" xfId="43465" xr:uid="{00000000-0005-0000-0000-0000C0A90000}"/>
    <cellStyle name="Normal 3 4 6 6 10" xfId="43466" xr:uid="{00000000-0005-0000-0000-0000C1A90000}"/>
    <cellStyle name="Normal 3 4 6 6 10 2" xfId="43467" xr:uid="{00000000-0005-0000-0000-0000C2A90000}"/>
    <cellStyle name="Normal 3 4 6 6 10 3" xfId="43468" xr:uid="{00000000-0005-0000-0000-0000C3A90000}"/>
    <cellStyle name="Normal 3 4 6 6 11" xfId="43469" xr:uid="{00000000-0005-0000-0000-0000C4A90000}"/>
    <cellStyle name="Normal 3 4 6 6 11 2" xfId="43470" xr:uid="{00000000-0005-0000-0000-0000C5A90000}"/>
    <cellStyle name="Normal 3 4 6 6 11 3" xfId="43471" xr:uid="{00000000-0005-0000-0000-0000C6A90000}"/>
    <cellStyle name="Normal 3 4 6 6 12" xfId="43472" xr:uid="{00000000-0005-0000-0000-0000C7A90000}"/>
    <cellStyle name="Normal 3 4 6 6 12 2" xfId="43473" xr:uid="{00000000-0005-0000-0000-0000C8A90000}"/>
    <cellStyle name="Normal 3 4 6 6 12 3" xfId="43474" xr:uid="{00000000-0005-0000-0000-0000C9A90000}"/>
    <cellStyle name="Normal 3 4 6 6 13" xfId="43475" xr:uid="{00000000-0005-0000-0000-0000CAA90000}"/>
    <cellStyle name="Normal 3 4 6 6 13 2" xfId="43476" xr:uid="{00000000-0005-0000-0000-0000CBA90000}"/>
    <cellStyle name="Normal 3 4 6 6 13 3" xfId="43477" xr:uid="{00000000-0005-0000-0000-0000CCA90000}"/>
    <cellStyle name="Normal 3 4 6 6 14" xfId="43478" xr:uid="{00000000-0005-0000-0000-0000CDA90000}"/>
    <cellStyle name="Normal 3 4 6 6 14 2" xfId="43479" xr:uid="{00000000-0005-0000-0000-0000CEA90000}"/>
    <cellStyle name="Normal 3 4 6 6 14 3" xfId="43480" xr:uid="{00000000-0005-0000-0000-0000CFA90000}"/>
    <cellStyle name="Normal 3 4 6 6 15" xfId="43481" xr:uid="{00000000-0005-0000-0000-0000D0A90000}"/>
    <cellStyle name="Normal 3 4 6 6 15 2" xfId="43482" xr:uid="{00000000-0005-0000-0000-0000D1A90000}"/>
    <cellStyle name="Normal 3 4 6 6 15 3" xfId="43483" xr:uid="{00000000-0005-0000-0000-0000D2A90000}"/>
    <cellStyle name="Normal 3 4 6 6 16" xfId="43484" xr:uid="{00000000-0005-0000-0000-0000D3A90000}"/>
    <cellStyle name="Normal 3 4 6 6 17" xfId="43485" xr:uid="{00000000-0005-0000-0000-0000D4A90000}"/>
    <cellStyle name="Normal 3 4 6 6 2" xfId="43486" xr:uid="{00000000-0005-0000-0000-0000D5A90000}"/>
    <cellStyle name="Normal 3 4 6 6 2 10" xfId="43487" xr:uid="{00000000-0005-0000-0000-0000D6A90000}"/>
    <cellStyle name="Normal 3 4 6 6 2 10 2" xfId="43488" xr:uid="{00000000-0005-0000-0000-0000D7A90000}"/>
    <cellStyle name="Normal 3 4 6 6 2 10 3" xfId="43489" xr:uid="{00000000-0005-0000-0000-0000D8A90000}"/>
    <cellStyle name="Normal 3 4 6 6 2 11" xfId="43490" xr:uid="{00000000-0005-0000-0000-0000D9A90000}"/>
    <cellStyle name="Normal 3 4 6 6 2 11 2" xfId="43491" xr:uid="{00000000-0005-0000-0000-0000DAA90000}"/>
    <cellStyle name="Normal 3 4 6 6 2 11 3" xfId="43492" xr:uid="{00000000-0005-0000-0000-0000DBA90000}"/>
    <cellStyle name="Normal 3 4 6 6 2 12" xfId="43493" xr:uid="{00000000-0005-0000-0000-0000DCA90000}"/>
    <cellStyle name="Normal 3 4 6 6 2 12 2" xfId="43494" xr:uid="{00000000-0005-0000-0000-0000DDA90000}"/>
    <cellStyle name="Normal 3 4 6 6 2 12 3" xfId="43495" xr:uid="{00000000-0005-0000-0000-0000DEA90000}"/>
    <cellStyle name="Normal 3 4 6 6 2 13" xfId="43496" xr:uid="{00000000-0005-0000-0000-0000DFA90000}"/>
    <cellStyle name="Normal 3 4 6 6 2 13 2" xfId="43497" xr:uid="{00000000-0005-0000-0000-0000E0A90000}"/>
    <cellStyle name="Normal 3 4 6 6 2 13 3" xfId="43498" xr:uid="{00000000-0005-0000-0000-0000E1A90000}"/>
    <cellStyle name="Normal 3 4 6 6 2 14" xfId="43499" xr:uid="{00000000-0005-0000-0000-0000E2A90000}"/>
    <cellStyle name="Normal 3 4 6 6 2 14 2" xfId="43500" xr:uid="{00000000-0005-0000-0000-0000E3A90000}"/>
    <cellStyle name="Normal 3 4 6 6 2 14 3" xfId="43501" xr:uid="{00000000-0005-0000-0000-0000E4A90000}"/>
    <cellStyle name="Normal 3 4 6 6 2 15" xfId="43502" xr:uid="{00000000-0005-0000-0000-0000E5A90000}"/>
    <cellStyle name="Normal 3 4 6 6 2 16" xfId="43503" xr:uid="{00000000-0005-0000-0000-0000E6A90000}"/>
    <cellStyle name="Normal 3 4 6 6 2 2" xfId="43504" xr:uid="{00000000-0005-0000-0000-0000E7A90000}"/>
    <cellStyle name="Normal 3 4 6 6 2 2 2" xfId="43505" xr:uid="{00000000-0005-0000-0000-0000E8A90000}"/>
    <cellStyle name="Normal 3 4 6 6 2 2 3" xfId="43506" xr:uid="{00000000-0005-0000-0000-0000E9A90000}"/>
    <cellStyle name="Normal 3 4 6 6 2 3" xfId="43507" xr:uid="{00000000-0005-0000-0000-0000EAA90000}"/>
    <cellStyle name="Normal 3 4 6 6 2 3 2" xfId="43508" xr:uid="{00000000-0005-0000-0000-0000EBA90000}"/>
    <cellStyle name="Normal 3 4 6 6 2 3 3" xfId="43509" xr:uid="{00000000-0005-0000-0000-0000ECA90000}"/>
    <cellStyle name="Normal 3 4 6 6 2 4" xfId="43510" xr:uid="{00000000-0005-0000-0000-0000EDA90000}"/>
    <cellStyle name="Normal 3 4 6 6 2 4 2" xfId="43511" xr:uid="{00000000-0005-0000-0000-0000EEA90000}"/>
    <cellStyle name="Normal 3 4 6 6 2 4 3" xfId="43512" xr:uid="{00000000-0005-0000-0000-0000EFA90000}"/>
    <cellStyle name="Normal 3 4 6 6 2 5" xfId="43513" xr:uid="{00000000-0005-0000-0000-0000F0A90000}"/>
    <cellStyle name="Normal 3 4 6 6 2 5 2" xfId="43514" xr:uid="{00000000-0005-0000-0000-0000F1A90000}"/>
    <cellStyle name="Normal 3 4 6 6 2 5 3" xfId="43515" xr:uid="{00000000-0005-0000-0000-0000F2A90000}"/>
    <cellStyle name="Normal 3 4 6 6 2 6" xfId="43516" xr:uid="{00000000-0005-0000-0000-0000F3A90000}"/>
    <cellStyle name="Normal 3 4 6 6 2 6 2" xfId="43517" xr:uid="{00000000-0005-0000-0000-0000F4A90000}"/>
    <cellStyle name="Normal 3 4 6 6 2 6 3" xfId="43518" xr:uid="{00000000-0005-0000-0000-0000F5A90000}"/>
    <cellStyle name="Normal 3 4 6 6 2 7" xfId="43519" xr:uid="{00000000-0005-0000-0000-0000F6A90000}"/>
    <cellStyle name="Normal 3 4 6 6 2 7 2" xfId="43520" xr:uid="{00000000-0005-0000-0000-0000F7A90000}"/>
    <cellStyle name="Normal 3 4 6 6 2 7 3" xfId="43521" xr:uid="{00000000-0005-0000-0000-0000F8A90000}"/>
    <cellStyle name="Normal 3 4 6 6 2 8" xfId="43522" xr:uid="{00000000-0005-0000-0000-0000F9A90000}"/>
    <cellStyle name="Normal 3 4 6 6 2 8 2" xfId="43523" xr:uid="{00000000-0005-0000-0000-0000FAA90000}"/>
    <cellStyle name="Normal 3 4 6 6 2 8 3" xfId="43524" xr:uid="{00000000-0005-0000-0000-0000FBA90000}"/>
    <cellStyle name="Normal 3 4 6 6 2 9" xfId="43525" xr:uid="{00000000-0005-0000-0000-0000FCA90000}"/>
    <cellStyle name="Normal 3 4 6 6 2 9 2" xfId="43526" xr:uid="{00000000-0005-0000-0000-0000FDA90000}"/>
    <cellStyle name="Normal 3 4 6 6 2 9 3" xfId="43527" xr:uid="{00000000-0005-0000-0000-0000FEA90000}"/>
    <cellStyle name="Normal 3 4 6 6 3" xfId="43528" xr:uid="{00000000-0005-0000-0000-0000FFA90000}"/>
    <cellStyle name="Normal 3 4 6 6 3 2" xfId="43529" xr:uid="{00000000-0005-0000-0000-000000AA0000}"/>
    <cellStyle name="Normal 3 4 6 6 3 3" xfId="43530" xr:uid="{00000000-0005-0000-0000-000001AA0000}"/>
    <cellStyle name="Normal 3 4 6 6 4" xfId="43531" xr:uid="{00000000-0005-0000-0000-000002AA0000}"/>
    <cellStyle name="Normal 3 4 6 6 4 2" xfId="43532" xr:uid="{00000000-0005-0000-0000-000003AA0000}"/>
    <cellStyle name="Normal 3 4 6 6 4 3" xfId="43533" xr:uid="{00000000-0005-0000-0000-000004AA0000}"/>
    <cellStyle name="Normal 3 4 6 6 5" xfId="43534" xr:uid="{00000000-0005-0000-0000-000005AA0000}"/>
    <cellStyle name="Normal 3 4 6 6 5 2" xfId="43535" xr:uid="{00000000-0005-0000-0000-000006AA0000}"/>
    <cellStyle name="Normal 3 4 6 6 5 3" xfId="43536" xr:uid="{00000000-0005-0000-0000-000007AA0000}"/>
    <cellStyle name="Normal 3 4 6 6 6" xfId="43537" xr:uid="{00000000-0005-0000-0000-000008AA0000}"/>
    <cellStyle name="Normal 3 4 6 6 6 2" xfId="43538" xr:uid="{00000000-0005-0000-0000-000009AA0000}"/>
    <cellStyle name="Normal 3 4 6 6 6 3" xfId="43539" xr:uid="{00000000-0005-0000-0000-00000AAA0000}"/>
    <cellStyle name="Normal 3 4 6 6 7" xfId="43540" xr:uid="{00000000-0005-0000-0000-00000BAA0000}"/>
    <cellStyle name="Normal 3 4 6 6 7 2" xfId="43541" xr:uid="{00000000-0005-0000-0000-00000CAA0000}"/>
    <cellStyle name="Normal 3 4 6 6 7 3" xfId="43542" xr:uid="{00000000-0005-0000-0000-00000DAA0000}"/>
    <cellStyle name="Normal 3 4 6 6 8" xfId="43543" xr:uid="{00000000-0005-0000-0000-00000EAA0000}"/>
    <cellStyle name="Normal 3 4 6 6 8 2" xfId="43544" xr:uid="{00000000-0005-0000-0000-00000FAA0000}"/>
    <cellStyle name="Normal 3 4 6 6 8 3" xfId="43545" xr:uid="{00000000-0005-0000-0000-000010AA0000}"/>
    <cellStyle name="Normal 3 4 6 6 9" xfId="43546" xr:uid="{00000000-0005-0000-0000-000011AA0000}"/>
    <cellStyle name="Normal 3 4 6 6 9 2" xfId="43547" xr:uid="{00000000-0005-0000-0000-000012AA0000}"/>
    <cellStyle name="Normal 3 4 6 6 9 3" xfId="43548" xr:uid="{00000000-0005-0000-0000-000013AA0000}"/>
    <cellStyle name="Normal 3 4 6 7" xfId="43549" xr:uid="{00000000-0005-0000-0000-000014AA0000}"/>
    <cellStyle name="Normal 3 4 6 7 10" xfId="43550" xr:uid="{00000000-0005-0000-0000-000015AA0000}"/>
    <cellStyle name="Normal 3 4 6 7 10 2" xfId="43551" xr:uid="{00000000-0005-0000-0000-000016AA0000}"/>
    <cellStyle name="Normal 3 4 6 7 10 3" xfId="43552" xr:uid="{00000000-0005-0000-0000-000017AA0000}"/>
    <cellStyle name="Normal 3 4 6 7 11" xfId="43553" xr:uid="{00000000-0005-0000-0000-000018AA0000}"/>
    <cellStyle name="Normal 3 4 6 7 11 2" xfId="43554" xr:uid="{00000000-0005-0000-0000-000019AA0000}"/>
    <cellStyle name="Normal 3 4 6 7 11 3" xfId="43555" xr:uid="{00000000-0005-0000-0000-00001AAA0000}"/>
    <cellStyle name="Normal 3 4 6 7 12" xfId="43556" xr:uid="{00000000-0005-0000-0000-00001BAA0000}"/>
    <cellStyle name="Normal 3 4 6 7 12 2" xfId="43557" xr:uid="{00000000-0005-0000-0000-00001CAA0000}"/>
    <cellStyle name="Normal 3 4 6 7 12 3" xfId="43558" xr:uid="{00000000-0005-0000-0000-00001DAA0000}"/>
    <cellStyle name="Normal 3 4 6 7 13" xfId="43559" xr:uid="{00000000-0005-0000-0000-00001EAA0000}"/>
    <cellStyle name="Normal 3 4 6 7 13 2" xfId="43560" xr:uid="{00000000-0005-0000-0000-00001FAA0000}"/>
    <cellStyle name="Normal 3 4 6 7 13 3" xfId="43561" xr:uid="{00000000-0005-0000-0000-000020AA0000}"/>
    <cellStyle name="Normal 3 4 6 7 14" xfId="43562" xr:uid="{00000000-0005-0000-0000-000021AA0000}"/>
    <cellStyle name="Normal 3 4 6 7 14 2" xfId="43563" xr:uid="{00000000-0005-0000-0000-000022AA0000}"/>
    <cellStyle name="Normal 3 4 6 7 14 3" xfId="43564" xr:uid="{00000000-0005-0000-0000-000023AA0000}"/>
    <cellStyle name="Normal 3 4 6 7 15" xfId="43565" xr:uid="{00000000-0005-0000-0000-000024AA0000}"/>
    <cellStyle name="Normal 3 4 6 7 15 2" xfId="43566" xr:uid="{00000000-0005-0000-0000-000025AA0000}"/>
    <cellStyle name="Normal 3 4 6 7 15 3" xfId="43567" xr:uid="{00000000-0005-0000-0000-000026AA0000}"/>
    <cellStyle name="Normal 3 4 6 7 16" xfId="43568" xr:uid="{00000000-0005-0000-0000-000027AA0000}"/>
    <cellStyle name="Normal 3 4 6 7 17" xfId="43569" xr:uid="{00000000-0005-0000-0000-000028AA0000}"/>
    <cellStyle name="Normal 3 4 6 7 2" xfId="43570" xr:uid="{00000000-0005-0000-0000-000029AA0000}"/>
    <cellStyle name="Normal 3 4 6 7 2 10" xfId="43571" xr:uid="{00000000-0005-0000-0000-00002AAA0000}"/>
    <cellStyle name="Normal 3 4 6 7 2 10 2" xfId="43572" xr:uid="{00000000-0005-0000-0000-00002BAA0000}"/>
    <cellStyle name="Normal 3 4 6 7 2 10 3" xfId="43573" xr:uid="{00000000-0005-0000-0000-00002CAA0000}"/>
    <cellStyle name="Normal 3 4 6 7 2 11" xfId="43574" xr:uid="{00000000-0005-0000-0000-00002DAA0000}"/>
    <cellStyle name="Normal 3 4 6 7 2 11 2" xfId="43575" xr:uid="{00000000-0005-0000-0000-00002EAA0000}"/>
    <cellStyle name="Normal 3 4 6 7 2 11 3" xfId="43576" xr:uid="{00000000-0005-0000-0000-00002FAA0000}"/>
    <cellStyle name="Normal 3 4 6 7 2 12" xfId="43577" xr:uid="{00000000-0005-0000-0000-000030AA0000}"/>
    <cellStyle name="Normal 3 4 6 7 2 12 2" xfId="43578" xr:uid="{00000000-0005-0000-0000-000031AA0000}"/>
    <cellStyle name="Normal 3 4 6 7 2 12 3" xfId="43579" xr:uid="{00000000-0005-0000-0000-000032AA0000}"/>
    <cellStyle name="Normal 3 4 6 7 2 13" xfId="43580" xr:uid="{00000000-0005-0000-0000-000033AA0000}"/>
    <cellStyle name="Normal 3 4 6 7 2 13 2" xfId="43581" xr:uid="{00000000-0005-0000-0000-000034AA0000}"/>
    <cellStyle name="Normal 3 4 6 7 2 13 3" xfId="43582" xr:uid="{00000000-0005-0000-0000-000035AA0000}"/>
    <cellStyle name="Normal 3 4 6 7 2 14" xfId="43583" xr:uid="{00000000-0005-0000-0000-000036AA0000}"/>
    <cellStyle name="Normal 3 4 6 7 2 14 2" xfId="43584" xr:uid="{00000000-0005-0000-0000-000037AA0000}"/>
    <cellStyle name="Normal 3 4 6 7 2 14 3" xfId="43585" xr:uid="{00000000-0005-0000-0000-000038AA0000}"/>
    <cellStyle name="Normal 3 4 6 7 2 15" xfId="43586" xr:uid="{00000000-0005-0000-0000-000039AA0000}"/>
    <cellStyle name="Normal 3 4 6 7 2 16" xfId="43587" xr:uid="{00000000-0005-0000-0000-00003AAA0000}"/>
    <cellStyle name="Normal 3 4 6 7 2 2" xfId="43588" xr:uid="{00000000-0005-0000-0000-00003BAA0000}"/>
    <cellStyle name="Normal 3 4 6 7 2 2 2" xfId="43589" xr:uid="{00000000-0005-0000-0000-00003CAA0000}"/>
    <cellStyle name="Normal 3 4 6 7 2 2 3" xfId="43590" xr:uid="{00000000-0005-0000-0000-00003DAA0000}"/>
    <cellStyle name="Normal 3 4 6 7 2 3" xfId="43591" xr:uid="{00000000-0005-0000-0000-00003EAA0000}"/>
    <cellStyle name="Normal 3 4 6 7 2 3 2" xfId="43592" xr:uid="{00000000-0005-0000-0000-00003FAA0000}"/>
    <cellStyle name="Normal 3 4 6 7 2 3 3" xfId="43593" xr:uid="{00000000-0005-0000-0000-000040AA0000}"/>
    <cellStyle name="Normal 3 4 6 7 2 4" xfId="43594" xr:uid="{00000000-0005-0000-0000-000041AA0000}"/>
    <cellStyle name="Normal 3 4 6 7 2 4 2" xfId="43595" xr:uid="{00000000-0005-0000-0000-000042AA0000}"/>
    <cellStyle name="Normal 3 4 6 7 2 4 3" xfId="43596" xr:uid="{00000000-0005-0000-0000-000043AA0000}"/>
    <cellStyle name="Normal 3 4 6 7 2 5" xfId="43597" xr:uid="{00000000-0005-0000-0000-000044AA0000}"/>
    <cellStyle name="Normal 3 4 6 7 2 5 2" xfId="43598" xr:uid="{00000000-0005-0000-0000-000045AA0000}"/>
    <cellStyle name="Normal 3 4 6 7 2 5 3" xfId="43599" xr:uid="{00000000-0005-0000-0000-000046AA0000}"/>
    <cellStyle name="Normal 3 4 6 7 2 6" xfId="43600" xr:uid="{00000000-0005-0000-0000-000047AA0000}"/>
    <cellStyle name="Normal 3 4 6 7 2 6 2" xfId="43601" xr:uid="{00000000-0005-0000-0000-000048AA0000}"/>
    <cellStyle name="Normal 3 4 6 7 2 6 3" xfId="43602" xr:uid="{00000000-0005-0000-0000-000049AA0000}"/>
    <cellStyle name="Normal 3 4 6 7 2 7" xfId="43603" xr:uid="{00000000-0005-0000-0000-00004AAA0000}"/>
    <cellStyle name="Normal 3 4 6 7 2 7 2" xfId="43604" xr:uid="{00000000-0005-0000-0000-00004BAA0000}"/>
    <cellStyle name="Normal 3 4 6 7 2 7 3" xfId="43605" xr:uid="{00000000-0005-0000-0000-00004CAA0000}"/>
    <cellStyle name="Normal 3 4 6 7 2 8" xfId="43606" xr:uid="{00000000-0005-0000-0000-00004DAA0000}"/>
    <cellStyle name="Normal 3 4 6 7 2 8 2" xfId="43607" xr:uid="{00000000-0005-0000-0000-00004EAA0000}"/>
    <cellStyle name="Normal 3 4 6 7 2 8 3" xfId="43608" xr:uid="{00000000-0005-0000-0000-00004FAA0000}"/>
    <cellStyle name="Normal 3 4 6 7 2 9" xfId="43609" xr:uid="{00000000-0005-0000-0000-000050AA0000}"/>
    <cellStyle name="Normal 3 4 6 7 2 9 2" xfId="43610" xr:uid="{00000000-0005-0000-0000-000051AA0000}"/>
    <cellStyle name="Normal 3 4 6 7 2 9 3" xfId="43611" xr:uid="{00000000-0005-0000-0000-000052AA0000}"/>
    <cellStyle name="Normal 3 4 6 7 3" xfId="43612" xr:uid="{00000000-0005-0000-0000-000053AA0000}"/>
    <cellStyle name="Normal 3 4 6 7 3 2" xfId="43613" xr:uid="{00000000-0005-0000-0000-000054AA0000}"/>
    <cellStyle name="Normal 3 4 6 7 3 3" xfId="43614" xr:uid="{00000000-0005-0000-0000-000055AA0000}"/>
    <cellStyle name="Normal 3 4 6 7 4" xfId="43615" xr:uid="{00000000-0005-0000-0000-000056AA0000}"/>
    <cellStyle name="Normal 3 4 6 7 4 2" xfId="43616" xr:uid="{00000000-0005-0000-0000-000057AA0000}"/>
    <cellStyle name="Normal 3 4 6 7 4 3" xfId="43617" xr:uid="{00000000-0005-0000-0000-000058AA0000}"/>
    <cellStyle name="Normal 3 4 6 7 5" xfId="43618" xr:uid="{00000000-0005-0000-0000-000059AA0000}"/>
    <cellStyle name="Normal 3 4 6 7 5 2" xfId="43619" xr:uid="{00000000-0005-0000-0000-00005AAA0000}"/>
    <cellStyle name="Normal 3 4 6 7 5 3" xfId="43620" xr:uid="{00000000-0005-0000-0000-00005BAA0000}"/>
    <cellStyle name="Normal 3 4 6 7 6" xfId="43621" xr:uid="{00000000-0005-0000-0000-00005CAA0000}"/>
    <cellStyle name="Normal 3 4 6 7 6 2" xfId="43622" xr:uid="{00000000-0005-0000-0000-00005DAA0000}"/>
    <cellStyle name="Normal 3 4 6 7 6 3" xfId="43623" xr:uid="{00000000-0005-0000-0000-00005EAA0000}"/>
    <cellStyle name="Normal 3 4 6 7 7" xfId="43624" xr:uid="{00000000-0005-0000-0000-00005FAA0000}"/>
    <cellStyle name="Normal 3 4 6 7 7 2" xfId="43625" xr:uid="{00000000-0005-0000-0000-000060AA0000}"/>
    <cellStyle name="Normal 3 4 6 7 7 3" xfId="43626" xr:uid="{00000000-0005-0000-0000-000061AA0000}"/>
    <cellStyle name="Normal 3 4 6 7 8" xfId="43627" xr:uid="{00000000-0005-0000-0000-000062AA0000}"/>
    <cellStyle name="Normal 3 4 6 7 8 2" xfId="43628" xr:uid="{00000000-0005-0000-0000-000063AA0000}"/>
    <cellStyle name="Normal 3 4 6 7 8 3" xfId="43629" xr:uid="{00000000-0005-0000-0000-000064AA0000}"/>
    <cellStyle name="Normal 3 4 6 7 9" xfId="43630" xr:uid="{00000000-0005-0000-0000-000065AA0000}"/>
    <cellStyle name="Normal 3 4 6 7 9 2" xfId="43631" xr:uid="{00000000-0005-0000-0000-000066AA0000}"/>
    <cellStyle name="Normal 3 4 6 7 9 3" xfId="43632" xr:uid="{00000000-0005-0000-0000-000067AA0000}"/>
    <cellStyle name="Normal 3 4 6 8" xfId="43633" xr:uid="{00000000-0005-0000-0000-000068AA0000}"/>
    <cellStyle name="Normal 3 4 6 8 10" xfId="43634" xr:uid="{00000000-0005-0000-0000-000069AA0000}"/>
    <cellStyle name="Normal 3 4 6 8 10 2" xfId="43635" xr:uid="{00000000-0005-0000-0000-00006AAA0000}"/>
    <cellStyle name="Normal 3 4 6 8 10 3" xfId="43636" xr:uid="{00000000-0005-0000-0000-00006BAA0000}"/>
    <cellStyle name="Normal 3 4 6 8 11" xfId="43637" xr:uid="{00000000-0005-0000-0000-00006CAA0000}"/>
    <cellStyle name="Normal 3 4 6 8 11 2" xfId="43638" xr:uid="{00000000-0005-0000-0000-00006DAA0000}"/>
    <cellStyle name="Normal 3 4 6 8 11 3" xfId="43639" xr:uid="{00000000-0005-0000-0000-00006EAA0000}"/>
    <cellStyle name="Normal 3 4 6 8 12" xfId="43640" xr:uid="{00000000-0005-0000-0000-00006FAA0000}"/>
    <cellStyle name="Normal 3 4 6 8 12 2" xfId="43641" xr:uid="{00000000-0005-0000-0000-000070AA0000}"/>
    <cellStyle name="Normal 3 4 6 8 12 3" xfId="43642" xr:uid="{00000000-0005-0000-0000-000071AA0000}"/>
    <cellStyle name="Normal 3 4 6 8 13" xfId="43643" xr:uid="{00000000-0005-0000-0000-000072AA0000}"/>
    <cellStyle name="Normal 3 4 6 8 13 2" xfId="43644" xr:uid="{00000000-0005-0000-0000-000073AA0000}"/>
    <cellStyle name="Normal 3 4 6 8 13 3" xfId="43645" xr:uid="{00000000-0005-0000-0000-000074AA0000}"/>
    <cellStyle name="Normal 3 4 6 8 14" xfId="43646" xr:uid="{00000000-0005-0000-0000-000075AA0000}"/>
    <cellStyle name="Normal 3 4 6 8 14 2" xfId="43647" xr:uid="{00000000-0005-0000-0000-000076AA0000}"/>
    <cellStyle name="Normal 3 4 6 8 14 3" xfId="43648" xr:uid="{00000000-0005-0000-0000-000077AA0000}"/>
    <cellStyle name="Normal 3 4 6 8 15" xfId="43649" xr:uid="{00000000-0005-0000-0000-000078AA0000}"/>
    <cellStyle name="Normal 3 4 6 8 15 2" xfId="43650" xr:uid="{00000000-0005-0000-0000-000079AA0000}"/>
    <cellStyle name="Normal 3 4 6 8 15 3" xfId="43651" xr:uid="{00000000-0005-0000-0000-00007AAA0000}"/>
    <cellStyle name="Normal 3 4 6 8 16" xfId="43652" xr:uid="{00000000-0005-0000-0000-00007BAA0000}"/>
    <cellStyle name="Normal 3 4 6 8 17" xfId="43653" xr:uid="{00000000-0005-0000-0000-00007CAA0000}"/>
    <cellStyle name="Normal 3 4 6 8 2" xfId="43654" xr:uid="{00000000-0005-0000-0000-00007DAA0000}"/>
    <cellStyle name="Normal 3 4 6 8 2 10" xfId="43655" xr:uid="{00000000-0005-0000-0000-00007EAA0000}"/>
    <cellStyle name="Normal 3 4 6 8 2 10 2" xfId="43656" xr:uid="{00000000-0005-0000-0000-00007FAA0000}"/>
    <cellStyle name="Normal 3 4 6 8 2 10 3" xfId="43657" xr:uid="{00000000-0005-0000-0000-000080AA0000}"/>
    <cellStyle name="Normal 3 4 6 8 2 11" xfId="43658" xr:uid="{00000000-0005-0000-0000-000081AA0000}"/>
    <cellStyle name="Normal 3 4 6 8 2 11 2" xfId="43659" xr:uid="{00000000-0005-0000-0000-000082AA0000}"/>
    <cellStyle name="Normal 3 4 6 8 2 11 3" xfId="43660" xr:uid="{00000000-0005-0000-0000-000083AA0000}"/>
    <cellStyle name="Normal 3 4 6 8 2 12" xfId="43661" xr:uid="{00000000-0005-0000-0000-000084AA0000}"/>
    <cellStyle name="Normal 3 4 6 8 2 12 2" xfId="43662" xr:uid="{00000000-0005-0000-0000-000085AA0000}"/>
    <cellStyle name="Normal 3 4 6 8 2 12 3" xfId="43663" xr:uid="{00000000-0005-0000-0000-000086AA0000}"/>
    <cellStyle name="Normal 3 4 6 8 2 13" xfId="43664" xr:uid="{00000000-0005-0000-0000-000087AA0000}"/>
    <cellStyle name="Normal 3 4 6 8 2 13 2" xfId="43665" xr:uid="{00000000-0005-0000-0000-000088AA0000}"/>
    <cellStyle name="Normal 3 4 6 8 2 13 3" xfId="43666" xr:uid="{00000000-0005-0000-0000-000089AA0000}"/>
    <cellStyle name="Normal 3 4 6 8 2 14" xfId="43667" xr:uid="{00000000-0005-0000-0000-00008AAA0000}"/>
    <cellStyle name="Normal 3 4 6 8 2 14 2" xfId="43668" xr:uid="{00000000-0005-0000-0000-00008BAA0000}"/>
    <cellStyle name="Normal 3 4 6 8 2 14 3" xfId="43669" xr:uid="{00000000-0005-0000-0000-00008CAA0000}"/>
    <cellStyle name="Normal 3 4 6 8 2 15" xfId="43670" xr:uid="{00000000-0005-0000-0000-00008DAA0000}"/>
    <cellStyle name="Normal 3 4 6 8 2 16" xfId="43671" xr:uid="{00000000-0005-0000-0000-00008EAA0000}"/>
    <cellStyle name="Normal 3 4 6 8 2 2" xfId="43672" xr:uid="{00000000-0005-0000-0000-00008FAA0000}"/>
    <cellStyle name="Normal 3 4 6 8 2 2 2" xfId="43673" xr:uid="{00000000-0005-0000-0000-000090AA0000}"/>
    <cellStyle name="Normal 3 4 6 8 2 2 3" xfId="43674" xr:uid="{00000000-0005-0000-0000-000091AA0000}"/>
    <cellStyle name="Normal 3 4 6 8 2 3" xfId="43675" xr:uid="{00000000-0005-0000-0000-000092AA0000}"/>
    <cellStyle name="Normal 3 4 6 8 2 3 2" xfId="43676" xr:uid="{00000000-0005-0000-0000-000093AA0000}"/>
    <cellStyle name="Normal 3 4 6 8 2 3 3" xfId="43677" xr:uid="{00000000-0005-0000-0000-000094AA0000}"/>
    <cellStyle name="Normal 3 4 6 8 2 4" xfId="43678" xr:uid="{00000000-0005-0000-0000-000095AA0000}"/>
    <cellStyle name="Normal 3 4 6 8 2 4 2" xfId="43679" xr:uid="{00000000-0005-0000-0000-000096AA0000}"/>
    <cellStyle name="Normal 3 4 6 8 2 4 3" xfId="43680" xr:uid="{00000000-0005-0000-0000-000097AA0000}"/>
    <cellStyle name="Normal 3 4 6 8 2 5" xfId="43681" xr:uid="{00000000-0005-0000-0000-000098AA0000}"/>
    <cellStyle name="Normal 3 4 6 8 2 5 2" xfId="43682" xr:uid="{00000000-0005-0000-0000-000099AA0000}"/>
    <cellStyle name="Normal 3 4 6 8 2 5 3" xfId="43683" xr:uid="{00000000-0005-0000-0000-00009AAA0000}"/>
    <cellStyle name="Normal 3 4 6 8 2 6" xfId="43684" xr:uid="{00000000-0005-0000-0000-00009BAA0000}"/>
    <cellStyle name="Normal 3 4 6 8 2 6 2" xfId="43685" xr:uid="{00000000-0005-0000-0000-00009CAA0000}"/>
    <cellStyle name="Normal 3 4 6 8 2 6 3" xfId="43686" xr:uid="{00000000-0005-0000-0000-00009DAA0000}"/>
    <cellStyle name="Normal 3 4 6 8 2 7" xfId="43687" xr:uid="{00000000-0005-0000-0000-00009EAA0000}"/>
    <cellStyle name="Normal 3 4 6 8 2 7 2" xfId="43688" xr:uid="{00000000-0005-0000-0000-00009FAA0000}"/>
    <cellStyle name="Normal 3 4 6 8 2 7 3" xfId="43689" xr:uid="{00000000-0005-0000-0000-0000A0AA0000}"/>
    <cellStyle name="Normal 3 4 6 8 2 8" xfId="43690" xr:uid="{00000000-0005-0000-0000-0000A1AA0000}"/>
    <cellStyle name="Normal 3 4 6 8 2 8 2" xfId="43691" xr:uid="{00000000-0005-0000-0000-0000A2AA0000}"/>
    <cellStyle name="Normal 3 4 6 8 2 8 3" xfId="43692" xr:uid="{00000000-0005-0000-0000-0000A3AA0000}"/>
    <cellStyle name="Normal 3 4 6 8 2 9" xfId="43693" xr:uid="{00000000-0005-0000-0000-0000A4AA0000}"/>
    <cellStyle name="Normal 3 4 6 8 2 9 2" xfId="43694" xr:uid="{00000000-0005-0000-0000-0000A5AA0000}"/>
    <cellStyle name="Normal 3 4 6 8 2 9 3" xfId="43695" xr:uid="{00000000-0005-0000-0000-0000A6AA0000}"/>
    <cellStyle name="Normal 3 4 6 8 3" xfId="43696" xr:uid="{00000000-0005-0000-0000-0000A7AA0000}"/>
    <cellStyle name="Normal 3 4 6 8 3 2" xfId="43697" xr:uid="{00000000-0005-0000-0000-0000A8AA0000}"/>
    <cellStyle name="Normal 3 4 6 8 3 3" xfId="43698" xr:uid="{00000000-0005-0000-0000-0000A9AA0000}"/>
    <cellStyle name="Normal 3 4 6 8 4" xfId="43699" xr:uid="{00000000-0005-0000-0000-0000AAAA0000}"/>
    <cellStyle name="Normal 3 4 6 8 4 2" xfId="43700" xr:uid="{00000000-0005-0000-0000-0000ABAA0000}"/>
    <cellStyle name="Normal 3 4 6 8 4 3" xfId="43701" xr:uid="{00000000-0005-0000-0000-0000ACAA0000}"/>
    <cellStyle name="Normal 3 4 6 8 5" xfId="43702" xr:uid="{00000000-0005-0000-0000-0000ADAA0000}"/>
    <cellStyle name="Normal 3 4 6 8 5 2" xfId="43703" xr:uid="{00000000-0005-0000-0000-0000AEAA0000}"/>
    <cellStyle name="Normal 3 4 6 8 5 3" xfId="43704" xr:uid="{00000000-0005-0000-0000-0000AFAA0000}"/>
    <cellStyle name="Normal 3 4 6 8 6" xfId="43705" xr:uid="{00000000-0005-0000-0000-0000B0AA0000}"/>
    <cellStyle name="Normal 3 4 6 8 6 2" xfId="43706" xr:uid="{00000000-0005-0000-0000-0000B1AA0000}"/>
    <cellStyle name="Normal 3 4 6 8 6 3" xfId="43707" xr:uid="{00000000-0005-0000-0000-0000B2AA0000}"/>
    <cellStyle name="Normal 3 4 6 8 7" xfId="43708" xr:uid="{00000000-0005-0000-0000-0000B3AA0000}"/>
    <cellStyle name="Normal 3 4 6 8 7 2" xfId="43709" xr:uid="{00000000-0005-0000-0000-0000B4AA0000}"/>
    <cellStyle name="Normal 3 4 6 8 7 3" xfId="43710" xr:uid="{00000000-0005-0000-0000-0000B5AA0000}"/>
    <cellStyle name="Normal 3 4 6 8 8" xfId="43711" xr:uid="{00000000-0005-0000-0000-0000B6AA0000}"/>
    <cellStyle name="Normal 3 4 6 8 8 2" xfId="43712" xr:uid="{00000000-0005-0000-0000-0000B7AA0000}"/>
    <cellStyle name="Normal 3 4 6 8 8 3" xfId="43713" xr:uid="{00000000-0005-0000-0000-0000B8AA0000}"/>
    <cellStyle name="Normal 3 4 6 8 9" xfId="43714" xr:uid="{00000000-0005-0000-0000-0000B9AA0000}"/>
    <cellStyle name="Normal 3 4 6 8 9 2" xfId="43715" xr:uid="{00000000-0005-0000-0000-0000BAAA0000}"/>
    <cellStyle name="Normal 3 4 6 8 9 3" xfId="43716" xr:uid="{00000000-0005-0000-0000-0000BBAA0000}"/>
    <cellStyle name="Normal 3 4 6 9" xfId="43717" xr:uid="{00000000-0005-0000-0000-0000BCAA0000}"/>
    <cellStyle name="Normal 3 4 6 9 10" xfId="43718" xr:uid="{00000000-0005-0000-0000-0000BDAA0000}"/>
    <cellStyle name="Normal 3 4 6 9 10 2" xfId="43719" xr:uid="{00000000-0005-0000-0000-0000BEAA0000}"/>
    <cellStyle name="Normal 3 4 6 9 10 3" xfId="43720" xr:uid="{00000000-0005-0000-0000-0000BFAA0000}"/>
    <cellStyle name="Normal 3 4 6 9 11" xfId="43721" xr:uid="{00000000-0005-0000-0000-0000C0AA0000}"/>
    <cellStyle name="Normal 3 4 6 9 11 2" xfId="43722" xr:uid="{00000000-0005-0000-0000-0000C1AA0000}"/>
    <cellStyle name="Normal 3 4 6 9 11 3" xfId="43723" xr:uid="{00000000-0005-0000-0000-0000C2AA0000}"/>
    <cellStyle name="Normal 3 4 6 9 12" xfId="43724" xr:uid="{00000000-0005-0000-0000-0000C3AA0000}"/>
    <cellStyle name="Normal 3 4 6 9 12 2" xfId="43725" xr:uid="{00000000-0005-0000-0000-0000C4AA0000}"/>
    <cellStyle name="Normal 3 4 6 9 12 3" xfId="43726" xr:uid="{00000000-0005-0000-0000-0000C5AA0000}"/>
    <cellStyle name="Normal 3 4 6 9 13" xfId="43727" xr:uid="{00000000-0005-0000-0000-0000C6AA0000}"/>
    <cellStyle name="Normal 3 4 6 9 13 2" xfId="43728" xr:uid="{00000000-0005-0000-0000-0000C7AA0000}"/>
    <cellStyle name="Normal 3 4 6 9 13 3" xfId="43729" xr:uid="{00000000-0005-0000-0000-0000C8AA0000}"/>
    <cellStyle name="Normal 3 4 6 9 14" xfId="43730" xr:uid="{00000000-0005-0000-0000-0000C9AA0000}"/>
    <cellStyle name="Normal 3 4 6 9 14 2" xfId="43731" xr:uid="{00000000-0005-0000-0000-0000CAAA0000}"/>
    <cellStyle name="Normal 3 4 6 9 14 3" xfId="43732" xr:uid="{00000000-0005-0000-0000-0000CBAA0000}"/>
    <cellStyle name="Normal 3 4 6 9 15" xfId="43733" xr:uid="{00000000-0005-0000-0000-0000CCAA0000}"/>
    <cellStyle name="Normal 3 4 6 9 16" xfId="43734" xr:uid="{00000000-0005-0000-0000-0000CDAA0000}"/>
    <cellStyle name="Normal 3 4 6 9 2" xfId="43735" xr:uid="{00000000-0005-0000-0000-0000CEAA0000}"/>
    <cellStyle name="Normal 3 4 6 9 2 2" xfId="43736" xr:uid="{00000000-0005-0000-0000-0000CFAA0000}"/>
    <cellStyle name="Normal 3 4 6 9 2 3" xfId="43737" xr:uid="{00000000-0005-0000-0000-0000D0AA0000}"/>
    <cellStyle name="Normal 3 4 6 9 3" xfId="43738" xr:uid="{00000000-0005-0000-0000-0000D1AA0000}"/>
    <cellStyle name="Normal 3 4 6 9 3 2" xfId="43739" xr:uid="{00000000-0005-0000-0000-0000D2AA0000}"/>
    <cellStyle name="Normal 3 4 6 9 3 3" xfId="43740" xr:uid="{00000000-0005-0000-0000-0000D3AA0000}"/>
    <cellStyle name="Normal 3 4 6 9 4" xfId="43741" xr:uid="{00000000-0005-0000-0000-0000D4AA0000}"/>
    <cellStyle name="Normal 3 4 6 9 4 2" xfId="43742" xr:uid="{00000000-0005-0000-0000-0000D5AA0000}"/>
    <cellStyle name="Normal 3 4 6 9 4 3" xfId="43743" xr:uid="{00000000-0005-0000-0000-0000D6AA0000}"/>
    <cellStyle name="Normal 3 4 6 9 5" xfId="43744" xr:uid="{00000000-0005-0000-0000-0000D7AA0000}"/>
    <cellStyle name="Normal 3 4 6 9 5 2" xfId="43745" xr:uid="{00000000-0005-0000-0000-0000D8AA0000}"/>
    <cellStyle name="Normal 3 4 6 9 5 3" xfId="43746" xr:uid="{00000000-0005-0000-0000-0000D9AA0000}"/>
    <cellStyle name="Normal 3 4 6 9 6" xfId="43747" xr:uid="{00000000-0005-0000-0000-0000DAAA0000}"/>
    <cellStyle name="Normal 3 4 6 9 6 2" xfId="43748" xr:uid="{00000000-0005-0000-0000-0000DBAA0000}"/>
    <cellStyle name="Normal 3 4 6 9 6 3" xfId="43749" xr:uid="{00000000-0005-0000-0000-0000DCAA0000}"/>
    <cellStyle name="Normal 3 4 6 9 7" xfId="43750" xr:uid="{00000000-0005-0000-0000-0000DDAA0000}"/>
    <cellStyle name="Normal 3 4 6 9 7 2" xfId="43751" xr:uid="{00000000-0005-0000-0000-0000DEAA0000}"/>
    <cellStyle name="Normal 3 4 6 9 7 3" xfId="43752" xr:uid="{00000000-0005-0000-0000-0000DFAA0000}"/>
    <cellStyle name="Normal 3 4 6 9 8" xfId="43753" xr:uid="{00000000-0005-0000-0000-0000E0AA0000}"/>
    <cellStyle name="Normal 3 4 6 9 8 2" xfId="43754" xr:uid="{00000000-0005-0000-0000-0000E1AA0000}"/>
    <cellStyle name="Normal 3 4 6 9 8 3" xfId="43755" xr:uid="{00000000-0005-0000-0000-0000E2AA0000}"/>
    <cellStyle name="Normal 3 4 6 9 9" xfId="43756" xr:uid="{00000000-0005-0000-0000-0000E3AA0000}"/>
    <cellStyle name="Normal 3 4 6 9 9 2" xfId="43757" xr:uid="{00000000-0005-0000-0000-0000E4AA0000}"/>
    <cellStyle name="Normal 3 4 6 9 9 3" xfId="43758" xr:uid="{00000000-0005-0000-0000-0000E5AA0000}"/>
    <cellStyle name="Normal 3 4 7" xfId="43759" xr:uid="{00000000-0005-0000-0000-0000E6AA0000}"/>
    <cellStyle name="Normal 3 4 7 10" xfId="43760" xr:uid="{00000000-0005-0000-0000-0000E7AA0000}"/>
    <cellStyle name="Normal 3 4 7 10 10" xfId="43761" xr:uid="{00000000-0005-0000-0000-0000E8AA0000}"/>
    <cellStyle name="Normal 3 4 7 10 10 2" xfId="43762" xr:uid="{00000000-0005-0000-0000-0000E9AA0000}"/>
    <cellStyle name="Normal 3 4 7 10 10 3" xfId="43763" xr:uid="{00000000-0005-0000-0000-0000EAAA0000}"/>
    <cellStyle name="Normal 3 4 7 10 11" xfId="43764" xr:uid="{00000000-0005-0000-0000-0000EBAA0000}"/>
    <cellStyle name="Normal 3 4 7 10 11 2" xfId="43765" xr:uid="{00000000-0005-0000-0000-0000ECAA0000}"/>
    <cellStyle name="Normal 3 4 7 10 11 3" xfId="43766" xr:uid="{00000000-0005-0000-0000-0000EDAA0000}"/>
    <cellStyle name="Normal 3 4 7 10 12" xfId="43767" xr:uid="{00000000-0005-0000-0000-0000EEAA0000}"/>
    <cellStyle name="Normal 3 4 7 10 12 2" xfId="43768" xr:uid="{00000000-0005-0000-0000-0000EFAA0000}"/>
    <cellStyle name="Normal 3 4 7 10 12 3" xfId="43769" xr:uid="{00000000-0005-0000-0000-0000F0AA0000}"/>
    <cellStyle name="Normal 3 4 7 10 13" xfId="43770" xr:uid="{00000000-0005-0000-0000-0000F1AA0000}"/>
    <cellStyle name="Normal 3 4 7 10 13 2" xfId="43771" xr:uid="{00000000-0005-0000-0000-0000F2AA0000}"/>
    <cellStyle name="Normal 3 4 7 10 13 3" xfId="43772" xr:uid="{00000000-0005-0000-0000-0000F3AA0000}"/>
    <cellStyle name="Normal 3 4 7 10 14" xfId="43773" xr:uid="{00000000-0005-0000-0000-0000F4AA0000}"/>
    <cellStyle name="Normal 3 4 7 10 14 2" xfId="43774" xr:uid="{00000000-0005-0000-0000-0000F5AA0000}"/>
    <cellStyle name="Normal 3 4 7 10 14 3" xfId="43775" xr:uid="{00000000-0005-0000-0000-0000F6AA0000}"/>
    <cellStyle name="Normal 3 4 7 10 15" xfId="43776" xr:uid="{00000000-0005-0000-0000-0000F7AA0000}"/>
    <cellStyle name="Normal 3 4 7 10 16" xfId="43777" xr:uid="{00000000-0005-0000-0000-0000F8AA0000}"/>
    <cellStyle name="Normal 3 4 7 10 2" xfId="43778" xr:uid="{00000000-0005-0000-0000-0000F9AA0000}"/>
    <cellStyle name="Normal 3 4 7 10 2 2" xfId="43779" xr:uid="{00000000-0005-0000-0000-0000FAAA0000}"/>
    <cellStyle name="Normal 3 4 7 10 2 3" xfId="43780" xr:uid="{00000000-0005-0000-0000-0000FBAA0000}"/>
    <cellStyle name="Normal 3 4 7 10 3" xfId="43781" xr:uid="{00000000-0005-0000-0000-0000FCAA0000}"/>
    <cellStyle name="Normal 3 4 7 10 3 2" xfId="43782" xr:uid="{00000000-0005-0000-0000-0000FDAA0000}"/>
    <cellStyle name="Normal 3 4 7 10 3 3" xfId="43783" xr:uid="{00000000-0005-0000-0000-0000FEAA0000}"/>
    <cellStyle name="Normal 3 4 7 10 4" xfId="43784" xr:uid="{00000000-0005-0000-0000-0000FFAA0000}"/>
    <cellStyle name="Normal 3 4 7 10 4 2" xfId="43785" xr:uid="{00000000-0005-0000-0000-000000AB0000}"/>
    <cellStyle name="Normal 3 4 7 10 4 3" xfId="43786" xr:uid="{00000000-0005-0000-0000-000001AB0000}"/>
    <cellStyle name="Normal 3 4 7 10 5" xfId="43787" xr:uid="{00000000-0005-0000-0000-000002AB0000}"/>
    <cellStyle name="Normal 3 4 7 10 5 2" xfId="43788" xr:uid="{00000000-0005-0000-0000-000003AB0000}"/>
    <cellStyle name="Normal 3 4 7 10 5 3" xfId="43789" xr:uid="{00000000-0005-0000-0000-000004AB0000}"/>
    <cellStyle name="Normal 3 4 7 10 6" xfId="43790" xr:uid="{00000000-0005-0000-0000-000005AB0000}"/>
    <cellStyle name="Normal 3 4 7 10 6 2" xfId="43791" xr:uid="{00000000-0005-0000-0000-000006AB0000}"/>
    <cellStyle name="Normal 3 4 7 10 6 3" xfId="43792" xr:uid="{00000000-0005-0000-0000-000007AB0000}"/>
    <cellStyle name="Normal 3 4 7 10 7" xfId="43793" xr:uid="{00000000-0005-0000-0000-000008AB0000}"/>
    <cellStyle name="Normal 3 4 7 10 7 2" xfId="43794" xr:uid="{00000000-0005-0000-0000-000009AB0000}"/>
    <cellStyle name="Normal 3 4 7 10 7 3" xfId="43795" xr:uid="{00000000-0005-0000-0000-00000AAB0000}"/>
    <cellStyle name="Normal 3 4 7 10 8" xfId="43796" xr:uid="{00000000-0005-0000-0000-00000BAB0000}"/>
    <cellStyle name="Normal 3 4 7 10 8 2" xfId="43797" xr:uid="{00000000-0005-0000-0000-00000CAB0000}"/>
    <cellStyle name="Normal 3 4 7 10 8 3" xfId="43798" xr:uid="{00000000-0005-0000-0000-00000DAB0000}"/>
    <cellStyle name="Normal 3 4 7 10 9" xfId="43799" xr:uid="{00000000-0005-0000-0000-00000EAB0000}"/>
    <cellStyle name="Normal 3 4 7 10 9 2" xfId="43800" xr:uid="{00000000-0005-0000-0000-00000FAB0000}"/>
    <cellStyle name="Normal 3 4 7 10 9 3" xfId="43801" xr:uid="{00000000-0005-0000-0000-000010AB0000}"/>
    <cellStyle name="Normal 3 4 7 11" xfId="43802" xr:uid="{00000000-0005-0000-0000-000011AB0000}"/>
    <cellStyle name="Normal 3 4 7 11 2" xfId="43803" xr:uid="{00000000-0005-0000-0000-000012AB0000}"/>
    <cellStyle name="Normal 3 4 7 11 3" xfId="43804" xr:uid="{00000000-0005-0000-0000-000013AB0000}"/>
    <cellStyle name="Normal 3 4 7 12" xfId="43805" xr:uid="{00000000-0005-0000-0000-000014AB0000}"/>
    <cellStyle name="Normal 3 4 7 12 2" xfId="43806" xr:uid="{00000000-0005-0000-0000-000015AB0000}"/>
    <cellStyle name="Normal 3 4 7 12 3" xfId="43807" xr:uid="{00000000-0005-0000-0000-000016AB0000}"/>
    <cellStyle name="Normal 3 4 7 13" xfId="43808" xr:uid="{00000000-0005-0000-0000-000017AB0000}"/>
    <cellStyle name="Normal 3 4 7 13 2" xfId="43809" xr:uid="{00000000-0005-0000-0000-000018AB0000}"/>
    <cellStyle name="Normal 3 4 7 13 3" xfId="43810" xr:uid="{00000000-0005-0000-0000-000019AB0000}"/>
    <cellStyle name="Normal 3 4 7 14" xfId="43811" xr:uid="{00000000-0005-0000-0000-00001AAB0000}"/>
    <cellStyle name="Normal 3 4 7 14 2" xfId="43812" xr:uid="{00000000-0005-0000-0000-00001BAB0000}"/>
    <cellStyle name="Normal 3 4 7 14 3" xfId="43813" xr:uid="{00000000-0005-0000-0000-00001CAB0000}"/>
    <cellStyle name="Normal 3 4 7 15" xfId="43814" xr:uid="{00000000-0005-0000-0000-00001DAB0000}"/>
    <cellStyle name="Normal 3 4 7 15 2" xfId="43815" xr:uid="{00000000-0005-0000-0000-00001EAB0000}"/>
    <cellStyle name="Normal 3 4 7 15 3" xfId="43816" xr:uid="{00000000-0005-0000-0000-00001FAB0000}"/>
    <cellStyle name="Normal 3 4 7 16" xfId="43817" xr:uid="{00000000-0005-0000-0000-000020AB0000}"/>
    <cellStyle name="Normal 3 4 7 16 2" xfId="43818" xr:uid="{00000000-0005-0000-0000-000021AB0000}"/>
    <cellStyle name="Normal 3 4 7 16 3" xfId="43819" xr:uid="{00000000-0005-0000-0000-000022AB0000}"/>
    <cellStyle name="Normal 3 4 7 17" xfId="43820" xr:uid="{00000000-0005-0000-0000-000023AB0000}"/>
    <cellStyle name="Normal 3 4 7 17 2" xfId="43821" xr:uid="{00000000-0005-0000-0000-000024AB0000}"/>
    <cellStyle name="Normal 3 4 7 17 3" xfId="43822" xr:uid="{00000000-0005-0000-0000-000025AB0000}"/>
    <cellStyle name="Normal 3 4 7 18" xfId="43823" xr:uid="{00000000-0005-0000-0000-000026AB0000}"/>
    <cellStyle name="Normal 3 4 7 18 2" xfId="43824" xr:uid="{00000000-0005-0000-0000-000027AB0000}"/>
    <cellStyle name="Normal 3 4 7 18 3" xfId="43825" xr:uid="{00000000-0005-0000-0000-000028AB0000}"/>
    <cellStyle name="Normal 3 4 7 19" xfId="43826" xr:uid="{00000000-0005-0000-0000-000029AB0000}"/>
    <cellStyle name="Normal 3 4 7 19 2" xfId="43827" xr:uid="{00000000-0005-0000-0000-00002AAB0000}"/>
    <cellStyle name="Normal 3 4 7 19 3" xfId="43828" xr:uid="{00000000-0005-0000-0000-00002BAB0000}"/>
    <cellStyle name="Normal 3 4 7 2" xfId="43829" xr:uid="{00000000-0005-0000-0000-00002CAB0000}"/>
    <cellStyle name="Normal 3 4 7 2 10" xfId="43830" xr:uid="{00000000-0005-0000-0000-00002DAB0000}"/>
    <cellStyle name="Normal 3 4 7 2 10 2" xfId="43831" xr:uid="{00000000-0005-0000-0000-00002EAB0000}"/>
    <cellStyle name="Normal 3 4 7 2 10 3" xfId="43832" xr:uid="{00000000-0005-0000-0000-00002FAB0000}"/>
    <cellStyle name="Normal 3 4 7 2 11" xfId="43833" xr:uid="{00000000-0005-0000-0000-000030AB0000}"/>
    <cellStyle name="Normal 3 4 7 2 11 2" xfId="43834" xr:uid="{00000000-0005-0000-0000-000031AB0000}"/>
    <cellStyle name="Normal 3 4 7 2 11 3" xfId="43835" xr:uid="{00000000-0005-0000-0000-000032AB0000}"/>
    <cellStyle name="Normal 3 4 7 2 12" xfId="43836" xr:uid="{00000000-0005-0000-0000-000033AB0000}"/>
    <cellStyle name="Normal 3 4 7 2 12 2" xfId="43837" xr:uid="{00000000-0005-0000-0000-000034AB0000}"/>
    <cellStyle name="Normal 3 4 7 2 12 3" xfId="43838" xr:uid="{00000000-0005-0000-0000-000035AB0000}"/>
    <cellStyle name="Normal 3 4 7 2 13" xfId="43839" xr:uid="{00000000-0005-0000-0000-000036AB0000}"/>
    <cellStyle name="Normal 3 4 7 2 13 2" xfId="43840" xr:uid="{00000000-0005-0000-0000-000037AB0000}"/>
    <cellStyle name="Normal 3 4 7 2 13 3" xfId="43841" xr:uid="{00000000-0005-0000-0000-000038AB0000}"/>
    <cellStyle name="Normal 3 4 7 2 14" xfId="43842" xr:uid="{00000000-0005-0000-0000-000039AB0000}"/>
    <cellStyle name="Normal 3 4 7 2 14 2" xfId="43843" xr:uid="{00000000-0005-0000-0000-00003AAB0000}"/>
    <cellStyle name="Normal 3 4 7 2 14 3" xfId="43844" xr:uid="{00000000-0005-0000-0000-00003BAB0000}"/>
    <cellStyle name="Normal 3 4 7 2 15" xfId="43845" xr:uid="{00000000-0005-0000-0000-00003CAB0000}"/>
    <cellStyle name="Normal 3 4 7 2 15 2" xfId="43846" xr:uid="{00000000-0005-0000-0000-00003DAB0000}"/>
    <cellStyle name="Normal 3 4 7 2 15 3" xfId="43847" xr:uid="{00000000-0005-0000-0000-00003EAB0000}"/>
    <cellStyle name="Normal 3 4 7 2 16" xfId="43848" xr:uid="{00000000-0005-0000-0000-00003FAB0000}"/>
    <cellStyle name="Normal 3 4 7 2 17" xfId="43849" xr:uid="{00000000-0005-0000-0000-000040AB0000}"/>
    <cellStyle name="Normal 3 4 7 2 2" xfId="43850" xr:uid="{00000000-0005-0000-0000-000041AB0000}"/>
    <cellStyle name="Normal 3 4 7 2 2 10" xfId="43851" xr:uid="{00000000-0005-0000-0000-000042AB0000}"/>
    <cellStyle name="Normal 3 4 7 2 2 10 2" xfId="43852" xr:uid="{00000000-0005-0000-0000-000043AB0000}"/>
    <cellStyle name="Normal 3 4 7 2 2 10 3" xfId="43853" xr:uid="{00000000-0005-0000-0000-000044AB0000}"/>
    <cellStyle name="Normal 3 4 7 2 2 11" xfId="43854" xr:uid="{00000000-0005-0000-0000-000045AB0000}"/>
    <cellStyle name="Normal 3 4 7 2 2 11 2" xfId="43855" xr:uid="{00000000-0005-0000-0000-000046AB0000}"/>
    <cellStyle name="Normal 3 4 7 2 2 11 3" xfId="43856" xr:uid="{00000000-0005-0000-0000-000047AB0000}"/>
    <cellStyle name="Normal 3 4 7 2 2 12" xfId="43857" xr:uid="{00000000-0005-0000-0000-000048AB0000}"/>
    <cellStyle name="Normal 3 4 7 2 2 12 2" xfId="43858" xr:uid="{00000000-0005-0000-0000-000049AB0000}"/>
    <cellStyle name="Normal 3 4 7 2 2 12 3" xfId="43859" xr:uid="{00000000-0005-0000-0000-00004AAB0000}"/>
    <cellStyle name="Normal 3 4 7 2 2 13" xfId="43860" xr:uid="{00000000-0005-0000-0000-00004BAB0000}"/>
    <cellStyle name="Normal 3 4 7 2 2 13 2" xfId="43861" xr:uid="{00000000-0005-0000-0000-00004CAB0000}"/>
    <cellStyle name="Normal 3 4 7 2 2 13 3" xfId="43862" xr:uid="{00000000-0005-0000-0000-00004DAB0000}"/>
    <cellStyle name="Normal 3 4 7 2 2 14" xfId="43863" xr:uid="{00000000-0005-0000-0000-00004EAB0000}"/>
    <cellStyle name="Normal 3 4 7 2 2 14 2" xfId="43864" xr:uid="{00000000-0005-0000-0000-00004FAB0000}"/>
    <cellStyle name="Normal 3 4 7 2 2 14 3" xfId="43865" xr:uid="{00000000-0005-0000-0000-000050AB0000}"/>
    <cellStyle name="Normal 3 4 7 2 2 15" xfId="43866" xr:uid="{00000000-0005-0000-0000-000051AB0000}"/>
    <cellStyle name="Normal 3 4 7 2 2 16" xfId="43867" xr:uid="{00000000-0005-0000-0000-000052AB0000}"/>
    <cellStyle name="Normal 3 4 7 2 2 2" xfId="43868" xr:uid="{00000000-0005-0000-0000-000053AB0000}"/>
    <cellStyle name="Normal 3 4 7 2 2 2 2" xfId="43869" xr:uid="{00000000-0005-0000-0000-000054AB0000}"/>
    <cellStyle name="Normal 3 4 7 2 2 2 3" xfId="43870" xr:uid="{00000000-0005-0000-0000-000055AB0000}"/>
    <cellStyle name="Normal 3 4 7 2 2 3" xfId="43871" xr:uid="{00000000-0005-0000-0000-000056AB0000}"/>
    <cellStyle name="Normal 3 4 7 2 2 3 2" xfId="43872" xr:uid="{00000000-0005-0000-0000-000057AB0000}"/>
    <cellStyle name="Normal 3 4 7 2 2 3 3" xfId="43873" xr:uid="{00000000-0005-0000-0000-000058AB0000}"/>
    <cellStyle name="Normal 3 4 7 2 2 4" xfId="43874" xr:uid="{00000000-0005-0000-0000-000059AB0000}"/>
    <cellStyle name="Normal 3 4 7 2 2 4 2" xfId="43875" xr:uid="{00000000-0005-0000-0000-00005AAB0000}"/>
    <cellStyle name="Normal 3 4 7 2 2 4 3" xfId="43876" xr:uid="{00000000-0005-0000-0000-00005BAB0000}"/>
    <cellStyle name="Normal 3 4 7 2 2 5" xfId="43877" xr:uid="{00000000-0005-0000-0000-00005CAB0000}"/>
    <cellStyle name="Normal 3 4 7 2 2 5 2" xfId="43878" xr:uid="{00000000-0005-0000-0000-00005DAB0000}"/>
    <cellStyle name="Normal 3 4 7 2 2 5 3" xfId="43879" xr:uid="{00000000-0005-0000-0000-00005EAB0000}"/>
    <cellStyle name="Normal 3 4 7 2 2 6" xfId="43880" xr:uid="{00000000-0005-0000-0000-00005FAB0000}"/>
    <cellStyle name="Normal 3 4 7 2 2 6 2" xfId="43881" xr:uid="{00000000-0005-0000-0000-000060AB0000}"/>
    <cellStyle name="Normal 3 4 7 2 2 6 3" xfId="43882" xr:uid="{00000000-0005-0000-0000-000061AB0000}"/>
    <cellStyle name="Normal 3 4 7 2 2 7" xfId="43883" xr:uid="{00000000-0005-0000-0000-000062AB0000}"/>
    <cellStyle name="Normal 3 4 7 2 2 7 2" xfId="43884" xr:uid="{00000000-0005-0000-0000-000063AB0000}"/>
    <cellStyle name="Normal 3 4 7 2 2 7 3" xfId="43885" xr:uid="{00000000-0005-0000-0000-000064AB0000}"/>
    <cellStyle name="Normal 3 4 7 2 2 8" xfId="43886" xr:uid="{00000000-0005-0000-0000-000065AB0000}"/>
    <cellStyle name="Normal 3 4 7 2 2 8 2" xfId="43887" xr:uid="{00000000-0005-0000-0000-000066AB0000}"/>
    <cellStyle name="Normal 3 4 7 2 2 8 3" xfId="43888" xr:uid="{00000000-0005-0000-0000-000067AB0000}"/>
    <cellStyle name="Normal 3 4 7 2 2 9" xfId="43889" xr:uid="{00000000-0005-0000-0000-000068AB0000}"/>
    <cellStyle name="Normal 3 4 7 2 2 9 2" xfId="43890" xr:uid="{00000000-0005-0000-0000-000069AB0000}"/>
    <cellStyle name="Normal 3 4 7 2 2 9 3" xfId="43891" xr:uid="{00000000-0005-0000-0000-00006AAB0000}"/>
    <cellStyle name="Normal 3 4 7 2 3" xfId="43892" xr:uid="{00000000-0005-0000-0000-00006BAB0000}"/>
    <cellStyle name="Normal 3 4 7 2 3 2" xfId="43893" xr:uid="{00000000-0005-0000-0000-00006CAB0000}"/>
    <cellStyle name="Normal 3 4 7 2 3 3" xfId="43894" xr:uid="{00000000-0005-0000-0000-00006DAB0000}"/>
    <cellStyle name="Normal 3 4 7 2 4" xfId="43895" xr:uid="{00000000-0005-0000-0000-00006EAB0000}"/>
    <cellStyle name="Normal 3 4 7 2 4 2" xfId="43896" xr:uid="{00000000-0005-0000-0000-00006FAB0000}"/>
    <cellStyle name="Normal 3 4 7 2 4 3" xfId="43897" xr:uid="{00000000-0005-0000-0000-000070AB0000}"/>
    <cellStyle name="Normal 3 4 7 2 5" xfId="43898" xr:uid="{00000000-0005-0000-0000-000071AB0000}"/>
    <cellStyle name="Normal 3 4 7 2 5 2" xfId="43899" xr:uid="{00000000-0005-0000-0000-000072AB0000}"/>
    <cellStyle name="Normal 3 4 7 2 5 3" xfId="43900" xr:uid="{00000000-0005-0000-0000-000073AB0000}"/>
    <cellStyle name="Normal 3 4 7 2 6" xfId="43901" xr:uid="{00000000-0005-0000-0000-000074AB0000}"/>
    <cellStyle name="Normal 3 4 7 2 6 2" xfId="43902" xr:uid="{00000000-0005-0000-0000-000075AB0000}"/>
    <cellStyle name="Normal 3 4 7 2 6 3" xfId="43903" xr:uid="{00000000-0005-0000-0000-000076AB0000}"/>
    <cellStyle name="Normal 3 4 7 2 7" xfId="43904" xr:uid="{00000000-0005-0000-0000-000077AB0000}"/>
    <cellStyle name="Normal 3 4 7 2 7 2" xfId="43905" xr:uid="{00000000-0005-0000-0000-000078AB0000}"/>
    <cellStyle name="Normal 3 4 7 2 7 3" xfId="43906" xr:uid="{00000000-0005-0000-0000-000079AB0000}"/>
    <cellStyle name="Normal 3 4 7 2 8" xfId="43907" xr:uid="{00000000-0005-0000-0000-00007AAB0000}"/>
    <cellStyle name="Normal 3 4 7 2 8 2" xfId="43908" xr:uid="{00000000-0005-0000-0000-00007BAB0000}"/>
    <cellStyle name="Normal 3 4 7 2 8 3" xfId="43909" xr:uid="{00000000-0005-0000-0000-00007CAB0000}"/>
    <cellStyle name="Normal 3 4 7 2 9" xfId="43910" xr:uid="{00000000-0005-0000-0000-00007DAB0000}"/>
    <cellStyle name="Normal 3 4 7 2 9 2" xfId="43911" xr:uid="{00000000-0005-0000-0000-00007EAB0000}"/>
    <cellStyle name="Normal 3 4 7 2 9 3" xfId="43912" xr:uid="{00000000-0005-0000-0000-00007FAB0000}"/>
    <cellStyle name="Normal 3 4 7 20" xfId="43913" xr:uid="{00000000-0005-0000-0000-000080AB0000}"/>
    <cellStyle name="Normal 3 4 7 20 2" xfId="43914" xr:uid="{00000000-0005-0000-0000-000081AB0000}"/>
    <cellStyle name="Normal 3 4 7 20 3" xfId="43915" xr:uid="{00000000-0005-0000-0000-000082AB0000}"/>
    <cellStyle name="Normal 3 4 7 21" xfId="43916" xr:uid="{00000000-0005-0000-0000-000083AB0000}"/>
    <cellStyle name="Normal 3 4 7 21 2" xfId="43917" xr:uid="{00000000-0005-0000-0000-000084AB0000}"/>
    <cellStyle name="Normal 3 4 7 21 3" xfId="43918" xr:uid="{00000000-0005-0000-0000-000085AB0000}"/>
    <cellStyle name="Normal 3 4 7 22" xfId="43919" xr:uid="{00000000-0005-0000-0000-000086AB0000}"/>
    <cellStyle name="Normal 3 4 7 22 2" xfId="43920" xr:uid="{00000000-0005-0000-0000-000087AB0000}"/>
    <cellStyle name="Normal 3 4 7 22 3" xfId="43921" xr:uid="{00000000-0005-0000-0000-000088AB0000}"/>
    <cellStyle name="Normal 3 4 7 23" xfId="43922" xr:uid="{00000000-0005-0000-0000-000089AB0000}"/>
    <cellStyle name="Normal 3 4 7 23 2" xfId="43923" xr:uid="{00000000-0005-0000-0000-00008AAB0000}"/>
    <cellStyle name="Normal 3 4 7 23 3" xfId="43924" xr:uid="{00000000-0005-0000-0000-00008BAB0000}"/>
    <cellStyle name="Normal 3 4 7 24" xfId="43925" xr:uid="{00000000-0005-0000-0000-00008CAB0000}"/>
    <cellStyle name="Normal 3 4 7 25" xfId="43926" xr:uid="{00000000-0005-0000-0000-00008DAB0000}"/>
    <cellStyle name="Normal 3 4 7 3" xfId="43927" xr:uid="{00000000-0005-0000-0000-00008EAB0000}"/>
    <cellStyle name="Normal 3 4 7 3 10" xfId="43928" xr:uid="{00000000-0005-0000-0000-00008FAB0000}"/>
    <cellStyle name="Normal 3 4 7 3 10 2" xfId="43929" xr:uid="{00000000-0005-0000-0000-000090AB0000}"/>
    <cellStyle name="Normal 3 4 7 3 10 3" xfId="43930" xr:uid="{00000000-0005-0000-0000-000091AB0000}"/>
    <cellStyle name="Normal 3 4 7 3 11" xfId="43931" xr:uid="{00000000-0005-0000-0000-000092AB0000}"/>
    <cellStyle name="Normal 3 4 7 3 11 2" xfId="43932" xr:uid="{00000000-0005-0000-0000-000093AB0000}"/>
    <cellStyle name="Normal 3 4 7 3 11 3" xfId="43933" xr:uid="{00000000-0005-0000-0000-000094AB0000}"/>
    <cellStyle name="Normal 3 4 7 3 12" xfId="43934" xr:uid="{00000000-0005-0000-0000-000095AB0000}"/>
    <cellStyle name="Normal 3 4 7 3 12 2" xfId="43935" xr:uid="{00000000-0005-0000-0000-000096AB0000}"/>
    <cellStyle name="Normal 3 4 7 3 12 3" xfId="43936" xr:uid="{00000000-0005-0000-0000-000097AB0000}"/>
    <cellStyle name="Normal 3 4 7 3 13" xfId="43937" xr:uid="{00000000-0005-0000-0000-000098AB0000}"/>
    <cellStyle name="Normal 3 4 7 3 13 2" xfId="43938" xr:uid="{00000000-0005-0000-0000-000099AB0000}"/>
    <cellStyle name="Normal 3 4 7 3 13 3" xfId="43939" xr:uid="{00000000-0005-0000-0000-00009AAB0000}"/>
    <cellStyle name="Normal 3 4 7 3 14" xfId="43940" xr:uid="{00000000-0005-0000-0000-00009BAB0000}"/>
    <cellStyle name="Normal 3 4 7 3 14 2" xfId="43941" xr:uid="{00000000-0005-0000-0000-00009CAB0000}"/>
    <cellStyle name="Normal 3 4 7 3 14 3" xfId="43942" xr:uid="{00000000-0005-0000-0000-00009DAB0000}"/>
    <cellStyle name="Normal 3 4 7 3 15" xfId="43943" xr:uid="{00000000-0005-0000-0000-00009EAB0000}"/>
    <cellStyle name="Normal 3 4 7 3 15 2" xfId="43944" xr:uid="{00000000-0005-0000-0000-00009FAB0000}"/>
    <cellStyle name="Normal 3 4 7 3 15 3" xfId="43945" xr:uid="{00000000-0005-0000-0000-0000A0AB0000}"/>
    <cellStyle name="Normal 3 4 7 3 16" xfId="43946" xr:uid="{00000000-0005-0000-0000-0000A1AB0000}"/>
    <cellStyle name="Normal 3 4 7 3 17" xfId="43947" xr:uid="{00000000-0005-0000-0000-0000A2AB0000}"/>
    <cellStyle name="Normal 3 4 7 3 2" xfId="43948" xr:uid="{00000000-0005-0000-0000-0000A3AB0000}"/>
    <cellStyle name="Normal 3 4 7 3 2 10" xfId="43949" xr:uid="{00000000-0005-0000-0000-0000A4AB0000}"/>
    <cellStyle name="Normal 3 4 7 3 2 10 2" xfId="43950" xr:uid="{00000000-0005-0000-0000-0000A5AB0000}"/>
    <cellStyle name="Normal 3 4 7 3 2 10 3" xfId="43951" xr:uid="{00000000-0005-0000-0000-0000A6AB0000}"/>
    <cellStyle name="Normal 3 4 7 3 2 11" xfId="43952" xr:uid="{00000000-0005-0000-0000-0000A7AB0000}"/>
    <cellStyle name="Normal 3 4 7 3 2 11 2" xfId="43953" xr:uid="{00000000-0005-0000-0000-0000A8AB0000}"/>
    <cellStyle name="Normal 3 4 7 3 2 11 3" xfId="43954" xr:uid="{00000000-0005-0000-0000-0000A9AB0000}"/>
    <cellStyle name="Normal 3 4 7 3 2 12" xfId="43955" xr:uid="{00000000-0005-0000-0000-0000AAAB0000}"/>
    <cellStyle name="Normal 3 4 7 3 2 12 2" xfId="43956" xr:uid="{00000000-0005-0000-0000-0000ABAB0000}"/>
    <cellStyle name="Normal 3 4 7 3 2 12 3" xfId="43957" xr:uid="{00000000-0005-0000-0000-0000ACAB0000}"/>
    <cellStyle name="Normal 3 4 7 3 2 13" xfId="43958" xr:uid="{00000000-0005-0000-0000-0000ADAB0000}"/>
    <cellStyle name="Normal 3 4 7 3 2 13 2" xfId="43959" xr:uid="{00000000-0005-0000-0000-0000AEAB0000}"/>
    <cellStyle name="Normal 3 4 7 3 2 13 3" xfId="43960" xr:uid="{00000000-0005-0000-0000-0000AFAB0000}"/>
    <cellStyle name="Normal 3 4 7 3 2 14" xfId="43961" xr:uid="{00000000-0005-0000-0000-0000B0AB0000}"/>
    <cellStyle name="Normal 3 4 7 3 2 14 2" xfId="43962" xr:uid="{00000000-0005-0000-0000-0000B1AB0000}"/>
    <cellStyle name="Normal 3 4 7 3 2 14 3" xfId="43963" xr:uid="{00000000-0005-0000-0000-0000B2AB0000}"/>
    <cellStyle name="Normal 3 4 7 3 2 15" xfId="43964" xr:uid="{00000000-0005-0000-0000-0000B3AB0000}"/>
    <cellStyle name="Normal 3 4 7 3 2 16" xfId="43965" xr:uid="{00000000-0005-0000-0000-0000B4AB0000}"/>
    <cellStyle name="Normal 3 4 7 3 2 2" xfId="43966" xr:uid="{00000000-0005-0000-0000-0000B5AB0000}"/>
    <cellStyle name="Normal 3 4 7 3 2 2 2" xfId="43967" xr:uid="{00000000-0005-0000-0000-0000B6AB0000}"/>
    <cellStyle name="Normal 3 4 7 3 2 2 3" xfId="43968" xr:uid="{00000000-0005-0000-0000-0000B7AB0000}"/>
    <cellStyle name="Normal 3 4 7 3 2 3" xfId="43969" xr:uid="{00000000-0005-0000-0000-0000B8AB0000}"/>
    <cellStyle name="Normal 3 4 7 3 2 3 2" xfId="43970" xr:uid="{00000000-0005-0000-0000-0000B9AB0000}"/>
    <cellStyle name="Normal 3 4 7 3 2 3 3" xfId="43971" xr:uid="{00000000-0005-0000-0000-0000BAAB0000}"/>
    <cellStyle name="Normal 3 4 7 3 2 4" xfId="43972" xr:uid="{00000000-0005-0000-0000-0000BBAB0000}"/>
    <cellStyle name="Normal 3 4 7 3 2 4 2" xfId="43973" xr:uid="{00000000-0005-0000-0000-0000BCAB0000}"/>
    <cellStyle name="Normal 3 4 7 3 2 4 3" xfId="43974" xr:uid="{00000000-0005-0000-0000-0000BDAB0000}"/>
    <cellStyle name="Normal 3 4 7 3 2 5" xfId="43975" xr:uid="{00000000-0005-0000-0000-0000BEAB0000}"/>
    <cellStyle name="Normal 3 4 7 3 2 5 2" xfId="43976" xr:uid="{00000000-0005-0000-0000-0000BFAB0000}"/>
    <cellStyle name="Normal 3 4 7 3 2 5 3" xfId="43977" xr:uid="{00000000-0005-0000-0000-0000C0AB0000}"/>
    <cellStyle name="Normal 3 4 7 3 2 6" xfId="43978" xr:uid="{00000000-0005-0000-0000-0000C1AB0000}"/>
    <cellStyle name="Normal 3 4 7 3 2 6 2" xfId="43979" xr:uid="{00000000-0005-0000-0000-0000C2AB0000}"/>
    <cellStyle name="Normal 3 4 7 3 2 6 3" xfId="43980" xr:uid="{00000000-0005-0000-0000-0000C3AB0000}"/>
    <cellStyle name="Normal 3 4 7 3 2 7" xfId="43981" xr:uid="{00000000-0005-0000-0000-0000C4AB0000}"/>
    <cellStyle name="Normal 3 4 7 3 2 7 2" xfId="43982" xr:uid="{00000000-0005-0000-0000-0000C5AB0000}"/>
    <cellStyle name="Normal 3 4 7 3 2 7 3" xfId="43983" xr:uid="{00000000-0005-0000-0000-0000C6AB0000}"/>
    <cellStyle name="Normal 3 4 7 3 2 8" xfId="43984" xr:uid="{00000000-0005-0000-0000-0000C7AB0000}"/>
    <cellStyle name="Normal 3 4 7 3 2 8 2" xfId="43985" xr:uid="{00000000-0005-0000-0000-0000C8AB0000}"/>
    <cellStyle name="Normal 3 4 7 3 2 8 3" xfId="43986" xr:uid="{00000000-0005-0000-0000-0000C9AB0000}"/>
    <cellStyle name="Normal 3 4 7 3 2 9" xfId="43987" xr:uid="{00000000-0005-0000-0000-0000CAAB0000}"/>
    <cellStyle name="Normal 3 4 7 3 2 9 2" xfId="43988" xr:uid="{00000000-0005-0000-0000-0000CBAB0000}"/>
    <cellStyle name="Normal 3 4 7 3 2 9 3" xfId="43989" xr:uid="{00000000-0005-0000-0000-0000CCAB0000}"/>
    <cellStyle name="Normal 3 4 7 3 3" xfId="43990" xr:uid="{00000000-0005-0000-0000-0000CDAB0000}"/>
    <cellStyle name="Normal 3 4 7 3 3 2" xfId="43991" xr:uid="{00000000-0005-0000-0000-0000CEAB0000}"/>
    <cellStyle name="Normal 3 4 7 3 3 3" xfId="43992" xr:uid="{00000000-0005-0000-0000-0000CFAB0000}"/>
    <cellStyle name="Normal 3 4 7 3 4" xfId="43993" xr:uid="{00000000-0005-0000-0000-0000D0AB0000}"/>
    <cellStyle name="Normal 3 4 7 3 4 2" xfId="43994" xr:uid="{00000000-0005-0000-0000-0000D1AB0000}"/>
    <cellStyle name="Normal 3 4 7 3 4 3" xfId="43995" xr:uid="{00000000-0005-0000-0000-0000D2AB0000}"/>
    <cellStyle name="Normal 3 4 7 3 5" xfId="43996" xr:uid="{00000000-0005-0000-0000-0000D3AB0000}"/>
    <cellStyle name="Normal 3 4 7 3 5 2" xfId="43997" xr:uid="{00000000-0005-0000-0000-0000D4AB0000}"/>
    <cellStyle name="Normal 3 4 7 3 5 3" xfId="43998" xr:uid="{00000000-0005-0000-0000-0000D5AB0000}"/>
    <cellStyle name="Normal 3 4 7 3 6" xfId="43999" xr:uid="{00000000-0005-0000-0000-0000D6AB0000}"/>
    <cellStyle name="Normal 3 4 7 3 6 2" xfId="44000" xr:uid="{00000000-0005-0000-0000-0000D7AB0000}"/>
    <cellStyle name="Normal 3 4 7 3 6 3" xfId="44001" xr:uid="{00000000-0005-0000-0000-0000D8AB0000}"/>
    <cellStyle name="Normal 3 4 7 3 7" xfId="44002" xr:uid="{00000000-0005-0000-0000-0000D9AB0000}"/>
    <cellStyle name="Normal 3 4 7 3 7 2" xfId="44003" xr:uid="{00000000-0005-0000-0000-0000DAAB0000}"/>
    <cellStyle name="Normal 3 4 7 3 7 3" xfId="44004" xr:uid="{00000000-0005-0000-0000-0000DBAB0000}"/>
    <cellStyle name="Normal 3 4 7 3 8" xfId="44005" xr:uid="{00000000-0005-0000-0000-0000DCAB0000}"/>
    <cellStyle name="Normal 3 4 7 3 8 2" xfId="44006" xr:uid="{00000000-0005-0000-0000-0000DDAB0000}"/>
    <cellStyle name="Normal 3 4 7 3 8 3" xfId="44007" xr:uid="{00000000-0005-0000-0000-0000DEAB0000}"/>
    <cellStyle name="Normal 3 4 7 3 9" xfId="44008" xr:uid="{00000000-0005-0000-0000-0000DFAB0000}"/>
    <cellStyle name="Normal 3 4 7 3 9 2" xfId="44009" xr:uid="{00000000-0005-0000-0000-0000E0AB0000}"/>
    <cellStyle name="Normal 3 4 7 3 9 3" xfId="44010" xr:uid="{00000000-0005-0000-0000-0000E1AB0000}"/>
    <cellStyle name="Normal 3 4 7 4" xfId="44011" xr:uid="{00000000-0005-0000-0000-0000E2AB0000}"/>
    <cellStyle name="Normal 3 4 7 4 10" xfId="44012" xr:uid="{00000000-0005-0000-0000-0000E3AB0000}"/>
    <cellStyle name="Normal 3 4 7 4 10 2" xfId="44013" xr:uid="{00000000-0005-0000-0000-0000E4AB0000}"/>
    <cellStyle name="Normal 3 4 7 4 10 3" xfId="44014" xr:uid="{00000000-0005-0000-0000-0000E5AB0000}"/>
    <cellStyle name="Normal 3 4 7 4 11" xfId="44015" xr:uid="{00000000-0005-0000-0000-0000E6AB0000}"/>
    <cellStyle name="Normal 3 4 7 4 11 2" xfId="44016" xr:uid="{00000000-0005-0000-0000-0000E7AB0000}"/>
    <cellStyle name="Normal 3 4 7 4 11 3" xfId="44017" xr:uid="{00000000-0005-0000-0000-0000E8AB0000}"/>
    <cellStyle name="Normal 3 4 7 4 12" xfId="44018" xr:uid="{00000000-0005-0000-0000-0000E9AB0000}"/>
    <cellStyle name="Normal 3 4 7 4 12 2" xfId="44019" xr:uid="{00000000-0005-0000-0000-0000EAAB0000}"/>
    <cellStyle name="Normal 3 4 7 4 12 3" xfId="44020" xr:uid="{00000000-0005-0000-0000-0000EBAB0000}"/>
    <cellStyle name="Normal 3 4 7 4 13" xfId="44021" xr:uid="{00000000-0005-0000-0000-0000ECAB0000}"/>
    <cellStyle name="Normal 3 4 7 4 13 2" xfId="44022" xr:uid="{00000000-0005-0000-0000-0000EDAB0000}"/>
    <cellStyle name="Normal 3 4 7 4 13 3" xfId="44023" xr:uid="{00000000-0005-0000-0000-0000EEAB0000}"/>
    <cellStyle name="Normal 3 4 7 4 14" xfId="44024" xr:uid="{00000000-0005-0000-0000-0000EFAB0000}"/>
    <cellStyle name="Normal 3 4 7 4 14 2" xfId="44025" xr:uid="{00000000-0005-0000-0000-0000F0AB0000}"/>
    <cellStyle name="Normal 3 4 7 4 14 3" xfId="44026" xr:uid="{00000000-0005-0000-0000-0000F1AB0000}"/>
    <cellStyle name="Normal 3 4 7 4 15" xfId="44027" xr:uid="{00000000-0005-0000-0000-0000F2AB0000}"/>
    <cellStyle name="Normal 3 4 7 4 15 2" xfId="44028" xr:uid="{00000000-0005-0000-0000-0000F3AB0000}"/>
    <cellStyle name="Normal 3 4 7 4 15 3" xfId="44029" xr:uid="{00000000-0005-0000-0000-0000F4AB0000}"/>
    <cellStyle name="Normal 3 4 7 4 16" xfId="44030" xr:uid="{00000000-0005-0000-0000-0000F5AB0000}"/>
    <cellStyle name="Normal 3 4 7 4 17" xfId="44031" xr:uid="{00000000-0005-0000-0000-0000F6AB0000}"/>
    <cellStyle name="Normal 3 4 7 4 2" xfId="44032" xr:uid="{00000000-0005-0000-0000-0000F7AB0000}"/>
    <cellStyle name="Normal 3 4 7 4 2 10" xfId="44033" xr:uid="{00000000-0005-0000-0000-0000F8AB0000}"/>
    <cellStyle name="Normal 3 4 7 4 2 10 2" xfId="44034" xr:uid="{00000000-0005-0000-0000-0000F9AB0000}"/>
    <cellStyle name="Normal 3 4 7 4 2 10 3" xfId="44035" xr:uid="{00000000-0005-0000-0000-0000FAAB0000}"/>
    <cellStyle name="Normal 3 4 7 4 2 11" xfId="44036" xr:uid="{00000000-0005-0000-0000-0000FBAB0000}"/>
    <cellStyle name="Normal 3 4 7 4 2 11 2" xfId="44037" xr:uid="{00000000-0005-0000-0000-0000FCAB0000}"/>
    <cellStyle name="Normal 3 4 7 4 2 11 3" xfId="44038" xr:uid="{00000000-0005-0000-0000-0000FDAB0000}"/>
    <cellStyle name="Normal 3 4 7 4 2 12" xfId="44039" xr:uid="{00000000-0005-0000-0000-0000FEAB0000}"/>
    <cellStyle name="Normal 3 4 7 4 2 12 2" xfId="44040" xr:uid="{00000000-0005-0000-0000-0000FFAB0000}"/>
    <cellStyle name="Normal 3 4 7 4 2 12 3" xfId="44041" xr:uid="{00000000-0005-0000-0000-000000AC0000}"/>
    <cellStyle name="Normal 3 4 7 4 2 13" xfId="44042" xr:uid="{00000000-0005-0000-0000-000001AC0000}"/>
    <cellStyle name="Normal 3 4 7 4 2 13 2" xfId="44043" xr:uid="{00000000-0005-0000-0000-000002AC0000}"/>
    <cellStyle name="Normal 3 4 7 4 2 13 3" xfId="44044" xr:uid="{00000000-0005-0000-0000-000003AC0000}"/>
    <cellStyle name="Normal 3 4 7 4 2 14" xfId="44045" xr:uid="{00000000-0005-0000-0000-000004AC0000}"/>
    <cellStyle name="Normal 3 4 7 4 2 14 2" xfId="44046" xr:uid="{00000000-0005-0000-0000-000005AC0000}"/>
    <cellStyle name="Normal 3 4 7 4 2 14 3" xfId="44047" xr:uid="{00000000-0005-0000-0000-000006AC0000}"/>
    <cellStyle name="Normal 3 4 7 4 2 15" xfId="44048" xr:uid="{00000000-0005-0000-0000-000007AC0000}"/>
    <cellStyle name="Normal 3 4 7 4 2 16" xfId="44049" xr:uid="{00000000-0005-0000-0000-000008AC0000}"/>
    <cellStyle name="Normal 3 4 7 4 2 2" xfId="44050" xr:uid="{00000000-0005-0000-0000-000009AC0000}"/>
    <cellStyle name="Normal 3 4 7 4 2 2 2" xfId="44051" xr:uid="{00000000-0005-0000-0000-00000AAC0000}"/>
    <cellStyle name="Normal 3 4 7 4 2 2 3" xfId="44052" xr:uid="{00000000-0005-0000-0000-00000BAC0000}"/>
    <cellStyle name="Normal 3 4 7 4 2 3" xfId="44053" xr:uid="{00000000-0005-0000-0000-00000CAC0000}"/>
    <cellStyle name="Normal 3 4 7 4 2 3 2" xfId="44054" xr:uid="{00000000-0005-0000-0000-00000DAC0000}"/>
    <cellStyle name="Normal 3 4 7 4 2 3 3" xfId="44055" xr:uid="{00000000-0005-0000-0000-00000EAC0000}"/>
    <cellStyle name="Normal 3 4 7 4 2 4" xfId="44056" xr:uid="{00000000-0005-0000-0000-00000FAC0000}"/>
    <cellStyle name="Normal 3 4 7 4 2 4 2" xfId="44057" xr:uid="{00000000-0005-0000-0000-000010AC0000}"/>
    <cellStyle name="Normal 3 4 7 4 2 4 3" xfId="44058" xr:uid="{00000000-0005-0000-0000-000011AC0000}"/>
    <cellStyle name="Normal 3 4 7 4 2 5" xfId="44059" xr:uid="{00000000-0005-0000-0000-000012AC0000}"/>
    <cellStyle name="Normal 3 4 7 4 2 5 2" xfId="44060" xr:uid="{00000000-0005-0000-0000-000013AC0000}"/>
    <cellStyle name="Normal 3 4 7 4 2 5 3" xfId="44061" xr:uid="{00000000-0005-0000-0000-000014AC0000}"/>
    <cellStyle name="Normal 3 4 7 4 2 6" xfId="44062" xr:uid="{00000000-0005-0000-0000-000015AC0000}"/>
    <cellStyle name="Normal 3 4 7 4 2 6 2" xfId="44063" xr:uid="{00000000-0005-0000-0000-000016AC0000}"/>
    <cellStyle name="Normal 3 4 7 4 2 6 3" xfId="44064" xr:uid="{00000000-0005-0000-0000-000017AC0000}"/>
    <cellStyle name="Normal 3 4 7 4 2 7" xfId="44065" xr:uid="{00000000-0005-0000-0000-000018AC0000}"/>
    <cellStyle name="Normal 3 4 7 4 2 7 2" xfId="44066" xr:uid="{00000000-0005-0000-0000-000019AC0000}"/>
    <cellStyle name="Normal 3 4 7 4 2 7 3" xfId="44067" xr:uid="{00000000-0005-0000-0000-00001AAC0000}"/>
    <cellStyle name="Normal 3 4 7 4 2 8" xfId="44068" xr:uid="{00000000-0005-0000-0000-00001BAC0000}"/>
    <cellStyle name="Normal 3 4 7 4 2 8 2" xfId="44069" xr:uid="{00000000-0005-0000-0000-00001CAC0000}"/>
    <cellStyle name="Normal 3 4 7 4 2 8 3" xfId="44070" xr:uid="{00000000-0005-0000-0000-00001DAC0000}"/>
    <cellStyle name="Normal 3 4 7 4 2 9" xfId="44071" xr:uid="{00000000-0005-0000-0000-00001EAC0000}"/>
    <cellStyle name="Normal 3 4 7 4 2 9 2" xfId="44072" xr:uid="{00000000-0005-0000-0000-00001FAC0000}"/>
    <cellStyle name="Normal 3 4 7 4 2 9 3" xfId="44073" xr:uid="{00000000-0005-0000-0000-000020AC0000}"/>
    <cellStyle name="Normal 3 4 7 4 3" xfId="44074" xr:uid="{00000000-0005-0000-0000-000021AC0000}"/>
    <cellStyle name="Normal 3 4 7 4 3 2" xfId="44075" xr:uid="{00000000-0005-0000-0000-000022AC0000}"/>
    <cellStyle name="Normal 3 4 7 4 3 3" xfId="44076" xr:uid="{00000000-0005-0000-0000-000023AC0000}"/>
    <cellStyle name="Normal 3 4 7 4 4" xfId="44077" xr:uid="{00000000-0005-0000-0000-000024AC0000}"/>
    <cellStyle name="Normal 3 4 7 4 4 2" xfId="44078" xr:uid="{00000000-0005-0000-0000-000025AC0000}"/>
    <cellStyle name="Normal 3 4 7 4 4 3" xfId="44079" xr:uid="{00000000-0005-0000-0000-000026AC0000}"/>
    <cellStyle name="Normal 3 4 7 4 5" xfId="44080" xr:uid="{00000000-0005-0000-0000-000027AC0000}"/>
    <cellStyle name="Normal 3 4 7 4 5 2" xfId="44081" xr:uid="{00000000-0005-0000-0000-000028AC0000}"/>
    <cellStyle name="Normal 3 4 7 4 5 3" xfId="44082" xr:uid="{00000000-0005-0000-0000-000029AC0000}"/>
    <cellStyle name="Normal 3 4 7 4 6" xfId="44083" xr:uid="{00000000-0005-0000-0000-00002AAC0000}"/>
    <cellStyle name="Normal 3 4 7 4 6 2" xfId="44084" xr:uid="{00000000-0005-0000-0000-00002BAC0000}"/>
    <cellStyle name="Normal 3 4 7 4 6 3" xfId="44085" xr:uid="{00000000-0005-0000-0000-00002CAC0000}"/>
    <cellStyle name="Normal 3 4 7 4 7" xfId="44086" xr:uid="{00000000-0005-0000-0000-00002DAC0000}"/>
    <cellStyle name="Normal 3 4 7 4 7 2" xfId="44087" xr:uid="{00000000-0005-0000-0000-00002EAC0000}"/>
    <cellStyle name="Normal 3 4 7 4 7 3" xfId="44088" xr:uid="{00000000-0005-0000-0000-00002FAC0000}"/>
    <cellStyle name="Normal 3 4 7 4 8" xfId="44089" xr:uid="{00000000-0005-0000-0000-000030AC0000}"/>
    <cellStyle name="Normal 3 4 7 4 8 2" xfId="44090" xr:uid="{00000000-0005-0000-0000-000031AC0000}"/>
    <cellStyle name="Normal 3 4 7 4 8 3" xfId="44091" xr:uid="{00000000-0005-0000-0000-000032AC0000}"/>
    <cellStyle name="Normal 3 4 7 4 9" xfId="44092" xr:uid="{00000000-0005-0000-0000-000033AC0000}"/>
    <cellStyle name="Normal 3 4 7 4 9 2" xfId="44093" xr:uid="{00000000-0005-0000-0000-000034AC0000}"/>
    <cellStyle name="Normal 3 4 7 4 9 3" xfId="44094" xr:uid="{00000000-0005-0000-0000-000035AC0000}"/>
    <cellStyle name="Normal 3 4 7 5" xfId="44095" xr:uid="{00000000-0005-0000-0000-000036AC0000}"/>
    <cellStyle name="Normal 3 4 7 5 10" xfId="44096" xr:uid="{00000000-0005-0000-0000-000037AC0000}"/>
    <cellStyle name="Normal 3 4 7 5 10 2" xfId="44097" xr:uid="{00000000-0005-0000-0000-000038AC0000}"/>
    <cellStyle name="Normal 3 4 7 5 10 3" xfId="44098" xr:uid="{00000000-0005-0000-0000-000039AC0000}"/>
    <cellStyle name="Normal 3 4 7 5 11" xfId="44099" xr:uid="{00000000-0005-0000-0000-00003AAC0000}"/>
    <cellStyle name="Normal 3 4 7 5 11 2" xfId="44100" xr:uid="{00000000-0005-0000-0000-00003BAC0000}"/>
    <cellStyle name="Normal 3 4 7 5 11 3" xfId="44101" xr:uid="{00000000-0005-0000-0000-00003CAC0000}"/>
    <cellStyle name="Normal 3 4 7 5 12" xfId="44102" xr:uid="{00000000-0005-0000-0000-00003DAC0000}"/>
    <cellStyle name="Normal 3 4 7 5 12 2" xfId="44103" xr:uid="{00000000-0005-0000-0000-00003EAC0000}"/>
    <cellStyle name="Normal 3 4 7 5 12 3" xfId="44104" xr:uid="{00000000-0005-0000-0000-00003FAC0000}"/>
    <cellStyle name="Normal 3 4 7 5 13" xfId="44105" xr:uid="{00000000-0005-0000-0000-000040AC0000}"/>
    <cellStyle name="Normal 3 4 7 5 13 2" xfId="44106" xr:uid="{00000000-0005-0000-0000-000041AC0000}"/>
    <cellStyle name="Normal 3 4 7 5 13 3" xfId="44107" xr:uid="{00000000-0005-0000-0000-000042AC0000}"/>
    <cellStyle name="Normal 3 4 7 5 14" xfId="44108" xr:uid="{00000000-0005-0000-0000-000043AC0000}"/>
    <cellStyle name="Normal 3 4 7 5 14 2" xfId="44109" xr:uid="{00000000-0005-0000-0000-000044AC0000}"/>
    <cellStyle name="Normal 3 4 7 5 14 3" xfId="44110" xr:uid="{00000000-0005-0000-0000-000045AC0000}"/>
    <cellStyle name="Normal 3 4 7 5 15" xfId="44111" xr:uid="{00000000-0005-0000-0000-000046AC0000}"/>
    <cellStyle name="Normal 3 4 7 5 16" xfId="44112" xr:uid="{00000000-0005-0000-0000-000047AC0000}"/>
    <cellStyle name="Normal 3 4 7 5 2" xfId="44113" xr:uid="{00000000-0005-0000-0000-000048AC0000}"/>
    <cellStyle name="Normal 3 4 7 5 2 2" xfId="44114" xr:uid="{00000000-0005-0000-0000-000049AC0000}"/>
    <cellStyle name="Normal 3 4 7 5 2 3" xfId="44115" xr:uid="{00000000-0005-0000-0000-00004AAC0000}"/>
    <cellStyle name="Normal 3 4 7 5 3" xfId="44116" xr:uid="{00000000-0005-0000-0000-00004BAC0000}"/>
    <cellStyle name="Normal 3 4 7 5 3 2" xfId="44117" xr:uid="{00000000-0005-0000-0000-00004CAC0000}"/>
    <cellStyle name="Normal 3 4 7 5 3 3" xfId="44118" xr:uid="{00000000-0005-0000-0000-00004DAC0000}"/>
    <cellStyle name="Normal 3 4 7 5 4" xfId="44119" xr:uid="{00000000-0005-0000-0000-00004EAC0000}"/>
    <cellStyle name="Normal 3 4 7 5 4 2" xfId="44120" xr:uid="{00000000-0005-0000-0000-00004FAC0000}"/>
    <cellStyle name="Normal 3 4 7 5 4 3" xfId="44121" xr:uid="{00000000-0005-0000-0000-000050AC0000}"/>
    <cellStyle name="Normal 3 4 7 5 5" xfId="44122" xr:uid="{00000000-0005-0000-0000-000051AC0000}"/>
    <cellStyle name="Normal 3 4 7 5 5 2" xfId="44123" xr:uid="{00000000-0005-0000-0000-000052AC0000}"/>
    <cellStyle name="Normal 3 4 7 5 5 3" xfId="44124" xr:uid="{00000000-0005-0000-0000-000053AC0000}"/>
    <cellStyle name="Normal 3 4 7 5 6" xfId="44125" xr:uid="{00000000-0005-0000-0000-000054AC0000}"/>
    <cellStyle name="Normal 3 4 7 5 6 2" xfId="44126" xr:uid="{00000000-0005-0000-0000-000055AC0000}"/>
    <cellStyle name="Normal 3 4 7 5 6 3" xfId="44127" xr:uid="{00000000-0005-0000-0000-000056AC0000}"/>
    <cellStyle name="Normal 3 4 7 5 7" xfId="44128" xr:uid="{00000000-0005-0000-0000-000057AC0000}"/>
    <cellStyle name="Normal 3 4 7 5 7 2" xfId="44129" xr:uid="{00000000-0005-0000-0000-000058AC0000}"/>
    <cellStyle name="Normal 3 4 7 5 7 3" xfId="44130" xr:uid="{00000000-0005-0000-0000-000059AC0000}"/>
    <cellStyle name="Normal 3 4 7 5 8" xfId="44131" xr:uid="{00000000-0005-0000-0000-00005AAC0000}"/>
    <cellStyle name="Normal 3 4 7 5 8 2" xfId="44132" xr:uid="{00000000-0005-0000-0000-00005BAC0000}"/>
    <cellStyle name="Normal 3 4 7 5 8 3" xfId="44133" xr:uid="{00000000-0005-0000-0000-00005CAC0000}"/>
    <cellStyle name="Normal 3 4 7 5 9" xfId="44134" xr:uid="{00000000-0005-0000-0000-00005DAC0000}"/>
    <cellStyle name="Normal 3 4 7 5 9 2" xfId="44135" xr:uid="{00000000-0005-0000-0000-00005EAC0000}"/>
    <cellStyle name="Normal 3 4 7 5 9 3" xfId="44136" xr:uid="{00000000-0005-0000-0000-00005FAC0000}"/>
    <cellStyle name="Normal 3 4 7 6" xfId="44137" xr:uid="{00000000-0005-0000-0000-000060AC0000}"/>
    <cellStyle name="Normal 3 4 7 6 10" xfId="44138" xr:uid="{00000000-0005-0000-0000-000061AC0000}"/>
    <cellStyle name="Normal 3 4 7 6 10 2" xfId="44139" xr:uid="{00000000-0005-0000-0000-000062AC0000}"/>
    <cellStyle name="Normal 3 4 7 6 10 3" xfId="44140" xr:uid="{00000000-0005-0000-0000-000063AC0000}"/>
    <cellStyle name="Normal 3 4 7 6 11" xfId="44141" xr:uid="{00000000-0005-0000-0000-000064AC0000}"/>
    <cellStyle name="Normal 3 4 7 6 11 2" xfId="44142" xr:uid="{00000000-0005-0000-0000-000065AC0000}"/>
    <cellStyle name="Normal 3 4 7 6 11 3" xfId="44143" xr:uid="{00000000-0005-0000-0000-000066AC0000}"/>
    <cellStyle name="Normal 3 4 7 6 12" xfId="44144" xr:uid="{00000000-0005-0000-0000-000067AC0000}"/>
    <cellStyle name="Normal 3 4 7 6 12 2" xfId="44145" xr:uid="{00000000-0005-0000-0000-000068AC0000}"/>
    <cellStyle name="Normal 3 4 7 6 12 3" xfId="44146" xr:uid="{00000000-0005-0000-0000-000069AC0000}"/>
    <cellStyle name="Normal 3 4 7 6 13" xfId="44147" xr:uid="{00000000-0005-0000-0000-00006AAC0000}"/>
    <cellStyle name="Normal 3 4 7 6 13 2" xfId="44148" xr:uid="{00000000-0005-0000-0000-00006BAC0000}"/>
    <cellStyle name="Normal 3 4 7 6 13 3" xfId="44149" xr:uid="{00000000-0005-0000-0000-00006CAC0000}"/>
    <cellStyle name="Normal 3 4 7 6 14" xfId="44150" xr:uid="{00000000-0005-0000-0000-00006DAC0000}"/>
    <cellStyle name="Normal 3 4 7 6 14 2" xfId="44151" xr:uid="{00000000-0005-0000-0000-00006EAC0000}"/>
    <cellStyle name="Normal 3 4 7 6 14 3" xfId="44152" xr:uid="{00000000-0005-0000-0000-00006FAC0000}"/>
    <cellStyle name="Normal 3 4 7 6 15" xfId="44153" xr:uid="{00000000-0005-0000-0000-000070AC0000}"/>
    <cellStyle name="Normal 3 4 7 6 16" xfId="44154" xr:uid="{00000000-0005-0000-0000-000071AC0000}"/>
    <cellStyle name="Normal 3 4 7 6 2" xfId="44155" xr:uid="{00000000-0005-0000-0000-000072AC0000}"/>
    <cellStyle name="Normal 3 4 7 6 2 2" xfId="44156" xr:uid="{00000000-0005-0000-0000-000073AC0000}"/>
    <cellStyle name="Normal 3 4 7 6 2 3" xfId="44157" xr:uid="{00000000-0005-0000-0000-000074AC0000}"/>
    <cellStyle name="Normal 3 4 7 6 3" xfId="44158" xr:uid="{00000000-0005-0000-0000-000075AC0000}"/>
    <cellStyle name="Normal 3 4 7 6 3 2" xfId="44159" xr:uid="{00000000-0005-0000-0000-000076AC0000}"/>
    <cellStyle name="Normal 3 4 7 6 3 3" xfId="44160" xr:uid="{00000000-0005-0000-0000-000077AC0000}"/>
    <cellStyle name="Normal 3 4 7 6 4" xfId="44161" xr:uid="{00000000-0005-0000-0000-000078AC0000}"/>
    <cellStyle name="Normal 3 4 7 6 4 2" xfId="44162" xr:uid="{00000000-0005-0000-0000-000079AC0000}"/>
    <cellStyle name="Normal 3 4 7 6 4 3" xfId="44163" xr:uid="{00000000-0005-0000-0000-00007AAC0000}"/>
    <cellStyle name="Normal 3 4 7 6 5" xfId="44164" xr:uid="{00000000-0005-0000-0000-00007BAC0000}"/>
    <cellStyle name="Normal 3 4 7 6 5 2" xfId="44165" xr:uid="{00000000-0005-0000-0000-00007CAC0000}"/>
    <cellStyle name="Normal 3 4 7 6 5 3" xfId="44166" xr:uid="{00000000-0005-0000-0000-00007DAC0000}"/>
    <cellStyle name="Normal 3 4 7 6 6" xfId="44167" xr:uid="{00000000-0005-0000-0000-00007EAC0000}"/>
    <cellStyle name="Normal 3 4 7 6 6 2" xfId="44168" xr:uid="{00000000-0005-0000-0000-00007FAC0000}"/>
    <cellStyle name="Normal 3 4 7 6 6 3" xfId="44169" xr:uid="{00000000-0005-0000-0000-000080AC0000}"/>
    <cellStyle name="Normal 3 4 7 6 7" xfId="44170" xr:uid="{00000000-0005-0000-0000-000081AC0000}"/>
    <cellStyle name="Normal 3 4 7 6 7 2" xfId="44171" xr:uid="{00000000-0005-0000-0000-000082AC0000}"/>
    <cellStyle name="Normal 3 4 7 6 7 3" xfId="44172" xr:uid="{00000000-0005-0000-0000-000083AC0000}"/>
    <cellStyle name="Normal 3 4 7 6 8" xfId="44173" xr:uid="{00000000-0005-0000-0000-000084AC0000}"/>
    <cellStyle name="Normal 3 4 7 6 8 2" xfId="44174" xr:uid="{00000000-0005-0000-0000-000085AC0000}"/>
    <cellStyle name="Normal 3 4 7 6 8 3" xfId="44175" xr:uid="{00000000-0005-0000-0000-000086AC0000}"/>
    <cellStyle name="Normal 3 4 7 6 9" xfId="44176" xr:uid="{00000000-0005-0000-0000-000087AC0000}"/>
    <cellStyle name="Normal 3 4 7 6 9 2" xfId="44177" xr:uid="{00000000-0005-0000-0000-000088AC0000}"/>
    <cellStyle name="Normal 3 4 7 6 9 3" xfId="44178" xr:uid="{00000000-0005-0000-0000-000089AC0000}"/>
    <cellStyle name="Normal 3 4 7 7" xfId="44179" xr:uid="{00000000-0005-0000-0000-00008AAC0000}"/>
    <cellStyle name="Normal 3 4 7 7 10" xfId="44180" xr:uid="{00000000-0005-0000-0000-00008BAC0000}"/>
    <cellStyle name="Normal 3 4 7 7 10 2" xfId="44181" xr:uid="{00000000-0005-0000-0000-00008CAC0000}"/>
    <cellStyle name="Normal 3 4 7 7 10 3" xfId="44182" xr:uid="{00000000-0005-0000-0000-00008DAC0000}"/>
    <cellStyle name="Normal 3 4 7 7 11" xfId="44183" xr:uid="{00000000-0005-0000-0000-00008EAC0000}"/>
    <cellStyle name="Normal 3 4 7 7 11 2" xfId="44184" xr:uid="{00000000-0005-0000-0000-00008FAC0000}"/>
    <cellStyle name="Normal 3 4 7 7 11 3" xfId="44185" xr:uid="{00000000-0005-0000-0000-000090AC0000}"/>
    <cellStyle name="Normal 3 4 7 7 12" xfId="44186" xr:uid="{00000000-0005-0000-0000-000091AC0000}"/>
    <cellStyle name="Normal 3 4 7 7 12 2" xfId="44187" xr:uid="{00000000-0005-0000-0000-000092AC0000}"/>
    <cellStyle name="Normal 3 4 7 7 12 3" xfId="44188" xr:uid="{00000000-0005-0000-0000-000093AC0000}"/>
    <cellStyle name="Normal 3 4 7 7 13" xfId="44189" xr:uid="{00000000-0005-0000-0000-000094AC0000}"/>
    <cellStyle name="Normal 3 4 7 7 13 2" xfId="44190" xr:uid="{00000000-0005-0000-0000-000095AC0000}"/>
    <cellStyle name="Normal 3 4 7 7 13 3" xfId="44191" xr:uid="{00000000-0005-0000-0000-000096AC0000}"/>
    <cellStyle name="Normal 3 4 7 7 14" xfId="44192" xr:uid="{00000000-0005-0000-0000-000097AC0000}"/>
    <cellStyle name="Normal 3 4 7 7 14 2" xfId="44193" xr:uid="{00000000-0005-0000-0000-000098AC0000}"/>
    <cellStyle name="Normal 3 4 7 7 14 3" xfId="44194" xr:uid="{00000000-0005-0000-0000-000099AC0000}"/>
    <cellStyle name="Normal 3 4 7 7 15" xfId="44195" xr:uid="{00000000-0005-0000-0000-00009AAC0000}"/>
    <cellStyle name="Normal 3 4 7 7 16" xfId="44196" xr:uid="{00000000-0005-0000-0000-00009BAC0000}"/>
    <cellStyle name="Normal 3 4 7 7 2" xfId="44197" xr:uid="{00000000-0005-0000-0000-00009CAC0000}"/>
    <cellStyle name="Normal 3 4 7 7 2 2" xfId="44198" xr:uid="{00000000-0005-0000-0000-00009DAC0000}"/>
    <cellStyle name="Normal 3 4 7 7 2 3" xfId="44199" xr:uid="{00000000-0005-0000-0000-00009EAC0000}"/>
    <cellStyle name="Normal 3 4 7 7 3" xfId="44200" xr:uid="{00000000-0005-0000-0000-00009FAC0000}"/>
    <cellStyle name="Normal 3 4 7 7 3 2" xfId="44201" xr:uid="{00000000-0005-0000-0000-0000A0AC0000}"/>
    <cellStyle name="Normal 3 4 7 7 3 3" xfId="44202" xr:uid="{00000000-0005-0000-0000-0000A1AC0000}"/>
    <cellStyle name="Normal 3 4 7 7 4" xfId="44203" xr:uid="{00000000-0005-0000-0000-0000A2AC0000}"/>
    <cellStyle name="Normal 3 4 7 7 4 2" xfId="44204" xr:uid="{00000000-0005-0000-0000-0000A3AC0000}"/>
    <cellStyle name="Normal 3 4 7 7 4 3" xfId="44205" xr:uid="{00000000-0005-0000-0000-0000A4AC0000}"/>
    <cellStyle name="Normal 3 4 7 7 5" xfId="44206" xr:uid="{00000000-0005-0000-0000-0000A5AC0000}"/>
    <cellStyle name="Normal 3 4 7 7 5 2" xfId="44207" xr:uid="{00000000-0005-0000-0000-0000A6AC0000}"/>
    <cellStyle name="Normal 3 4 7 7 5 3" xfId="44208" xr:uid="{00000000-0005-0000-0000-0000A7AC0000}"/>
    <cellStyle name="Normal 3 4 7 7 6" xfId="44209" xr:uid="{00000000-0005-0000-0000-0000A8AC0000}"/>
    <cellStyle name="Normal 3 4 7 7 6 2" xfId="44210" xr:uid="{00000000-0005-0000-0000-0000A9AC0000}"/>
    <cellStyle name="Normal 3 4 7 7 6 3" xfId="44211" xr:uid="{00000000-0005-0000-0000-0000AAAC0000}"/>
    <cellStyle name="Normal 3 4 7 7 7" xfId="44212" xr:uid="{00000000-0005-0000-0000-0000ABAC0000}"/>
    <cellStyle name="Normal 3 4 7 7 7 2" xfId="44213" xr:uid="{00000000-0005-0000-0000-0000ACAC0000}"/>
    <cellStyle name="Normal 3 4 7 7 7 3" xfId="44214" xr:uid="{00000000-0005-0000-0000-0000ADAC0000}"/>
    <cellStyle name="Normal 3 4 7 7 8" xfId="44215" xr:uid="{00000000-0005-0000-0000-0000AEAC0000}"/>
    <cellStyle name="Normal 3 4 7 7 8 2" xfId="44216" xr:uid="{00000000-0005-0000-0000-0000AFAC0000}"/>
    <cellStyle name="Normal 3 4 7 7 8 3" xfId="44217" xr:uid="{00000000-0005-0000-0000-0000B0AC0000}"/>
    <cellStyle name="Normal 3 4 7 7 9" xfId="44218" xr:uid="{00000000-0005-0000-0000-0000B1AC0000}"/>
    <cellStyle name="Normal 3 4 7 7 9 2" xfId="44219" xr:uid="{00000000-0005-0000-0000-0000B2AC0000}"/>
    <cellStyle name="Normal 3 4 7 7 9 3" xfId="44220" xr:uid="{00000000-0005-0000-0000-0000B3AC0000}"/>
    <cellStyle name="Normal 3 4 7 8" xfId="44221" xr:uid="{00000000-0005-0000-0000-0000B4AC0000}"/>
    <cellStyle name="Normal 3 4 7 8 10" xfId="44222" xr:uid="{00000000-0005-0000-0000-0000B5AC0000}"/>
    <cellStyle name="Normal 3 4 7 8 10 2" xfId="44223" xr:uid="{00000000-0005-0000-0000-0000B6AC0000}"/>
    <cellStyle name="Normal 3 4 7 8 10 3" xfId="44224" xr:uid="{00000000-0005-0000-0000-0000B7AC0000}"/>
    <cellStyle name="Normal 3 4 7 8 11" xfId="44225" xr:uid="{00000000-0005-0000-0000-0000B8AC0000}"/>
    <cellStyle name="Normal 3 4 7 8 11 2" xfId="44226" xr:uid="{00000000-0005-0000-0000-0000B9AC0000}"/>
    <cellStyle name="Normal 3 4 7 8 11 3" xfId="44227" xr:uid="{00000000-0005-0000-0000-0000BAAC0000}"/>
    <cellStyle name="Normal 3 4 7 8 12" xfId="44228" xr:uid="{00000000-0005-0000-0000-0000BBAC0000}"/>
    <cellStyle name="Normal 3 4 7 8 12 2" xfId="44229" xr:uid="{00000000-0005-0000-0000-0000BCAC0000}"/>
    <cellStyle name="Normal 3 4 7 8 12 3" xfId="44230" xr:uid="{00000000-0005-0000-0000-0000BDAC0000}"/>
    <cellStyle name="Normal 3 4 7 8 13" xfId="44231" xr:uid="{00000000-0005-0000-0000-0000BEAC0000}"/>
    <cellStyle name="Normal 3 4 7 8 13 2" xfId="44232" xr:uid="{00000000-0005-0000-0000-0000BFAC0000}"/>
    <cellStyle name="Normal 3 4 7 8 13 3" xfId="44233" xr:uid="{00000000-0005-0000-0000-0000C0AC0000}"/>
    <cellStyle name="Normal 3 4 7 8 14" xfId="44234" xr:uid="{00000000-0005-0000-0000-0000C1AC0000}"/>
    <cellStyle name="Normal 3 4 7 8 14 2" xfId="44235" xr:uid="{00000000-0005-0000-0000-0000C2AC0000}"/>
    <cellStyle name="Normal 3 4 7 8 14 3" xfId="44236" xr:uid="{00000000-0005-0000-0000-0000C3AC0000}"/>
    <cellStyle name="Normal 3 4 7 8 15" xfId="44237" xr:uid="{00000000-0005-0000-0000-0000C4AC0000}"/>
    <cellStyle name="Normal 3 4 7 8 16" xfId="44238" xr:uid="{00000000-0005-0000-0000-0000C5AC0000}"/>
    <cellStyle name="Normal 3 4 7 8 2" xfId="44239" xr:uid="{00000000-0005-0000-0000-0000C6AC0000}"/>
    <cellStyle name="Normal 3 4 7 8 2 2" xfId="44240" xr:uid="{00000000-0005-0000-0000-0000C7AC0000}"/>
    <cellStyle name="Normal 3 4 7 8 2 3" xfId="44241" xr:uid="{00000000-0005-0000-0000-0000C8AC0000}"/>
    <cellStyle name="Normal 3 4 7 8 3" xfId="44242" xr:uid="{00000000-0005-0000-0000-0000C9AC0000}"/>
    <cellStyle name="Normal 3 4 7 8 3 2" xfId="44243" xr:uid="{00000000-0005-0000-0000-0000CAAC0000}"/>
    <cellStyle name="Normal 3 4 7 8 3 3" xfId="44244" xr:uid="{00000000-0005-0000-0000-0000CBAC0000}"/>
    <cellStyle name="Normal 3 4 7 8 4" xfId="44245" xr:uid="{00000000-0005-0000-0000-0000CCAC0000}"/>
    <cellStyle name="Normal 3 4 7 8 4 2" xfId="44246" xr:uid="{00000000-0005-0000-0000-0000CDAC0000}"/>
    <cellStyle name="Normal 3 4 7 8 4 3" xfId="44247" xr:uid="{00000000-0005-0000-0000-0000CEAC0000}"/>
    <cellStyle name="Normal 3 4 7 8 5" xfId="44248" xr:uid="{00000000-0005-0000-0000-0000CFAC0000}"/>
    <cellStyle name="Normal 3 4 7 8 5 2" xfId="44249" xr:uid="{00000000-0005-0000-0000-0000D0AC0000}"/>
    <cellStyle name="Normal 3 4 7 8 5 3" xfId="44250" xr:uid="{00000000-0005-0000-0000-0000D1AC0000}"/>
    <cellStyle name="Normal 3 4 7 8 6" xfId="44251" xr:uid="{00000000-0005-0000-0000-0000D2AC0000}"/>
    <cellStyle name="Normal 3 4 7 8 6 2" xfId="44252" xr:uid="{00000000-0005-0000-0000-0000D3AC0000}"/>
    <cellStyle name="Normal 3 4 7 8 6 3" xfId="44253" xr:uid="{00000000-0005-0000-0000-0000D4AC0000}"/>
    <cellStyle name="Normal 3 4 7 8 7" xfId="44254" xr:uid="{00000000-0005-0000-0000-0000D5AC0000}"/>
    <cellStyle name="Normal 3 4 7 8 7 2" xfId="44255" xr:uid="{00000000-0005-0000-0000-0000D6AC0000}"/>
    <cellStyle name="Normal 3 4 7 8 7 3" xfId="44256" xr:uid="{00000000-0005-0000-0000-0000D7AC0000}"/>
    <cellStyle name="Normal 3 4 7 8 8" xfId="44257" xr:uid="{00000000-0005-0000-0000-0000D8AC0000}"/>
    <cellStyle name="Normal 3 4 7 8 8 2" xfId="44258" xr:uid="{00000000-0005-0000-0000-0000D9AC0000}"/>
    <cellStyle name="Normal 3 4 7 8 8 3" xfId="44259" xr:uid="{00000000-0005-0000-0000-0000DAAC0000}"/>
    <cellStyle name="Normal 3 4 7 8 9" xfId="44260" xr:uid="{00000000-0005-0000-0000-0000DBAC0000}"/>
    <cellStyle name="Normal 3 4 7 8 9 2" xfId="44261" xr:uid="{00000000-0005-0000-0000-0000DCAC0000}"/>
    <cellStyle name="Normal 3 4 7 8 9 3" xfId="44262" xr:uid="{00000000-0005-0000-0000-0000DDAC0000}"/>
    <cellStyle name="Normal 3 4 7 9" xfId="44263" xr:uid="{00000000-0005-0000-0000-0000DEAC0000}"/>
    <cellStyle name="Normal 3 4 7 9 10" xfId="44264" xr:uid="{00000000-0005-0000-0000-0000DFAC0000}"/>
    <cellStyle name="Normal 3 4 7 9 10 2" xfId="44265" xr:uid="{00000000-0005-0000-0000-0000E0AC0000}"/>
    <cellStyle name="Normal 3 4 7 9 10 3" xfId="44266" xr:uid="{00000000-0005-0000-0000-0000E1AC0000}"/>
    <cellStyle name="Normal 3 4 7 9 11" xfId="44267" xr:uid="{00000000-0005-0000-0000-0000E2AC0000}"/>
    <cellStyle name="Normal 3 4 7 9 11 2" xfId="44268" xr:uid="{00000000-0005-0000-0000-0000E3AC0000}"/>
    <cellStyle name="Normal 3 4 7 9 11 3" xfId="44269" xr:uid="{00000000-0005-0000-0000-0000E4AC0000}"/>
    <cellStyle name="Normal 3 4 7 9 12" xfId="44270" xr:uid="{00000000-0005-0000-0000-0000E5AC0000}"/>
    <cellStyle name="Normal 3 4 7 9 12 2" xfId="44271" xr:uid="{00000000-0005-0000-0000-0000E6AC0000}"/>
    <cellStyle name="Normal 3 4 7 9 12 3" xfId="44272" xr:uid="{00000000-0005-0000-0000-0000E7AC0000}"/>
    <cellStyle name="Normal 3 4 7 9 13" xfId="44273" xr:uid="{00000000-0005-0000-0000-0000E8AC0000}"/>
    <cellStyle name="Normal 3 4 7 9 13 2" xfId="44274" xr:uid="{00000000-0005-0000-0000-0000E9AC0000}"/>
    <cellStyle name="Normal 3 4 7 9 13 3" xfId="44275" xr:uid="{00000000-0005-0000-0000-0000EAAC0000}"/>
    <cellStyle name="Normal 3 4 7 9 14" xfId="44276" xr:uid="{00000000-0005-0000-0000-0000EBAC0000}"/>
    <cellStyle name="Normal 3 4 7 9 14 2" xfId="44277" xr:uid="{00000000-0005-0000-0000-0000ECAC0000}"/>
    <cellStyle name="Normal 3 4 7 9 14 3" xfId="44278" xr:uid="{00000000-0005-0000-0000-0000EDAC0000}"/>
    <cellStyle name="Normal 3 4 7 9 15" xfId="44279" xr:uid="{00000000-0005-0000-0000-0000EEAC0000}"/>
    <cellStyle name="Normal 3 4 7 9 16" xfId="44280" xr:uid="{00000000-0005-0000-0000-0000EFAC0000}"/>
    <cellStyle name="Normal 3 4 7 9 2" xfId="44281" xr:uid="{00000000-0005-0000-0000-0000F0AC0000}"/>
    <cellStyle name="Normal 3 4 7 9 2 2" xfId="44282" xr:uid="{00000000-0005-0000-0000-0000F1AC0000}"/>
    <cellStyle name="Normal 3 4 7 9 2 3" xfId="44283" xr:uid="{00000000-0005-0000-0000-0000F2AC0000}"/>
    <cellStyle name="Normal 3 4 7 9 3" xfId="44284" xr:uid="{00000000-0005-0000-0000-0000F3AC0000}"/>
    <cellStyle name="Normal 3 4 7 9 3 2" xfId="44285" xr:uid="{00000000-0005-0000-0000-0000F4AC0000}"/>
    <cellStyle name="Normal 3 4 7 9 3 3" xfId="44286" xr:uid="{00000000-0005-0000-0000-0000F5AC0000}"/>
    <cellStyle name="Normal 3 4 7 9 4" xfId="44287" xr:uid="{00000000-0005-0000-0000-0000F6AC0000}"/>
    <cellStyle name="Normal 3 4 7 9 4 2" xfId="44288" xr:uid="{00000000-0005-0000-0000-0000F7AC0000}"/>
    <cellStyle name="Normal 3 4 7 9 4 3" xfId="44289" xr:uid="{00000000-0005-0000-0000-0000F8AC0000}"/>
    <cellStyle name="Normal 3 4 7 9 5" xfId="44290" xr:uid="{00000000-0005-0000-0000-0000F9AC0000}"/>
    <cellStyle name="Normal 3 4 7 9 5 2" xfId="44291" xr:uid="{00000000-0005-0000-0000-0000FAAC0000}"/>
    <cellStyle name="Normal 3 4 7 9 5 3" xfId="44292" xr:uid="{00000000-0005-0000-0000-0000FBAC0000}"/>
    <cellStyle name="Normal 3 4 7 9 6" xfId="44293" xr:uid="{00000000-0005-0000-0000-0000FCAC0000}"/>
    <cellStyle name="Normal 3 4 7 9 6 2" xfId="44294" xr:uid="{00000000-0005-0000-0000-0000FDAC0000}"/>
    <cellStyle name="Normal 3 4 7 9 6 3" xfId="44295" xr:uid="{00000000-0005-0000-0000-0000FEAC0000}"/>
    <cellStyle name="Normal 3 4 7 9 7" xfId="44296" xr:uid="{00000000-0005-0000-0000-0000FFAC0000}"/>
    <cellStyle name="Normal 3 4 7 9 7 2" xfId="44297" xr:uid="{00000000-0005-0000-0000-000000AD0000}"/>
    <cellStyle name="Normal 3 4 7 9 7 3" xfId="44298" xr:uid="{00000000-0005-0000-0000-000001AD0000}"/>
    <cellStyle name="Normal 3 4 7 9 8" xfId="44299" xr:uid="{00000000-0005-0000-0000-000002AD0000}"/>
    <cellStyle name="Normal 3 4 7 9 8 2" xfId="44300" xr:uid="{00000000-0005-0000-0000-000003AD0000}"/>
    <cellStyle name="Normal 3 4 7 9 8 3" xfId="44301" xr:uid="{00000000-0005-0000-0000-000004AD0000}"/>
    <cellStyle name="Normal 3 4 7 9 9" xfId="44302" xr:uid="{00000000-0005-0000-0000-000005AD0000}"/>
    <cellStyle name="Normal 3 4 7 9 9 2" xfId="44303" xr:uid="{00000000-0005-0000-0000-000006AD0000}"/>
    <cellStyle name="Normal 3 4 7 9 9 3" xfId="44304" xr:uid="{00000000-0005-0000-0000-000007AD0000}"/>
    <cellStyle name="Normal 3 4 8" xfId="44305" xr:uid="{00000000-0005-0000-0000-000008AD0000}"/>
    <cellStyle name="Normal 3 4 8 10" xfId="44306" xr:uid="{00000000-0005-0000-0000-000009AD0000}"/>
    <cellStyle name="Normal 3 4 8 10 10" xfId="44307" xr:uid="{00000000-0005-0000-0000-00000AAD0000}"/>
    <cellStyle name="Normal 3 4 8 10 10 2" xfId="44308" xr:uid="{00000000-0005-0000-0000-00000BAD0000}"/>
    <cellStyle name="Normal 3 4 8 10 10 3" xfId="44309" xr:uid="{00000000-0005-0000-0000-00000CAD0000}"/>
    <cellStyle name="Normal 3 4 8 10 11" xfId="44310" xr:uid="{00000000-0005-0000-0000-00000DAD0000}"/>
    <cellStyle name="Normal 3 4 8 10 11 2" xfId="44311" xr:uid="{00000000-0005-0000-0000-00000EAD0000}"/>
    <cellStyle name="Normal 3 4 8 10 11 3" xfId="44312" xr:uid="{00000000-0005-0000-0000-00000FAD0000}"/>
    <cellStyle name="Normal 3 4 8 10 12" xfId="44313" xr:uid="{00000000-0005-0000-0000-000010AD0000}"/>
    <cellStyle name="Normal 3 4 8 10 12 2" xfId="44314" xr:uid="{00000000-0005-0000-0000-000011AD0000}"/>
    <cellStyle name="Normal 3 4 8 10 12 3" xfId="44315" xr:uid="{00000000-0005-0000-0000-000012AD0000}"/>
    <cellStyle name="Normal 3 4 8 10 13" xfId="44316" xr:uid="{00000000-0005-0000-0000-000013AD0000}"/>
    <cellStyle name="Normal 3 4 8 10 13 2" xfId="44317" xr:uid="{00000000-0005-0000-0000-000014AD0000}"/>
    <cellStyle name="Normal 3 4 8 10 13 3" xfId="44318" xr:uid="{00000000-0005-0000-0000-000015AD0000}"/>
    <cellStyle name="Normal 3 4 8 10 14" xfId="44319" xr:uid="{00000000-0005-0000-0000-000016AD0000}"/>
    <cellStyle name="Normal 3 4 8 10 14 2" xfId="44320" xr:uid="{00000000-0005-0000-0000-000017AD0000}"/>
    <cellStyle name="Normal 3 4 8 10 14 3" xfId="44321" xr:uid="{00000000-0005-0000-0000-000018AD0000}"/>
    <cellStyle name="Normal 3 4 8 10 15" xfId="44322" xr:uid="{00000000-0005-0000-0000-000019AD0000}"/>
    <cellStyle name="Normal 3 4 8 10 16" xfId="44323" xr:uid="{00000000-0005-0000-0000-00001AAD0000}"/>
    <cellStyle name="Normal 3 4 8 10 2" xfId="44324" xr:uid="{00000000-0005-0000-0000-00001BAD0000}"/>
    <cellStyle name="Normal 3 4 8 10 2 2" xfId="44325" xr:uid="{00000000-0005-0000-0000-00001CAD0000}"/>
    <cellStyle name="Normal 3 4 8 10 2 3" xfId="44326" xr:uid="{00000000-0005-0000-0000-00001DAD0000}"/>
    <cellStyle name="Normal 3 4 8 10 3" xfId="44327" xr:uid="{00000000-0005-0000-0000-00001EAD0000}"/>
    <cellStyle name="Normal 3 4 8 10 3 2" xfId="44328" xr:uid="{00000000-0005-0000-0000-00001FAD0000}"/>
    <cellStyle name="Normal 3 4 8 10 3 3" xfId="44329" xr:uid="{00000000-0005-0000-0000-000020AD0000}"/>
    <cellStyle name="Normal 3 4 8 10 4" xfId="44330" xr:uid="{00000000-0005-0000-0000-000021AD0000}"/>
    <cellStyle name="Normal 3 4 8 10 4 2" xfId="44331" xr:uid="{00000000-0005-0000-0000-000022AD0000}"/>
    <cellStyle name="Normal 3 4 8 10 4 3" xfId="44332" xr:uid="{00000000-0005-0000-0000-000023AD0000}"/>
    <cellStyle name="Normal 3 4 8 10 5" xfId="44333" xr:uid="{00000000-0005-0000-0000-000024AD0000}"/>
    <cellStyle name="Normal 3 4 8 10 5 2" xfId="44334" xr:uid="{00000000-0005-0000-0000-000025AD0000}"/>
    <cellStyle name="Normal 3 4 8 10 5 3" xfId="44335" xr:uid="{00000000-0005-0000-0000-000026AD0000}"/>
    <cellStyle name="Normal 3 4 8 10 6" xfId="44336" xr:uid="{00000000-0005-0000-0000-000027AD0000}"/>
    <cellStyle name="Normal 3 4 8 10 6 2" xfId="44337" xr:uid="{00000000-0005-0000-0000-000028AD0000}"/>
    <cellStyle name="Normal 3 4 8 10 6 3" xfId="44338" xr:uid="{00000000-0005-0000-0000-000029AD0000}"/>
    <cellStyle name="Normal 3 4 8 10 7" xfId="44339" xr:uid="{00000000-0005-0000-0000-00002AAD0000}"/>
    <cellStyle name="Normal 3 4 8 10 7 2" xfId="44340" xr:uid="{00000000-0005-0000-0000-00002BAD0000}"/>
    <cellStyle name="Normal 3 4 8 10 7 3" xfId="44341" xr:uid="{00000000-0005-0000-0000-00002CAD0000}"/>
    <cellStyle name="Normal 3 4 8 10 8" xfId="44342" xr:uid="{00000000-0005-0000-0000-00002DAD0000}"/>
    <cellStyle name="Normal 3 4 8 10 8 2" xfId="44343" xr:uid="{00000000-0005-0000-0000-00002EAD0000}"/>
    <cellStyle name="Normal 3 4 8 10 8 3" xfId="44344" xr:uid="{00000000-0005-0000-0000-00002FAD0000}"/>
    <cellStyle name="Normal 3 4 8 10 9" xfId="44345" xr:uid="{00000000-0005-0000-0000-000030AD0000}"/>
    <cellStyle name="Normal 3 4 8 10 9 2" xfId="44346" xr:uid="{00000000-0005-0000-0000-000031AD0000}"/>
    <cellStyle name="Normal 3 4 8 10 9 3" xfId="44347" xr:uid="{00000000-0005-0000-0000-000032AD0000}"/>
    <cellStyle name="Normal 3 4 8 11" xfId="44348" xr:uid="{00000000-0005-0000-0000-000033AD0000}"/>
    <cellStyle name="Normal 3 4 8 11 2" xfId="44349" xr:uid="{00000000-0005-0000-0000-000034AD0000}"/>
    <cellStyle name="Normal 3 4 8 11 3" xfId="44350" xr:uid="{00000000-0005-0000-0000-000035AD0000}"/>
    <cellStyle name="Normal 3 4 8 12" xfId="44351" xr:uid="{00000000-0005-0000-0000-000036AD0000}"/>
    <cellStyle name="Normal 3 4 8 12 2" xfId="44352" xr:uid="{00000000-0005-0000-0000-000037AD0000}"/>
    <cellStyle name="Normal 3 4 8 12 3" xfId="44353" xr:uid="{00000000-0005-0000-0000-000038AD0000}"/>
    <cellStyle name="Normal 3 4 8 13" xfId="44354" xr:uid="{00000000-0005-0000-0000-000039AD0000}"/>
    <cellStyle name="Normal 3 4 8 13 2" xfId="44355" xr:uid="{00000000-0005-0000-0000-00003AAD0000}"/>
    <cellStyle name="Normal 3 4 8 13 3" xfId="44356" xr:uid="{00000000-0005-0000-0000-00003BAD0000}"/>
    <cellStyle name="Normal 3 4 8 14" xfId="44357" xr:uid="{00000000-0005-0000-0000-00003CAD0000}"/>
    <cellStyle name="Normal 3 4 8 14 2" xfId="44358" xr:uid="{00000000-0005-0000-0000-00003DAD0000}"/>
    <cellStyle name="Normal 3 4 8 14 3" xfId="44359" xr:uid="{00000000-0005-0000-0000-00003EAD0000}"/>
    <cellStyle name="Normal 3 4 8 15" xfId="44360" xr:uid="{00000000-0005-0000-0000-00003FAD0000}"/>
    <cellStyle name="Normal 3 4 8 15 2" xfId="44361" xr:uid="{00000000-0005-0000-0000-000040AD0000}"/>
    <cellStyle name="Normal 3 4 8 15 3" xfId="44362" xr:uid="{00000000-0005-0000-0000-000041AD0000}"/>
    <cellStyle name="Normal 3 4 8 16" xfId="44363" xr:uid="{00000000-0005-0000-0000-000042AD0000}"/>
    <cellStyle name="Normal 3 4 8 16 2" xfId="44364" xr:uid="{00000000-0005-0000-0000-000043AD0000}"/>
    <cellStyle name="Normal 3 4 8 16 3" xfId="44365" xr:uid="{00000000-0005-0000-0000-000044AD0000}"/>
    <cellStyle name="Normal 3 4 8 17" xfId="44366" xr:uid="{00000000-0005-0000-0000-000045AD0000}"/>
    <cellStyle name="Normal 3 4 8 17 2" xfId="44367" xr:uid="{00000000-0005-0000-0000-000046AD0000}"/>
    <cellStyle name="Normal 3 4 8 17 3" xfId="44368" xr:uid="{00000000-0005-0000-0000-000047AD0000}"/>
    <cellStyle name="Normal 3 4 8 18" xfId="44369" xr:uid="{00000000-0005-0000-0000-000048AD0000}"/>
    <cellStyle name="Normal 3 4 8 18 2" xfId="44370" xr:uid="{00000000-0005-0000-0000-000049AD0000}"/>
    <cellStyle name="Normal 3 4 8 18 3" xfId="44371" xr:uid="{00000000-0005-0000-0000-00004AAD0000}"/>
    <cellStyle name="Normal 3 4 8 19" xfId="44372" xr:uid="{00000000-0005-0000-0000-00004BAD0000}"/>
    <cellStyle name="Normal 3 4 8 19 2" xfId="44373" xr:uid="{00000000-0005-0000-0000-00004CAD0000}"/>
    <cellStyle name="Normal 3 4 8 19 3" xfId="44374" xr:uid="{00000000-0005-0000-0000-00004DAD0000}"/>
    <cellStyle name="Normal 3 4 8 2" xfId="44375" xr:uid="{00000000-0005-0000-0000-00004EAD0000}"/>
    <cellStyle name="Normal 3 4 8 2 10" xfId="44376" xr:uid="{00000000-0005-0000-0000-00004FAD0000}"/>
    <cellStyle name="Normal 3 4 8 2 10 2" xfId="44377" xr:uid="{00000000-0005-0000-0000-000050AD0000}"/>
    <cellStyle name="Normal 3 4 8 2 10 3" xfId="44378" xr:uid="{00000000-0005-0000-0000-000051AD0000}"/>
    <cellStyle name="Normal 3 4 8 2 11" xfId="44379" xr:uid="{00000000-0005-0000-0000-000052AD0000}"/>
    <cellStyle name="Normal 3 4 8 2 11 2" xfId="44380" xr:uid="{00000000-0005-0000-0000-000053AD0000}"/>
    <cellStyle name="Normal 3 4 8 2 11 3" xfId="44381" xr:uid="{00000000-0005-0000-0000-000054AD0000}"/>
    <cellStyle name="Normal 3 4 8 2 12" xfId="44382" xr:uid="{00000000-0005-0000-0000-000055AD0000}"/>
    <cellStyle name="Normal 3 4 8 2 12 2" xfId="44383" xr:uid="{00000000-0005-0000-0000-000056AD0000}"/>
    <cellStyle name="Normal 3 4 8 2 12 3" xfId="44384" xr:uid="{00000000-0005-0000-0000-000057AD0000}"/>
    <cellStyle name="Normal 3 4 8 2 13" xfId="44385" xr:uid="{00000000-0005-0000-0000-000058AD0000}"/>
    <cellStyle name="Normal 3 4 8 2 13 2" xfId="44386" xr:uid="{00000000-0005-0000-0000-000059AD0000}"/>
    <cellStyle name="Normal 3 4 8 2 13 3" xfId="44387" xr:uid="{00000000-0005-0000-0000-00005AAD0000}"/>
    <cellStyle name="Normal 3 4 8 2 14" xfId="44388" xr:uid="{00000000-0005-0000-0000-00005BAD0000}"/>
    <cellStyle name="Normal 3 4 8 2 14 2" xfId="44389" xr:uid="{00000000-0005-0000-0000-00005CAD0000}"/>
    <cellStyle name="Normal 3 4 8 2 14 3" xfId="44390" xr:uid="{00000000-0005-0000-0000-00005DAD0000}"/>
    <cellStyle name="Normal 3 4 8 2 15" xfId="44391" xr:uid="{00000000-0005-0000-0000-00005EAD0000}"/>
    <cellStyle name="Normal 3 4 8 2 15 2" xfId="44392" xr:uid="{00000000-0005-0000-0000-00005FAD0000}"/>
    <cellStyle name="Normal 3 4 8 2 15 3" xfId="44393" xr:uid="{00000000-0005-0000-0000-000060AD0000}"/>
    <cellStyle name="Normal 3 4 8 2 16" xfId="44394" xr:uid="{00000000-0005-0000-0000-000061AD0000}"/>
    <cellStyle name="Normal 3 4 8 2 17" xfId="44395" xr:uid="{00000000-0005-0000-0000-000062AD0000}"/>
    <cellStyle name="Normal 3 4 8 2 2" xfId="44396" xr:uid="{00000000-0005-0000-0000-000063AD0000}"/>
    <cellStyle name="Normal 3 4 8 2 2 10" xfId="44397" xr:uid="{00000000-0005-0000-0000-000064AD0000}"/>
    <cellStyle name="Normal 3 4 8 2 2 10 2" xfId="44398" xr:uid="{00000000-0005-0000-0000-000065AD0000}"/>
    <cellStyle name="Normal 3 4 8 2 2 10 3" xfId="44399" xr:uid="{00000000-0005-0000-0000-000066AD0000}"/>
    <cellStyle name="Normal 3 4 8 2 2 11" xfId="44400" xr:uid="{00000000-0005-0000-0000-000067AD0000}"/>
    <cellStyle name="Normal 3 4 8 2 2 11 2" xfId="44401" xr:uid="{00000000-0005-0000-0000-000068AD0000}"/>
    <cellStyle name="Normal 3 4 8 2 2 11 3" xfId="44402" xr:uid="{00000000-0005-0000-0000-000069AD0000}"/>
    <cellStyle name="Normal 3 4 8 2 2 12" xfId="44403" xr:uid="{00000000-0005-0000-0000-00006AAD0000}"/>
    <cellStyle name="Normal 3 4 8 2 2 12 2" xfId="44404" xr:uid="{00000000-0005-0000-0000-00006BAD0000}"/>
    <cellStyle name="Normal 3 4 8 2 2 12 3" xfId="44405" xr:uid="{00000000-0005-0000-0000-00006CAD0000}"/>
    <cellStyle name="Normal 3 4 8 2 2 13" xfId="44406" xr:uid="{00000000-0005-0000-0000-00006DAD0000}"/>
    <cellStyle name="Normal 3 4 8 2 2 13 2" xfId="44407" xr:uid="{00000000-0005-0000-0000-00006EAD0000}"/>
    <cellStyle name="Normal 3 4 8 2 2 13 3" xfId="44408" xr:uid="{00000000-0005-0000-0000-00006FAD0000}"/>
    <cellStyle name="Normal 3 4 8 2 2 14" xfId="44409" xr:uid="{00000000-0005-0000-0000-000070AD0000}"/>
    <cellStyle name="Normal 3 4 8 2 2 14 2" xfId="44410" xr:uid="{00000000-0005-0000-0000-000071AD0000}"/>
    <cellStyle name="Normal 3 4 8 2 2 14 3" xfId="44411" xr:uid="{00000000-0005-0000-0000-000072AD0000}"/>
    <cellStyle name="Normal 3 4 8 2 2 15" xfId="44412" xr:uid="{00000000-0005-0000-0000-000073AD0000}"/>
    <cellStyle name="Normal 3 4 8 2 2 16" xfId="44413" xr:uid="{00000000-0005-0000-0000-000074AD0000}"/>
    <cellStyle name="Normal 3 4 8 2 2 2" xfId="44414" xr:uid="{00000000-0005-0000-0000-000075AD0000}"/>
    <cellStyle name="Normal 3 4 8 2 2 2 2" xfId="44415" xr:uid="{00000000-0005-0000-0000-000076AD0000}"/>
    <cellStyle name="Normal 3 4 8 2 2 2 3" xfId="44416" xr:uid="{00000000-0005-0000-0000-000077AD0000}"/>
    <cellStyle name="Normal 3 4 8 2 2 3" xfId="44417" xr:uid="{00000000-0005-0000-0000-000078AD0000}"/>
    <cellStyle name="Normal 3 4 8 2 2 3 2" xfId="44418" xr:uid="{00000000-0005-0000-0000-000079AD0000}"/>
    <cellStyle name="Normal 3 4 8 2 2 3 3" xfId="44419" xr:uid="{00000000-0005-0000-0000-00007AAD0000}"/>
    <cellStyle name="Normal 3 4 8 2 2 4" xfId="44420" xr:uid="{00000000-0005-0000-0000-00007BAD0000}"/>
    <cellStyle name="Normal 3 4 8 2 2 4 2" xfId="44421" xr:uid="{00000000-0005-0000-0000-00007CAD0000}"/>
    <cellStyle name="Normal 3 4 8 2 2 4 3" xfId="44422" xr:uid="{00000000-0005-0000-0000-00007DAD0000}"/>
    <cellStyle name="Normal 3 4 8 2 2 5" xfId="44423" xr:uid="{00000000-0005-0000-0000-00007EAD0000}"/>
    <cellStyle name="Normal 3 4 8 2 2 5 2" xfId="44424" xr:uid="{00000000-0005-0000-0000-00007FAD0000}"/>
    <cellStyle name="Normal 3 4 8 2 2 5 3" xfId="44425" xr:uid="{00000000-0005-0000-0000-000080AD0000}"/>
    <cellStyle name="Normal 3 4 8 2 2 6" xfId="44426" xr:uid="{00000000-0005-0000-0000-000081AD0000}"/>
    <cellStyle name="Normal 3 4 8 2 2 6 2" xfId="44427" xr:uid="{00000000-0005-0000-0000-000082AD0000}"/>
    <cellStyle name="Normal 3 4 8 2 2 6 3" xfId="44428" xr:uid="{00000000-0005-0000-0000-000083AD0000}"/>
    <cellStyle name="Normal 3 4 8 2 2 7" xfId="44429" xr:uid="{00000000-0005-0000-0000-000084AD0000}"/>
    <cellStyle name="Normal 3 4 8 2 2 7 2" xfId="44430" xr:uid="{00000000-0005-0000-0000-000085AD0000}"/>
    <cellStyle name="Normal 3 4 8 2 2 7 3" xfId="44431" xr:uid="{00000000-0005-0000-0000-000086AD0000}"/>
    <cellStyle name="Normal 3 4 8 2 2 8" xfId="44432" xr:uid="{00000000-0005-0000-0000-000087AD0000}"/>
    <cellStyle name="Normal 3 4 8 2 2 8 2" xfId="44433" xr:uid="{00000000-0005-0000-0000-000088AD0000}"/>
    <cellStyle name="Normal 3 4 8 2 2 8 3" xfId="44434" xr:uid="{00000000-0005-0000-0000-000089AD0000}"/>
    <cellStyle name="Normal 3 4 8 2 2 9" xfId="44435" xr:uid="{00000000-0005-0000-0000-00008AAD0000}"/>
    <cellStyle name="Normal 3 4 8 2 2 9 2" xfId="44436" xr:uid="{00000000-0005-0000-0000-00008BAD0000}"/>
    <cellStyle name="Normal 3 4 8 2 2 9 3" xfId="44437" xr:uid="{00000000-0005-0000-0000-00008CAD0000}"/>
    <cellStyle name="Normal 3 4 8 2 3" xfId="44438" xr:uid="{00000000-0005-0000-0000-00008DAD0000}"/>
    <cellStyle name="Normal 3 4 8 2 3 2" xfId="44439" xr:uid="{00000000-0005-0000-0000-00008EAD0000}"/>
    <cellStyle name="Normal 3 4 8 2 3 3" xfId="44440" xr:uid="{00000000-0005-0000-0000-00008FAD0000}"/>
    <cellStyle name="Normal 3 4 8 2 4" xfId="44441" xr:uid="{00000000-0005-0000-0000-000090AD0000}"/>
    <cellStyle name="Normal 3 4 8 2 4 2" xfId="44442" xr:uid="{00000000-0005-0000-0000-000091AD0000}"/>
    <cellStyle name="Normal 3 4 8 2 4 3" xfId="44443" xr:uid="{00000000-0005-0000-0000-000092AD0000}"/>
    <cellStyle name="Normal 3 4 8 2 5" xfId="44444" xr:uid="{00000000-0005-0000-0000-000093AD0000}"/>
    <cellStyle name="Normal 3 4 8 2 5 2" xfId="44445" xr:uid="{00000000-0005-0000-0000-000094AD0000}"/>
    <cellStyle name="Normal 3 4 8 2 5 3" xfId="44446" xr:uid="{00000000-0005-0000-0000-000095AD0000}"/>
    <cellStyle name="Normal 3 4 8 2 6" xfId="44447" xr:uid="{00000000-0005-0000-0000-000096AD0000}"/>
    <cellStyle name="Normal 3 4 8 2 6 2" xfId="44448" xr:uid="{00000000-0005-0000-0000-000097AD0000}"/>
    <cellStyle name="Normal 3 4 8 2 6 3" xfId="44449" xr:uid="{00000000-0005-0000-0000-000098AD0000}"/>
    <cellStyle name="Normal 3 4 8 2 7" xfId="44450" xr:uid="{00000000-0005-0000-0000-000099AD0000}"/>
    <cellStyle name="Normal 3 4 8 2 7 2" xfId="44451" xr:uid="{00000000-0005-0000-0000-00009AAD0000}"/>
    <cellStyle name="Normal 3 4 8 2 7 3" xfId="44452" xr:uid="{00000000-0005-0000-0000-00009BAD0000}"/>
    <cellStyle name="Normal 3 4 8 2 8" xfId="44453" xr:uid="{00000000-0005-0000-0000-00009CAD0000}"/>
    <cellStyle name="Normal 3 4 8 2 8 2" xfId="44454" xr:uid="{00000000-0005-0000-0000-00009DAD0000}"/>
    <cellStyle name="Normal 3 4 8 2 8 3" xfId="44455" xr:uid="{00000000-0005-0000-0000-00009EAD0000}"/>
    <cellStyle name="Normal 3 4 8 2 9" xfId="44456" xr:uid="{00000000-0005-0000-0000-00009FAD0000}"/>
    <cellStyle name="Normal 3 4 8 2 9 2" xfId="44457" xr:uid="{00000000-0005-0000-0000-0000A0AD0000}"/>
    <cellStyle name="Normal 3 4 8 2 9 3" xfId="44458" xr:uid="{00000000-0005-0000-0000-0000A1AD0000}"/>
    <cellStyle name="Normal 3 4 8 20" xfId="44459" xr:uid="{00000000-0005-0000-0000-0000A2AD0000}"/>
    <cellStyle name="Normal 3 4 8 20 2" xfId="44460" xr:uid="{00000000-0005-0000-0000-0000A3AD0000}"/>
    <cellStyle name="Normal 3 4 8 20 3" xfId="44461" xr:uid="{00000000-0005-0000-0000-0000A4AD0000}"/>
    <cellStyle name="Normal 3 4 8 21" xfId="44462" xr:uid="{00000000-0005-0000-0000-0000A5AD0000}"/>
    <cellStyle name="Normal 3 4 8 21 2" xfId="44463" xr:uid="{00000000-0005-0000-0000-0000A6AD0000}"/>
    <cellStyle name="Normal 3 4 8 21 3" xfId="44464" xr:uid="{00000000-0005-0000-0000-0000A7AD0000}"/>
    <cellStyle name="Normal 3 4 8 22" xfId="44465" xr:uid="{00000000-0005-0000-0000-0000A8AD0000}"/>
    <cellStyle name="Normal 3 4 8 22 2" xfId="44466" xr:uid="{00000000-0005-0000-0000-0000A9AD0000}"/>
    <cellStyle name="Normal 3 4 8 22 3" xfId="44467" xr:uid="{00000000-0005-0000-0000-0000AAAD0000}"/>
    <cellStyle name="Normal 3 4 8 23" xfId="44468" xr:uid="{00000000-0005-0000-0000-0000ABAD0000}"/>
    <cellStyle name="Normal 3 4 8 23 2" xfId="44469" xr:uid="{00000000-0005-0000-0000-0000ACAD0000}"/>
    <cellStyle name="Normal 3 4 8 23 3" xfId="44470" xr:uid="{00000000-0005-0000-0000-0000ADAD0000}"/>
    <cellStyle name="Normal 3 4 8 24" xfId="44471" xr:uid="{00000000-0005-0000-0000-0000AEAD0000}"/>
    <cellStyle name="Normal 3 4 8 25" xfId="44472" xr:uid="{00000000-0005-0000-0000-0000AFAD0000}"/>
    <cellStyle name="Normal 3 4 8 3" xfId="44473" xr:uid="{00000000-0005-0000-0000-0000B0AD0000}"/>
    <cellStyle name="Normal 3 4 8 3 10" xfId="44474" xr:uid="{00000000-0005-0000-0000-0000B1AD0000}"/>
    <cellStyle name="Normal 3 4 8 3 10 2" xfId="44475" xr:uid="{00000000-0005-0000-0000-0000B2AD0000}"/>
    <cellStyle name="Normal 3 4 8 3 10 3" xfId="44476" xr:uid="{00000000-0005-0000-0000-0000B3AD0000}"/>
    <cellStyle name="Normal 3 4 8 3 11" xfId="44477" xr:uid="{00000000-0005-0000-0000-0000B4AD0000}"/>
    <cellStyle name="Normal 3 4 8 3 11 2" xfId="44478" xr:uid="{00000000-0005-0000-0000-0000B5AD0000}"/>
    <cellStyle name="Normal 3 4 8 3 11 3" xfId="44479" xr:uid="{00000000-0005-0000-0000-0000B6AD0000}"/>
    <cellStyle name="Normal 3 4 8 3 12" xfId="44480" xr:uid="{00000000-0005-0000-0000-0000B7AD0000}"/>
    <cellStyle name="Normal 3 4 8 3 12 2" xfId="44481" xr:uid="{00000000-0005-0000-0000-0000B8AD0000}"/>
    <cellStyle name="Normal 3 4 8 3 12 3" xfId="44482" xr:uid="{00000000-0005-0000-0000-0000B9AD0000}"/>
    <cellStyle name="Normal 3 4 8 3 13" xfId="44483" xr:uid="{00000000-0005-0000-0000-0000BAAD0000}"/>
    <cellStyle name="Normal 3 4 8 3 13 2" xfId="44484" xr:uid="{00000000-0005-0000-0000-0000BBAD0000}"/>
    <cellStyle name="Normal 3 4 8 3 13 3" xfId="44485" xr:uid="{00000000-0005-0000-0000-0000BCAD0000}"/>
    <cellStyle name="Normal 3 4 8 3 14" xfId="44486" xr:uid="{00000000-0005-0000-0000-0000BDAD0000}"/>
    <cellStyle name="Normal 3 4 8 3 14 2" xfId="44487" xr:uid="{00000000-0005-0000-0000-0000BEAD0000}"/>
    <cellStyle name="Normal 3 4 8 3 14 3" xfId="44488" xr:uid="{00000000-0005-0000-0000-0000BFAD0000}"/>
    <cellStyle name="Normal 3 4 8 3 15" xfId="44489" xr:uid="{00000000-0005-0000-0000-0000C0AD0000}"/>
    <cellStyle name="Normal 3 4 8 3 15 2" xfId="44490" xr:uid="{00000000-0005-0000-0000-0000C1AD0000}"/>
    <cellStyle name="Normal 3 4 8 3 15 3" xfId="44491" xr:uid="{00000000-0005-0000-0000-0000C2AD0000}"/>
    <cellStyle name="Normal 3 4 8 3 16" xfId="44492" xr:uid="{00000000-0005-0000-0000-0000C3AD0000}"/>
    <cellStyle name="Normal 3 4 8 3 17" xfId="44493" xr:uid="{00000000-0005-0000-0000-0000C4AD0000}"/>
    <cellStyle name="Normal 3 4 8 3 2" xfId="44494" xr:uid="{00000000-0005-0000-0000-0000C5AD0000}"/>
    <cellStyle name="Normal 3 4 8 3 2 10" xfId="44495" xr:uid="{00000000-0005-0000-0000-0000C6AD0000}"/>
    <cellStyle name="Normal 3 4 8 3 2 10 2" xfId="44496" xr:uid="{00000000-0005-0000-0000-0000C7AD0000}"/>
    <cellStyle name="Normal 3 4 8 3 2 10 3" xfId="44497" xr:uid="{00000000-0005-0000-0000-0000C8AD0000}"/>
    <cellStyle name="Normal 3 4 8 3 2 11" xfId="44498" xr:uid="{00000000-0005-0000-0000-0000C9AD0000}"/>
    <cellStyle name="Normal 3 4 8 3 2 11 2" xfId="44499" xr:uid="{00000000-0005-0000-0000-0000CAAD0000}"/>
    <cellStyle name="Normal 3 4 8 3 2 11 3" xfId="44500" xr:uid="{00000000-0005-0000-0000-0000CBAD0000}"/>
    <cellStyle name="Normal 3 4 8 3 2 12" xfId="44501" xr:uid="{00000000-0005-0000-0000-0000CCAD0000}"/>
    <cellStyle name="Normal 3 4 8 3 2 12 2" xfId="44502" xr:uid="{00000000-0005-0000-0000-0000CDAD0000}"/>
    <cellStyle name="Normal 3 4 8 3 2 12 3" xfId="44503" xr:uid="{00000000-0005-0000-0000-0000CEAD0000}"/>
    <cellStyle name="Normal 3 4 8 3 2 13" xfId="44504" xr:uid="{00000000-0005-0000-0000-0000CFAD0000}"/>
    <cellStyle name="Normal 3 4 8 3 2 13 2" xfId="44505" xr:uid="{00000000-0005-0000-0000-0000D0AD0000}"/>
    <cellStyle name="Normal 3 4 8 3 2 13 3" xfId="44506" xr:uid="{00000000-0005-0000-0000-0000D1AD0000}"/>
    <cellStyle name="Normal 3 4 8 3 2 14" xfId="44507" xr:uid="{00000000-0005-0000-0000-0000D2AD0000}"/>
    <cellStyle name="Normal 3 4 8 3 2 14 2" xfId="44508" xr:uid="{00000000-0005-0000-0000-0000D3AD0000}"/>
    <cellStyle name="Normal 3 4 8 3 2 14 3" xfId="44509" xr:uid="{00000000-0005-0000-0000-0000D4AD0000}"/>
    <cellStyle name="Normal 3 4 8 3 2 15" xfId="44510" xr:uid="{00000000-0005-0000-0000-0000D5AD0000}"/>
    <cellStyle name="Normal 3 4 8 3 2 16" xfId="44511" xr:uid="{00000000-0005-0000-0000-0000D6AD0000}"/>
    <cellStyle name="Normal 3 4 8 3 2 2" xfId="44512" xr:uid="{00000000-0005-0000-0000-0000D7AD0000}"/>
    <cellStyle name="Normal 3 4 8 3 2 2 2" xfId="44513" xr:uid="{00000000-0005-0000-0000-0000D8AD0000}"/>
    <cellStyle name="Normal 3 4 8 3 2 2 3" xfId="44514" xr:uid="{00000000-0005-0000-0000-0000D9AD0000}"/>
    <cellStyle name="Normal 3 4 8 3 2 3" xfId="44515" xr:uid="{00000000-0005-0000-0000-0000DAAD0000}"/>
    <cellStyle name="Normal 3 4 8 3 2 3 2" xfId="44516" xr:uid="{00000000-0005-0000-0000-0000DBAD0000}"/>
    <cellStyle name="Normal 3 4 8 3 2 3 3" xfId="44517" xr:uid="{00000000-0005-0000-0000-0000DCAD0000}"/>
    <cellStyle name="Normal 3 4 8 3 2 4" xfId="44518" xr:uid="{00000000-0005-0000-0000-0000DDAD0000}"/>
    <cellStyle name="Normal 3 4 8 3 2 4 2" xfId="44519" xr:uid="{00000000-0005-0000-0000-0000DEAD0000}"/>
    <cellStyle name="Normal 3 4 8 3 2 4 3" xfId="44520" xr:uid="{00000000-0005-0000-0000-0000DFAD0000}"/>
    <cellStyle name="Normal 3 4 8 3 2 5" xfId="44521" xr:uid="{00000000-0005-0000-0000-0000E0AD0000}"/>
    <cellStyle name="Normal 3 4 8 3 2 5 2" xfId="44522" xr:uid="{00000000-0005-0000-0000-0000E1AD0000}"/>
    <cellStyle name="Normal 3 4 8 3 2 5 3" xfId="44523" xr:uid="{00000000-0005-0000-0000-0000E2AD0000}"/>
    <cellStyle name="Normal 3 4 8 3 2 6" xfId="44524" xr:uid="{00000000-0005-0000-0000-0000E3AD0000}"/>
    <cellStyle name="Normal 3 4 8 3 2 6 2" xfId="44525" xr:uid="{00000000-0005-0000-0000-0000E4AD0000}"/>
    <cellStyle name="Normal 3 4 8 3 2 6 3" xfId="44526" xr:uid="{00000000-0005-0000-0000-0000E5AD0000}"/>
    <cellStyle name="Normal 3 4 8 3 2 7" xfId="44527" xr:uid="{00000000-0005-0000-0000-0000E6AD0000}"/>
    <cellStyle name="Normal 3 4 8 3 2 7 2" xfId="44528" xr:uid="{00000000-0005-0000-0000-0000E7AD0000}"/>
    <cellStyle name="Normal 3 4 8 3 2 7 3" xfId="44529" xr:uid="{00000000-0005-0000-0000-0000E8AD0000}"/>
    <cellStyle name="Normal 3 4 8 3 2 8" xfId="44530" xr:uid="{00000000-0005-0000-0000-0000E9AD0000}"/>
    <cellStyle name="Normal 3 4 8 3 2 8 2" xfId="44531" xr:uid="{00000000-0005-0000-0000-0000EAAD0000}"/>
    <cellStyle name="Normal 3 4 8 3 2 8 3" xfId="44532" xr:uid="{00000000-0005-0000-0000-0000EBAD0000}"/>
    <cellStyle name="Normal 3 4 8 3 2 9" xfId="44533" xr:uid="{00000000-0005-0000-0000-0000ECAD0000}"/>
    <cellStyle name="Normal 3 4 8 3 2 9 2" xfId="44534" xr:uid="{00000000-0005-0000-0000-0000EDAD0000}"/>
    <cellStyle name="Normal 3 4 8 3 2 9 3" xfId="44535" xr:uid="{00000000-0005-0000-0000-0000EEAD0000}"/>
    <cellStyle name="Normal 3 4 8 3 3" xfId="44536" xr:uid="{00000000-0005-0000-0000-0000EFAD0000}"/>
    <cellStyle name="Normal 3 4 8 3 3 2" xfId="44537" xr:uid="{00000000-0005-0000-0000-0000F0AD0000}"/>
    <cellStyle name="Normal 3 4 8 3 3 3" xfId="44538" xr:uid="{00000000-0005-0000-0000-0000F1AD0000}"/>
    <cellStyle name="Normal 3 4 8 3 4" xfId="44539" xr:uid="{00000000-0005-0000-0000-0000F2AD0000}"/>
    <cellStyle name="Normal 3 4 8 3 4 2" xfId="44540" xr:uid="{00000000-0005-0000-0000-0000F3AD0000}"/>
    <cellStyle name="Normal 3 4 8 3 4 3" xfId="44541" xr:uid="{00000000-0005-0000-0000-0000F4AD0000}"/>
    <cellStyle name="Normal 3 4 8 3 5" xfId="44542" xr:uid="{00000000-0005-0000-0000-0000F5AD0000}"/>
    <cellStyle name="Normal 3 4 8 3 5 2" xfId="44543" xr:uid="{00000000-0005-0000-0000-0000F6AD0000}"/>
    <cellStyle name="Normal 3 4 8 3 5 3" xfId="44544" xr:uid="{00000000-0005-0000-0000-0000F7AD0000}"/>
    <cellStyle name="Normal 3 4 8 3 6" xfId="44545" xr:uid="{00000000-0005-0000-0000-0000F8AD0000}"/>
    <cellStyle name="Normal 3 4 8 3 6 2" xfId="44546" xr:uid="{00000000-0005-0000-0000-0000F9AD0000}"/>
    <cellStyle name="Normal 3 4 8 3 6 3" xfId="44547" xr:uid="{00000000-0005-0000-0000-0000FAAD0000}"/>
    <cellStyle name="Normal 3 4 8 3 7" xfId="44548" xr:uid="{00000000-0005-0000-0000-0000FBAD0000}"/>
    <cellStyle name="Normal 3 4 8 3 7 2" xfId="44549" xr:uid="{00000000-0005-0000-0000-0000FCAD0000}"/>
    <cellStyle name="Normal 3 4 8 3 7 3" xfId="44550" xr:uid="{00000000-0005-0000-0000-0000FDAD0000}"/>
    <cellStyle name="Normal 3 4 8 3 8" xfId="44551" xr:uid="{00000000-0005-0000-0000-0000FEAD0000}"/>
    <cellStyle name="Normal 3 4 8 3 8 2" xfId="44552" xr:uid="{00000000-0005-0000-0000-0000FFAD0000}"/>
    <cellStyle name="Normal 3 4 8 3 8 3" xfId="44553" xr:uid="{00000000-0005-0000-0000-000000AE0000}"/>
    <cellStyle name="Normal 3 4 8 3 9" xfId="44554" xr:uid="{00000000-0005-0000-0000-000001AE0000}"/>
    <cellStyle name="Normal 3 4 8 3 9 2" xfId="44555" xr:uid="{00000000-0005-0000-0000-000002AE0000}"/>
    <cellStyle name="Normal 3 4 8 3 9 3" xfId="44556" xr:uid="{00000000-0005-0000-0000-000003AE0000}"/>
    <cellStyle name="Normal 3 4 8 4" xfId="44557" xr:uid="{00000000-0005-0000-0000-000004AE0000}"/>
    <cellStyle name="Normal 3 4 8 4 10" xfId="44558" xr:uid="{00000000-0005-0000-0000-000005AE0000}"/>
    <cellStyle name="Normal 3 4 8 4 10 2" xfId="44559" xr:uid="{00000000-0005-0000-0000-000006AE0000}"/>
    <cellStyle name="Normal 3 4 8 4 10 3" xfId="44560" xr:uid="{00000000-0005-0000-0000-000007AE0000}"/>
    <cellStyle name="Normal 3 4 8 4 11" xfId="44561" xr:uid="{00000000-0005-0000-0000-000008AE0000}"/>
    <cellStyle name="Normal 3 4 8 4 11 2" xfId="44562" xr:uid="{00000000-0005-0000-0000-000009AE0000}"/>
    <cellStyle name="Normal 3 4 8 4 11 3" xfId="44563" xr:uid="{00000000-0005-0000-0000-00000AAE0000}"/>
    <cellStyle name="Normal 3 4 8 4 12" xfId="44564" xr:uid="{00000000-0005-0000-0000-00000BAE0000}"/>
    <cellStyle name="Normal 3 4 8 4 12 2" xfId="44565" xr:uid="{00000000-0005-0000-0000-00000CAE0000}"/>
    <cellStyle name="Normal 3 4 8 4 12 3" xfId="44566" xr:uid="{00000000-0005-0000-0000-00000DAE0000}"/>
    <cellStyle name="Normal 3 4 8 4 13" xfId="44567" xr:uid="{00000000-0005-0000-0000-00000EAE0000}"/>
    <cellStyle name="Normal 3 4 8 4 13 2" xfId="44568" xr:uid="{00000000-0005-0000-0000-00000FAE0000}"/>
    <cellStyle name="Normal 3 4 8 4 13 3" xfId="44569" xr:uid="{00000000-0005-0000-0000-000010AE0000}"/>
    <cellStyle name="Normal 3 4 8 4 14" xfId="44570" xr:uid="{00000000-0005-0000-0000-000011AE0000}"/>
    <cellStyle name="Normal 3 4 8 4 14 2" xfId="44571" xr:uid="{00000000-0005-0000-0000-000012AE0000}"/>
    <cellStyle name="Normal 3 4 8 4 14 3" xfId="44572" xr:uid="{00000000-0005-0000-0000-000013AE0000}"/>
    <cellStyle name="Normal 3 4 8 4 15" xfId="44573" xr:uid="{00000000-0005-0000-0000-000014AE0000}"/>
    <cellStyle name="Normal 3 4 8 4 15 2" xfId="44574" xr:uid="{00000000-0005-0000-0000-000015AE0000}"/>
    <cellStyle name="Normal 3 4 8 4 15 3" xfId="44575" xr:uid="{00000000-0005-0000-0000-000016AE0000}"/>
    <cellStyle name="Normal 3 4 8 4 16" xfId="44576" xr:uid="{00000000-0005-0000-0000-000017AE0000}"/>
    <cellStyle name="Normal 3 4 8 4 17" xfId="44577" xr:uid="{00000000-0005-0000-0000-000018AE0000}"/>
    <cellStyle name="Normal 3 4 8 4 2" xfId="44578" xr:uid="{00000000-0005-0000-0000-000019AE0000}"/>
    <cellStyle name="Normal 3 4 8 4 2 10" xfId="44579" xr:uid="{00000000-0005-0000-0000-00001AAE0000}"/>
    <cellStyle name="Normal 3 4 8 4 2 10 2" xfId="44580" xr:uid="{00000000-0005-0000-0000-00001BAE0000}"/>
    <cellStyle name="Normal 3 4 8 4 2 10 3" xfId="44581" xr:uid="{00000000-0005-0000-0000-00001CAE0000}"/>
    <cellStyle name="Normal 3 4 8 4 2 11" xfId="44582" xr:uid="{00000000-0005-0000-0000-00001DAE0000}"/>
    <cellStyle name="Normal 3 4 8 4 2 11 2" xfId="44583" xr:uid="{00000000-0005-0000-0000-00001EAE0000}"/>
    <cellStyle name="Normal 3 4 8 4 2 11 3" xfId="44584" xr:uid="{00000000-0005-0000-0000-00001FAE0000}"/>
    <cellStyle name="Normal 3 4 8 4 2 12" xfId="44585" xr:uid="{00000000-0005-0000-0000-000020AE0000}"/>
    <cellStyle name="Normal 3 4 8 4 2 12 2" xfId="44586" xr:uid="{00000000-0005-0000-0000-000021AE0000}"/>
    <cellStyle name="Normal 3 4 8 4 2 12 3" xfId="44587" xr:uid="{00000000-0005-0000-0000-000022AE0000}"/>
    <cellStyle name="Normal 3 4 8 4 2 13" xfId="44588" xr:uid="{00000000-0005-0000-0000-000023AE0000}"/>
    <cellStyle name="Normal 3 4 8 4 2 13 2" xfId="44589" xr:uid="{00000000-0005-0000-0000-000024AE0000}"/>
    <cellStyle name="Normal 3 4 8 4 2 13 3" xfId="44590" xr:uid="{00000000-0005-0000-0000-000025AE0000}"/>
    <cellStyle name="Normal 3 4 8 4 2 14" xfId="44591" xr:uid="{00000000-0005-0000-0000-000026AE0000}"/>
    <cellStyle name="Normal 3 4 8 4 2 14 2" xfId="44592" xr:uid="{00000000-0005-0000-0000-000027AE0000}"/>
    <cellStyle name="Normal 3 4 8 4 2 14 3" xfId="44593" xr:uid="{00000000-0005-0000-0000-000028AE0000}"/>
    <cellStyle name="Normal 3 4 8 4 2 15" xfId="44594" xr:uid="{00000000-0005-0000-0000-000029AE0000}"/>
    <cellStyle name="Normal 3 4 8 4 2 16" xfId="44595" xr:uid="{00000000-0005-0000-0000-00002AAE0000}"/>
    <cellStyle name="Normal 3 4 8 4 2 2" xfId="44596" xr:uid="{00000000-0005-0000-0000-00002BAE0000}"/>
    <cellStyle name="Normal 3 4 8 4 2 2 2" xfId="44597" xr:uid="{00000000-0005-0000-0000-00002CAE0000}"/>
    <cellStyle name="Normal 3 4 8 4 2 2 3" xfId="44598" xr:uid="{00000000-0005-0000-0000-00002DAE0000}"/>
    <cellStyle name="Normal 3 4 8 4 2 3" xfId="44599" xr:uid="{00000000-0005-0000-0000-00002EAE0000}"/>
    <cellStyle name="Normal 3 4 8 4 2 3 2" xfId="44600" xr:uid="{00000000-0005-0000-0000-00002FAE0000}"/>
    <cellStyle name="Normal 3 4 8 4 2 3 3" xfId="44601" xr:uid="{00000000-0005-0000-0000-000030AE0000}"/>
    <cellStyle name="Normal 3 4 8 4 2 4" xfId="44602" xr:uid="{00000000-0005-0000-0000-000031AE0000}"/>
    <cellStyle name="Normal 3 4 8 4 2 4 2" xfId="44603" xr:uid="{00000000-0005-0000-0000-000032AE0000}"/>
    <cellStyle name="Normal 3 4 8 4 2 4 3" xfId="44604" xr:uid="{00000000-0005-0000-0000-000033AE0000}"/>
    <cellStyle name="Normal 3 4 8 4 2 5" xfId="44605" xr:uid="{00000000-0005-0000-0000-000034AE0000}"/>
    <cellStyle name="Normal 3 4 8 4 2 5 2" xfId="44606" xr:uid="{00000000-0005-0000-0000-000035AE0000}"/>
    <cellStyle name="Normal 3 4 8 4 2 5 3" xfId="44607" xr:uid="{00000000-0005-0000-0000-000036AE0000}"/>
    <cellStyle name="Normal 3 4 8 4 2 6" xfId="44608" xr:uid="{00000000-0005-0000-0000-000037AE0000}"/>
    <cellStyle name="Normal 3 4 8 4 2 6 2" xfId="44609" xr:uid="{00000000-0005-0000-0000-000038AE0000}"/>
    <cellStyle name="Normal 3 4 8 4 2 6 3" xfId="44610" xr:uid="{00000000-0005-0000-0000-000039AE0000}"/>
    <cellStyle name="Normal 3 4 8 4 2 7" xfId="44611" xr:uid="{00000000-0005-0000-0000-00003AAE0000}"/>
    <cellStyle name="Normal 3 4 8 4 2 7 2" xfId="44612" xr:uid="{00000000-0005-0000-0000-00003BAE0000}"/>
    <cellStyle name="Normal 3 4 8 4 2 7 3" xfId="44613" xr:uid="{00000000-0005-0000-0000-00003CAE0000}"/>
    <cellStyle name="Normal 3 4 8 4 2 8" xfId="44614" xr:uid="{00000000-0005-0000-0000-00003DAE0000}"/>
    <cellStyle name="Normal 3 4 8 4 2 8 2" xfId="44615" xr:uid="{00000000-0005-0000-0000-00003EAE0000}"/>
    <cellStyle name="Normal 3 4 8 4 2 8 3" xfId="44616" xr:uid="{00000000-0005-0000-0000-00003FAE0000}"/>
    <cellStyle name="Normal 3 4 8 4 2 9" xfId="44617" xr:uid="{00000000-0005-0000-0000-000040AE0000}"/>
    <cellStyle name="Normal 3 4 8 4 2 9 2" xfId="44618" xr:uid="{00000000-0005-0000-0000-000041AE0000}"/>
    <cellStyle name="Normal 3 4 8 4 2 9 3" xfId="44619" xr:uid="{00000000-0005-0000-0000-000042AE0000}"/>
    <cellStyle name="Normal 3 4 8 4 3" xfId="44620" xr:uid="{00000000-0005-0000-0000-000043AE0000}"/>
    <cellStyle name="Normal 3 4 8 4 3 2" xfId="44621" xr:uid="{00000000-0005-0000-0000-000044AE0000}"/>
    <cellStyle name="Normal 3 4 8 4 3 3" xfId="44622" xr:uid="{00000000-0005-0000-0000-000045AE0000}"/>
    <cellStyle name="Normal 3 4 8 4 4" xfId="44623" xr:uid="{00000000-0005-0000-0000-000046AE0000}"/>
    <cellStyle name="Normal 3 4 8 4 4 2" xfId="44624" xr:uid="{00000000-0005-0000-0000-000047AE0000}"/>
    <cellStyle name="Normal 3 4 8 4 4 3" xfId="44625" xr:uid="{00000000-0005-0000-0000-000048AE0000}"/>
    <cellStyle name="Normal 3 4 8 4 5" xfId="44626" xr:uid="{00000000-0005-0000-0000-000049AE0000}"/>
    <cellStyle name="Normal 3 4 8 4 5 2" xfId="44627" xr:uid="{00000000-0005-0000-0000-00004AAE0000}"/>
    <cellStyle name="Normal 3 4 8 4 5 3" xfId="44628" xr:uid="{00000000-0005-0000-0000-00004BAE0000}"/>
    <cellStyle name="Normal 3 4 8 4 6" xfId="44629" xr:uid="{00000000-0005-0000-0000-00004CAE0000}"/>
    <cellStyle name="Normal 3 4 8 4 6 2" xfId="44630" xr:uid="{00000000-0005-0000-0000-00004DAE0000}"/>
    <cellStyle name="Normal 3 4 8 4 6 3" xfId="44631" xr:uid="{00000000-0005-0000-0000-00004EAE0000}"/>
    <cellStyle name="Normal 3 4 8 4 7" xfId="44632" xr:uid="{00000000-0005-0000-0000-00004FAE0000}"/>
    <cellStyle name="Normal 3 4 8 4 7 2" xfId="44633" xr:uid="{00000000-0005-0000-0000-000050AE0000}"/>
    <cellStyle name="Normal 3 4 8 4 7 3" xfId="44634" xr:uid="{00000000-0005-0000-0000-000051AE0000}"/>
    <cellStyle name="Normal 3 4 8 4 8" xfId="44635" xr:uid="{00000000-0005-0000-0000-000052AE0000}"/>
    <cellStyle name="Normal 3 4 8 4 8 2" xfId="44636" xr:uid="{00000000-0005-0000-0000-000053AE0000}"/>
    <cellStyle name="Normal 3 4 8 4 8 3" xfId="44637" xr:uid="{00000000-0005-0000-0000-000054AE0000}"/>
    <cellStyle name="Normal 3 4 8 4 9" xfId="44638" xr:uid="{00000000-0005-0000-0000-000055AE0000}"/>
    <cellStyle name="Normal 3 4 8 4 9 2" xfId="44639" xr:uid="{00000000-0005-0000-0000-000056AE0000}"/>
    <cellStyle name="Normal 3 4 8 4 9 3" xfId="44640" xr:uid="{00000000-0005-0000-0000-000057AE0000}"/>
    <cellStyle name="Normal 3 4 8 5" xfId="44641" xr:uid="{00000000-0005-0000-0000-000058AE0000}"/>
    <cellStyle name="Normal 3 4 8 5 10" xfId="44642" xr:uid="{00000000-0005-0000-0000-000059AE0000}"/>
    <cellStyle name="Normal 3 4 8 5 10 2" xfId="44643" xr:uid="{00000000-0005-0000-0000-00005AAE0000}"/>
    <cellStyle name="Normal 3 4 8 5 10 3" xfId="44644" xr:uid="{00000000-0005-0000-0000-00005BAE0000}"/>
    <cellStyle name="Normal 3 4 8 5 11" xfId="44645" xr:uid="{00000000-0005-0000-0000-00005CAE0000}"/>
    <cellStyle name="Normal 3 4 8 5 11 2" xfId="44646" xr:uid="{00000000-0005-0000-0000-00005DAE0000}"/>
    <cellStyle name="Normal 3 4 8 5 11 3" xfId="44647" xr:uid="{00000000-0005-0000-0000-00005EAE0000}"/>
    <cellStyle name="Normal 3 4 8 5 12" xfId="44648" xr:uid="{00000000-0005-0000-0000-00005FAE0000}"/>
    <cellStyle name="Normal 3 4 8 5 12 2" xfId="44649" xr:uid="{00000000-0005-0000-0000-000060AE0000}"/>
    <cellStyle name="Normal 3 4 8 5 12 3" xfId="44650" xr:uid="{00000000-0005-0000-0000-000061AE0000}"/>
    <cellStyle name="Normal 3 4 8 5 13" xfId="44651" xr:uid="{00000000-0005-0000-0000-000062AE0000}"/>
    <cellStyle name="Normal 3 4 8 5 13 2" xfId="44652" xr:uid="{00000000-0005-0000-0000-000063AE0000}"/>
    <cellStyle name="Normal 3 4 8 5 13 3" xfId="44653" xr:uid="{00000000-0005-0000-0000-000064AE0000}"/>
    <cellStyle name="Normal 3 4 8 5 14" xfId="44654" xr:uid="{00000000-0005-0000-0000-000065AE0000}"/>
    <cellStyle name="Normal 3 4 8 5 14 2" xfId="44655" xr:uid="{00000000-0005-0000-0000-000066AE0000}"/>
    <cellStyle name="Normal 3 4 8 5 14 3" xfId="44656" xr:uid="{00000000-0005-0000-0000-000067AE0000}"/>
    <cellStyle name="Normal 3 4 8 5 15" xfId="44657" xr:uid="{00000000-0005-0000-0000-000068AE0000}"/>
    <cellStyle name="Normal 3 4 8 5 16" xfId="44658" xr:uid="{00000000-0005-0000-0000-000069AE0000}"/>
    <cellStyle name="Normal 3 4 8 5 2" xfId="44659" xr:uid="{00000000-0005-0000-0000-00006AAE0000}"/>
    <cellStyle name="Normal 3 4 8 5 2 2" xfId="44660" xr:uid="{00000000-0005-0000-0000-00006BAE0000}"/>
    <cellStyle name="Normal 3 4 8 5 2 3" xfId="44661" xr:uid="{00000000-0005-0000-0000-00006CAE0000}"/>
    <cellStyle name="Normal 3 4 8 5 3" xfId="44662" xr:uid="{00000000-0005-0000-0000-00006DAE0000}"/>
    <cellStyle name="Normal 3 4 8 5 3 2" xfId="44663" xr:uid="{00000000-0005-0000-0000-00006EAE0000}"/>
    <cellStyle name="Normal 3 4 8 5 3 3" xfId="44664" xr:uid="{00000000-0005-0000-0000-00006FAE0000}"/>
    <cellStyle name="Normal 3 4 8 5 4" xfId="44665" xr:uid="{00000000-0005-0000-0000-000070AE0000}"/>
    <cellStyle name="Normal 3 4 8 5 4 2" xfId="44666" xr:uid="{00000000-0005-0000-0000-000071AE0000}"/>
    <cellStyle name="Normal 3 4 8 5 4 3" xfId="44667" xr:uid="{00000000-0005-0000-0000-000072AE0000}"/>
    <cellStyle name="Normal 3 4 8 5 5" xfId="44668" xr:uid="{00000000-0005-0000-0000-000073AE0000}"/>
    <cellStyle name="Normal 3 4 8 5 5 2" xfId="44669" xr:uid="{00000000-0005-0000-0000-000074AE0000}"/>
    <cellStyle name="Normal 3 4 8 5 5 3" xfId="44670" xr:uid="{00000000-0005-0000-0000-000075AE0000}"/>
    <cellStyle name="Normal 3 4 8 5 6" xfId="44671" xr:uid="{00000000-0005-0000-0000-000076AE0000}"/>
    <cellStyle name="Normal 3 4 8 5 6 2" xfId="44672" xr:uid="{00000000-0005-0000-0000-000077AE0000}"/>
    <cellStyle name="Normal 3 4 8 5 6 3" xfId="44673" xr:uid="{00000000-0005-0000-0000-000078AE0000}"/>
    <cellStyle name="Normal 3 4 8 5 7" xfId="44674" xr:uid="{00000000-0005-0000-0000-000079AE0000}"/>
    <cellStyle name="Normal 3 4 8 5 7 2" xfId="44675" xr:uid="{00000000-0005-0000-0000-00007AAE0000}"/>
    <cellStyle name="Normal 3 4 8 5 7 3" xfId="44676" xr:uid="{00000000-0005-0000-0000-00007BAE0000}"/>
    <cellStyle name="Normal 3 4 8 5 8" xfId="44677" xr:uid="{00000000-0005-0000-0000-00007CAE0000}"/>
    <cellStyle name="Normal 3 4 8 5 8 2" xfId="44678" xr:uid="{00000000-0005-0000-0000-00007DAE0000}"/>
    <cellStyle name="Normal 3 4 8 5 8 3" xfId="44679" xr:uid="{00000000-0005-0000-0000-00007EAE0000}"/>
    <cellStyle name="Normal 3 4 8 5 9" xfId="44680" xr:uid="{00000000-0005-0000-0000-00007FAE0000}"/>
    <cellStyle name="Normal 3 4 8 5 9 2" xfId="44681" xr:uid="{00000000-0005-0000-0000-000080AE0000}"/>
    <cellStyle name="Normal 3 4 8 5 9 3" xfId="44682" xr:uid="{00000000-0005-0000-0000-000081AE0000}"/>
    <cellStyle name="Normal 3 4 8 6" xfId="44683" xr:uid="{00000000-0005-0000-0000-000082AE0000}"/>
    <cellStyle name="Normal 3 4 8 6 10" xfId="44684" xr:uid="{00000000-0005-0000-0000-000083AE0000}"/>
    <cellStyle name="Normal 3 4 8 6 10 2" xfId="44685" xr:uid="{00000000-0005-0000-0000-000084AE0000}"/>
    <cellStyle name="Normal 3 4 8 6 10 3" xfId="44686" xr:uid="{00000000-0005-0000-0000-000085AE0000}"/>
    <cellStyle name="Normal 3 4 8 6 11" xfId="44687" xr:uid="{00000000-0005-0000-0000-000086AE0000}"/>
    <cellStyle name="Normal 3 4 8 6 11 2" xfId="44688" xr:uid="{00000000-0005-0000-0000-000087AE0000}"/>
    <cellStyle name="Normal 3 4 8 6 11 3" xfId="44689" xr:uid="{00000000-0005-0000-0000-000088AE0000}"/>
    <cellStyle name="Normal 3 4 8 6 12" xfId="44690" xr:uid="{00000000-0005-0000-0000-000089AE0000}"/>
    <cellStyle name="Normal 3 4 8 6 12 2" xfId="44691" xr:uid="{00000000-0005-0000-0000-00008AAE0000}"/>
    <cellStyle name="Normal 3 4 8 6 12 3" xfId="44692" xr:uid="{00000000-0005-0000-0000-00008BAE0000}"/>
    <cellStyle name="Normal 3 4 8 6 13" xfId="44693" xr:uid="{00000000-0005-0000-0000-00008CAE0000}"/>
    <cellStyle name="Normal 3 4 8 6 13 2" xfId="44694" xr:uid="{00000000-0005-0000-0000-00008DAE0000}"/>
    <cellStyle name="Normal 3 4 8 6 13 3" xfId="44695" xr:uid="{00000000-0005-0000-0000-00008EAE0000}"/>
    <cellStyle name="Normal 3 4 8 6 14" xfId="44696" xr:uid="{00000000-0005-0000-0000-00008FAE0000}"/>
    <cellStyle name="Normal 3 4 8 6 14 2" xfId="44697" xr:uid="{00000000-0005-0000-0000-000090AE0000}"/>
    <cellStyle name="Normal 3 4 8 6 14 3" xfId="44698" xr:uid="{00000000-0005-0000-0000-000091AE0000}"/>
    <cellStyle name="Normal 3 4 8 6 15" xfId="44699" xr:uid="{00000000-0005-0000-0000-000092AE0000}"/>
    <cellStyle name="Normal 3 4 8 6 16" xfId="44700" xr:uid="{00000000-0005-0000-0000-000093AE0000}"/>
    <cellStyle name="Normal 3 4 8 6 2" xfId="44701" xr:uid="{00000000-0005-0000-0000-000094AE0000}"/>
    <cellStyle name="Normal 3 4 8 6 2 2" xfId="44702" xr:uid="{00000000-0005-0000-0000-000095AE0000}"/>
    <cellStyle name="Normal 3 4 8 6 2 3" xfId="44703" xr:uid="{00000000-0005-0000-0000-000096AE0000}"/>
    <cellStyle name="Normal 3 4 8 6 3" xfId="44704" xr:uid="{00000000-0005-0000-0000-000097AE0000}"/>
    <cellStyle name="Normal 3 4 8 6 3 2" xfId="44705" xr:uid="{00000000-0005-0000-0000-000098AE0000}"/>
    <cellStyle name="Normal 3 4 8 6 3 3" xfId="44706" xr:uid="{00000000-0005-0000-0000-000099AE0000}"/>
    <cellStyle name="Normal 3 4 8 6 4" xfId="44707" xr:uid="{00000000-0005-0000-0000-00009AAE0000}"/>
    <cellStyle name="Normal 3 4 8 6 4 2" xfId="44708" xr:uid="{00000000-0005-0000-0000-00009BAE0000}"/>
    <cellStyle name="Normal 3 4 8 6 4 3" xfId="44709" xr:uid="{00000000-0005-0000-0000-00009CAE0000}"/>
    <cellStyle name="Normal 3 4 8 6 5" xfId="44710" xr:uid="{00000000-0005-0000-0000-00009DAE0000}"/>
    <cellStyle name="Normal 3 4 8 6 5 2" xfId="44711" xr:uid="{00000000-0005-0000-0000-00009EAE0000}"/>
    <cellStyle name="Normal 3 4 8 6 5 3" xfId="44712" xr:uid="{00000000-0005-0000-0000-00009FAE0000}"/>
    <cellStyle name="Normal 3 4 8 6 6" xfId="44713" xr:uid="{00000000-0005-0000-0000-0000A0AE0000}"/>
    <cellStyle name="Normal 3 4 8 6 6 2" xfId="44714" xr:uid="{00000000-0005-0000-0000-0000A1AE0000}"/>
    <cellStyle name="Normal 3 4 8 6 6 3" xfId="44715" xr:uid="{00000000-0005-0000-0000-0000A2AE0000}"/>
    <cellStyle name="Normal 3 4 8 6 7" xfId="44716" xr:uid="{00000000-0005-0000-0000-0000A3AE0000}"/>
    <cellStyle name="Normal 3 4 8 6 7 2" xfId="44717" xr:uid="{00000000-0005-0000-0000-0000A4AE0000}"/>
    <cellStyle name="Normal 3 4 8 6 7 3" xfId="44718" xr:uid="{00000000-0005-0000-0000-0000A5AE0000}"/>
    <cellStyle name="Normal 3 4 8 6 8" xfId="44719" xr:uid="{00000000-0005-0000-0000-0000A6AE0000}"/>
    <cellStyle name="Normal 3 4 8 6 8 2" xfId="44720" xr:uid="{00000000-0005-0000-0000-0000A7AE0000}"/>
    <cellStyle name="Normal 3 4 8 6 8 3" xfId="44721" xr:uid="{00000000-0005-0000-0000-0000A8AE0000}"/>
    <cellStyle name="Normal 3 4 8 6 9" xfId="44722" xr:uid="{00000000-0005-0000-0000-0000A9AE0000}"/>
    <cellStyle name="Normal 3 4 8 6 9 2" xfId="44723" xr:uid="{00000000-0005-0000-0000-0000AAAE0000}"/>
    <cellStyle name="Normal 3 4 8 6 9 3" xfId="44724" xr:uid="{00000000-0005-0000-0000-0000ABAE0000}"/>
    <cellStyle name="Normal 3 4 8 7" xfId="44725" xr:uid="{00000000-0005-0000-0000-0000ACAE0000}"/>
    <cellStyle name="Normal 3 4 8 7 10" xfId="44726" xr:uid="{00000000-0005-0000-0000-0000ADAE0000}"/>
    <cellStyle name="Normal 3 4 8 7 10 2" xfId="44727" xr:uid="{00000000-0005-0000-0000-0000AEAE0000}"/>
    <cellStyle name="Normal 3 4 8 7 10 3" xfId="44728" xr:uid="{00000000-0005-0000-0000-0000AFAE0000}"/>
    <cellStyle name="Normal 3 4 8 7 11" xfId="44729" xr:uid="{00000000-0005-0000-0000-0000B0AE0000}"/>
    <cellStyle name="Normal 3 4 8 7 11 2" xfId="44730" xr:uid="{00000000-0005-0000-0000-0000B1AE0000}"/>
    <cellStyle name="Normal 3 4 8 7 11 3" xfId="44731" xr:uid="{00000000-0005-0000-0000-0000B2AE0000}"/>
    <cellStyle name="Normal 3 4 8 7 12" xfId="44732" xr:uid="{00000000-0005-0000-0000-0000B3AE0000}"/>
    <cellStyle name="Normal 3 4 8 7 12 2" xfId="44733" xr:uid="{00000000-0005-0000-0000-0000B4AE0000}"/>
    <cellStyle name="Normal 3 4 8 7 12 3" xfId="44734" xr:uid="{00000000-0005-0000-0000-0000B5AE0000}"/>
    <cellStyle name="Normal 3 4 8 7 13" xfId="44735" xr:uid="{00000000-0005-0000-0000-0000B6AE0000}"/>
    <cellStyle name="Normal 3 4 8 7 13 2" xfId="44736" xr:uid="{00000000-0005-0000-0000-0000B7AE0000}"/>
    <cellStyle name="Normal 3 4 8 7 13 3" xfId="44737" xr:uid="{00000000-0005-0000-0000-0000B8AE0000}"/>
    <cellStyle name="Normal 3 4 8 7 14" xfId="44738" xr:uid="{00000000-0005-0000-0000-0000B9AE0000}"/>
    <cellStyle name="Normal 3 4 8 7 14 2" xfId="44739" xr:uid="{00000000-0005-0000-0000-0000BAAE0000}"/>
    <cellStyle name="Normal 3 4 8 7 14 3" xfId="44740" xr:uid="{00000000-0005-0000-0000-0000BBAE0000}"/>
    <cellStyle name="Normal 3 4 8 7 15" xfId="44741" xr:uid="{00000000-0005-0000-0000-0000BCAE0000}"/>
    <cellStyle name="Normal 3 4 8 7 16" xfId="44742" xr:uid="{00000000-0005-0000-0000-0000BDAE0000}"/>
    <cellStyle name="Normal 3 4 8 7 2" xfId="44743" xr:uid="{00000000-0005-0000-0000-0000BEAE0000}"/>
    <cellStyle name="Normal 3 4 8 7 2 2" xfId="44744" xr:uid="{00000000-0005-0000-0000-0000BFAE0000}"/>
    <cellStyle name="Normal 3 4 8 7 2 3" xfId="44745" xr:uid="{00000000-0005-0000-0000-0000C0AE0000}"/>
    <cellStyle name="Normal 3 4 8 7 3" xfId="44746" xr:uid="{00000000-0005-0000-0000-0000C1AE0000}"/>
    <cellStyle name="Normal 3 4 8 7 3 2" xfId="44747" xr:uid="{00000000-0005-0000-0000-0000C2AE0000}"/>
    <cellStyle name="Normal 3 4 8 7 3 3" xfId="44748" xr:uid="{00000000-0005-0000-0000-0000C3AE0000}"/>
    <cellStyle name="Normal 3 4 8 7 4" xfId="44749" xr:uid="{00000000-0005-0000-0000-0000C4AE0000}"/>
    <cellStyle name="Normal 3 4 8 7 4 2" xfId="44750" xr:uid="{00000000-0005-0000-0000-0000C5AE0000}"/>
    <cellStyle name="Normal 3 4 8 7 4 3" xfId="44751" xr:uid="{00000000-0005-0000-0000-0000C6AE0000}"/>
    <cellStyle name="Normal 3 4 8 7 5" xfId="44752" xr:uid="{00000000-0005-0000-0000-0000C7AE0000}"/>
    <cellStyle name="Normal 3 4 8 7 5 2" xfId="44753" xr:uid="{00000000-0005-0000-0000-0000C8AE0000}"/>
    <cellStyle name="Normal 3 4 8 7 5 3" xfId="44754" xr:uid="{00000000-0005-0000-0000-0000C9AE0000}"/>
    <cellStyle name="Normal 3 4 8 7 6" xfId="44755" xr:uid="{00000000-0005-0000-0000-0000CAAE0000}"/>
    <cellStyle name="Normal 3 4 8 7 6 2" xfId="44756" xr:uid="{00000000-0005-0000-0000-0000CBAE0000}"/>
    <cellStyle name="Normal 3 4 8 7 6 3" xfId="44757" xr:uid="{00000000-0005-0000-0000-0000CCAE0000}"/>
    <cellStyle name="Normal 3 4 8 7 7" xfId="44758" xr:uid="{00000000-0005-0000-0000-0000CDAE0000}"/>
    <cellStyle name="Normal 3 4 8 7 7 2" xfId="44759" xr:uid="{00000000-0005-0000-0000-0000CEAE0000}"/>
    <cellStyle name="Normal 3 4 8 7 7 3" xfId="44760" xr:uid="{00000000-0005-0000-0000-0000CFAE0000}"/>
    <cellStyle name="Normal 3 4 8 7 8" xfId="44761" xr:uid="{00000000-0005-0000-0000-0000D0AE0000}"/>
    <cellStyle name="Normal 3 4 8 7 8 2" xfId="44762" xr:uid="{00000000-0005-0000-0000-0000D1AE0000}"/>
    <cellStyle name="Normal 3 4 8 7 8 3" xfId="44763" xr:uid="{00000000-0005-0000-0000-0000D2AE0000}"/>
    <cellStyle name="Normal 3 4 8 7 9" xfId="44764" xr:uid="{00000000-0005-0000-0000-0000D3AE0000}"/>
    <cellStyle name="Normal 3 4 8 7 9 2" xfId="44765" xr:uid="{00000000-0005-0000-0000-0000D4AE0000}"/>
    <cellStyle name="Normal 3 4 8 7 9 3" xfId="44766" xr:uid="{00000000-0005-0000-0000-0000D5AE0000}"/>
    <cellStyle name="Normal 3 4 8 8" xfId="44767" xr:uid="{00000000-0005-0000-0000-0000D6AE0000}"/>
    <cellStyle name="Normal 3 4 8 8 10" xfId="44768" xr:uid="{00000000-0005-0000-0000-0000D7AE0000}"/>
    <cellStyle name="Normal 3 4 8 8 10 2" xfId="44769" xr:uid="{00000000-0005-0000-0000-0000D8AE0000}"/>
    <cellStyle name="Normal 3 4 8 8 10 3" xfId="44770" xr:uid="{00000000-0005-0000-0000-0000D9AE0000}"/>
    <cellStyle name="Normal 3 4 8 8 11" xfId="44771" xr:uid="{00000000-0005-0000-0000-0000DAAE0000}"/>
    <cellStyle name="Normal 3 4 8 8 11 2" xfId="44772" xr:uid="{00000000-0005-0000-0000-0000DBAE0000}"/>
    <cellStyle name="Normal 3 4 8 8 11 3" xfId="44773" xr:uid="{00000000-0005-0000-0000-0000DCAE0000}"/>
    <cellStyle name="Normal 3 4 8 8 12" xfId="44774" xr:uid="{00000000-0005-0000-0000-0000DDAE0000}"/>
    <cellStyle name="Normal 3 4 8 8 12 2" xfId="44775" xr:uid="{00000000-0005-0000-0000-0000DEAE0000}"/>
    <cellStyle name="Normal 3 4 8 8 12 3" xfId="44776" xr:uid="{00000000-0005-0000-0000-0000DFAE0000}"/>
    <cellStyle name="Normal 3 4 8 8 13" xfId="44777" xr:uid="{00000000-0005-0000-0000-0000E0AE0000}"/>
    <cellStyle name="Normal 3 4 8 8 13 2" xfId="44778" xr:uid="{00000000-0005-0000-0000-0000E1AE0000}"/>
    <cellStyle name="Normal 3 4 8 8 13 3" xfId="44779" xr:uid="{00000000-0005-0000-0000-0000E2AE0000}"/>
    <cellStyle name="Normal 3 4 8 8 14" xfId="44780" xr:uid="{00000000-0005-0000-0000-0000E3AE0000}"/>
    <cellStyle name="Normal 3 4 8 8 14 2" xfId="44781" xr:uid="{00000000-0005-0000-0000-0000E4AE0000}"/>
    <cellStyle name="Normal 3 4 8 8 14 3" xfId="44782" xr:uid="{00000000-0005-0000-0000-0000E5AE0000}"/>
    <cellStyle name="Normal 3 4 8 8 15" xfId="44783" xr:uid="{00000000-0005-0000-0000-0000E6AE0000}"/>
    <cellStyle name="Normal 3 4 8 8 16" xfId="44784" xr:uid="{00000000-0005-0000-0000-0000E7AE0000}"/>
    <cellStyle name="Normal 3 4 8 8 2" xfId="44785" xr:uid="{00000000-0005-0000-0000-0000E8AE0000}"/>
    <cellStyle name="Normal 3 4 8 8 2 2" xfId="44786" xr:uid="{00000000-0005-0000-0000-0000E9AE0000}"/>
    <cellStyle name="Normal 3 4 8 8 2 3" xfId="44787" xr:uid="{00000000-0005-0000-0000-0000EAAE0000}"/>
    <cellStyle name="Normal 3 4 8 8 3" xfId="44788" xr:uid="{00000000-0005-0000-0000-0000EBAE0000}"/>
    <cellStyle name="Normal 3 4 8 8 3 2" xfId="44789" xr:uid="{00000000-0005-0000-0000-0000ECAE0000}"/>
    <cellStyle name="Normal 3 4 8 8 3 3" xfId="44790" xr:uid="{00000000-0005-0000-0000-0000EDAE0000}"/>
    <cellStyle name="Normal 3 4 8 8 4" xfId="44791" xr:uid="{00000000-0005-0000-0000-0000EEAE0000}"/>
    <cellStyle name="Normal 3 4 8 8 4 2" xfId="44792" xr:uid="{00000000-0005-0000-0000-0000EFAE0000}"/>
    <cellStyle name="Normal 3 4 8 8 4 3" xfId="44793" xr:uid="{00000000-0005-0000-0000-0000F0AE0000}"/>
    <cellStyle name="Normal 3 4 8 8 5" xfId="44794" xr:uid="{00000000-0005-0000-0000-0000F1AE0000}"/>
    <cellStyle name="Normal 3 4 8 8 5 2" xfId="44795" xr:uid="{00000000-0005-0000-0000-0000F2AE0000}"/>
    <cellStyle name="Normal 3 4 8 8 5 3" xfId="44796" xr:uid="{00000000-0005-0000-0000-0000F3AE0000}"/>
    <cellStyle name="Normal 3 4 8 8 6" xfId="44797" xr:uid="{00000000-0005-0000-0000-0000F4AE0000}"/>
    <cellStyle name="Normal 3 4 8 8 6 2" xfId="44798" xr:uid="{00000000-0005-0000-0000-0000F5AE0000}"/>
    <cellStyle name="Normal 3 4 8 8 6 3" xfId="44799" xr:uid="{00000000-0005-0000-0000-0000F6AE0000}"/>
    <cellStyle name="Normal 3 4 8 8 7" xfId="44800" xr:uid="{00000000-0005-0000-0000-0000F7AE0000}"/>
    <cellStyle name="Normal 3 4 8 8 7 2" xfId="44801" xr:uid="{00000000-0005-0000-0000-0000F8AE0000}"/>
    <cellStyle name="Normal 3 4 8 8 7 3" xfId="44802" xr:uid="{00000000-0005-0000-0000-0000F9AE0000}"/>
    <cellStyle name="Normal 3 4 8 8 8" xfId="44803" xr:uid="{00000000-0005-0000-0000-0000FAAE0000}"/>
    <cellStyle name="Normal 3 4 8 8 8 2" xfId="44804" xr:uid="{00000000-0005-0000-0000-0000FBAE0000}"/>
    <cellStyle name="Normal 3 4 8 8 8 3" xfId="44805" xr:uid="{00000000-0005-0000-0000-0000FCAE0000}"/>
    <cellStyle name="Normal 3 4 8 8 9" xfId="44806" xr:uid="{00000000-0005-0000-0000-0000FDAE0000}"/>
    <cellStyle name="Normal 3 4 8 8 9 2" xfId="44807" xr:uid="{00000000-0005-0000-0000-0000FEAE0000}"/>
    <cellStyle name="Normal 3 4 8 8 9 3" xfId="44808" xr:uid="{00000000-0005-0000-0000-0000FFAE0000}"/>
    <cellStyle name="Normal 3 4 8 9" xfId="44809" xr:uid="{00000000-0005-0000-0000-000000AF0000}"/>
    <cellStyle name="Normal 3 4 8 9 10" xfId="44810" xr:uid="{00000000-0005-0000-0000-000001AF0000}"/>
    <cellStyle name="Normal 3 4 8 9 10 2" xfId="44811" xr:uid="{00000000-0005-0000-0000-000002AF0000}"/>
    <cellStyle name="Normal 3 4 8 9 10 3" xfId="44812" xr:uid="{00000000-0005-0000-0000-000003AF0000}"/>
    <cellStyle name="Normal 3 4 8 9 11" xfId="44813" xr:uid="{00000000-0005-0000-0000-000004AF0000}"/>
    <cellStyle name="Normal 3 4 8 9 11 2" xfId="44814" xr:uid="{00000000-0005-0000-0000-000005AF0000}"/>
    <cellStyle name="Normal 3 4 8 9 11 3" xfId="44815" xr:uid="{00000000-0005-0000-0000-000006AF0000}"/>
    <cellStyle name="Normal 3 4 8 9 12" xfId="44816" xr:uid="{00000000-0005-0000-0000-000007AF0000}"/>
    <cellStyle name="Normal 3 4 8 9 12 2" xfId="44817" xr:uid="{00000000-0005-0000-0000-000008AF0000}"/>
    <cellStyle name="Normal 3 4 8 9 12 3" xfId="44818" xr:uid="{00000000-0005-0000-0000-000009AF0000}"/>
    <cellStyle name="Normal 3 4 8 9 13" xfId="44819" xr:uid="{00000000-0005-0000-0000-00000AAF0000}"/>
    <cellStyle name="Normal 3 4 8 9 13 2" xfId="44820" xr:uid="{00000000-0005-0000-0000-00000BAF0000}"/>
    <cellStyle name="Normal 3 4 8 9 13 3" xfId="44821" xr:uid="{00000000-0005-0000-0000-00000CAF0000}"/>
    <cellStyle name="Normal 3 4 8 9 14" xfId="44822" xr:uid="{00000000-0005-0000-0000-00000DAF0000}"/>
    <cellStyle name="Normal 3 4 8 9 14 2" xfId="44823" xr:uid="{00000000-0005-0000-0000-00000EAF0000}"/>
    <cellStyle name="Normal 3 4 8 9 14 3" xfId="44824" xr:uid="{00000000-0005-0000-0000-00000FAF0000}"/>
    <cellStyle name="Normal 3 4 8 9 15" xfId="44825" xr:uid="{00000000-0005-0000-0000-000010AF0000}"/>
    <cellStyle name="Normal 3 4 8 9 16" xfId="44826" xr:uid="{00000000-0005-0000-0000-000011AF0000}"/>
    <cellStyle name="Normal 3 4 8 9 2" xfId="44827" xr:uid="{00000000-0005-0000-0000-000012AF0000}"/>
    <cellStyle name="Normal 3 4 8 9 2 2" xfId="44828" xr:uid="{00000000-0005-0000-0000-000013AF0000}"/>
    <cellStyle name="Normal 3 4 8 9 2 3" xfId="44829" xr:uid="{00000000-0005-0000-0000-000014AF0000}"/>
    <cellStyle name="Normal 3 4 8 9 3" xfId="44830" xr:uid="{00000000-0005-0000-0000-000015AF0000}"/>
    <cellStyle name="Normal 3 4 8 9 3 2" xfId="44831" xr:uid="{00000000-0005-0000-0000-000016AF0000}"/>
    <cellStyle name="Normal 3 4 8 9 3 3" xfId="44832" xr:uid="{00000000-0005-0000-0000-000017AF0000}"/>
    <cellStyle name="Normal 3 4 8 9 4" xfId="44833" xr:uid="{00000000-0005-0000-0000-000018AF0000}"/>
    <cellStyle name="Normal 3 4 8 9 4 2" xfId="44834" xr:uid="{00000000-0005-0000-0000-000019AF0000}"/>
    <cellStyle name="Normal 3 4 8 9 4 3" xfId="44835" xr:uid="{00000000-0005-0000-0000-00001AAF0000}"/>
    <cellStyle name="Normal 3 4 8 9 5" xfId="44836" xr:uid="{00000000-0005-0000-0000-00001BAF0000}"/>
    <cellStyle name="Normal 3 4 8 9 5 2" xfId="44837" xr:uid="{00000000-0005-0000-0000-00001CAF0000}"/>
    <cellStyle name="Normal 3 4 8 9 5 3" xfId="44838" xr:uid="{00000000-0005-0000-0000-00001DAF0000}"/>
    <cellStyle name="Normal 3 4 8 9 6" xfId="44839" xr:uid="{00000000-0005-0000-0000-00001EAF0000}"/>
    <cellStyle name="Normal 3 4 8 9 6 2" xfId="44840" xr:uid="{00000000-0005-0000-0000-00001FAF0000}"/>
    <cellStyle name="Normal 3 4 8 9 6 3" xfId="44841" xr:uid="{00000000-0005-0000-0000-000020AF0000}"/>
    <cellStyle name="Normal 3 4 8 9 7" xfId="44842" xr:uid="{00000000-0005-0000-0000-000021AF0000}"/>
    <cellStyle name="Normal 3 4 8 9 7 2" xfId="44843" xr:uid="{00000000-0005-0000-0000-000022AF0000}"/>
    <cellStyle name="Normal 3 4 8 9 7 3" xfId="44844" xr:uid="{00000000-0005-0000-0000-000023AF0000}"/>
    <cellStyle name="Normal 3 4 8 9 8" xfId="44845" xr:uid="{00000000-0005-0000-0000-000024AF0000}"/>
    <cellStyle name="Normal 3 4 8 9 8 2" xfId="44846" xr:uid="{00000000-0005-0000-0000-000025AF0000}"/>
    <cellStyle name="Normal 3 4 8 9 8 3" xfId="44847" xr:uid="{00000000-0005-0000-0000-000026AF0000}"/>
    <cellStyle name="Normal 3 4 8 9 9" xfId="44848" xr:uid="{00000000-0005-0000-0000-000027AF0000}"/>
    <cellStyle name="Normal 3 4 8 9 9 2" xfId="44849" xr:uid="{00000000-0005-0000-0000-000028AF0000}"/>
    <cellStyle name="Normal 3 4 8 9 9 3" xfId="44850" xr:uid="{00000000-0005-0000-0000-000029AF0000}"/>
    <cellStyle name="Normal 3 4 9" xfId="44851" xr:uid="{00000000-0005-0000-0000-00002AAF0000}"/>
    <cellStyle name="Normal 3 4 9 10" xfId="44852" xr:uid="{00000000-0005-0000-0000-00002BAF0000}"/>
    <cellStyle name="Normal 3 4 9 10 10" xfId="44853" xr:uid="{00000000-0005-0000-0000-00002CAF0000}"/>
    <cellStyle name="Normal 3 4 9 10 10 2" xfId="44854" xr:uid="{00000000-0005-0000-0000-00002DAF0000}"/>
    <cellStyle name="Normal 3 4 9 10 10 3" xfId="44855" xr:uid="{00000000-0005-0000-0000-00002EAF0000}"/>
    <cellStyle name="Normal 3 4 9 10 11" xfId="44856" xr:uid="{00000000-0005-0000-0000-00002FAF0000}"/>
    <cellStyle name="Normal 3 4 9 10 11 2" xfId="44857" xr:uid="{00000000-0005-0000-0000-000030AF0000}"/>
    <cellStyle name="Normal 3 4 9 10 11 3" xfId="44858" xr:uid="{00000000-0005-0000-0000-000031AF0000}"/>
    <cellStyle name="Normal 3 4 9 10 12" xfId="44859" xr:uid="{00000000-0005-0000-0000-000032AF0000}"/>
    <cellStyle name="Normal 3 4 9 10 12 2" xfId="44860" xr:uid="{00000000-0005-0000-0000-000033AF0000}"/>
    <cellStyle name="Normal 3 4 9 10 12 3" xfId="44861" xr:uid="{00000000-0005-0000-0000-000034AF0000}"/>
    <cellStyle name="Normal 3 4 9 10 13" xfId="44862" xr:uid="{00000000-0005-0000-0000-000035AF0000}"/>
    <cellStyle name="Normal 3 4 9 10 13 2" xfId="44863" xr:uid="{00000000-0005-0000-0000-000036AF0000}"/>
    <cellStyle name="Normal 3 4 9 10 13 3" xfId="44864" xr:uid="{00000000-0005-0000-0000-000037AF0000}"/>
    <cellStyle name="Normal 3 4 9 10 14" xfId="44865" xr:uid="{00000000-0005-0000-0000-000038AF0000}"/>
    <cellStyle name="Normal 3 4 9 10 14 2" xfId="44866" xr:uid="{00000000-0005-0000-0000-000039AF0000}"/>
    <cellStyle name="Normal 3 4 9 10 14 3" xfId="44867" xr:uid="{00000000-0005-0000-0000-00003AAF0000}"/>
    <cellStyle name="Normal 3 4 9 10 15" xfId="44868" xr:uid="{00000000-0005-0000-0000-00003BAF0000}"/>
    <cellStyle name="Normal 3 4 9 10 16" xfId="44869" xr:uid="{00000000-0005-0000-0000-00003CAF0000}"/>
    <cellStyle name="Normal 3 4 9 10 2" xfId="44870" xr:uid="{00000000-0005-0000-0000-00003DAF0000}"/>
    <cellStyle name="Normal 3 4 9 10 2 2" xfId="44871" xr:uid="{00000000-0005-0000-0000-00003EAF0000}"/>
    <cellStyle name="Normal 3 4 9 10 2 3" xfId="44872" xr:uid="{00000000-0005-0000-0000-00003FAF0000}"/>
    <cellStyle name="Normal 3 4 9 10 3" xfId="44873" xr:uid="{00000000-0005-0000-0000-000040AF0000}"/>
    <cellStyle name="Normal 3 4 9 10 3 2" xfId="44874" xr:uid="{00000000-0005-0000-0000-000041AF0000}"/>
    <cellStyle name="Normal 3 4 9 10 3 3" xfId="44875" xr:uid="{00000000-0005-0000-0000-000042AF0000}"/>
    <cellStyle name="Normal 3 4 9 10 4" xfId="44876" xr:uid="{00000000-0005-0000-0000-000043AF0000}"/>
    <cellStyle name="Normal 3 4 9 10 4 2" xfId="44877" xr:uid="{00000000-0005-0000-0000-000044AF0000}"/>
    <cellStyle name="Normal 3 4 9 10 4 3" xfId="44878" xr:uid="{00000000-0005-0000-0000-000045AF0000}"/>
    <cellStyle name="Normal 3 4 9 10 5" xfId="44879" xr:uid="{00000000-0005-0000-0000-000046AF0000}"/>
    <cellStyle name="Normal 3 4 9 10 5 2" xfId="44880" xr:uid="{00000000-0005-0000-0000-000047AF0000}"/>
    <cellStyle name="Normal 3 4 9 10 5 3" xfId="44881" xr:uid="{00000000-0005-0000-0000-000048AF0000}"/>
    <cellStyle name="Normal 3 4 9 10 6" xfId="44882" xr:uid="{00000000-0005-0000-0000-000049AF0000}"/>
    <cellStyle name="Normal 3 4 9 10 6 2" xfId="44883" xr:uid="{00000000-0005-0000-0000-00004AAF0000}"/>
    <cellStyle name="Normal 3 4 9 10 6 3" xfId="44884" xr:uid="{00000000-0005-0000-0000-00004BAF0000}"/>
    <cellStyle name="Normal 3 4 9 10 7" xfId="44885" xr:uid="{00000000-0005-0000-0000-00004CAF0000}"/>
    <cellStyle name="Normal 3 4 9 10 7 2" xfId="44886" xr:uid="{00000000-0005-0000-0000-00004DAF0000}"/>
    <cellStyle name="Normal 3 4 9 10 7 3" xfId="44887" xr:uid="{00000000-0005-0000-0000-00004EAF0000}"/>
    <cellStyle name="Normal 3 4 9 10 8" xfId="44888" xr:uid="{00000000-0005-0000-0000-00004FAF0000}"/>
    <cellStyle name="Normal 3 4 9 10 8 2" xfId="44889" xr:uid="{00000000-0005-0000-0000-000050AF0000}"/>
    <cellStyle name="Normal 3 4 9 10 8 3" xfId="44890" xr:uid="{00000000-0005-0000-0000-000051AF0000}"/>
    <cellStyle name="Normal 3 4 9 10 9" xfId="44891" xr:uid="{00000000-0005-0000-0000-000052AF0000}"/>
    <cellStyle name="Normal 3 4 9 10 9 2" xfId="44892" xr:uid="{00000000-0005-0000-0000-000053AF0000}"/>
    <cellStyle name="Normal 3 4 9 10 9 3" xfId="44893" xr:uid="{00000000-0005-0000-0000-000054AF0000}"/>
    <cellStyle name="Normal 3 4 9 11" xfId="44894" xr:uid="{00000000-0005-0000-0000-000055AF0000}"/>
    <cellStyle name="Normal 3 4 9 11 2" xfId="44895" xr:uid="{00000000-0005-0000-0000-000056AF0000}"/>
    <cellStyle name="Normal 3 4 9 11 3" xfId="44896" xr:uid="{00000000-0005-0000-0000-000057AF0000}"/>
    <cellStyle name="Normal 3 4 9 12" xfId="44897" xr:uid="{00000000-0005-0000-0000-000058AF0000}"/>
    <cellStyle name="Normal 3 4 9 12 2" xfId="44898" xr:uid="{00000000-0005-0000-0000-000059AF0000}"/>
    <cellStyle name="Normal 3 4 9 12 3" xfId="44899" xr:uid="{00000000-0005-0000-0000-00005AAF0000}"/>
    <cellStyle name="Normal 3 4 9 13" xfId="44900" xr:uid="{00000000-0005-0000-0000-00005BAF0000}"/>
    <cellStyle name="Normal 3 4 9 13 2" xfId="44901" xr:uid="{00000000-0005-0000-0000-00005CAF0000}"/>
    <cellStyle name="Normal 3 4 9 13 3" xfId="44902" xr:uid="{00000000-0005-0000-0000-00005DAF0000}"/>
    <cellStyle name="Normal 3 4 9 14" xfId="44903" xr:uid="{00000000-0005-0000-0000-00005EAF0000}"/>
    <cellStyle name="Normal 3 4 9 14 2" xfId="44904" xr:uid="{00000000-0005-0000-0000-00005FAF0000}"/>
    <cellStyle name="Normal 3 4 9 14 3" xfId="44905" xr:uid="{00000000-0005-0000-0000-000060AF0000}"/>
    <cellStyle name="Normal 3 4 9 15" xfId="44906" xr:uid="{00000000-0005-0000-0000-000061AF0000}"/>
    <cellStyle name="Normal 3 4 9 15 2" xfId="44907" xr:uid="{00000000-0005-0000-0000-000062AF0000}"/>
    <cellStyle name="Normal 3 4 9 15 3" xfId="44908" xr:uid="{00000000-0005-0000-0000-000063AF0000}"/>
    <cellStyle name="Normal 3 4 9 16" xfId="44909" xr:uid="{00000000-0005-0000-0000-000064AF0000}"/>
    <cellStyle name="Normal 3 4 9 16 2" xfId="44910" xr:uid="{00000000-0005-0000-0000-000065AF0000}"/>
    <cellStyle name="Normal 3 4 9 16 3" xfId="44911" xr:uid="{00000000-0005-0000-0000-000066AF0000}"/>
    <cellStyle name="Normal 3 4 9 17" xfId="44912" xr:uid="{00000000-0005-0000-0000-000067AF0000}"/>
    <cellStyle name="Normal 3 4 9 17 2" xfId="44913" xr:uid="{00000000-0005-0000-0000-000068AF0000}"/>
    <cellStyle name="Normal 3 4 9 17 3" xfId="44914" xr:uid="{00000000-0005-0000-0000-000069AF0000}"/>
    <cellStyle name="Normal 3 4 9 18" xfId="44915" xr:uid="{00000000-0005-0000-0000-00006AAF0000}"/>
    <cellStyle name="Normal 3 4 9 18 2" xfId="44916" xr:uid="{00000000-0005-0000-0000-00006BAF0000}"/>
    <cellStyle name="Normal 3 4 9 18 3" xfId="44917" xr:uid="{00000000-0005-0000-0000-00006CAF0000}"/>
    <cellStyle name="Normal 3 4 9 19" xfId="44918" xr:uid="{00000000-0005-0000-0000-00006DAF0000}"/>
    <cellStyle name="Normal 3 4 9 19 2" xfId="44919" xr:uid="{00000000-0005-0000-0000-00006EAF0000}"/>
    <cellStyle name="Normal 3 4 9 19 3" xfId="44920" xr:uid="{00000000-0005-0000-0000-00006FAF0000}"/>
    <cellStyle name="Normal 3 4 9 2" xfId="44921" xr:uid="{00000000-0005-0000-0000-000070AF0000}"/>
    <cellStyle name="Normal 3 4 9 2 10" xfId="44922" xr:uid="{00000000-0005-0000-0000-000071AF0000}"/>
    <cellStyle name="Normal 3 4 9 2 10 2" xfId="44923" xr:uid="{00000000-0005-0000-0000-000072AF0000}"/>
    <cellStyle name="Normal 3 4 9 2 10 3" xfId="44924" xr:uid="{00000000-0005-0000-0000-000073AF0000}"/>
    <cellStyle name="Normal 3 4 9 2 11" xfId="44925" xr:uid="{00000000-0005-0000-0000-000074AF0000}"/>
    <cellStyle name="Normal 3 4 9 2 11 2" xfId="44926" xr:uid="{00000000-0005-0000-0000-000075AF0000}"/>
    <cellStyle name="Normal 3 4 9 2 11 3" xfId="44927" xr:uid="{00000000-0005-0000-0000-000076AF0000}"/>
    <cellStyle name="Normal 3 4 9 2 12" xfId="44928" xr:uid="{00000000-0005-0000-0000-000077AF0000}"/>
    <cellStyle name="Normal 3 4 9 2 12 2" xfId="44929" xr:uid="{00000000-0005-0000-0000-000078AF0000}"/>
    <cellStyle name="Normal 3 4 9 2 12 3" xfId="44930" xr:uid="{00000000-0005-0000-0000-000079AF0000}"/>
    <cellStyle name="Normal 3 4 9 2 13" xfId="44931" xr:uid="{00000000-0005-0000-0000-00007AAF0000}"/>
    <cellStyle name="Normal 3 4 9 2 13 2" xfId="44932" xr:uid="{00000000-0005-0000-0000-00007BAF0000}"/>
    <cellStyle name="Normal 3 4 9 2 13 3" xfId="44933" xr:uid="{00000000-0005-0000-0000-00007CAF0000}"/>
    <cellStyle name="Normal 3 4 9 2 14" xfId="44934" xr:uid="{00000000-0005-0000-0000-00007DAF0000}"/>
    <cellStyle name="Normal 3 4 9 2 14 2" xfId="44935" xr:uid="{00000000-0005-0000-0000-00007EAF0000}"/>
    <cellStyle name="Normal 3 4 9 2 14 3" xfId="44936" xr:uid="{00000000-0005-0000-0000-00007FAF0000}"/>
    <cellStyle name="Normal 3 4 9 2 15" xfId="44937" xr:uid="{00000000-0005-0000-0000-000080AF0000}"/>
    <cellStyle name="Normal 3 4 9 2 15 2" xfId="44938" xr:uid="{00000000-0005-0000-0000-000081AF0000}"/>
    <cellStyle name="Normal 3 4 9 2 15 3" xfId="44939" xr:uid="{00000000-0005-0000-0000-000082AF0000}"/>
    <cellStyle name="Normal 3 4 9 2 16" xfId="44940" xr:uid="{00000000-0005-0000-0000-000083AF0000}"/>
    <cellStyle name="Normal 3 4 9 2 17" xfId="44941" xr:uid="{00000000-0005-0000-0000-000084AF0000}"/>
    <cellStyle name="Normal 3 4 9 2 2" xfId="44942" xr:uid="{00000000-0005-0000-0000-000085AF0000}"/>
    <cellStyle name="Normal 3 4 9 2 2 10" xfId="44943" xr:uid="{00000000-0005-0000-0000-000086AF0000}"/>
    <cellStyle name="Normal 3 4 9 2 2 10 2" xfId="44944" xr:uid="{00000000-0005-0000-0000-000087AF0000}"/>
    <cellStyle name="Normal 3 4 9 2 2 10 3" xfId="44945" xr:uid="{00000000-0005-0000-0000-000088AF0000}"/>
    <cellStyle name="Normal 3 4 9 2 2 11" xfId="44946" xr:uid="{00000000-0005-0000-0000-000089AF0000}"/>
    <cellStyle name="Normal 3 4 9 2 2 11 2" xfId="44947" xr:uid="{00000000-0005-0000-0000-00008AAF0000}"/>
    <cellStyle name="Normal 3 4 9 2 2 11 3" xfId="44948" xr:uid="{00000000-0005-0000-0000-00008BAF0000}"/>
    <cellStyle name="Normal 3 4 9 2 2 12" xfId="44949" xr:uid="{00000000-0005-0000-0000-00008CAF0000}"/>
    <cellStyle name="Normal 3 4 9 2 2 12 2" xfId="44950" xr:uid="{00000000-0005-0000-0000-00008DAF0000}"/>
    <cellStyle name="Normal 3 4 9 2 2 12 3" xfId="44951" xr:uid="{00000000-0005-0000-0000-00008EAF0000}"/>
    <cellStyle name="Normal 3 4 9 2 2 13" xfId="44952" xr:uid="{00000000-0005-0000-0000-00008FAF0000}"/>
    <cellStyle name="Normal 3 4 9 2 2 13 2" xfId="44953" xr:uid="{00000000-0005-0000-0000-000090AF0000}"/>
    <cellStyle name="Normal 3 4 9 2 2 13 3" xfId="44954" xr:uid="{00000000-0005-0000-0000-000091AF0000}"/>
    <cellStyle name="Normal 3 4 9 2 2 14" xfId="44955" xr:uid="{00000000-0005-0000-0000-000092AF0000}"/>
    <cellStyle name="Normal 3 4 9 2 2 14 2" xfId="44956" xr:uid="{00000000-0005-0000-0000-000093AF0000}"/>
    <cellStyle name="Normal 3 4 9 2 2 14 3" xfId="44957" xr:uid="{00000000-0005-0000-0000-000094AF0000}"/>
    <cellStyle name="Normal 3 4 9 2 2 15" xfId="44958" xr:uid="{00000000-0005-0000-0000-000095AF0000}"/>
    <cellStyle name="Normal 3 4 9 2 2 16" xfId="44959" xr:uid="{00000000-0005-0000-0000-000096AF0000}"/>
    <cellStyle name="Normal 3 4 9 2 2 2" xfId="44960" xr:uid="{00000000-0005-0000-0000-000097AF0000}"/>
    <cellStyle name="Normal 3 4 9 2 2 2 2" xfId="44961" xr:uid="{00000000-0005-0000-0000-000098AF0000}"/>
    <cellStyle name="Normal 3 4 9 2 2 2 3" xfId="44962" xr:uid="{00000000-0005-0000-0000-000099AF0000}"/>
    <cellStyle name="Normal 3 4 9 2 2 3" xfId="44963" xr:uid="{00000000-0005-0000-0000-00009AAF0000}"/>
    <cellStyle name="Normal 3 4 9 2 2 3 2" xfId="44964" xr:uid="{00000000-0005-0000-0000-00009BAF0000}"/>
    <cellStyle name="Normal 3 4 9 2 2 3 3" xfId="44965" xr:uid="{00000000-0005-0000-0000-00009CAF0000}"/>
    <cellStyle name="Normal 3 4 9 2 2 4" xfId="44966" xr:uid="{00000000-0005-0000-0000-00009DAF0000}"/>
    <cellStyle name="Normal 3 4 9 2 2 4 2" xfId="44967" xr:uid="{00000000-0005-0000-0000-00009EAF0000}"/>
    <cellStyle name="Normal 3 4 9 2 2 4 3" xfId="44968" xr:uid="{00000000-0005-0000-0000-00009FAF0000}"/>
    <cellStyle name="Normal 3 4 9 2 2 5" xfId="44969" xr:uid="{00000000-0005-0000-0000-0000A0AF0000}"/>
    <cellStyle name="Normal 3 4 9 2 2 5 2" xfId="44970" xr:uid="{00000000-0005-0000-0000-0000A1AF0000}"/>
    <cellStyle name="Normal 3 4 9 2 2 5 3" xfId="44971" xr:uid="{00000000-0005-0000-0000-0000A2AF0000}"/>
    <cellStyle name="Normal 3 4 9 2 2 6" xfId="44972" xr:uid="{00000000-0005-0000-0000-0000A3AF0000}"/>
    <cellStyle name="Normal 3 4 9 2 2 6 2" xfId="44973" xr:uid="{00000000-0005-0000-0000-0000A4AF0000}"/>
    <cellStyle name="Normal 3 4 9 2 2 6 3" xfId="44974" xr:uid="{00000000-0005-0000-0000-0000A5AF0000}"/>
    <cellStyle name="Normal 3 4 9 2 2 7" xfId="44975" xr:uid="{00000000-0005-0000-0000-0000A6AF0000}"/>
    <cellStyle name="Normal 3 4 9 2 2 7 2" xfId="44976" xr:uid="{00000000-0005-0000-0000-0000A7AF0000}"/>
    <cellStyle name="Normal 3 4 9 2 2 7 3" xfId="44977" xr:uid="{00000000-0005-0000-0000-0000A8AF0000}"/>
    <cellStyle name="Normal 3 4 9 2 2 8" xfId="44978" xr:uid="{00000000-0005-0000-0000-0000A9AF0000}"/>
    <cellStyle name="Normal 3 4 9 2 2 8 2" xfId="44979" xr:uid="{00000000-0005-0000-0000-0000AAAF0000}"/>
    <cellStyle name="Normal 3 4 9 2 2 8 3" xfId="44980" xr:uid="{00000000-0005-0000-0000-0000ABAF0000}"/>
    <cellStyle name="Normal 3 4 9 2 2 9" xfId="44981" xr:uid="{00000000-0005-0000-0000-0000ACAF0000}"/>
    <cellStyle name="Normal 3 4 9 2 2 9 2" xfId="44982" xr:uid="{00000000-0005-0000-0000-0000ADAF0000}"/>
    <cellStyle name="Normal 3 4 9 2 2 9 3" xfId="44983" xr:uid="{00000000-0005-0000-0000-0000AEAF0000}"/>
    <cellStyle name="Normal 3 4 9 2 3" xfId="44984" xr:uid="{00000000-0005-0000-0000-0000AFAF0000}"/>
    <cellStyle name="Normal 3 4 9 2 3 2" xfId="44985" xr:uid="{00000000-0005-0000-0000-0000B0AF0000}"/>
    <cellStyle name="Normal 3 4 9 2 3 3" xfId="44986" xr:uid="{00000000-0005-0000-0000-0000B1AF0000}"/>
    <cellStyle name="Normal 3 4 9 2 4" xfId="44987" xr:uid="{00000000-0005-0000-0000-0000B2AF0000}"/>
    <cellStyle name="Normal 3 4 9 2 4 2" xfId="44988" xr:uid="{00000000-0005-0000-0000-0000B3AF0000}"/>
    <cellStyle name="Normal 3 4 9 2 4 3" xfId="44989" xr:uid="{00000000-0005-0000-0000-0000B4AF0000}"/>
    <cellStyle name="Normal 3 4 9 2 5" xfId="44990" xr:uid="{00000000-0005-0000-0000-0000B5AF0000}"/>
    <cellStyle name="Normal 3 4 9 2 5 2" xfId="44991" xr:uid="{00000000-0005-0000-0000-0000B6AF0000}"/>
    <cellStyle name="Normal 3 4 9 2 5 3" xfId="44992" xr:uid="{00000000-0005-0000-0000-0000B7AF0000}"/>
    <cellStyle name="Normal 3 4 9 2 6" xfId="44993" xr:uid="{00000000-0005-0000-0000-0000B8AF0000}"/>
    <cellStyle name="Normal 3 4 9 2 6 2" xfId="44994" xr:uid="{00000000-0005-0000-0000-0000B9AF0000}"/>
    <cellStyle name="Normal 3 4 9 2 6 3" xfId="44995" xr:uid="{00000000-0005-0000-0000-0000BAAF0000}"/>
    <cellStyle name="Normal 3 4 9 2 7" xfId="44996" xr:uid="{00000000-0005-0000-0000-0000BBAF0000}"/>
    <cellStyle name="Normal 3 4 9 2 7 2" xfId="44997" xr:uid="{00000000-0005-0000-0000-0000BCAF0000}"/>
    <cellStyle name="Normal 3 4 9 2 7 3" xfId="44998" xr:uid="{00000000-0005-0000-0000-0000BDAF0000}"/>
    <cellStyle name="Normal 3 4 9 2 8" xfId="44999" xr:uid="{00000000-0005-0000-0000-0000BEAF0000}"/>
    <cellStyle name="Normal 3 4 9 2 8 2" xfId="45000" xr:uid="{00000000-0005-0000-0000-0000BFAF0000}"/>
    <cellStyle name="Normal 3 4 9 2 8 3" xfId="45001" xr:uid="{00000000-0005-0000-0000-0000C0AF0000}"/>
    <cellStyle name="Normal 3 4 9 2 9" xfId="45002" xr:uid="{00000000-0005-0000-0000-0000C1AF0000}"/>
    <cellStyle name="Normal 3 4 9 2 9 2" xfId="45003" xr:uid="{00000000-0005-0000-0000-0000C2AF0000}"/>
    <cellStyle name="Normal 3 4 9 2 9 3" xfId="45004" xr:uid="{00000000-0005-0000-0000-0000C3AF0000}"/>
    <cellStyle name="Normal 3 4 9 20" xfId="45005" xr:uid="{00000000-0005-0000-0000-0000C4AF0000}"/>
    <cellStyle name="Normal 3 4 9 20 2" xfId="45006" xr:uid="{00000000-0005-0000-0000-0000C5AF0000}"/>
    <cellStyle name="Normal 3 4 9 20 3" xfId="45007" xr:uid="{00000000-0005-0000-0000-0000C6AF0000}"/>
    <cellStyle name="Normal 3 4 9 21" xfId="45008" xr:uid="{00000000-0005-0000-0000-0000C7AF0000}"/>
    <cellStyle name="Normal 3 4 9 21 2" xfId="45009" xr:uid="{00000000-0005-0000-0000-0000C8AF0000}"/>
    <cellStyle name="Normal 3 4 9 21 3" xfId="45010" xr:uid="{00000000-0005-0000-0000-0000C9AF0000}"/>
    <cellStyle name="Normal 3 4 9 22" xfId="45011" xr:uid="{00000000-0005-0000-0000-0000CAAF0000}"/>
    <cellStyle name="Normal 3 4 9 22 2" xfId="45012" xr:uid="{00000000-0005-0000-0000-0000CBAF0000}"/>
    <cellStyle name="Normal 3 4 9 22 3" xfId="45013" xr:uid="{00000000-0005-0000-0000-0000CCAF0000}"/>
    <cellStyle name="Normal 3 4 9 23" xfId="45014" xr:uid="{00000000-0005-0000-0000-0000CDAF0000}"/>
    <cellStyle name="Normal 3 4 9 23 2" xfId="45015" xr:uid="{00000000-0005-0000-0000-0000CEAF0000}"/>
    <cellStyle name="Normal 3 4 9 23 3" xfId="45016" xr:uid="{00000000-0005-0000-0000-0000CFAF0000}"/>
    <cellStyle name="Normal 3 4 9 24" xfId="45017" xr:uid="{00000000-0005-0000-0000-0000D0AF0000}"/>
    <cellStyle name="Normal 3 4 9 25" xfId="45018" xr:uid="{00000000-0005-0000-0000-0000D1AF0000}"/>
    <cellStyle name="Normal 3 4 9 3" xfId="45019" xr:uid="{00000000-0005-0000-0000-0000D2AF0000}"/>
    <cellStyle name="Normal 3 4 9 3 10" xfId="45020" xr:uid="{00000000-0005-0000-0000-0000D3AF0000}"/>
    <cellStyle name="Normal 3 4 9 3 10 2" xfId="45021" xr:uid="{00000000-0005-0000-0000-0000D4AF0000}"/>
    <cellStyle name="Normal 3 4 9 3 10 3" xfId="45022" xr:uid="{00000000-0005-0000-0000-0000D5AF0000}"/>
    <cellStyle name="Normal 3 4 9 3 11" xfId="45023" xr:uid="{00000000-0005-0000-0000-0000D6AF0000}"/>
    <cellStyle name="Normal 3 4 9 3 11 2" xfId="45024" xr:uid="{00000000-0005-0000-0000-0000D7AF0000}"/>
    <cellStyle name="Normal 3 4 9 3 11 3" xfId="45025" xr:uid="{00000000-0005-0000-0000-0000D8AF0000}"/>
    <cellStyle name="Normal 3 4 9 3 12" xfId="45026" xr:uid="{00000000-0005-0000-0000-0000D9AF0000}"/>
    <cellStyle name="Normal 3 4 9 3 12 2" xfId="45027" xr:uid="{00000000-0005-0000-0000-0000DAAF0000}"/>
    <cellStyle name="Normal 3 4 9 3 12 3" xfId="45028" xr:uid="{00000000-0005-0000-0000-0000DBAF0000}"/>
    <cellStyle name="Normal 3 4 9 3 13" xfId="45029" xr:uid="{00000000-0005-0000-0000-0000DCAF0000}"/>
    <cellStyle name="Normal 3 4 9 3 13 2" xfId="45030" xr:uid="{00000000-0005-0000-0000-0000DDAF0000}"/>
    <cellStyle name="Normal 3 4 9 3 13 3" xfId="45031" xr:uid="{00000000-0005-0000-0000-0000DEAF0000}"/>
    <cellStyle name="Normal 3 4 9 3 14" xfId="45032" xr:uid="{00000000-0005-0000-0000-0000DFAF0000}"/>
    <cellStyle name="Normal 3 4 9 3 14 2" xfId="45033" xr:uid="{00000000-0005-0000-0000-0000E0AF0000}"/>
    <cellStyle name="Normal 3 4 9 3 14 3" xfId="45034" xr:uid="{00000000-0005-0000-0000-0000E1AF0000}"/>
    <cellStyle name="Normal 3 4 9 3 15" xfId="45035" xr:uid="{00000000-0005-0000-0000-0000E2AF0000}"/>
    <cellStyle name="Normal 3 4 9 3 15 2" xfId="45036" xr:uid="{00000000-0005-0000-0000-0000E3AF0000}"/>
    <cellStyle name="Normal 3 4 9 3 15 3" xfId="45037" xr:uid="{00000000-0005-0000-0000-0000E4AF0000}"/>
    <cellStyle name="Normal 3 4 9 3 16" xfId="45038" xr:uid="{00000000-0005-0000-0000-0000E5AF0000}"/>
    <cellStyle name="Normal 3 4 9 3 17" xfId="45039" xr:uid="{00000000-0005-0000-0000-0000E6AF0000}"/>
    <cellStyle name="Normal 3 4 9 3 2" xfId="45040" xr:uid="{00000000-0005-0000-0000-0000E7AF0000}"/>
    <cellStyle name="Normal 3 4 9 3 2 10" xfId="45041" xr:uid="{00000000-0005-0000-0000-0000E8AF0000}"/>
    <cellStyle name="Normal 3 4 9 3 2 10 2" xfId="45042" xr:uid="{00000000-0005-0000-0000-0000E9AF0000}"/>
    <cellStyle name="Normal 3 4 9 3 2 10 3" xfId="45043" xr:uid="{00000000-0005-0000-0000-0000EAAF0000}"/>
    <cellStyle name="Normal 3 4 9 3 2 11" xfId="45044" xr:uid="{00000000-0005-0000-0000-0000EBAF0000}"/>
    <cellStyle name="Normal 3 4 9 3 2 11 2" xfId="45045" xr:uid="{00000000-0005-0000-0000-0000ECAF0000}"/>
    <cellStyle name="Normal 3 4 9 3 2 11 3" xfId="45046" xr:uid="{00000000-0005-0000-0000-0000EDAF0000}"/>
    <cellStyle name="Normal 3 4 9 3 2 12" xfId="45047" xr:uid="{00000000-0005-0000-0000-0000EEAF0000}"/>
    <cellStyle name="Normal 3 4 9 3 2 12 2" xfId="45048" xr:uid="{00000000-0005-0000-0000-0000EFAF0000}"/>
    <cellStyle name="Normal 3 4 9 3 2 12 3" xfId="45049" xr:uid="{00000000-0005-0000-0000-0000F0AF0000}"/>
    <cellStyle name="Normal 3 4 9 3 2 13" xfId="45050" xr:uid="{00000000-0005-0000-0000-0000F1AF0000}"/>
    <cellStyle name="Normal 3 4 9 3 2 13 2" xfId="45051" xr:uid="{00000000-0005-0000-0000-0000F2AF0000}"/>
    <cellStyle name="Normal 3 4 9 3 2 13 3" xfId="45052" xr:uid="{00000000-0005-0000-0000-0000F3AF0000}"/>
    <cellStyle name="Normal 3 4 9 3 2 14" xfId="45053" xr:uid="{00000000-0005-0000-0000-0000F4AF0000}"/>
    <cellStyle name="Normal 3 4 9 3 2 14 2" xfId="45054" xr:uid="{00000000-0005-0000-0000-0000F5AF0000}"/>
    <cellStyle name="Normal 3 4 9 3 2 14 3" xfId="45055" xr:uid="{00000000-0005-0000-0000-0000F6AF0000}"/>
    <cellStyle name="Normal 3 4 9 3 2 15" xfId="45056" xr:uid="{00000000-0005-0000-0000-0000F7AF0000}"/>
    <cellStyle name="Normal 3 4 9 3 2 16" xfId="45057" xr:uid="{00000000-0005-0000-0000-0000F8AF0000}"/>
    <cellStyle name="Normal 3 4 9 3 2 2" xfId="45058" xr:uid="{00000000-0005-0000-0000-0000F9AF0000}"/>
    <cellStyle name="Normal 3 4 9 3 2 2 2" xfId="45059" xr:uid="{00000000-0005-0000-0000-0000FAAF0000}"/>
    <cellStyle name="Normal 3 4 9 3 2 2 3" xfId="45060" xr:uid="{00000000-0005-0000-0000-0000FBAF0000}"/>
    <cellStyle name="Normal 3 4 9 3 2 3" xfId="45061" xr:uid="{00000000-0005-0000-0000-0000FCAF0000}"/>
    <cellStyle name="Normal 3 4 9 3 2 3 2" xfId="45062" xr:uid="{00000000-0005-0000-0000-0000FDAF0000}"/>
    <cellStyle name="Normal 3 4 9 3 2 3 3" xfId="45063" xr:uid="{00000000-0005-0000-0000-0000FEAF0000}"/>
    <cellStyle name="Normal 3 4 9 3 2 4" xfId="45064" xr:uid="{00000000-0005-0000-0000-0000FFAF0000}"/>
    <cellStyle name="Normal 3 4 9 3 2 4 2" xfId="45065" xr:uid="{00000000-0005-0000-0000-000000B00000}"/>
    <cellStyle name="Normal 3 4 9 3 2 4 3" xfId="45066" xr:uid="{00000000-0005-0000-0000-000001B00000}"/>
    <cellStyle name="Normal 3 4 9 3 2 5" xfId="45067" xr:uid="{00000000-0005-0000-0000-000002B00000}"/>
    <cellStyle name="Normal 3 4 9 3 2 5 2" xfId="45068" xr:uid="{00000000-0005-0000-0000-000003B00000}"/>
    <cellStyle name="Normal 3 4 9 3 2 5 3" xfId="45069" xr:uid="{00000000-0005-0000-0000-000004B00000}"/>
    <cellStyle name="Normal 3 4 9 3 2 6" xfId="45070" xr:uid="{00000000-0005-0000-0000-000005B00000}"/>
    <cellStyle name="Normal 3 4 9 3 2 6 2" xfId="45071" xr:uid="{00000000-0005-0000-0000-000006B00000}"/>
    <cellStyle name="Normal 3 4 9 3 2 6 3" xfId="45072" xr:uid="{00000000-0005-0000-0000-000007B00000}"/>
    <cellStyle name="Normal 3 4 9 3 2 7" xfId="45073" xr:uid="{00000000-0005-0000-0000-000008B00000}"/>
    <cellStyle name="Normal 3 4 9 3 2 7 2" xfId="45074" xr:uid="{00000000-0005-0000-0000-000009B00000}"/>
    <cellStyle name="Normal 3 4 9 3 2 7 3" xfId="45075" xr:uid="{00000000-0005-0000-0000-00000AB00000}"/>
    <cellStyle name="Normal 3 4 9 3 2 8" xfId="45076" xr:uid="{00000000-0005-0000-0000-00000BB00000}"/>
    <cellStyle name="Normal 3 4 9 3 2 8 2" xfId="45077" xr:uid="{00000000-0005-0000-0000-00000CB00000}"/>
    <cellStyle name="Normal 3 4 9 3 2 8 3" xfId="45078" xr:uid="{00000000-0005-0000-0000-00000DB00000}"/>
    <cellStyle name="Normal 3 4 9 3 2 9" xfId="45079" xr:uid="{00000000-0005-0000-0000-00000EB00000}"/>
    <cellStyle name="Normal 3 4 9 3 2 9 2" xfId="45080" xr:uid="{00000000-0005-0000-0000-00000FB00000}"/>
    <cellStyle name="Normal 3 4 9 3 2 9 3" xfId="45081" xr:uid="{00000000-0005-0000-0000-000010B00000}"/>
    <cellStyle name="Normal 3 4 9 3 3" xfId="45082" xr:uid="{00000000-0005-0000-0000-000011B00000}"/>
    <cellStyle name="Normal 3 4 9 3 3 2" xfId="45083" xr:uid="{00000000-0005-0000-0000-000012B00000}"/>
    <cellStyle name="Normal 3 4 9 3 3 3" xfId="45084" xr:uid="{00000000-0005-0000-0000-000013B00000}"/>
    <cellStyle name="Normal 3 4 9 3 4" xfId="45085" xr:uid="{00000000-0005-0000-0000-000014B00000}"/>
    <cellStyle name="Normal 3 4 9 3 4 2" xfId="45086" xr:uid="{00000000-0005-0000-0000-000015B00000}"/>
    <cellStyle name="Normal 3 4 9 3 4 3" xfId="45087" xr:uid="{00000000-0005-0000-0000-000016B00000}"/>
    <cellStyle name="Normal 3 4 9 3 5" xfId="45088" xr:uid="{00000000-0005-0000-0000-000017B00000}"/>
    <cellStyle name="Normal 3 4 9 3 5 2" xfId="45089" xr:uid="{00000000-0005-0000-0000-000018B00000}"/>
    <cellStyle name="Normal 3 4 9 3 5 3" xfId="45090" xr:uid="{00000000-0005-0000-0000-000019B00000}"/>
    <cellStyle name="Normal 3 4 9 3 6" xfId="45091" xr:uid="{00000000-0005-0000-0000-00001AB00000}"/>
    <cellStyle name="Normal 3 4 9 3 6 2" xfId="45092" xr:uid="{00000000-0005-0000-0000-00001BB00000}"/>
    <cellStyle name="Normal 3 4 9 3 6 3" xfId="45093" xr:uid="{00000000-0005-0000-0000-00001CB00000}"/>
    <cellStyle name="Normal 3 4 9 3 7" xfId="45094" xr:uid="{00000000-0005-0000-0000-00001DB00000}"/>
    <cellStyle name="Normal 3 4 9 3 7 2" xfId="45095" xr:uid="{00000000-0005-0000-0000-00001EB00000}"/>
    <cellStyle name="Normal 3 4 9 3 7 3" xfId="45096" xr:uid="{00000000-0005-0000-0000-00001FB00000}"/>
    <cellStyle name="Normal 3 4 9 3 8" xfId="45097" xr:uid="{00000000-0005-0000-0000-000020B00000}"/>
    <cellStyle name="Normal 3 4 9 3 8 2" xfId="45098" xr:uid="{00000000-0005-0000-0000-000021B00000}"/>
    <cellStyle name="Normal 3 4 9 3 8 3" xfId="45099" xr:uid="{00000000-0005-0000-0000-000022B00000}"/>
    <cellStyle name="Normal 3 4 9 3 9" xfId="45100" xr:uid="{00000000-0005-0000-0000-000023B00000}"/>
    <cellStyle name="Normal 3 4 9 3 9 2" xfId="45101" xr:uid="{00000000-0005-0000-0000-000024B00000}"/>
    <cellStyle name="Normal 3 4 9 3 9 3" xfId="45102" xr:uid="{00000000-0005-0000-0000-000025B00000}"/>
    <cellStyle name="Normal 3 4 9 4" xfId="45103" xr:uid="{00000000-0005-0000-0000-000026B00000}"/>
    <cellStyle name="Normal 3 4 9 4 10" xfId="45104" xr:uid="{00000000-0005-0000-0000-000027B00000}"/>
    <cellStyle name="Normal 3 4 9 4 10 2" xfId="45105" xr:uid="{00000000-0005-0000-0000-000028B00000}"/>
    <cellStyle name="Normal 3 4 9 4 10 3" xfId="45106" xr:uid="{00000000-0005-0000-0000-000029B00000}"/>
    <cellStyle name="Normal 3 4 9 4 11" xfId="45107" xr:uid="{00000000-0005-0000-0000-00002AB00000}"/>
    <cellStyle name="Normal 3 4 9 4 11 2" xfId="45108" xr:uid="{00000000-0005-0000-0000-00002BB00000}"/>
    <cellStyle name="Normal 3 4 9 4 11 3" xfId="45109" xr:uid="{00000000-0005-0000-0000-00002CB00000}"/>
    <cellStyle name="Normal 3 4 9 4 12" xfId="45110" xr:uid="{00000000-0005-0000-0000-00002DB00000}"/>
    <cellStyle name="Normal 3 4 9 4 12 2" xfId="45111" xr:uid="{00000000-0005-0000-0000-00002EB00000}"/>
    <cellStyle name="Normal 3 4 9 4 12 3" xfId="45112" xr:uid="{00000000-0005-0000-0000-00002FB00000}"/>
    <cellStyle name="Normal 3 4 9 4 13" xfId="45113" xr:uid="{00000000-0005-0000-0000-000030B00000}"/>
    <cellStyle name="Normal 3 4 9 4 13 2" xfId="45114" xr:uid="{00000000-0005-0000-0000-000031B00000}"/>
    <cellStyle name="Normal 3 4 9 4 13 3" xfId="45115" xr:uid="{00000000-0005-0000-0000-000032B00000}"/>
    <cellStyle name="Normal 3 4 9 4 14" xfId="45116" xr:uid="{00000000-0005-0000-0000-000033B00000}"/>
    <cellStyle name="Normal 3 4 9 4 14 2" xfId="45117" xr:uid="{00000000-0005-0000-0000-000034B00000}"/>
    <cellStyle name="Normal 3 4 9 4 14 3" xfId="45118" xr:uid="{00000000-0005-0000-0000-000035B00000}"/>
    <cellStyle name="Normal 3 4 9 4 15" xfId="45119" xr:uid="{00000000-0005-0000-0000-000036B00000}"/>
    <cellStyle name="Normal 3 4 9 4 15 2" xfId="45120" xr:uid="{00000000-0005-0000-0000-000037B00000}"/>
    <cellStyle name="Normal 3 4 9 4 15 3" xfId="45121" xr:uid="{00000000-0005-0000-0000-000038B00000}"/>
    <cellStyle name="Normal 3 4 9 4 16" xfId="45122" xr:uid="{00000000-0005-0000-0000-000039B00000}"/>
    <cellStyle name="Normal 3 4 9 4 17" xfId="45123" xr:uid="{00000000-0005-0000-0000-00003AB00000}"/>
    <cellStyle name="Normal 3 4 9 4 2" xfId="45124" xr:uid="{00000000-0005-0000-0000-00003BB00000}"/>
    <cellStyle name="Normal 3 4 9 4 2 10" xfId="45125" xr:uid="{00000000-0005-0000-0000-00003CB00000}"/>
    <cellStyle name="Normal 3 4 9 4 2 10 2" xfId="45126" xr:uid="{00000000-0005-0000-0000-00003DB00000}"/>
    <cellStyle name="Normal 3 4 9 4 2 10 3" xfId="45127" xr:uid="{00000000-0005-0000-0000-00003EB00000}"/>
    <cellStyle name="Normal 3 4 9 4 2 11" xfId="45128" xr:uid="{00000000-0005-0000-0000-00003FB00000}"/>
    <cellStyle name="Normal 3 4 9 4 2 11 2" xfId="45129" xr:uid="{00000000-0005-0000-0000-000040B00000}"/>
    <cellStyle name="Normal 3 4 9 4 2 11 3" xfId="45130" xr:uid="{00000000-0005-0000-0000-000041B00000}"/>
    <cellStyle name="Normal 3 4 9 4 2 12" xfId="45131" xr:uid="{00000000-0005-0000-0000-000042B00000}"/>
    <cellStyle name="Normal 3 4 9 4 2 12 2" xfId="45132" xr:uid="{00000000-0005-0000-0000-000043B00000}"/>
    <cellStyle name="Normal 3 4 9 4 2 12 3" xfId="45133" xr:uid="{00000000-0005-0000-0000-000044B00000}"/>
    <cellStyle name="Normal 3 4 9 4 2 13" xfId="45134" xr:uid="{00000000-0005-0000-0000-000045B00000}"/>
    <cellStyle name="Normal 3 4 9 4 2 13 2" xfId="45135" xr:uid="{00000000-0005-0000-0000-000046B00000}"/>
    <cellStyle name="Normal 3 4 9 4 2 13 3" xfId="45136" xr:uid="{00000000-0005-0000-0000-000047B00000}"/>
    <cellStyle name="Normal 3 4 9 4 2 14" xfId="45137" xr:uid="{00000000-0005-0000-0000-000048B00000}"/>
    <cellStyle name="Normal 3 4 9 4 2 14 2" xfId="45138" xr:uid="{00000000-0005-0000-0000-000049B00000}"/>
    <cellStyle name="Normal 3 4 9 4 2 14 3" xfId="45139" xr:uid="{00000000-0005-0000-0000-00004AB00000}"/>
    <cellStyle name="Normal 3 4 9 4 2 15" xfId="45140" xr:uid="{00000000-0005-0000-0000-00004BB00000}"/>
    <cellStyle name="Normal 3 4 9 4 2 16" xfId="45141" xr:uid="{00000000-0005-0000-0000-00004CB00000}"/>
    <cellStyle name="Normal 3 4 9 4 2 2" xfId="45142" xr:uid="{00000000-0005-0000-0000-00004DB00000}"/>
    <cellStyle name="Normal 3 4 9 4 2 2 2" xfId="45143" xr:uid="{00000000-0005-0000-0000-00004EB00000}"/>
    <cellStyle name="Normal 3 4 9 4 2 2 3" xfId="45144" xr:uid="{00000000-0005-0000-0000-00004FB00000}"/>
    <cellStyle name="Normal 3 4 9 4 2 3" xfId="45145" xr:uid="{00000000-0005-0000-0000-000050B00000}"/>
    <cellStyle name="Normal 3 4 9 4 2 3 2" xfId="45146" xr:uid="{00000000-0005-0000-0000-000051B00000}"/>
    <cellStyle name="Normal 3 4 9 4 2 3 3" xfId="45147" xr:uid="{00000000-0005-0000-0000-000052B00000}"/>
    <cellStyle name="Normal 3 4 9 4 2 4" xfId="45148" xr:uid="{00000000-0005-0000-0000-000053B00000}"/>
    <cellStyle name="Normal 3 4 9 4 2 4 2" xfId="45149" xr:uid="{00000000-0005-0000-0000-000054B00000}"/>
    <cellStyle name="Normal 3 4 9 4 2 4 3" xfId="45150" xr:uid="{00000000-0005-0000-0000-000055B00000}"/>
    <cellStyle name="Normal 3 4 9 4 2 5" xfId="45151" xr:uid="{00000000-0005-0000-0000-000056B00000}"/>
    <cellStyle name="Normal 3 4 9 4 2 5 2" xfId="45152" xr:uid="{00000000-0005-0000-0000-000057B00000}"/>
    <cellStyle name="Normal 3 4 9 4 2 5 3" xfId="45153" xr:uid="{00000000-0005-0000-0000-000058B00000}"/>
    <cellStyle name="Normal 3 4 9 4 2 6" xfId="45154" xr:uid="{00000000-0005-0000-0000-000059B00000}"/>
    <cellStyle name="Normal 3 4 9 4 2 6 2" xfId="45155" xr:uid="{00000000-0005-0000-0000-00005AB00000}"/>
    <cellStyle name="Normal 3 4 9 4 2 6 3" xfId="45156" xr:uid="{00000000-0005-0000-0000-00005BB00000}"/>
    <cellStyle name="Normal 3 4 9 4 2 7" xfId="45157" xr:uid="{00000000-0005-0000-0000-00005CB00000}"/>
    <cellStyle name="Normal 3 4 9 4 2 7 2" xfId="45158" xr:uid="{00000000-0005-0000-0000-00005DB00000}"/>
    <cellStyle name="Normal 3 4 9 4 2 7 3" xfId="45159" xr:uid="{00000000-0005-0000-0000-00005EB00000}"/>
    <cellStyle name="Normal 3 4 9 4 2 8" xfId="45160" xr:uid="{00000000-0005-0000-0000-00005FB00000}"/>
    <cellStyle name="Normal 3 4 9 4 2 8 2" xfId="45161" xr:uid="{00000000-0005-0000-0000-000060B00000}"/>
    <cellStyle name="Normal 3 4 9 4 2 8 3" xfId="45162" xr:uid="{00000000-0005-0000-0000-000061B00000}"/>
    <cellStyle name="Normal 3 4 9 4 2 9" xfId="45163" xr:uid="{00000000-0005-0000-0000-000062B00000}"/>
    <cellStyle name="Normal 3 4 9 4 2 9 2" xfId="45164" xr:uid="{00000000-0005-0000-0000-000063B00000}"/>
    <cellStyle name="Normal 3 4 9 4 2 9 3" xfId="45165" xr:uid="{00000000-0005-0000-0000-000064B00000}"/>
    <cellStyle name="Normal 3 4 9 4 3" xfId="45166" xr:uid="{00000000-0005-0000-0000-000065B00000}"/>
    <cellStyle name="Normal 3 4 9 4 3 2" xfId="45167" xr:uid="{00000000-0005-0000-0000-000066B00000}"/>
    <cellStyle name="Normal 3 4 9 4 3 3" xfId="45168" xr:uid="{00000000-0005-0000-0000-000067B00000}"/>
    <cellStyle name="Normal 3 4 9 4 4" xfId="45169" xr:uid="{00000000-0005-0000-0000-000068B00000}"/>
    <cellStyle name="Normal 3 4 9 4 4 2" xfId="45170" xr:uid="{00000000-0005-0000-0000-000069B00000}"/>
    <cellStyle name="Normal 3 4 9 4 4 3" xfId="45171" xr:uid="{00000000-0005-0000-0000-00006AB00000}"/>
    <cellStyle name="Normal 3 4 9 4 5" xfId="45172" xr:uid="{00000000-0005-0000-0000-00006BB00000}"/>
    <cellStyle name="Normal 3 4 9 4 5 2" xfId="45173" xr:uid="{00000000-0005-0000-0000-00006CB00000}"/>
    <cellStyle name="Normal 3 4 9 4 5 3" xfId="45174" xr:uid="{00000000-0005-0000-0000-00006DB00000}"/>
    <cellStyle name="Normal 3 4 9 4 6" xfId="45175" xr:uid="{00000000-0005-0000-0000-00006EB00000}"/>
    <cellStyle name="Normal 3 4 9 4 6 2" xfId="45176" xr:uid="{00000000-0005-0000-0000-00006FB00000}"/>
    <cellStyle name="Normal 3 4 9 4 6 3" xfId="45177" xr:uid="{00000000-0005-0000-0000-000070B00000}"/>
    <cellStyle name="Normal 3 4 9 4 7" xfId="45178" xr:uid="{00000000-0005-0000-0000-000071B00000}"/>
    <cellStyle name="Normal 3 4 9 4 7 2" xfId="45179" xr:uid="{00000000-0005-0000-0000-000072B00000}"/>
    <cellStyle name="Normal 3 4 9 4 7 3" xfId="45180" xr:uid="{00000000-0005-0000-0000-000073B00000}"/>
    <cellStyle name="Normal 3 4 9 4 8" xfId="45181" xr:uid="{00000000-0005-0000-0000-000074B00000}"/>
    <cellStyle name="Normal 3 4 9 4 8 2" xfId="45182" xr:uid="{00000000-0005-0000-0000-000075B00000}"/>
    <cellStyle name="Normal 3 4 9 4 8 3" xfId="45183" xr:uid="{00000000-0005-0000-0000-000076B00000}"/>
    <cellStyle name="Normal 3 4 9 4 9" xfId="45184" xr:uid="{00000000-0005-0000-0000-000077B00000}"/>
    <cellStyle name="Normal 3 4 9 4 9 2" xfId="45185" xr:uid="{00000000-0005-0000-0000-000078B00000}"/>
    <cellStyle name="Normal 3 4 9 4 9 3" xfId="45186" xr:uid="{00000000-0005-0000-0000-000079B00000}"/>
    <cellStyle name="Normal 3 4 9 5" xfId="45187" xr:uid="{00000000-0005-0000-0000-00007AB00000}"/>
    <cellStyle name="Normal 3 4 9 5 10" xfId="45188" xr:uid="{00000000-0005-0000-0000-00007BB00000}"/>
    <cellStyle name="Normal 3 4 9 5 10 2" xfId="45189" xr:uid="{00000000-0005-0000-0000-00007CB00000}"/>
    <cellStyle name="Normal 3 4 9 5 10 3" xfId="45190" xr:uid="{00000000-0005-0000-0000-00007DB00000}"/>
    <cellStyle name="Normal 3 4 9 5 11" xfId="45191" xr:uid="{00000000-0005-0000-0000-00007EB00000}"/>
    <cellStyle name="Normal 3 4 9 5 11 2" xfId="45192" xr:uid="{00000000-0005-0000-0000-00007FB00000}"/>
    <cellStyle name="Normal 3 4 9 5 11 3" xfId="45193" xr:uid="{00000000-0005-0000-0000-000080B00000}"/>
    <cellStyle name="Normal 3 4 9 5 12" xfId="45194" xr:uid="{00000000-0005-0000-0000-000081B00000}"/>
    <cellStyle name="Normal 3 4 9 5 12 2" xfId="45195" xr:uid="{00000000-0005-0000-0000-000082B00000}"/>
    <cellStyle name="Normal 3 4 9 5 12 3" xfId="45196" xr:uid="{00000000-0005-0000-0000-000083B00000}"/>
    <cellStyle name="Normal 3 4 9 5 13" xfId="45197" xr:uid="{00000000-0005-0000-0000-000084B00000}"/>
    <cellStyle name="Normal 3 4 9 5 13 2" xfId="45198" xr:uid="{00000000-0005-0000-0000-000085B00000}"/>
    <cellStyle name="Normal 3 4 9 5 13 3" xfId="45199" xr:uid="{00000000-0005-0000-0000-000086B00000}"/>
    <cellStyle name="Normal 3 4 9 5 14" xfId="45200" xr:uid="{00000000-0005-0000-0000-000087B00000}"/>
    <cellStyle name="Normal 3 4 9 5 14 2" xfId="45201" xr:uid="{00000000-0005-0000-0000-000088B00000}"/>
    <cellStyle name="Normal 3 4 9 5 14 3" xfId="45202" xr:uid="{00000000-0005-0000-0000-000089B00000}"/>
    <cellStyle name="Normal 3 4 9 5 15" xfId="45203" xr:uid="{00000000-0005-0000-0000-00008AB00000}"/>
    <cellStyle name="Normal 3 4 9 5 16" xfId="45204" xr:uid="{00000000-0005-0000-0000-00008BB00000}"/>
    <cellStyle name="Normal 3 4 9 5 2" xfId="45205" xr:uid="{00000000-0005-0000-0000-00008CB00000}"/>
    <cellStyle name="Normal 3 4 9 5 2 2" xfId="45206" xr:uid="{00000000-0005-0000-0000-00008DB00000}"/>
    <cellStyle name="Normal 3 4 9 5 2 3" xfId="45207" xr:uid="{00000000-0005-0000-0000-00008EB00000}"/>
    <cellStyle name="Normal 3 4 9 5 3" xfId="45208" xr:uid="{00000000-0005-0000-0000-00008FB00000}"/>
    <cellStyle name="Normal 3 4 9 5 3 2" xfId="45209" xr:uid="{00000000-0005-0000-0000-000090B00000}"/>
    <cellStyle name="Normal 3 4 9 5 3 3" xfId="45210" xr:uid="{00000000-0005-0000-0000-000091B00000}"/>
    <cellStyle name="Normal 3 4 9 5 4" xfId="45211" xr:uid="{00000000-0005-0000-0000-000092B00000}"/>
    <cellStyle name="Normal 3 4 9 5 4 2" xfId="45212" xr:uid="{00000000-0005-0000-0000-000093B00000}"/>
    <cellStyle name="Normal 3 4 9 5 4 3" xfId="45213" xr:uid="{00000000-0005-0000-0000-000094B00000}"/>
    <cellStyle name="Normal 3 4 9 5 5" xfId="45214" xr:uid="{00000000-0005-0000-0000-000095B00000}"/>
    <cellStyle name="Normal 3 4 9 5 5 2" xfId="45215" xr:uid="{00000000-0005-0000-0000-000096B00000}"/>
    <cellStyle name="Normal 3 4 9 5 5 3" xfId="45216" xr:uid="{00000000-0005-0000-0000-000097B00000}"/>
    <cellStyle name="Normal 3 4 9 5 6" xfId="45217" xr:uid="{00000000-0005-0000-0000-000098B00000}"/>
    <cellStyle name="Normal 3 4 9 5 6 2" xfId="45218" xr:uid="{00000000-0005-0000-0000-000099B00000}"/>
    <cellStyle name="Normal 3 4 9 5 6 3" xfId="45219" xr:uid="{00000000-0005-0000-0000-00009AB00000}"/>
    <cellStyle name="Normal 3 4 9 5 7" xfId="45220" xr:uid="{00000000-0005-0000-0000-00009BB00000}"/>
    <cellStyle name="Normal 3 4 9 5 7 2" xfId="45221" xr:uid="{00000000-0005-0000-0000-00009CB00000}"/>
    <cellStyle name="Normal 3 4 9 5 7 3" xfId="45222" xr:uid="{00000000-0005-0000-0000-00009DB00000}"/>
    <cellStyle name="Normal 3 4 9 5 8" xfId="45223" xr:uid="{00000000-0005-0000-0000-00009EB00000}"/>
    <cellStyle name="Normal 3 4 9 5 8 2" xfId="45224" xr:uid="{00000000-0005-0000-0000-00009FB00000}"/>
    <cellStyle name="Normal 3 4 9 5 8 3" xfId="45225" xr:uid="{00000000-0005-0000-0000-0000A0B00000}"/>
    <cellStyle name="Normal 3 4 9 5 9" xfId="45226" xr:uid="{00000000-0005-0000-0000-0000A1B00000}"/>
    <cellStyle name="Normal 3 4 9 5 9 2" xfId="45227" xr:uid="{00000000-0005-0000-0000-0000A2B00000}"/>
    <cellStyle name="Normal 3 4 9 5 9 3" xfId="45228" xr:uid="{00000000-0005-0000-0000-0000A3B00000}"/>
    <cellStyle name="Normal 3 4 9 6" xfId="45229" xr:uid="{00000000-0005-0000-0000-0000A4B00000}"/>
    <cellStyle name="Normal 3 4 9 6 10" xfId="45230" xr:uid="{00000000-0005-0000-0000-0000A5B00000}"/>
    <cellStyle name="Normal 3 4 9 6 10 2" xfId="45231" xr:uid="{00000000-0005-0000-0000-0000A6B00000}"/>
    <cellStyle name="Normal 3 4 9 6 10 3" xfId="45232" xr:uid="{00000000-0005-0000-0000-0000A7B00000}"/>
    <cellStyle name="Normal 3 4 9 6 11" xfId="45233" xr:uid="{00000000-0005-0000-0000-0000A8B00000}"/>
    <cellStyle name="Normal 3 4 9 6 11 2" xfId="45234" xr:uid="{00000000-0005-0000-0000-0000A9B00000}"/>
    <cellStyle name="Normal 3 4 9 6 11 3" xfId="45235" xr:uid="{00000000-0005-0000-0000-0000AAB00000}"/>
    <cellStyle name="Normal 3 4 9 6 12" xfId="45236" xr:uid="{00000000-0005-0000-0000-0000ABB00000}"/>
    <cellStyle name="Normal 3 4 9 6 12 2" xfId="45237" xr:uid="{00000000-0005-0000-0000-0000ACB00000}"/>
    <cellStyle name="Normal 3 4 9 6 12 3" xfId="45238" xr:uid="{00000000-0005-0000-0000-0000ADB00000}"/>
    <cellStyle name="Normal 3 4 9 6 13" xfId="45239" xr:uid="{00000000-0005-0000-0000-0000AEB00000}"/>
    <cellStyle name="Normal 3 4 9 6 13 2" xfId="45240" xr:uid="{00000000-0005-0000-0000-0000AFB00000}"/>
    <cellStyle name="Normal 3 4 9 6 13 3" xfId="45241" xr:uid="{00000000-0005-0000-0000-0000B0B00000}"/>
    <cellStyle name="Normal 3 4 9 6 14" xfId="45242" xr:uid="{00000000-0005-0000-0000-0000B1B00000}"/>
    <cellStyle name="Normal 3 4 9 6 14 2" xfId="45243" xr:uid="{00000000-0005-0000-0000-0000B2B00000}"/>
    <cellStyle name="Normal 3 4 9 6 14 3" xfId="45244" xr:uid="{00000000-0005-0000-0000-0000B3B00000}"/>
    <cellStyle name="Normal 3 4 9 6 15" xfId="45245" xr:uid="{00000000-0005-0000-0000-0000B4B00000}"/>
    <cellStyle name="Normal 3 4 9 6 16" xfId="45246" xr:uid="{00000000-0005-0000-0000-0000B5B00000}"/>
    <cellStyle name="Normal 3 4 9 6 2" xfId="45247" xr:uid="{00000000-0005-0000-0000-0000B6B00000}"/>
    <cellStyle name="Normal 3 4 9 6 2 2" xfId="45248" xr:uid="{00000000-0005-0000-0000-0000B7B00000}"/>
    <cellStyle name="Normal 3 4 9 6 2 3" xfId="45249" xr:uid="{00000000-0005-0000-0000-0000B8B00000}"/>
    <cellStyle name="Normal 3 4 9 6 3" xfId="45250" xr:uid="{00000000-0005-0000-0000-0000B9B00000}"/>
    <cellStyle name="Normal 3 4 9 6 3 2" xfId="45251" xr:uid="{00000000-0005-0000-0000-0000BAB00000}"/>
    <cellStyle name="Normal 3 4 9 6 3 3" xfId="45252" xr:uid="{00000000-0005-0000-0000-0000BBB00000}"/>
    <cellStyle name="Normal 3 4 9 6 4" xfId="45253" xr:uid="{00000000-0005-0000-0000-0000BCB00000}"/>
    <cellStyle name="Normal 3 4 9 6 4 2" xfId="45254" xr:uid="{00000000-0005-0000-0000-0000BDB00000}"/>
    <cellStyle name="Normal 3 4 9 6 4 3" xfId="45255" xr:uid="{00000000-0005-0000-0000-0000BEB00000}"/>
    <cellStyle name="Normal 3 4 9 6 5" xfId="45256" xr:uid="{00000000-0005-0000-0000-0000BFB00000}"/>
    <cellStyle name="Normal 3 4 9 6 5 2" xfId="45257" xr:uid="{00000000-0005-0000-0000-0000C0B00000}"/>
    <cellStyle name="Normal 3 4 9 6 5 3" xfId="45258" xr:uid="{00000000-0005-0000-0000-0000C1B00000}"/>
    <cellStyle name="Normal 3 4 9 6 6" xfId="45259" xr:uid="{00000000-0005-0000-0000-0000C2B00000}"/>
    <cellStyle name="Normal 3 4 9 6 6 2" xfId="45260" xr:uid="{00000000-0005-0000-0000-0000C3B00000}"/>
    <cellStyle name="Normal 3 4 9 6 6 3" xfId="45261" xr:uid="{00000000-0005-0000-0000-0000C4B00000}"/>
    <cellStyle name="Normal 3 4 9 6 7" xfId="45262" xr:uid="{00000000-0005-0000-0000-0000C5B00000}"/>
    <cellStyle name="Normal 3 4 9 6 7 2" xfId="45263" xr:uid="{00000000-0005-0000-0000-0000C6B00000}"/>
    <cellStyle name="Normal 3 4 9 6 7 3" xfId="45264" xr:uid="{00000000-0005-0000-0000-0000C7B00000}"/>
    <cellStyle name="Normal 3 4 9 6 8" xfId="45265" xr:uid="{00000000-0005-0000-0000-0000C8B00000}"/>
    <cellStyle name="Normal 3 4 9 6 8 2" xfId="45266" xr:uid="{00000000-0005-0000-0000-0000C9B00000}"/>
    <cellStyle name="Normal 3 4 9 6 8 3" xfId="45267" xr:uid="{00000000-0005-0000-0000-0000CAB00000}"/>
    <cellStyle name="Normal 3 4 9 6 9" xfId="45268" xr:uid="{00000000-0005-0000-0000-0000CBB00000}"/>
    <cellStyle name="Normal 3 4 9 6 9 2" xfId="45269" xr:uid="{00000000-0005-0000-0000-0000CCB00000}"/>
    <cellStyle name="Normal 3 4 9 6 9 3" xfId="45270" xr:uid="{00000000-0005-0000-0000-0000CDB00000}"/>
    <cellStyle name="Normal 3 4 9 7" xfId="45271" xr:uid="{00000000-0005-0000-0000-0000CEB00000}"/>
    <cellStyle name="Normal 3 4 9 7 10" xfId="45272" xr:uid="{00000000-0005-0000-0000-0000CFB00000}"/>
    <cellStyle name="Normal 3 4 9 7 10 2" xfId="45273" xr:uid="{00000000-0005-0000-0000-0000D0B00000}"/>
    <cellStyle name="Normal 3 4 9 7 10 3" xfId="45274" xr:uid="{00000000-0005-0000-0000-0000D1B00000}"/>
    <cellStyle name="Normal 3 4 9 7 11" xfId="45275" xr:uid="{00000000-0005-0000-0000-0000D2B00000}"/>
    <cellStyle name="Normal 3 4 9 7 11 2" xfId="45276" xr:uid="{00000000-0005-0000-0000-0000D3B00000}"/>
    <cellStyle name="Normal 3 4 9 7 11 3" xfId="45277" xr:uid="{00000000-0005-0000-0000-0000D4B00000}"/>
    <cellStyle name="Normal 3 4 9 7 12" xfId="45278" xr:uid="{00000000-0005-0000-0000-0000D5B00000}"/>
    <cellStyle name="Normal 3 4 9 7 12 2" xfId="45279" xr:uid="{00000000-0005-0000-0000-0000D6B00000}"/>
    <cellStyle name="Normal 3 4 9 7 12 3" xfId="45280" xr:uid="{00000000-0005-0000-0000-0000D7B00000}"/>
    <cellStyle name="Normal 3 4 9 7 13" xfId="45281" xr:uid="{00000000-0005-0000-0000-0000D8B00000}"/>
    <cellStyle name="Normal 3 4 9 7 13 2" xfId="45282" xr:uid="{00000000-0005-0000-0000-0000D9B00000}"/>
    <cellStyle name="Normal 3 4 9 7 13 3" xfId="45283" xr:uid="{00000000-0005-0000-0000-0000DAB00000}"/>
    <cellStyle name="Normal 3 4 9 7 14" xfId="45284" xr:uid="{00000000-0005-0000-0000-0000DBB00000}"/>
    <cellStyle name="Normal 3 4 9 7 14 2" xfId="45285" xr:uid="{00000000-0005-0000-0000-0000DCB00000}"/>
    <cellStyle name="Normal 3 4 9 7 14 3" xfId="45286" xr:uid="{00000000-0005-0000-0000-0000DDB00000}"/>
    <cellStyle name="Normal 3 4 9 7 15" xfId="45287" xr:uid="{00000000-0005-0000-0000-0000DEB00000}"/>
    <cellStyle name="Normal 3 4 9 7 16" xfId="45288" xr:uid="{00000000-0005-0000-0000-0000DFB00000}"/>
    <cellStyle name="Normal 3 4 9 7 2" xfId="45289" xr:uid="{00000000-0005-0000-0000-0000E0B00000}"/>
    <cellStyle name="Normal 3 4 9 7 2 2" xfId="45290" xr:uid="{00000000-0005-0000-0000-0000E1B00000}"/>
    <cellStyle name="Normal 3 4 9 7 2 3" xfId="45291" xr:uid="{00000000-0005-0000-0000-0000E2B00000}"/>
    <cellStyle name="Normal 3 4 9 7 3" xfId="45292" xr:uid="{00000000-0005-0000-0000-0000E3B00000}"/>
    <cellStyle name="Normal 3 4 9 7 3 2" xfId="45293" xr:uid="{00000000-0005-0000-0000-0000E4B00000}"/>
    <cellStyle name="Normal 3 4 9 7 3 3" xfId="45294" xr:uid="{00000000-0005-0000-0000-0000E5B00000}"/>
    <cellStyle name="Normal 3 4 9 7 4" xfId="45295" xr:uid="{00000000-0005-0000-0000-0000E6B00000}"/>
    <cellStyle name="Normal 3 4 9 7 4 2" xfId="45296" xr:uid="{00000000-0005-0000-0000-0000E7B00000}"/>
    <cellStyle name="Normal 3 4 9 7 4 3" xfId="45297" xr:uid="{00000000-0005-0000-0000-0000E8B00000}"/>
    <cellStyle name="Normal 3 4 9 7 5" xfId="45298" xr:uid="{00000000-0005-0000-0000-0000E9B00000}"/>
    <cellStyle name="Normal 3 4 9 7 5 2" xfId="45299" xr:uid="{00000000-0005-0000-0000-0000EAB00000}"/>
    <cellStyle name="Normal 3 4 9 7 5 3" xfId="45300" xr:uid="{00000000-0005-0000-0000-0000EBB00000}"/>
    <cellStyle name="Normal 3 4 9 7 6" xfId="45301" xr:uid="{00000000-0005-0000-0000-0000ECB00000}"/>
    <cellStyle name="Normal 3 4 9 7 6 2" xfId="45302" xr:uid="{00000000-0005-0000-0000-0000EDB00000}"/>
    <cellStyle name="Normal 3 4 9 7 6 3" xfId="45303" xr:uid="{00000000-0005-0000-0000-0000EEB00000}"/>
    <cellStyle name="Normal 3 4 9 7 7" xfId="45304" xr:uid="{00000000-0005-0000-0000-0000EFB00000}"/>
    <cellStyle name="Normal 3 4 9 7 7 2" xfId="45305" xr:uid="{00000000-0005-0000-0000-0000F0B00000}"/>
    <cellStyle name="Normal 3 4 9 7 7 3" xfId="45306" xr:uid="{00000000-0005-0000-0000-0000F1B00000}"/>
    <cellStyle name="Normal 3 4 9 7 8" xfId="45307" xr:uid="{00000000-0005-0000-0000-0000F2B00000}"/>
    <cellStyle name="Normal 3 4 9 7 8 2" xfId="45308" xr:uid="{00000000-0005-0000-0000-0000F3B00000}"/>
    <cellStyle name="Normal 3 4 9 7 8 3" xfId="45309" xr:uid="{00000000-0005-0000-0000-0000F4B00000}"/>
    <cellStyle name="Normal 3 4 9 7 9" xfId="45310" xr:uid="{00000000-0005-0000-0000-0000F5B00000}"/>
    <cellStyle name="Normal 3 4 9 7 9 2" xfId="45311" xr:uid="{00000000-0005-0000-0000-0000F6B00000}"/>
    <cellStyle name="Normal 3 4 9 7 9 3" xfId="45312" xr:uid="{00000000-0005-0000-0000-0000F7B00000}"/>
    <cellStyle name="Normal 3 4 9 8" xfId="45313" xr:uid="{00000000-0005-0000-0000-0000F8B00000}"/>
    <cellStyle name="Normal 3 4 9 8 10" xfId="45314" xr:uid="{00000000-0005-0000-0000-0000F9B00000}"/>
    <cellStyle name="Normal 3 4 9 8 10 2" xfId="45315" xr:uid="{00000000-0005-0000-0000-0000FAB00000}"/>
    <cellStyle name="Normal 3 4 9 8 10 3" xfId="45316" xr:uid="{00000000-0005-0000-0000-0000FBB00000}"/>
    <cellStyle name="Normal 3 4 9 8 11" xfId="45317" xr:uid="{00000000-0005-0000-0000-0000FCB00000}"/>
    <cellStyle name="Normal 3 4 9 8 11 2" xfId="45318" xr:uid="{00000000-0005-0000-0000-0000FDB00000}"/>
    <cellStyle name="Normal 3 4 9 8 11 3" xfId="45319" xr:uid="{00000000-0005-0000-0000-0000FEB00000}"/>
    <cellStyle name="Normal 3 4 9 8 12" xfId="45320" xr:uid="{00000000-0005-0000-0000-0000FFB00000}"/>
    <cellStyle name="Normal 3 4 9 8 12 2" xfId="45321" xr:uid="{00000000-0005-0000-0000-000000B10000}"/>
    <cellStyle name="Normal 3 4 9 8 12 3" xfId="45322" xr:uid="{00000000-0005-0000-0000-000001B10000}"/>
    <cellStyle name="Normal 3 4 9 8 13" xfId="45323" xr:uid="{00000000-0005-0000-0000-000002B10000}"/>
    <cellStyle name="Normal 3 4 9 8 13 2" xfId="45324" xr:uid="{00000000-0005-0000-0000-000003B10000}"/>
    <cellStyle name="Normal 3 4 9 8 13 3" xfId="45325" xr:uid="{00000000-0005-0000-0000-000004B10000}"/>
    <cellStyle name="Normal 3 4 9 8 14" xfId="45326" xr:uid="{00000000-0005-0000-0000-000005B10000}"/>
    <cellStyle name="Normal 3 4 9 8 14 2" xfId="45327" xr:uid="{00000000-0005-0000-0000-000006B10000}"/>
    <cellStyle name="Normal 3 4 9 8 14 3" xfId="45328" xr:uid="{00000000-0005-0000-0000-000007B10000}"/>
    <cellStyle name="Normal 3 4 9 8 15" xfId="45329" xr:uid="{00000000-0005-0000-0000-000008B10000}"/>
    <cellStyle name="Normal 3 4 9 8 16" xfId="45330" xr:uid="{00000000-0005-0000-0000-000009B10000}"/>
    <cellStyle name="Normal 3 4 9 8 2" xfId="45331" xr:uid="{00000000-0005-0000-0000-00000AB10000}"/>
    <cellStyle name="Normal 3 4 9 8 2 2" xfId="45332" xr:uid="{00000000-0005-0000-0000-00000BB10000}"/>
    <cellStyle name="Normal 3 4 9 8 2 3" xfId="45333" xr:uid="{00000000-0005-0000-0000-00000CB10000}"/>
    <cellStyle name="Normal 3 4 9 8 3" xfId="45334" xr:uid="{00000000-0005-0000-0000-00000DB10000}"/>
    <cellStyle name="Normal 3 4 9 8 3 2" xfId="45335" xr:uid="{00000000-0005-0000-0000-00000EB10000}"/>
    <cellStyle name="Normal 3 4 9 8 3 3" xfId="45336" xr:uid="{00000000-0005-0000-0000-00000FB10000}"/>
    <cellStyle name="Normal 3 4 9 8 4" xfId="45337" xr:uid="{00000000-0005-0000-0000-000010B10000}"/>
    <cellStyle name="Normal 3 4 9 8 4 2" xfId="45338" xr:uid="{00000000-0005-0000-0000-000011B10000}"/>
    <cellStyle name="Normal 3 4 9 8 4 3" xfId="45339" xr:uid="{00000000-0005-0000-0000-000012B10000}"/>
    <cellStyle name="Normal 3 4 9 8 5" xfId="45340" xr:uid="{00000000-0005-0000-0000-000013B10000}"/>
    <cellStyle name="Normal 3 4 9 8 5 2" xfId="45341" xr:uid="{00000000-0005-0000-0000-000014B10000}"/>
    <cellStyle name="Normal 3 4 9 8 5 3" xfId="45342" xr:uid="{00000000-0005-0000-0000-000015B10000}"/>
    <cellStyle name="Normal 3 4 9 8 6" xfId="45343" xr:uid="{00000000-0005-0000-0000-000016B10000}"/>
    <cellStyle name="Normal 3 4 9 8 6 2" xfId="45344" xr:uid="{00000000-0005-0000-0000-000017B10000}"/>
    <cellStyle name="Normal 3 4 9 8 6 3" xfId="45345" xr:uid="{00000000-0005-0000-0000-000018B10000}"/>
    <cellStyle name="Normal 3 4 9 8 7" xfId="45346" xr:uid="{00000000-0005-0000-0000-000019B10000}"/>
    <cellStyle name="Normal 3 4 9 8 7 2" xfId="45347" xr:uid="{00000000-0005-0000-0000-00001AB10000}"/>
    <cellStyle name="Normal 3 4 9 8 7 3" xfId="45348" xr:uid="{00000000-0005-0000-0000-00001BB10000}"/>
    <cellStyle name="Normal 3 4 9 8 8" xfId="45349" xr:uid="{00000000-0005-0000-0000-00001CB10000}"/>
    <cellStyle name="Normal 3 4 9 8 8 2" xfId="45350" xr:uid="{00000000-0005-0000-0000-00001DB10000}"/>
    <cellStyle name="Normal 3 4 9 8 8 3" xfId="45351" xr:uid="{00000000-0005-0000-0000-00001EB10000}"/>
    <cellStyle name="Normal 3 4 9 8 9" xfId="45352" xr:uid="{00000000-0005-0000-0000-00001FB10000}"/>
    <cellStyle name="Normal 3 4 9 8 9 2" xfId="45353" xr:uid="{00000000-0005-0000-0000-000020B10000}"/>
    <cellStyle name="Normal 3 4 9 8 9 3" xfId="45354" xr:uid="{00000000-0005-0000-0000-000021B10000}"/>
    <cellStyle name="Normal 3 4 9 9" xfId="45355" xr:uid="{00000000-0005-0000-0000-000022B10000}"/>
    <cellStyle name="Normal 3 4 9 9 10" xfId="45356" xr:uid="{00000000-0005-0000-0000-000023B10000}"/>
    <cellStyle name="Normal 3 4 9 9 10 2" xfId="45357" xr:uid="{00000000-0005-0000-0000-000024B10000}"/>
    <cellStyle name="Normal 3 4 9 9 10 3" xfId="45358" xr:uid="{00000000-0005-0000-0000-000025B10000}"/>
    <cellStyle name="Normal 3 4 9 9 11" xfId="45359" xr:uid="{00000000-0005-0000-0000-000026B10000}"/>
    <cellStyle name="Normal 3 4 9 9 11 2" xfId="45360" xr:uid="{00000000-0005-0000-0000-000027B10000}"/>
    <cellStyle name="Normal 3 4 9 9 11 3" xfId="45361" xr:uid="{00000000-0005-0000-0000-000028B10000}"/>
    <cellStyle name="Normal 3 4 9 9 12" xfId="45362" xr:uid="{00000000-0005-0000-0000-000029B10000}"/>
    <cellStyle name="Normal 3 4 9 9 12 2" xfId="45363" xr:uid="{00000000-0005-0000-0000-00002AB10000}"/>
    <cellStyle name="Normal 3 4 9 9 12 3" xfId="45364" xr:uid="{00000000-0005-0000-0000-00002BB10000}"/>
    <cellStyle name="Normal 3 4 9 9 13" xfId="45365" xr:uid="{00000000-0005-0000-0000-00002CB10000}"/>
    <cellStyle name="Normal 3 4 9 9 13 2" xfId="45366" xr:uid="{00000000-0005-0000-0000-00002DB10000}"/>
    <cellStyle name="Normal 3 4 9 9 13 3" xfId="45367" xr:uid="{00000000-0005-0000-0000-00002EB10000}"/>
    <cellStyle name="Normal 3 4 9 9 14" xfId="45368" xr:uid="{00000000-0005-0000-0000-00002FB10000}"/>
    <cellStyle name="Normal 3 4 9 9 14 2" xfId="45369" xr:uid="{00000000-0005-0000-0000-000030B10000}"/>
    <cellStyle name="Normal 3 4 9 9 14 3" xfId="45370" xr:uid="{00000000-0005-0000-0000-000031B10000}"/>
    <cellStyle name="Normal 3 4 9 9 15" xfId="45371" xr:uid="{00000000-0005-0000-0000-000032B10000}"/>
    <cellStyle name="Normal 3 4 9 9 16" xfId="45372" xr:uid="{00000000-0005-0000-0000-000033B10000}"/>
    <cellStyle name="Normal 3 4 9 9 2" xfId="45373" xr:uid="{00000000-0005-0000-0000-000034B10000}"/>
    <cellStyle name="Normal 3 4 9 9 2 2" xfId="45374" xr:uid="{00000000-0005-0000-0000-000035B10000}"/>
    <cellStyle name="Normal 3 4 9 9 2 3" xfId="45375" xr:uid="{00000000-0005-0000-0000-000036B10000}"/>
    <cellStyle name="Normal 3 4 9 9 3" xfId="45376" xr:uid="{00000000-0005-0000-0000-000037B10000}"/>
    <cellStyle name="Normal 3 4 9 9 3 2" xfId="45377" xr:uid="{00000000-0005-0000-0000-000038B10000}"/>
    <cellStyle name="Normal 3 4 9 9 3 3" xfId="45378" xr:uid="{00000000-0005-0000-0000-000039B10000}"/>
    <cellStyle name="Normal 3 4 9 9 4" xfId="45379" xr:uid="{00000000-0005-0000-0000-00003AB10000}"/>
    <cellStyle name="Normal 3 4 9 9 4 2" xfId="45380" xr:uid="{00000000-0005-0000-0000-00003BB10000}"/>
    <cellStyle name="Normal 3 4 9 9 4 3" xfId="45381" xr:uid="{00000000-0005-0000-0000-00003CB10000}"/>
    <cellStyle name="Normal 3 4 9 9 5" xfId="45382" xr:uid="{00000000-0005-0000-0000-00003DB10000}"/>
    <cellStyle name="Normal 3 4 9 9 5 2" xfId="45383" xr:uid="{00000000-0005-0000-0000-00003EB10000}"/>
    <cellStyle name="Normal 3 4 9 9 5 3" xfId="45384" xr:uid="{00000000-0005-0000-0000-00003FB10000}"/>
    <cellStyle name="Normal 3 4 9 9 6" xfId="45385" xr:uid="{00000000-0005-0000-0000-000040B10000}"/>
    <cellStyle name="Normal 3 4 9 9 6 2" xfId="45386" xr:uid="{00000000-0005-0000-0000-000041B10000}"/>
    <cellStyle name="Normal 3 4 9 9 6 3" xfId="45387" xr:uid="{00000000-0005-0000-0000-000042B10000}"/>
    <cellStyle name="Normal 3 4 9 9 7" xfId="45388" xr:uid="{00000000-0005-0000-0000-000043B10000}"/>
    <cellStyle name="Normal 3 4 9 9 7 2" xfId="45389" xr:uid="{00000000-0005-0000-0000-000044B10000}"/>
    <cellStyle name="Normal 3 4 9 9 7 3" xfId="45390" xr:uid="{00000000-0005-0000-0000-000045B10000}"/>
    <cellStyle name="Normal 3 4 9 9 8" xfId="45391" xr:uid="{00000000-0005-0000-0000-000046B10000}"/>
    <cellStyle name="Normal 3 4 9 9 8 2" xfId="45392" xr:uid="{00000000-0005-0000-0000-000047B10000}"/>
    <cellStyle name="Normal 3 4 9 9 8 3" xfId="45393" xr:uid="{00000000-0005-0000-0000-000048B10000}"/>
    <cellStyle name="Normal 3 4 9 9 9" xfId="45394" xr:uid="{00000000-0005-0000-0000-000049B10000}"/>
    <cellStyle name="Normal 3 4 9 9 9 2" xfId="45395" xr:uid="{00000000-0005-0000-0000-00004AB10000}"/>
    <cellStyle name="Normal 3 4 9 9 9 3" xfId="45396" xr:uid="{00000000-0005-0000-0000-00004BB10000}"/>
    <cellStyle name="Normal 3 40" xfId="45397" xr:uid="{00000000-0005-0000-0000-00004CB10000}"/>
    <cellStyle name="Normal 3 40 10" xfId="45398" xr:uid="{00000000-0005-0000-0000-00004DB10000}"/>
    <cellStyle name="Normal 3 40 10 2" xfId="45399" xr:uid="{00000000-0005-0000-0000-00004EB10000}"/>
    <cellStyle name="Normal 3 40 10 3" xfId="45400" xr:uid="{00000000-0005-0000-0000-00004FB10000}"/>
    <cellStyle name="Normal 3 40 11" xfId="45401" xr:uid="{00000000-0005-0000-0000-000050B10000}"/>
    <cellStyle name="Normal 3 40 11 2" xfId="45402" xr:uid="{00000000-0005-0000-0000-000051B10000}"/>
    <cellStyle name="Normal 3 40 11 3" xfId="45403" xr:uid="{00000000-0005-0000-0000-000052B10000}"/>
    <cellStyle name="Normal 3 40 12" xfId="45404" xr:uid="{00000000-0005-0000-0000-000053B10000}"/>
    <cellStyle name="Normal 3 40 12 2" xfId="45405" xr:uid="{00000000-0005-0000-0000-000054B10000}"/>
    <cellStyle name="Normal 3 40 12 3" xfId="45406" xr:uid="{00000000-0005-0000-0000-000055B10000}"/>
    <cellStyle name="Normal 3 40 13" xfId="45407" xr:uid="{00000000-0005-0000-0000-000056B10000}"/>
    <cellStyle name="Normal 3 40 13 2" xfId="45408" xr:uid="{00000000-0005-0000-0000-000057B10000}"/>
    <cellStyle name="Normal 3 40 13 3" xfId="45409" xr:uid="{00000000-0005-0000-0000-000058B10000}"/>
    <cellStyle name="Normal 3 40 14" xfId="45410" xr:uid="{00000000-0005-0000-0000-000059B10000}"/>
    <cellStyle name="Normal 3 40 14 2" xfId="45411" xr:uid="{00000000-0005-0000-0000-00005AB10000}"/>
    <cellStyle name="Normal 3 40 14 3" xfId="45412" xr:uid="{00000000-0005-0000-0000-00005BB10000}"/>
    <cellStyle name="Normal 3 40 15" xfId="45413" xr:uid="{00000000-0005-0000-0000-00005CB10000}"/>
    <cellStyle name="Normal 3 40 16" xfId="45414" xr:uid="{00000000-0005-0000-0000-00005DB10000}"/>
    <cellStyle name="Normal 3 40 2" xfId="45415" xr:uid="{00000000-0005-0000-0000-00005EB10000}"/>
    <cellStyle name="Normal 3 40 2 2" xfId="45416" xr:uid="{00000000-0005-0000-0000-00005FB10000}"/>
    <cellStyle name="Normal 3 40 2 3" xfId="45417" xr:uid="{00000000-0005-0000-0000-000060B10000}"/>
    <cellStyle name="Normal 3 40 3" xfId="45418" xr:uid="{00000000-0005-0000-0000-000061B10000}"/>
    <cellStyle name="Normal 3 40 3 2" xfId="45419" xr:uid="{00000000-0005-0000-0000-000062B10000}"/>
    <cellStyle name="Normal 3 40 3 3" xfId="45420" xr:uid="{00000000-0005-0000-0000-000063B10000}"/>
    <cellStyle name="Normal 3 40 4" xfId="45421" xr:uid="{00000000-0005-0000-0000-000064B10000}"/>
    <cellStyle name="Normal 3 40 4 2" xfId="45422" xr:uid="{00000000-0005-0000-0000-000065B10000}"/>
    <cellStyle name="Normal 3 40 4 3" xfId="45423" xr:uid="{00000000-0005-0000-0000-000066B10000}"/>
    <cellStyle name="Normal 3 40 5" xfId="45424" xr:uid="{00000000-0005-0000-0000-000067B10000}"/>
    <cellStyle name="Normal 3 40 5 2" xfId="45425" xr:uid="{00000000-0005-0000-0000-000068B10000}"/>
    <cellStyle name="Normal 3 40 5 3" xfId="45426" xr:uid="{00000000-0005-0000-0000-000069B10000}"/>
    <cellStyle name="Normal 3 40 6" xfId="45427" xr:uid="{00000000-0005-0000-0000-00006AB10000}"/>
    <cellStyle name="Normal 3 40 6 2" xfId="45428" xr:uid="{00000000-0005-0000-0000-00006BB10000}"/>
    <cellStyle name="Normal 3 40 6 3" xfId="45429" xr:uid="{00000000-0005-0000-0000-00006CB10000}"/>
    <cellStyle name="Normal 3 40 7" xfId="45430" xr:uid="{00000000-0005-0000-0000-00006DB10000}"/>
    <cellStyle name="Normal 3 40 7 2" xfId="45431" xr:uid="{00000000-0005-0000-0000-00006EB10000}"/>
    <cellStyle name="Normal 3 40 7 3" xfId="45432" xr:uid="{00000000-0005-0000-0000-00006FB10000}"/>
    <cellStyle name="Normal 3 40 8" xfId="45433" xr:uid="{00000000-0005-0000-0000-000070B10000}"/>
    <cellStyle name="Normal 3 40 8 2" xfId="45434" xr:uid="{00000000-0005-0000-0000-000071B10000}"/>
    <cellStyle name="Normal 3 40 8 3" xfId="45435" xr:uid="{00000000-0005-0000-0000-000072B10000}"/>
    <cellStyle name="Normal 3 40 9" xfId="45436" xr:uid="{00000000-0005-0000-0000-000073B10000}"/>
    <cellStyle name="Normal 3 40 9 2" xfId="45437" xr:uid="{00000000-0005-0000-0000-000074B10000}"/>
    <cellStyle name="Normal 3 40 9 3" xfId="45438" xr:uid="{00000000-0005-0000-0000-000075B10000}"/>
    <cellStyle name="Normal 3 41" xfId="45439" xr:uid="{00000000-0005-0000-0000-000076B10000}"/>
    <cellStyle name="Normal 3 41 2" xfId="45440" xr:uid="{00000000-0005-0000-0000-000077B10000}"/>
    <cellStyle name="Normal 3 41 3" xfId="45441" xr:uid="{00000000-0005-0000-0000-000078B10000}"/>
    <cellStyle name="Normal 3 42" xfId="45442" xr:uid="{00000000-0005-0000-0000-000079B10000}"/>
    <cellStyle name="Normal 3 42 2" xfId="45443" xr:uid="{00000000-0005-0000-0000-00007AB10000}"/>
    <cellStyle name="Normal 3 42 3" xfId="45444" xr:uid="{00000000-0005-0000-0000-00007BB10000}"/>
    <cellStyle name="Normal 3 43" xfId="45445" xr:uid="{00000000-0005-0000-0000-00007CB10000}"/>
    <cellStyle name="Normal 3 43 2" xfId="45446" xr:uid="{00000000-0005-0000-0000-00007DB10000}"/>
    <cellStyle name="Normal 3 43 3" xfId="45447" xr:uid="{00000000-0005-0000-0000-00007EB10000}"/>
    <cellStyle name="Normal 3 44" xfId="45448" xr:uid="{00000000-0005-0000-0000-00007FB10000}"/>
    <cellStyle name="Normal 3 44 2" xfId="45449" xr:uid="{00000000-0005-0000-0000-000080B10000}"/>
    <cellStyle name="Normal 3 44 3" xfId="45450" xr:uid="{00000000-0005-0000-0000-000081B10000}"/>
    <cellStyle name="Normal 3 45" xfId="45451" xr:uid="{00000000-0005-0000-0000-000082B10000}"/>
    <cellStyle name="Normal 3 45 2" xfId="45452" xr:uid="{00000000-0005-0000-0000-000083B10000}"/>
    <cellStyle name="Normal 3 45 3" xfId="45453" xr:uid="{00000000-0005-0000-0000-000084B10000}"/>
    <cellStyle name="Normal 3 46" xfId="45454" xr:uid="{00000000-0005-0000-0000-000085B10000}"/>
    <cellStyle name="Normal 3 46 2" xfId="45455" xr:uid="{00000000-0005-0000-0000-000086B10000}"/>
    <cellStyle name="Normal 3 46 3" xfId="45456" xr:uid="{00000000-0005-0000-0000-000087B10000}"/>
    <cellStyle name="Normal 3 47" xfId="45457" xr:uid="{00000000-0005-0000-0000-000088B10000}"/>
    <cellStyle name="Normal 3 47 2" xfId="45458" xr:uid="{00000000-0005-0000-0000-000089B10000}"/>
    <cellStyle name="Normal 3 47 3" xfId="45459" xr:uid="{00000000-0005-0000-0000-00008AB10000}"/>
    <cellStyle name="Normal 3 48" xfId="45460" xr:uid="{00000000-0005-0000-0000-00008BB10000}"/>
    <cellStyle name="Normal 3 48 2" xfId="45461" xr:uid="{00000000-0005-0000-0000-00008CB10000}"/>
    <cellStyle name="Normal 3 48 3" xfId="45462" xr:uid="{00000000-0005-0000-0000-00008DB10000}"/>
    <cellStyle name="Normal 3 49" xfId="45463" xr:uid="{00000000-0005-0000-0000-00008EB10000}"/>
    <cellStyle name="Normal 3 49 2" xfId="45464" xr:uid="{00000000-0005-0000-0000-00008FB10000}"/>
    <cellStyle name="Normal 3 49 3" xfId="45465" xr:uid="{00000000-0005-0000-0000-000090B10000}"/>
    <cellStyle name="Normal 3 5" xfId="45466" xr:uid="{00000000-0005-0000-0000-000091B10000}"/>
    <cellStyle name="Normal 3 5 10" xfId="45467" xr:uid="{00000000-0005-0000-0000-000092B10000}"/>
    <cellStyle name="Normal 3 5 10 10" xfId="45468" xr:uid="{00000000-0005-0000-0000-000093B10000}"/>
    <cellStyle name="Normal 3 5 10 10 2" xfId="45469" xr:uid="{00000000-0005-0000-0000-000094B10000}"/>
    <cellStyle name="Normal 3 5 10 10 3" xfId="45470" xr:uid="{00000000-0005-0000-0000-000095B10000}"/>
    <cellStyle name="Normal 3 5 10 11" xfId="45471" xr:uid="{00000000-0005-0000-0000-000096B10000}"/>
    <cellStyle name="Normal 3 5 10 11 2" xfId="45472" xr:uid="{00000000-0005-0000-0000-000097B10000}"/>
    <cellStyle name="Normal 3 5 10 11 3" xfId="45473" xr:uid="{00000000-0005-0000-0000-000098B10000}"/>
    <cellStyle name="Normal 3 5 10 12" xfId="45474" xr:uid="{00000000-0005-0000-0000-000099B10000}"/>
    <cellStyle name="Normal 3 5 10 12 2" xfId="45475" xr:uid="{00000000-0005-0000-0000-00009AB10000}"/>
    <cellStyle name="Normal 3 5 10 12 3" xfId="45476" xr:uid="{00000000-0005-0000-0000-00009BB10000}"/>
    <cellStyle name="Normal 3 5 10 13" xfId="45477" xr:uid="{00000000-0005-0000-0000-00009CB10000}"/>
    <cellStyle name="Normal 3 5 10 13 2" xfId="45478" xr:uid="{00000000-0005-0000-0000-00009DB10000}"/>
    <cellStyle name="Normal 3 5 10 13 3" xfId="45479" xr:uid="{00000000-0005-0000-0000-00009EB10000}"/>
    <cellStyle name="Normal 3 5 10 14" xfId="45480" xr:uid="{00000000-0005-0000-0000-00009FB10000}"/>
    <cellStyle name="Normal 3 5 10 14 2" xfId="45481" xr:uid="{00000000-0005-0000-0000-0000A0B10000}"/>
    <cellStyle name="Normal 3 5 10 14 3" xfId="45482" xr:uid="{00000000-0005-0000-0000-0000A1B10000}"/>
    <cellStyle name="Normal 3 5 10 15" xfId="45483" xr:uid="{00000000-0005-0000-0000-0000A2B10000}"/>
    <cellStyle name="Normal 3 5 10 16" xfId="45484" xr:uid="{00000000-0005-0000-0000-0000A3B10000}"/>
    <cellStyle name="Normal 3 5 10 2" xfId="45485" xr:uid="{00000000-0005-0000-0000-0000A4B10000}"/>
    <cellStyle name="Normal 3 5 10 2 2" xfId="45486" xr:uid="{00000000-0005-0000-0000-0000A5B10000}"/>
    <cellStyle name="Normal 3 5 10 2 3" xfId="45487" xr:uid="{00000000-0005-0000-0000-0000A6B10000}"/>
    <cellStyle name="Normal 3 5 10 3" xfId="45488" xr:uid="{00000000-0005-0000-0000-0000A7B10000}"/>
    <cellStyle name="Normal 3 5 10 3 2" xfId="45489" xr:uid="{00000000-0005-0000-0000-0000A8B10000}"/>
    <cellStyle name="Normal 3 5 10 3 3" xfId="45490" xr:uid="{00000000-0005-0000-0000-0000A9B10000}"/>
    <cellStyle name="Normal 3 5 10 4" xfId="45491" xr:uid="{00000000-0005-0000-0000-0000AAB10000}"/>
    <cellStyle name="Normal 3 5 10 4 2" xfId="45492" xr:uid="{00000000-0005-0000-0000-0000ABB10000}"/>
    <cellStyle name="Normal 3 5 10 4 3" xfId="45493" xr:uid="{00000000-0005-0000-0000-0000ACB10000}"/>
    <cellStyle name="Normal 3 5 10 5" xfId="45494" xr:uid="{00000000-0005-0000-0000-0000ADB10000}"/>
    <cellStyle name="Normal 3 5 10 5 2" xfId="45495" xr:uid="{00000000-0005-0000-0000-0000AEB10000}"/>
    <cellStyle name="Normal 3 5 10 5 3" xfId="45496" xr:uid="{00000000-0005-0000-0000-0000AFB10000}"/>
    <cellStyle name="Normal 3 5 10 6" xfId="45497" xr:uid="{00000000-0005-0000-0000-0000B0B10000}"/>
    <cellStyle name="Normal 3 5 10 6 2" xfId="45498" xr:uid="{00000000-0005-0000-0000-0000B1B10000}"/>
    <cellStyle name="Normal 3 5 10 6 3" xfId="45499" xr:uid="{00000000-0005-0000-0000-0000B2B10000}"/>
    <cellStyle name="Normal 3 5 10 7" xfId="45500" xr:uid="{00000000-0005-0000-0000-0000B3B10000}"/>
    <cellStyle name="Normal 3 5 10 7 2" xfId="45501" xr:uid="{00000000-0005-0000-0000-0000B4B10000}"/>
    <cellStyle name="Normal 3 5 10 7 3" xfId="45502" xr:uid="{00000000-0005-0000-0000-0000B5B10000}"/>
    <cellStyle name="Normal 3 5 10 8" xfId="45503" xr:uid="{00000000-0005-0000-0000-0000B6B10000}"/>
    <cellStyle name="Normal 3 5 10 8 2" xfId="45504" xr:uid="{00000000-0005-0000-0000-0000B7B10000}"/>
    <cellStyle name="Normal 3 5 10 8 3" xfId="45505" xr:uid="{00000000-0005-0000-0000-0000B8B10000}"/>
    <cellStyle name="Normal 3 5 10 9" xfId="45506" xr:uid="{00000000-0005-0000-0000-0000B9B10000}"/>
    <cellStyle name="Normal 3 5 10 9 2" xfId="45507" xr:uid="{00000000-0005-0000-0000-0000BAB10000}"/>
    <cellStyle name="Normal 3 5 10 9 3" xfId="45508" xr:uid="{00000000-0005-0000-0000-0000BBB10000}"/>
    <cellStyle name="Normal 3 5 11" xfId="45509" xr:uid="{00000000-0005-0000-0000-0000BCB10000}"/>
    <cellStyle name="Normal 3 5 11 10" xfId="45510" xr:uid="{00000000-0005-0000-0000-0000BDB10000}"/>
    <cellStyle name="Normal 3 5 11 10 2" xfId="45511" xr:uid="{00000000-0005-0000-0000-0000BEB10000}"/>
    <cellStyle name="Normal 3 5 11 10 3" xfId="45512" xr:uid="{00000000-0005-0000-0000-0000BFB10000}"/>
    <cellStyle name="Normal 3 5 11 11" xfId="45513" xr:uid="{00000000-0005-0000-0000-0000C0B10000}"/>
    <cellStyle name="Normal 3 5 11 11 2" xfId="45514" xr:uid="{00000000-0005-0000-0000-0000C1B10000}"/>
    <cellStyle name="Normal 3 5 11 11 3" xfId="45515" xr:uid="{00000000-0005-0000-0000-0000C2B10000}"/>
    <cellStyle name="Normal 3 5 11 12" xfId="45516" xr:uid="{00000000-0005-0000-0000-0000C3B10000}"/>
    <cellStyle name="Normal 3 5 11 12 2" xfId="45517" xr:uid="{00000000-0005-0000-0000-0000C4B10000}"/>
    <cellStyle name="Normal 3 5 11 12 3" xfId="45518" xr:uid="{00000000-0005-0000-0000-0000C5B10000}"/>
    <cellStyle name="Normal 3 5 11 13" xfId="45519" xr:uid="{00000000-0005-0000-0000-0000C6B10000}"/>
    <cellStyle name="Normal 3 5 11 13 2" xfId="45520" xr:uid="{00000000-0005-0000-0000-0000C7B10000}"/>
    <cellStyle name="Normal 3 5 11 13 3" xfId="45521" xr:uid="{00000000-0005-0000-0000-0000C8B10000}"/>
    <cellStyle name="Normal 3 5 11 14" xfId="45522" xr:uid="{00000000-0005-0000-0000-0000C9B10000}"/>
    <cellStyle name="Normal 3 5 11 14 2" xfId="45523" xr:uid="{00000000-0005-0000-0000-0000CAB10000}"/>
    <cellStyle name="Normal 3 5 11 14 3" xfId="45524" xr:uid="{00000000-0005-0000-0000-0000CBB10000}"/>
    <cellStyle name="Normal 3 5 11 15" xfId="45525" xr:uid="{00000000-0005-0000-0000-0000CCB10000}"/>
    <cellStyle name="Normal 3 5 11 16" xfId="45526" xr:uid="{00000000-0005-0000-0000-0000CDB10000}"/>
    <cellStyle name="Normal 3 5 11 2" xfId="45527" xr:uid="{00000000-0005-0000-0000-0000CEB10000}"/>
    <cellStyle name="Normal 3 5 11 2 2" xfId="45528" xr:uid="{00000000-0005-0000-0000-0000CFB10000}"/>
    <cellStyle name="Normal 3 5 11 2 3" xfId="45529" xr:uid="{00000000-0005-0000-0000-0000D0B10000}"/>
    <cellStyle name="Normal 3 5 11 3" xfId="45530" xr:uid="{00000000-0005-0000-0000-0000D1B10000}"/>
    <cellStyle name="Normal 3 5 11 3 2" xfId="45531" xr:uid="{00000000-0005-0000-0000-0000D2B10000}"/>
    <cellStyle name="Normal 3 5 11 3 3" xfId="45532" xr:uid="{00000000-0005-0000-0000-0000D3B10000}"/>
    <cellStyle name="Normal 3 5 11 4" xfId="45533" xr:uid="{00000000-0005-0000-0000-0000D4B10000}"/>
    <cellStyle name="Normal 3 5 11 4 2" xfId="45534" xr:uid="{00000000-0005-0000-0000-0000D5B10000}"/>
    <cellStyle name="Normal 3 5 11 4 3" xfId="45535" xr:uid="{00000000-0005-0000-0000-0000D6B10000}"/>
    <cellStyle name="Normal 3 5 11 5" xfId="45536" xr:uid="{00000000-0005-0000-0000-0000D7B10000}"/>
    <cellStyle name="Normal 3 5 11 5 2" xfId="45537" xr:uid="{00000000-0005-0000-0000-0000D8B10000}"/>
    <cellStyle name="Normal 3 5 11 5 3" xfId="45538" xr:uid="{00000000-0005-0000-0000-0000D9B10000}"/>
    <cellStyle name="Normal 3 5 11 6" xfId="45539" xr:uid="{00000000-0005-0000-0000-0000DAB10000}"/>
    <cellStyle name="Normal 3 5 11 6 2" xfId="45540" xr:uid="{00000000-0005-0000-0000-0000DBB10000}"/>
    <cellStyle name="Normal 3 5 11 6 3" xfId="45541" xr:uid="{00000000-0005-0000-0000-0000DCB10000}"/>
    <cellStyle name="Normal 3 5 11 7" xfId="45542" xr:uid="{00000000-0005-0000-0000-0000DDB10000}"/>
    <cellStyle name="Normal 3 5 11 7 2" xfId="45543" xr:uid="{00000000-0005-0000-0000-0000DEB10000}"/>
    <cellStyle name="Normal 3 5 11 7 3" xfId="45544" xr:uid="{00000000-0005-0000-0000-0000DFB10000}"/>
    <cellStyle name="Normal 3 5 11 8" xfId="45545" xr:uid="{00000000-0005-0000-0000-0000E0B10000}"/>
    <cellStyle name="Normal 3 5 11 8 2" xfId="45546" xr:uid="{00000000-0005-0000-0000-0000E1B10000}"/>
    <cellStyle name="Normal 3 5 11 8 3" xfId="45547" xr:uid="{00000000-0005-0000-0000-0000E2B10000}"/>
    <cellStyle name="Normal 3 5 11 9" xfId="45548" xr:uid="{00000000-0005-0000-0000-0000E3B10000}"/>
    <cellStyle name="Normal 3 5 11 9 2" xfId="45549" xr:uid="{00000000-0005-0000-0000-0000E4B10000}"/>
    <cellStyle name="Normal 3 5 11 9 3" xfId="45550" xr:uid="{00000000-0005-0000-0000-0000E5B10000}"/>
    <cellStyle name="Normal 3 5 12" xfId="45551" xr:uid="{00000000-0005-0000-0000-0000E6B10000}"/>
    <cellStyle name="Normal 3 5 12 10" xfId="45552" xr:uid="{00000000-0005-0000-0000-0000E7B10000}"/>
    <cellStyle name="Normal 3 5 12 10 2" xfId="45553" xr:uid="{00000000-0005-0000-0000-0000E8B10000}"/>
    <cellStyle name="Normal 3 5 12 10 3" xfId="45554" xr:uid="{00000000-0005-0000-0000-0000E9B10000}"/>
    <cellStyle name="Normal 3 5 12 11" xfId="45555" xr:uid="{00000000-0005-0000-0000-0000EAB10000}"/>
    <cellStyle name="Normal 3 5 12 11 2" xfId="45556" xr:uid="{00000000-0005-0000-0000-0000EBB10000}"/>
    <cellStyle name="Normal 3 5 12 11 3" xfId="45557" xr:uid="{00000000-0005-0000-0000-0000ECB10000}"/>
    <cellStyle name="Normal 3 5 12 12" xfId="45558" xr:uid="{00000000-0005-0000-0000-0000EDB10000}"/>
    <cellStyle name="Normal 3 5 12 12 2" xfId="45559" xr:uid="{00000000-0005-0000-0000-0000EEB10000}"/>
    <cellStyle name="Normal 3 5 12 12 3" xfId="45560" xr:uid="{00000000-0005-0000-0000-0000EFB10000}"/>
    <cellStyle name="Normal 3 5 12 13" xfId="45561" xr:uid="{00000000-0005-0000-0000-0000F0B10000}"/>
    <cellStyle name="Normal 3 5 12 13 2" xfId="45562" xr:uid="{00000000-0005-0000-0000-0000F1B10000}"/>
    <cellStyle name="Normal 3 5 12 13 3" xfId="45563" xr:uid="{00000000-0005-0000-0000-0000F2B10000}"/>
    <cellStyle name="Normal 3 5 12 14" xfId="45564" xr:uid="{00000000-0005-0000-0000-0000F3B10000}"/>
    <cellStyle name="Normal 3 5 12 14 2" xfId="45565" xr:uid="{00000000-0005-0000-0000-0000F4B10000}"/>
    <cellStyle name="Normal 3 5 12 14 3" xfId="45566" xr:uid="{00000000-0005-0000-0000-0000F5B10000}"/>
    <cellStyle name="Normal 3 5 12 15" xfId="45567" xr:uid="{00000000-0005-0000-0000-0000F6B10000}"/>
    <cellStyle name="Normal 3 5 12 16" xfId="45568" xr:uid="{00000000-0005-0000-0000-0000F7B10000}"/>
    <cellStyle name="Normal 3 5 12 2" xfId="45569" xr:uid="{00000000-0005-0000-0000-0000F8B10000}"/>
    <cellStyle name="Normal 3 5 12 2 2" xfId="45570" xr:uid="{00000000-0005-0000-0000-0000F9B10000}"/>
    <cellStyle name="Normal 3 5 12 2 3" xfId="45571" xr:uid="{00000000-0005-0000-0000-0000FAB10000}"/>
    <cellStyle name="Normal 3 5 12 3" xfId="45572" xr:uid="{00000000-0005-0000-0000-0000FBB10000}"/>
    <cellStyle name="Normal 3 5 12 3 2" xfId="45573" xr:uid="{00000000-0005-0000-0000-0000FCB10000}"/>
    <cellStyle name="Normal 3 5 12 3 3" xfId="45574" xr:uid="{00000000-0005-0000-0000-0000FDB10000}"/>
    <cellStyle name="Normal 3 5 12 4" xfId="45575" xr:uid="{00000000-0005-0000-0000-0000FEB10000}"/>
    <cellStyle name="Normal 3 5 12 4 2" xfId="45576" xr:uid="{00000000-0005-0000-0000-0000FFB10000}"/>
    <cellStyle name="Normal 3 5 12 4 3" xfId="45577" xr:uid="{00000000-0005-0000-0000-000000B20000}"/>
    <cellStyle name="Normal 3 5 12 5" xfId="45578" xr:uid="{00000000-0005-0000-0000-000001B20000}"/>
    <cellStyle name="Normal 3 5 12 5 2" xfId="45579" xr:uid="{00000000-0005-0000-0000-000002B20000}"/>
    <cellStyle name="Normal 3 5 12 5 3" xfId="45580" xr:uid="{00000000-0005-0000-0000-000003B20000}"/>
    <cellStyle name="Normal 3 5 12 6" xfId="45581" xr:uid="{00000000-0005-0000-0000-000004B20000}"/>
    <cellStyle name="Normal 3 5 12 6 2" xfId="45582" xr:uid="{00000000-0005-0000-0000-000005B20000}"/>
    <cellStyle name="Normal 3 5 12 6 3" xfId="45583" xr:uid="{00000000-0005-0000-0000-000006B20000}"/>
    <cellStyle name="Normal 3 5 12 7" xfId="45584" xr:uid="{00000000-0005-0000-0000-000007B20000}"/>
    <cellStyle name="Normal 3 5 12 7 2" xfId="45585" xr:uid="{00000000-0005-0000-0000-000008B20000}"/>
    <cellStyle name="Normal 3 5 12 7 3" xfId="45586" xr:uid="{00000000-0005-0000-0000-000009B20000}"/>
    <cellStyle name="Normal 3 5 12 8" xfId="45587" xr:uid="{00000000-0005-0000-0000-00000AB20000}"/>
    <cellStyle name="Normal 3 5 12 8 2" xfId="45588" xr:uid="{00000000-0005-0000-0000-00000BB20000}"/>
    <cellStyle name="Normal 3 5 12 8 3" xfId="45589" xr:uid="{00000000-0005-0000-0000-00000CB20000}"/>
    <cellStyle name="Normal 3 5 12 9" xfId="45590" xr:uid="{00000000-0005-0000-0000-00000DB20000}"/>
    <cellStyle name="Normal 3 5 12 9 2" xfId="45591" xr:uid="{00000000-0005-0000-0000-00000EB20000}"/>
    <cellStyle name="Normal 3 5 12 9 3" xfId="45592" xr:uid="{00000000-0005-0000-0000-00000FB20000}"/>
    <cellStyle name="Normal 3 5 13" xfId="45593" xr:uid="{00000000-0005-0000-0000-000010B20000}"/>
    <cellStyle name="Normal 3 5 13 10" xfId="45594" xr:uid="{00000000-0005-0000-0000-000011B20000}"/>
    <cellStyle name="Normal 3 5 13 10 2" xfId="45595" xr:uid="{00000000-0005-0000-0000-000012B20000}"/>
    <cellStyle name="Normal 3 5 13 10 3" xfId="45596" xr:uid="{00000000-0005-0000-0000-000013B20000}"/>
    <cellStyle name="Normal 3 5 13 11" xfId="45597" xr:uid="{00000000-0005-0000-0000-000014B20000}"/>
    <cellStyle name="Normal 3 5 13 11 2" xfId="45598" xr:uid="{00000000-0005-0000-0000-000015B20000}"/>
    <cellStyle name="Normal 3 5 13 11 3" xfId="45599" xr:uid="{00000000-0005-0000-0000-000016B20000}"/>
    <cellStyle name="Normal 3 5 13 12" xfId="45600" xr:uid="{00000000-0005-0000-0000-000017B20000}"/>
    <cellStyle name="Normal 3 5 13 12 2" xfId="45601" xr:uid="{00000000-0005-0000-0000-000018B20000}"/>
    <cellStyle name="Normal 3 5 13 12 3" xfId="45602" xr:uid="{00000000-0005-0000-0000-000019B20000}"/>
    <cellStyle name="Normal 3 5 13 13" xfId="45603" xr:uid="{00000000-0005-0000-0000-00001AB20000}"/>
    <cellStyle name="Normal 3 5 13 13 2" xfId="45604" xr:uid="{00000000-0005-0000-0000-00001BB20000}"/>
    <cellStyle name="Normal 3 5 13 13 3" xfId="45605" xr:uid="{00000000-0005-0000-0000-00001CB20000}"/>
    <cellStyle name="Normal 3 5 13 14" xfId="45606" xr:uid="{00000000-0005-0000-0000-00001DB20000}"/>
    <cellStyle name="Normal 3 5 13 14 2" xfId="45607" xr:uid="{00000000-0005-0000-0000-00001EB20000}"/>
    <cellStyle name="Normal 3 5 13 14 3" xfId="45608" xr:uid="{00000000-0005-0000-0000-00001FB20000}"/>
    <cellStyle name="Normal 3 5 13 15" xfId="45609" xr:uid="{00000000-0005-0000-0000-000020B20000}"/>
    <cellStyle name="Normal 3 5 13 16" xfId="45610" xr:uid="{00000000-0005-0000-0000-000021B20000}"/>
    <cellStyle name="Normal 3 5 13 2" xfId="45611" xr:uid="{00000000-0005-0000-0000-000022B20000}"/>
    <cellStyle name="Normal 3 5 13 2 2" xfId="45612" xr:uid="{00000000-0005-0000-0000-000023B20000}"/>
    <cellStyle name="Normal 3 5 13 2 3" xfId="45613" xr:uid="{00000000-0005-0000-0000-000024B20000}"/>
    <cellStyle name="Normal 3 5 13 3" xfId="45614" xr:uid="{00000000-0005-0000-0000-000025B20000}"/>
    <cellStyle name="Normal 3 5 13 3 2" xfId="45615" xr:uid="{00000000-0005-0000-0000-000026B20000}"/>
    <cellStyle name="Normal 3 5 13 3 3" xfId="45616" xr:uid="{00000000-0005-0000-0000-000027B20000}"/>
    <cellStyle name="Normal 3 5 13 4" xfId="45617" xr:uid="{00000000-0005-0000-0000-000028B20000}"/>
    <cellStyle name="Normal 3 5 13 4 2" xfId="45618" xr:uid="{00000000-0005-0000-0000-000029B20000}"/>
    <cellStyle name="Normal 3 5 13 4 3" xfId="45619" xr:uid="{00000000-0005-0000-0000-00002AB20000}"/>
    <cellStyle name="Normal 3 5 13 5" xfId="45620" xr:uid="{00000000-0005-0000-0000-00002BB20000}"/>
    <cellStyle name="Normal 3 5 13 5 2" xfId="45621" xr:uid="{00000000-0005-0000-0000-00002CB20000}"/>
    <cellStyle name="Normal 3 5 13 5 3" xfId="45622" xr:uid="{00000000-0005-0000-0000-00002DB20000}"/>
    <cellStyle name="Normal 3 5 13 6" xfId="45623" xr:uid="{00000000-0005-0000-0000-00002EB20000}"/>
    <cellStyle name="Normal 3 5 13 6 2" xfId="45624" xr:uid="{00000000-0005-0000-0000-00002FB20000}"/>
    <cellStyle name="Normal 3 5 13 6 3" xfId="45625" xr:uid="{00000000-0005-0000-0000-000030B20000}"/>
    <cellStyle name="Normal 3 5 13 7" xfId="45626" xr:uid="{00000000-0005-0000-0000-000031B20000}"/>
    <cellStyle name="Normal 3 5 13 7 2" xfId="45627" xr:uid="{00000000-0005-0000-0000-000032B20000}"/>
    <cellStyle name="Normal 3 5 13 7 3" xfId="45628" xr:uid="{00000000-0005-0000-0000-000033B20000}"/>
    <cellStyle name="Normal 3 5 13 8" xfId="45629" xr:uid="{00000000-0005-0000-0000-000034B20000}"/>
    <cellStyle name="Normal 3 5 13 8 2" xfId="45630" xr:uid="{00000000-0005-0000-0000-000035B20000}"/>
    <cellStyle name="Normal 3 5 13 8 3" xfId="45631" xr:uid="{00000000-0005-0000-0000-000036B20000}"/>
    <cellStyle name="Normal 3 5 13 9" xfId="45632" xr:uid="{00000000-0005-0000-0000-000037B20000}"/>
    <cellStyle name="Normal 3 5 13 9 2" xfId="45633" xr:uid="{00000000-0005-0000-0000-000038B20000}"/>
    <cellStyle name="Normal 3 5 13 9 3" xfId="45634" xr:uid="{00000000-0005-0000-0000-000039B20000}"/>
    <cellStyle name="Normal 3 5 14" xfId="45635" xr:uid="{00000000-0005-0000-0000-00003AB20000}"/>
    <cellStyle name="Normal 3 5 14 10" xfId="45636" xr:uid="{00000000-0005-0000-0000-00003BB20000}"/>
    <cellStyle name="Normal 3 5 14 10 2" xfId="45637" xr:uid="{00000000-0005-0000-0000-00003CB20000}"/>
    <cellStyle name="Normal 3 5 14 10 3" xfId="45638" xr:uid="{00000000-0005-0000-0000-00003DB20000}"/>
    <cellStyle name="Normal 3 5 14 11" xfId="45639" xr:uid="{00000000-0005-0000-0000-00003EB20000}"/>
    <cellStyle name="Normal 3 5 14 11 2" xfId="45640" xr:uid="{00000000-0005-0000-0000-00003FB20000}"/>
    <cellStyle name="Normal 3 5 14 11 3" xfId="45641" xr:uid="{00000000-0005-0000-0000-000040B20000}"/>
    <cellStyle name="Normal 3 5 14 12" xfId="45642" xr:uid="{00000000-0005-0000-0000-000041B20000}"/>
    <cellStyle name="Normal 3 5 14 12 2" xfId="45643" xr:uid="{00000000-0005-0000-0000-000042B20000}"/>
    <cellStyle name="Normal 3 5 14 12 3" xfId="45644" xr:uid="{00000000-0005-0000-0000-000043B20000}"/>
    <cellStyle name="Normal 3 5 14 13" xfId="45645" xr:uid="{00000000-0005-0000-0000-000044B20000}"/>
    <cellStyle name="Normal 3 5 14 13 2" xfId="45646" xr:uid="{00000000-0005-0000-0000-000045B20000}"/>
    <cellStyle name="Normal 3 5 14 13 3" xfId="45647" xr:uid="{00000000-0005-0000-0000-000046B20000}"/>
    <cellStyle name="Normal 3 5 14 14" xfId="45648" xr:uid="{00000000-0005-0000-0000-000047B20000}"/>
    <cellStyle name="Normal 3 5 14 14 2" xfId="45649" xr:uid="{00000000-0005-0000-0000-000048B20000}"/>
    <cellStyle name="Normal 3 5 14 14 3" xfId="45650" xr:uid="{00000000-0005-0000-0000-000049B20000}"/>
    <cellStyle name="Normal 3 5 14 15" xfId="45651" xr:uid="{00000000-0005-0000-0000-00004AB20000}"/>
    <cellStyle name="Normal 3 5 14 16" xfId="45652" xr:uid="{00000000-0005-0000-0000-00004BB20000}"/>
    <cellStyle name="Normal 3 5 14 2" xfId="45653" xr:uid="{00000000-0005-0000-0000-00004CB20000}"/>
    <cellStyle name="Normal 3 5 14 2 2" xfId="45654" xr:uid="{00000000-0005-0000-0000-00004DB20000}"/>
    <cellStyle name="Normal 3 5 14 2 3" xfId="45655" xr:uid="{00000000-0005-0000-0000-00004EB20000}"/>
    <cellStyle name="Normal 3 5 14 3" xfId="45656" xr:uid="{00000000-0005-0000-0000-00004FB20000}"/>
    <cellStyle name="Normal 3 5 14 3 2" xfId="45657" xr:uid="{00000000-0005-0000-0000-000050B20000}"/>
    <cellStyle name="Normal 3 5 14 3 3" xfId="45658" xr:uid="{00000000-0005-0000-0000-000051B20000}"/>
    <cellStyle name="Normal 3 5 14 4" xfId="45659" xr:uid="{00000000-0005-0000-0000-000052B20000}"/>
    <cellStyle name="Normal 3 5 14 4 2" xfId="45660" xr:uid="{00000000-0005-0000-0000-000053B20000}"/>
    <cellStyle name="Normal 3 5 14 4 3" xfId="45661" xr:uid="{00000000-0005-0000-0000-000054B20000}"/>
    <cellStyle name="Normal 3 5 14 5" xfId="45662" xr:uid="{00000000-0005-0000-0000-000055B20000}"/>
    <cellStyle name="Normal 3 5 14 5 2" xfId="45663" xr:uid="{00000000-0005-0000-0000-000056B20000}"/>
    <cellStyle name="Normal 3 5 14 5 3" xfId="45664" xr:uid="{00000000-0005-0000-0000-000057B20000}"/>
    <cellStyle name="Normal 3 5 14 6" xfId="45665" xr:uid="{00000000-0005-0000-0000-000058B20000}"/>
    <cellStyle name="Normal 3 5 14 6 2" xfId="45666" xr:uid="{00000000-0005-0000-0000-000059B20000}"/>
    <cellStyle name="Normal 3 5 14 6 3" xfId="45667" xr:uid="{00000000-0005-0000-0000-00005AB20000}"/>
    <cellStyle name="Normal 3 5 14 7" xfId="45668" xr:uid="{00000000-0005-0000-0000-00005BB20000}"/>
    <cellStyle name="Normal 3 5 14 7 2" xfId="45669" xr:uid="{00000000-0005-0000-0000-00005CB20000}"/>
    <cellStyle name="Normal 3 5 14 7 3" xfId="45670" xr:uid="{00000000-0005-0000-0000-00005DB20000}"/>
    <cellStyle name="Normal 3 5 14 8" xfId="45671" xr:uid="{00000000-0005-0000-0000-00005EB20000}"/>
    <cellStyle name="Normal 3 5 14 8 2" xfId="45672" xr:uid="{00000000-0005-0000-0000-00005FB20000}"/>
    <cellStyle name="Normal 3 5 14 8 3" xfId="45673" xr:uid="{00000000-0005-0000-0000-000060B20000}"/>
    <cellStyle name="Normal 3 5 14 9" xfId="45674" xr:uid="{00000000-0005-0000-0000-000061B20000}"/>
    <cellStyle name="Normal 3 5 14 9 2" xfId="45675" xr:uid="{00000000-0005-0000-0000-000062B20000}"/>
    <cellStyle name="Normal 3 5 14 9 3" xfId="45676" xr:uid="{00000000-0005-0000-0000-000063B20000}"/>
    <cellStyle name="Normal 3 5 15" xfId="45677" xr:uid="{00000000-0005-0000-0000-000064B20000}"/>
    <cellStyle name="Normal 3 5 16" xfId="45678" xr:uid="{00000000-0005-0000-0000-000065B20000}"/>
    <cellStyle name="Normal 3 5 17" xfId="45679" xr:uid="{00000000-0005-0000-0000-000066B20000}"/>
    <cellStyle name="Normal 3 5 17 10" xfId="45680" xr:uid="{00000000-0005-0000-0000-000067B20000}"/>
    <cellStyle name="Normal 3 5 17 10 2" xfId="45681" xr:uid="{00000000-0005-0000-0000-000068B20000}"/>
    <cellStyle name="Normal 3 5 17 10 3" xfId="45682" xr:uid="{00000000-0005-0000-0000-000069B20000}"/>
    <cellStyle name="Normal 3 5 17 11" xfId="45683" xr:uid="{00000000-0005-0000-0000-00006AB20000}"/>
    <cellStyle name="Normal 3 5 17 11 2" xfId="45684" xr:uid="{00000000-0005-0000-0000-00006BB20000}"/>
    <cellStyle name="Normal 3 5 17 11 3" xfId="45685" xr:uid="{00000000-0005-0000-0000-00006CB20000}"/>
    <cellStyle name="Normal 3 5 17 12" xfId="45686" xr:uid="{00000000-0005-0000-0000-00006DB20000}"/>
    <cellStyle name="Normal 3 5 17 12 2" xfId="45687" xr:uid="{00000000-0005-0000-0000-00006EB20000}"/>
    <cellStyle name="Normal 3 5 17 12 3" xfId="45688" xr:uid="{00000000-0005-0000-0000-00006FB20000}"/>
    <cellStyle name="Normal 3 5 17 13" xfId="45689" xr:uid="{00000000-0005-0000-0000-000070B20000}"/>
    <cellStyle name="Normal 3 5 17 13 2" xfId="45690" xr:uid="{00000000-0005-0000-0000-000071B20000}"/>
    <cellStyle name="Normal 3 5 17 13 3" xfId="45691" xr:uid="{00000000-0005-0000-0000-000072B20000}"/>
    <cellStyle name="Normal 3 5 17 14" xfId="45692" xr:uid="{00000000-0005-0000-0000-000073B20000}"/>
    <cellStyle name="Normal 3 5 17 14 2" xfId="45693" xr:uid="{00000000-0005-0000-0000-000074B20000}"/>
    <cellStyle name="Normal 3 5 17 14 3" xfId="45694" xr:uid="{00000000-0005-0000-0000-000075B20000}"/>
    <cellStyle name="Normal 3 5 17 15" xfId="45695" xr:uid="{00000000-0005-0000-0000-000076B20000}"/>
    <cellStyle name="Normal 3 5 17 16" xfId="45696" xr:uid="{00000000-0005-0000-0000-000077B20000}"/>
    <cellStyle name="Normal 3 5 17 2" xfId="45697" xr:uid="{00000000-0005-0000-0000-000078B20000}"/>
    <cellStyle name="Normal 3 5 17 2 2" xfId="45698" xr:uid="{00000000-0005-0000-0000-000079B20000}"/>
    <cellStyle name="Normal 3 5 17 2 3" xfId="45699" xr:uid="{00000000-0005-0000-0000-00007AB20000}"/>
    <cellStyle name="Normal 3 5 17 3" xfId="45700" xr:uid="{00000000-0005-0000-0000-00007BB20000}"/>
    <cellStyle name="Normal 3 5 17 3 2" xfId="45701" xr:uid="{00000000-0005-0000-0000-00007CB20000}"/>
    <cellStyle name="Normal 3 5 17 3 3" xfId="45702" xr:uid="{00000000-0005-0000-0000-00007DB20000}"/>
    <cellStyle name="Normal 3 5 17 4" xfId="45703" xr:uid="{00000000-0005-0000-0000-00007EB20000}"/>
    <cellStyle name="Normal 3 5 17 4 2" xfId="45704" xr:uid="{00000000-0005-0000-0000-00007FB20000}"/>
    <cellStyle name="Normal 3 5 17 4 3" xfId="45705" xr:uid="{00000000-0005-0000-0000-000080B20000}"/>
    <cellStyle name="Normal 3 5 17 5" xfId="45706" xr:uid="{00000000-0005-0000-0000-000081B20000}"/>
    <cellStyle name="Normal 3 5 17 5 2" xfId="45707" xr:uid="{00000000-0005-0000-0000-000082B20000}"/>
    <cellStyle name="Normal 3 5 17 5 3" xfId="45708" xr:uid="{00000000-0005-0000-0000-000083B20000}"/>
    <cellStyle name="Normal 3 5 17 6" xfId="45709" xr:uid="{00000000-0005-0000-0000-000084B20000}"/>
    <cellStyle name="Normal 3 5 17 6 2" xfId="45710" xr:uid="{00000000-0005-0000-0000-000085B20000}"/>
    <cellStyle name="Normal 3 5 17 6 3" xfId="45711" xr:uid="{00000000-0005-0000-0000-000086B20000}"/>
    <cellStyle name="Normal 3 5 17 7" xfId="45712" xr:uid="{00000000-0005-0000-0000-000087B20000}"/>
    <cellStyle name="Normal 3 5 17 7 2" xfId="45713" xr:uid="{00000000-0005-0000-0000-000088B20000}"/>
    <cellStyle name="Normal 3 5 17 7 3" xfId="45714" xr:uid="{00000000-0005-0000-0000-000089B20000}"/>
    <cellStyle name="Normal 3 5 17 8" xfId="45715" xr:uid="{00000000-0005-0000-0000-00008AB20000}"/>
    <cellStyle name="Normal 3 5 17 8 2" xfId="45716" xr:uid="{00000000-0005-0000-0000-00008BB20000}"/>
    <cellStyle name="Normal 3 5 17 8 3" xfId="45717" xr:uid="{00000000-0005-0000-0000-00008CB20000}"/>
    <cellStyle name="Normal 3 5 17 9" xfId="45718" xr:uid="{00000000-0005-0000-0000-00008DB20000}"/>
    <cellStyle name="Normal 3 5 17 9 2" xfId="45719" xr:uid="{00000000-0005-0000-0000-00008EB20000}"/>
    <cellStyle name="Normal 3 5 17 9 3" xfId="45720" xr:uid="{00000000-0005-0000-0000-00008FB20000}"/>
    <cellStyle name="Normal 3 5 18" xfId="45721" xr:uid="{00000000-0005-0000-0000-000090B20000}"/>
    <cellStyle name="Normal 3 5 18 10" xfId="45722" xr:uid="{00000000-0005-0000-0000-000091B20000}"/>
    <cellStyle name="Normal 3 5 18 10 2" xfId="45723" xr:uid="{00000000-0005-0000-0000-000092B20000}"/>
    <cellStyle name="Normal 3 5 18 10 3" xfId="45724" xr:uid="{00000000-0005-0000-0000-000093B20000}"/>
    <cellStyle name="Normal 3 5 18 11" xfId="45725" xr:uid="{00000000-0005-0000-0000-000094B20000}"/>
    <cellStyle name="Normal 3 5 18 11 2" xfId="45726" xr:uid="{00000000-0005-0000-0000-000095B20000}"/>
    <cellStyle name="Normal 3 5 18 11 3" xfId="45727" xr:uid="{00000000-0005-0000-0000-000096B20000}"/>
    <cellStyle name="Normal 3 5 18 12" xfId="45728" xr:uid="{00000000-0005-0000-0000-000097B20000}"/>
    <cellStyle name="Normal 3 5 18 12 2" xfId="45729" xr:uid="{00000000-0005-0000-0000-000098B20000}"/>
    <cellStyle name="Normal 3 5 18 12 3" xfId="45730" xr:uid="{00000000-0005-0000-0000-000099B20000}"/>
    <cellStyle name="Normal 3 5 18 13" xfId="45731" xr:uid="{00000000-0005-0000-0000-00009AB20000}"/>
    <cellStyle name="Normal 3 5 18 13 2" xfId="45732" xr:uid="{00000000-0005-0000-0000-00009BB20000}"/>
    <cellStyle name="Normal 3 5 18 13 3" xfId="45733" xr:uid="{00000000-0005-0000-0000-00009CB20000}"/>
    <cellStyle name="Normal 3 5 18 14" xfId="45734" xr:uid="{00000000-0005-0000-0000-00009DB20000}"/>
    <cellStyle name="Normal 3 5 18 14 2" xfId="45735" xr:uid="{00000000-0005-0000-0000-00009EB20000}"/>
    <cellStyle name="Normal 3 5 18 14 3" xfId="45736" xr:uid="{00000000-0005-0000-0000-00009FB20000}"/>
    <cellStyle name="Normal 3 5 18 15" xfId="45737" xr:uid="{00000000-0005-0000-0000-0000A0B20000}"/>
    <cellStyle name="Normal 3 5 18 16" xfId="45738" xr:uid="{00000000-0005-0000-0000-0000A1B20000}"/>
    <cellStyle name="Normal 3 5 18 2" xfId="45739" xr:uid="{00000000-0005-0000-0000-0000A2B20000}"/>
    <cellStyle name="Normal 3 5 18 2 2" xfId="45740" xr:uid="{00000000-0005-0000-0000-0000A3B20000}"/>
    <cellStyle name="Normal 3 5 18 2 3" xfId="45741" xr:uid="{00000000-0005-0000-0000-0000A4B20000}"/>
    <cellStyle name="Normal 3 5 18 3" xfId="45742" xr:uid="{00000000-0005-0000-0000-0000A5B20000}"/>
    <cellStyle name="Normal 3 5 18 3 2" xfId="45743" xr:uid="{00000000-0005-0000-0000-0000A6B20000}"/>
    <cellStyle name="Normal 3 5 18 3 3" xfId="45744" xr:uid="{00000000-0005-0000-0000-0000A7B20000}"/>
    <cellStyle name="Normal 3 5 18 4" xfId="45745" xr:uid="{00000000-0005-0000-0000-0000A8B20000}"/>
    <cellStyle name="Normal 3 5 18 4 2" xfId="45746" xr:uid="{00000000-0005-0000-0000-0000A9B20000}"/>
    <cellStyle name="Normal 3 5 18 4 3" xfId="45747" xr:uid="{00000000-0005-0000-0000-0000AAB20000}"/>
    <cellStyle name="Normal 3 5 18 5" xfId="45748" xr:uid="{00000000-0005-0000-0000-0000ABB20000}"/>
    <cellStyle name="Normal 3 5 18 5 2" xfId="45749" xr:uid="{00000000-0005-0000-0000-0000ACB20000}"/>
    <cellStyle name="Normal 3 5 18 5 3" xfId="45750" xr:uid="{00000000-0005-0000-0000-0000ADB20000}"/>
    <cellStyle name="Normal 3 5 18 6" xfId="45751" xr:uid="{00000000-0005-0000-0000-0000AEB20000}"/>
    <cellStyle name="Normal 3 5 18 6 2" xfId="45752" xr:uid="{00000000-0005-0000-0000-0000AFB20000}"/>
    <cellStyle name="Normal 3 5 18 6 3" xfId="45753" xr:uid="{00000000-0005-0000-0000-0000B0B20000}"/>
    <cellStyle name="Normal 3 5 18 7" xfId="45754" xr:uid="{00000000-0005-0000-0000-0000B1B20000}"/>
    <cellStyle name="Normal 3 5 18 7 2" xfId="45755" xr:uid="{00000000-0005-0000-0000-0000B2B20000}"/>
    <cellStyle name="Normal 3 5 18 7 3" xfId="45756" xr:uid="{00000000-0005-0000-0000-0000B3B20000}"/>
    <cellStyle name="Normal 3 5 18 8" xfId="45757" xr:uid="{00000000-0005-0000-0000-0000B4B20000}"/>
    <cellStyle name="Normal 3 5 18 8 2" xfId="45758" xr:uid="{00000000-0005-0000-0000-0000B5B20000}"/>
    <cellStyle name="Normal 3 5 18 8 3" xfId="45759" xr:uid="{00000000-0005-0000-0000-0000B6B20000}"/>
    <cellStyle name="Normal 3 5 18 9" xfId="45760" xr:uid="{00000000-0005-0000-0000-0000B7B20000}"/>
    <cellStyle name="Normal 3 5 18 9 2" xfId="45761" xr:uid="{00000000-0005-0000-0000-0000B8B20000}"/>
    <cellStyle name="Normal 3 5 18 9 3" xfId="45762" xr:uid="{00000000-0005-0000-0000-0000B9B20000}"/>
    <cellStyle name="Normal 3 5 2" xfId="45763" xr:uid="{00000000-0005-0000-0000-0000BAB20000}"/>
    <cellStyle name="Normal 3 5 3" xfId="45764" xr:uid="{00000000-0005-0000-0000-0000BBB20000}"/>
    <cellStyle name="Normal 3 5 3 10" xfId="45765" xr:uid="{00000000-0005-0000-0000-0000BCB20000}"/>
    <cellStyle name="Normal 3 5 3 10 2" xfId="45766" xr:uid="{00000000-0005-0000-0000-0000BDB20000}"/>
    <cellStyle name="Normal 3 5 3 10 3" xfId="45767" xr:uid="{00000000-0005-0000-0000-0000BEB20000}"/>
    <cellStyle name="Normal 3 5 3 11" xfId="45768" xr:uid="{00000000-0005-0000-0000-0000BFB20000}"/>
    <cellStyle name="Normal 3 5 3 11 2" xfId="45769" xr:uid="{00000000-0005-0000-0000-0000C0B20000}"/>
    <cellStyle name="Normal 3 5 3 11 3" xfId="45770" xr:uid="{00000000-0005-0000-0000-0000C1B20000}"/>
    <cellStyle name="Normal 3 5 3 12" xfId="45771" xr:uid="{00000000-0005-0000-0000-0000C2B20000}"/>
    <cellStyle name="Normal 3 5 3 12 2" xfId="45772" xr:uid="{00000000-0005-0000-0000-0000C3B20000}"/>
    <cellStyle name="Normal 3 5 3 12 3" xfId="45773" xr:uid="{00000000-0005-0000-0000-0000C4B20000}"/>
    <cellStyle name="Normal 3 5 3 13" xfId="45774" xr:uid="{00000000-0005-0000-0000-0000C5B20000}"/>
    <cellStyle name="Normal 3 5 3 13 2" xfId="45775" xr:uid="{00000000-0005-0000-0000-0000C6B20000}"/>
    <cellStyle name="Normal 3 5 3 13 3" xfId="45776" xr:uid="{00000000-0005-0000-0000-0000C7B20000}"/>
    <cellStyle name="Normal 3 5 3 14" xfId="45777" xr:uid="{00000000-0005-0000-0000-0000C8B20000}"/>
    <cellStyle name="Normal 3 5 3 14 2" xfId="45778" xr:uid="{00000000-0005-0000-0000-0000C9B20000}"/>
    <cellStyle name="Normal 3 5 3 14 3" xfId="45779" xr:uid="{00000000-0005-0000-0000-0000CAB20000}"/>
    <cellStyle name="Normal 3 5 3 15" xfId="45780" xr:uid="{00000000-0005-0000-0000-0000CBB20000}"/>
    <cellStyle name="Normal 3 5 3 15 2" xfId="45781" xr:uid="{00000000-0005-0000-0000-0000CCB20000}"/>
    <cellStyle name="Normal 3 5 3 15 3" xfId="45782" xr:uid="{00000000-0005-0000-0000-0000CDB20000}"/>
    <cellStyle name="Normal 3 5 3 16" xfId="45783" xr:uid="{00000000-0005-0000-0000-0000CEB20000}"/>
    <cellStyle name="Normal 3 5 3 16 2" xfId="45784" xr:uid="{00000000-0005-0000-0000-0000CFB20000}"/>
    <cellStyle name="Normal 3 5 3 16 3" xfId="45785" xr:uid="{00000000-0005-0000-0000-0000D0B20000}"/>
    <cellStyle name="Normal 3 5 3 17" xfId="45786" xr:uid="{00000000-0005-0000-0000-0000D1B20000}"/>
    <cellStyle name="Normal 3 5 3 17 2" xfId="45787" xr:uid="{00000000-0005-0000-0000-0000D2B20000}"/>
    <cellStyle name="Normal 3 5 3 17 3" xfId="45788" xr:uid="{00000000-0005-0000-0000-0000D3B20000}"/>
    <cellStyle name="Normal 3 5 3 18" xfId="45789" xr:uid="{00000000-0005-0000-0000-0000D4B20000}"/>
    <cellStyle name="Normal 3 5 3 19" xfId="45790" xr:uid="{00000000-0005-0000-0000-0000D5B20000}"/>
    <cellStyle name="Normal 3 5 3 2" xfId="45791" xr:uid="{00000000-0005-0000-0000-0000D6B20000}"/>
    <cellStyle name="Normal 3 5 3 3" xfId="45792" xr:uid="{00000000-0005-0000-0000-0000D7B20000}"/>
    <cellStyle name="Normal 3 5 3 4" xfId="45793" xr:uid="{00000000-0005-0000-0000-0000D8B20000}"/>
    <cellStyle name="Normal 3 5 3 5" xfId="45794" xr:uid="{00000000-0005-0000-0000-0000D9B20000}"/>
    <cellStyle name="Normal 3 5 3 5 2" xfId="45795" xr:uid="{00000000-0005-0000-0000-0000DAB20000}"/>
    <cellStyle name="Normal 3 5 3 5 3" xfId="45796" xr:uid="{00000000-0005-0000-0000-0000DBB20000}"/>
    <cellStyle name="Normal 3 5 3 6" xfId="45797" xr:uid="{00000000-0005-0000-0000-0000DCB20000}"/>
    <cellStyle name="Normal 3 5 3 6 2" xfId="45798" xr:uid="{00000000-0005-0000-0000-0000DDB20000}"/>
    <cellStyle name="Normal 3 5 3 6 3" xfId="45799" xr:uid="{00000000-0005-0000-0000-0000DEB20000}"/>
    <cellStyle name="Normal 3 5 3 7" xfId="45800" xr:uid="{00000000-0005-0000-0000-0000DFB20000}"/>
    <cellStyle name="Normal 3 5 3 7 2" xfId="45801" xr:uid="{00000000-0005-0000-0000-0000E0B20000}"/>
    <cellStyle name="Normal 3 5 3 7 3" xfId="45802" xr:uid="{00000000-0005-0000-0000-0000E1B20000}"/>
    <cellStyle name="Normal 3 5 3 8" xfId="45803" xr:uid="{00000000-0005-0000-0000-0000E2B20000}"/>
    <cellStyle name="Normal 3 5 3 8 2" xfId="45804" xr:uid="{00000000-0005-0000-0000-0000E3B20000}"/>
    <cellStyle name="Normal 3 5 3 8 3" xfId="45805" xr:uid="{00000000-0005-0000-0000-0000E4B20000}"/>
    <cellStyle name="Normal 3 5 3 9" xfId="45806" xr:uid="{00000000-0005-0000-0000-0000E5B20000}"/>
    <cellStyle name="Normal 3 5 3 9 2" xfId="45807" xr:uid="{00000000-0005-0000-0000-0000E6B20000}"/>
    <cellStyle name="Normal 3 5 3 9 3" xfId="45808" xr:uid="{00000000-0005-0000-0000-0000E7B20000}"/>
    <cellStyle name="Normal 3 5 4" xfId="45809" xr:uid="{00000000-0005-0000-0000-0000E8B20000}"/>
    <cellStyle name="Normal 3 5 5" xfId="45810" xr:uid="{00000000-0005-0000-0000-0000E9B20000}"/>
    <cellStyle name="Normal 3 5 6" xfId="45811" xr:uid="{00000000-0005-0000-0000-0000EAB20000}"/>
    <cellStyle name="Normal 3 5 6 10" xfId="45812" xr:uid="{00000000-0005-0000-0000-0000EBB20000}"/>
    <cellStyle name="Normal 3 5 6 10 2" xfId="45813" xr:uid="{00000000-0005-0000-0000-0000ECB20000}"/>
    <cellStyle name="Normal 3 5 6 10 3" xfId="45814" xr:uid="{00000000-0005-0000-0000-0000EDB20000}"/>
    <cellStyle name="Normal 3 5 6 11" xfId="45815" xr:uid="{00000000-0005-0000-0000-0000EEB20000}"/>
    <cellStyle name="Normal 3 5 6 11 2" xfId="45816" xr:uid="{00000000-0005-0000-0000-0000EFB20000}"/>
    <cellStyle name="Normal 3 5 6 11 3" xfId="45817" xr:uid="{00000000-0005-0000-0000-0000F0B20000}"/>
    <cellStyle name="Normal 3 5 6 12" xfId="45818" xr:uid="{00000000-0005-0000-0000-0000F1B20000}"/>
    <cellStyle name="Normal 3 5 6 12 2" xfId="45819" xr:uid="{00000000-0005-0000-0000-0000F2B20000}"/>
    <cellStyle name="Normal 3 5 6 12 3" xfId="45820" xr:uid="{00000000-0005-0000-0000-0000F3B20000}"/>
    <cellStyle name="Normal 3 5 6 13" xfId="45821" xr:uid="{00000000-0005-0000-0000-0000F4B20000}"/>
    <cellStyle name="Normal 3 5 6 13 2" xfId="45822" xr:uid="{00000000-0005-0000-0000-0000F5B20000}"/>
    <cellStyle name="Normal 3 5 6 13 3" xfId="45823" xr:uid="{00000000-0005-0000-0000-0000F6B20000}"/>
    <cellStyle name="Normal 3 5 6 14" xfId="45824" xr:uid="{00000000-0005-0000-0000-0000F7B20000}"/>
    <cellStyle name="Normal 3 5 6 14 2" xfId="45825" xr:uid="{00000000-0005-0000-0000-0000F8B20000}"/>
    <cellStyle name="Normal 3 5 6 14 3" xfId="45826" xr:uid="{00000000-0005-0000-0000-0000F9B20000}"/>
    <cellStyle name="Normal 3 5 6 15" xfId="45827" xr:uid="{00000000-0005-0000-0000-0000FAB20000}"/>
    <cellStyle name="Normal 3 5 6 15 2" xfId="45828" xr:uid="{00000000-0005-0000-0000-0000FBB20000}"/>
    <cellStyle name="Normal 3 5 6 15 3" xfId="45829" xr:uid="{00000000-0005-0000-0000-0000FCB20000}"/>
    <cellStyle name="Normal 3 5 6 16" xfId="45830" xr:uid="{00000000-0005-0000-0000-0000FDB20000}"/>
    <cellStyle name="Normal 3 5 6 17" xfId="45831" xr:uid="{00000000-0005-0000-0000-0000FEB20000}"/>
    <cellStyle name="Normal 3 5 6 2" xfId="45832" xr:uid="{00000000-0005-0000-0000-0000FFB20000}"/>
    <cellStyle name="Normal 3 5 6 2 10" xfId="45833" xr:uid="{00000000-0005-0000-0000-000000B30000}"/>
    <cellStyle name="Normal 3 5 6 2 10 2" xfId="45834" xr:uid="{00000000-0005-0000-0000-000001B30000}"/>
    <cellStyle name="Normal 3 5 6 2 10 3" xfId="45835" xr:uid="{00000000-0005-0000-0000-000002B30000}"/>
    <cellStyle name="Normal 3 5 6 2 11" xfId="45836" xr:uid="{00000000-0005-0000-0000-000003B30000}"/>
    <cellStyle name="Normal 3 5 6 2 11 2" xfId="45837" xr:uid="{00000000-0005-0000-0000-000004B30000}"/>
    <cellStyle name="Normal 3 5 6 2 11 3" xfId="45838" xr:uid="{00000000-0005-0000-0000-000005B30000}"/>
    <cellStyle name="Normal 3 5 6 2 12" xfId="45839" xr:uid="{00000000-0005-0000-0000-000006B30000}"/>
    <cellStyle name="Normal 3 5 6 2 12 2" xfId="45840" xr:uid="{00000000-0005-0000-0000-000007B30000}"/>
    <cellStyle name="Normal 3 5 6 2 12 3" xfId="45841" xr:uid="{00000000-0005-0000-0000-000008B30000}"/>
    <cellStyle name="Normal 3 5 6 2 13" xfId="45842" xr:uid="{00000000-0005-0000-0000-000009B30000}"/>
    <cellStyle name="Normal 3 5 6 2 13 2" xfId="45843" xr:uid="{00000000-0005-0000-0000-00000AB30000}"/>
    <cellStyle name="Normal 3 5 6 2 13 3" xfId="45844" xr:uid="{00000000-0005-0000-0000-00000BB30000}"/>
    <cellStyle name="Normal 3 5 6 2 14" xfId="45845" xr:uid="{00000000-0005-0000-0000-00000CB30000}"/>
    <cellStyle name="Normal 3 5 6 2 14 2" xfId="45846" xr:uid="{00000000-0005-0000-0000-00000DB30000}"/>
    <cellStyle name="Normal 3 5 6 2 14 3" xfId="45847" xr:uid="{00000000-0005-0000-0000-00000EB30000}"/>
    <cellStyle name="Normal 3 5 6 2 15" xfId="45848" xr:uid="{00000000-0005-0000-0000-00000FB30000}"/>
    <cellStyle name="Normal 3 5 6 2 16" xfId="45849" xr:uid="{00000000-0005-0000-0000-000010B30000}"/>
    <cellStyle name="Normal 3 5 6 2 2" xfId="45850" xr:uid="{00000000-0005-0000-0000-000011B30000}"/>
    <cellStyle name="Normal 3 5 6 2 2 2" xfId="45851" xr:uid="{00000000-0005-0000-0000-000012B30000}"/>
    <cellStyle name="Normal 3 5 6 2 2 3" xfId="45852" xr:uid="{00000000-0005-0000-0000-000013B30000}"/>
    <cellStyle name="Normal 3 5 6 2 3" xfId="45853" xr:uid="{00000000-0005-0000-0000-000014B30000}"/>
    <cellStyle name="Normal 3 5 6 2 3 2" xfId="45854" xr:uid="{00000000-0005-0000-0000-000015B30000}"/>
    <cellStyle name="Normal 3 5 6 2 3 3" xfId="45855" xr:uid="{00000000-0005-0000-0000-000016B30000}"/>
    <cellStyle name="Normal 3 5 6 2 4" xfId="45856" xr:uid="{00000000-0005-0000-0000-000017B30000}"/>
    <cellStyle name="Normal 3 5 6 2 4 2" xfId="45857" xr:uid="{00000000-0005-0000-0000-000018B30000}"/>
    <cellStyle name="Normal 3 5 6 2 4 3" xfId="45858" xr:uid="{00000000-0005-0000-0000-000019B30000}"/>
    <cellStyle name="Normal 3 5 6 2 5" xfId="45859" xr:uid="{00000000-0005-0000-0000-00001AB30000}"/>
    <cellStyle name="Normal 3 5 6 2 5 2" xfId="45860" xr:uid="{00000000-0005-0000-0000-00001BB30000}"/>
    <cellStyle name="Normal 3 5 6 2 5 3" xfId="45861" xr:uid="{00000000-0005-0000-0000-00001CB30000}"/>
    <cellStyle name="Normal 3 5 6 2 6" xfId="45862" xr:uid="{00000000-0005-0000-0000-00001DB30000}"/>
    <cellStyle name="Normal 3 5 6 2 6 2" xfId="45863" xr:uid="{00000000-0005-0000-0000-00001EB30000}"/>
    <cellStyle name="Normal 3 5 6 2 6 3" xfId="45864" xr:uid="{00000000-0005-0000-0000-00001FB30000}"/>
    <cellStyle name="Normal 3 5 6 2 7" xfId="45865" xr:uid="{00000000-0005-0000-0000-000020B30000}"/>
    <cellStyle name="Normal 3 5 6 2 7 2" xfId="45866" xr:uid="{00000000-0005-0000-0000-000021B30000}"/>
    <cellStyle name="Normal 3 5 6 2 7 3" xfId="45867" xr:uid="{00000000-0005-0000-0000-000022B30000}"/>
    <cellStyle name="Normal 3 5 6 2 8" xfId="45868" xr:uid="{00000000-0005-0000-0000-000023B30000}"/>
    <cellStyle name="Normal 3 5 6 2 8 2" xfId="45869" xr:uid="{00000000-0005-0000-0000-000024B30000}"/>
    <cellStyle name="Normal 3 5 6 2 8 3" xfId="45870" xr:uid="{00000000-0005-0000-0000-000025B30000}"/>
    <cellStyle name="Normal 3 5 6 2 9" xfId="45871" xr:uid="{00000000-0005-0000-0000-000026B30000}"/>
    <cellStyle name="Normal 3 5 6 2 9 2" xfId="45872" xr:uid="{00000000-0005-0000-0000-000027B30000}"/>
    <cellStyle name="Normal 3 5 6 2 9 3" xfId="45873" xr:uid="{00000000-0005-0000-0000-000028B30000}"/>
    <cellStyle name="Normal 3 5 6 3" xfId="45874" xr:uid="{00000000-0005-0000-0000-000029B30000}"/>
    <cellStyle name="Normal 3 5 6 3 2" xfId="45875" xr:uid="{00000000-0005-0000-0000-00002AB30000}"/>
    <cellStyle name="Normal 3 5 6 3 3" xfId="45876" xr:uid="{00000000-0005-0000-0000-00002BB30000}"/>
    <cellStyle name="Normal 3 5 6 4" xfId="45877" xr:uid="{00000000-0005-0000-0000-00002CB30000}"/>
    <cellStyle name="Normal 3 5 6 4 2" xfId="45878" xr:uid="{00000000-0005-0000-0000-00002DB30000}"/>
    <cellStyle name="Normal 3 5 6 4 3" xfId="45879" xr:uid="{00000000-0005-0000-0000-00002EB30000}"/>
    <cellStyle name="Normal 3 5 6 5" xfId="45880" xr:uid="{00000000-0005-0000-0000-00002FB30000}"/>
    <cellStyle name="Normal 3 5 6 5 2" xfId="45881" xr:uid="{00000000-0005-0000-0000-000030B30000}"/>
    <cellStyle name="Normal 3 5 6 5 3" xfId="45882" xr:uid="{00000000-0005-0000-0000-000031B30000}"/>
    <cellStyle name="Normal 3 5 6 6" xfId="45883" xr:uid="{00000000-0005-0000-0000-000032B30000}"/>
    <cellStyle name="Normal 3 5 6 6 2" xfId="45884" xr:uid="{00000000-0005-0000-0000-000033B30000}"/>
    <cellStyle name="Normal 3 5 6 6 3" xfId="45885" xr:uid="{00000000-0005-0000-0000-000034B30000}"/>
    <cellStyle name="Normal 3 5 6 7" xfId="45886" xr:uid="{00000000-0005-0000-0000-000035B30000}"/>
    <cellStyle name="Normal 3 5 6 7 2" xfId="45887" xr:uid="{00000000-0005-0000-0000-000036B30000}"/>
    <cellStyle name="Normal 3 5 6 7 3" xfId="45888" xr:uid="{00000000-0005-0000-0000-000037B30000}"/>
    <cellStyle name="Normal 3 5 6 8" xfId="45889" xr:uid="{00000000-0005-0000-0000-000038B30000}"/>
    <cellStyle name="Normal 3 5 6 8 2" xfId="45890" xr:uid="{00000000-0005-0000-0000-000039B30000}"/>
    <cellStyle name="Normal 3 5 6 8 3" xfId="45891" xr:uid="{00000000-0005-0000-0000-00003AB30000}"/>
    <cellStyle name="Normal 3 5 6 9" xfId="45892" xr:uid="{00000000-0005-0000-0000-00003BB30000}"/>
    <cellStyle name="Normal 3 5 6 9 2" xfId="45893" xr:uid="{00000000-0005-0000-0000-00003CB30000}"/>
    <cellStyle name="Normal 3 5 6 9 3" xfId="45894" xr:uid="{00000000-0005-0000-0000-00003DB30000}"/>
    <cellStyle name="Normal 3 5 7" xfId="45895" xr:uid="{00000000-0005-0000-0000-00003EB30000}"/>
    <cellStyle name="Normal 3 5 7 10" xfId="45896" xr:uid="{00000000-0005-0000-0000-00003FB30000}"/>
    <cellStyle name="Normal 3 5 7 10 2" xfId="45897" xr:uid="{00000000-0005-0000-0000-000040B30000}"/>
    <cellStyle name="Normal 3 5 7 10 3" xfId="45898" xr:uid="{00000000-0005-0000-0000-000041B30000}"/>
    <cellStyle name="Normal 3 5 7 11" xfId="45899" xr:uid="{00000000-0005-0000-0000-000042B30000}"/>
    <cellStyle name="Normal 3 5 7 11 2" xfId="45900" xr:uid="{00000000-0005-0000-0000-000043B30000}"/>
    <cellStyle name="Normal 3 5 7 11 3" xfId="45901" xr:uid="{00000000-0005-0000-0000-000044B30000}"/>
    <cellStyle name="Normal 3 5 7 12" xfId="45902" xr:uid="{00000000-0005-0000-0000-000045B30000}"/>
    <cellStyle name="Normal 3 5 7 12 2" xfId="45903" xr:uid="{00000000-0005-0000-0000-000046B30000}"/>
    <cellStyle name="Normal 3 5 7 12 3" xfId="45904" xr:uid="{00000000-0005-0000-0000-000047B30000}"/>
    <cellStyle name="Normal 3 5 7 13" xfId="45905" xr:uid="{00000000-0005-0000-0000-000048B30000}"/>
    <cellStyle name="Normal 3 5 7 13 2" xfId="45906" xr:uid="{00000000-0005-0000-0000-000049B30000}"/>
    <cellStyle name="Normal 3 5 7 13 3" xfId="45907" xr:uid="{00000000-0005-0000-0000-00004AB30000}"/>
    <cellStyle name="Normal 3 5 7 14" xfId="45908" xr:uid="{00000000-0005-0000-0000-00004BB30000}"/>
    <cellStyle name="Normal 3 5 7 14 2" xfId="45909" xr:uid="{00000000-0005-0000-0000-00004CB30000}"/>
    <cellStyle name="Normal 3 5 7 14 3" xfId="45910" xr:uid="{00000000-0005-0000-0000-00004DB30000}"/>
    <cellStyle name="Normal 3 5 7 15" xfId="45911" xr:uid="{00000000-0005-0000-0000-00004EB30000}"/>
    <cellStyle name="Normal 3 5 7 15 2" xfId="45912" xr:uid="{00000000-0005-0000-0000-00004FB30000}"/>
    <cellStyle name="Normal 3 5 7 15 3" xfId="45913" xr:uid="{00000000-0005-0000-0000-000050B30000}"/>
    <cellStyle name="Normal 3 5 7 16" xfId="45914" xr:uid="{00000000-0005-0000-0000-000051B30000}"/>
    <cellStyle name="Normal 3 5 7 17" xfId="45915" xr:uid="{00000000-0005-0000-0000-000052B30000}"/>
    <cellStyle name="Normal 3 5 7 2" xfId="45916" xr:uid="{00000000-0005-0000-0000-000053B30000}"/>
    <cellStyle name="Normal 3 5 7 2 10" xfId="45917" xr:uid="{00000000-0005-0000-0000-000054B30000}"/>
    <cellStyle name="Normal 3 5 7 2 10 2" xfId="45918" xr:uid="{00000000-0005-0000-0000-000055B30000}"/>
    <cellStyle name="Normal 3 5 7 2 10 3" xfId="45919" xr:uid="{00000000-0005-0000-0000-000056B30000}"/>
    <cellStyle name="Normal 3 5 7 2 11" xfId="45920" xr:uid="{00000000-0005-0000-0000-000057B30000}"/>
    <cellStyle name="Normal 3 5 7 2 11 2" xfId="45921" xr:uid="{00000000-0005-0000-0000-000058B30000}"/>
    <cellStyle name="Normal 3 5 7 2 11 3" xfId="45922" xr:uid="{00000000-0005-0000-0000-000059B30000}"/>
    <cellStyle name="Normal 3 5 7 2 12" xfId="45923" xr:uid="{00000000-0005-0000-0000-00005AB30000}"/>
    <cellStyle name="Normal 3 5 7 2 12 2" xfId="45924" xr:uid="{00000000-0005-0000-0000-00005BB30000}"/>
    <cellStyle name="Normal 3 5 7 2 12 3" xfId="45925" xr:uid="{00000000-0005-0000-0000-00005CB30000}"/>
    <cellStyle name="Normal 3 5 7 2 13" xfId="45926" xr:uid="{00000000-0005-0000-0000-00005DB30000}"/>
    <cellStyle name="Normal 3 5 7 2 13 2" xfId="45927" xr:uid="{00000000-0005-0000-0000-00005EB30000}"/>
    <cellStyle name="Normal 3 5 7 2 13 3" xfId="45928" xr:uid="{00000000-0005-0000-0000-00005FB30000}"/>
    <cellStyle name="Normal 3 5 7 2 14" xfId="45929" xr:uid="{00000000-0005-0000-0000-000060B30000}"/>
    <cellStyle name="Normal 3 5 7 2 14 2" xfId="45930" xr:uid="{00000000-0005-0000-0000-000061B30000}"/>
    <cellStyle name="Normal 3 5 7 2 14 3" xfId="45931" xr:uid="{00000000-0005-0000-0000-000062B30000}"/>
    <cellStyle name="Normal 3 5 7 2 15" xfId="45932" xr:uid="{00000000-0005-0000-0000-000063B30000}"/>
    <cellStyle name="Normal 3 5 7 2 16" xfId="45933" xr:uid="{00000000-0005-0000-0000-000064B30000}"/>
    <cellStyle name="Normal 3 5 7 2 2" xfId="45934" xr:uid="{00000000-0005-0000-0000-000065B30000}"/>
    <cellStyle name="Normal 3 5 7 2 2 2" xfId="45935" xr:uid="{00000000-0005-0000-0000-000066B30000}"/>
    <cellStyle name="Normal 3 5 7 2 2 3" xfId="45936" xr:uid="{00000000-0005-0000-0000-000067B30000}"/>
    <cellStyle name="Normal 3 5 7 2 3" xfId="45937" xr:uid="{00000000-0005-0000-0000-000068B30000}"/>
    <cellStyle name="Normal 3 5 7 2 3 2" xfId="45938" xr:uid="{00000000-0005-0000-0000-000069B30000}"/>
    <cellStyle name="Normal 3 5 7 2 3 3" xfId="45939" xr:uid="{00000000-0005-0000-0000-00006AB30000}"/>
    <cellStyle name="Normal 3 5 7 2 4" xfId="45940" xr:uid="{00000000-0005-0000-0000-00006BB30000}"/>
    <cellStyle name="Normal 3 5 7 2 4 2" xfId="45941" xr:uid="{00000000-0005-0000-0000-00006CB30000}"/>
    <cellStyle name="Normal 3 5 7 2 4 3" xfId="45942" xr:uid="{00000000-0005-0000-0000-00006DB30000}"/>
    <cellStyle name="Normal 3 5 7 2 5" xfId="45943" xr:uid="{00000000-0005-0000-0000-00006EB30000}"/>
    <cellStyle name="Normal 3 5 7 2 5 2" xfId="45944" xr:uid="{00000000-0005-0000-0000-00006FB30000}"/>
    <cellStyle name="Normal 3 5 7 2 5 3" xfId="45945" xr:uid="{00000000-0005-0000-0000-000070B30000}"/>
    <cellStyle name="Normal 3 5 7 2 6" xfId="45946" xr:uid="{00000000-0005-0000-0000-000071B30000}"/>
    <cellStyle name="Normal 3 5 7 2 6 2" xfId="45947" xr:uid="{00000000-0005-0000-0000-000072B30000}"/>
    <cellStyle name="Normal 3 5 7 2 6 3" xfId="45948" xr:uid="{00000000-0005-0000-0000-000073B30000}"/>
    <cellStyle name="Normal 3 5 7 2 7" xfId="45949" xr:uid="{00000000-0005-0000-0000-000074B30000}"/>
    <cellStyle name="Normal 3 5 7 2 7 2" xfId="45950" xr:uid="{00000000-0005-0000-0000-000075B30000}"/>
    <cellStyle name="Normal 3 5 7 2 7 3" xfId="45951" xr:uid="{00000000-0005-0000-0000-000076B30000}"/>
    <cellStyle name="Normal 3 5 7 2 8" xfId="45952" xr:uid="{00000000-0005-0000-0000-000077B30000}"/>
    <cellStyle name="Normal 3 5 7 2 8 2" xfId="45953" xr:uid="{00000000-0005-0000-0000-000078B30000}"/>
    <cellStyle name="Normal 3 5 7 2 8 3" xfId="45954" xr:uid="{00000000-0005-0000-0000-000079B30000}"/>
    <cellStyle name="Normal 3 5 7 2 9" xfId="45955" xr:uid="{00000000-0005-0000-0000-00007AB30000}"/>
    <cellStyle name="Normal 3 5 7 2 9 2" xfId="45956" xr:uid="{00000000-0005-0000-0000-00007BB30000}"/>
    <cellStyle name="Normal 3 5 7 2 9 3" xfId="45957" xr:uid="{00000000-0005-0000-0000-00007CB30000}"/>
    <cellStyle name="Normal 3 5 7 3" xfId="45958" xr:uid="{00000000-0005-0000-0000-00007DB30000}"/>
    <cellStyle name="Normal 3 5 7 3 2" xfId="45959" xr:uid="{00000000-0005-0000-0000-00007EB30000}"/>
    <cellStyle name="Normal 3 5 7 3 3" xfId="45960" xr:uid="{00000000-0005-0000-0000-00007FB30000}"/>
    <cellStyle name="Normal 3 5 7 4" xfId="45961" xr:uid="{00000000-0005-0000-0000-000080B30000}"/>
    <cellStyle name="Normal 3 5 7 4 2" xfId="45962" xr:uid="{00000000-0005-0000-0000-000081B30000}"/>
    <cellStyle name="Normal 3 5 7 4 3" xfId="45963" xr:uid="{00000000-0005-0000-0000-000082B30000}"/>
    <cellStyle name="Normal 3 5 7 5" xfId="45964" xr:uid="{00000000-0005-0000-0000-000083B30000}"/>
    <cellStyle name="Normal 3 5 7 5 2" xfId="45965" xr:uid="{00000000-0005-0000-0000-000084B30000}"/>
    <cellStyle name="Normal 3 5 7 5 3" xfId="45966" xr:uid="{00000000-0005-0000-0000-000085B30000}"/>
    <cellStyle name="Normal 3 5 7 6" xfId="45967" xr:uid="{00000000-0005-0000-0000-000086B30000}"/>
    <cellStyle name="Normal 3 5 7 6 2" xfId="45968" xr:uid="{00000000-0005-0000-0000-000087B30000}"/>
    <cellStyle name="Normal 3 5 7 6 3" xfId="45969" xr:uid="{00000000-0005-0000-0000-000088B30000}"/>
    <cellStyle name="Normal 3 5 7 7" xfId="45970" xr:uid="{00000000-0005-0000-0000-000089B30000}"/>
    <cellStyle name="Normal 3 5 7 7 2" xfId="45971" xr:uid="{00000000-0005-0000-0000-00008AB30000}"/>
    <cellStyle name="Normal 3 5 7 7 3" xfId="45972" xr:uid="{00000000-0005-0000-0000-00008BB30000}"/>
    <cellStyle name="Normal 3 5 7 8" xfId="45973" xr:uid="{00000000-0005-0000-0000-00008CB30000}"/>
    <cellStyle name="Normal 3 5 7 8 2" xfId="45974" xr:uid="{00000000-0005-0000-0000-00008DB30000}"/>
    <cellStyle name="Normal 3 5 7 8 3" xfId="45975" xr:uid="{00000000-0005-0000-0000-00008EB30000}"/>
    <cellStyle name="Normal 3 5 7 9" xfId="45976" xr:uid="{00000000-0005-0000-0000-00008FB30000}"/>
    <cellStyle name="Normal 3 5 7 9 2" xfId="45977" xr:uid="{00000000-0005-0000-0000-000090B30000}"/>
    <cellStyle name="Normal 3 5 7 9 3" xfId="45978" xr:uid="{00000000-0005-0000-0000-000091B30000}"/>
    <cellStyle name="Normal 3 5 8" xfId="45979" xr:uid="{00000000-0005-0000-0000-000092B30000}"/>
    <cellStyle name="Normal 3 5 8 10" xfId="45980" xr:uid="{00000000-0005-0000-0000-000093B30000}"/>
    <cellStyle name="Normal 3 5 8 10 2" xfId="45981" xr:uid="{00000000-0005-0000-0000-000094B30000}"/>
    <cellStyle name="Normal 3 5 8 10 3" xfId="45982" xr:uid="{00000000-0005-0000-0000-000095B30000}"/>
    <cellStyle name="Normal 3 5 8 11" xfId="45983" xr:uid="{00000000-0005-0000-0000-000096B30000}"/>
    <cellStyle name="Normal 3 5 8 11 2" xfId="45984" xr:uid="{00000000-0005-0000-0000-000097B30000}"/>
    <cellStyle name="Normal 3 5 8 11 3" xfId="45985" xr:uid="{00000000-0005-0000-0000-000098B30000}"/>
    <cellStyle name="Normal 3 5 8 12" xfId="45986" xr:uid="{00000000-0005-0000-0000-000099B30000}"/>
    <cellStyle name="Normal 3 5 8 12 2" xfId="45987" xr:uid="{00000000-0005-0000-0000-00009AB30000}"/>
    <cellStyle name="Normal 3 5 8 12 3" xfId="45988" xr:uid="{00000000-0005-0000-0000-00009BB30000}"/>
    <cellStyle name="Normal 3 5 8 13" xfId="45989" xr:uid="{00000000-0005-0000-0000-00009CB30000}"/>
    <cellStyle name="Normal 3 5 8 13 2" xfId="45990" xr:uid="{00000000-0005-0000-0000-00009DB30000}"/>
    <cellStyle name="Normal 3 5 8 13 3" xfId="45991" xr:uid="{00000000-0005-0000-0000-00009EB30000}"/>
    <cellStyle name="Normal 3 5 8 14" xfId="45992" xr:uid="{00000000-0005-0000-0000-00009FB30000}"/>
    <cellStyle name="Normal 3 5 8 14 2" xfId="45993" xr:uid="{00000000-0005-0000-0000-0000A0B30000}"/>
    <cellStyle name="Normal 3 5 8 14 3" xfId="45994" xr:uid="{00000000-0005-0000-0000-0000A1B30000}"/>
    <cellStyle name="Normal 3 5 8 15" xfId="45995" xr:uid="{00000000-0005-0000-0000-0000A2B30000}"/>
    <cellStyle name="Normal 3 5 8 15 2" xfId="45996" xr:uid="{00000000-0005-0000-0000-0000A3B30000}"/>
    <cellStyle name="Normal 3 5 8 15 3" xfId="45997" xr:uid="{00000000-0005-0000-0000-0000A4B30000}"/>
    <cellStyle name="Normal 3 5 8 16" xfId="45998" xr:uid="{00000000-0005-0000-0000-0000A5B30000}"/>
    <cellStyle name="Normal 3 5 8 17" xfId="45999" xr:uid="{00000000-0005-0000-0000-0000A6B30000}"/>
    <cellStyle name="Normal 3 5 8 2" xfId="46000" xr:uid="{00000000-0005-0000-0000-0000A7B30000}"/>
    <cellStyle name="Normal 3 5 8 2 10" xfId="46001" xr:uid="{00000000-0005-0000-0000-0000A8B30000}"/>
    <cellStyle name="Normal 3 5 8 2 10 2" xfId="46002" xr:uid="{00000000-0005-0000-0000-0000A9B30000}"/>
    <cellStyle name="Normal 3 5 8 2 10 3" xfId="46003" xr:uid="{00000000-0005-0000-0000-0000AAB30000}"/>
    <cellStyle name="Normal 3 5 8 2 11" xfId="46004" xr:uid="{00000000-0005-0000-0000-0000ABB30000}"/>
    <cellStyle name="Normal 3 5 8 2 11 2" xfId="46005" xr:uid="{00000000-0005-0000-0000-0000ACB30000}"/>
    <cellStyle name="Normal 3 5 8 2 11 3" xfId="46006" xr:uid="{00000000-0005-0000-0000-0000ADB30000}"/>
    <cellStyle name="Normal 3 5 8 2 12" xfId="46007" xr:uid="{00000000-0005-0000-0000-0000AEB30000}"/>
    <cellStyle name="Normal 3 5 8 2 12 2" xfId="46008" xr:uid="{00000000-0005-0000-0000-0000AFB30000}"/>
    <cellStyle name="Normal 3 5 8 2 12 3" xfId="46009" xr:uid="{00000000-0005-0000-0000-0000B0B30000}"/>
    <cellStyle name="Normal 3 5 8 2 13" xfId="46010" xr:uid="{00000000-0005-0000-0000-0000B1B30000}"/>
    <cellStyle name="Normal 3 5 8 2 13 2" xfId="46011" xr:uid="{00000000-0005-0000-0000-0000B2B30000}"/>
    <cellStyle name="Normal 3 5 8 2 13 3" xfId="46012" xr:uid="{00000000-0005-0000-0000-0000B3B30000}"/>
    <cellStyle name="Normal 3 5 8 2 14" xfId="46013" xr:uid="{00000000-0005-0000-0000-0000B4B30000}"/>
    <cellStyle name="Normal 3 5 8 2 14 2" xfId="46014" xr:uid="{00000000-0005-0000-0000-0000B5B30000}"/>
    <cellStyle name="Normal 3 5 8 2 14 3" xfId="46015" xr:uid="{00000000-0005-0000-0000-0000B6B30000}"/>
    <cellStyle name="Normal 3 5 8 2 15" xfId="46016" xr:uid="{00000000-0005-0000-0000-0000B7B30000}"/>
    <cellStyle name="Normal 3 5 8 2 16" xfId="46017" xr:uid="{00000000-0005-0000-0000-0000B8B30000}"/>
    <cellStyle name="Normal 3 5 8 2 2" xfId="46018" xr:uid="{00000000-0005-0000-0000-0000B9B30000}"/>
    <cellStyle name="Normal 3 5 8 2 2 2" xfId="46019" xr:uid="{00000000-0005-0000-0000-0000BAB30000}"/>
    <cellStyle name="Normal 3 5 8 2 2 3" xfId="46020" xr:uid="{00000000-0005-0000-0000-0000BBB30000}"/>
    <cellStyle name="Normal 3 5 8 2 3" xfId="46021" xr:uid="{00000000-0005-0000-0000-0000BCB30000}"/>
    <cellStyle name="Normal 3 5 8 2 3 2" xfId="46022" xr:uid="{00000000-0005-0000-0000-0000BDB30000}"/>
    <cellStyle name="Normal 3 5 8 2 3 3" xfId="46023" xr:uid="{00000000-0005-0000-0000-0000BEB30000}"/>
    <cellStyle name="Normal 3 5 8 2 4" xfId="46024" xr:uid="{00000000-0005-0000-0000-0000BFB30000}"/>
    <cellStyle name="Normal 3 5 8 2 4 2" xfId="46025" xr:uid="{00000000-0005-0000-0000-0000C0B30000}"/>
    <cellStyle name="Normal 3 5 8 2 4 3" xfId="46026" xr:uid="{00000000-0005-0000-0000-0000C1B30000}"/>
    <cellStyle name="Normal 3 5 8 2 5" xfId="46027" xr:uid="{00000000-0005-0000-0000-0000C2B30000}"/>
    <cellStyle name="Normal 3 5 8 2 5 2" xfId="46028" xr:uid="{00000000-0005-0000-0000-0000C3B30000}"/>
    <cellStyle name="Normal 3 5 8 2 5 3" xfId="46029" xr:uid="{00000000-0005-0000-0000-0000C4B30000}"/>
    <cellStyle name="Normal 3 5 8 2 6" xfId="46030" xr:uid="{00000000-0005-0000-0000-0000C5B30000}"/>
    <cellStyle name="Normal 3 5 8 2 6 2" xfId="46031" xr:uid="{00000000-0005-0000-0000-0000C6B30000}"/>
    <cellStyle name="Normal 3 5 8 2 6 3" xfId="46032" xr:uid="{00000000-0005-0000-0000-0000C7B30000}"/>
    <cellStyle name="Normal 3 5 8 2 7" xfId="46033" xr:uid="{00000000-0005-0000-0000-0000C8B30000}"/>
    <cellStyle name="Normal 3 5 8 2 7 2" xfId="46034" xr:uid="{00000000-0005-0000-0000-0000C9B30000}"/>
    <cellStyle name="Normal 3 5 8 2 7 3" xfId="46035" xr:uid="{00000000-0005-0000-0000-0000CAB30000}"/>
    <cellStyle name="Normal 3 5 8 2 8" xfId="46036" xr:uid="{00000000-0005-0000-0000-0000CBB30000}"/>
    <cellStyle name="Normal 3 5 8 2 8 2" xfId="46037" xr:uid="{00000000-0005-0000-0000-0000CCB30000}"/>
    <cellStyle name="Normal 3 5 8 2 8 3" xfId="46038" xr:uid="{00000000-0005-0000-0000-0000CDB30000}"/>
    <cellStyle name="Normal 3 5 8 2 9" xfId="46039" xr:uid="{00000000-0005-0000-0000-0000CEB30000}"/>
    <cellStyle name="Normal 3 5 8 2 9 2" xfId="46040" xr:uid="{00000000-0005-0000-0000-0000CFB30000}"/>
    <cellStyle name="Normal 3 5 8 2 9 3" xfId="46041" xr:uid="{00000000-0005-0000-0000-0000D0B30000}"/>
    <cellStyle name="Normal 3 5 8 3" xfId="46042" xr:uid="{00000000-0005-0000-0000-0000D1B30000}"/>
    <cellStyle name="Normal 3 5 8 3 2" xfId="46043" xr:uid="{00000000-0005-0000-0000-0000D2B30000}"/>
    <cellStyle name="Normal 3 5 8 3 3" xfId="46044" xr:uid="{00000000-0005-0000-0000-0000D3B30000}"/>
    <cellStyle name="Normal 3 5 8 4" xfId="46045" xr:uid="{00000000-0005-0000-0000-0000D4B30000}"/>
    <cellStyle name="Normal 3 5 8 4 2" xfId="46046" xr:uid="{00000000-0005-0000-0000-0000D5B30000}"/>
    <cellStyle name="Normal 3 5 8 4 3" xfId="46047" xr:uid="{00000000-0005-0000-0000-0000D6B30000}"/>
    <cellStyle name="Normal 3 5 8 5" xfId="46048" xr:uid="{00000000-0005-0000-0000-0000D7B30000}"/>
    <cellStyle name="Normal 3 5 8 5 2" xfId="46049" xr:uid="{00000000-0005-0000-0000-0000D8B30000}"/>
    <cellStyle name="Normal 3 5 8 5 3" xfId="46050" xr:uid="{00000000-0005-0000-0000-0000D9B30000}"/>
    <cellStyle name="Normal 3 5 8 6" xfId="46051" xr:uid="{00000000-0005-0000-0000-0000DAB30000}"/>
    <cellStyle name="Normal 3 5 8 6 2" xfId="46052" xr:uid="{00000000-0005-0000-0000-0000DBB30000}"/>
    <cellStyle name="Normal 3 5 8 6 3" xfId="46053" xr:uid="{00000000-0005-0000-0000-0000DCB30000}"/>
    <cellStyle name="Normal 3 5 8 7" xfId="46054" xr:uid="{00000000-0005-0000-0000-0000DDB30000}"/>
    <cellStyle name="Normal 3 5 8 7 2" xfId="46055" xr:uid="{00000000-0005-0000-0000-0000DEB30000}"/>
    <cellStyle name="Normal 3 5 8 7 3" xfId="46056" xr:uid="{00000000-0005-0000-0000-0000DFB30000}"/>
    <cellStyle name="Normal 3 5 8 8" xfId="46057" xr:uid="{00000000-0005-0000-0000-0000E0B30000}"/>
    <cellStyle name="Normal 3 5 8 8 2" xfId="46058" xr:uid="{00000000-0005-0000-0000-0000E1B30000}"/>
    <cellStyle name="Normal 3 5 8 8 3" xfId="46059" xr:uid="{00000000-0005-0000-0000-0000E2B30000}"/>
    <cellStyle name="Normal 3 5 8 9" xfId="46060" xr:uid="{00000000-0005-0000-0000-0000E3B30000}"/>
    <cellStyle name="Normal 3 5 8 9 2" xfId="46061" xr:uid="{00000000-0005-0000-0000-0000E4B30000}"/>
    <cellStyle name="Normal 3 5 8 9 3" xfId="46062" xr:uid="{00000000-0005-0000-0000-0000E5B30000}"/>
    <cellStyle name="Normal 3 5 9" xfId="46063" xr:uid="{00000000-0005-0000-0000-0000E6B30000}"/>
    <cellStyle name="Normal 3 5 9 10" xfId="46064" xr:uid="{00000000-0005-0000-0000-0000E7B30000}"/>
    <cellStyle name="Normal 3 5 9 10 2" xfId="46065" xr:uid="{00000000-0005-0000-0000-0000E8B30000}"/>
    <cellStyle name="Normal 3 5 9 10 3" xfId="46066" xr:uid="{00000000-0005-0000-0000-0000E9B30000}"/>
    <cellStyle name="Normal 3 5 9 11" xfId="46067" xr:uid="{00000000-0005-0000-0000-0000EAB30000}"/>
    <cellStyle name="Normal 3 5 9 11 2" xfId="46068" xr:uid="{00000000-0005-0000-0000-0000EBB30000}"/>
    <cellStyle name="Normal 3 5 9 11 3" xfId="46069" xr:uid="{00000000-0005-0000-0000-0000ECB30000}"/>
    <cellStyle name="Normal 3 5 9 12" xfId="46070" xr:uid="{00000000-0005-0000-0000-0000EDB30000}"/>
    <cellStyle name="Normal 3 5 9 12 2" xfId="46071" xr:uid="{00000000-0005-0000-0000-0000EEB30000}"/>
    <cellStyle name="Normal 3 5 9 12 3" xfId="46072" xr:uid="{00000000-0005-0000-0000-0000EFB30000}"/>
    <cellStyle name="Normal 3 5 9 13" xfId="46073" xr:uid="{00000000-0005-0000-0000-0000F0B30000}"/>
    <cellStyle name="Normal 3 5 9 13 2" xfId="46074" xr:uid="{00000000-0005-0000-0000-0000F1B30000}"/>
    <cellStyle name="Normal 3 5 9 13 3" xfId="46075" xr:uid="{00000000-0005-0000-0000-0000F2B30000}"/>
    <cellStyle name="Normal 3 5 9 14" xfId="46076" xr:uid="{00000000-0005-0000-0000-0000F3B30000}"/>
    <cellStyle name="Normal 3 5 9 14 2" xfId="46077" xr:uid="{00000000-0005-0000-0000-0000F4B30000}"/>
    <cellStyle name="Normal 3 5 9 14 3" xfId="46078" xr:uid="{00000000-0005-0000-0000-0000F5B30000}"/>
    <cellStyle name="Normal 3 5 9 15" xfId="46079" xr:uid="{00000000-0005-0000-0000-0000F6B30000}"/>
    <cellStyle name="Normal 3 5 9 16" xfId="46080" xr:uid="{00000000-0005-0000-0000-0000F7B30000}"/>
    <cellStyle name="Normal 3 5 9 2" xfId="46081" xr:uid="{00000000-0005-0000-0000-0000F8B30000}"/>
    <cellStyle name="Normal 3 5 9 2 2" xfId="46082" xr:uid="{00000000-0005-0000-0000-0000F9B30000}"/>
    <cellStyle name="Normal 3 5 9 2 3" xfId="46083" xr:uid="{00000000-0005-0000-0000-0000FAB30000}"/>
    <cellStyle name="Normal 3 5 9 3" xfId="46084" xr:uid="{00000000-0005-0000-0000-0000FBB30000}"/>
    <cellStyle name="Normal 3 5 9 3 2" xfId="46085" xr:uid="{00000000-0005-0000-0000-0000FCB30000}"/>
    <cellStyle name="Normal 3 5 9 3 3" xfId="46086" xr:uid="{00000000-0005-0000-0000-0000FDB30000}"/>
    <cellStyle name="Normal 3 5 9 4" xfId="46087" xr:uid="{00000000-0005-0000-0000-0000FEB30000}"/>
    <cellStyle name="Normal 3 5 9 4 2" xfId="46088" xr:uid="{00000000-0005-0000-0000-0000FFB30000}"/>
    <cellStyle name="Normal 3 5 9 4 3" xfId="46089" xr:uid="{00000000-0005-0000-0000-000000B40000}"/>
    <cellStyle name="Normal 3 5 9 5" xfId="46090" xr:uid="{00000000-0005-0000-0000-000001B40000}"/>
    <cellStyle name="Normal 3 5 9 5 2" xfId="46091" xr:uid="{00000000-0005-0000-0000-000002B40000}"/>
    <cellStyle name="Normal 3 5 9 5 3" xfId="46092" xr:uid="{00000000-0005-0000-0000-000003B40000}"/>
    <cellStyle name="Normal 3 5 9 6" xfId="46093" xr:uid="{00000000-0005-0000-0000-000004B40000}"/>
    <cellStyle name="Normal 3 5 9 6 2" xfId="46094" xr:uid="{00000000-0005-0000-0000-000005B40000}"/>
    <cellStyle name="Normal 3 5 9 6 3" xfId="46095" xr:uid="{00000000-0005-0000-0000-000006B40000}"/>
    <cellStyle name="Normal 3 5 9 7" xfId="46096" xr:uid="{00000000-0005-0000-0000-000007B40000}"/>
    <cellStyle name="Normal 3 5 9 7 2" xfId="46097" xr:uid="{00000000-0005-0000-0000-000008B40000}"/>
    <cellStyle name="Normal 3 5 9 7 3" xfId="46098" xr:uid="{00000000-0005-0000-0000-000009B40000}"/>
    <cellStyle name="Normal 3 5 9 8" xfId="46099" xr:uid="{00000000-0005-0000-0000-00000AB40000}"/>
    <cellStyle name="Normal 3 5 9 8 2" xfId="46100" xr:uid="{00000000-0005-0000-0000-00000BB40000}"/>
    <cellStyle name="Normal 3 5 9 8 3" xfId="46101" xr:uid="{00000000-0005-0000-0000-00000CB40000}"/>
    <cellStyle name="Normal 3 5 9 9" xfId="46102" xr:uid="{00000000-0005-0000-0000-00000DB40000}"/>
    <cellStyle name="Normal 3 5 9 9 2" xfId="46103" xr:uid="{00000000-0005-0000-0000-00000EB40000}"/>
    <cellStyle name="Normal 3 5 9 9 3" xfId="46104" xr:uid="{00000000-0005-0000-0000-00000FB40000}"/>
    <cellStyle name="Normal 3 50" xfId="46105" xr:uid="{00000000-0005-0000-0000-000010B40000}"/>
    <cellStyle name="Normal 3 50 2" xfId="46106" xr:uid="{00000000-0005-0000-0000-000011B40000}"/>
    <cellStyle name="Normal 3 50 3" xfId="46107" xr:uid="{00000000-0005-0000-0000-000012B40000}"/>
    <cellStyle name="Normal 3 51" xfId="46108" xr:uid="{00000000-0005-0000-0000-000013B40000}"/>
    <cellStyle name="Normal 3 51 2" xfId="46109" xr:uid="{00000000-0005-0000-0000-000014B40000}"/>
    <cellStyle name="Normal 3 51 3" xfId="46110" xr:uid="{00000000-0005-0000-0000-000015B40000}"/>
    <cellStyle name="Normal 3 52" xfId="46111" xr:uid="{00000000-0005-0000-0000-000016B40000}"/>
    <cellStyle name="Normal 3 52 2" xfId="46112" xr:uid="{00000000-0005-0000-0000-000017B40000}"/>
    <cellStyle name="Normal 3 52 3" xfId="46113" xr:uid="{00000000-0005-0000-0000-000018B40000}"/>
    <cellStyle name="Normal 3 53" xfId="46114" xr:uid="{00000000-0005-0000-0000-000019B40000}"/>
    <cellStyle name="Normal 3 53 2" xfId="46115" xr:uid="{00000000-0005-0000-0000-00001AB40000}"/>
    <cellStyle name="Normal 3 53 3" xfId="46116" xr:uid="{00000000-0005-0000-0000-00001BB40000}"/>
    <cellStyle name="Normal 3 54" xfId="46117" xr:uid="{00000000-0005-0000-0000-00001CB40000}"/>
    <cellStyle name="Normal 3 54 2" xfId="46118" xr:uid="{00000000-0005-0000-0000-00001DB40000}"/>
    <cellStyle name="Normal 3 54 3" xfId="46119" xr:uid="{00000000-0005-0000-0000-00001EB40000}"/>
    <cellStyle name="Normal 3 55" xfId="46120" xr:uid="{00000000-0005-0000-0000-00001FB40000}"/>
    <cellStyle name="Normal 3 55 2" xfId="46121" xr:uid="{00000000-0005-0000-0000-000020B40000}"/>
    <cellStyle name="Normal 3 55 3" xfId="46122" xr:uid="{00000000-0005-0000-0000-000021B40000}"/>
    <cellStyle name="Normal 3 56" xfId="46123" xr:uid="{00000000-0005-0000-0000-000022B40000}"/>
    <cellStyle name="Normal 3 56 2" xfId="46124" xr:uid="{00000000-0005-0000-0000-000023B40000}"/>
    <cellStyle name="Normal 3 56 3" xfId="46125" xr:uid="{00000000-0005-0000-0000-000024B40000}"/>
    <cellStyle name="Normal 3 57" xfId="46126" xr:uid="{00000000-0005-0000-0000-000025B40000}"/>
    <cellStyle name="Normal 3 57 2" xfId="46127" xr:uid="{00000000-0005-0000-0000-000026B40000}"/>
    <cellStyle name="Normal 3 57 3" xfId="46128" xr:uid="{00000000-0005-0000-0000-000027B40000}"/>
    <cellStyle name="Normal 3 58" xfId="46129" xr:uid="{00000000-0005-0000-0000-000028B40000}"/>
    <cellStyle name="Normal 3 58 2" xfId="46130" xr:uid="{00000000-0005-0000-0000-000029B40000}"/>
    <cellStyle name="Normal 3 58 3" xfId="46131" xr:uid="{00000000-0005-0000-0000-00002AB40000}"/>
    <cellStyle name="Normal 3 59" xfId="46132" xr:uid="{00000000-0005-0000-0000-00002BB40000}"/>
    <cellStyle name="Normal 3 59 2" xfId="46133" xr:uid="{00000000-0005-0000-0000-00002CB40000}"/>
    <cellStyle name="Normal 3 59 3" xfId="46134" xr:uid="{00000000-0005-0000-0000-00002DB40000}"/>
    <cellStyle name="Normal 3 6" xfId="46135" xr:uid="{00000000-0005-0000-0000-00002EB40000}"/>
    <cellStyle name="Normal 3 6 10" xfId="46136" xr:uid="{00000000-0005-0000-0000-00002FB40000}"/>
    <cellStyle name="Normal 3 6 11" xfId="46137" xr:uid="{00000000-0005-0000-0000-000030B40000}"/>
    <cellStyle name="Normal 3 6 11 10" xfId="46138" xr:uid="{00000000-0005-0000-0000-000031B40000}"/>
    <cellStyle name="Normal 3 6 11 10 2" xfId="46139" xr:uid="{00000000-0005-0000-0000-000032B40000}"/>
    <cellStyle name="Normal 3 6 11 10 3" xfId="46140" xr:uid="{00000000-0005-0000-0000-000033B40000}"/>
    <cellStyle name="Normal 3 6 11 11" xfId="46141" xr:uid="{00000000-0005-0000-0000-000034B40000}"/>
    <cellStyle name="Normal 3 6 11 11 2" xfId="46142" xr:uid="{00000000-0005-0000-0000-000035B40000}"/>
    <cellStyle name="Normal 3 6 11 11 3" xfId="46143" xr:uid="{00000000-0005-0000-0000-000036B40000}"/>
    <cellStyle name="Normal 3 6 11 12" xfId="46144" xr:uid="{00000000-0005-0000-0000-000037B40000}"/>
    <cellStyle name="Normal 3 6 11 12 2" xfId="46145" xr:uid="{00000000-0005-0000-0000-000038B40000}"/>
    <cellStyle name="Normal 3 6 11 12 3" xfId="46146" xr:uid="{00000000-0005-0000-0000-000039B40000}"/>
    <cellStyle name="Normal 3 6 11 13" xfId="46147" xr:uid="{00000000-0005-0000-0000-00003AB40000}"/>
    <cellStyle name="Normal 3 6 11 13 2" xfId="46148" xr:uid="{00000000-0005-0000-0000-00003BB40000}"/>
    <cellStyle name="Normal 3 6 11 13 3" xfId="46149" xr:uid="{00000000-0005-0000-0000-00003CB40000}"/>
    <cellStyle name="Normal 3 6 11 14" xfId="46150" xr:uid="{00000000-0005-0000-0000-00003DB40000}"/>
    <cellStyle name="Normal 3 6 11 14 2" xfId="46151" xr:uid="{00000000-0005-0000-0000-00003EB40000}"/>
    <cellStyle name="Normal 3 6 11 14 3" xfId="46152" xr:uid="{00000000-0005-0000-0000-00003FB40000}"/>
    <cellStyle name="Normal 3 6 11 15" xfId="46153" xr:uid="{00000000-0005-0000-0000-000040B40000}"/>
    <cellStyle name="Normal 3 6 11 15 2" xfId="46154" xr:uid="{00000000-0005-0000-0000-000041B40000}"/>
    <cellStyle name="Normal 3 6 11 15 3" xfId="46155" xr:uid="{00000000-0005-0000-0000-000042B40000}"/>
    <cellStyle name="Normal 3 6 11 16" xfId="46156" xr:uid="{00000000-0005-0000-0000-000043B40000}"/>
    <cellStyle name="Normal 3 6 11 16 2" xfId="46157" xr:uid="{00000000-0005-0000-0000-000044B40000}"/>
    <cellStyle name="Normal 3 6 11 16 3" xfId="46158" xr:uid="{00000000-0005-0000-0000-000045B40000}"/>
    <cellStyle name="Normal 3 6 11 17" xfId="46159" xr:uid="{00000000-0005-0000-0000-000046B40000}"/>
    <cellStyle name="Normal 3 6 11 17 2" xfId="46160" xr:uid="{00000000-0005-0000-0000-000047B40000}"/>
    <cellStyle name="Normal 3 6 11 17 3" xfId="46161" xr:uid="{00000000-0005-0000-0000-000048B40000}"/>
    <cellStyle name="Normal 3 6 11 18" xfId="46162" xr:uid="{00000000-0005-0000-0000-000049B40000}"/>
    <cellStyle name="Normal 3 6 11 19" xfId="46163" xr:uid="{00000000-0005-0000-0000-00004AB40000}"/>
    <cellStyle name="Normal 3 6 11 2" xfId="46164" xr:uid="{00000000-0005-0000-0000-00004BB40000}"/>
    <cellStyle name="Normal 3 6 11 3" xfId="46165" xr:uid="{00000000-0005-0000-0000-00004CB40000}"/>
    <cellStyle name="Normal 3 6 11 4" xfId="46166" xr:uid="{00000000-0005-0000-0000-00004DB40000}"/>
    <cellStyle name="Normal 3 6 11 5" xfId="46167" xr:uid="{00000000-0005-0000-0000-00004EB40000}"/>
    <cellStyle name="Normal 3 6 11 5 2" xfId="46168" xr:uid="{00000000-0005-0000-0000-00004FB40000}"/>
    <cellStyle name="Normal 3 6 11 5 3" xfId="46169" xr:uid="{00000000-0005-0000-0000-000050B40000}"/>
    <cellStyle name="Normal 3 6 11 6" xfId="46170" xr:uid="{00000000-0005-0000-0000-000051B40000}"/>
    <cellStyle name="Normal 3 6 11 6 2" xfId="46171" xr:uid="{00000000-0005-0000-0000-000052B40000}"/>
    <cellStyle name="Normal 3 6 11 6 3" xfId="46172" xr:uid="{00000000-0005-0000-0000-000053B40000}"/>
    <cellStyle name="Normal 3 6 11 7" xfId="46173" xr:uid="{00000000-0005-0000-0000-000054B40000}"/>
    <cellStyle name="Normal 3 6 11 7 2" xfId="46174" xr:uid="{00000000-0005-0000-0000-000055B40000}"/>
    <cellStyle name="Normal 3 6 11 7 3" xfId="46175" xr:uid="{00000000-0005-0000-0000-000056B40000}"/>
    <cellStyle name="Normal 3 6 11 8" xfId="46176" xr:uid="{00000000-0005-0000-0000-000057B40000}"/>
    <cellStyle name="Normal 3 6 11 8 2" xfId="46177" xr:uid="{00000000-0005-0000-0000-000058B40000}"/>
    <cellStyle name="Normal 3 6 11 8 3" xfId="46178" xr:uid="{00000000-0005-0000-0000-000059B40000}"/>
    <cellStyle name="Normal 3 6 11 9" xfId="46179" xr:uid="{00000000-0005-0000-0000-00005AB40000}"/>
    <cellStyle name="Normal 3 6 11 9 2" xfId="46180" xr:uid="{00000000-0005-0000-0000-00005BB40000}"/>
    <cellStyle name="Normal 3 6 11 9 3" xfId="46181" xr:uid="{00000000-0005-0000-0000-00005CB40000}"/>
    <cellStyle name="Normal 3 6 12" xfId="46182" xr:uid="{00000000-0005-0000-0000-00005DB40000}"/>
    <cellStyle name="Normal 3 6 13" xfId="46183" xr:uid="{00000000-0005-0000-0000-00005EB40000}"/>
    <cellStyle name="Normal 3 6 14" xfId="46184" xr:uid="{00000000-0005-0000-0000-00005FB40000}"/>
    <cellStyle name="Normal 3 6 14 10" xfId="46185" xr:uid="{00000000-0005-0000-0000-000060B40000}"/>
    <cellStyle name="Normal 3 6 14 10 2" xfId="46186" xr:uid="{00000000-0005-0000-0000-000061B40000}"/>
    <cellStyle name="Normal 3 6 14 10 3" xfId="46187" xr:uid="{00000000-0005-0000-0000-000062B40000}"/>
    <cellStyle name="Normal 3 6 14 11" xfId="46188" xr:uid="{00000000-0005-0000-0000-000063B40000}"/>
    <cellStyle name="Normal 3 6 14 11 2" xfId="46189" xr:uid="{00000000-0005-0000-0000-000064B40000}"/>
    <cellStyle name="Normal 3 6 14 11 3" xfId="46190" xr:uid="{00000000-0005-0000-0000-000065B40000}"/>
    <cellStyle name="Normal 3 6 14 12" xfId="46191" xr:uid="{00000000-0005-0000-0000-000066B40000}"/>
    <cellStyle name="Normal 3 6 14 12 2" xfId="46192" xr:uid="{00000000-0005-0000-0000-000067B40000}"/>
    <cellStyle name="Normal 3 6 14 12 3" xfId="46193" xr:uid="{00000000-0005-0000-0000-000068B40000}"/>
    <cellStyle name="Normal 3 6 14 13" xfId="46194" xr:uid="{00000000-0005-0000-0000-000069B40000}"/>
    <cellStyle name="Normal 3 6 14 13 2" xfId="46195" xr:uid="{00000000-0005-0000-0000-00006AB40000}"/>
    <cellStyle name="Normal 3 6 14 13 3" xfId="46196" xr:uid="{00000000-0005-0000-0000-00006BB40000}"/>
    <cellStyle name="Normal 3 6 14 14" xfId="46197" xr:uid="{00000000-0005-0000-0000-00006CB40000}"/>
    <cellStyle name="Normal 3 6 14 14 2" xfId="46198" xr:uid="{00000000-0005-0000-0000-00006DB40000}"/>
    <cellStyle name="Normal 3 6 14 14 3" xfId="46199" xr:uid="{00000000-0005-0000-0000-00006EB40000}"/>
    <cellStyle name="Normal 3 6 14 15" xfId="46200" xr:uid="{00000000-0005-0000-0000-00006FB40000}"/>
    <cellStyle name="Normal 3 6 14 15 2" xfId="46201" xr:uid="{00000000-0005-0000-0000-000070B40000}"/>
    <cellStyle name="Normal 3 6 14 15 3" xfId="46202" xr:uid="{00000000-0005-0000-0000-000071B40000}"/>
    <cellStyle name="Normal 3 6 14 16" xfId="46203" xr:uid="{00000000-0005-0000-0000-000072B40000}"/>
    <cellStyle name="Normal 3 6 14 17" xfId="46204" xr:uid="{00000000-0005-0000-0000-000073B40000}"/>
    <cellStyle name="Normal 3 6 14 2" xfId="46205" xr:uid="{00000000-0005-0000-0000-000074B40000}"/>
    <cellStyle name="Normal 3 6 14 2 10" xfId="46206" xr:uid="{00000000-0005-0000-0000-000075B40000}"/>
    <cellStyle name="Normal 3 6 14 2 10 2" xfId="46207" xr:uid="{00000000-0005-0000-0000-000076B40000}"/>
    <cellStyle name="Normal 3 6 14 2 10 3" xfId="46208" xr:uid="{00000000-0005-0000-0000-000077B40000}"/>
    <cellStyle name="Normal 3 6 14 2 11" xfId="46209" xr:uid="{00000000-0005-0000-0000-000078B40000}"/>
    <cellStyle name="Normal 3 6 14 2 11 2" xfId="46210" xr:uid="{00000000-0005-0000-0000-000079B40000}"/>
    <cellStyle name="Normal 3 6 14 2 11 3" xfId="46211" xr:uid="{00000000-0005-0000-0000-00007AB40000}"/>
    <cellStyle name="Normal 3 6 14 2 12" xfId="46212" xr:uid="{00000000-0005-0000-0000-00007BB40000}"/>
    <cellStyle name="Normal 3 6 14 2 12 2" xfId="46213" xr:uid="{00000000-0005-0000-0000-00007CB40000}"/>
    <cellStyle name="Normal 3 6 14 2 12 3" xfId="46214" xr:uid="{00000000-0005-0000-0000-00007DB40000}"/>
    <cellStyle name="Normal 3 6 14 2 13" xfId="46215" xr:uid="{00000000-0005-0000-0000-00007EB40000}"/>
    <cellStyle name="Normal 3 6 14 2 13 2" xfId="46216" xr:uid="{00000000-0005-0000-0000-00007FB40000}"/>
    <cellStyle name="Normal 3 6 14 2 13 3" xfId="46217" xr:uid="{00000000-0005-0000-0000-000080B40000}"/>
    <cellStyle name="Normal 3 6 14 2 14" xfId="46218" xr:uid="{00000000-0005-0000-0000-000081B40000}"/>
    <cellStyle name="Normal 3 6 14 2 14 2" xfId="46219" xr:uid="{00000000-0005-0000-0000-000082B40000}"/>
    <cellStyle name="Normal 3 6 14 2 14 3" xfId="46220" xr:uid="{00000000-0005-0000-0000-000083B40000}"/>
    <cellStyle name="Normal 3 6 14 2 15" xfId="46221" xr:uid="{00000000-0005-0000-0000-000084B40000}"/>
    <cellStyle name="Normal 3 6 14 2 16" xfId="46222" xr:uid="{00000000-0005-0000-0000-000085B40000}"/>
    <cellStyle name="Normal 3 6 14 2 2" xfId="46223" xr:uid="{00000000-0005-0000-0000-000086B40000}"/>
    <cellStyle name="Normal 3 6 14 2 2 2" xfId="46224" xr:uid="{00000000-0005-0000-0000-000087B40000}"/>
    <cellStyle name="Normal 3 6 14 2 2 3" xfId="46225" xr:uid="{00000000-0005-0000-0000-000088B40000}"/>
    <cellStyle name="Normal 3 6 14 2 3" xfId="46226" xr:uid="{00000000-0005-0000-0000-000089B40000}"/>
    <cellStyle name="Normal 3 6 14 2 3 2" xfId="46227" xr:uid="{00000000-0005-0000-0000-00008AB40000}"/>
    <cellStyle name="Normal 3 6 14 2 3 3" xfId="46228" xr:uid="{00000000-0005-0000-0000-00008BB40000}"/>
    <cellStyle name="Normal 3 6 14 2 4" xfId="46229" xr:uid="{00000000-0005-0000-0000-00008CB40000}"/>
    <cellStyle name="Normal 3 6 14 2 4 2" xfId="46230" xr:uid="{00000000-0005-0000-0000-00008DB40000}"/>
    <cellStyle name="Normal 3 6 14 2 4 3" xfId="46231" xr:uid="{00000000-0005-0000-0000-00008EB40000}"/>
    <cellStyle name="Normal 3 6 14 2 5" xfId="46232" xr:uid="{00000000-0005-0000-0000-00008FB40000}"/>
    <cellStyle name="Normal 3 6 14 2 5 2" xfId="46233" xr:uid="{00000000-0005-0000-0000-000090B40000}"/>
    <cellStyle name="Normal 3 6 14 2 5 3" xfId="46234" xr:uid="{00000000-0005-0000-0000-000091B40000}"/>
    <cellStyle name="Normal 3 6 14 2 6" xfId="46235" xr:uid="{00000000-0005-0000-0000-000092B40000}"/>
    <cellStyle name="Normal 3 6 14 2 6 2" xfId="46236" xr:uid="{00000000-0005-0000-0000-000093B40000}"/>
    <cellStyle name="Normal 3 6 14 2 6 3" xfId="46237" xr:uid="{00000000-0005-0000-0000-000094B40000}"/>
    <cellStyle name="Normal 3 6 14 2 7" xfId="46238" xr:uid="{00000000-0005-0000-0000-000095B40000}"/>
    <cellStyle name="Normal 3 6 14 2 7 2" xfId="46239" xr:uid="{00000000-0005-0000-0000-000096B40000}"/>
    <cellStyle name="Normal 3 6 14 2 7 3" xfId="46240" xr:uid="{00000000-0005-0000-0000-000097B40000}"/>
    <cellStyle name="Normal 3 6 14 2 8" xfId="46241" xr:uid="{00000000-0005-0000-0000-000098B40000}"/>
    <cellStyle name="Normal 3 6 14 2 8 2" xfId="46242" xr:uid="{00000000-0005-0000-0000-000099B40000}"/>
    <cellStyle name="Normal 3 6 14 2 8 3" xfId="46243" xr:uid="{00000000-0005-0000-0000-00009AB40000}"/>
    <cellStyle name="Normal 3 6 14 2 9" xfId="46244" xr:uid="{00000000-0005-0000-0000-00009BB40000}"/>
    <cellStyle name="Normal 3 6 14 2 9 2" xfId="46245" xr:uid="{00000000-0005-0000-0000-00009CB40000}"/>
    <cellStyle name="Normal 3 6 14 2 9 3" xfId="46246" xr:uid="{00000000-0005-0000-0000-00009DB40000}"/>
    <cellStyle name="Normal 3 6 14 3" xfId="46247" xr:uid="{00000000-0005-0000-0000-00009EB40000}"/>
    <cellStyle name="Normal 3 6 14 3 2" xfId="46248" xr:uid="{00000000-0005-0000-0000-00009FB40000}"/>
    <cellStyle name="Normal 3 6 14 3 3" xfId="46249" xr:uid="{00000000-0005-0000-0000-0000A0B40000}"/>
    <cellStyle name="Normal 3 6 14 4" xfId="46250" xr:uid="{00000000-0005-0000-0000-0000A1B40000}"/>
    <cellStyle name="Normal 3 6 14 4 2" xfId="46251" xr:uid="{00000000-0005-0000-0000-0000A2B40000}"/>
    <cellStyle name="Normal 3 6 14 4 3" xfId="46252" xr:uid="{00000000-0005-0000-0000-0000A3B40000}"/>
    <cellStyle name="Normal 3 6 14 5" xfId="46253" xr:uid="{00000000-0005-0000-0000-0000A4B40000}"/>
    <cellStyle name="Normal 3 6 14 5 2" xfId="46254" xr:uid="{00000000-0005-0000-0000-0000A5B40000}"/>
    <cellStyle name="Normal 3 6 14 5 3" xfId="46255" xr:uid="{00000000-0005-0000-0000-0000A6B40000}"/>
    <cellStyle name="Normal 3 6 14 6" xfId="46256" xr:uid="{00000000-0005-0000-0000-0000A7B40000}"/>
    <cellStyle name="Normal 3 6 14 6 2" xfId="46257" xr:uid="{00000000-0005-0000-0000-0000A8B40000}"/>
    <cellStyle name="Normal 3 6 14 6 3" xfId="46258" xr:uid="{00000000-0005-0000-0000-0000A9B40000}"/>
    <cellStyle name="Normal 3 6 14 7" xfId="46259" xr:uid="{00000000-0005-0000-0000-0000AAB40000}"/>
    <cellStyle name="Normal 3 6 14 7 2" xfId="46260" xr:uid="{00000000-0005-0000-0000-0000ABB40000}"/>
    <cellStyle name="Normal 3 6 14 7 3" xfId="46261" xr:uid="{00000000-0005-0000-0000-0000ACB40000}"/>
    <cellStyle name="Normal 3 6 14 8" xfId="46262" xr:uid="{00000000-0005-0000-0000-0000ADB40000}"/>
    <cellStyle name="Normal 3 6 14 8 2" xfId="46263" xr:uid="{00000000-0005-0000-0000-0000AEB40000}"/>
    <cellStyle name="Normal 3 6 14 8 3" xfId="46264" xr:uid="{00000000-0005-0000-0000-0000AFB40000}"/>
    <cellStyle name="Normal 3 6 14 9" xfId="46265" xr:uid="{00000000-0005-0000-0000-0000B0B40000}"/>
    <cellStyle name="Normal 3 6 14 9 2" xfId="46266" xr:uid="{00000000-0005-0000-0000-0000B1B40000}"/>
    <cellStyle name="Normal 3 6 14 9 3" xfId="46267" xr:uid="{00000000-0005-0000-0000-0000B2B40000}"/>
    <cellStyle name="Normal 3 6 15" xfId="46268" xr:uid="{00000000-0005-0000-0000-0000B3B40000}"/>
    <cellStyle name="Normal 3 6 15 10" xfId="46269" xr:uid="{00000000-0005-0000-0000-0000B4B40000}"/>
    <cellStyle name="Normal 3 6 15 10 2" xfId="46270" xr:uid="{00000000-0005-0000-0000-0000B5B40000}"/>
    <cellStyle name="Normal 3 6 15 10 3" xfId="46271" xr:uid="{00000000-0005-0000-0000-0000B6B40000}"/>
    <cellStyle name="Normal 3 6 15 11" xfId="46272" xr:uid="{00000000-0005-0000-0000-0000B7B40000}"/>
    <cellStyle name="Normal 3 6 15 11 2" xfId="46273" xr:uid="{00000000-0005-0000-0000-0000B8B40000}"/>
    <cellStyle name="Normal 3 6 15 11 3" xfId="46274" xr:uid="{00000000-0005-0000-0000-0000B9B40000}"/>
    <cellStyle name="Normal 3 6 15 12" xfId="46275" xr:uid="{00000000-0005-0000-0000-0000BAB40000}"/>
    <cellStyle name="Normal 3 6 15 12 2" xfId="46276" xr:uid="{00000000-0005-0000-0000-0000BBB40000}"/>
    <cellStyle name="Normal 3 6 15 12 3" xfId="46277" xr:uid="{00000000-0005-0000-0000-0000BCB40000}"/>
    <cellStyle name="Normal 3 6 15 13" xfId="46278" xr:uid="{00000000-0005-0000-0000-0000BDB40000}"/>
    <cellStyle name="Normal 3 6 15 13 2" xfId="46279" xr:uid="{00000000-0005-0000-0000-0000BEB40000}"/>
    <cellStyle name="Normal 3 6 15 13 3" xfId="46280" xr:uid="{00000000-0005-0000-0000-0000BFB40000}"/>
    <cellStyle name="Normal 3 6 15 14" xfId="46281" xr:uid="{00000000-0005-0000-0000-0000C0B40000}"/>
    <cellStyle name="Normal 3 6 15 14 2" xfId="46282" xr:uid="{00000000-0005-0000-0000-0000C1B40000}"/>
    <cellStyle name="Normal 3 6 15 14 3" xfId="46283" xr:uid="{00000000-0005-0000-0000-0000C2B40000}"/>
    <cellStyle name="Normal 3 6 15 15" xfId="46284" xr:uid="{00000000-0005-0000-0000-0000C3B40000}"/>
    <cellStyle name="Normal 3 6 15 15 2" xfId="46285" xr:uid="{00000000-0005-0000-0000-0000C4B40000}"/>
    <cellStyle name="Normal 3 6 15 15 3" xfId="46286" xr:uid="{00000000-0005-0000-0000-0000C5B40000}"/>
    <cellStyle name="Normal 3 6 15 16" xfId="46287" xr:uid="{00000000-0005-0000-0000-0000C6B40000}"/>
    <cellStyle name="Normal 3 6 15 17" xfId="46288" xr:uid="{00000000-0005-0000-0000-0000C7B40000}"/>
    <cellStyle name="Normal 3 6 15 2" xfId="46289" xr:uid="{00000000-0005-0000-0000-0000C8B40000}"/>
    <cellStyle name="Normal 3 6 15 2 10" xfId="46290" xr:uid="{00000000-0005-0000-0000-0000C9B40000}"/>
    <cellStyle name="Normal 3 6 15 2 10 2" xfId="46291" xr:uid="{00000000-0005-0000-0000-0000CAB40000}"/>
    <cellStyle name="Normal 3 6 15 2 10 3" xfId="46292" xr:uid="{00000000-0005-0000-0000-0000CBB40000}"/>
    <cellStyle name="Normal 3 6 15 2 11" xfId="46293" xr:uid="{00000000-0005-0000-0000-0000CCB40000}"/>
    <cellStyle name="Normal 3 6 15 2 11 2" xfId="46294" xr:uid="{00000000-0005-0000-0000-0000CDB40000}"/>
    <cellStyle name="Normal 3 6 15 2 11 3" xfId="46295" xr:uid="{00000000-0005-0000-0000-0000CEB40000}"/>
    <cellStyle name="Normal 3 6 15 2 12" xfId="46296" xr:uid="{00000000-0005-0000-0000-0000CFB40000}"/>
    <cellStyle name="Normal 3 6 15 2 12 2" xfId="46297" xr:uid="{00000000-0005-0000-0000-0000D0B40000}"/>
    <cellStyle name="Normal 3 6 15 2 12 3" xfId="46298" xr:uid="{00000000-0005-0000-0000-0000D1B40000}"/>
    <cellStyle name="Normal 3 6 15 2 13" xfId="46299" xr:uid="{00000000-0005-0000-0000-0000D2B40000}"/>
    <cellStyle name="Normal 3 6 15 2 13 2" xfId="46300" xr:uid="{00000000-0005-0000-0000-0000D3B40000}"/>
    <cellStyle name="Normal 3 6 15 2 13 3" xfId="46301" xr:uid="{00000000-0005-0000-0000-0000D4B40000}"/>
    <cellStyle name="Normal 3 6 15 2 14" xfId="46302" xr:uid="{00000000-0005-0000-0000-0000D5B40000}"/>
    <cellStyle name="Normal 3 6 15 2 14 2" xfId="46303" xr:uid="{00000000-0005-0000-0000-0000D6B40000}"/>
    <cellStyle name="Normal 3 6 15 2 14 3" xfId="46304" xr:uid="{00000000-0005-0000-0000-0000D7B40000}"/>
    <cellStyle name="Normal 3 6 15 2 15" xfId="46305" xr:uid="{00000000-0005-0000-0000-0000D8B40000}"/>
    <cellStyle name="Normal 3 6 15 2 16" xfId="46306" xr:uid="{00000000-0005-0000-0000-0000D9B40000}"/>
    <cellStyle name="Normal 3 6 15 2 2" xfId="46307" xr:uid="{00000000-0005-0000-0000-0000DAB40000}"/>
    <cellStyle name="Normal 3 6 15 2 2 2" xfId="46308" xr:uid="{00000000-0005-0000-0000-0000DBB40000}"/>
    <cellStyle name="Normal 3 6 15 2 2 3" xfId="46309" xr:uid="{00000000-0005-0000-0000-0000DCB40000}"/>
    <cellStyle name="Normal 3 6 15 2 3" xfId="46310" xr:uid="{00000000-0005-0000-0000-0000DDB40000}"/>
    <cellStyle name="Normal 3 6 15 2 3 2" xfId="46311" xr:uid="{00000000-0005-0000-0000-0000DEB40000}"/>
    <cellStyle name="Normal 3 6 15 2 3 3" xfId="46312" xr:uid="{00000000-0005-0000-0000-0000DFB40000}"/>
    <cellStyle name="Normal 3 6 15 2 4" xfId="46313" xr:uid="{00000000-0005-0000-0000-0000E0B40000}"/>
    <cellStyle name="Normal 3 6 15 2 4 2" xfId="46314" xr:uid="{00000000-0005-0000-0000-0000E1B40000}"/>
    <cellStyle name="Normal 3 6 15 2 4 3" xfId="46315" xr:uid="{00000000-0005-0000-0000-0000E2B40000}"/>
    <cellStyle name="Normal 3 6 15 2 5" xfId="46316" xr:uid="{00000000-0005-0000-0000-0000E3B40000}"/>
    <cellStyle name="Normal 3 6 15 2 5 2" xfId="46317" xr:uid="{00000000-0005-0000-0000-0000E4B40000}"/>
    <cellStyle name="Normal 3 6 15 2 5 3" xfId="46318" xr:uid="{00000000-0005-0000-0000-0000E5B40000}"/>
    <cellStyle name="Normal 3 6 15 2 6" xfId="46319" xr:uid="{00000000-0005-0000-0000-0000E6B40000}"/>
    <cellStyle name="Normal 3 6 15 2 6 2" xfId="46320" xr:uid="{00000000-0005-0000-0000-0000E7B40000}"/>
    <cellStyle name="Normal 3 6 15 2 6 3" xfId="46321" xr:uid="{00000000-0005-0000-0000-0000E8B40000}"/>
    <cellStyle name="Normal 3 6 15 2 7" xfId="46322" xr:uid="{00000000-0005-0000-0000-0000E9B40000}"/>
    <cellStyle name="Normal 3 6 15 2 7 2" xfId="46323" xr:uid="{00000000-0005-0000-0000-0000EAB40000}"/>
    <cellStyle name="Normal 3 6 15 2 7 3" xfId="46324" xr:uid="{00000000-0005-0000-0000-0000EBB40000}"/>
    <cellStyle name="Normal 3 6 15 2 8" xfId="46325" xr:uid="{00000000-0005-0000-0000-0000ECB40000}"/>
    <cellStyle name="Normal 3 6 15 2 8 2" xfId="46326" xr:uid="{00000000-0005-0000-0000-0000EDB40000}"/>
    <cellStyle name="Normal 3 6 15 2 8 3" xfId="46327" xr:uid="{00000000-0005-0000-0000-0000EEB40000}"/>
    <cellStyle name="Normal 3 6 15 2 9" xfId="46328" xr:uid="{00000000-0005-0000-0000-0000EFB40000}"/>
    <cellStyle name="Normal 3 6 15 2 9 2" xfId="46329" xr:uid="{00000000-0005-0000-0000-0000F0B40000}"/>
    <cellStyle name="Normal 3 6 15 2 9 3" xfId="46330" xr:uid="{00000000-0005-0000-0000-0000F1B40000}"/>
    <cellStyle name="Normal 3 6 15 3" xfId="46331" xr:uid="{00000000-0005-0000-0000-0000F2B40000}"/>
    <cellStyle name="Normal 3 6 15 3 2" xfId="46332" xr:uid="{00000000-0005-0000-0000-0000F3B40000}"/>
    <cellStyle name="Normal 3 6 15 3 3" xfId="46333" xr:uid="{00000000-0005-0000-0000-0000F4B40000}"/>
    <cellStyle name="Normal 3 6 15 4" xfId="46334" xr:uid="{00000000-0005-0000-0000-0000F5B40000}"/>
    <cellStyle name="Normal 3 6 15 4 2" xfId="46335" xr:uid="{00000000-0005-0000-0000-0000F6B40000}"/>
    <cellStyle name="Normal 3 6 15 4 3" xfId="46336" xr:uid="{00000000-0005-0000-0000-0000F7B40000}"/>
    <cellStyle name="Normal 3 6 15 5" xfId="46337" xr:uid="{00000000-0005-0000-0000-0000F8B40000}"/>
    <cellStyle name="Normal 3 6 15 5 2" xfId="46338" xr:uid="{00000000-0005-0000-0000-0000F9B40000}"/>
    <cellStyle name="Normal 3 6 15 5 3" xfId="46339" xr:uid="{00000000-0005-0000-0000-0000FAB40000}"/>
    <cellStyle name="Normal 3 6 15 6" xfId="46340" xr:uid="{00000000-0005-0000-0000-0000FBB40000}"/>
    <cellStyle name="Normal 3 6 15 6 2" xfId="46341" xr:uid="{00000000-0005-0000-0000-0000FCB40000}"/>
    <cellStyle name="Normal 3 6 15 6 3" xfId="46342" xr:uid="{00000000-0005-0000-0000-0000FDB40000}"/>
    <cellStyle name="Normal 3 6 15 7" xfId="46343" xr:uid="{00000000-0005-0000-0000-0000FEB40000}"/>
    <cellStyle name="Normal 3 6 15 7 2" xfId="46344" xr:uid="{00000000-0005-0000-0000-0000FFB40000}"/>
    <cellStyle name="Normal 3 6 15 7 3" xfId="46345" xr:uid="{00000000-0005-0000-0000-000000B50000}"/>
    <cellStyle name="Normal 3 6 15 8" xfId="46346" xr:uid="{00000000-0005-0000-0000-000001B50000}"/>
    <cellStyle name="Normal 3 6 15 8 2" xfId="46347" xr:uid="{00000000-0005-0000-0000-000002B50000}"/>
    <cellStyle name="Normal 3 6 15 8 3" xfId="46348" xr:uid="{00000000-0005-0000-0000-000003B50000}"/>
    <cellStyle name="Normal 3 6 15 9" xfId="46349" xr:uid="{00000000-0005-0000-0000-000004B50000}"/>
    <cellStyle name="Normal 3 6 15 9 2" xfId="46350" xr:uid="{00000000-0005-0000-0000-000005B50000}"/>
    <cellStyle name="Normal 3 6 15 9 3" xfId="46351" xr:uid="{00000000-0005-0000-0000-000006B50000}"/>
    <cellStyle name="Normal 3 6 16" xfId="46352" xr:uid="{00000000-0005-0000-0000-000007B50000}"/>
    <cellStyle name="Normal 3 6 16 10" xfId="46353" xr:uid="{00000000-0005-0000-0000-000008B50000}"/>
    <cellStyle name="Normal 3 6 16 10 2" xfId="46354" xr:uid="{00000000-0005-0000-0000-000009B50000}"/>
    <cellStyle name="Normal 3 6 16 10 3" xfId="46355" xr:uid="{00000000-0005-0000-0000-00000AB50000}"/>
    <cellStyle name="Normal 3 6 16 11" xfId="46356" xr:uid="{00000000-0005-0000-0000-00000BB50000}"/>
    <cellStyle name="Normal 3 6 16 11 2" xfId="46357" xr:uid="{00000000-0005-0000-0000-00000CB50000}"/>
    <cellStyle name="Normal 3 6 16 11 3" xfId="46358" xr:uid="{00000000-0005-0000-0000-00000DB50000}"/>
    <cellStyle name="Normal 3 6 16 12" xfId="46359" xr:uid="{00000000-0005-0000-0000-00000EB50000}"/>
    <cellStyle name="Normal 3 6 16 12 2" xfId="46360" xr:uid="{00000000-0005-0000-0000-00000FB50000}"/>
    <cellStyle name="Normal 3 6 16 12 3" xfId="46361" xr:uid="{00000000-0005-0000-0000-000010B50000}"/>
    <cellStyle name="Normal 3 6 16 13" xfId="46362" xr:uid="{00000000-0005-0000-0000-000011B50000}"/>
    <cellStyle name="Normal 3 6 16 13 2" xfId="46363" xr:uid="{00000000-0005-0000-0000-000012B50000}"/>
    <cellStyle name="Normal 3 6 16 13 3" xfId="46364" xr:uid="{00000000-0005-0000-0000-000013B50000}"/>
    <cellStyle name="Normal 3 6 16 14" xfId="46365" xr:uid="{00000000-0005-0000-0000-000014B50000}"/>
    <cellStyle name="Normal 3 6 16 14 2" xfId="46366" xr:uid="{00000000-0005-0000-0000-000015B50000}"/>
    <cellStyle name="Normal 3 6 16 14 3" xfId="46367" xr:uid="{00000000-0005-0000-0000-000016B50000}"/>
    <cellStyle name="Normal 3 6 16 15" xfId="46368" xr:uid="{00000000-0005-0000-0000-000017B50000}"/>
    <cellStyle name="Normal 3 6 16 15 2" xfId="46369" xr:uid="{00000000-0005-0000-0000-000018B50000}"/>
    <cellStyle name="Normal 3 6 16 15 3" xfId="46370" xr:uid="{00000000-0005-0000-0000-000019B50000}"/>
    <cellStyle name="Normal 3 6 16 16" xfId="46371" xr:uid="{00000000-0005-0000-0000-00001AB50000}"/>
    <cellStyle name="Normal 3 6 16 17" xfId="46372" xr:uid="{00000000-0005-0000-0000-00001BB50000}"/>
    <cellStyle name="Normal 3 6 16 2" xfId="46373" xr:uid="{00000000-0005-0000-0000-00001CB50000}"/>
    <cellStyle name="Normal 3 6 16 2 10" xfId="46374" xr:uid="{00000000-0005-0000-0000-00001DB50000}"/>
    <cellStyle name="Normal 3 6 16 2 10 2" xfId="46375" xr:uid="{00000000-0005-0000-0000-00001EB50000}"/>
    <cellStyle name="Normal 3 6 16 2 10 3" xfId="46376" xr:uid="{00000000-0005-0000-0000-00001FB50000}"/>
    <cellStyle name="Normal 3 6 16 2 11" xfId="46377" xr:uid="{00000000-0005-0000-0000-000020B50000}"/>
    <cellStyle name="Normal 3 6 16 2 11 2" xfId="46378" xr:uid="{00000000-0005-0000-0000-000021B50000}"/>
    <cellStyle name="Normal 3 6 16 2 11 3" xfId="46379" xr:uid="{00000000-0005-0000-0000-000022B50000}"/>
    <cellStyle name="Normal 3 6 16 2 12" xfId="46380" xr:uid="{00000000-0005-0000-0000-000023B50000}"/>
    <cellStyle name="Normal 3 6 16 2 12 2" xfId="46381" xr:uid="{00000000-0005-0000-0000-000024B50000}"/>
    <cellStyle name="Normal 3 6 16 2 12 3" xfId="46382" xr:uid="{00000000-0005-0000-0000-000025B50000}"/>
    <cellStyle name="Normal 3 6 16 2 13" xfId="46383" xr:uid="{00000000-0005-0000-0000-000026B50000}"/>
    <cellStyle name="Normal 3 6 16 2 13 2" xfId="46384" xr:uid="{00000000-0005-0000-0000-000027B50000}"/>
    <cellStyle name="Normal 3 6 16 2 13 3" xfId="46385" xr:uid="{00000000-0005-0000-0000-000028B50000}"/>
    <cellStyle name="Normal 3 6 16 2 14" xfId="46386" xr:uid="{00000000-0005-0000-0000-000029B50000}"/>
    <cellStyle name="Normal 3 6 16 2 14 2" xfId="46387" xr:uid="{00000000-0005-0000-0000-00002AB50000}"/>
    <cellStyle name="Normal 3 6 16 2 14 3" xfId="46388" xr:uid="{00000000-0005-0000-0000-00002BB50000}"/>
    <cellStyle name="Normal 3 6 16 2 15" xfId="46389" xr:uid="{00000000-0005-0000-0000-00002CB50000}"/>
    <cellStyle name="Normal 3 6 16 2 16" xfId="46390" xr:uid="{00000000-0005-0000-0000-00002DB50000}"/>
    <cellStyle name="Normal 3 6 16 2 2" xfId="46391" xr:uid="{00000000-0005-0000-0000-00002EB50000}"/>
    <cellStyle name="Normal 3 6 16 2 2 2" xfId="46392" xr:uid="{00000000-0005-0000-0000-00002FB50000}"/>
    <cellStyle name="Normal 3 6 16 2 2 3" xfId="46393" xr:uid="{00000000-0005-0000-0000-000030B50000}"/>
    <cellStyle name="Normal 3 6 16 2 3" xfId="46394" xr:uid="{00000000-0005-0000-0000-000031B50000}"/>
    <cellStyle name="Normal 3 6 16 2 3 2" xfId="46395" xr:uid="{00000000-0005-0000-0000-000032B50000}"/>
    <cellStyle name="Normal 3 6 16 2 3 3" xfId="46396" xr:uid="{00000000-0005-0000-0000-000033B50000}"/>
    <cellStyle name="Normal 3 6 16 2 4" xfId="46397" xr:uid="{00000000-0005-0000-0000-000034B50000}"/>
    <cellStyle name="Normal 3 6 16 2 4 2" xfId="46398" xr:uid="{00000000-0005-0000-0000-000035B50000}"/>
    <cellStyle name="Normal 3 6 16 2 4 3" xfId="46399" xr:uid="{00000000-0005-0000-0000-000036B50000}"/>
    <cellStyle name="Normal 3 6 16 2 5" xfId="46400" xr:uid="{00000000-0005-0000-0000-000037B50000}"/>
    <cellStyle name="Normal 3 6 16 2 5 2" xfId="46401" xr:uid="{00000000-0005-0000-0000-000038B50000}"/>
    <cellStyle name="Normal 3 6 16 2 5 3" xfId="46402" xr:uid="{00000000-0005-0000-0000-000039B50000}"/>
    <cellStyle name="Normal 3 6 16 2 6" xfId="46403" xr:uid="{00000000-0005-0000-0000-00003AB50000}"/>
    <cellStyle name="Normal 3 6 16 2 6 2" xfId="46404" xr:uid="{00000000-0005-0000-0000-00003BB50000}"/>
    <cellStyle name="Normal 3 6 16 2 6 3" xfId="46405" xr:uid="{00000000-0005-0000-0000-00003CB50000}"/>
    <cellStyle name="Normal 3 6 16 2 7" xfId="46406" xr:uid="{00000000-0005-0000-0000-00003DB50000}"/>
    <cellStyle name="Normal 3 6 16 2 7 2" xfId="46407" xr:uid="{00000000-0005-0000-0000-00003EB50000}"/>
    <cellStyle name="Normal 3 6 16 2 7 3" xfId="46408" xr:uid="{00000000-0005-0000-0000-00003FB50000}"/>
    <cellStyle name="Normal 3 6 16 2 8" xfId="46409" xr:uid="{00000000-0005-0000-0000-000040B50000}"/>
    <cellStyle name="Normal 3 6 16 2 8 2" xfId="46410" xr:uid="{00000000-0005-0000-0000-000041B50000}"/>
    <cellStyle name="Normal 3 6 16 2 8 3" xfId="46411" xr:uid="{00000000-0005-0000-0000-000042B50000}"/>
    <cellStyle name="Normal 3 6 16 2 9" xfId="46412" xr:uid="{00000000-0005-0000-0000-000043B50000}"/>
    <cellStyle name="Normal 3 6 16 2 9 2" xfId="46413" xr:uid="{00000000-0005-0000-0000-000044B50000}"/>
    <cellStyle name="Normal 3 6 16 2 9 3" xfId="46414" xr:uid="{00000000-0005-0000-0000-000045B50000}"/>
    <cellStyle name="Normal 3 6 16 3" xfId="46415" xr:uid="{00000000-0005-0000-0000-000046B50000}"/>
    <cellStyle name="Normal 3 6 16 3 2" xfId="46416" xr:uid="{00000000-0005-0000-0000-000047B50000}"/>
    <cellStyle name="Normal 3 6 16 3 3" xfId="46417" xr:uid="{00000000-0005-0000-0000-000048B50000}"/>
    <cellStyle name="Normal 3 6 16 4" xfId="46418" xr:uid="{00000000-0005-0000-0000-000049B50000}"/>
    <cellStyle name="Normal 3 6 16 4 2" xfId="46419" xr:uid="{00000000-0005-0000-0000-00004AB50000}"/>
    <cellStyle name="Normal 3 6 16 4 3" xfId="46420" xr:uid="{00000000-0005-0000-0000-00004BB50000}"/>
    <cellStyle name="Normal 3 6 16 5" xfId="46421" xr:uid="{00000000-0005-0000-0000-00004CB50000}"/>
    <cellStyle name="Normal 3 6 16 5 2" xfId="46422" xr:uid="{00000000-0005-0000-0000-00004DB50000}"/>
    <cellStyle name="Normal 3 6 16 5 3" xfId="46423" xr:uid="{00000000-0005-0000-0000-00004EB50000}"/>
    <cellStyle name="Normal 3 6 16 6" xfId="46424" xr:uid="{00000000-0005-0000-0000-00004FB50000}"/>
    <cellStyle name="Normal 3 6 16 6 2" xfId="46425" xr:uid="{00000000-0005-0000-0000-000050B50000}"/>
    <cellStyle name="Normal 3 6 16 6 3" xfId="46426" xr:uid="{00000000-0005-0000-0000-000051B50000}"/>
    <cellStyle name="Normal 3 6 16 7" xfId="46427" xr:uid="{00000000-0005-0000-0000-000052B50000}"/>
    <cellStyle name="Normal 3 6 16 7 2" xfId="46428" xr:uid="{00000000-0005-0000-0000-000053B50000}"/>
    <cellStyle name="Normal 3 6 16 7 3" xfId="46429" xr:uid="{00000000-0005-0000-0000-000054B50000}"/>
    <cellStyle name="Normal 3 6 16 8" xfId="46430" xr:uid="{00000000-0005-0000-0000-000055B50000}"/>
    <cellStyle name="Normal 3 6 16 8 2" xfId="46431" xr:uid="{00000000-0005-0000-0000-000056B50000}"/>
    <cellStyle name="Normal 3 6 16 8 3" xfId="46432" xr:uid="{00000000-0005-0000-0000-000057B50000}"/>
    <cellStyle name="Normal 3 6 16 9" xfId="46433" xr:uid="{00000000-0005-0000-0000-000058B50000}"/>
    <cellStyle name="Normal 3 6 16 9 2" xfId="46434" xr:uid="{00000000-0005-0000-0000-000059B50000}"/>
    <cellStyle name="Normal 3 6 16 9 3" xfId="46435" xr:uid="{00000000-0005-0000-0000-00005AB50000}"/>
    <cellStyle name="Normal 3 6 17" xfId="46436" xr:uid="{00000000-0005-0000-0000-00005BB50000}"/>
    <cellStyle name="Normal 3 6 17 10" xfId="46437" xr:uid="{00000000-0005-0000-0000-00005CB50000}"/>
    <cellStyle name="Normal 3 6 17 10 2" xfId="46438" xr:uid="{00000000-0005-0000-0000-00005DB50000}"/>
    <cellStyle name="Normal 3 6 17 10 3" xfId="46439" xr:uid="{00000000-0005-0000-0000-00005EB50000}"/>
    <cellStyle name="Normal 3 6 17 11" xfId="46440" xr:uid="{00000000-0005-0000-0000-00005FB50000}"/>
    <cellStyle name="Normal 3 6 17 11 2" xfId="46441" xr:uid="{00000000-0005-0000-0000-000060B50000}"/>
    <cellStyle name="Normal 3 6 17 11 3" xfId="46442" xr:uid="{00000000-0005-0000-0000-000061B50000}"/>
    <cellStyle name="Normal 3 6 17 12" xfId="46443" xr:uid="{00000000-0005-0000-0000-000062B50000}"/>
    <cellStyle name="Normal 3 6 17 12 2" xfId="46444" xr:uid="{00000000-0005-0000-0000-000063B50000}"/>
    <cellStyle name="Normal 3 6 17 12 3" xfId="46445" xr:uid="{00000000-0005-0000-0000-000064B50000}"/>
    <cellStyle name="Normal 3 6 17 13" xfId="46446" xr:uid="{00000000-0005-0000-0000-000065B50000}"/>
    <cellStyle name="Normal 3 6 17 13 2" xfId="46447" xr:uid="{00000000-0005-0000-0000-000066B50000}"/>
    <cellStyle name="Normal 3 6 17 13 3" xfId="46448" xr:uid="{00000000-0005-0000-0000-000067B50000}"/>
    <cellStyle name="Normal 3 6 17 14" xfId="46449" xr:uid="{00000000-0005-0000-0000-000068B50000}"/>
    <cellStyle name="Normal 3 6 17 14 2" xfId="46450" xr:uid="{00000000-0005-0000-0000-000069B50000}"/>
    <cellStyle name="Normal 3 6 17 14 3" xfId="46451" xr:uid="{00000000-0005-0000-0000-00006AB50000}"/>
    <cellStyle name="Normal 3 6 17 15" xfId="46452" xr:uid="{00000000-0005-0000-0000-00006BB50000}"/>
    <cellStyle name="Normal 3 6 17 16" xfId="46453" xr:uid="{00000000-0005-0000-0000-00006CB50000}"/>
    <cellStyle name="Normal 3 6 17 2" xfId="46454" xr:uid="{00000000-0005-0000-0000-00006DB50000}"/>
    <cellStyle name="Normal 3 6 17 2 2" xfId="46455" xr:uid="{00000000-0005-0000-0000-00006EB50000}"/>
    <cellStyle name="Normal 3 6 17 2 3" xfId="46456" xr:uid="{00000000-0005-0000-0000-00006FB50000}"/>
    <cellStyle name="Normal 3 6 17 3" xfId="46457" xr:uid="{00000000-0005-0000-0000-000070B50000}"/>
    <cellStyle name="Normal 3 6 17 3 2" xfId="46458" xr:uid="{00000000-0005-0000-0000-000071B50000}"/>
    <cellStyle name="Normal 3 6 17 3 3" xfId="46459" xr:uid="{00000000-0005-0000-0000-000072B50000}"/>
    <cellStyle name="Normal 3 6 17 4" xfId="46460" xr:uid="{00000000-0005-0000-0000-000073B50000}"/>
    <cellStyle name="Normal 3 6 17 4 2" xfId="46461" xr:uid="{00000000-0005-0000-0000-000074B50000}"/>
    <cellStyle name="Normal 3 6 17 4 3" xfId="46462" xr:uid="{00000000-0005-0000-0000-000075B50000}"/>
    <cellStyle name="Normal 3 6 17 5" xfId="46463" xr:uid="{00000000-0005-0000-0000-000076B50000}"/>
    <cellStyle name="Normal 3 6 17 5 2" xfId="46464" xr:uid="{00000000-0005-0000-0000-000077B50000}"/>
    <cellStyle name="Normal 3 6 17 5 3" xfId="46465" xr:uid="{00000000-0005-0000-0000-000078B50000}"/>
    <cellStyle name="Normal 3 6 17 6" xfId="46466" xr:uid="{00000000-0005-0000-0000-000079B50000}"/>
    <cellStyle name="Normal 3 6 17 6 2" xfId="46467" xr:uid="{00000000-0005-0000-0000-00007AB50000}"/>
    <cellStyle name="Normal 3 6 17 6 3" xfId="46468" xr:uid="{00000000-0005-0000-0000-00007BB50000}"/>
    <cellStyle name="Normal 3 6 17 7" xfId="46469" xr:uid="{00000000-0005-0000-0000-00007CB50000}"/>
    <cellStyle name="Normal 3 6 17 7 2" xfId="46470" xr:uid="{00000000-0005-0000-0000-00007DB50000}"/>
    <cellStyle name="Normal 3 6 17 7 3" xfId="46471" xr:uid="{00000000-0005-0000-0000-00007EB50000}"/>
    <cellStyle name="Normal 3 6 17 8" xfId="46472" xr:uid="{00000000-0005-0000-0000-00007FB50000}"/>
    <cellStyle name="Normal 3 6 17 8 2" xfId="46473" xr:uid="{00000000-0005-0000-0000-000080B50000}"/>
    <cellStyle name="Normal 3 6 17 8 3" xfId="46474" xr:uid="{00000000-0005-0000-0000-000081B50000}"/>
    <cellStyle name="Normal 3 6 17 9" xfId="46475" xr:uid="{00000000-0005-0000-0000-000082B50000}"/>
    <cellStyle name="Normal 3 6 17 9 2" xfId="46476" xr:uid="{00000000-0005-0000-0000-000083B50000}"/>
    <cellStyle name="Normal 3 6 17 9 3" xfId="46477" xr:uid="{00000000-0005-0000-0000-000084B50000}"/>
    <cellStyle name="Normal 3 6 18" xfId="46478" xr:uid="{00000000-0005-0000-0000-000085B50000}"/>
    <cellStyle name="Normal 3 6 18 10" xfId="46479" xr:uid="{00000000-0005-0000-0000-000086B50000}"/>
    <cellStyle name="Normal 3 6 18 10 2" xfId="46480" xr:uid="{00000000-0005-0000-0000-000087B50000}"/>
    <cellStyle name="Normal 3 6 18 10 3" xfId="46481" xr:uid="{00000000-0005-0000-0000-000088B50000}"/>
    <cellStyle name="Normal 3 6 18 11" xfId="46482" xr:uid="{00000000-0005-0000-0000-000089B50000}"/>
    <cellStyle name="Normal 3 6 18 11 2" xfId="46483" xr:uid="{00000000-0005-0000-0000-00008AB50000}"/>
    <cellStyle name="Normal 3 6 18 11 3" xfId="46484" xr:uid="{00000000-0005-0000-0000-00008BB50000}"/>
    <cellStyle name="Normal 3 6 18 12" xfId="46485" xr:uid="{00000000-0005-0000-0000-00008CB50000}"/>
    <cellStyle name="Normal 3 6 18 12 2" xfId="46486" xr:uid="{00000000-0005-0000-0000-00008DB50000}"/>
    <cellStyle name="Normal 3 6 18 12 3" xfId="46487" xr:uid="{00000000-0005-0000-0000-00008EB50000}"/>
    <cellStyle name="Normal 3 6 18 13" xfId="46488" xr:uid="{00000000-0005-0000-0000-00008FB50000}"/>
    <cellStyle name="Normal 3 6 18 13 2" xfId="46489" xr:uid="{00000000-0005-0000-0000-000090B50000}"/>
    <cellStyle name="Normal 3 6 18 13 3" xfId="46490" xr:uid="{00000000-0005-0000-0000-000091B50000}"/>
    <cellStyle name="Normal 3 6 18 14" xfId="46491" xr:uid="{00000000-0005-0000-0000-000092B50000}"/>
    <cellStyle name="Normal 3 6 18 14 2" xfId="46492" xr:uid="{00000000-0005-0000-0000-000093B50000}"/>
    <cellStyle name="Normal 3 6 18 14 3" xfId="46493" xr:uid="{00000000-0005-0000-0000-000094B50000}"/>
    <cellStyle name="Normal 3 6 18 15" xfId="46494" xr:uid="{00000000-0005-0000-0000-000095B50000}"/>
    <cellStyle name="Normal 3 6 18 16" xfId="46495" xr:uid="{00000000-0005-0000-0000-000096B50000}"/>
    <cellStyle name="Normal 3 6 18 2" xfId="46496" xr:uid="{00000000-0005-0000-0000-000097B50000}"/>
    <cellStyle name="Normal 3 6 18 2 2" xfId="46497" xr:uid="{00000000-0005-0000-0000-000098B50000}"/>
    <cellStyle name="Normal 3 6 18 2 3" xfId="46498" xr:uid="{00000000-0005-0000-0000-000099B50000}"/>
    <cellStyle name="Normal 3 6 18 3" xfId="46499" xr:uid="{00000000-0005-0000-0000-00009AB50000}"/>
    <cellStyle name="Normal 3 6 18 3 2" xfId="46500" xr:uid="{00000000-0005-0000-0000-00009BB50000}"/>
    <cellStyle name="Normal 3 6 18 3 3" xfId="46501" xr:uid="{00000000-0005-0000-0000-00009CB50000}"/>
    <cellStyle name="Normal 3 6 18 4" xfId="46502" xr:uid="{00000000-0005-0000-0000-00009DB50000}"/>
    <cellStyle name="Normal 3 6 18 4 2" xfId="46503" xr:uid="{00000000-0005-0000-0000-00009EB50000}"/>
    <cellStyle name="Normal 3 6 18 4 3" xfId="46504" xr:uid="{00000000-0005-0000-0000-00009FB50000}"/>
    <cellStyle name="Normal 3 6 18 5" xfId="46505" xr:uid="{00000000-0005-0000-0000-0000A0B50000}"/>
    <cellStyle name="Normal 3 6 18 5 2" xfId="46506" xr:uid="{00000000-0005-0000-0000-0000A1B50000}"/>
    <cellStyle name="Normal 3 6 18 5 3" xfId="46507" xr:uid="{00000000-0005-0000-0000-0000A2B50000}"/>
    <cellStyle name="Normal 3 6 18 6" xfId="46508" xr:uid="{00000000-0005-0000-0000-0000A3B50000}"/>
    <cellStyle name="Normal 3 6 18 6 2" xfId="46509" xr:uid="{00000000-0005-0000-0000-0000A4B50000}"/>
    <cellStyle name="Normal 3 6 18 6 3" xfId="46510" xr:uid="{00000000-0005-0000-0000-0000A5B50000}"/>
    <cellStyle name="Normal 3 6 18 7" xfId="46511" xr:uid="{00000000-0005-0000-0000-0000A6B50000}"/>
    <cellStyle name="Normal 3 6 18 7 2" xfId="46512" xr:uid="{00000000-0005-0000-0000-0000A7B50000}"/>
    <cellStyle name="Normal 3 6 18 7 3" xfId="46513" xr:uid="{00000000-0005-0000-0000-0000A8B50000}"/>
    <cellStyle name="Normal 3 6 18 8" xfId="46514" xr:uid="{00000000-0005-0000-0000-0000A9B50000}"/>
    <cellStyle name="Normal 3 6 18 8 2" xfId="46515" xr:uid="{00000000-0005-0000-0000-0000AAB50000}"/>
    <cellStyle name="Normal 3 6 18 8 3" xfId="46516" xr:uid="{00000000-0005-0000-0000-0000ABB50000}"/>
    <cellStyle name="Normal 3 6 18 9" xfId="46517" xr:uid="{00000000-0005-0000-0000-0000ACB50000}"/>
    <cellStyle name="Normal 3 6 18 9 2" xfId="46518" xr:uid="{00000000-0005-0000-0000-0000ADB50000}"/>
    <cellStyle name="Normal 3 6 18 9 3" xfId="46519" xr:uid="{00000000-0005-0000-0000-0000AEB50000}"/>
    <cellStyle name="Normal 3 6 19" xfId="46520" xr:uid="{00000000-0005-0000-0000-0000AFB50000}"/>
    <cellStyle name="Normal 3 6 19 10" xfId="46521" xr:uid="{00000000-0005-0000-0000-0000B0B50000}"/>
    <cellStyle name="Normal 3 6 19 10 2" xfId="46522" xr:uid="{00000000-0005-0000-0000-0000B1B50000}"/>
    <cellStyle name="Normal 3 6 19 10 3" xfId="46523" xr:uid="{00000000-0005-0000-0000-0000B2B50000}"/>
    <cellStyle name="Normal 3 6 19 11" xfId="46524" xr:uid="{00000000-0005-0000-0000-0000B3B50000}"/>
    <cellStyle name="Normal 3 6 19 11 2" xfId="46525" xr:uid="{00000000-0005-0000-0000-0000B4B50000}"/>
    <cellStyle name="Normal 3 6 19 11 3" xfId="46526" xr:uid="{00000000-0005-0000-0000-0000B5B50000}"/>
    <cellStyle name="Normal 3 6 19 12" xfId="46527" xr:uid="{00000000-0005-0000-0000-0000B6B50000}"/>
    <cellStyle name="Normal 3 6 19 12 2" xfId="46528" xr:uid="{00000000-0005-0000-0000-0000B7B50000}"/>
    <cellStyle name="Normal 3 6 19 12 3" xfId="46529" xr:uid="{00000000-0005-0000-0000-0000B8B50000}"/>
    <cellStyle name="Normal 3 6 19 13" xfId="46530" xr:uid="{00000000-0005-0000-0000-0000B9B50000}"/>
    <cellStyle name="Normal 3 6 19 13 2" xfId="46531" xr:uid="{00000000-0005-0000-0000-0000BAB50000}"/>
    <cellStyle name="Normal 3 6 19 13 3" xfId="46532" xr:uid="{00000000-0005-0000-0000-0000BBB50000}"/>
    <cellStyle name="Normal 3 6 19 14" xfId="46533" xr:uid="{00000000-0005-0000-0000-0000BCB50000}"/>
    <cellStyle name="Normal 3 6 19 14 2" xfId="46534" xr:uid="{00000000-0005-0000-0000-0000BDB50000}"/>
    <cellStyle name="Normal 3 6 19 14 3" xfId="46535" xr:uid="{00000000-0005-0000-0000-0000BEB50000}"/>
    <cellStyle name="Normal 3 6 19 15" xfId="46536" xr:uid="{00000000-0005-0000-0000-0000BFB50000}"/>
    <cellStyle name="Normal 3 6 19 16" xfId="46537" xr:uid="{00000000-0005-0000-0000-0000C0B50000}"/>
    <cellStyle name="Normal 3 6 19 2" xfId="46538" xr:uid="{00000000-0005-0000-0000-0000C1B50000}"/>
    <cellStyle name="Normal 3 6 19 2 2" xfId="46539" xr:uid="{00000000-0005-0000-0000-0000C2B50000}"/>
    <cellStyle name="Normal 3 6 19 2 3" xfId="46540" xr:uid="{00000000-0005-0000-0000-0000C3B50000}"/>
    <cellStyle name="Normal 3 6 19 3" xfId="46541" xr:uid="{00000000-0005-0000-0000-0000C4B50000}"/>
    <cellStyle name="Normal 3 6 19 3 2" xfId="46542" xr:uid="{00000000-0005-0000-0000-0000C5B50000}"/>
    <cellStyle name="Normal 3 6 19 3 3" xfId="46543" xr:uid="{00000000-0005-0000-0000-0000C6B50000}"/>
    <cellStyle name="Normal 3 6 19 4" xfId="46544" xr:uid="{00000000-0005-0000-0000-0000C7B50000}"/>
    <cellStyle name="Normal 3 6 19 4 2" xfId="46545" xr:uid="{00000000-0005-0000-0000-0000C8B50000}"/>
    <cellStyle name="Normal 3 6 19 4 3" xfId="46546" xr:uid="{00000000-0005-0000-0000-0000C9B50000}"/>
    <cellStyle name="Normal 3 6 19 5" xfId="46547" xr:uid="{00000000-0005-0000-0000-0000CAB50000}"/>
    <cellStyle name="Normal 3 6 19 5 2" xfId="46548" xr:uid="{00000000-0005-0000-0000-0000CBB50000}"/>
    <cellStyle name="Normal 3 6 19 5 3" xfId="46549" xr:uid="{00000000-0005-0000-0000-0000CCB50000}"/>
    <cellStyle name="Normal 3 6 19 6" xfId="46550" xr:uid="{00000000-0005-0000-0000-0000CDB50000}"/>
    <cellStyle name="Normal 3 6 19 6 2" xfId="46551" xr:uid="{00000000-0005-0000-0000-0000CEB50000}"/>
    <cellStyle name="Normal 3 6 19 6 3" xfId="46552" xr:uid="{00000000-0005-0000-0000-0000CFB50000}"/>
    <cellStyle name="Normal 3 6 19 7" xfId="46553" xr:uid="{00000000-0005-0000-0000-0000D0B50000}"/>
    <cellStyle name="Normal 3 6 19 7 2" xfId="46554" xr:uid="{00000000-0005-0000-0000-0000D1B50000}"/>
    <cellStyle name="Normal 3 6 19 7 3" xfId="46555" xr:uid="{00000000-0005-0000-0000-0000D2B50000}"/>
    <cellStyle name="Normal 3 6 19 8" xfId="46556" xr:uid="{00000000-0005-0000-0000-0000D3B50000}"/>
    <cellStyle name="Normal 3 6 19 8 2" xfId="46557" xr:uid="{00000000-0005-0000-0000-0000D4B50000}"/>
    <cellStyle name="Normal 3 6 19 8 3" xfId="46558" xr:uid="{00000000-0005-0000-0000-0000D5B50000}"/>
    <cellStyle name="Normal 3 6 19 9" xfId="46559" xr:uid="{00000000-0005-0000-0000-0000D6B50000}"/>
    <cellStyle name="Normal 3 6 19 9 2" xfId="46560" xr:uid="{00000000-0005-0000-0000-0000D7B50000}"/>
    <cellStyle name="Normal 3 6 19 9 3" xfId="46561" xr:uid="{00000000-0005-0000-0000-0000D8B50000}"/>
    <cellStyle name="Normal 3 6 2" xfId="46562" xr:uid="{00000000-0005-0000-0000-0000D9B50000}"/>
    <cellStyle name="Normal 3 6 20" xfId="46563" xr:uid="{00000000-0005-0000-0000-0000DAB50000}"/>
    <cellStyle name="Normal 3 6 20 10" xfId="46564" xr:uid="{00000000-0005-0000-0000-0000DBB50000}"/>
    <cellStyle name="Normal 3 6 20 10 2" xfId="46565" xr:uid="{00000000-0005-0000-0000-0000DCB50000}"/>
    <cellStyle name="Normal 3 6 20 10 3" xfId="46566" xr:uid="{00000000-0005-0000-0000-0000DDB50000}"/>
    <cellStyle name="Normal 3 6 20 11" xfId="46567" xr:uid="{00000000-0005-0000-0000-0000DEB50000}"/>
    <cellStyle name="Normal 3 6 20 11 2" xfId="46568" xr:uid="{00000000-0005-0000-0000-0000DFB50000}"/>
    <cellStyle name="Normal 3 6 20 11 3" xfId="46569" xr:uid="{00000000-0005-0000-0000-0000E0B50000}"/>
    <cellStyle name="Normal 3 6 20 12" xfId="46570" xr:uid="{00000000-0005-0000-0000-0000E1B50000}"/>
    <cellStyle name="Normal 3 6 20 12 2" xfId="46571" xr:uid="{00000000-0005-0000-0000-0000E2B50000}"/>
    <cellStyle name="Normal 3 6 20 12 3" xfId="46572" xr:uid="{00000000-0005-0000-0000-0000E3B50000}"/>
    <cellStyle name="Normal 3 6 20 13" xfId="46573" xr:uid="{00000000-0005-0000-0000-0000E4B50000}"/>
    <cellStyle name="Normal 3 6 20 13 2" xfId="46574" xr:uid="{00000000-0005-0000-0000-0000E5B50000}"/>
    <cellStyle name="Normal 3 6 20 13 3" xfId="46575" xr:uid="{00000000-0005-0000-0000-0000E6B50000}"/>
    <cellStyle name="Normal 3 6 20 14" xfId="46576" xr:uid="{00000000-0005-0000-0000-0000E7B50000}"/>
    <cellStyle name="Normal 3 6 20 14 2" xfId="46577" xr:uid="{00000000-0005-0000-0000-0000E8B50000}"/>
    <cellStyle name="Normal 3 6 20 14 3" xfId="46578" xr:uid="{00000000-0005-0000-0000-0000E9B50000}"/>
    <cellStyle name="Normal 3 6 20 15" xfId="46579" xr:uid="{00000000-0005-0000-0000-0000EAB50000}"/>
    <cellStyle name="Normal 3 6 20 16" xfId="46580" xr:uid="{00000000-0005-0000-0000-0000EBB50000}"/>
    <cellStyle name="Normal 3 6 20 2" xfId="46581" xr:uid="{00000000-0005-0000-0000-0000ECB50000}"/>
    <cellStyle name="Normal 3 6 20 2 2" xfId="46582" xr:uid="{00000000-0005-0000-0000-0000EDB50000}"/>
    <cellStyle name="Normal 3 6 20 2 3" xfId="46583" xr:uid="{00000000-0005-0000-0000-0000EEB50000}"/>
    <cellStyle name="Normal 3 6 20 3" xfId="46584" xr:uid="{00000000-0005-0000-0000-0000EFB50000}"/>
    <cellStyle name="Normal 3 6 20 3 2" xfId="46585" xr:uid="{00000000-0005-0000-0000-0000F0B50000}"/>
    <cellStyle name="Normal 3 6 20 3 3" xfId="46586" xr:uid="{00000000-0005-0000-0000-0000F1B50000}"/>
    <cellStyle name="Normal 3 6 20 4" xfId="46587" xr:uid="{00000000-0005-0000-0000-0000F2B50000}"/>
    <cellStyle name="Normal 3 6 20 4 2" xfId="46588" xr:uid="{00000000-0005-0000-0000-0000F3B50000}"/>
    <cellStyle name="Normal 3 6 20 4 3" xfId="46589" xr:uid="{00000000-0005-0000-0000-0000F4B50000}"/>
    <cellStyle name="Normal 3 6 20 5" xfId="46590" xr:uid="{00000000-0005-0000-0000-0000F5B50000}"/>
    <cellStyle name="Normal 3 6 20 5 2" xfId="46591" xr:uid="{00000000-0005-0000-0000-0000F6B50000}"/>
    <cellStyle name="Normal 3 6 20 5 3" xfId="46592" xr:uid="{00000000-0005-0000-0000-0000F7B50000}"/>
    <cellStyle name="Normal 3 6 20 6" xfId="46593" xr:uid="{00000000-0005-0000-0000-0000F8B50000}"/>
    <cellStyle name="Normal 3 6 20 6 2" xfId="46594" xr:uid="{00000000-0005-0000-0000-0000F9B50000}"/>
    <cellStyle name="Normal 3 6 20 6 3" xfId="46595" xr:uid="{00000000-0005-0000-0000-0000FAB50000}"/>
    <cellStyle name="Normal 3 6 20 7" xfId="46596" xr:uid="{00000000-0005-0000-0000-0000FBB50000}"/>
    <cellStyle name="Normal 3 6 20 7 2" xfId="46597" xr:uid="{00000000-0005-0000-0000-0000FCB50000}"/>
    <cellStyle name="Normal 3 6 20 7 3" xfId="46598" xr:uid="{00000000-0005-0000-0000-0000FDB50000}"/>
    <cellStyle name="Normal 3 6 20 8" xfId="46599" xr:uid="{00000000-0005-0000-0000-0000FEB50000}"/>
    <cellStyle name="Normal 3 6 20 8 2" xfId="46600" xr:uid="{00000000-0005-0000-0000-0000FFB50000}"/>
    <cellStyle name="Normal 3 6 20 8 3" xfId="46601" xr:uid="{00000000-0005-0000-0000-000000B60000}"/>
    <cellStyle name="Normal 3 6 20 9" xfId="46602" xr:uid="{00000000-0005-0000-0000-000001B60000}"/>
    <cellStyle name="Normal 3 6 20 9 2" xfId="46603" xr:uid="{00000000-0005-0000-0000-000002B60000}"/>
    <cellStyle name="Normal 3 6 20 9 3" xfId="46604" xr:uid="{00000000-0005-0000-0000-000003B60000}"/>
    <cellStyle name="Normal 3 6 21" xfId="46605" xr:uid="{00000000-0005-0000-0000-000004B60000}"/>
    <cellStyle name="Normal 3 6 21 10" xfId="46606" xr:uid="{00000000-0005-0000-0000-000005B60000}"/>
    <cellStyle name="Normal 3 6 21 10 2" xfId="46607" xr:uid="{00000000-0005-0000-0000-000006B60000}"/>
    <cellStyle name="Normal 3 6 21 10 3" xfId="46608" xr:uid="{00000000-0005-0000-0000-000007B60000}"/>
    <cellStyle name="Normal 3 6 21 11" xfId="46609" xr:uid="{00000000-0005-0000-0000-000008B60000}"/>
    <cellStyle name="Normal 3 6 21 11 2" xfId="46610" xr:uid="{00000000-0005-0000-0000-000009B60000}"/>
    <cellStyle name="Normal 3 6 21 11 3" xfId="46611" xr:uid="{00000000-0005-0000-0000-00000AB60000}"/>
    <cellStyle name="Normal 3 6 21 12" xfId="46612" xr:uid="{00000000-0005-0000-0000-00000BB60000}"/>
    <cellStyle name="Normal 3 6 21 12 2" xfId="46613" xr:uid="{00000000-0005-0000-0000-00000CB60000}"/>
    <cellStyle name="Normal 3 6 21 12 3" xfId="46614" xr:uid="{00000000-0005-0000-0000-00000DB60000}"/>
    <cellStyle name="Normal 3 6 21 13" xfId="46615" xr:uid="{00000000-0005-0000-0000-00000EB60000}"/>
    <cellStyle name="Normal 3 6 21 13 2" xfId="46616" xr:uid="{00000000-0005-0000-0000-00000FB60000}"/>
    <cellStyle name="Normal 3 6 21 13 3" xfId="46617" xr:uid="{00000000-0005-0000-0000-000010B60000}"/>
    <cellStyle name="Normal 3 6 21 14" xfId="46618" xr:uid="{00000000-0005-0000-0000-000011B60000}"/>
    <cellStyle name="Normal 3 6 21 14 2" xfId="46619" xr:uid="{00000000-0005-0000-0000-000012B60000}"/>
    <cellStyle name="Normal 3 6 21 14 3" xfId="46620" xr:uid="{00000000-0005-0000-0000-000013B60000}"/>
    <cellStyle name="Normal 3 6 21 15" xfId="46621" xr:uid="{00000000-0005-0000-0000-000014B60000}"/>
    <cellStyle name="Normal 3 6 21 16" xfId="46622" xr:uid="{00000000-0005-0000-0000-000015B60000}"/>
    <cellStyle name="Normal 3 6 21 2" xfId="46623" xr:uid="{00000000-0005-0000-0000-000016B60000}"/>
    <cellStyle name="Normal 3 6 21 2 2" xfId="46624" xr:uid="{00000000-0005-0000-0000-000017B60000}"/>
    <cellStyle name="Normal 3 6 21 2 3" xfId="46625" xr:uid="{00000000-0005-0000-0000-000018B60000}"/>
    <cellStyle name="Normal 3 6 21 3" xfId="46626" xr:uid="{00000000-0005-0000-0000-000019B60000}"/>
    <cellStyle name="Normal 3 6 21 3 2" xfId="46627" xr:uid="{00000000-0005-0000-0000-00001AB60000}"/>
    <cellStyle name="Normal 3 6 21 3 3" xfId="46628" xr:uid="{00000000-0005-0000-0000-00001BB60000}"/>
    <cellStyle name="Normal 3 6 21 4" xfId="46629" xr:uid="{00000000-0005-0000-0000-00001CB60000}"/>
    <cellStyle name="Normal 3 6 21 4 2" xfId="46630" xr:uid="{00000000-0005-0000-0000-00001DB60000}"/>
    <cellStyle name="Normal 3 6 21 4 3" xfId="46631" xr:uid="{00000000-0005-0000-0000-00001EB60000}"/>
    <cellStyle name="Normal 3 6 21 5" xfId="46632" xr:uid="{00000000-0005-0000-0000-00001FB60000}"/>
    <cellStyle name="Normal 3 6 21 5 2" xfId="46633" xr:uid="{00000000-0005-0000-0000-000020B60000}"/>
    <cellStyle name="Normal 3 6 21 5 3" xfId="46634" xr:uid="{00000000-0005-0000-0000-000021B60000}"/>
    <cellStyle name="Normal 3 6 21 6" xfId="46635" xr:uid="{00000000-0005-0000-0000-000022B60000}"/>
    <cellStyle name="Normal 3 6 21 6 2" xfId="46636" xr:uid="{00000000-0005-0000-0000-000023B60000}"/>
    <cellStyle name="Normal 3 6 21 6 3" xfId="46637" xr:uid="{00000000-0005-0000-0000-000024B60000}"/>
    <cellStyle name="Normal 3 6 21 7" xfId="46638" xr:uid="{00000000-0005-0000-0000-000025B60000}"/>
    <cellStyle name="Normal 3 6 21 7 2" xfId="46639" xr:uid="{00000000-0005-0000-0000-000026B60000}"/>
    <cellStyle name="Normal 3 6 21 7 3" xfId="46640" xr:uid="{00000000-0005-0000-0000-000027B60000}"/>
    <cellStyle name="Normal 3 6 21 8" xfId="46641" xr:uid="{00000000-0005-0000-0000-000028B60000}"/>
    <cellStyle name="Normal 3 6 21 8 2" xfId="46642" xr:uid="{00000000-0005-0000-0000-000029B60000}"/>
    <cellStyle name="Normal 3 6 21 8 3" xfId="46643" xr:uid="{00000000-0005-0000-0000-00002AB60000}"/>
    <cellStyle name="Normal 3 6 21 9" xfId="46644" xr:uid="{00000000-0005-0000-0000-00002BB60000}"/>
    <cellStyle name="Normal 3 6 21 9 2" xfId="46645" xr:uid="{00000000-0005-0000-0000-00002CB60000}"/>
    <cellStyle name="Normal 3 6 21 9 3" xfId="46646" xr:uid="{00000000-0005-0000-0000-00002DB60000}"/>
    <cellStyle name="Normal 3 6 22" xfId="46647" xr:uid="{00000000-0005-0000-0000-00002EB60000}"/>
    <cellStyle name="Normal 3 6 22 10" xfId="46648" xr:uid="{00000000-0005-0000-0000-00002FB60000}"/>
    <cellStyle name="Normal 3 6 22 10 2" xfId="46649" xr:uid="{00000000-0005-0000-0000-000030B60000}"/>
    <cellStyle name="Normal 3 6 22 10 3" xfId="46650" xr:uid="{00000000-0005-0000-0000-000031B60000}"/>
    <cellStyle name="Normal 3 6 22 11" xfId="46651" xr:uid="{00000000-0005-0000-0000-000032B60000}"/>
    <cellStyle name="Normal 3 6 22 11 2" xfId="46652" xr:uid="{00000000-0005-0000-0000-000033B60000}"/>
    <cellStyle name="Normal 3 6 22 11 3" xfId="46653" xr:uid="{00000000-0005-0000-0000-000034B60000}"/>
    <cellStyle name="Normal 3 6 22 12" xfId="46654" xr:uid="{00000000-0005-0000-0000-000035B60000}"/>
    <cellStyle name="Normal 3 6 22 12 2" xfId="46655" xr:uid="{00000000-0005-0000-0000-000036B60000}"/>
    <cellStyle name="Normal 3 6 22 12 3" xfId="46656" xr:uid="{00000000-0005-0000-0000-000037B60000}"/>
    <cellStyle name="Normal 3 6 22 13" xfId="46657" xr:uid="{00000000-0005-0000-0000-000038B60000}"/>
    <cellStyle name="Normal 3 6 22 13 2" xfId="46658" xr:uid="{00000000-0005-0000-0000-000039B60000}"/>
    <cellStyle name="Normal 3 6 22 13 3" xfId="46659" xr:uid="{00000000-0005-0000-0000-00003AB60000}"/>
    <cellStyle name="Normal 3 6 22 14" xfId="46660" xr:uid="{00000000-0005-0000-0000-00003BB60000}"/>
    <cellStyle name="Normal 3 6 22 14 2" xfId="46661" xr:uid="{00000000-0005-0000-0000-00003CB60000}"/>
    <cellStyle name="Normal 3 6 22 14 3" xfId="46662" xr:uid="{00000000-0005-0000-0000-00003DB60000}"/>
    <cellStyle name="Normal 3 6 22 15" xfId="46663" xr:uid="{00000000-0005-0000-0000-00003EB60000}"/>
    <cellStyle name="Normal 3 6 22 16" xfId="46664" xr:uid="{00000000-0005-0000-0000-00003FB60000}"/>
    <cellStyle name="Normal 3 6 22 2" xfId="46665" xr:uid="{00000000-0005-0000-0000-000040B60000}"/>
    <cellStyle name="Normal 3 6 22 2 2" xfId="46666" xr:uid="{00000000-0005-0000-0000-000041B60000}"/>
    <cellStyle name="Normal 3 6 22 2 3" xfId="46667" xr:uid="{00000000-0005-0000-0000-000042B60000}"/>
    <cellStyle name="Normal 3 6 22 3" xfId="46668" xr:uid="{00000000-0005-0000-0000-000043B60000}"/>
    <cellStyle name="Normal 3 6 22 3 2" xfId="46669" xr:uid="{00000000-0005-0000-0000-000044B60000}"/>
    <cellStyle name="Normal 3 6 22 3 3" xfId="46670" xr:uid="{00000000-0005-0000-0000-000045B60000}"/>
    <cellStyle name="Normal 3 6 22 4" xfId="46671" xr:uid="{00000000-0005-0000-0000-000046B60000}"/>
    <cellStyle name="Normal 3 6 22 4 2" xfId="46672" xr:uid="{00000000-0005-0000-0000-000047B60000}"/>
    <cellStyle name="Normal 3 6 22 4 3" xfId="46673" xr:uid="{00000000-0005-0000-0000-000048B60000}"/>
    <cellStyle name="Normal 3 6 22 5" xfId="46674" xr:uid="{00000000-0005-0000-0000-000049B60000}"/>
    <cellStyle name="Normal 3 6 22 5 2" xfId="46675" xr:uid="{00000000-0005-0000-0000-00004AB60000}"/>
    <cellStyle name="Normal 3 6 22 5 3" xfId="46676" xr:uid="{00000000-0005-0000-0000-00004BB60000}"/>
    <cellStyle name="Normal 3 6 22 6" xfId="46677" xr:uid="{00000000-0005-0000-0000-00004CB60000}"/>
    <cellStyle name="Normal 3 6 22 6 2" xfId="46678" xr:uid="{00000000-0005-0000-0000-00004DB60000}"/>
    <cellStyle name="Normal 3 6 22 6 3" xfId="46679" xr:uid="{00000000-0005-0000-0000-00004EB60000}"/>
    <cellStyle name="Normal 3 6 22 7" xfId="46680" xr:uid="{00000000-0005-0000-0000-00004FB60000}"/>
    <cellStyle name="Normal 3 6 22 7 2" xfId="46681" xr:uid="{00000000-0005-0000-0000-000050B60000}"/>
    <cellStyle name="Normal 3 6 22 7 3" xfId="46682" xr:uid="{00000000-0005-0000-0000-000051B60000}"/>
    <cellStyle name="Normal 3 6 22 8" xfId="46683" xr:uid="{00000000-0005-0000-0000-000052B60000}"/>
    <cellStyle name="Normal 3 6 22 8 2" xfId="46684" xr:uid="{00000000-0005-0000-0000-000053B60000}"/>
    <cellStyle name="Normal 3 6 22 8 3" xfId="46685" xr:uid="{00000000-0005-0000-0000-000054B60000}"/>
    <cellStyle name="Normal 3 6 22 9" xfId="46686" xr:uid="{00000000-0005-0000-0000-000055B60000}"/>
    <cellStyle name="Normal 3 6 22 9 2" xfId="46687" xr:uid="{00000000-0005-0000-0000-000056B60000}"/>
    <cellStyle name="Normal 3 6 22 9 3" xfId="46688" xr:uid="{00000000-0005-0000-0000-000057B60000}"/>
    <cellStyle name="Normal 3 6 23" xfId="46689" xr:uid="{00000000-0005-0000-0000-000058B60000}"/>
    <cellStyle name="Normal 3 6 24" xfId="46690" xr:uid="{00000000-0005-0000-0000-000059B60000}"/>
    <cellStyle name="Normal 3 6 25" xfId="46691" xr:uid="{00000000-0005-0000-0000-00005AB60000}"/>
    <cellStyle name="Normal 3 6 25 10" xfId="46692" xr:uid="{00000000-0005-0000-0000-00005BB60000}"/>
    <cellStyle name="Normal 3 6 25 10 2" xfId="46693" xr:uid="{00000000-0005-0000-0000-00005CB60000}"/>
    <cellStyle name="Normal 3 6 25 10 3" xfId="46694" xr:uid="{00000000-0005-0000-0000-00005DB60000}"/>
    <cellStyle name="Normal 3 6 25 11" xfId="46695" xr:uid="{00000000-0005-0000-0000-00005EB60000}"/>
    <cellStyle name="Normal 3 6 25 11 2" xfId="46696" xr:uid="{00000000-0005-0000-0000-00005FB60000}"/>
    <cellStyle name="Normal 3 6 25 11 3" xfId="46697" xr:uid="{00000000-0005-0000-0000-000060B60000}"/>
    <cellStyle name="Normal 3 6 25 12" xfId="46698" xr:uid="{00000000-0005-0000-0000-000061B60000}"/>
    <cellStyle name="Normal 3 6 25 12 2" xfId="46699" xr:uid="{00000000-0005-0000-0000-000062B60000}"/>
    <cellStyle name="Normal 3 6 25 12 3" xfId="46700" xr:uid="{00000000-0005-0000-0000-000063B60000}"/>
    <cellStyle name="Normal 3 6 25 13" xfId="46701" xr:uid="{00000000-0005-0000-0000-000064B60000}"/>
    <cellStyle name="Normal 3 6 25 13 2" xfId="46702" xr:uid="{00000000-0005-0000-0000-000065B60000}"/>
    <cellStyle name="Normal 3 6 25 13 3" xfId="46703" xr:uid="{00000000-0005-0000-0000-000066B60000}"/>
    <cellStyle name="Normal 3 6 25 14" xfId="46704" xr:uid="{00000000-0005-0000-0000-000067B60000}"/>
    <cellStyle name="Normal 3 6 25 14 2" xfId="46705" xr:uid="{00000000-0005-0000-0000-000068B60000}"/>
    <cellStyle name="Normal 3 6 25 14 3" xfId="46706" xr:uid="{00000000-0005-0000-0000-000069B60000}"/>
    <cellStyle name="Normal 3 6 25 15" xfId="46707" xr:uid="{00000000-0005-0000-0000-00006AB60000}"/>
    <cellStyle name="Normal 3 6 25 16" xfId="46708" xr:uid="{00000000-0005-0000-0000-00006BB60000}"/>
    <cellStyle name="Normal 3 6 25 2" xfId="46709" xr:uid="{00000000-0005-0000-0000-00006CB60000}"/>
    <cellStyle name="Normal 3 6 25 2 2" xfId="46710" xr:uid="{00000000-0005-0000-0000-00006DB60000}"/>
    <cellStyle name="Normal 3 6 25 2 3" xfId="46711" xr:uid="{00000000-0005-0000-0000-00006EB60000}"/>
    <cellStyle name="Normal 3 6 25 3" xfId="46712" xr:uid="{00000000-0005-0000-0000-00006FB60000}"/>
    <cellStyle name="Normal 3 6 25 3 2" xfId="46713" xr:uid="{00000000-0005-0000-0000-000070B60000}"/>
    <cellStyle name="Normal 3 6 25 3 3" xfId="46714" xr:uid="{00000000-0005-0000-0000-000071B60000}"/>
    <cellStyle name="Normal 3 6 25 4" xfId="46715" xr:uid="{00000000-0005-0000-0000-000072B60000}"/>
    <cellStyle name="Normal 3 6 25 4 2" xfId="46716" xr:uid="{00000000-0005-0000-0000-000073B60000}"/>
    <cellStyle name="Normal 3 6 25 4 3" xfId="46717" xr:uid="{00000000-0005-0000-0000-000074B60000}"/>
    <cellStyle name="Normal 3 6 25 5" xfId="46718" xr:uid="{00000000-0005-0000-0000-000075B60000}"/>
    <cellStyle name="Normal 3 6 25 5 2" xfId="46719" xr:uid="{00000000-0005-0000-0000-000076B60000}"/>
    <cellStyle name="Normal 3 6 25 5 3" xfId="46720" xr:uid="{00000000-0005-0000-0000-000077B60000}"/>
    <cellStyle name="Normal 3 6 25 6" xfId="46721" xr:uid="{00000000-0005-0000-0000-000078B60000}"/>
    <cellStyle name="Normal 3 6 25 6 2" xfId="46722" xr:uid="{00000000-0005-0000-0000-000079B60000}"/>
    <cellStyle name="Normal 3 6 25 6 3" xfId="46723" xr:uid="{00000000-0005-0000-0000-00007AB60000}"/>
    <cellStyle name="Normal 3 6 25 7" xfId="46724" xr:uid="{00000000-0005-0000-0000-00007BB60000}"/>
    <cellStyle name="Normal 3 6 25 7 2" xfId="46725" xr:uid="{00000000-0005-0000-0000-00007CB60000}"/>
    <cellStyle name="Normal 3 6 25 7 3" xfId="46726" xr:uid="{00000000-0005-0000-0000-00007DB60000}"/>
    <cellStyle name="Normal 3 6 25 8" xfId="46727" xr:uid="{00000000-0005-0000-0000-00007EB60000}"/>
    <cellStyle name="Normal 3 6 25 8 2" xfId="46728" xr:uid="{00000000-0005-0000-0000-00007FB60000}"/>
    <cellStyle name="Normal 3 6 25 8 3" xfId="46729" xr:uid="{00000000-0005-0000-0000-000080B60000}"/>
    <cellStyle name="Normal 3 6 25 9" xfId="46730" xr:uid="{00000000-0005-0000-0000-000081B60000}"/>
    <cellStyle name="Normal 3 6 25 9 2" xfId="46731" xr:uid="{00000000-0005-0000-0000-000082B60000}"/>
    <cellStyle name="Normal 3 6 25 9 3" xfId="46732" xr:uid="{00000000-0005-0000-0000-000083B60000}"/>
    <cellStyle name="Normal 3 6 26" xfId="46733" xr:uid="{00000000-0005-0000-0000-000084B60000}"/>
    <cellStyle name="Normal 3 6 26 10" xfId="46734" xr:uid="{00000000-0005-0000-0000-000085B60000}"/>
    <cellStyle name="Normal 3 6 26 10 2" xfId="46735" xr:uid="{00000000-0005-0000-0000-000086B60000}"/>
    <cellStyle name="Normal 3 6 26 10 3" xfId="46736" xr:uid="{00000000-0005-0000-0000-000087B60000}"/>
    <cellStyle name="Normal 3 6 26 11" xfId="46737" xr:uid="{00000000-0005-0000-0000-000088B60000}"/>
    <cellStyle name="Normal 3 6 26 11 2" xfId="46738" xr:uid="{00000000-0005-0000-0000-000089B60000}"/>
    <cellStyle name="Normal 3 6 26 11 3" xfId="46739" xr:uid="{00000000-0005-0000-0000-00008AB60000}"/>
    <cellStyle name="Normal 3 6 26 12" xfId="46740" xr:uid="{00000000-0005-0000-0000-00008BB60000}"/>
    <cellStyle name="Normal 3 6 26 12 2" xfId="46741" xr:uid="{00000000-0005-0000-0000-00008CB60000}"/>
    <cellStyle name="Normal 3 6 26 12 3" xfId="46742" xr:uid="{00000000-0005-0000-0000-00008DB60000}"/>
    <cellStyle name="Normal 3 6 26 13" xfId="46743" xr:uid="{00000000-0005-0000-0000-00008EB60000}"/>
    <cellStyle name="Normal 3 6 26 13 2" xfId="46744" xr:uid="{00000000-0005-0000-0000-00008FB60000}"/>
    <cellStyle name="Normal 3 6 26 13 3" xfId="46745" xr:uid="{00000000-0005-0000-0000-000090B60000}"/>
    <cellStyle name="Normal 3 6 26 14" xfId="46746" xr:uid="{00000000-0005-0000-0000-000091B60000}"/>
    <cellStyle name="Normal 3 6 26 14 2" xfId="46747" xr:uid="{00000000-0005-0000-0000-000092B60000}"/>
    <cellStyle name="Normal 3 6 26 14 3" xfId="46748" xr:uid="{00000000-0005-0000-0000-000093B60000}"/>
    <cellStyle name="Normal 3 6 26 15" xfId="46749" xr:uid="{00000000-0005-0000-0000-000094B60000}"/>
    <cellStyle name="Normal 3 6 26 16" xfId="46750" xr:uid="{00000000-0005-0000-0000-000095B60000}"/>
    <cellStyle name="Normal 3 6 26 2" xfId="46751" xr:uid="{00000000-0005-0000-0000-000096B60000}"/>
    <cellStyle name="Normal 3 6 26 2 2" xfId="46752" xr:uid="{00000000-0005-0000-0000-000097B60000}"/>
    <cellStyle name="Normal 3 6 26 2 3" xfId="46753" xr:uid="{00000000-0005-0000-0000-000098B60000}"/>
    <cellStyle name="Normal 3 6 26 3" xfId="46754" xr:uid="{00000000-0005-0000-0000-000099B60000}"/>
    <cellStyle name="Normal 3 6 26 3 2" xfId="46755" xr:uid="{00000000-0005-0000-0000-00009AB60000}"/>
    <cellStyle name="Normal 3 6 26 3 3" xfId="46756" xr:uid="{00000000-0005-0000-0000-00009BB60000}"/>
    <cellStyle name="Normal 3 6 26 4" xfId="46757" xr:uid="{00000000-0005-0000-0000-00009CB60000}"/>
    <cellStyle name="Normal 3 6 26 4 2" xfId="46758" xr:uid="{00000000-0005-0000-0000-00009DB60000}"/>
    <cellStyle name="Normal 3 6 26 4 3" xfId="46759" xr:uid="{00000000-0005-0000-0000-00009EB60000}"/>
    <cellStyle name="Normal 3 6 26 5" xfId="46760" xr:uid="{00000000-0005-0000-0000-00009FB60000}"/>
    <cellStyle name="Normal 3 6 26 5 2" xfId="46761" xr:uid="{00000000-0005-0000-0000-0000A0B60000}"/>
    <cellStyle name="Normal 3 6 26 5 3" xfId="46762" xr:uid="{00000000-0005-0000-0000-0000A1B60000}"/>
    <cellStyle name="Normal 3 6 26 6" xfId="46763" xr:uid="{00000000-0005-0000-0000-0000A2B60000}"/>
    <cellStyle name="Normal 3 6 26 6 2" xfId="46764" xr:uid="{00000000-0005-0000-0000-0000A3B60000}"/>
    <cellStyle name="Normal 3 6 26 6 3" xfId="46765" xr:uid="{00000000-0005-0000-0000-0000A4B60000}"/>
    <cellStyle name="Normal 3 6 26 7" xfId="46766" xr:uid="{00000000-0005-0000-0000-0000A5B60000}"/>
    <cellStyle name="Normal 3 6 26 7 2" xfId="46767" xr:uid="{00000000-0005-0000-0000-0000A6B60000}"/>
    <cellStyle name="Normal 3 6 26 7 3" xfId="46768" xr:uid="{00000000-0005-0000-0000-0000A7B60000}"/>
    <cellStyle name="Normal 3 6 26 8" xfId="46769" xr:uid="{00000000-0005-0000-0000-0000A8B60000}"/>
    <cellStyle name="Normal 3 6 26 8 2" xfId="46770" xr:uid="{00000000-0005-0000-0000-0000A9B60000}"/>
    <cellStyle name="Normal 3 6 26 8 3" xfId="46771" xr:uid="{00000000-0005-0000-0000-0000AAB60000}"/>
    <cellStyle name="Normal 3 6 26 9" xfId="46772" xr:uid="{00000000-0005-0000-0000-0000ABB60000}"/>
    <cellStyle name="Normal 3 6 26 9 2" xfId="46773" xr:uid="{00000000-0005-0000-0000-0000ACB60000}"/>
    <cellStyle name="Normal 3 6 26 9 3" xfId="46774" xr:uid="{00000000-0005-0000-0000-0000ADB60000}"/>
    <cellStyle name="Normal 3 6 3" xfId="46775" xr:uid="{00000000-0005-0000-0000-0000AEB60000}"/>
    <cellStyle name="Normal 3 6 4" xfId="46776" xr:uid="{00000000-0005-0000-0000-0000AFB60000}"/>
    <cellStyle name="Normal 3 6 5" xfId="46777" xr:uid="{00000000-0005-0000-0000-0000B0B60000}"/>
    <cellStyle name="Normal 3 6 6" xfId="46778" xr:uid="{00000000-0005-0000-0000-0000B1B60000}"/>
    <cellStyle name="Normal 3 6 7" xfId="46779" xr:uid="{00000000-0005-0000-0000-0000B2B60000}"/>
    <cellStyle name="Normal 3 6 8" xfId="46780" xr:uid="{00000000-0005-0000-0000-0000B3B60000}"/>
    <cellStyle name="Normal 3 6 9" xfId="46781" xr:uid="{00000000-0005-0000-0000-0000B4B60000}"/>
    <cellStyle name="Normal 3 6_End-use Summary" xfId="46782" xr:uid="{00000000-0005-0000-0000-0000B5B60000}"/>
    <cellStyle name="Normal 3 60" xfId="46783" xr:uid="{00000000-0005-0000-0000-0000B6B60000}"/>
    <cellStyle name="Normal 3 60 2" xfId="46784" xr:uid="{00000000-0005-0000-0000-0000B7B60000}"/>
    <cellStyle name="Normal 3 60 3" xfId="46785" xr:uid="{00000000-0005-0000-0000-0000B8B60000}"/>
    <cellStyle name="Normal 3 61" xfId="46786" xr:uid="{00000000-0005-0000-0000-0000B9B60000}"/>
    <cellStyle name="Normal 3 61 2" xfId="46787" xr:uid="{00000000-0005-0000-0000-0000BAB60000}"/>
    <cellStyle name="Normal 3 61 3" xfId="46788" xr:uid="{00000000-0005-0000-0000-0000BBB60000}"/>
    <cellStyle name="Normal 3 62" xfId="46789" xr:uid="{00000000-0005-0000-0000-0000BCB60000}"/>
    <cellStyle name="Normal 3 62 2" xfId="46790" xr:uid="{00000000-0005-0000-0000-0000BDB60000}"/>
    <cellStyle name="Normal 3 62 3" xfId="46791" xr:uid="{00000000-0005-0000-0000-0000BEB60000}"/>
    <cellStyle name="Normal 3 63" xfId="46792" xr:uid="{00000000-0005-0000-0000-0000BFB60000}"/>
    <cellStyle name="Normal 3 63 2" xfId="46793" xr:uid="{00000000-0005-0000-0000-0000C0B60000}"/>
    <cellStyle name="Normal 3 63 3" xfId="46794" xr:uid="{00000000-0005-0000-0000-0000C1B60000}"/>
    <cellStyle name="Normal 3 64" xfId="46795" xr:uid="{00000000-0005-0000-0000-0000C2B60000}"/>
    <cellStyle name="Normal 3 64 2" xfId="46796" xr:uid="{00000000-0005-0000-0000-0000C3B60000}"/>
    <cellStyle name="Normal 3 64 3" xfId="46797" xr:uid="{00000000-0005-0000-0000-0000C4B60000}"/>
    <cellStyle name="Normal 3 65" xfId="46798" xr:uid="{00000000-0005-0000-0000-0000C5B60000}"/>
    <cellStyle name="Normal 3 65 2" xfId="46799" xr:uid="{00000000-0005-0000-0000-0000C6B60000}"/>
    <cellStyle name="Normal 3 65 3" xfId="46800" xr:uid="{00000000-0005-0000-0000-0000C7B60000}"/>
    <cellStyle name="Normal 3 66" xfId="46801" xr:uid="{00000000-0005-0000-0000-0000C8B60000}"/>
    <cellStyle name="Normal 3 66 2" xfId="46802" xr:uid="{00000000-0005-0000-0000-0000C9B60000}"/>
    <cellStyle name="Normal 3 66 3" xfId="46803" xr:uid="{00000000-0005-0000-0000-0000CAB60000}"/>
    <cellStyle name="Normal 3 67" xfId="46804" xr:uid="{00000000-0005-0000-0000-0000CBB60000}"/>
    <cellStyle name="Normal 3 67 2" xfId="46805" xr:uid="{00000000-0005-0000-0000-0000CCB60000}"/>
    <cellStyle name="Normal 3 67 3" xfId="46806" xr:uid="{00000000-0005-0000-0000-0000CDB60000}"/>
    <cellStyle name="Normal 3 68" xfId="46807" xr:uid="{00000000-0005-0000-0000-0000CEB60000}"/>
    <cellStyle name="Normal 3 68 2" xfId="46808" xr:uid="{00000000-0005-0000-0000-0000CFB60000}"/>
    <cellStyle name="Normal 3 68 3" xfId="46809" xr:uid="{00000000-0005-0000-0000-0000D0B60000}"/>
    <cellStyle name="Normal 3 69" xfId="46810" xr:uid="{00000000-0005-0000-0000-0000D1B60000}"/>
    <cellStyle name="Normal 3 69 2" xfId="46811" xr:uid="{00000000-0005-0000-0000-0000D2B60000}"/>
    <cellStyle name="Normal 3 69 3" xfId="46812" xr:uid="{00000000-0005-0000-0000-0000D3B60000}"/>
    <cellStyle name="Normal 3 7" xfId="46813" xr:uid="{00000000-0005-0000-0000-0000D4B60000}"/>
    <cellStyle name="Normal 3 7 10" xfId="46814" xr:uid="{00000000-0005-0000-0000-0000D5B60000}"/>
    <cellStyle name="Normal 3 7 11" xfId="46815" xr:uid="{00000000-0005-0000-0000-0000D6B60000}"/>
    <cellStyle name="Normal 3 7 11 10" xfId="46816" xr:uid="{00000000-0005-0000-0000-0000D7B60000}"/>
    <cellStyle name="Normal 3 7 11 10 2" xfId="46817" xr:uid="{00000000-0005-0000-0000-0000D8B60000}"/>
    <cellStyle name="Normal 3 7 11 10 3" xfId="46818" xr:uid="{00000000-0005-0000-0000-0000D9B60000}"/>
    <cellStyle name="Normal 3 7 11 11" xfId="46819" xr:uid="{00000000-0005-0000-0000-0000DAB60000}"/>
    <cellStyle name="Normal 3 7 11 11 2" xfId="46820" xr:uid="{00000000-0005-0000-0000-0000DBB60000}"/>
    <cellStyle name="Normal 3 7 11 11 3" xfId="46821" xr:uid="{00000000-0005-0000-0000-0000DCB60000}"/>
    <cellStyle name="Normal 3 7 11 12" xfId="46822" xr:uid="{00000000-0005-0000-0000-0000DDB60000}"/>
    <cellStyle name="Normal 3 7 11 12 2" xfId="46823" xr:uid="{00000000-0005-0000-0000-0000DEB60000}"/>
    <cellStyle name="Normal 3 7 11 12 3" xfId="46824" xr:uid="{00000000-0005-0000-0000-0000DFB60000}"/>
    <cellStyle name="Normal 3 7 11 13" xfId="46825" xr:uid="{00000000-0005-0000-0000-0000E0B60000}"/>
    <cellStyle name="Normal 3 7 11 13 2" xfId="46826" xr:uid="{00000000-0005-0000-0000-0000E1B60000}"/>
    <cellStyle name="Normal 3 7 11 13 3" xfId="46827" xr:uid="{00000000-0005-0000-0000-0000E2B60000}"/>
    <cellStyle name="Normal 3 7 11 14" xfId="46828" xr:uid="{00000000-0005-0000-0000-0000E3B60000}"/>
    <cellStyle name="Normal 3 7 11 14 2" xfId="46829" xr:uid="{00000000-0005-0000-0000-0000E4B60000}"/>
    <cellStyle name="Normal 3 7 11 14 3" xfId="46830" xr:uid="{00000000-0005-0000-0000-0000E5B60000}"/>
    <cellStyle name="Normal 3 7 11 15" xfId="46831" xr:uid="{00000000-0005-0000-0000-0000E6B60000}"/>
    <cellStyle name="Normal 3 7 11 15 2" xfId="46832" xr:uid="{00000000-0005-0000-0000-0000E7B60000}"/>
    <cellStyle name="Normal 3 7 11 15 3" xfId="46833" xr:uid="{00000000-0005-0000-0000-0000E8B60000}"/>
    <cellStyle name="Normal 3 7 11 16" xfId="46834" xr:uid="{00000000-0005-0000-0000-0000E9B60000}"/>
    <cellStyle name="Normal 3 7 11 16 2" xfId="46835" xr:uid="{00000000-0005-0000-0000-0000EAB60000}"/>
    <cellStyle name="Normal 3 7 11 16 3" xfId="46836" xr:uid="{00000000-0005-0000-0000-0000EBB60000}"/>
    <cellStyle name="Normal 3 7 11 17" xfId="46837" xr:uid="{00000000-0005-0000-0000-0000ECB60000}"/>
    <cellStyle name="Normal 3 7 11 17 2" xfId="46838" xr:uid="{00000000-0005-0000-0000-0000EDB60000}"/>
    <cellStyle name="Normal 3 7 11 17 3" xfId="46839" xr:uid="{00000000-0005-0000-0000-0000EEB60000}"/>
    <cellStyle name="Normal 3 7 11 18" xfId="46840" xr:uid="{00000000-0005-0000-0000-0000EFB60000}"/>
    <cellStyle name="Normal 3 7 11 19" xfId="46841" xr:uid="{00000000-0005-0000-0000-0000F0B60000}"/>
    <cellStyle name="Normal 3 7 11 2" xfId="46842" xr:uid="{00000000-0005-0000-0000-0000F1B60000}"/>
    <cellStyle name="Normal 3 7 11 3" xfId="46843" xr:uid="{00000000-0005-0000-0000-0000F2B60000}"/>
    <cellStyle name="Normal 3 7 11 4" xfId="46844" xr:uid="{00000000-0005-0000-0000-0000F3B60000}"/>
    <cellStyle name="Normal 3 7 11 5" xfId="46845" xr:uid="{00000000-0005-0000-0000-0000F4B60000}"/>
    <cellStyle name="Normal 3 7 11 5 2" xfId="46846" xr:uid="{00000000-0005-0000-0000-0000F5B60000}"/>
    <cellStyle name="Normal 3 7 11 5 3" xfId="46847" xr:uid="{00000000-0005-0000-0000-0000F6B60000}"/>
    <cellStyle name="Normal 3 7 11 6" xfId="46848" xr:uid="{00000000-0005-0000-0000-0000F7B60000}"/>
    <cellStyle name="Normal 3 7 11 6 2" xfId="46849" xr:uid="{00000000-0005-0000-0000-0000F8B60000}"/>
    <cellStyle name="Normal 3 7 11 6 3" xfId="46850" xr:uid="{00000000-0005-0000-0000-0000F9B60000}"/>
    <cellStyle name="Normal 3 7 11 7" xfId="46851" xr:uid="{00000000-0005-0000-0000-0000FAB60000}"/>
    <cellStyle name="Normal 3 7 11 7 2" xfId="46852" xr:uid="{00000000-0005-0000-0000-0000FBB60000}"/>
    <cellStyle name="Normal 3 7 11 7 3" xfId="46853" xr:uid="{00000000-0005-0000-0000-0000FCB60000}"/>
    <cellStyle name="Normal 3 7 11 8" xfId="46854" xr:uid="{00000000-0005-0000-0000-0000FDB60000}"/>
    <cellStyle name="Normal 3 7 11 8 2" xfId="46855" xr:uid="{00000000-0005-0000-0000-0000FEB60000}"/>
    <cellStyle name="Normal 3 7 11 8 3" xfId="46856" xr:uid="{00000000-0005-0000-0000-0000FFB60000}"/>
    <cellStyle name="Normal 3 7 11 9" xfId="46857" xr:uid="{00000000-0005-0000-0000-000000B70000}"/>
    <cellStyle name="Normal 3 7 11 9 2" xfId="46858" xr:uid="{00000000-0005-0000-0000-000001B70000}"/>
    <cellStyle name="Normal 3 7 11 9 3" xfId="46859" xr:uid="{00000000-0005-0000-0000-000002B70000}"/>
    <cellStyle name="Normal 3 7 12" xfId="46860" xr:uid="{00000000-0005-0000-0000-000003B70000}"/>
    <cellStyle name="Normal 3 7 13" xfId="46861" xr:uid="{00000000-0005-0000-0000-000004B70000}"/>
    <cellStyle name="Normal 3 7 14" xfId="46862" xr:uid="{00000000-0005-0000-0000-000005B70000}"/>
    <cellStyle name="Normal 3 7 14 10" xfId="46863" xr:uid="{00000000-0005-0000-0000-000006B70000}"/>
    <cellStyle name="Normal 3 7 14 10 2" xfId="46864" xr:uid="{00000000-0005-0000-0000-000007B70000}"/>
    <cellStyle name="Normal 3 7 14 10 3" xfId="46865" xr:uid="{00000000-0005-0000-0000-000008B70000}"/>
    <cellStyle name="Normal 3 7 14 11" xfId="46866" xr:uid="{00000000-0005-0000-0000-000009B70000}"/>
    <cellStyle name="Normal 3 7 14 11 2" xfId="46867" xr:uid="{00000000-0005-0000-0000-00000AB70000}"/>
    <cellStyle name="Normal 3 7 14 11 3" xfId="46868" xr:uid="{00000000-0005-0000-0000-00000BB70000}"/>
    <cellStyle name="Normal 3 7 14 12" xfId="46869" xr:uid="{00000000-0005-0000-0000-00000CB70000}"/>
    <cellStyle name="Normal 3 7 14 12 2" xfId="46870" xr:uid="{00000000-0005-0000-0000-00000DB70000}"/>
    <cellStyle name="Normal 3 7 14 12 3" xfId="46871" xr:uid="{00000000-0005-0000-0000-00000EB70000}"/>
    <cellStyle name="Normal 3 7 14 13" xfId="46872" xr:uid="{00000000-0005-0000-0000-00000FB70000}"/>
    <cellStyle name="Normal 3 7 14 13 2" xfId="46873" xr:uid="{00000000-0005-0000-0000-000010B70000}"/>
    <cellStyle name="Normal 3 7 14 13 3" xfId="46874" xr:uid="{00000000-0005-0000-0000-000011B70000}"/>
    <cellStyle name="Normal 3 7 14 14" xfId="46875" xr:uid="{00000000-0005-0000-0000-000012B70000}"/>
    <cellStyle name="Normal 3 7 14 14 2" xfId="46876" xr:uid="{00000000-0005-0000-0000-000013B70000}"/>
    <cellStyle name="Normal 3 7 14 14 3" xfId="46877" xr:uid="{00000000-0005-0000-0000-000014B70000}"/>
    <cellStyle name="Normal 3 7 14 15" xfId="46878" xr:uid="{00000000-0005-0000-0000-000015B70000}"/>
    <cellStyle name="Normal 3 7 14 15 2" xfId="46879" xr:uid="{00000000-0005-0000-0000-000016B70000}"/>
    <cellStyle name="Normal 3 7 14 15 3" xfId="46880" xr:uid="{00000000-0005-0000-0000-000017B70000}"/>
    <cellStyle name="Normal 3 7 14 16" xfId="46881" xr:uid="{00000000-0005-0000-0000-000018B70000}"/>
    <cellStyle name="Normal 3 7 14 17" xfId="46882" xr:uid="{00000000-0005-0000-0000-000019B70000}"/>
    <cellStyle name="Normal 3 7 14 2" xfId="46883" xr:uid="{00000000-0005-0000-0000-00001AB70000}"/>
    <cellStyle name="Normal 3 7 14 2 10" xfId="46884" xr:uid="{00000000-0005-0000-0000-00001BB70000}"/>
    <cellStyle name="Normal 3 7 14 2 10 2" xfId="46885" xr:uid="{00000000-0005-0000-0000-00001CB70000}"/>
    <cellStyle name="Normal 3 7 14 2 10 3" xfId="46886" xr:uid="{00000000-0005-0000-0000-00001DB70000}"/>
    <cellStyle name="Normal 3 7 14 2 11" xfId="46887" xr:uid="{00000000-0005-0000-0000-00001EB70000}"/>
    <cellStyle name="Normal 3 7 14 2 11 2" xfId="46888" xr:uid="{00000000-0005-0000-0000-00001FB70000}"/>
    <cellStyle name="Normal 3 7 14 2 11 3" xfId="46889" xr:uid="{00000000-0005-0000-0000-000020B70000}"/>
    <cellStyle name="Normal 3 7 14 2 12" xfId="46890" xr:uid="{00000000-0005-0000-0000-000021B70000}"/>
    <cellStyle name="Normal 3 7 14 2 12 2" xfId="46891" xr:uid="{00000000-0005-0000-0000-000022B70000}"/>
    <cellStyle name="Normal 3 7 14 2 12 3" xfId="46892" xr:uid="{00000000-0005-0000-0000-000023B70000}"/>
    <cellStyle name="Normal 3 7 14 2 13" xfId="46893" xr:uid="{00000000-0005-0000-0000-000024B70000}"/>
    <cellStyle name="Normal 3 7 14 2 13 2" xfId="46894" xr:uid="{00000000-0005-0000-0000-000025B70000}"/>
    <cellStyle name="Normal 3 7 14 2 13 3" xfId="46895" xr:uid="{00000000-0005-0000-0000-000026B70000}"/>
    <cellStyle name="Normal 3 7 14 2 14" xfId="46896" xr:uid="{00000000-0005-0000-0000-000027B70000}"/>
    <cellStyle name="Normal 3 7 14 2 14 2" xfId="46897" xr:uid="{00000000-0005-0000-0000-000028B70000}"/>
    <cellStyle name="Normal 3 7 14 2 14 3" xfId="46898" xr:uid="{00000000-0005-0000-0000-000029B70000}"/>
    <cellStyle name="Normal 3 7 14 2 15" xfId="46899" xr:uid="{00000000-0005-0000-0000-00002AB70000}"/>
    <cellStyle name="Normal 3 7 14 2 16" xfId="46900" xr:uid="{00000000-0005-0000-0000-00002BB70000}"/>
    <cellStyle name="Normal 3 7 14 2 2" xfId="46901" xr:uid="{00000000-0005-0000-0000-00002CB70000}"/>
    <cellStyle name="Normal 3 7 14 2 2 2" xfId="46902" xr:uid="{00000000-0005-0000-0000-00002DB70000}"/>
    <cellStyle name="Normal 3 7 14 2 2 3" xfId="46903" xr:uid="{00000000-0005-0000-0000-00002EB70000}"/>
    <cellStyle name="Normal 3 7 14 2 3" xfId="46904" xr:uid="{00000000-0005-0000-0000-00002FB70000}"/>
    <cellStyle name="Normal 3 7 14 2 3 2" xfId="46905" xr:uid="{00000000-0005-0000-0000-000030B70000}"/>
    <cellStyle name="Normal 3 7 14 2 3 3" xfId="46906" xr:uid="{00000000-0005-0000-0000-000031B70000}"/>
    <cellStyle name="Normal 3 7 14 2 4" xfId="46907" xr:uid="{00000000-0005-0000-0000-000032B70000}"/>
    <cellStyle name="Normal 3 7 14 2 4 2" xfId="46908" xr:uid="{00000000-0005-0000-0000-000033B70000}"/>
    <cellStyle name="Normal 3 7 14 2 4 3" xfId="46909" xr:uid="{00000000-0005-0000-0000-000034B70000}"/>
    <cellStyle name="Normal 3 7 14 2 5" xfId="46910" xr:uid="{00000000-0005-0000-0000-000035B70000}"/>
    <cellStyle name="Normal 3 7 14 2 5 2" xfId="46911" xr:uid="{00000000-0005-0000-0000-000036B70000}"/>
    <cellStyle name="Normal 3 7 14 2 5 3" xfId="46912" xr:uid="{00000000-0005-0000-0000-000037B70000}"/>
    <cellStyle name="Normal 3 7 14 2 6" xfId="46913" xr:uid="{00000000-0005-0000-0000-000038B70000}"/>
    <cellStyle name="Normal 3 7 14 2 6 2" xfId="46914" xr:uid="{00000000-0005-0000-0000-000039B70000}"/>
    <cellStyle name="Normal 3 7 14 2 6 3" xfId="46915" xr:uid="{00000000-0005-0000-0000-00003AB70000}"/>
    <cellStyle name="Normal 3 7 14 2 7" xfId="46916" xr:uid="{00000000-0005-0000-0000-00003BB70000}"/>
    <cellStyle name="Normal 3 7 14 2 7 2" xfId="46917" xr:uid="{00000000-0005-0000-0000-00003CB70000}"/>
    <cellStyle name="Normal 3 7 14 2 7 3" xfId="46918" xr:uid="{00000000-0005-0000-0000-00003DB70000}"/>
    <cellStyle name="Normal 3 7 14 2 8" xfId="46919" xr:uid="{00000000-0005-0000-0000-00003EB70000}"/>
    <cellStyle name="Normal 3 7 14 2 8 2" xfId="46920" xr:uid="{00000000-0005-0000-0000-00003FB70000}"/>
    <cellStyle name="Normal 3 7 14 2 8 3" xfId="46921" xr:uid="{00000000-0005-0000-0000-000040B70000}"/>
    <cellStyle name="Normal 3 7 14 2 9" xfId="46922" xr:uid="{00000000-0005-0000-0000-000041B70000}"/>
    <cellStyle name="Normal 3 7 14 2 9 2" xfId="46923" xr:uid="{00000000-0005-0000-0000-000042B70000}"/>
    <cellStyle name="Normal 3 7 14 2 9 3" xfId="46924" xr:uid="{00000000-0005-0000-0000-000043B70000}"/>
    <cellStyle name="Normal 3 7 14 3" xfId="46925" xr:uid="{00000000-0005-0000-0000-000044B70000}"/>
    <cellStyle name="Normal 3 7 14 3 2" xfId="46926" xr:uid="{00000000-0005-0000-0000-000045B70000}"/>
    <cellStyle name="Normal 3 7 14 3 3" xfId="46927" xr:uid="{00000000-0005-0000-0000-000046B70000}"/>
    <cellStyle name="Normal 3 7 14 4" xfId="46928" xr:uid="{00000000-0005-0000-0000-000047B70000}"/>
    <cellStyle name="Normal 3 7 14 4 2" xfId="46929" xr:uid="{00000000-0005-0000-0000-000048B70000}"/>
    <cellStyle name="Normal 3 7 14 4 3" xfId="46930" xr:uid="{00000000-0005-0000-0000-000049B70000}"/>
    <cellStyle name="Normal 3 7 14 5" xfId="46931" xr:uid="{00000000-0005-0000-0000-00004AB70000}"/>
    <cellStyle name="Normal 3 7 14 5 2" xfId="46932" xr:uid="{00000000-0005-0000-0000-00004BB70000}"/>
    <cellStyle name="Normal 3 7 14 5 3" xfId="46933" xr:uid="{00000000-0005-0000-0000-00004CB70000}"/>
    <cellStyle name="Normal 3 7 14 6" xfId="46934" xr:uid="{00000000-0005-0000-0000-00004DB70000}"/>
    <cellStyle name="Normal 3 7 14 6 2" xfId="46935" xr:uid="{00000000-0005-0000-0000-00004EB70000}"/>
    <cellStyle name="Normal 3 7 14 6 3" xfId="46936" xr:uid="{00000000-0005-0000-0000-00004FB70000}"/>
    <cellStyle name="Normal 3 7 14 7" xfId="46937" xr:uid="{00000000-0005-0000-0000-000050B70000}"/>
    <cellStyle name="Normal 3 7 14 7 2" xfId="46938" xr:uid="{00000000-0005-0000-0000-000051B70000}"/>
    <cellStyle name="Normal 3 7 14 7 3" xfId="46939" xr:uid="{00000000-0005-0000-0000-000052B70000}"/>
    <cellStyle name="Normal 3 7 14 8" xfId="46940" xr:uid="{00000000-0005-0000-0000-000053B70000}"/>
    <cellStyle name="Normal 3 7 14 8 2" xfId="46941" xr:uid="{00000000-0005-0000-0000-000054B70000}"/>
    <cellStyle name="Normal 3 7 14 8 3" xfId="46942" xr:uid="{00000000-0005-0000-0000-000055B70000}"/>
    <cellStyle name="Normal 3 7 14 9" xfId="46943" xr:uid="{00000000-0005-0000-0000-000056B70000}"/>
    <cellStyle name="Normal 3 7 14 9 2" xfId="46944" xr:uid="{00000000-0005-0000-0000-000057B70000}"/>
    <cellStyle name="Normal 3 7 14 9 3" xfId="46945" xr:uid="{00000000-0005-0000-0000-000058B70000}"/>
    <cellStyle name="Normal 3 7 15" xfId="46946" xr:uid="{00000000-0005-0000-0000-000059B70000}"/>
    <cellStyle name="Normal 3 7 15 10" xfId="46947" xr:uid="{00000000-0005-0000-0000-00005AB70000}"/>
    <cellStyle name="Normal 3 7 15 10 2" xfId="46948" xr:uid="{00000000-0005-0000-0000-00005BB70000}"/>
    <cellStyle name="Normal 3 7 15 10 3" xfId="46949" xr:uid="{00000000-0005-0000-0000-00005CB70000}"/>
    <cellStyle name="Normal 3 7 15 11" xfId="46950" xr:uid="{00000000-0005-0000-0000-00005DB70000}"/>
    <cellStyle name="Normal 3 7 15 11 2" xfId="46951" xr:uid="{00000000-0005-0000-0000-00005EB70000}"/>
    <cellStyle name="Normal 3 7 15 11 3" xfId="46952" xr:uid="{00000000-0005-0000-0000-00005FB70000}"/>
    <cellStyle name="Normal 3 7 15 12" xfId="46953" xr:uid="{00000000-0005-0000-0000-000060B70000}"/>
    <cellStyle name="Normal 3 7 15 12 2" xfId="46954" xr:uid="{00000000-0005-0000-0000-000061B70000}"/>
    <cellStyle name="Normal 3 7 15 12 3" xfId="46955" xr:uid="{00000000-0005-0000-0000-000062B70000}"/>
    <cellStyle name="Normal 3 7 15 13" xfId="46956" xr:uid="{00000000-0005-0000-0000-000063B70000}"/>
    <cellStyle name="Normal 3 7 15 13 2" xfId="46957" xr:uid="{00000000-0005-0000-0000-000064B70000}"/>
    <cellStyle name="Normal 3 7 15 13 3" xfId="46958" xr:uid="{00000000-0005-0000-0000-000065B70000}"/>
    <cellStyle name="Normal 3 7 15 14" xfId="46959" xr:uid="{00000000-0005-0000-0000-000066B70000}"/>
    <cellStyle name="Normal 3 7 15 14 2" xfId="46960" xr:uid="{00000000-0005-0000-0000-000067B70000}"/>
    <cellStyle name="Normal 3 7 15 14 3" xfId="46961" xr:uid="{00000000-0005-0000-0000-000068B70000}"/>
    <cellStyle name="Normal 3 7 15 15" xfId="46962" xr:uid="{00000000-0005-0000-0000-000069B70000}"/>
    <cellStyle name="Normal 3 7 15 15 2" xfId="46963" xr:uid="{00000000-0005-0000-0000-00006AB70000}"/>
    <cellStyle name="Normal 3 7 15 15 3" xfId="46964" xr:uid="{00000000-0005-0000-0000-00006BB70000}"/>
    <cellStyle name="Normal 3 7 15 16" xfId="46965" xr:uid="{00000000-0005-0000-0000-00006CB70000}"/>
    <cellStyle name="Normal 3 7 15 17" xfId="46966" xr:uid="{00000000-0005-0000-0000-00006DB70000}"/>
    <cellStyle name="Normal 3 7 15 2" xfId="46967" xr:uid="{00000000-0005-0000-0000-00006EB70000}"/>
    <cellStyle name="Normal 3 7 15 2 10" xfId="46968" xr:uid="{00000000-0005-0000-0000-00006FB70000}"/>
    <cellStyle name="Normal 3 7 15 2 10 2" xfId="46969" xr:uid="{00000000-0005-0000-0000-000070B70000}"/>
    <cellStyle name="Normal 3 7 15 2 10 3" xfId="46970" xr:uid="{00000000-0005-0000-0000-000071B70000}"/>
    <cellStyle name="Normal 3 7 15 2 11" xfId="46971" xr:uid="{00000000-0005-0000-0000-000072B70000}"/>
    <cellStyle name="Normal 3 7 15 2 11 2" xfId="46972" xr:uid="{00000000-0005-0000-0000-000073B70000}"/>
    <cellStyle name="Normal 3 7 15 2 11 3" xfId="46973" xr:uid="{00000000-0005-0000-0000-000074B70000}"/>
    <cellStyle name="Normal 3 7 15 2 12" xfId="46974" xr:uid="{00000000-0005-0000-0000-000075B70000}"/>
    <cellStyle name="Normal 3 7 15 2 12 2" xfId="46975" xr:uid="{00000000-0005-0000-0000-000076B70000}"/>
    <cellStyle name="Normal 3 7 15 2 12 3" xfId="46976" xr:uid="{00000000-0005-0000-0000-000077B70000}"/>
    <cellStyle name="Normal 3 7 15 2 13" xfId="46977" xr:uid="{00000000-0005-0000-0000-000078B70000}"/>
    <cellStyle name="Normal 3 7 15 2 13 2" xfId="46978" xr:uid="{00000000-0005-0000-0000-000079B70000}"/>
    <cellStyle name="Normal 3 7 15 2 13 3" xfId="46979" xr:uid="{00000000-0005-0000-0000-00007AB70000}"/>
    <cellStyle name="Normal 3 7 15 2 14" xfId="46980" xr:uid="{00000000-0005-0000-0000-00007BB70000}"/>
    <cellStyle name="Normal 3 7 15 2 14 2" xfId="46981" xr:uid="{00000000-0005-0000-0000-00007CB70000}"/>
    <cellStyle name="Normal 3 7 15 2 14 3" xfId="46982" xr:uid="{00000000-0005-0000-0000-00007DB70000}"/>
    <cellStyle name="Normal 3 7 15 2 15" xfId="46983" xr:uid="{00000000-0005-0000-0000-00007EB70000}"/>
    <cellStyle name="Normal 3 7 15 2 16" xfId="46984" xr:uid="{00000000-0005-0000-0000-00007FB70000}"/>
    <cellStyle name="Normal 3 7 15 2 2" xfId="46985" xr:uid="{00000000-0005-0000-0000-000080B70000}"/>
    <cellStyle name="Normal 3 7 15 2 2 2" xfId="46986" xr:uid="{00000000-0005-0000-0000-000081B70000}"/>
    <cellStyle name="Normal 3 7 15 2 2 3" xfId="46987" xr:uid="{00000000-0005-0000-0000-000082B70000}"/>
    <cellStyle name="Normal 3 7 15 2 3" xfId="46988" xr:uid="{00000000-0005-0000-0000-000083B70000}"/>
    <cellStyle name="Normal 3 7 15 2 3 2" xfId="46989" xr:uid="{00000000-0005-0000-0000-000084B70000}"/>
    <cellStyle name="Normal 3 7 15 2 3 3" xfId="46990" xr:uid="{00000000-0005-0000-0000-000085B70000}"/>
    <cellStyle name="Normal 3 7 15 2 4" xfId="46991" xr:uid="{00000000-0005-0000-0000-000086B70000}"/>
    <cellStyle name="Normal 3 7 15 2 4 2" xfId="46992" xr:uid="{00000000-0005-0000-0000-000087B70000}"/>
    <cellStyle name="Normal 3 7 15 2 4 3" xfId="46993" xr:uid="{00000000-0005-0000-0000-000088B70000}"/>
    <cellStyle name="Normal 3 7 15 2 5" xfId="46994" xr:uid="{00000000-0005-0000-0000-000089B70000}"/>
    <cellStyle name="Normal 3 7 15 2 5 2" xfId="46995" xr:uid="{00000000-0005-0000-0000-00008AB70000}"/>
    <cellStyle name="Normal 3 7 15 2 5 3" xfId="46996" xr:uid="{00000000-0005-0000-0000-00008BB70000}"/>
    <cellStyle name="Normal 3 7 15 2 6" xfId="46997" xr:uid="{00000000-0005-0000-0000-00008CB70000}"/>
    <cellStyle name="Normal 3 7 15 2 6 2" xfId="46998" xr:uid="{00000000-0005-0000-0000-00008DB70000}"/>
    <cellStyle name="Normal 3 7 15 2 6 3" xfId="46999" xr:uid="{00000000-0005-0000-0000-00008EB70000}"/>
    <cellStyle name="Normal 3 7 15 2 7" xfId="47000" xr:uid="{00000000-0005-0000-0000-00008FB70000}"/>
    <cellStyle name="Normal 3 7 15 2 7 2" xfId="47001" xr:uid="{00000000-0005-0000-0000-000090B70000}"/>
    <cellStyle name="Normal 3 7 15 2 7 3" xfId="47002" xr:uid="{00000000-0005-0000-0000-000091B70000}"/>
    <cellStyle name="Normal 3 7 15 2 8" xfId="47003" xr:uid="{00000000-0005-0000-0000-000092B70000}"/>
    <cellStyle name="Normal 3 7 15 2 8 2" xfId="47004" xr:uid="{00000000-0005-0000-0000-000093B70000}"/>
    <cellStyle name="Normal 3 7 15 2 8 3" xfId="47005" xr:uid="{00000000-0005-0000-0000-000094B70000}"/>
    <cellStyle name="Normal 3 7 15 2 9" xfId="47006" xr:uid="{00000000-0005-0000-0000-000095B70000}"/>
    <cellStyle name="Normal 3 7 15 2 9 2" xfId="47007" xr:uid="{00000000-0005-0000-0000-000096B70000}"/>
    <cellStyle name="Normal 3 7 15 2 9 3" xfId="47008" xr:uid="{00000000-0005-0000-0000-000097B70000}"/>
    <cellStyle name="Normal 3 7 15 3" xfId="47009" xr:uid="{00000000-0005-0000-0000-000098B70000}"/>
    <cellStyle name="Normal 3 7 15 3 2" xfId="47010" xr:uid="{00000000-0005-0000-0000-000099B70000}"/>
    <cellStyle name="Normal 3 7 15 3 3" xfId="47011" xr:uid="{00000000-0005-0000-0000-00009AB70000}"/>
    <cellStyle name="Normal 3 7 15 4" xfId="47012" xr:uid="{00000000-0005-0000-0000-00009BB70000}"/>
    <cellStyle name="Normal 3 7 15 4 2" xfId="47013" xr:uid="{00000000-0005-0000-0000-00009CB70000}"/>
    <cellStyle name="Normal 3 7 15 4 3" xfId="47014" xr:uid="{00000000-0005-0000-0000-00009DB70000}"/>
    <cellStyle name="Normal 3 7 15 5" xfId="47015" xr:uid="{00000000-0005-0000-0000-00009EB70000}"/>
    <cellStyle name="Normal 3 7 15 5 2" xfId="47016" xr:uid="{00000000-0005-0000-0000-00009FB70000}"/>
    <cellStyle name="Normal 3 7 15 5 3" xfId="47017" xr:uid="{00000000-0005-0000-0000-0000A0B70000}"/>
    <cellStyle name="Normal 3 7 15 6" xfId="47018" xr:uid="{00000000-0005-0000-0000-0000A1B70000}"/>
    <cellStyle name="Normal 3 7 15 6 2" xfId="47019" xr:uid="{00000000-0005-0000-0000-0000A2B70000}"/>
    <cellStyle name="Normal 3 7 15 6 3" xfId="47020" xr:uid="{00000000-0005-0000-0000-0000A3B70000}"/>
    <cellStyle name="Normal 3 7 15 7" xfId="47021" xr:uid="{00000000-0005-0000-0000-0000A4B70000}"/>
    <cellStyle name="Normal 3 7 15 7 2" xfId="47022" xr:uid="{00000000-0005-0000-0000-0000A5B70000}"/>
    <cellStyle name="Normal 3 7 15 7 3" xfId="47023" xr:uid="{00000000-0005-0000-0000-0000A6B70000}"/>
    <cellStyle name="Normal 3 7 15 8" xfId="47024" xr:uid="{00000000-0005-0000-0000-0000A7B70000}"/>
    <cellStyle name="Normal 3 7 15 8 2" xfId="47025" xr:uid="{00000000-0005-0000-0000-0000A8B70000}"/>
    <cellStyle name="Normal 3 7 15 8 3" xfId="47026" xr:uid="{00000000-0005-0000-0000-0000A9B70000}"/>
    <cellStyle name="Normal 3 7 15 9" xfId="47027" xr:uid="{00000000-0005-0000-0000-0000AAB70000}"/>
    <cellStyle name="Normal 3 7 15 9 2" xfId="47028" xr:uid="{00000000-0005-0000-0000-0000ABB70000}"/>
    <cellStyle name="Normal 3 7 15 9 3" xfId="47029" xr:uid="{00000000-0005-0000-0000-0000ACB70000}"/>
    <cellStyle name="Normal 3 7 16" xfId="47030" xr:uid="{00000000-0005-0000-0000-0000ADB70000}"/>
    <cellStyle name="Normal 3 7 16 10" xfId="47031" xr:uid="{00000000-0005-0000-0000-0000AEB70000}"/>
    <cellStyle name="Normal 3 7 16 10 2" xfId="47032" xr:uid="{00000000-0005-0000-0000-0000AFB70000}"/>
    <cellStyle name="Normal 3 7 16 10 3" xfId="47033" xr:uid="{00000000-0005-0000-0000-0000B0B70000}"/>
    <cellStyle name="Normal 3 7 16 11" xfId="47034" xr:uid="{00000000-0005-0000-0000-0000B1B70000}"/>
    <cellStyle name="Normal 3 7 16 11 2" xfId="47035" xr:uid="{00000000-0005-0000-0000-0000B2B70000}"/>
    <cellStyle name="Normal 3 7 16 11 3" xfId="47036" xr:uid="{00000000-0005-0000-0000-0000B3B70000}"/>
    <cellStyle name="Normal 3 7 16 12" xfId="47037" xr:uid="{00000000-0005-0000-0000-0000B4B70000}"/>
    <cellStyle name="Normal 3 7 16 12 2" xfId="47038" xr:uid="{00000000-0005-0000-0000-0000B5B70000}"/>
    <cellStyle name="Normal 3 7 16 12 3" xfId="47039" xr:uid="{00000000-0005-0000-0000-0000B6B70000}"/>
    <cellStyle name="Normal 3 7 16 13" xfId="47040" xr:uid="{00000000-0005-0000-0000-0000B7B70000}"/>
    <cellStyle name="Normal 3 7 16 13 2" xfId="47041" xr:uid="{00000000-0005-0000-0000-0000B8B70000}"/>
    <cellStyle name="Normal 3 7 16 13 3" xfId="47042" xr:uid="{00000000-0005-0000-0000-0000B9B70000}"/>
    <cellStyle name="Normal 3 7 16 14" xfId="47043" xr:uid="{00000000-0005-0000-0000-0000BAB70000}"/>
    <cellStyle name="Normal 3 7 16 14 2" xfId="47044" xr:uid="{00000000-0005-0000-0000-0000BBB70000}"/>
    <cellStyle name="Normal 3 7 16 14 3" xfId="47045" xr:uid="{00000000-0005-0000-0000-0000BCB70000}"/>
    <cellStyle name="Normal 3 7 16 15" xfId="47046" xr:uid="{00000000-0005-0000-0000-0000BDB70000}"/>
    <cellStyle name="Normal 3 7 16 15 2" xfId="47047" xr:uid="{00000000-0005-0000-0000-0000BEB70000}"/>
    <cellStyle name="Normal 3 7 16 15 3" xfId="47048" xr:uid="{00000000-0005-0000-0000-0000BFB70000}"/>
    <cellStyle name="Normal 3 7 16 16" xfId="47049" xr:uid="{00000000-0005-0000-0000-0000C0B70000}"/>
    <cellStyle name="Normal 3 7 16 17" xfId="47050" xr:uid="{00000000-0005-0000-0000-0000C1B70000}"/>
    <cellStyle name="Normal 3 7 16 2" xfId="47051" xr:uid="{00000000-0005-0000-0000-0000C2B70000}"/>
    <cellStyle name="Normal 3 7 16 2 10" xfId="47052" xr:uid="{00000000-0005-0000-0000-0000C3B70000}"/>
    <cellStyle name="Normal 3 7 16 2 10 2" xfId="47053" xr:uid="{00000000-0005-0000-0000-0000C4B70000}"/>
    <cellStyle name="Normal 3 7 16 2 10 3" xfId="47054" xr:uid="{00000000-0005-0000-0000-0000C5B70000}"/>
    <cellStyle name="Normal 3 7 16 2 11" xfId="47055" xr:uid="{00000000-0005-0000-0000-0000C6B70000}"/>
    <cellStyle name="Normal 3 7 16 2 11 2" xfId="47056" xr:uid="{00000000-0005-0000-0000-0000C7B70000}"/>
    <cellStyle name="Normal 3 7 16 2 11 3" xfId="47057" xr:uid="{00000000-0005-0000-0000-0000C8B70000}"/>
    <cellStyle name="Normal 3 7 16 2 12" xfId="47058" xr:uid="{00000000-0005-0000-0000-0000C9B70000}"/>
    <cellStyle name="Normal 3 7 16 2 12 2" xfId="47059" xr:uid="{00000000-0005-0000-0000-0000CAB70000}"/>
    <cellStyle name="Normal 3 7 16 2 12 3" xfId="47060" xr:uid="{00000000-0005-0000-0000-0000CBB70000}"/>
    <cellStyle name="Normal 3 7 16 2 13" xfId="47061" xr:uid="{00000000-0005-0000-0000-0000CCB70000}"/>
    <cellStyle name="Normal 3 7 16 2 13 2" xfId="47062" xr:uid="{00000000-0005-0000-0000-0000CDB70000}"/>
    <cellStyle name="Normal 3 7 16 2 13 3" xfId="47063" xr:uid="{00000000-0005-0000-0000-0000CEB70000}"/>
    <cellStyle name="Normal 3 7 16 2 14" xfId="47064" xr:uid="{00000000-0005-0000-0000-0000CFB70000}"/>
    <cellStyle name="Normal 3 7 16 2 14 2" xfId="47065" xr:uid="{00000000-0005-0000-0000-0000D0B70000}"/>
    <cellStyle name="Normal 3 7 16 2 14 3" xfId="47066" xr:uid="{00000000-0005-0000-0000-0000D1B70000}"/>
    <cellStyle name="Normal 3 7 16 2 15" xfId="47067" xr:uid="{00000000-0005-0000-0000-0000D2B70000}"/>
    <cellStyle name="Normal 3 7 16 2 16" xfId="47068" xr:uid="{00000000-0005-0000-0000-0000D3B70000}"/>
    <cellStyle name="Normal 3 7 16 2 2" xfId="47069" xr:uid="{00000000-0005-0000-0000-0000D4B70000}"/>
    <cellStyle name="Normal 3 7 16 2 2 2" xfId="47070" xr:uid="{00000000-0005-0000-0000-0000D5B70000}"/>
    <cellStyle name="Normal 3 7 16 2 2 3" xfId="47071" xr:uid="{00000000-0005-0000-0000-0000D6B70000}"/>
    <cellStyle name="Normal 3 7 16 2 3" xfId="47072" xr:uid="{00000000-0005-0000-0000-0000D7B70000}"/>
    <cellStyle name="Normal 3 7 16 2 3 2" xfId="47073" xr:uid="{00000000-0005-0000-0000-0000D8B70000}"/>
    <cellStyle name="Normal 3 7 16 2 3 3" xfId="47074" xr:uid="{00000000-0005-0000-0000-0000D9B70000}"/>
    <cellStyle name="Normal 3 7 16 2 4" xfId="47075" xr:uid="{00000000-0005-0000-0000-0000DAB70000}"/>
    <cellStyle name="Normal 3 7 16 2 4 2" xfId="47076" xr:uid="{00000000-0005-0000-0000-0000DBB70000}"/>
    <cellStyle name="Normal 3 7 16 2 4 3" xfId="47077" xr:uid="{00000000-0005-0000-0000-0000DCB70000}"/>
    <cellStyle name="Normal 3 7 16 2 5" xfId="47078" xr:uid="{00000000-0005-0000-0000-0000DDB70000}"/>
    <cellStyle name="Normal 3 7 16 2 5 2" xfId="47079" xr:uid="{00000000-0005-0000-0000-0000DEB70000}"/>
    <cellStyle name="Normal 3 7 16 2 5 3" xfId="47080" xr:uid="{00000000-0005-0000-0000-0000DFB70000}"/>
    <cellStyle name="Normal 3 7 16 2 6" xfId="47081" xr:uid="{00000000-0005-0000-0000-0000E0B70000}"/>
    <cellStyle name="Normal 3 7 16 2 6 2" xfId="47082" xr:uid="{00000000-0005-0000-0000-0000E1B70000}"/>
    <cellStyle name="Normal 3 7 16 2 6 3" xfId="47083" xr:uid="{00000000-0005-0000-0000-0000E2B70000}"/>
    <cellStyle name="Normal 3 7 16 2 7" xfId="47084" xr:uid="{00000000-0005-0000-0000-0000E3B70000}"/>
    <cellStyle name="Normal 3 7 16 2 7 2" xfId="47085" xr:uid="{00000000-0005-0000-0000-0000E4B70000}"/>
    <cellStyle name="Normal 3 7 16 2 7 3" xfId="47086" xr:uid="{00000000-0005-0000-0000-0000E5B70000}"/>
    <cellStyle name="Normal 3 7 16 2 8" xfId="47087" xr:uid="{00000000-0005-0000-0000-0000E6B70000}"/>
    <cellStyle name="Normal 3 7 16 2 8 2" xfId="47088" xr:uid="{00000000-0005-0000-0000-0000E7B70000}"/>
    <cellStyle name="Normal 3 7 16 2 8 3" xfId="47089" xr:uid="{00000000-0005-0000-0000-0000E8B70000}"/>
    <cellStyle name="Normal 3 7 16 2 9" xfId="47090" xr:uid="{00000000-0005-0000-0000-0000E9B70000}"/>
    <cellStyle name="Normal 3 7 16 2 9 2" xfId="47091" xr:uid="{00000000-0005-0000-0000-0000EAB70000}"/>
    <cellStyle name="Normal 3 7 16 2 9 3" xfId="47092" xr:uid="{00000000-0005-0000-0000-0000EBB70000}"/>
    <cellStyle name="Normal 3 7 16 3" xfId="47093" xr:uid="{00000000-0005-0000-0000-0000ECB70000}"/>
    <cellStyle name="Normal 3 7 16 3 2" xfId="47094" xr:uid="{00000000-0005-0000-0000-0000EDB70000}"/>
    <cellStyle name="Normal 3 7 16 3 3" xfId="47095" xr:uid="{00000000-0005-0000-0000-0000EEB70000}"/>
    <cellStyle name="Normal 3 7 16 4" xfId="47096" xr:uid="{00000000-0005-0000-0000-0000EFB70000}"/>
    <cellStyle name="Normal 3 7 16 4 2" xfId="47097" xr:uid="{00000000-0005-0000-0000-0000F0B70000}"/>
    <cellStyle name="Normal 3 7 16 4 3" xfId="47098" xr:uid="{00000000-0005-0000-0000-0000F1B70000}"/>
    <cellStyle name="Normal 3 7 16 5" xfId="47099" xr:uid="{00000000-0005-0000-0000-0000F2B70000}"/>
    <cellStyle name="Normal 3 7 16 5 2" xfId="47100" xr:uid="{00000000-0005-0000-0000-0000F3B70000}"/>
    <cellStyle name="Normal 3 7 16 5 3" xfId="47101" xr:uid="{00000000-0005-0000-0000-0000F4B70000}"/>
    <cellStyle name="Normal 3 7 16 6" xfId="47102" xr:uid="{00000000-0005-0000-0000-0000F5B70000}"/>
    <cellStyle name="Normal 3 7 16 6 2" xfId="47103" xr:uid="{00000000-0005-0000-0000-0000F6B70000}"/>
    <cellStyle name="Normal 3 7 16 6 3" xfId="47104" xr:uid="{00000000-0005-0000-0000-0000F7B70000}"/>
    <cellStyle name="Normal 3 7 16 7" xfId="47105" xr:uid="{00000000-0005-0000-0000-0000F8B70000}"/>
    <cellStyle name="Normal 3 7 16 7 2" xfId="47106" xr:uid="{00000000-0005-0000-0000-0000F9B70000}"/>
    <cellStyle name="Normal 3 7 16 7 3" xfId="47107" xr:uid="{00000000-0005-0000-0000-0000FAB70000}"/>
    <cellStyle name="Normal 3 7 16 8" xfId="47108" xr:uid="{00000000-0005-0000-0000-0000FBB70000}"/>
    <cellStyle name="Normal 3 7 16 8 2" xfId="47109" xr:uid="{00000000-0005-0000-0000-0000FCB70000}"/>
    <cellStyle name="Normal 3 7 16 8 3" xfId="47110" xr:uid="{00000000-0005-0000-0000-0000FDB70000}"/>
    <cellStyle name="Normal 3 7 16 9" xfId="47111" xr:uid="{00000000-0005-0000-0000-0000FEB70000}"/>
    <cellStyle name="Normal 3 7 16 9 2" xfId="47112" xr:uid="{00000000-0005-0000-0000-0000FFB70000}"/>
    <cellStyle name="Normal 3 7 16 9 3" xfId="47113" xr:uid="{00000000-0005-0000-0000-000000B80000}"/>
    <cellStyle name="Normal 3 7 17" xfId="47114" xr:uid="{00000000-0005-0000-0000-000001B80000}"/>
    <cellStyle name="Normal 3 7 17 10" xfId="47115" xr:uid="{00000000-0005-0000-0000-000002B80000}"/>
    <cellStyle name="Normal 3 7 17 10 2" xfId="47116" xr:uid="{00000000-0005-0000-0000-000003B80000}"/>
    <cellStyle name="Normal 3 7 17 10 3" xfId="47117" xr:uid="{00000000-0005-0000-0000-000004B80000}"/>
    <cellStyle name="Normal 3 7 17 11" xfId="47118" xr:uid="{00000000-0005-0000-0000-000005B80000}"/>
    <cellStyle name="Normal 3 7 17 11 2" xfId="47119" xr:uid="{00000000-0005-0000-0000-000006B80000}"/>
    <cellStyle name="Normal 3 7 17 11 3" xfId="47120" xr:uid="{00000000-0005-0000-0000-000007B80000}"/>
    <cellStyle name="Normal 3 7 17 12" xfId="47121" xr:uid="{00000000-0005-0000-0000-000008B80000}"/>
    <cellStyle name="Normal 3 7 17 12 2" xfId="47122" xr:uid="{00000000-0005-0000-0000-000009B80000}"/>
    <cellStyle name="Normal 3 7 17 12 3" xfId="47123" xr:uid="{00000000-0005-0000-0000-00000AB80000}"/>
    <cellStyle name="Normal 3 7 17 13" xfId="47124" xr:uid="{00000000-0005-0000-0000-00000BB80000}"/>
    <cellStyle name="Normal 3 7 17 13 2" xfId="47125" xr:uid="{00000000-0005-0000-0000-00000CB80000}"/>
    <cellStyle name="Normal 3 7 17 13 3" xfId="47126" xr:uid="{00000000-0005-0000-0000-00000DB80000}"/>
    <cellStyle name="Normal 3 7 17 14" xfId="47127" xr:uid="{00000000-0005-0000-0000-00000EB80000}"/>
    <cellStyle name="Normal 3 7 17 14 2" xfId="47128" xr:uid="{00000000-0005-0000-0000-00000FB80000}"/>
    <cellStyle name="Normal 3 7 17 14 3" xfId="47129" xr:uid="{00000000-0005-0000-0000-000010B80000}"/>
    <cellStyle name="Normal 3 7 17 15" xfId="47130" xr:uid="{00000000-0005-0000-0000-000011B80000}"/>
    <cellStyle name="Normal 3 7 17 16" xfId="47131" xr:uid="{00000000-0005-0000-0000-000012B80000}"/>
    <cellStyle name="Normal 3 7 17 2" xfId="47132" xr:uid="{00000000-0005-0000-0000-000013B80000}"/>
    <cellStyle name="Normal 3 7 17 2 2" xfId="47133" xr:uid="{00000000-0005-0000-0000-000014B80000}"/>
    <cellStyle name="Normal 3 7 17 2 3" xfId="47134" xr:uid="{00000000-0005-0000-0000-000015B80000}"/>
    <cellStyle name="Normal 3 7 17 3" xfId="47135" xr:uid="{00000000-0005-0000-0000-000016B80000}"/>
    <cellStyle name="Normal 3 7 17 3 2" xfId="47136" xr:uid="{00000000-0005-0000-0000-000017B80000}"/>
    <cellStyle name="Normal 3 7 17 3 3" xfId="47137" xr:uid="{00000000-0005-0000-0000-000018B80000}"/>
    <cellStyle name="Normal 3 7 17 4" xfId="47138" xr:uid="{00000000-0005-0000-0000-000019B80000}"/>
    <cellStyle name="Normal 3 7 17 4 2" xfId="47139" xr:uid="{00000000-0005-0000-0000-00001AB80000}"/>
    <cellStyle name="Normal 3 7 17 4 3" xfId="47140" xr:uid="{00000000-0005-0000-0000-00001BB80000}"/>
    <cellStyle name="Normal 3 7 17 5" xfId="47141" xr:uid="{00000000-0005-0000-0000-00001CB80000}"/>
    <cellStyle name="Normal 3 7 17 5 2" xfId="47142" xr:uid="{00000000-0005-0000-0000-00001DB80000}"/>
    <cellStyle name="Normal 3 7 17 5 3" xfId="47143" xr:uid="{00000000-0005-0000-0000-00001EB80000}"/>
    <cellStyle name="Normal 3 7 17 6" xfId="47144" xr:uid="{00000000-0005-0000-0000-00001FB80000}"/>
    <cellStyle name="Normal 3 7 17 6 2" xfId="47145" xr:uid="{00000000-0005-0000-0000-000020B80000}"/>
    <cellStyle name="Normal 3 7 17 6 3" xfId="47146" xr:uid="{00000000-0005-0000-0000-000021B80000}"/>
    <cellStyle name="Normal 3 7 17 7" xfId="47147" xr:uid="{00000000-0005-0000-0000-000022B80000}"/>
    <cellStyle name="Normal 3 7 17 7 2" xfId="47148" xr:uid="{00000000-0005-0000-0000-000023B80000}"/>
    <cellStyle name="Normal 3 7 17 7 3" xfId="47149" xr:uid="{00000000-0005-0000-0000-000024B80000}"/>
    <cellStyle name="Normal 3 7 17 8" xfId="47150" xr:uid="{00000000-0005-0000-0000-000025B80000}"/>
    <cellStyle name="Normal 3 7 17 8 2" xfId="47151" xr:uid="{00000000-0005-0000-0000-000026B80000}"/>
    <cellStyle name="Normal 3 7 17 8 3" xfId="47152" xr:uid="{00000000-0005-0000-0000-000027B80000}"/>
    <cellStyle name="Normal 3 7 17 9" xfId="47153" xr:uid="{00000000-0005-0000-0000-000028B80000}"/>
    <cellStyle name="Normal 3 7 17 9 2" xfId="47154" xr:uid="{00000000-0005-0000-0000-000029B80000}"/>
    <cellStyle name="Normal 3 7 17 9 3" xfId="47155" xr:uid="{00000000-0005-0000-0000-00002AB80000}"/>
    <cellStyle name="Normal 3 7 18" xfId="47156" xr:uid="{00000000-0005-0000-0000-00002BB80000}"/>
    <cellStyle name="Normal 3 7 18 10" xfId="47157" xr:uid="{00000000-0005-0000-0000-00002CB80000}"/>
    <cellStyle name="Normal 3 7 18 10 2" xfId="47158" xr:uid="{00000000-0005-0000-0000-00002DB80000}"/>
    <cellStyle name="Normal 3 7 18 10 3" xfId="47159" xr:uid="{00000000-0005-0000-0000-00002EB80000}"/>
    <cellStyle name="Normal 3 7 18 11" xfId="47160" xr:uid="{00000000-0005-0000-0000-00002FB80000}"/>
    <cellStyle name="Normal 3 7 18 11 2" xfId="47161" xr:uid="{00000000-0005-0000-0000-000030B80000}"/>
    <cellStyle name="Normal 3 7 18 11 3" xfId="47162" xr:uid="{00000000-0005-0000-0000-000031B80000}"/>
    <cellStyle name="Normal 3 7 18 12" xfId="47163" xr:uid="{00000000-0005-0000-0000-000032B80000}"/>
    <cellStyle name="Normal 3 7 18 12 2" xfId="47164" xr:uid="{00000000-0005-0000-0000-000033B80000}"/>
    <cellStyle name="Normal 3 7 18 12 3" xfId="47165" xr:uid="{00000000-0005-0000-0000-000034B80000}"/>
    <cellStyle name="Normal 3 7 18 13" xfId="47166" xr:uid="{00000000-0005-0000-0000-000035B80000}"/>
    <cellStyle name="Normal 3 7 18 13 2" xfId="47167" xr:uid="{00000000-0005-0000-0000-000036B80000}"/>
    <cellStyle name="Normal 3 7 18 13 3" xfId="47168" xr:uid="{00000000-0005-0000-0000-000037B80000}"/>
    <cellStyle name="Normal 3 7 18 14" xfId="47169" xr:uid="{00000000-0005-0000-0000-000038B80000}"/>
    <cellStyle name="Normal 3 7 18 14 2" xfId="47170" xr:uid="{00000000-0005-0000-0000-000039B80000}"/>
    <cellStyle name="Normal 3 7 18 14 3" xfId="47171" xr:uid="{00000000-0005-0000-0000-00003AB80000}"/>
    <cellStyle name="Normal 3 7 18 15" xfId="47172" xr:uid="{00000000-0005-0000-0000-00003BB80000}"/>
    <cellStyle name="Normal 3 7 18 16" xfId="47173" xr:uid="{00000000-0005-0000-0000-00003CB80000}"/>
    <cellStyle name="Normal 3 7 18 2" xfId="47174" xr:uid="{00000000-0005-0000-0000-00003DB80000}"/>
    <cellStyle name="Normal 3 7 18 2 2" xfId="47175" xr:uid="{00000000-0005-0000-0000-00003EB80000}"/>
    <cellStyle name="Normal 3 7 18 2 3" xfId="47176" xr:uid="{00000000-0005-0000-0000-00003FB80000}"/>
    <cellStyle name="Normal 3 7 18 3" xfId="47177" xr:uid="{00000000-0005-0000-0000-000040B80000}"/>
    <cellStyle name="Normal 3 7 18 3 2" xfId="47178" xr:uid="{00000000-0005-0000-0000-000041B80000}"/>
    <cellStyle name="Normal 3 7 18 3 3" xfId="47179" xr:uid="{00000000-0005-0000-0000-000042B80000}"/>
    <cellStyle name="Normal 3 7 18 4" xfId="47180" xr:uid="{00000000-0005-0000-0000-000043B80000}"/>
    <cellStyle name="Normal 3 7 18 4 2" xfId="47181" xr:uid="{00000000-0005-0000-0000-000044B80000}"/>
    <cellStyle name="Normal 3 7 18 4 3" xfId="47182" xr:uid="{00000000-0005-0000-0000-000045B80000}"/>
    <cellStyle name="Normal 3 7 18 5" xfId="47183" xr:uid="{00000000-0005-0000-0000-000046B80000}"/>
    <cellStyle name="Normal 3 7 18 5 2" xfId="47184" xr:uid="{00000000-0005-0000-0000-000047B80000}"/>
    <cellStyle name="Normal 3 7 18 5 3" xfId="47185" xr:uid="{00000000-0005-0000-0000-000048B80000}"/>
    <cellStyle name="Normal 3 7 18 6" xfId="47186" xr:uid="{00000000-0005-0000-0000-000049B80000}"/>
    <cellStyle name="Normal 3 7 18 6 2" xfId="47187" xr:uid="{00000000-0005-0000-0000-00004AB80000}"/>
    <cellStyle name="Normal 3 7 18 6 3" xfId="47188" xr:uid="{00000000-0005-0000-0000-00004BB80000}"/>
    <cellStyle name="Normal 3 7 18 7" xfId="47189" xr:uid="{00000000-0005-0000-0000-00004CB80000}"/>
    <cellStyle name="Normal 3 7 18 7 2" xfId="47190" xr:uid="{00000000-0005-0000-0000-00004DB80000}"/>
    <cellStyle name="Normal 3 7 18 7 3" xfId="47191" xr:uid="{00000000-0005-0000-0000-00004EB80000}"/>
    <cellStyle name="Normal 3 7 18 8" xfId="47192" xr:uid="{00000000-0005-0000-0000-00004FB80000}"/>
    <cellStyle name="Normal 3 7 18 8 2" xfId="47193" xr:uid="{00000000-0005-0000-0000-000050B80000}"/>
    <cellStyle name="Normal 3 7 18 8 3" xfId="47194" xr:uid="{00000000-0005-0000-0000-000051B80000}"/>
    <cellStyle name="Normal 3 7 18 9" xfId="47195" xr:uid="{00000000-0005-0000-0000-000052B80000}"/>
    <cellStyle name="Normal 3 7 18 9 2" xfId="47196" xr:uid="{00000000-0005-0000-0000-000053B80000}"/>
    <cellStyle name="Normal 3 7 18 9 3" xfId="47197" xr:uid="{00000000-0005-0000-0000-000054B80000}"/>
    <cellStyle name="Normal 3 7 19" xfId="47198" xr:uid="{00000000-0005-0000-0000-000055B80000}"/>
    <cellStyle name="Normal 3 7 19 10" xfId="47199" xr:uid="{00000000-0005-0000-0000-000056B80000}"/>
    <cellStyle name="Normal 3 7 19 10 2" xfId="47200" xr:uid="{00000000-0005-0000-0000-000057B80000}"/>
    <cellStyle name="Normal 3 7 19 10 3" xfId="47201" xr:uid="{00000000-0005-0000-0000-000058B80000}"/>
    <cellStyle name="Normal 3 7 19 11" xfId="47202" xr:uid="{00000000-0005-0000-0000-000059B80000}"/>
    <cellStyle name="Normal 3 7 19 11 2" xfId="47203" xr:uid="{00000000-0005-0000-0000-00005AB80000}"/>
    <cellStyle name="Normal 3 7 19 11 3" xfId="47204" xr:uid="{00000000-0005-0000-0000-00005BB80000}"/>
    <cellStyle name="Normal 3 7 19 12" xfId="47205" xr:uid="{00000000-0005-0000-0000-00005CB80000}"/>
    <cellStyle name="Normal 3 7 19 12 2" xfId="47206" xr:uid="{00000000-0005-0000-0000-00005DB80000}"/>
    <cellStyle name="Normal 3 7 19 12 3" xfId="47207" xr:uid="{00000000-0005-0000-0000-00005EB80000}"/>
    <cellStyle name="Normal 3 7 19 13" xfId="47208" xr:uid="{00000000-0005-0000-0000-00005FB80000}"/>
    <cellStyle name="Normal 3 7 19 13 2" xfId="47209" xr:uid="{00000000-0005-0000-0000-000060B80000}"/>
    <cellStyle name="Normal 3 7 19 13 3" xfId="47210" xr:uid="{00000000-0005-0000-0000-000061B80000}"/>
    <cellStyle name="Normal 3 7 19 14" xfId="47211" xr:uid="{00000000-0005-0000-0000-000062B80000}"/>
    <cellStyle name="Normal 3 7 19 14 2" xfId="47212" xr:uid="{00000000-0005-0000-0000-000063B80000}"/>
    <cellStyle name="Normal 3 7 19 14 3" xfId="47213" xr:uid="{00000000-0005-0000-0000-000064B80000}"/>
    <cellStyle name="Normal 3 7 19 15" xfId="47214" xr:uid="{00000000-0005-0000-0000-000065B80000}"/>
    <cellStyle name="Normal 3 7 19 16" xfId="47215" xr:uid="{00000000-0005-0000-0000-000066B80000}"/>
    <cellStyle name="Normal 3 7 19 2" xfId="47216" xr:uid="{00000000-0005-0000-0000-000067B80000}"/>
    <cellStyle name="Normal 3 7 19 2 2" xfId="47217" xr:uid="{00000000-0005-0000-0000-000068B80000}"/>
    <cellStyle name="Normal 3 7 19 2 3" xfId="47218" xr:uid="{00000000-0005-0000-0000-000069B80000}"/>
    <cellStyle name="Normal 3 7 19 3" xfId="47219" xr:uid="{00000000-0005-0000-0000-00006AB80000}"/>
    <cellStyle name="Normal 3 7 19 3 2" xfId="47220" xr:uid="{00000000-0005-0000-0000-00006BB80000}"/>
    <cellStyle name="Normal 3 7 19 3 3" xfId="47221" xr:uid="{00000000-0005-0000-0000-00006CB80000}"/>
    <cellStyle name="Normal 3 7 19 4" xfId="47222" xr:uid="{00000000-0005-0000-0000-00006DB80000}"/>
    <cellStyle name="Normal 3 7 19 4 2" xfId="47223" xr:uid="{00000000-0005-0000-0000-00006EB80000}"/>
    <cellStyle name="Normal 3 7 19 4 3" xfId="47224" xr:uid="{00000000-0005-0000-0000-00006FB80000}"/>
    <cellStyle name="Normal 3 7 19 5" xfId="47225" xr:uid="{00000000-0005-0000-0000-000070B80000}"/>
    <cellStyle name="Normal 3 7 19 5 2" xfId="47226" xr:uid="{00000000-0005-0000-0000-000071B80000}"/>
    <cellStyle name="Normal 3 7 19 5 3" xfId="47227" xr:uid="{00000000-0005-0000-0000-000072B80000}"/>
    <cellStyle name="Normal 3 7 19 6" xfId="47228" xr:uid="{00000000-0005-0000-0000-000073B80000}"/>
    <cellStyle name="Normal 3 7 19 6 2" xfId="47229" xr:uid="{00000000-0005-0000-0000-000074B80000}"/>
    <cellStyle name="Normal 3 7 19 6 3" xfId="47230" xr:uid="{00000000-0005-0000-0000-000075B80000}"/>
    <cellStyle name="Normal 3 7 19 7" xfId="47231" xr:uid="{00000000-0005-0000-0000-000076B80000}"/>
    <cellStyle name="Normal 3 7 19 7 2" xfId="47232" xr:uid="{00000000-0005-0000-0000-000077B80000}"/>
    <cellStyle name="Normal 3 7 19 7 3" xfId="47233" xr:uid="{00000000-0005-0000-0000-000078B80000}"/>
    <cellStyle name="Normal 3 7 19 8" xfId="47234" xr:uid="{00000000-0005-0000-0000-000079B80000}"/>
    <cellStyle name="Normal 3 7 19 8 2" xfId="47235" xr:uid="{00000000-0005-0000-0000-00007AB80000}"/>
    <cellStyle name="Normal 3 7 19 8 3" xfId="47236" xr:uid="{00000000-0005-0000-0000-00007BB80000}"/>
    <cellStyle name="Normal 3 7 19 9" xfId="47237" xr:uid="{00000000-0005-0000-0000-00007CB80000}"/>
    <cellStyle name="Normal 3 7 19 9 2" xfId="47238" xr:uid="{00000000-0005-0000-0000-00007DB80000}"/>
    <cellStyle name="Normal 3 7 19 9 3" xfId="47239" xr:uid="{00000000-0005-0000-0000-00007EB80000}"/>
    <cellStyle name="Normal 3 7 2" xfId="47240" xr:uid="{00000000-0005-0000-0000-00007FB80000}"/>
    <cellStyle name="Normal 3 7 20" xfId="47241" xr:uid="{00000000-0005-0000-0000-000080B80000}"/>
    <cellStyle name="Normal 3 7 20 10" xfId="47242" xr:uid="{00000000-0005-0000-0000-000081B80000}"/>
    <cellStyle name="Normal 3 7 20 10 2" xfId="47243" xr:uid="{00000000-0005-0000-0000-000082B80000}"/>
    <cellStyle name="Normal 3 7 20 10 3" xfId="47244" xr:uid="{00000000-0005-0000-0000-000083B80000}"/>
    <cellStyle name="Normal 3 7 20 11" xfId="47245" xr:uid="{00000000-0005-0000-0000-000084B80000}"/>
    <cellStyle name="Normal 3 7 20 11 2" xfId="47246" xr:uid="{00000000-0005-0000-0000-000085B80000}"/>
    <cellStyle name="Normal 3 7 20 11 3" xfId="47247" xr:uid="{00000000-0005-0000-0000-000086B80000}"/>
    <cellStyle name="Normal 3 7 20 12" xfId="47248" xr:uid="{00000000-0005-0000-0000-000087B80000}"/>
    <cellStyle name="Normal 3 7 20 12 2" xfId="47249" xr:uid="{00000000-0005-0000-0000-000088B80000}"/>
    <cellStyle name="Normal 3 7 20 12 3" xfId="47250" xr:uid="{00000000-0005-0000-0000-000089B80000}"/>
    <cellStyle name="Normal 3 7 20 13" xfId="47251" xr:uid="{00000000-0005-0000-0000-00008AB80000}"/>
    <cellStyle name="Normal 3 7 20 13 2" xfId="47252" xr:uid="{00000000-0005-0000-0000-00008BB80000}"/>
    <cellStyle name="Normal 3 7 20 13 3" xfId="47253" xr:uid="{00000000-0005-0000-0000-00008CB80000}"/>
    <cellStyle name="Normal 3 7 20 14" xfId="47254" xr:uid="{00000000-0005-0000-0000-00008DB80000}"/>
    <cellStyle name="Normal 3 7 20 14 2" xfId="47255" xr:uid="{00000000-0005-0000-0000-00008EB80000}"/>
    <cellStyle name="Normal 3 7 20 14 3" xfId="47256" xr:uid="{00000000-0005-0000-0000-00008FB80000}"/>
    <cellStyle name="Normal 3 7 20 15" xfId="47257" xr:uid="{00000000-0005-0000-0000-000090B80000}"/>
    <cellStyle name="Normal 3 7 20 16" xfId="47258" xr:uid="{00000000-0005-0000-0000-000091B80000}"/>
    <cellStyle name="Normal 3 7 20 2" xfId="47259" xr:uid="{00000000-0005-0000-0000-000092B80000}"/>
    <cellStyle name="Normal 3 7 20 2 2" xfId="47260" xr:uid="{00000000-0005-0000-0000-000093B80000}"/>
    <cellStyle name="Normal 3 7 20 2 3" xfId="47261" xr:uid="{00000000-0005-0000-0000-000094B80000}"/>
    <cellStyle name="Normal 3 7 20 3" xfId="47262" xr:uid="{00000000-0005-0000-0000-000095B80000}"/>
    <cellStyle name="Normal 3 7 20 3 2" xfId="47263" xr:uid="{00000000-0005-0000-0000-000096B80000}"/>
    <cellStyle name="Normal 3 7 20 3 3" xfId="47264" xr:uid="{00000000-0005-0000-0000-000097B80000}"/>
    <cellStyle name="Normal 3 7 20 4" xfId="47265" xr:uid="{00000000-0005-0000-0000-000098B80000}"/>
    <cellStyle name="Normal 3 7 20 4 2" xfId="47266" xr:uid="{00000000-0005-0000-0000-000099B80000}"/>
    <cellStyle name="Normal 3 7 20 4 3" xfId="47267" xr:uid="{00000000-0005-0000-0000-00009AB80000}"/>
    <cellStyle name="Normal 3 7 20 5" xfId="47268" xr:uid="{00000000-0005-0000-0000-00009BB80000}"/>
    <cellStyle name="Normal 3 7 20 5 2" xfId="47269" xr:uid="{00000000-0005-0000-0000-00009CB80000}"/>
    <cellStyle name="Normal 3 7 20 5 3" xfId="47270" xr:uid="{00000000-0005-0000-0000-00009DB80000}"/>
    <cellStyle name="Normal 3 7 20 6" xfId="47271" xr:uid="{00000000-0005-0000-0000-00009EB80000}"/>
    <cellStyle name="Normal 3 7 20 6 2" xfId="47272" xr:uid="{00000000-0005-0000-0000-00009FB80000}"/>
    <cellStyle name="Normal 3 7 20 6 3" xfId="47273" xr:uid="{00000000-0005-0000-0000-0000A0B80000}"/>
    <cellStyle name="Normal 3 7 20 7" xfId="47274" xr:uid="{00000000-0005-0000-0000-0000A1B80000}"/>
    <cellStyle name="Normal 3 7 20 7 2" xfId="47275" xr:uid="{00000000-0005-0000-0000-0000A2B80000}"/>
    <cellStyle name="Normal 3 7 20 7 3" xfId="47276" xr:uid="{00000000-0005-0000-0000-0000A3B80000}"/>
    <cellStyle name="Normal 3 7 20 8" xfId="47277" xr:uid="{00000000-0005-0000-0000-0000A4B80000}"/>
    <cellStyle name="Normal 3 7 20 8 2" xfId="47278" xr:uid="{00000000-0005-0000-0000-0000A5B80000}"/>
    <cellStyle name="Normal 3 7 20 8 3" xfId="47279" xr:uid="{00000000-0005-0000-0000-0000A6B80000}"/>
    <cellStyle name="Normal 3 7 20 9" xfId="47280" xr:uid="{00000000-0005-0000-0000-0000A7B80000}"/>
    <cellStyle name="Normal 3 7 20 9 2" xfId="47281" xr:uid="{00000000-0005-0000-0000-0000A8B80000}"/>
    <cellStyle name="Normal 3 7 20 9 3" xfId="47282" xr:uid="{00000000-0005-0000-0000-0000A9B80000}"/>
    <cellStyle name="Normal 3 7 21" xfId="47283" xr:uid="{00000000-0005-0000-0000-0000AAB80000}"/>
    <cellStyle name="Normal 3 7 21 10" xfId="47284" xr:uid="{00000000-0005-0000-0000-0000ABB80000}"/>
    <cellStyle name="Normal 3 7 21 10 2" xfId="47285" xr:uid="{00000000-0005-0000-0000-0000ACB80000}"/>
    <cellStyle name="Normal 3 7 21 10 3" xfId="47286" xr:uid="{00000000-0005-0000-0000-0000ADB80000}"/>
    <cellStyle name="Normal 3 7 21 11" xfId="47287" xr:uid="{00000000-0005-0000-0000-0000AEB80000}"/>
    <cellStyle name="Normal 3 7 21 11 2" xfId="47288" xr:uid="{00000000-0005-0000-0000-0000AFB80000}"/>
    <cellStyle name="Normal 3 7 21 11 3" xfId="47289" xr:uid="{00000000-0005-0000-0000-0000B0B80000}"/>
    <cellStyle name="Normal 3 7 21 12" xfId="47290" xr:uid="{00000000-0005-0000-0000-0000B1B80000}"/>
    <cellStyle name="Normal 3 7 21 12 2" xfId="47291" xr:uid="{00000000-0005-0000-0000-0000B2B80000}"/>
    <cellStyle name="Normal 3 7 21 12 3" xfId="47292" xr:uid="{00000000-0005-0000-0000-0000B3B80000}"/>
    <cellStyle name="Normal 3 7 21 13" xfId="47293" xr:uid="{00000000-0005-0000-0000-0000B4B80000}"/>
    <cellStyle name="Normal 3 7 21 13 2" xfId="47294" xr:uid="{00000000-0005-0000-0000-0000B5B80000}"/>
    <cellStyle name="Normal 3 7 21 13 3" xfId="47295" xr:uid="{00000000-0005-0000-0000-0000B6B80000}"/>
    <cellStyle name="Normal 3 7 21 14" xfId="47296" xr:uid="{00000000-0005-0000-0000-0000B7B80000}"/>
    <cellStyle name="Normal 3 7 21 14 2" xfId="47297" xr:uid="{00000000-0005-0000-0000-0000B8B80000}"/>
    <cellStyle name="Normal 3 7 21 14 3" xfId="47298" xr:uid="{00000000-0005-0000-0000-0000B9B80000}"/>
    <cellStyle name="Normal 3 7 21 15" xfId="47299" xr:uid="{00000000-0005-0000-0000-0000BAB80000}"/>
    <cellStyle name="Normal 3 7 21 16" xfId="47300" xr:uid="{00000000-0005-0000-0000-0000BBB80000}"/>
    <cellStyle name="Normal 3 7 21 2" xfId="47301" xr:uid="{00000000-0005-0000-0000-0000BCB80000}"/>
    <cellStyle name="Normal 3 7 21 2 2" xfId="47302" xr:uid="{00000000-0005-0000-0000-0000BDB80000}"/>
    <cellStyle name="Normal 3 7 21 2 3" xfId="47303" xr:uid="{00000000-0005-0000-0000-0000BEB80000}"/>
    <cellStyle name="Normal 3 7 21 3" xfId="47304" xr:uid="{00000000-0005-0000-0000-0000BFB80000}"/>
    <cellStyle name="Normal 3 7 21 3 2" xfId="47305" xr:uid="{00000000-0005-0000-0000-0000C0B80000}"/>
    <cellStyle name="Normal 3 7 21 3 3" xfId="47306" xr:uid="{00000000-0005-0000-0000-0000C1B80000}"/>
    <cellStyle name="Normal 3 7 21 4" xfId="47307" xr:uid="{00000000-0005-0000-0000-0000C2B80000}"/>
    <cellStyle name="Normal 3 7 21 4 2" xfId="47308" xr:uid="{00000000-0005-0000-0000-0000C3B80000}"/>
    <cellStyle name="Normal 3 7 21 4 3" xfId="47309" xr:uid="{00000000-0005-0000-0000-0000C4B80000}"/>
    <cellStyle name="Normal 3 7 21 5" xfId="47310" xr:uid="{00000000-0005-0000-0000-0000C5B80000}"/>
    <cellStyle name="Normal 3 7 21 5 2" xfId="47311" xr:uid="{00000000-0005-0000-0000-0000C6B80000}"/>
    <cellStyle name="Normal 3 7 21 5 3" xfId="47312" xr:uid="{00000000-0005-0000-0000-0000C7B80000}"/>
    <cellStyle name="Normal 3 7 21 6" xfId="47313" xr:uid="{00000000-0005-0000-0000-0000C8B80000}"/>
    <cellStyle name="Normal 3 7 21 6 2" xfId="47314" xr:uid="{00000000-0005-0000-0000-0000C9B80000}"/>
    <cellStyle name="Normal 3 7 21 6 3" xfId="47315" xr:uid="{00000000-0005-0000-0000-0000CAB80000}"/>
    <cellStyle name="Normal 3 7 21 7" xfId="47316" xr:uid="{00000000-0005-0000-0000-0000CBB80000}"/>
    <cellStyle name="Normal 3 7 21 7 2" xfId="47317" xr:uid="{00000000-0005-0000-0000-0000CCB80000}"/>
    <cellStyle name="Normal 3 7 21 7 3" xfId="47318" xr:uid="{00000000-0005-0000-0000-0000CDB80000}"/>
    <cellStyle name="Normal 3 7 21 8" xfId="47319" xr:uid="{00000000-0005-0000-0000-0000CEB80000}"/>
    <cellStyle name="Normal 3 7 21 8 2" xfId="47320" xr:uid="{00000000-0005-0000-0000-0000CFB80000}"/>
    <cellStyle name="Normal 3 7 21 8 3" xfId="47321" xr:uid="{00000000-0005-0000-0000-0000D0B80000}"/>
    <cellStyle name="Normal 3 7 21 9" xfId="47322" xr:uid="{00000000-0005-0000-0000-0000D1B80000}"/>
    <cellStyle name="Normal 3 7 21 9 2" xfId="47323" xr:uid="{00000000-0005-0000-0000-0000D2B80000}"/>
    <cellStyle name="Normal 3 7 21 9 3" xfId="47324" xr:uid="{00000000-0005-0000-0000-0000D3B80000}"/>
    <cellStyle name="Normal 3 7 22" xfId="47325" xr:uid="{00000000-0005-0000-0000-0000D4B80000}"/>
    <cellStyle name="Normal 3 7 22 10" xfId="47326" xr:uid="{00000000-0005-0000-0000-0000D5B80000}"/>
    <cellStyle name="Normal 3 7 22 10 2" xfId="47327" xr:uid="{00000000-0005-0000-0000-0000D6B80000}"/>
    <cellStyle name="Normal 3 7 22 10 3" xfId="47328" xr:uid="{00000000-0005-0000-0000-0000D7B80000}"/>
    <cellStyle name="Normal 3 7 22 11" xfId="47329" xr:uid="{00000000-0005-0000-0000-0000D8B80000}"/>
    <cellStyle name="Normal 3 7 22 11 2" xfId="47330" xr:uid="{00000000-0005-0000-0000-0000D9B80000}"/>
    <cellStyle name="Normal 3 7 22 11 3" xfId="47331" xr:uid="{00000000-0005-0000-0000-0000DAB80000}"/>
    <cellStyle name="Normal 3 7 22 12" xfId="47332" xr:uid="{00000000-0005-0000-0000-0000DBB80000}"/>
    <cellStyle name="Normal 3 7 22 12 2" xfId="47333" xr:uid="{00000000-0005-0000-0000-0000DCB80000}"/>
    <cellStyle name="Normal 3 7 22 12 3" xfId="47334" xr:uid="{00000000-0005-0000-0000-0000DDB80000}"/>
    <cellStyle name="Normal 3 7 22 13" xfId="47335" xr:uid="{00000000-0005-0000-0000-0000DEB80000}"/>
    <cellStyle name="Normal 3 7 22 13 2" xfId="47336" xr:uid="{00000000-0005-0000-0000-0000DFB80000}"/>
    <cellStyle name="Normal 3 7 22 13 3" xfId="47337" xr:uid="{00000000-0005-0000-0000-0000E0B80000}"/>
    <cellStyle name="Normal 3 7 22 14" xfId="47338" xr:uid="{00000000-0005-0000-0000-0000E1B80000}"/>
    <cellStyle name="Normal 3 7 22 14 2" xfId="47339" xr:uid="{00000000-0005-0000-0000-0000E2B80000}"/>
    <cellStyle name="Normal 3 7 22 14 3" xfId="47340" xr:uid="{00000000-0005-0000-0000-0000E3B80000}"/>
    <cellStyle name="Normal 3 7 22 15" xfId="47341" xr:uid="{00000000-0005-0000-0000-0000E4B80000}"/>
    <cellStyle name="Normal 3 7 22 16" xfId="47342" xr:uid="{00000000-0005-0000-0000-0000E5B80000}"/>
    <cellStyle name="Normal 3 7 22 2" xfId="47343" xr:uid="{00000000-0005-0000-0000-0000E6B80000}"/>
    <cellStyle name="Normal 3 7 22 2 2" xfId="47344" xr:uid="{00000000-0005-0000-0000-0000E7B80000}"/>
    <cellStyle name="Normal 3 7 22 2 3" xfId="47345" xr:uid="{00000000-0005-0000-0000-0000E8B80000}"/>
    <cellStyle name="Normal 3 7 22 3" xfId="47346" xr:uid="{00000000-0005-0000-0000-0000E9B80000}"/>
    <cellStyle name="Normal 3 7 22 3 2" xfId="47347" xr:uid="{00000000-0005-0000-0000-0000EAB80000}"/>
    <cellStyle name="Normal 3 7 22 3 3" xfId="47348" xr:uid="{00000000-0005-0000-0000-0000EBB80000}"/>
    <cellStyle name="Normal 3 7 22 4" xfId="47349" xr:uid="{00000000-0005-0000-0000-0000ECB80000}"/>
    <cellStyle name="Normal 3 7 22 4 2" xfId="47350" xr:uid="{00000000-0005-0000-0000-0000EDB80000}"/>
    <cellStyle name="Normal 3 7 22 4 3" xfId="47351" xr:uid="{00000000-0005-0000-0000-0000EEB80000}"/>
    <cellStyle name="Normal 3 7 22 5" xfId="47352" xr:uid="{00000000-0005-0000-0000-0000EFB80000}"/>
    <cellStyle name="Normal 3 7 22 5 2" xfId="47353" xr:uid="{00000000-0005-0000-0000-0000F0B80000}"/>
    <cellStyle name="Normal 3 7 22 5 3" xfId="47354" xr:uid="{00000000-0005-0000-0000-0000F1B80000}"/>
    <cellStyle name="Normal 3 7 22 6" xfId="47355" xr:uid="{00000000-0005-0000-0000-0000F2B80000}"/>
    <cellStyle name="Normal 3 7 22 6 2" xfId="47356" xr:uid="{00000000-0005-0000-0000-0000F3B80000}"/>
    <cellStyle name="Normal 3 7 22 6 3" xfId="47357" xr:uid="{00000000-0005-0000-0000-0000F4B80000}"/>
    <cellStyle name="Normal 3 7 22 7" xfId="47358" xr:uid="{00000000-0005-0000-0000-0000F5B80000}"/>
    <cellStyle name="Normal 3 7 22 7 2" xfId="47359" xr:uid="{00000000-0005-0000-0000-0000F6B80000}"/>
    <cellStyle name="Normal 3 7 22 7 3" xfId="47360" xr:uid="{00000000-0005-0000-0000-0000F7B80000}"/>
    <cellStyle name="Normal 3 7 22 8" xfId="47361" xr:uid="{00000000-0005-0000-0000-0000F8B80000}"/>
    <cellStyle name="Normal 3 7 22 8 2" xfId="47362" xr:uid="{00000000-0005-0000-0000-0000F9B80000}"/>
    <cellStyle name="Normal 3 7 22 8 3" xfId="47363" xr:uid="{00000000-0005-0000-0000-0000FAB80000}"/>
    <cellStyle name="Normal 3 7 22 9" xfId="47364" xr:uid="{00000000-0005-0000-0000-0000FBB80000}"/>
    <cellStyle name="Normal 3 7 22 9 2" xfId="47365" xr:uid="{00000000-0005-0000-0000-0000FCB80000}"/>
    <cellStyle name="Normal 3 7 22 9 3" xfId="47366" xr:uid="{00000000-0005-0000-0000-0000FDB80000}"/>
    <cellStyle name="Normal 3 7 23" xfId="47367" xr:uid="{00000000-0005-0000-0000-0000FEB80000}"/>
    <cellStyle name="Normal 3 7 24" xfId="47368" xr:uid="{00000000-0005-0000-0000-0000FFB80000}"/>
    <cellStyle name="Normal 3 7 25" xfId="47369" xr:uid="{00000000-0005-0000-0000-000000B90000}"/>
    <cellStyle name="Normal 3 7 25 10" xfId="47370" xr:uid="{00000000-0005-0000-0000-000001B90000}"/>
    <cellStyle name="Normal 3 7 25 10 2" xfId="47371" xr:uid="{00000000-0005-0000-0000-000002B90000}"/>
    <cellStyle name="Normal 3 7 25 10 3" xfId="47372" xr:uid="{00000000-0005-0000-0000-000003B90000}"/>
    <cellStyle name="Normal 3 7 25 11" xfId="47373" xr:uid="{00000000-0005-0000-0000-000004B90000}"/>
    <cellStyle name="Normal 3 7 25 11 2" xfId="47374" xr:uid="{00000000-0005-0000-0000-000005B90000}"/>
    <cellStyle name="Normal 3 7 25 11 3" xfId="47375" xr:uid="{00000000-0005-0000-0000-000006B90000}"/>
    <cellStyle name="Normal 3 7 25 12" xfId="47376" xr:uid="{00000000-0005-0000-0000-000007B90000}"/>
    <cellStyle name="Normal 3 7 25 12 2" xfId="47377" xr:uid="{00000000-0005-0000-0000-000008B90000}"/>
    <cellStyle name="Normal 3 7 25 12 3" xfId="47378" xr:uid="{00000000-0005-0000-0000-000009B90000}"/>
    <cellStyle name="Normal 3 7 25 13" xfId="47379" xr:uid="{00000000-0005-0000-0000-00000AB90000}"/>
    <cellStyle name="Normal 3 7 25 13 2" xfId="47380" xr:uid="{00000000-0005-0000-0000-00000BB90000}"/>
    <cellStyle name="Normal 3 7 25 13 3" xfId="47381" xr:uid="{00000000-0005-0000-0000-00000CB90000}"/>
    <cellStyle name="Normal 3 7 25 14" xfId="47382" xr:uid="{00000000-0005-0000-0000-00000DB90000}"/>
    <cellStyle name="Normal 3 7 25 14 2" xfId="47383" xr:uid="{00000000-0005-0000-0000-00000EB90000}"/>
    <cellStyle name="Normal 3 7 25 14 3" xfId="47384" xr:uid="{00000000-0005-0000-0000-00000FB90000}"/>
    <cellStyle name="Normal 3 7 25 15" xfId="47385" xr:uid="{00000000-0005-0000-0000-000010B90000}"/>
    <cellStyle name="Normal 3 7 25 16" xfId="47386" xr:uid="{00000000-0005-0000-0000-000011B90000}"/>
    <cellStyle name="Normal 3 7 25 2" xfId="47387" xr:uid="{00000000-0005-0000-0000-000012B90000}"/>
    <cellStyle name="Normal 3 7 25 2 2" xfId="47388" xr:uid="{00000000-0005-0000-0000-000013B90000}"/>
    <cellStyle name="Normal 3 7 25 2 3" xfId="47389" xr:uid="{00000000-0005-0000-0000-000014B90000}"/>
    <cellStyle name="Normal 3 7 25 3" xfId="47390" xr:uid="{00000000-0005-0000-0000-000015B90000}"/>
    <cellStyle name="Normal 3 7 25 3 2" xfId="47391" xr:uid="{00000000-0005-0000-0000-000016B90000}"/>
    <cellStyle name="Normal 3 7 25 3 3" xfId="47392" xr:uid="{00000000-0005-0000-0000-000017B90000}"/>
    <cellStyle name="Normal 3 7 25 4" xfId="47393" xr:uid="{00000000-0005-0000-0000-000018B90000}"/>
    <cellStyle name="Normal 3 7 25 4 2" xfId="47394" xr:uid="{00000000-0005-0000-0000-000019B90000}"/>
    <cellStyle name="Normal 3 7 25 4 3" xfId="47395" xr:uid="{00000000-0005-0000-0000-00001AB90000}"/>
    <cellStyle name="Normal 3 7 25 5" xfId="47396" xr:uid="{00000000-0005-0000-0000-00001BB90000}"/>
    <cellStyle name="Normal 3 7 25 5 2" xfId="47397" xr:uid="{00000000-0005-0000-0000-00001CB90000}"/>
    <cellStyle name="Normal 3 7 25 5 3" xfId="47398" xr:uid="{00000000-0005-0000-0000-00001DB90000}"/>
    <cellStyle name="Normal 3 7 25 6" xfId="47399" xr:uid="{00000000-0005-0000-0000-00001EB90000}"/>
    <cellStyle name="Normal 3 7 25 6 2" xfId="47400" xr:uid="{00000000-0005-0000-0000-00001FB90000}"/>
    <cellStyle name="Normal 3 7 25 6 3" xfId="47401" xr:uid="{00000000-0005-0000-0000-000020B90000}"/>
    <cellStyle name="Normal 3 7 25 7" xfId="47402" xr:uid="{00000000-0005-0000-0000-000021B90000}"/>
    <cellStyle name="Normal 3 7 25 7 2" xfId="47403" xr:uid="{00000000-0005-0000-0000-000022B90000}"/>
    <cellStyle name="Normal 3 7 25 7 3" xfId="47404" xr:uid="{00000000-0005-0000-0000-000023B90000}"/>
    <cellStyle name="Normal 3 7 25 8" xfId="47405" xr:uid="{00000000-0005-0000-0000-000024B90000}"/>
    <cellStyle name="Normal 3 7 25 8 2" xfId="47406" xr:uid="{00000000-0005-0000-0000-000025B90000}"/>
    <cellStyle name="Normal 3 7 25 8 3" xfId="47407" xr:uid="{00000000-0005-0000-0000-000026B90000}"/>
    <cellStyle name="Normal 3 7 25 9" xfId="47408" xr:uid="{00000000-0005-0000-0000-000027B90000}"/>
    <cellStyle name="Normal 3 7 25 9 2" xfId="47409" xr:uid="{00000000-0005-0000-0000-000028B90000}"/>
    <cellStyle name="Normal 3 7 25 9 3" xfId="47410" xr:uid="{00000000-0005-0000-0000-000029B90000}"/>
    <cellStyle name="Normal 3 7 26" xfId="47411" xr:uid="{00000000-0005-0000-0000-00002AB90000}"/>
    <cellStyle name="Normal 3 7 26 10" xfId="47412" xr:uid="{00000000-0005-0000-0000-00002BB90000}"/>
    <cellStyle name="Normal 3 7 26 10 2" xfId="47413" xr:uid="{00000000-0005-0000-0000-00002CB90000}"/>
    <cellStyle name="Normal 3 7 26 10 3" xfId="47414" xr:uid="{00000000-0005-0000-0000-00002DB90000}"/>
    <cellStyle name="Normal 3 7 26 11" xfId="47415" xr:uid="{00000000-0005-0000-0000-00002EB90000}"/>
    <cellStyle name="Normal 3 7 26 11 2" xfId="47416" xr:uid="{00000000-0005-0000-0000-00002FB90000}"/>
    <cellStyle name="Normal 3 7 26 11 3" xfId="47417" xr:uid="{00000000-0005-0000-0000-000030B90000}"/>
    <cellStyle name="Normal 3 7 26 12" xfId="47418" xr:uid="{00000000-0005-0000-0000-000031B90000}"/>
    <cellStyle name="Normal 3 7 26 12 2" xfId="47419" xr:uid="{00000000-0005-0000-0000-000032B90000}"/>
    <cellStyle name="Normal 3 7 26 12 3" xfId="47420" xr:uid="{00000000-0005-0000-0000-000033B90000}"/>
    <cellStyle name="Normal 3 7 26 13" xfId="47421" xr:uid="{00000000-0005-0000-0000-000034B90000}"/>
    <cellStyle name="Normal 3 7 26 13 2" xfId="47422" xr:uid="{00000000-0005-0000-0000-000035B90000}"/>
    <cellStyle name="Normal 3 7 26 13 3" xfId="47423" xr:uid="{00000000-0005-0000-0000-000036B90000}"/>
    <cellStyle name="Normal 3 7 26 14" xfId="47424" xr:uid="{00000000-0005-0000-0000-000037B90000}"/>
    <cellStyle name="Normal 3 7 26 14 2" xfId="47425" xr:uid="{00000000-0005-0000-0000-000038B90000}"/>
    <cellStyle name="Normal 3 7 26 14 3" xfId="47426" xr:uid="{00000000-0005-0000-0000-000039B90000}"/>
    <cellStyle name="Normal 3 7 26 15" xfId="47427" xr:uid="{00000000-0005-0000-0000-00003AB90000}"/>
    <cellStyle name="Normal 3 7 26 16" xfId="47428" xr:uid="{00000000-0005-0000-0000-00003BB90000}"/>
    <cellStyle name="Normal 3 7 26 2" xfId="47429" xr:uid="{00000000-0005-0000-0000-00003CB90000}"/>
    <cellStyle name="Normal 3 7 26 2 2" xfId="47430" xr:uid="{00000000-0005-0000-0000-00003DB90000}"/>
    <cellStyle name="Normal 3 7 26 2 3" xfId="47431" xr:uid="{00000000-0005-0000-0000-00003EB90000}"/>
    <cellStyle name="Normal 3 7 26 3" xfId="47432" xr:uid="{00000000-0005-0000-0000-00003FB90000}"/>
    <cellStyle name="Normal 3 7 26 3 2" xfId="47433" xr:uid="{00000000-0005-0000-0000-000040B90000}"/>
    <cellStyle name="Normal 3 7 26 3 3" xfId="47434" xr:uid="{00000000-0005-0000-0000-000041B90000}"/>
    <cellStyle name="Normal 3 7 26 4" xfId="47435" xr:uid="{00000000-0005-0000-0000-000042B90000}"/>
    <cellStyle name="Normal 3 7 26 4 2" xfId="47436" xr:uid="{00000000-0005-0000-0000-000043B90000}"/>
    <cellStyle name="Normal 3 7 26 4 3" xfId="47437" xr:uid="{00000000-0005-0000-0000-000044B90000}"/>
    <cellStyle name="Normal 3 7 26 5" xfId="47438" xr:uid="{00000000-0005-0000-0000-000045B90000}"/>
    <cellStyle name="Normal 3 7 26 5 2" xfId="47439" xr:uid="{00000000-0005-0000-0000-000046B90000}"/>
    <cellStyle name="Normal 3 7 26 5 3" xfId="47440" xr:uid="{00000000-0005-0000-0000-000047B90000}"/>
    <cellStyle name="Normal 3 7 26 6" xfId="47441" xr:uid="{00000000-0005-0000-0000-000048B90000}"/>
    <cellStyle name="Normal 3 7 26 6 2" xfId="47442" xr:uid="{00000000-0005-0000-0000-000049B90000}"/>
    <cellStyle name="Normal 3 7 26 6 3" xfId="47443" xr:uid="{00000000-0005-0000-0000-00004AB90000}"/>
    <cellStyle name="Normal 3 7 26 7" xfId="47444" xr:uid="{00000000-0005-0000-0000-00004BB90000}"/>
    <cellStyle name="Normal 3 7 26 7 2" xfId="47445" xr:uid="{00000000-0005-0000-0000-00004CB90000}"/>
    <cellStyle name="Normal 3 7 26 7 3" xfId="47446" xr:uid="{00000000-0005-0000-0000-00004DB90000}"/>
    <cellStyle name="Normal 3 7 26 8" xfId="47447" xr:uid="{00000000-0005-0000-0000-00004EB90000}"/>
    <cellStyle name="Normal 3 7 26 8 2" xfId="47448" xr:uid="{00000000-0005-0000-0000-00004FB90000}"/>
    <cellStyle name="Normal 3 7 26 8 3" xfId="47449" xr:uid="{00000000-0005-0000-0000-000050B90000}"/>
    <cellStyle name="Normal 3 7 26 9" xfId="47450" xr:uid="{00000000-0005-0000-0000-000051B90000}"/>
    <cellStyle name="Normal 3 7 26 9 2" xfId="47451" xr:uid="{00000000-0005-0000-0000-000052B90000}"/>
    <cellStyle name="Normal 3 7 26 9 3" xfId="47452" xr:uid="{00000000-0005-0000-0000-000053B90000}"/>
    <cellStyle name="Normal 3 7 3" xfId="47453" xr:uid="{00000000-0005-0000-0000-000054B90000}"/>
    <cellStyle name="Normal 3 7 4" xfId="47454" xr:uid="{00000000-0005-0000-0000-000055B90000}"/>
    <cellStyle name="Normal 3 7 5" xfId="47455" xr:uid="{00000000-0005-0000-0000-000056B90000}"/>
    <cellStyle name="Normal 3 7 6" xfId="47456" xr:uid="{00000000-0005-0000-0000-000057B90000}"/>
    <cellStyle name="Normal 3 7 7" xfId="47457" xr:uid="{00000000-0005-0000-0000-000058B90000}"/>
    <cellStyle name="Normal 3 7 8" xfId="47458" xr:uid="{00000000-0005-0000-0000-000059B90000}"/>
    <cellStyle name="Normal 3 7 9" xfId="47459" xr:uid="{00000000-0005-0000-0000-00005AB90000}"/>
    <cellStyle name="Normal 3 7_End-use Summary" xfId="47460" xr:uid="{00000000-0005-0000-0000-00005BB90000}"/>
    <cellStyle name="Normal 3 70" xfId="47461" xr:uid="{00000000-0005-0000-0000-00005CB90000}"/>
    <cellStyle name="Normal 3 70 2" xfId="47462" xr:uid="{00000000-0005-0000-0000-00005DB90000}"/>
    <cellStyle name="Normal 3 70 3" xfId="47463" xr:uid="{00000000-0005-0000-0000-00005EB90000}"/>
    <cellStyle name="Normal 3 71" xfId="47464" xr:uid="{00000000-0005-0000-0000-00005FB90000}"/>
    <cellStyle name="Normal 3 71 2" xfId="47465" xr:uid="{00000000-0005-0000-0000-000060B90000}"/>
    <cellStyle name="Normal 3 71 3" xfId="47466" xr:uid="{00000000-0005-0000-0000-000061B90000}"/>
    <cellStyle name="Normal 3 72" xfId="47467" xr:uid="{00000000-0005-0000-0000-000062B90000}"/>
    <cellStyle name="Normal 3 72 2" xfId="47468" xr:uid="{00000000-0005-0000-0000-000063B90000}"/>
    <cellStyle name="Normal 3 72 3" xfId="47469" xr:uid="{00000000-0005-0000-0000-000064B90000}"/>
    <cellStyle name="Normal 3 73" xfId="47470" xr:uid="{00000000-0005-0000-0000-000065B90000}"/>
    <cellStyle name="Normal 3 73 2" xfId="47471" xr:uid="{00000000-0005-0000-0000-000066B90000}"/>
    <cellStyle name="Normal 3 73 3" xfId="47472" xr:uid="{00000000-0005-0000-0000-000067B90000}"/>
    <cellStyle name="Normal 3 74" xfId="47473" xr:uid="{00000000-0005-0000-0000-000068B90000}"/>
    <cellStyle name="Normal 3 74 2" xfId="47474" xr:uid="{00000000-0005-0000-0000-000069B90000}"/>
    <cellStyle name="Normal 3 74 3" xfId="47475" xr:uid="{00000000-0005-0000-0000-00006AB90000}"/>
    <cellStyle name="Normal 3 75" xfId="47476" xr:uid="{00000000-0005-0000-0000-00006BB90000}"/>
    <cellStyle name="Normal 3 76" xfId="47477" xr:uid="{00000000-0005-0000-0000-00006CB90000}"/>
    <cellStyle name="Normal 3 77" xfId="47478" xr:uid="{00000000-0005-0000-0000-00006DB90000}"/>
    <cellStyle name="Normal 3 78" xfId="47479" xr:uid="{00000000-0005-0000-0000-00006EB90000}"/>
    <cellStyle name="Normal 3 79" xfId="18467" xr:uid="{00000000-0005-0000-0000-00006FB90000}"/>
    <cellStyle name="Normal 3 8" xfId="47480" xr:uid="{00000000-0005-0000-0000-000070B90000}"/>
    <cellStyle name="Normal 3 8 10" xfId="47481" xr:uid="{00000000-0005-0000-0000-000071B90000}"/>
    <cellStyle name="Normal 3 8 11" xfId="47482" xr:uid="{00000000-0005-0000-0000-000072B90000}"/>
    <cellStyle name="Normal 3 8 11 10" xfId="47483" xr:uid="{00000000-0005-0000-0000-000073B90000}"/>
    <cellStyle name="Normal 3 8 11 10 2" xfId="47484" xr:uid="{00000000-0005-0000-0000-000074B90000}"/>
    <cellStyle name="Normal 3 8 11 10 3" xfId="47485" xr:uid="{00000000-0005-0000-0000-000075B90000}"/>
    <cellStyle name="Normal 3 8 11 11" xfId="47486" xr:uid="{00000000-0005-0000-0000-000076B90000}"/>
    <cellStyle name="Normal 3 8 11 11 2" xfId="47487" xr:uid="{00000000-0005-0000-0000-000077B90000}"/>
    <cellStyle name="Normal 3 8 11 11 3" xfId="47488" xr:uid="{00000000-0005-0000-0000-000078B90000}"/>
    <cellStyle name="Normal 3 8 11 12" xfId="47489" xr:uid="{00000000-0005-0000-0000-000079B90000}"/>
    <cellStyle name="Normal 3 8 11 12 2" xfId="47490" xr:uid="{00000000-0005-0000-0000-00007AB90000}"/>
    <cellStyle name="Normal 3 8 11 12 3" xfId="47491" xr:uid="{00000000-0005-0000-0000-00007BB90000}"/>
    <cellStyle name="Normal 3 8 11 13" xfId="47492" xr:uid="{00000000-0005-0000-0000-00007CB90000}"/>
    <cellStyle name="Normal 3 8 11 13 2" xfId="47493" xr:uid="{00000000-0005-0000-0000-00007DB90000}"/>
    <cellStyle name="Normal 3 8 11 13 3" xfId="47494" xr:uid="{00000000-0005-0000-0000-00007EB90000}"/>
    <cellStyle name="Normal 3 8 11 14" xfId="47495" xr:uid="{00000000-0005-0000-0000-00007FB90000}"/>
    <cellStyle name="Normal 3 8 11 14 2" xfId="47496" xr:uid="{00000000-0005-0000-0000-000080B90000}"/>
    <cellStyle name="Normal 3 8 11 14 3" xfId="47497" xr:uid="{00000000-0005-0000-0000-000081B90000}"/>
    <cellStyle name="Normal 3 8 11 15" xfId="47498" xr:uid="{00000000-0005-0000-0000-000082B90000}"/>
    <cellStyle name="Normal 3 8 11 15 2" xfId="47499" xr:uid="{00000000-0005-0000-0000-000083B90000}"/>
    <cellStyle name="Normal 3 8 11 15 3" xfId="47500" xr:uid="{00000000-0005-0000-0000-000084B90000}"/>
    <cellStyle name="Normal 3 8 11 16" xfId="47501" xr:uid="{00000000-0005-0000-0000-000085B90000}"/>
    <cellStyle name="Normal 3 8 11 16 2" xfId="47502" xr:uid="{00000000-0005-0000-0000-000086B90000}"/>
    <cellStyle name="Normal 3 8 11 16 3" xfId="47503" xr:uid="{00000000-0005-0000-0000-000087B90000}"/>
    <cellStyle name="Normal 3 8 11 17" xfId="47504" xr:uid="{00000000-0005-0000-0000-000088B90000}"/>
    <cellStyle name="Normal 3 8 11 17 2" xfId="47505" xr:uid="{00000000-0005-0000-0000-000089B90000}"/>
    <cellStyle name="Normal 3 8 11 17 3" xfId="47506" xr:uid="{00000000-0005-0000-0000-00008AB90000}"/>
    <cellStyle name="Normal 3 8 11 18" xfId="47507" xr:uid="{00000000-0005-0000-0000-00008BB90000}"/>
    <cellStyle name="Normal 3 8 11 19" xfId="47508" xr:uid="{00000000-0005-0000-0000-00008CB90000}"/>
    <cellStyle name="Normal 3 8 11 2" xfId="47509" xr:uid="{00000000-0005-0000-0000-00008DB90000}"/>
    <cellStyle name="Normal 3 8 11 3" xfId="47510" xr:uid="{00000000-0005-0000-0000-00008EB90000}"/>
    <cellStyle name="Normal 3 8 11 4" xfId="47511" xr:uid="{00000000-0005-0000-0000-00008FB90000}"/>
    <cellStyle name="Normal 3 8 11 5" xfId="47512" xr:uid="{00000000-0005-0000-0000-000090B90000}"/>
    <cellStyle name="Normal 3 8 11 5 2" xfId="47513" xr:uid="{00000000-0005-0000-0000-000091B90000}"/>
    <cellStyle name="Normal 3 8 11 5 3" xfId="47514" xr:uid="{00000000-0005-0000-0000-000092B90000}"/>
    <cellStyle name="Normal 3 8 11 6" xfId="47515" xr:uid="{00000000-0005-0000-0000-000093B90000}"/>
    <cellStyle name="Normal 3 8 11 6 2" xfId="47516" xr:uid="{00000000-0005-0000-0000-000094B90000}"/>
    <cellStyle name="Normal 3 8 11 6 3" xfId="47517" xr:uid="{00000000-0005-0000-0000-000095B90000}"/>
    <cellStyle name="Normal 3 8 11 7" xfId="47518" xr:uid="{00000000-0005-0000-0000-000096B90000}"/>
    <cellStyle name="Normal 3 8 11 7 2" xfId="47519" xr:uid="{00000000-0005-0000-0000-000097B90000}"/>
    <cellStyle name="Normal 3 8 11 7 3" xfId="47520" xr:uid="{00000000-0005-0000-0000-000098B90000}"/>
    <cellStyle name="Normal 3 8 11 8" xfId="47521" xr:uid="{00000000-0005-0000-0000-000099B90000}"/>
    <cellStyle name="Normal 3 8 11 8 2" xfId="47522" xr:uid="{00000000-0005-0000-0000-00009AB90000}"/>
    <cellStyle name="Normal 3 8 11 8 3" xfId="47523" xr:uid="{00000000-0005-0000-0000-00009BB90000}"/>
    <cellStyle name="Normal 3 8 11 9" xfId="47524" xr:uid="{00000000-0005-0000-0000-00009CB90000}"/>
    <cellStyle name="Normal 3 8 11 9 2" xfId="47525" xr:uid="{00000000-0005-0000-0000-00009DB90000}"/>
    <cellStyle name="Normal 3 8 11 9 3" xfId="47526" xr:uid="{00000000-0005-0000-0000-00009EB90000}"/>
    <cellStyle name="Normal 3 8 12" xfId="47527" xr:uid="{00000000-0005-0000-0000-00009FB90000}"/>
    <cellStyle name="Normal 3 8 13" xfId="47528" xr:uid="{00000000-0005-0000-0000-0000A0B90000}"/>
    <cellStyle name="Normal 3 8 14" xfId="47529" xr:uid="{00000000-0005-0000-0000-0000A1B90000}"/>
    <cellStyle name="Normal 3 8 14 10" xfId="47530" xr:uid="{00000000-0005-0000-0000-0000A2B90000}"/>
    <cellStyle name="Normal 3 8 14 10 2" xfId="47531" xr:uid="{00000000-0005-0000-0000-0000A3B90000}"/>
    <cellStyle name="Normal 3 8 14 10 3" xfId="47532" xr:uid="{00000000-0005-0000-0000-0000A4B90000}"/>
    <cellStyle name="Normal 3 8 14 11" xfId="47533" xr:uid="{00000000-0005-0000-0000-0000A5B90000}"/>
    <cellStyle name="Normal 3 8 14 11 2" xfId="47534" xr:uid="{00000000-0005-0000-0000-0000A6B90000}"/>
    <cellStyle name="Normal 3 8 14 11 3" xfId="47535" xr:uid="{00000000-0005-0000-0000-0000A7B90000}"/>
    <cellStyle name="Normal 3 8 14 12" xfId="47536" xr:uid="{00000000-0005-0000-0000-0000A8B90000}"/>
    <cellStyle name="Normal 3 8 14 12 2" xfId="47537" xr:uid="{00000000-0005-0000-0000-0000A9B90000}"/>
    <cellStyle name="Normal 3 8 14 12 3" xfId="47538" xr:uid="{00000000-0005-0000-0000-0000AAB90000}"/>
    <cellStyle name="Normal 3 8 14 13" xfId="47539" xr:uid="{00000000-0005-0000-0000-0000ABB90000}"/>
    <cellStyle name="Normal 3 8 14 13 2" xfId="47540" xr:uid="{00000000-0005-0000-0000-0000ACB90000}"/>
    <cellStyle name="Normal 3 8 14 13 3" xfId="47541" xr:uid="{00000000-0005-0000-0000-0000ADB90000}"/>
    <cellStyle name="Normal 3 8 14 14" xfId="47542" xr:uid="{00000000-0005-0000-0000-0000AEB90000}"/>
    <cellStyle name="Normal 3 8 14 14 2" xfId="47543" xr:uid="{00000000-0005-0000-0000-0000AFB90000}"/>
    <cellStyle name="Normal 3 8 14 14 3" xfId="47544" xr:uid="{00000000-0005-0000-0000-0000B0B90000}"/>
    <cellStyle name="Normal 3 8 14 15" xfId="47545" xr:uid="{00000000-0005-0000-0000-0000B1B90000}"/>
    <cellStyle name="Normal 3 8 14 15 2" xfId="47546" xr:uid="{00000000-0005-0000-0000-0000B2B90000}"/>
    <cellStyle name="Normal 3 8 14 15 3" xfId="47547" xr:uid="{00000000-0005-0000-0000-0000B3B90000}"/>
    <cellStyle name="Normal 3 8 14 16" xfId="47548" xr:uid="{00000000-0005-0000-0000-0000B4B90000}"/>
    <cellStyle name="Normal 3 8 14 17" xfId="47549" xr:uid="{00000000-0005-0000-0000-0000B5B90000}"/>
    <cellStyle name="Normal 3 8 14 2" xfId="47550" xr:uid="{00000000-0005-0000-0000-0000B6B90000}"/>
    <cellStyle name="Normal 3 8 14 2 10" xfId="47551" xr:uid="{00000000-0005-0000-0000-0000B7B90000}"/>
    <cellStyle name="Normal 3 8 14 2 10 2" xfId="47552" xr:uid="{00000000-0005-0000-0000-0000B8B90000}"/>
    <cellStyle name="Normal 3 8 14 2 10 3" xfId="47553" xr:uid="{00000000-0005-0000-0000-0000B9B90000}"/>
    <cellStyle name="Normal 3 8 14 2 11" xfId="47554" xr:uid="{00000000-0005-0000-0000-0000BAB90000}"/>
    <cellStyle name="Normal 3 8 14 2 11 2" xfId="47555" xr:uid="{00000000-0005-0000-0000-0000BBB90000}"/>
    <cellStyle name="Normal 3 8 14 2 11 3" xfId="47556" xr:uid="{00000000-0005-0000-0000-0000BCB90000}"/>
    <cellStyle name="Normal 3 8 14 2 12" xfId="47557" xr:uid="{00000000-0005-0000-0000-0000BDB90000}"/>
    <cellStyle name="Normal 3 8 14 2 12 2" xfId="47558" xr:uid="{00000000-0005-0000-0000-0000BEB90000}"/>
    <cellStyle name="Normal 3 8 14 2 12 3" xfId="47559" xr:uid="{00000000-0005-0000-0000-0000BFB90000}"/>
    <cellStyle name="Normal 3 8 14 2 13" xfId="47560" xr:uid="{00000000-0005-0000-0000-0000C0B90000}"/>
    <cellStyle name="Normal 3 8 14 2 13 2" xfId="47561" xr:uid="{00000000-0005-0000-0000-0000C1B90000}"/>
    <cellStyle name="Normal 3 8 14 2 13 3" xfId="47562" xr:uid="{00000000-0005-0000-0000-0000C2B90000}"/>
    <cellStyle name="Normal 3 8 14 2 14" xfId="47563" xr:uid="{00000000-0005-0000-0000-0000C3B90000}"/>
    <cellStyle name="Normal 3 8 14 2 14 2" xfId="47564" xr:uid="{00000000-0005-0000-0000-0000C4B90000}"/>
    <cellStyle name="Normal 3 8 14 2 14 3" xfId="47565" xr:uid="{00000000-0005-0000-0000-0000C5B90000}"/>
    <cellStyle name="Normal 3 8 14 2 15" xfId="47566" xr:uid="{00000000-0005-0000-0000-0000C6B90000}"/>
    <cellStyle name="Normal 3 8 14 2 16" xfId="47567" xr:uid="{00000000-0005-0000-0000-0000C7B90000}"/>
    <cellStyle name="Normal 3 8 14 2 2" xfId="47568" xr:uid="{00000000-0005-0000-0000-0000C8B90000}"/>
    <cellStyle name="Normal 3 8 14 2 2 2" xfId="47569" xr:uid="{00000000-0005-0000-0000-0000C9B90000}"/>
    <cellStyle name="Normal 3 8 14 2 2 3" xfId="47570" xr:uid="{00000000-0005-0000-0000-0000CAB90000}"/>
    <cellStyle name="Normal 3 8 14 2 3" xfId="47571" xr:uid="{00000000-0005-0000-0000-0000CBB90000}"/>
    <cellStyle name="Normal 3 8 14 2 3 2" xfId="47572" xr:uid="{00000000-0005-0000-0000-0000CCB90000}"/>
    <cellStyle name="Normal 3 8 14 2 3 3" xfId="47573" xr:uid="{00000000-0005-0000-0000-0000CDB90000}"/>
    <cellStyle name="Normal 3 8 14 2 4" xfId="47574" xr:uid="{00000000-0005-0000-0000-0000CEB90000}"/>
    <cellStyle name="Normal 3 8 14 2 4 2" xfId="47575" xr:uid="{00000000-0005-0000-0000-0000CFB90000}"/>
    <cellStyle name="Normal 3 8 14 2 4 3" xfId="47576" xr:uid="{00000000-0005-0000-0000-0000D0B90000}"/>
    <cellStyle name="Normal 3 8 14 2 5" xfId="47577" xr:uid="{00000000-0005-0000-0000-0000D1B90000}"/>
    <cellStyle name="Normal 3 8 14 2 5 2" xfId="47578" xr:uid="{00000000-0005-0000-0000-0000D2B90000}"/>
    <cellStyle name="Normal 3 8 14 2 5 3" xfId="47579" xr:uid="{00000000-0005-0000-0000-0000D3B90000}"/>
    <cellStyle name="Normal 3 8 14 2 6" xfId="47580" xr:uid="{00000000-0005-0000-0000-0000D4B90000}"/>
    <cellStyle name="Normal 3 8 14 2 6 2" xfId="47581" xr:uid="{00000000-0005-0000-0000-0000D5B90000}"/>
    <cellStyle name="Normal 3 8 14 2 6 3" xfId="47582" xr:uid="{00000000-0005-0000-0000-0000D6B90000}"/>
    <cellStyle name="Normal 3 8 14 2 7" xfId="47583" xr:uid="{00000000-0005-0000-0000-0000D7B90000}"/>
    <cellStyle name="Normal 3 8 14 2 7 2" xfId="47584" xr:uid="{00000000-0005-0000-0000-0000D8B90000}"/>
    <cellStyle name="Normal 3 8 14 2 7 3" xfId="47585" xr:uid="{00000000-0005-0000-0000-0000D9B90000}"/>
    <cellStyle name="Normal 3 8 14 2 8" xfId="47586" xr:uid="{00000000-0005-0000-0000-0000DAB90000}"/>
    <cellStyle name="Normal 3 8 14 2 8 2" xfId="47587" xr:uid="{00000000-0005-0000-0000-0000DBB90000}"/>
    <cellStyle name="Normal 3 8 14 2 8 3" xfId="47588" xr:uid="{00000000-0005-0000-0000-0000DCB90000}"/>
    <cellStyle name="Normal 3 8 14 2 9" xfId="47589" xr:uid="{00000000-0005-0000-0000-0000DDB90000}"/>
    <cellStyle name="Normal 3 8 14 2 9 2" xfId="47590" xr:uid="{00000000-0005-0000-0000-0000DEB90000}"/>
    <cellStyle name="Normal 3 8 14 2 9 3" xfId="47591" xr:uid="{00000000-0005-0000-0000-0000DFB90000}"/>
    <cellStyle name="Normal 3 8 14 3" xfId="47592" xr:uid="{00000000-0005-0000-0000-0000E0B90000}"/>
    <cellStyle name="Normal 3 8 14 3 2" xfId="47593" xr:uid="{00000000-0005-0000-0000-0000E1B90000}"/>
    <cellStyle name="Normal 3 8 14 3 3" xfId="47594" xr:uid="{00000000-0005-0000-0000-0000E2B90000}"/>
    <cellStyle name="Normal 3 8 14 4" xfId="47595" xr:uid="{00000000-0005-0000-0000-0000E3B90000}"/>
    <cellStyle name="Normal 3 8 14 4 2" xfId="47596" xr:uid="{00000000-0005-0000-0000-0000E4B90000}"/>
    <cellStyle name="Normal 3 8 14 4 3" xfId="47597" xr:uid="{00000000-0005-0000-0000-0000E5B90000}"/>
    <cellStyle name="Normal 3 8 14 5" xfId="47598" xr:uid="{00000000-0005-0000-0000-0000E6B90000}"/>
    <cellStyle name="Normal 3 8 14 5 2" xfId="47599" xr:uid="{00000000-0005-0000-0000-0000E7B90000}"/>
    <cellStyle name="Normal 3 8 14 5 3" xfId="47600" xr:uid="{00000000-0005-0000-0000-0000E8B90000}"/>
    <cellStyle name="Normal 3 8 14 6" xfId="47601" xr:uid="{00000000-0005-0000-0000-0000E9B90000}"/>
    <cellStyle name="Normal 3 8 14 6 2" xfId="47602" xr:uid="{00000000-0005-0000-0000-0000EAB90000}"/>
    <cellStyle name="Normal 3 8 14 6 3" xfId="47603" xr:uid="{00000000-0005-0000-0000-0000EBB90000}"/>
    <cellStyle name="Normal 3 8 14 7" xfId="47604" xr:uid="{00000000-0005-0000-0000-0000ECB90000}"/>
    <cellStyle name="Normal 3 8 14 7 2" xfId="47605" xr:uid="{00000000-0005-0000-0000-0000EDB90000}"/>
    <cellStyle name="Normal 3 8 14 7 3" xfId="47606" xr:uid="{00000000-0005-0000-0000-0000EEB90000}"/>
    <cellStyle name="Normal 3 8 14 8" xfId="47607" xr:uid="{00000000-0005-0000-0000-0000EFB90000}"/>
    <cellStyle name="Normal 3 8 14 8 2" xfId="47608" xr:uid="{00000000-0005-0000-0000-0000F0B90000}"/>
    <cellStyle name="Normal 3 8 14 8 3" xfId="47609" xr:uid="{00000000-0005-0000-0000-0000F1B90000}"/>
    <cellStyle name="Normal 3 8 14 9" xfId="47610" xr:uid="{00000000-0005-0000-0000-0000F2B90000}"/>
    <cellStyle name="Normal 3 8 14 9 2" xfId="47611" xr:uid="{00000000-0005-0000-0000-0000F3B90000}"/>
    <cellStyle name="Normal 3 8 14 9 3" xfId="47612" xr:uid="{00000000-0005-0000-0000-0000F4B90000}"/>
    <cellStyle name="Normal 3 8 15" xfId="47613" xr:uid="{00000000-0005-0000-0000-0000F5B90000}"/>
    <cellStyle name="Normal 3 8 15 10" xfId="47614" xr:uid="{00000000-0005-0000-0000-0000F6B90000}"/>
    <cellStyle name="Normal 3 8 15 10 2" xfId="47615" xr:uid="{00000000-0005-0000-0000-0000F7B90000}"/>
    <cellStyle name="Normal 3 8 15 10 3" xfId="47616" xr:uid="{00000000-0005-0000-0000-0000F8B90000}"/>
    <cellStyle name="Normal 3 8 15 11" xfId="47617" xr:uid="{00000000-0005-0000-0000-0000F9B90000}"/>
    <cellStyle name="Normal 3 8 15 11 2" xfId="47618" xr:uid="{00000000-0005-0000-0000-0000FAB90000}"/>
    <cellStyle name="Normal 3 8 15 11 3" xfId="47619" xr:uid="{00000000-0005-0000-0000-0000FBB90000}"/>
    <cellStyle name="Normal 3 8 15 12" xfId="47620" xr:uid="{00000000-0005-0000-0000-0000FCB90000}"/>
    <cellStyle name="Normal 3 8 15 12 2" xfId="47621" xr:uid="{00000000-0005-0000-0000-0000FDB90000}"/>
    <cellStyle name="Normal 3 8 15 12 3" xfId="47622" xr:uid="{00000000-0005-0000-0000-0000FEB90000}"/>
    <cellStyle name="Normal 3 8 15 13" xfId="47623" xr:uid="{00000000-0005-0000-0000-0000FFB90000}"/>
    <cellStyle name="Normal 3 8 15 13 2" xfId="47624" xr:uid="{00000000-0005-0000-0000-000000BA0000}"/>
    <cellStyle name="Normal 3 8 15 13 3" xfId="47625" xr:uid="{00000000-0005-0000-0000-000001BA0000}"/>
    <cellStyle name="Normal 3 8 15 14" xfId="47626" xr:uid="{00000000-0005-0000-0000-000002BA0000}"/>
    <cellStyle name="Normal 3 8 15 14 2" xfId="47627" xr:uid="{00000000-0005-0000-0000-000003BA0000}"/>
    <cellStyle name="Normal 3 8 15 14 3" xfId="47628" xr:uid="{00000000-0005-0000-0000-000004BA0000}"/>
    <cellStyle name="Normal 3 8 15 15" xfId="47629" xr:uid="{00000000-0005-0000-0000-000005BA0000}"/>
    <cellStyle name="Normal 3 8 15 15 2" xfId="47630" xr:uid="{00000000-0005-0000-0000-000006BA0000}"/>
    <cellStyle name="Normal 3 8 15 15 3" xfId="47631" xr:uid="{00000000-0005-0000-0000-000007BA0000}"/>
    <cellStyle name="Normal 3 8 15 16" xfId="47632" xr:uid="{00000000-0005-0000-0000-000008BA0000}"/>
    <cellStyle name="Normal 3 8 15 17" xfId="47633" xr:uid="{00000000-0005-0000-0000-000009BA0000}"/>
    <cellStyle name="Normal 3 8 15 2" xfId="47634" xr:uid="{00000000-0005-0000-0000-00000ABA0000}"/>
    <cellStyle name="Normal 3 8 15 2 10" xfId="47635" xr:uid="{00000000-0005-0000-0000-00000BBA0000}"/>
    <cellStyle name="Normal 3 8 15 2 10 2" xfId="47636" xr:uid="{00000000-0005-0000-0000-00000CBA0000}"/>
    <cellStyle name="Normal 3 8 15 2 10 3" xfId="47637" xr:uid="{00000000-0005-0000-0000-00000DBA0000}"/>
    <cellStyle name="Normal 3 8 15 2 11" xfId="47638" xr:uid="{00000000-0005-0000-0000-00000EBA0000}"/>
    <cellStyle name="Normal 3 8 15 2 11 2" xfId="47639" xr:uid="{00000000-0005-0000-0000-00000FBA0000}"/>
    <cellStyle name="Normal 3 8 15 2 11 3" xfId="47640" xr:uid="{00000000-0005-0000-0000-000010BA0000}"/>
    <cellStyle name="Normal 3 8 15 2 12" xfId="47641" xr:uid="{00000000-0005-0000-0000-000011BA0000}"/>
    <cellStyle name="Normal 3 8 15 2 12 2" xfId="47642" xr:uid="{00000000-0005-0000-0000-000012BA0000}"/>
    <cellStyle name="Normal 3 8 15 2 12 3" xfId="47643" xr:uid="{00000000-0005-0000-0000-000013BA0000}"/>
    <cellStyle name="Normal 3 8 15 2 13" xfId="47644" xr:uid="{00000000-0005-0000-0000-000014BA0000}"/>
    <cellStyle name="Normal 3 8 15 2 13 2" xfId="47645" xr:uid="{00000000-0005-0000-0000-000015BA0000}"/>
    <cellStyle name="Normal 3 8 15 2 13 3" xfId="47646" xr:uid="{00000000-0005-0000-0000-000016BA0000}"/>
    <cellStyle name="Normal 3 8 15 2 14" xfId="47647" xr:uid="{00000000-0005-0000-0000-000017BA0000}"/>
    <cellStyle name="Normal 3 8 15 2 14 2" xfId="47648" xr:uid="{00000000-0005-0000-0000-000018BA0000}"/>
    <cellStyle name="Normal 3 8 15 2 14 3" xfId="47649" xr:uid="{00000000-0005-0000-0000-000019BA0000}"/>
    <cellStyle name="Normal 3 8 15 2 15" xfId="47650" xr:uid="{00000000-0005-0000-0000-00001ABA0000}"/>
    <cellStyle name="Normal 3 8 15 2 16" xfId="47651" xr:uid="{00000000-0005-0000-0000-00001BBA0000}"/>
    <cellStyle name="Normal 3 8 15 2 2" xfId="47652" xr:uid="{00000000-0005-0000-0000-00001CBA0000}"/>
    <cellStyle name="Normal 3 8 15 2 2 2" xfId="47653" xr:uid="{00000000-0005-0000-0000-00001DBA0000}"/>
    <cellStyle name="Normal 3 8 15 2 2 3" xfId="47654" xr:uid="{00000000-0005-0000-0000-00001EBA0000}"/>
    <cellStyle name="Normal 3 8 15 2 3" xfId="47655" xr:uid="{00000000-0005-0000-0000-00001FBA0000}"/>
    <cellStyle name="Normal 3 8 15 2 3 2" xfId="47656" xr:uid="{00000000-0005-0000-0000-000020BA0000}"/>
    <cellStyle name="Normal 3 8 15 2 3 3" xfId="47657" xr:uid="{00000000-0005-0000-0000-000021BA0000}"/>
    <cellStyle name="Normal 3 8 15 2 4" xfId="47658" xr:uid="{00000000-0005-0000-0000-000022BA0000}"/>
    <cellStyle name="Normal 3 8 15 2 4 2" xfId="47659" xr:uid="{00000000-0005-0000-0000-000023BA0000}"/>
    <cellStyle name="Normal 3 8 15 2 4 3" xfId="47660" xr:uid="{00000000-0005-0000-0000-000024BA0000}"/>
    <cellStyle name="Normal 3 8 15 2 5" xfId="47661" xr:uid="{00000000-0005-0000-0000-000025BA0000}"/>
    <cellStyle name="Normal 3 8 15 2 5 2" xfId="47662" xr:uid="{00000000-0005-0000-0000-000026BA0000}"/>
    <cellStyle name="Normal 3 8 15 2 5 3" xfId="47663" xr:uid="{00000000-0005-0000-0000-000027BA0000}"/>
    <cellStyle name="Normal 3 8 15 2 6" xfId="47664" xr:uid="{00000000-0005-0000-0000-000028BA0000}"/>
    <cellStyle name="Normal 3 8 15 2 6 2" xfId="47665" xr:uid="{00000000-0005-0000-0000-000029BA0000}"/>
    <cellStyle name="Normal 3 8 15 2 6 3" xfId="47666" xr:uid="{00000000-0005-0000-0000-00002ABA0000}"/>
    <cellStyle name="Normal 3 8 15 2 7" xfId="47667" xr:uid="{00000000-0005-0000-0000-00002BBA0000}"/>
    <cellStyle name="Normal 3 8 15 2 7 2" xfId="47668" xr:uid="{00000000-0005-0000-0000-00002CBA0000}"/>
    <cellStyle name="Normal 3 8 15 2 7 3" xfId="47669" xr:uid="{00000000-0005-0000-0000-00002DBA0000}"/>
    <cellStyle name="Normal 3 8 15 2 8" xfId="47670" xr:uid="{00000000-0005-0000-0000-00002EBA0000}"/>
    <cellStyle name="Normal 3 8 15 2 8 2" xfId="47671" xr:uid="{00000000-0005-0000-0000-00002FBA0000}"/>
    <cellStyle name="Normal 3 8 15 2 8 3" xfId="47672" xr:uid="{00000000-0005-0000-0000-000030BA0000}"/>
    <cellStyle name="Normal 3 8 15 2 9" xfId="47673" xr:uid="{00000000-0005-0000-0000-000031BA0000}"/>
    <cellStyle name="Normal 3 8 15 2 9 2" xfId="47674" xr:uid="{00000000-0005-0000-0000-000032BA0000}"/>
    <cellStyle name="Normal 3 8 15 2 9 3" xfId="47675" xr:uid="{00000000-0005-0000-0000-000033BA0000}"/>
    <cellStyle name="Normal 3 8 15 3" xfId="47676" xr:uid="{00000000-0005-0000-0000-000034BA0000}"/>
    <cellStyle name="Normal 3 8 15 3 2" xfId="47677" xr:uid="{00000000-0005-0000-0000-000035BA0000}"/>
    <cellStyle name="Normal 3 8 15 3 3" xfId="47678" xr:uid="{00000000-0005-0000-0000-000036BA0000}"/>
    <cellStyle name="Normal 3 8 15 4" xfId="47679" xr:uid="{00000000-0005-0000-0000-000037BA0000}"/>
    <cellStyle name="Normal 3 8 15 4 2" xfId="47680" xr:uid="{00000000-0005-0000-0000-000038BA0000}"/>
    <cellStyle name="Normal 3 8 15 4 3" xfId="47681" xr:uid="{00000000-0005-0000-0000-000039BA0000}"/>
    <cellStyle name="Normal 3 8 15 5" xfId="47682" xr:uid="{00000000-0005-0000-0000-00003ABA0000}"/>
    <cellStyle name="Normal 3 8 15 5 2" xfId="47683" xr:uid="{00000000-0005-0000-0000-00003BBA0000}"/>
    <cellStyle name="Normal 3 8 15 5 3" xfId="47684" xr:uid="{00000000-0005-0000-0000-00003CBA0000}"/>
    <cellStyle name="Normal 3 8 15 6" xfId="47685" xr:uid="{00000000-0005-0000-0000-00003DBA0000}"/>
    <cellStyle name="Normal 3 8 15 6 2" xfId="47686" xr:uid="{00000000-0005-0000-0000-00003EBA0000}"/>
    <cellStyle name="Normal 3 8 15 6 3" xfId="47687" xr:uid="{00000000-0005-0000-0000-00003FBA0000}"/>
    <cellStyle name="Normal 3 8 15 7" xfId="47688" xr:uid="{00000000-0005-0000-0000-000040BA0000}"/>
    <cellStyle name="Normal 3 8 15 7 2" xfId="47689" xr:uid="{00000000-0005-0000-0000-000041BA0000}"/>
    <cellStyle name="Normal 3 8 15 7 3" xfId="47690" xr:uid="{00000000-0005-0000-0000-000042BA0000}"/>
    <cellStyle name="Normal 3 8 15 8" xfId="47691" xr:uid="{00000000-0005-0000-0000-000043BA0000}"/>
    <cellStyle name="Normal 3 8 15 8 2" xfId="47692" xr:uid="{00000000-0005-0000-0000-000044BA0000}"/>
    <cellStyle name="Normal 3 8 15 8 3" xfId="47693" xr:uid="{00000000-0005-0000-0000-000045BA0000}"/>
    <cellStyle name="Normal 3 8 15 9" xfId="47694" xr:uid="{00000000-0005-0000-0000-000046BA0000}"/>
    <cellStyle name="Normal 3 8 15 9 2" xfId="47695" xr:uid="{00000000-0005-0000-0000-000047BA0000}"/>
    <cellStyle name="Normal 3 8 15 9 3" xfId="47696" xr:uid="{00000000-0005-0000-0000-000048BA0000}"/>
    <cellStyle name="Normal 3 8 16" xfId="47697" xr:uid="{00000000-0005-0000-0000-000049BA0000}"/>
    <cellStyle name="Normal 3 8 16 10" xfId="47698" xr:uid="{00000000-0005-0000-0000-00004ABA0000}"/>
    <cellStyle name="Normal 3 8 16 10 2" xfId="47699" xr:uid="{00000000-0005-0000-0000-00004BBA0000}"/>
    <cellStyle name="Normal 3 8 16 10 3" xfId="47700" xr:uid="{00000000-0005-0000-0000-00004CBA0000}"/>
    <cellStyle name="Normal 3 8 16 11" xfId="47701" xr:uid="{00000000-0005-0000-0000-00004DBA0000}"/>
    <cellStyle name="Normal 3 8 16 11 2" xfId="47702" xr:uid="{00000000-0005-0000-0000-00004EBA0000}"/>
    <cellStyle name="Normal 3 8 16 11 3" xfId="47703" xr:uid="{00000000-0005-0000-0000-00004FBA0000}"/>
    <cellStyle name="Normal 3 8 16 12" xfId="47704" xr:uid="{00000000-0005-0000-0000-000050BA0000}"/>
    <cellStyle name="Normal 3 8 16 12 2" xfId="47705" xr:uid="{00000000-0005-0000-0000-000051BA0000}"/>
    <cellStyle name="Normal 3 8 16 12 3" xfId="47706" xr:uid="{00000000-0005-0000-0000-000052BA0000}"/>
    <cellStyle name="Normal 3 8 16 13" xfId="47707" xr:uid="{00000000-0005-0000-0000-000053BA0000}"/>
    <cellStyle name="Normal 3 8 16 13 2" xfId="47708" xr:uid="{00000000-0005-0000-0000-000054BA0000}"/>
    <cellStyle name="Normal 3 8 16 13 3" xfId="47709" xr:uid="{00000000-0005-0000-0000-000055BA0000}"/>
    <cellStyle name="Normal 3 8 16 14" xfId="47710" xr:uid="{00000000-0005-0000-0000-000056BA0000}"/>
    <cellStyle name="Normal 3 8 16 14 2" xfId="47711" xr:uid="{00000000-0005-0000-0000-000057BA0000}"/>
    <cellStyle name="Normal 3 8 16 14 3" xfId="47712" xr:uid="{00000000-0005-0000-0000-000058BA0000}"/>
    <cellStyle name="Normal 3 8 16 15" xfId="47713" xr:uid="{00000000-0005-0000-0000-000059BA0000}"/>
    <cellStyle name="Normal 3 8 16 15 2" xfId="47714" xr:uid="{00000000-0005-0000-0000-00005ABA0000}"/>
    <cellStyle name="Normal 3 8 16 15 3" xfId="47715" xr:uid="{00000000-0005-0000-0000-00005BBA0000}"/>
    <cellStyle name="Normal 3 8 16 16" xfId="47716" xr:uid="{00000000-0005-0000-0000-00005CBA0000}"/>
    <cellStyle name="Normal 3 8 16 17" xfId="47717" xr:uid="{00000000-0005-0000-0000-00005DBA0000}"/>
    <cellStyle name="Normal 3 8 16 2" xfId="47718" xr:uid="{00000000-0005-0000-0000-00005EBA0000}"/>
    <cellStyle name="Normal 3 8 16 2 10" xfId="47719" xr:uid="{00000000-0005-0000-0000-00005FBA0000}"/>
    <cellStyle name="Normal 3 8 16 2 10 2" xfId="47720" xr:uid="{00000000-0005-0000-0000-000060BA0000}"/>
    <cellStyle name="Normal 3 8 16 2 10 3" xfId="47721" xr:uid="{00000000-0005-0000-0000-000061BA0000}"/>
    <cellStyle name="Normal 3 8 16 2 11" xfId="47722" xr:uid="{00000000-0005-0000-0000-000062BA0000}"/>
    <cellStyle name="Normal 3 8 16 2 11 2" xfId="47723" xr:uid="{00000000-0005-0000-0000-000063BA0000}"/>
    <cellStyle name="Normal 3 8 16 2 11 3" xfId="47724" xr:uid="{00000000-0005-0000-0000-000064BA0000}"/>
    <cellStyle name="Normal 3 8 16 2 12" xfId="47725" xr:uid="{00000000-0005-0000-0000-000065BA0000}"/>
    <cellStyle name="Normal 3 8 16 2 12 2" xfId="47726" xr:uid="{00000000-0005-0000-0000-000066BA0000}"/>
    <cellStyle name="Normal 3 8 16 2 12 3" xfId="47727" xr:uid="{00000000-0005-0000-0000-000067BA0000}"/>
    <cellStyle name="Normal 3 8 16 2 13" xfId="47728" xr:uid="{00000000-0005-0000-0000-000068BA0000}"/>
    <cellStyle name="Normal 3 8 16 2 13 2" xfId="47729" xr:uid="{00000000-0005-0000-0000-000069BA0000}"/>
    <cellStyle name="Normal 3 8 16 2 13 3" xfId="47730" xr:uid="{00000000-0005-0000-0000-00006ABA0000}"/>
    <cellStyle name="Normal 3 8 16 2 14" xfId="47731" xr:uid="{00000000-0005-0000-0000-00006BBA0000}"/>
    <cellStyle name="Normal 3 8 16 2 14 2" xfId="47732" xr:uid="{00000000-0005-0000-0000-00006CBA0000}"/>
    <cellStyle name="Normal 3 8 16 2 14 3" xfId="47733" xr:uid="{00000000-0005-0000-0000-00006DBA0000}"/>
    <cellStyle name="Normal 3 8 16 2 15" xfId="47734" xr:uid="{00000000-0005-0000-0000-00006EBA0000}"/>
    <cellStyle name="Normal 3 8 16 2 16" xfId="47735" xr:uid="{00000000-0005-0000-0000-00006FBA0000}"/>
    <cellStyle name="Normal 3 8 16 2 2" xfId="47736" xr:uid="{00000000-0005-0000-0000-000070BA0000}"/>
    <cellStyle name="Normal 3 8 16 2 2 2" xfId="47737" xr:uid="{00000000-0005-0000-0000-000071BA0000}"/>
    <cellStyle name="Normal 3 8 16 2 2 3" xfId="47738" xr:uid="{00000000-0005-0000-0000-000072BA0000}"/>
    <cellStyle name="Normal 3 8 16 2 3" xfId="47739" xr:uid="{00000000-0005-0000-0000-000073BA0000}"/>
    <cellStyle name="Normal 3 8 16 2 3 2" xfId="47740" xr:uid="{00000000-0005-0000-0000-000074BA0000}"/>
    <cellStyle name="Normal 3 8 16 2 3 3" xfId="47741" xr:uid="{00000000-0005-0000-0000-000075BA0000}"/>
    <cellStyle name="Normal 3 8 16 2 4" xfId="47742" xr:uid="{00000000-0005-0000-0000-000076BA0000}"/>
    <cellStyle name="Normal 3 8 16 2 4 2" xfId="47743" xr:uid="{00000000-0005-0000-0000-000077BA0000}"/>
    <cellStyle name="Normal 3 8 16 2 4 3" xfId="47744" xr:uid="{00000000-0005-0000-0000-000078BA0000}"/>
    <cellStyle name="Normal 3 8 16 2 5" xfId="47745" xr:uid="{00000000-0005-0000-0000-000079BA0000}"/>
    <cellStyle name="Normal 3 8 16 2 5 2" xfId="47746" xr:uid="{00000000-0005-0000-0000-00007ABA0000}"/>
    <cellStyle name="Normal 3 8 16 2 5 3" xfId="47747" xr:uid="{00000000-0005-0000-0000-00007BBA0000}"/>
    <cellStyle name="Normal 3 8 16 2 6" xfId="47748" xr:uid="{00000000-0005-0000-0000-00007CBA0000}"/>
    <cellStyle name="Normal 3 8 16 2 6 2" xfId="47749" xr:uid="{00000000-0005-0000-0000-00007DBA0000}"/>
    <cellStyle name="Normal 3 8 16 2 6 3" xfId="47750" xr:uid="{00000000-0005-0000-0000-00007EBA0000}"/>
    <cellStyle name="Normal 3 8 16 2 7" xfId="47751" xr:uid="{00000000-0005-0000-0000-00007FBA0000}"/>
    <cellStyle name="Normal 3 8 16 2 7 2" xfId="47752" xr:uid="{00000000-0005-0000-0000-000080BA0000}"/>
    <cellStyle name="Normal 3 8 16 2 7 3" xfId="47753" xr:uid="{00000000-0005-0000-0000-000081BA0000}"/>
    <cellStyle name="Normal 3 8 16 2 8" xfId="47754" xr:uid="{00000000-0005-0000-0000-000082BA0000}"/>
    <cellStyle name="Normal 3 8 16 2 8 2" xfId="47755" xr:uid="{00000000-0005-0000-0000-000083BA0000}"/>
    <cellStyle name="Normal 3 8 16 2 8 3" xfId="47756" xr:uid="{00000000-0005-0000-0000-000084BA0000}"/>
    <cellStyle name="Normal 3 8 16 2 9" xfId="47757" xr:uid="{00000000-0005-0000-0000-000085BA0000}"/>
    <cellStyle name="Normal 3 8 16 2 9 2" xfId="47758" xr:uid="{00000000-0005-0000-0000-000086BA0000}"/>
    <cellStyle name="Normal 3 8 16 2 9 3" xfId="47759" xr:uid="{00000000-0005-0000-0000-000087BA0000}"/>
    <cellStyle name="Normal 3 8 16 3" xfId="47760" xr:uid="{00000000-0005-0000-0000-000088BA0000}"/>
    <cellStyle name="Normal 3 8 16 3 2" xfId="47761" xr:uid="{00000000-0005-0000-0000-000089BA0000}"/>
    <cellStyle name="Normal 3 8 16 3 3" xfId="47762" xr:uid="{00000000-0005-0000-0000-00008ABA0000}"/>
    <cellStyle name="Normal 3 8 16 4" xfId="47763" xr:uid="{00000000-0005-0000-0000-00008BBA0000}"/>
    <cellStyle name="Normal 3 8 16 4 2" xfId="47764" xr:uid="{00000000-0005-0000-0000-00008CBA0000}"/>
    <cellStyle name="Normal 3 8 16 4 3" xfId="47765" xr:uid="{00000000-0005-0000-0000-00008DBA0000}"/>
    <cellStyle name="Normal 3 8 16 5" xfId="47766" xr:uid="{00000000-0005-0000-0000-00008EBA0000}"/>
    <cellStyle name="Normal 3 8 16 5 2" xfId="47767" xr:uid="{00000000-0005-0000-0000-00008FBA0000}"/>
    <cellStyle name="Normal 3 8 16 5 3" xfId="47768" xr:uid="{00000000-0005-0000-0000-000090BA0000}"/>
    <cellStyle name="Normal 3 8 16 6" xfId="47769" xr:uid="{00000000-0005-0000-0000-000091BA0000}"/>
    <cellStyle name="Normal 3 8 16 6 2" xfId="47770" xr:uid="{00000000-0005-0000-0000-000092BA0000}"/>
    <cellStyle name="Normal 3 8 16 6 3" xfId="47771" xr:uid="{00000000-0005-0000-0000-000093BA0000}"/>
    <cellStyle name="Normal 3 8 16 7" xfId="47772" xr:uid="{00000000-0005-0000-0000-000094BA0000}"/>
    <cellStyle name="Normal 3 8 16 7 2" xfId="47773" xr:uid="{00000000-0005-0000-0000-000095BA0000}"/>
    <cellStyle name="Normal 3 8 16 7 3" xfId="47774" xr:uid="{00000000-0005-0000-0000-000096BA0000}"/>
    <cellStyle name="Normal 3 8 16 8" xfId="47775" xr:uid="{00000000-0005-0000-0000-000097BA0000}"/>
    <cellStyle name="Normal 3 8 16 8 2" xfId="47776" xr:uid="{00000000-0005-0000-0000-000098BA0000}"/>
    <cellStyle name="Normal 3 8 16 8 3" xfId="47777" xr:uid="{00000000-0005-0000-0000-000099BA0000}"/>
    <cellStyle name="Normal 3 8 16 9" xfId="47778" xr:uid="{00000000-0005-0000-0000-00009ABA0000}"/>
    <cellStyle name="Normal 3 8 16 9 2" xfId="47779" xr:uid="{00000000-0005-0000-0000-00009BBA0000}"/>
    <cellStyle name="Normal 3 8 16 9 3" xfId="47780" xr:uid="{00000000-0005-0000-0000-00009CBA0000}"/>
    <cellStyle name="Normal 3 8 17" xfId="47781" xr:uid="{00000000-0005-0000-0000-00009DBA0000}"/>
    <cellStyle name="Normal 3 8 17 10" xfId="47782" xr:uid="{00000000-0005-0000-0000-00009EBA0000}"/>
    <cellStyle name="Normal 3 8 17 10 2" xfId="47783" xr:uid="{00000000-0005-0000-0000-00009FBA0000}"/>
    <cellStyle name="Normal 3 8 17 10 3" xfId="47784" xr:uid="{00000000-0005-0000-0000-0000A0BA0000}"/>
    <cellStyle name="Normal 3 8 17 11" xfId="47785" xr:uid="{00000000-0005-0000-0000-0000A1BA0000}"/>
    <cellStyle name="Normal 3 8 17 11 2" xfId="47786" xr:uid="{00000000-0005-0000-0000-0000A2BA0000}"/>
    <cellStyle name="Normal 3 8 17 11 3" xfId="47787" xr:uid="{00000000-0005-0000-0000-0000A3BA0000}"/>
    <cellStyle name="Normal 3 8 17 12" xfId="47788" xr:uid="{00000000-0005-0000-0000-0000A4BA0000}"/>
    <cellStyle name="Normal 3 8 17 12 2" xfId="47789" xr:uid="{00000000-0005-0000-0000-0000A5BA0000}"/>
    <cellStyle name="Normal 3 8 17 12 3" xfId="47790" xr:uid="{00000000-0005-0000-0000-0000A6BA0000}"/>
    <cellStyle name="Normal 3 8 17 13" xfId="47791" xr:uid="{00000000-0005-0000-0000-0000A7BA0000}"/>
    <cellStyle name="Normal 3 8 17 13 2" xfId="47792" xr:uid="{00000000-0005-0000-0000-0000A8BA0000}"/>
    <cellStyle name="Normal 3 8 17 13 3" xfId="47793" xr:uid="{00000000-0005-0000-0000-0000A9BA0000}"/>
    <cellStyle name="Normal 3 8 17 14" xfId="47794" xr:uid="{00000000-0005-0000-0000-0000AABA0000}"/>
    <cellStyle name="Normal 3 8 17 14 2" xfId="47795" xr:uid="{00000000-0005-0000-0000-0000ABBA0000}"/>
    <cellStyle name="Normal 3 8 17 14 3" xfId="47796" xr:uid="{00000000-0005-0000-0000-0000ACBA0000}"/>
    <cellStyle name="Normal 3 8 17 15" xfId="47797" xr:uid="{00000000-0005-0000-0000-0000ADBA0000}"/>
    <cellStyle name="Normal 3 8 17 16" xfId="47798" xr:uid="{00000000-0005-0000-0000-0000AEBA0000}"/>
    <cellStyle name="Normal 3 8 17 2" xfId="47799" xr:uid="{00000000-0005-0000-0000-0000AFBA0000}"/>
    <cellStyle name="Normal 3 8 17 2 2" xfId="47800" xr:uid="{00000000-0005-0000-0000-0000B0BA0000}"/>
    <cellStyle name="Normal 3 8 17 2 3" xfId="47801" xr:uid="{00000000-0005-0000-0000-0000B1BA0000}"/>
    <cellStyle name="Normal 3 8 17 3" xfId="47802" xr:uid="{00000000-0005-0000-0000-0000B2BA0000}"/>
    <cellStyle name="Normal 3 8 17 3 2" xfId="47803" xr:uid="{00000000-0005-0000-0000-0000B3BA0000}"/>
    <cellStyle name="Normal 3 8 17 3 3" xfId="47804" xr:uid="{00000000-0005-0000-0000-0000B4BA0000}"/>
    <cellStyle name="Normal 3 8 17 4" xfId="47805" xr:uid="{00000000-0005-0000-0000-0000B5BA0000}"/>
    <cellStyle name="Normal 3 8 17 4 2" xfId="47806" xr:uid="{00000000-0005-0000-0000-0000B6BA0000}"/>
    <cellStyle name="Normal 3 8 17 4 3" xfId="47807" xr:uid="{00000000-0005-0000-0000-0000B7BA0000}"/>
    <cellStyle name="Normal 3 8 17 5" xfId="47808" xr:uid="{00000000-0005-0000-0000-0000B8BA0000}"/>
    <cellStyle name="Normal 3 8 17 5 2" xfId="47809" xr:uid="{00000000-0005-0000-0000-0000B9BA0000}"/>
    <cellStyle name="Normal 3 8 17 5 3" xfId="47810" xr:uid="{00000000-0005-0000-0000-0000BABA0000}"/>
    <cellStyle name="Normal 3 8 17 6" xfId="47811" xr:uid="{00000000-0005-0000-0000-0000BBBA0000}"/>
    <cellStyle name="Normal 3 8 17 6 2" xfId="47812" xr:uid="{00000000-0005-0000-0000-0000BCBA0000}"/>
    <cellStyle name="Normal 3 8 17 6 3" xfId="47813" xr:uid="{00000000-0005-0000-0000-0000BDBA0000}"/>
    <cellStyle name="Normal 3 8 17 7" xfId="47814" xr:uid="{00000000-0005-0000-0000-0000BEBA0000}"/>
    <cellStyle name="Normal 3 8 17 7 2" xfId="47815" xr:uid="{00000000-0005-0000-0000-0000BFBA0000}"/>
    <cellStyle name="Normal 3 8 17 7 3" xfId="47816" xr:uid="{00000000-0005-0000-0000-0000C0BA0000}"/>
    <cellStyle name="Normal 3 8 17 8" xfId="47817" xr:uid="{00000000-0005-0000-0000-0000C1BA0000}"/>
    <cellStyle name="Normal 3 8 17 8 2" xfId="47818" xr:uid="{00000000-0005-0000-0000-0000C2BA0000}"/>
    <cellStyle name="Normal 3 8 17 8 3" xfId="47819" xr:uid="{00000000-0005-0000-0000-0000C3BA0000}"/>
    <cellStyle name="Normal 3 8 17 9" xfId="47820" xr:uid="{00000000-0005-0000-0000-0000C4BA0000}"/>
    <cellStyle name="Normal 3 8 17 9 2" xfId="47821" xr:uid="{00000000-0005-0000-0000-0000C5BA0000}"/>
    <cellStyle name="Normal 3 8 17 9 3" xfId="47822" xr:uid="{00000000-0005-0000-0000-0000C6BA0000}"/>
    <cellStyle name="Normal 3 8 18" xfId="47823" xr:uid="{00000000-0005-0000-0000-0000C7BA0000}"/>
    <cellStyle name="Normal 3 8 18 10" xfId="47824" xr:uid="{00000000-0005-0000-0000-0000C8BA0000}"/>
    <cellStyle name="Normal 3 8 18 10 2" xfId="47825" xr:uid="{00000000-0005-0000-0000-0000C9BA0000}"/>
    <cellStyle name="Normal 3 8 18 10 3" xfId="47826" xr:uid="{00000000-0005-0000-0000-0000CABA0000}"/>
    <cellStyle name="Normal 3 8 18 11" xfId="47827" xr:uid="{00000000-0005-0000-0000-0000CBBA0000}"/>
    <cellStyle name="Normal 3 8 18 11 2" xfId="47828" xr:uid="{00000000-0005-0000-0000-0000CCBA0000}"/>
    <cellStyle name="Normal 3 8 18 11 3" xfId="47829" xr:uid="{00000000-0005-0000-0000-0000CDBA0000}"/>
    <cellStyle name="Normal 3 8 18 12" xfId="47830" xr:uid="{00000000-0005-0000-0000-0000CEBA0000}"/>
    <cellStyle name="Normal 3 8 18 12 2" xfId="47831" xr:uid="{00000000-0005-0000-0000-0000CFBA0000}"/>
    <cellStyle name="Normal 3 8 18 12 3" xfId="47832" xr:uid="{00000000-0005-0000-0000-0000D0BA0000}"/>
    <cellStyle name="Normal 3 8 18 13" xfId="47833" xr:uid="{00000000-0005-0000-0000-0000D1BA0000}"/>
    <cellStyle name="Normal 3 8 18 13 2" xfId="47834" xr:uid="{00000000-0005-0000-0000-0000D2BA0000}"/>
    <cellStyle name="Normal 3 8 18 13 3" xfId="47835" xr:uid="{00000000-0005-0000-0000-0000D3BA0000}"/>
    <cellStyle name="Normal 3 8 18 14" xfId="47836" xr:uid="{00000000-0005-0000-0000-0000D4BA0000}"/>
    <cellStyle name="Normal 3 8 18 14 2" xfId="47837" xr:uid="{00000000-0005-0000-0000-0000D5BA0000}"/>
    <cellStyle name="Normal 3 8 18 14 3" xfId="47838" xr:uid="{00000000-0005-0000-0000-0000D6BA0000}"/>
    <cellStyle name="Normal 3 8 18 15" xfId="47839" xr:uid="{00000000-0005-0000-0000-0000D7BA0000}"/>
    <cellStyle name="Normal 3 8 18 16" xfId="47840" xr:uid="{00000000-0005-0000-0000-0000D8BA0000}"/>
    <cellStyle name="Normal 3 8 18 2" xfId="47841" xr:uid="{00000000-0005-0000-0000-0000D9BA0000}"/>
    <cellStyle name="Normal 3 8 18 2 2" xfId="47842" xr:uid="{00000000-0005-0000-0000-0000DABA0000}"/>
    <cellStyle name="Normal 3 8 18 2 3" xfId="47843" xr:uid="{00000000-0005-0000-0000-0000DBBA0000}"/>
    <cellStyle name="Normal 3 8 18 3" xfId="47844" xr:uid="{00000000-0005-0000-0000-0000DCBA0000}"/>
    <cellStyle name="Normal 3 8 18 3 2" xfId="47845" xr:uid="{00000000-0005-0000-0000-0000DDBA0000}"/>
    <cellStyle name="Normal 3 8 18 3 3" xfId="47846" xr:uid="{00000000-0005-0000-0000-0000DEBA0000}"/>
    <cellStyle name="Normal 3 8 18 4" xfId="47847" xr:uid="{00000000-0005-0000-0000-0000DFBA0000}"/>
    <cellStyle name="Normal 3 8 18 4 2" xfId="47848" xr:uid="{00000000-0005-0000-0000-0000E0BA0000}"/>
    <cellStyle name="Normal 3 8 18 4 3" xfId="47849" xr:uid="{00000000-0005-0000-0000-0000E1BA0000}"/>
    <cellStyle name="Normal 3 8 18 5" xfId="47850" xr:uid="{00000000-0005-0000-0000-0000E2BA0000}"/>
    <cellStyle name="Normal 3 8 18 5 2" xfId="47851" xr:uid="{00000000-0005-0000-0000-0000E3BA0000}"/>
    <cellStyle name="Normal 3 8 18 5 3" xfId="47852" xr:uid="{00000000-0005-0000-0000-0000E4BA0000}"/>
    <cellStyle name="Normal 3 8 18 6" xfId="47853" xr:uid="{00000000-0005-0000-0000-0000E5BA0000}"/>
    <cellStyle name="Normal 3 8 18 6 2" xfId="47854" xr:uid="{00000000-0005-0000-0000-0000E6BA0000}"/>
    <cellStyle name="Normal 3 8 18 6 3" xfId="47855" xr:uid="{00000000-0005-0000-0000-0000E7BA0000}"/>
    <cellStyle name="Normal 3 8 18 7" xfId="47856" xr:uid="{00000000-0005-0000-0000-0000E8BA0000}"/>
    <cellStyle name="Normal 3 8 18 7 2" xfId="47857" xr:uid="{00000000-0005-0000-0000-0000E9BA0000}"/>
    <cellStyle name="Normal 3 8 18 7 3" xfId="47858" xr:uid="{00000000-0005-0000-0000-0000EABA0000}"/>
    <cellStyle name="Normal 3 8 18 8" xfId="47859" xr:uid="{00000000-0005-0000-0000-0000EBBA0000}"/>
    <cellStyle name="Normal 3 8 18 8 2" xfId="47860" xr:uid="{00000000-0005-0000-0000-0000ECBA0000}"/>
    <cellStyle name="Normal 3 8 18 8 3" xfId="47861" xr:uid="{00000000-0005-0000-0000-0000EDBA0000}"/>
    <cellStyle name="Normal 3 8 18 9" xfId="47862" xr:uid="{00000000-0005-0000-0000-0000EEBA0000}"/>
    <cellStyle name="Normal 3 8 18 9 2" xfId="47863" xr:uid="{00000000-0005-0000-0000-0000EFBA0000}"/>
    <cellStyle name="Normal 3 8 18 9 3" xfId="47864" xr:uid="{00000000-0005-0000-0000-0000F0BA0000}"/>
    <cellStyle name="Normal 3 8 19" xfId="47865" xr:uid="{00000000-0005-0000-0000-0000F1BA0000}"/>
    <cellStyle name="Normal 3 8 19 10" xfId="47866" xr:uid="{00000000-0005-0000-0000-0000F2BA0000}"/>
    <cellStyle name="Normal 3 8 19 10 2" xfId="47867" xr:uid="{00000000-0005-0000-0000-0000F3BA0000}"/>
    <cellStyle name="Normal 3 8 19 10 3" xfId="47868" xr:uid="{00000000-0005-0000-0000-0000F4BA0000}"/>
    <cellStyle name="Normal 3 8 19 11" xfId="47869" xr:uid="{00000000-0005-0000-0000-0000F5BA0000}"/>
    <cellStyle name="Normal 3 8 19 11 2" xfId="47870" xr:uid="{00000000-0005-0000-0000-0000F6BA0000}"/>
    <cellStyle name="Normal 3 8 19 11 3" xfId="47871" xr:uid="{00000000-0005-0000-0000-0000F7BA0000}"/>
    <cellStyle name="Normal 3 8 19 12" xfId="47872" xr:uid="{00000000-0005-0000-0000-0000F8BA0000}"/>
    <cellStyle name="Normal 3 8 19 12 2" xfId="47873" xr:uid="{00000000-0005-0000-0000-0000F9BA0000}"/>
    <cellStyle name="Normal 3 8 19 12 3" xfId="47874" xr:uid="{00000000-0005-0000-0000-0000FABA0000}"/>
    <cellStyle name="Normal 3 8 19 13" xfId="47875" xr:uid="{00000000-0005-0000-0000-0000FBBA0000}"/>
    <cellStyle name="Normal 3 8 19 13 2" xfId="47876" xr:uid="{00000000-0005-0000-0000-0000FCBA0000}"/>
    <cellStyle name="Normal 3 8 19 13 3" xfId="47877" xr:uid="{00000000-0005-0000-0000-0000FDBA0000}"/>
    <cellStyle name="Normal 3 8 19 14" xfId="47878" xr:uid="{00000000-0005-0000-0000-0000FEBA0000}"/>
    <cellStyle name="Normal 3 8 19 14 2" xfId="47879" xr:uid="{00000000-0005-0000-0000-0000FFBA0000}"/>
    <cellStyle name="Normal 3 8 19 14 3" xfId="47880" xr:uid="{00000000-0005-0000-0000-000000BB0000}"/>
    <cellStyle name="Normal 3 8 19 15" xfId="47881" xr:uid="{00000000-0005-0000-0000-000001BB0000}"/>
    <cellStyle name="Normal 3 8 19 16" xfId="47882" xr:uid="{00000000-0005-0000-0000-000002BB0000}"/>
    <cellStyle name="Normal 3 8 19 2" xfId="47883" xr:uid="{00000000-0005-0000-0000-000003BB0000}"/>
    <cellStyle name="Normal 3 8 19 2 2" xfId="47884" xr:uid="{00000000-0005-0000-0000-000004BB0000}"/>
    <cellStyle name="Normal 3 8 19 2 3" xfId="47885" xr:uid="{00000000-0005-0000-0000-000005BB0000}"/>
    <cellStyle name="Normal 3 8 19 3" xfId="47886" xr:uid="{00000000-0005-0000-0000-000006BB0000}"/>
    <cellStyle name="Normal 3 8 19 3 2" xfId="47887" xr:uid="{00000000-0005-0000-0000-000007BB0000}"/>
    <cellStyle name="Normal 3 8 19 3 3" xfId="47888" xr:uid="{00000000-0005-0000-0000-000008BB0000}"/>
    <cellStyle name="Normal 3 8 19 4" xfId="47889" xr:uid="{00000000-0005-0000-0000-000009BB0000}"/>
    <cellStyle name="Normal 3 8 19 4 2" xfId="47890" xr:uid="{00000000-0005-0000-0000-00000ABB0000}"/>
    <cellStyle name="Normal 3 8 19 4 3" xfId="47891" xr:uid="{00000000-0005-0000-0000-00000BBB0000}"/>
    <cellStyle name="Normal 3 8 19 5" xfId="47892" xr:uid="{00000000-0005-0000-0000-00000CBB0000}"/>
    <cellStyle name="Normal 3 8 19 5 2" xfId="47893" xr:uid="{00000000-0005-0000-0000-00000DBB0000}"/>
    <cellStyle name="Normal 3 8 19 5 3" xfId="47894" xr:uid="{00000000-0005-0000-0000-00000EBB0000}"/>
    <cellStyle name="Normal 3 8 19 6" xfId="47895" xr:uid="{00000000-0005-0000-0000-00000FBB0000}"/>
    <cellStyle name="Normal 3 8 19 6 2" xfId="47896" xr:uid="{00000000-0005-0000-0000-000010BB0000}"/>
    <cellStyle name="Normal 3 8 19 6 3" xfId="47897" xr:uid="{00000000-0005-0000-0000-000011BB0000}"/>
    <cellStyle name="Normal 3 8 19 7" xfId="47898" xr:uid="{00000000-0005-0000-0000-000012BB0000}"/>
    <cellStyle name="Normal 3 8 19 7 2" xfId="47899" xr:uid="{00000000-0005-0000-0000-000013BB0000}"/>
    <cellStyle name="Normal 3 8 19 7 3" xfId="47900" xr:uid="{00000000-0005-0000-0000-000014BB0000}"/>
    <cellStyle name="Normal 3 8 19 8" xfId="47901" xr:uid="{00000000-0005-0000-0000-000015BB0000}"/>
    <cellStyle name="Normal 3 8 19 8 2" xfId="47902" xr:uid="{00000000-0005-0000-0000-000016BB0000}"/>
    <cellStyle name="Normal 3 8 19 8 3" xfId="47903" xr:uid="{00000000-0005-0000-0000-000017BB0000}"/>
    <cellStyle name="Normal 3 8 19 9" xfId="47904" xr:uid="{00000000-0005-0000-0000-000018BB0000}"/>
    <cellStyle name="Normal 3 8 19 9 2" xfId="47905" xr:uid="{00000000-0005-0000-0000-000019BB0000}"/>
    <cellStyle name="Normal 3 8 19 9 3" xfId="47906" xr:uid="{00000000-0005-0000-0000-00001ABB0000}"/>
    <cellStyle name="Normal 3 8 2" xfId="47907" xr:uid="{00000000-0005-0000-0000-00001BBB0000}"/>
    <cellStyle name="Normal 3 8 20" xfId="47908" xr:uid="{00000000-0005-0000-0000-00001CBB0000}"/>
    <cellStyle name="Normal 3 8 20 10" xfId="47909" xr:uid="{00000000-0005-0000-0000-00001DBB0000}"/>
    <cellStyle name="Normal 3 8 20 10 2" xfId="47910" xr:uid="{00000000-0005-0000-0000-00001EBB0000}"/>
    <cellStyle name="Normal 3 8 20 10 3" xfId="47911" xr:uid="{00000000-0005-0000-0000-00001FBB0000}"/>
    <cellStyle name="Normal 3 8 20 11" xfId="47912" xr:uid="{00000000-0005-0000-0000-000020BB0000}"/>
    <cellStyle name="Normal 3 8 20 11 2" xfId="47913" xr:uid="{00000000-0005-0000-0000-000021BB0000}"/>
    <cellStyle name="Normal 3 8 20 11 3" xfId="47914" xr:uid="{00000000-0005-0000-0000-000022BB0000}"/>
    <cellStyle name="Normal 3 8 20 12" xfId="47915" xr:uid="{00000000-0005-0000-0000-000023BB0000}"/>
    <cellStyle name="Normal 3 8 20 12 2" xfId="47916" xr:uid="{00000000-0005-0000-0000-000024BB0000}"/>
    <cellStyle name="Normal 3 8 20 12 3" xfId="47917" xr:uid="{00000000-0005-0000-0000-000025BB0000}"/>
    <cellStyle name="Normal 3 8 20 13" xfId="47918" xr:uid="{00000000-0005-0000-0000-000026BB0000}"/>
    <cellStyle name="Normal 3 8 20 13 2" xfId="47919" xr:uid="{00000000-0005-0000-0000-000027BB0000}"/>
    <cellStyle name="Normal 3 8 20 13 3" xfId="47920" xr:uid="{00000000-0005-0000-0000-000028BB0000}"/>
    <cellStyle name="Normal 3 8 20 14" xfId="47921" xr:uid="{00000000-0005-0000-0000-000029BB0000}"/>
    <cellStyle name="Normal 3 8 20 14 2" xfId="47922" xr:uid="{00000000-0005-0000-0000-00002ABB0000}"/>
    <cellStyle name="Normal 3 8 20 14 3" xfId="47923" xr:uid="{00000000-0005-0000-0000-00002BBB0000}"/>
    <cellStyle name="Normal 3 8 20 15" xfId="47924" xr:uid="{00000000-0005-0000-0000-00002CBB0000}"/>
    <cellStyle name="Normal 3 8 20 16" xfId="47925" xr:uid="{00000000-0005-0000-0000-00002DBB0000}"/>
    <cellStyle name="Normal 3 8 20 2" xfId="47926" xr:uid="{00000000-0005-0000-0000-00002EBB0000}"/>
    <cellStyle name="Normal 3 8 20 2 2" xfId="47927" xr:uid="{00000000-0005-0000-0000-00002FBB0000}"/>
    <cellStyle name="Normal 3 8 20 2 3" xfId="47928" xr:uid="{00000000-0005-0000-0000-000030BB0000}"/>
    <cellStyle name="Normal 3 8 20 3" xfId="47929" xr:uid="{00000000-0005-0000-0000-000031BB0000}"/>
    <cellStyle name="Normal 3 8 20 3 2" xfId="47930" xr:uid="{00000000-0005-0000-0000-000032BB0000}"/>
    <cellStyle name="Normal 3 8 20 3 3" xfId="47931" xr:uid="{00000000-0005-0000-0000-000033BB0000}"/>
    <cellStyle name="Normal 3 8 20 4" xfId="47932" xr:uid="{00000000-0005-0000-0000-000034BB0000}"/>
    <cellStyle name="Normal 3 8 20 4 2" xfId="47933" xr:uid="{00000000-0005-0000-0000-000035BB0000}"/>
    <cellStyle name="Normal 3 8 20 4 3" xfId="47934" xr:uid="{00000000-0005-0000-0000-000036BB0000}"/>
    <cellStyle name="Normal 3 8 20 5" xfId="47935" xr:uid="{00000000-0005-0000-0000-000037BB0000}"/>
    <cellStyle name="Normal 3 8 20 5 2" xfId="47936" xr:uid="{00000000-0005-0000-0000-000038BB0000}"/>
    <cellStyle name="Normal 3 8 20 5 3" xfId="47937" xr:uid="{00000000-0005-0000-0000-000039BB0000}"/>
    <cellStyle name="Normal 3 8 20 6" xfId="47938" xr:uid="{00000000-0005-0000-0000-00003ABB0000}"/>
    <cellStyle name="Normal 3 8 20 6 2" xfId="47939" xr:uid="{00000000-0005-0000-0000-00003BBB0000}"/>
    <cellStyle name="Normal 3 8 20 6 3" xfId="47940" xr:uid="{00000000-0005-0000-0000-00003CBB0000}"/>
    <cellStyle name="Normal 3 8 20 7" xfId="47941" xr:uid="{00000000-0005-0000-0000-00003DBB0000}"/>
    <cellStyle name="Normal 3 8 20 7 2" xfId="47942" xr:uid="{00000000-0005-0000-0000-00003EBB0000}"/>
    <cellStyle name="Normal 3 8 20 7 3" xfId="47943" xr:uid="{00000000-0005-0000-0000-00003FBB0000}"/>
    <cellStyle name="Normal 3 8 20 8" xfId="47944" xr:uid="{00000000-0005-0000-0000-000040BB0000}"/>
    <cellStyle name="Normal 3 8 20 8 2" xfId="47945" xr:uid="{00000000-0005-0000-0000-000041BB0000}"/>
    <cellStyle name="Normal 3 8 20 8 3" xfId="47946" xr:uid="{00000000-0005-0000-0000-000042BB0000}"/>
    <cellStyle name="Normal 3 8 20 9" xfId="47947" xr:uid="{00000000-0005-0000-0000-000043BB0000}"/>
    <cellStyle name="Normal 3 8 20 9 2" xfId="47948" xr:uid="{00000000-0005-0000-0000-000044BB0000}"/>
    <cellStyle name="Normal 3 8 20 9 3" xfId="47949" xr:uid="{00000000-0005-0000-0000-000045BB0000}"/>
    <cellStyle name="Normal 3 8 21" xfId="47950" xr:uid="{00000000-0005-0000-0000-000046BB0000}"/>
    <cellStyle name="Normal 3 8 21 10" xfId="47951" xr:uid="{00000000-0005-0000-0000-000047BB0000}"/>
    <cellStyle name="Normal 3 8 21 10 2" xfId="47952" xr:uid="{00000000-0005-0000-0000-000048BB0000}"/>
    <cellStyle name="Normal 3 8 21 10 3" xfId="47953" xr:uid="{00000000-0005-0000-0000-000049BB0000}"/>
    <cellStyle name="Normal 3 8 21 11" xfId="47954" xr:uid="{00000000-0005-0000-0000-00004ABB0000}"/>
    <cellStyle name="Normal 3 8 21 11 2" xfId="47955" xr:uid="{00000000-0005-0000-0000-00004BBB0000}"/>
    <cellStyle name="Normal 3 8 21 11 3" xfId="47956" xr:uid="{00000000-0005-0000-0000-00004CBB0000}"/>
    <cellStyle name="Normal 3 8 21 12" xfId="47957" xr:uid="{00000000-0005-0000-0000-00004DBB0000}"/>
    <cellStyle name="Normal 3 8 21 12 2" xfId="47958" xr:uid="{00000000-0005-0000-0000-00004EBB0000}"/>
    <cellStyle name="Normal 3 8 21 12 3" xfId="47959" xr:uid="{00000000-0005-0000-0000-00004FBB0000}"/>
    <cellStyle name="Normal 3 8 21 13" xfId="47960" xr:uid="{00000000-0005-0000-0000-000050BB0000}"/>
    <cellStyle name="Normal 3 8 21 13 2" xfId="47961" xr:uid="{00000000-0005-0000-0000-000051BB0000}"/>
    <cellStyle name="Normal 3 8 21 13 3" xfId="47962" xr:uid="{00000000-0005-0000-0000-000052BB0000}"/>
    <cellStyle name="Normal 3 8 21 14" xfId="47963" xr:uid="{00000000-0005-0000-0000-000053BB0000}"/>
    <cellStyle name="Normal 3 8 21 14 2" xfId="47964" xr:uid="{00000000-0005-0000-0000-000054BB0000}"/>
    <cellStyle name="Normal 3 8 21 14 3" xfId="47965" xr:uid="{00000000-0005-0000-0000-000055BB0000}"/>
    <cellStyle name="Normal 3 8 21 15" xfId="47966" xr:uid="{00000000-0005-0000-0000-000056BB0000}"/>
    <cellStyle name="Normal 3 8 21 16" xfId="47967" xr:uid="{00000000-0005-0000-0000-000057BB0000}"/>
    <cellStyle name="Normal 3 8 21 2" xfId="47968" xr:uid="{00000000-0005-0000-0000-000058BB0000}"/>
    <cellStyle name="Normal 3 8 21 2 2" xfId="47969" xr:uid="{00000000-0005-0000-0000-000059BB0000}"/>
    <cellStyle name="Normal 3 8 21 2 3" xfId="47970" xr:uid="{00000000-0005-0000-0000-00005ABB0000}"/>
    <cellStyle name="Normal 3 8 21 3" xfId="47971" xr:uid="{00000000-0005-0000-0000-00005BBB0000}"/>
    <cellStyle name="Normal 3 8 21 3 2" xfId="47972" xr:uid="{00000000-0005-0000-0000-00005CBB0000}"/>
    <cellStyle name="Normal 3 8 21 3 3" xfId="47973" xr:uid="{00000000-0005-0000-0000-00005DBB0000}"/>
    <cellStyle name="Normal 3 8 21 4" xfId="47974" xr:uid="{00000000-0005-0000-0000-00005EBB0000}"/>
    <cellStyle name="Normal 3 8 21 4 2" xfId="47975" xr:uid="{00000000-0005-0000-0000-00005FBB0000}"/>
    <cellStyle name="Normal 3 8 21 4 3" xfId="47976" xr:uid="{00000000-0005-0000-0000-000060BB0000}"/>
    <cellStyle name="Normal 3 8 21 5" xfId="47977" xr:uid="{00000000-0005-0000-0000-000061BB0000}"/>
    <cellStyle name="Normal 3 8 21 5 2" xfId="47978" xr:uid="{00000000-0005-0000-0000-000062BB0000}"/>
    <cellStyle name="Normal 3 8 21 5 3" xfId="47979" xr:uid="{00000000-0005-0000-0000-000063BB0000}"/>
    <cellStyle name="Normal 3 8 21 6" xfId="47980" xr:uid="{00000000-0005-0000-0000-000064BB0000}"/>
    <cellStyle name="Normal 3 8 21 6 2" xfId="47981" xr:uid="{00000000-0005-0000-0000-000065BB0000}"/>
    <cellStyle name="Normal 3 8 21 6 3" xfId="47982" xr:uid="{00000000-0005-0000-0000-000066BB0000}"/>
    <cellStyle name="Normal 3 8 21 7" xfId="47983" xr:uid="{00000000-0005-0000-0000-000067BB0000}"/>
    <cellStyle name="Normal 3 8 21 7 2" xfId="47984" xr:uid="{00000000-0005-0000-0000-000068BB0000}"/>
    <cellStyle name="Normal 3 8 21 7 3" xfId="47985" xr:uid="{00000000-0005-0000-0000-000069BB0000}"/>
    <cellStyle name="Normal 3 8 21 8" xfId="47986" xr:uid="{00000000-0005-0000-0000-00006ABB0000}"/>
    <cellStyle name="Normal 3 8 21 8 2" xfId="47987" xr:uid="{00000000-0005-0000-0000-00006BBB0000}"/>
    <cellStyle name="Normal 3 8 21 8 3" xfId="47988" xr:uid="{00000000-0005-0000-0000-00006CBB0000}"/>
    <cellStyle name="Normal 3 8 21 9" xfId="47989" xr:uid="{00000000-0005-0000-0000-00006DBB0000}"/>
    <cellStyle name="Normal 3 8 21 9 2" xfId="47990" xr:uid="{00000000-0005-0000-0000-00006EBB0000}"/>
    <cellStyle name="Normal 3 8 21 9 3" xfId="47991" xr:uid="{00000000-0005-0000-0000-00006FBB0000}"/>
    <cellStyle name="Normal 3 8 22" xfId="47992" xr:uid="{00000000-0005-0000-0000-000070BB0000}"/>
    <cellStyle name="Normal 3 8 22 10" xfId="47993" xr:uid="{00000000-0005-0000-0000-000071BB0000}"/>
    <cellStyle name="Normal 3 8 22 10 2" xfId="47994" xr:uid="{00000000-0005-0000-0000-000072BB0000}"/>
    <cellStyle name="Normal 3 8 22 10 3" xfId="47995" xr:uid="{00000000-0005-0000-0000-000073BB0000}"/>
    <cellStyle name="Normal 3 8 22 11" xfId="47996" xr:uid="{00000000-0005-0000-0000-000074BB0000}"/>
    <cellStyle name="Normal 3 8 22 11 2" xfId="47997" xr:uid="{00000000-0005-0000-0000-000075BB0000}"/>
    <cellStyle name="Normal 3 8 22 11 3" xfId="47998" xr:uid="{00000000-0005-0000-0000-000076BB0000}"/>
    <cellStyle name="Normal 3 8 22 12" xfId="47999" xr:uid="{00000000-0005-0000-0000-000077BB0000}"/>
    <cellStyle name="Normal 3 8 22 12 2" xfId="48000" xr:uid="{00000000-0005-0000-0000-000078BB0000}"/>
    <cellStyle name="Normal 3 8 22 12 3" xfId="48001" xr:uid="{00000000-0005-0000-0000-000079BB0000}"/>
    <cellStyle name="Normal 3 8 22 13" xfId="48002" xr:uid="{00000000-0005-0000-0000-00007ABB0000}"/>
    <cellStyle name="Normal 3 8 22 13 2" xfId="48003" xr:uid="{00000000-0005-0000-0000-00007BBB0000}"/>
    <cellStyle name="Normal 3 8 22 13 3" xfId="48004" xr:uid="{00000000-0005-0000-0000-00007CBB0000}"/>
    <cellStyle name="Normal 3 8 22 14" xfId="48005" xr:uid="{00000000-0005-0000-0000-00007DBB0000}"/>
    <cellStyle name="Normal 3 8 22 14 2" xfId="48006" xr:uid="{00000000-0005-0000-0000-00007EBB0000}"/>
    <cellStyle name="Normal 3 8 22 14 3" xfId="48007" xr:uid="{00000000-0005-0000-0000-00007FBB0000}"/>
    <cellStyle name="Normal 3 8 22 15" xfId="48008" xr:uid="{00000000-0005-0000-0000-000080BB0000}"/>
    <cellStyle name="Normal 3 8 22 16" xfId="48009" xr:uid="{00000000-0005-0000-0000-000081BB0000}"/>
    <cellStyle name="Normal 3 8 22 2" xfId="48010" xr:uid="{00000000-0005-0000-0000-000082BB0000}"/>
    <cellStyle name="Normal 3 8 22 2 2" xfId="48011" xr:uid="{00000000-0005-0000-0000-000083BB0000}"/>
    <cellStyle name="Normal 3 8 22 2 3" xfId="48012" xr:uid="{00000000-0005-0000-0000-000084BB0000}"/>
    <cellStyle name="Normal 3 8 22 3" xfId="48013" xr:uid="{00000000-0005-0000-0000-000085BB0000}"/>
    <cellStyle name="Normal 3 8 22 3 2" xfId="48014" xr:uid="{00000000-0005-0000-0000-000086BB0000}"/>
    <cellStyle name="Normal 3 8 22 3 3" xfId="48015" xr:uid="{00000000-0005-0000-0000-000087BB0000}"/>
    <cellStyle name="Normal 3 8 22 4" xfId="48016" xr:uid="{00000000-0005-0000-0000-000088BB0000}"/>
    <cellStyle name="Normal 3 8 22 4 2" xfId="48017" xr:uid="{00000000-0005-0000-0000-000089BB0000}"/>
    <cellStyle name="Normal 3 8 22 4 3" xfId="48018" xr:uid="{00000000-0005-0000-0000-00008ABB0000}"/>
    <cellStyle name="Normal 3 8 22 5" xfId="48019" xr:uid="{00000000-0005-0000-0000-00008BBB0000}"/>
    <cellStyle name="Normal 3 8 22 5 2" xfId="48020" xr:uid="{00000000-0005-0000-0000-00008CBB0000}"/>
    <cellStyle name="Normal 3 8 22 5 3" xfId="48021" xr:uid="{00000000-0005-0000-0000-00008DBB0000}"/>
    <cellStyle name="Normal 3 8 22 6" xfId="48022" xr:uid="{00000000-0005-0000-0000-00008EBB0000}"/>
    <cellStyle name="Normal 3 8 22 6 2" xfId="48023" xr:uid="{00000000-0005-0000-0000-00008FBB0000}"/>
    <cellStyle name="Normal 3 8 22 6 3" xfId="48024" xr:uid="{00000000-0005-0000-0000-000090BB0000}"/>
    <cellStyle name="Normal 3 8 22 7" xfId="48025" xr:uid="{00000000-0005-0000-0000-000091BB0000}"/>
    <cellStyle name="Normal 3 8 22 7 2" xfId="48026" xr:uid="{00000000-0005-0000-0000-000092BB0000}"/>
    <cellStyle name="Normal 3 8 22 7 3" xfId="48027" xr:uid="{00000000-0005-0000-0000-000093BB0000}"/>
    <cellStyle name="Normal 3 8 22 8" xfId="48028" xr:uid="{00000000-0005-0000-0000-000094BB0000}"/>
    <cellStyle name="Normal 3 8 22 8 2" xfId="48029" xr:uid="{00000000-0005-0000-0000-000095BB0000}"/>
    <cellStyle name="Normal 3 8 22 8 3" xfId="48030" xr:uid="{00000000-0005-0000-0000-000096BB0000}"/>
    <cellStyle name="Normal 3 8 22 9" xfId="48031" xr:uid="{00000000-0005-0000-0000-000097BB0000}"/>
    <cellStyle name="Normal 3 8 22 9 2" xfId="48032" xr:uid="{00000000-0005-0000-0000-000098BB0000}"/>
    <cellStyle name="Normal 3 8 22 9 3" xfId="48033" xr:uid="{00000000-0005-0000-0000-000099BB0000}"/>
    <cellStyle name="Normal 3 8 23" xfId="48034" xr:uid="{00000000-0005-0000-0000-00009ABB0000}"/>
    <cellStyle name="Normal 3 8 24" xfId="48035" xr:uid="{00000000-0005-0000-0000-00009BBB0000}"/>
    <cellStyle name="Normal 3 8 25" xfId="48036" xr:uid="{00000000-0005-0000-0000-00009CBB0000}"/>
    <cellStyle name="Normal 3 8 25 10" xfId="48037" xr:uid="{00000000-0005-0000-0000-00009DBB0000}"/>
    <cellStyle name="Normal 3 8 25 10 2" xfId="48038" xr:uid="{00000000-0005-0000-0000-00009EBB0000}"/>
    <cellStyle name="Normal 3 8 25 10 3" xfId="48039" xr:uid="{00000000-0005-0000-0000-00009FBB0000}"/>
    <cellStyle name="Normal 3 8 25 11" xfId="48040" xr:uid="{00000000-0005-0000-0000-0000A0BB0000}"/>
    <cellStyle name="Normal 3 8 25 11 2" xfId="48041" xr:uid="{00000000-0005-0000-0000-0000A1BB0000}"/>
    <cellStyle name="Normal 3 8 25 11 3" xfId="48042" xr:uid="{00000000-0005-0000-0000-0000A2BB0000}"/>
    <cellStyle name="Normal 3 8 25 12" xfId="48043" xr:uid="{00000000-0005-0000-0000-0000A3BB0000}"/>
    <cellStyle name="Normal 3 8 25 12 2" xfId="48044" xr:uid="{00000000-0005-0000-0000-0000A4BB0000}"/>
    <cellStyle name="Normal 3 8 25 12 3" xfId="48045" xr:uid="{00000000-0005-0000-0000-0000A5BB0000}"/>
    <cellStyle name="Normal 3 8 25 13" xfId="48046" xr:uid="{00000000-0005-0000-0000-0000A6BB0000}"/>
    <cellStyle name="Normal 3 8 25 13 2" xfId="48047" xr:uid="{00000000-0005-0000-0000-0000A7BB0000}"/>
    <cellStyle name="Normal 3 8 25 13 3" xfId="48048" xr:uid="{00000000-0005-0000-0000-0000A8BB0000}"/>
    <cellStyle name="Normal 3 8 25 14" xfId="48049" xr:uid="{00000000-0005-0000-0000-0000A9BB0000}"/>
    <cellStyle name="Normal 3 8 25 14 2" xfId="48050" xr:uid="{00000000-0005-0000-0000-0000AABB0000}"/>
    <cellStyle name="Normal 3 8 25 14 3" xfId="48051" xr:uid="{00000000-0005-0000-0000-0000ABBB0000}"/>
    <cellStyle name="Normal 3 8 25 15" xfId="48052" xr:uid="{00000000-0005-0000-0000-0000ACBB0000}"/>
    <cellStyle name="Normal 3 8 25 16" xfId="48053" xr:uid="{00000000-0005-0000-0000-0000ADBB0000}"/>
    <cellStyle name="Normal 3 8 25 2" xfId="48054" xr:uid="{00000000-0005-0000-0000-0000AEBB0000}"/>
    <cellStyle name="Normal 3 8 25 2 2" xfId="48055" xr:uid="{00000000-0005-0000-0000-0000AFBB0000}"/>
    <cellStyle name="Normal 3 8 25 2 3" xfId="48056" xr:uid="{00000000-0005-0000-0000-0000B0BB0000}"/>
    <cellStyle name="Normal 3 8 25 3" xfId="48057" xr:uid="{00000000-0005-0000-0000-0000B1BB0000}"/>
    <cellStyle name="Normal 3 8 25 3 2" xfId="48058" xr:uid="{00000000-0005-0000-0000-0000B2BB0000}"/>
    <cellStyle name="Normal 3 8 25 3 3" xfId="48059" xr:uid="{00000000-0005-0000-0000-0000B3BB0000}"/>
    <cellStyle name="Normal 3 8 25 4" xfId="48060" xr:uid="{00000000-0005-0000-0000-0000B4BB0000}"/>
    <cellStyle name="Normal 3 8 25 4 2" xfId="48061" xr:uid="{00000000-0005-0000-0000-0000B5BB0000}"/>
    <cellStyle name="Normal 3 8 25 4 3" xfId="48062" xr:uid="{00000000-0005-0000-0000-0000B6BB0000}"/>
    <cellStyle name="Normal 3 8 25 5" xfId="48063" xr:uid="{00000000-0005-0000-0000-0000B7BB0000}"/>
    <cellStyle name="Normal 3 8 25 5 2" xfId="48064" xr:uid="{00000000-0005-0000-0000-0000B8BB0000}"/>
    <cellStyle name="Normal 3 8 25 5 3" xfId="48065" xr:uid="{00000000-0005-0000-0000-0000B9BB0000}"/>
    <cellStyle name="Normal 3 8 25 6" xfId="48066" xr:uid="{00000000-0005-0000-0000-0000BABB0000}"/>
    <cellStyle name="Normal 3 8 25 6 2" xfId="48067" xr:uid="{00000000-0005-0000-0000-0000BBBB0000}"/>
    <cellStyle name="Normal 3 8 25 6 3" xfId="48068" xr:uid="{00000000-0005-0000-0000-0000BCBB0000}"/>
    <cellStyle name="Normal 3 8 25 7" xfId="48069" xr:uid="{00000000-0005-0000-0000-0000BDBB0000}"/>
    <cellStyle name="Normal 3 8 25 7 2" xfId="48070" xr:uid="{00000000-0005-0000-0000-0000BEBB0000}"/>
    <cellStyle name="Normal 3 8 25 7 3" xfId="48071" xr:uid="{00000000-0005-0000-0000-0000BFBB0000}"/>
    <cellStyle name="Normal 3 8 25 8" xfId="48072" xr:uid="{00000000-0005-0000-0000-0000C0BB0000}"/>
    <cellStyle name="Normal 3 8 25 8 2" xfId="48073" xr:uid="{00000000-0005-0000-0000-0000C1BB0000}"/>
    <cellStyle name="Normal 3 8 25 8 3" xfId="48074" xr:uid="{00000000-0005-0000-0000-0000C2BB0000}"/>
    <cellStyle name="Normal 3 8 25 9" xfId="48075" xr:uid="{00000000-0005-0000-0000-0000C3BB0000}"/>
    <cellStyle name="Normal 3 8 25 9 2" xfId="48076" xr:uid="{00000000-0005-0000-0000-0000C4BB0000}"/>
    <cellStyle name="Normal 3 8 25 9 3" xfId="48077" xr:uid="{00000000-0005-0000-0000-0000C5BB0000}"/>
    <cellStyle name="Normal 3 8 26" xfId="48078" xr:uid="{00000000-0005-0000-0000-0000C6BB0000}"/>
    <cellStyle name="Normal 3 8 26 10" xfId="48079" xr:uid="{00000000-0005-0000-0000-0000C7BB0000}"/>
    <cellStyle name="Normal 3 8 26 10 2" xfId="48080" xr:uid="{00000000-0005-0000-0000-0000C8BB0000}"/>
    <cellStyle name="Normal 3 8 26 10 3" xfId="48081" xr:uid="{00000000-0005-0000-0000-0000C9BB0000}"/>
    <cellStyle name="Normal 3 8 26 11" xfId="48082" xr:uid="{00000000-0005-0000-0000-0000CABB0000}"/>
    <cellStyle name="Normal 3 8 26 11 2" xfId="48083" xr:uid="{00000000-0005-0000-0000-0000CBBB0000}"/>
    <cellStyle name="Normal 3 8 26 11 3" xfId="48084" xr:uid="{00000000-0005-0000-0000-0000CCBB0000}"/>
    <cellStyle name="Normal 3 8 26 12" xfId="48085" xr:uid="{00000000-0005-0000-0000-0000CDBB0000}"/>
    <cellStyle name="Normal 3 8 26 12 2" xfId="48086" xr:uid="{00000000-0005-0000-0000-0000CEBB0000}"/>
    <cellStyle name="Normal 3 8 26 12 3" xfId="48087" xr:uid="{00000000-0005-0000-0000-0000CFBB0000}"/>
    <cellStyle name="Normal 3 8 26 13" xfId="48088" xr:uid="{00000000-0005-0000-0000-0000D0BB0000}"/>
    <cellStyle name="Normal 3 8 26 13 2" xfId="48089" xr:uid="{00000000-0005-0000-0000-0000D1BB0000}"/>
    <cellStyle name="Normal 3 8 26 13 3" xfId="48090" xr:uid="{00000000-0005-0000-0000-0000D2BB0000}"/>
    <cellStyle name="Normal 3 8 26 14" xfId="48091" xr:uid="{00000000-0005-0000-0000-0000D3BB0000}"/>
    <cellStyle name="Normal 3 8 26 14 2" xfId="48092" xr:uid="{00000000-0005-0000-0000-0000D4BB0000}"/>
    <cellStyle name="Normal 3 8 26 14 3" xfId="48093" xr:uid="{00000000-0005-0000-0000-0000D5BB0000}"/>
    <cellStyle name="Normal 3 8 26 15" xfId="48094" xr:uid="{00000000-0005-0000-0000-0000D6BB0000}"/>
    <cellStyle name="Normal 3 8 26 16" xfId="48095" xr:uid="{00000000-0005-0000-0000-0000D7BB0000}"/>
    <cellStyle name="Normal 3 8 26 2" xfId="48096" xr:uid="{00000000-0005-0000-0000-0000D8BB0000}"/>
    <cellStyle name="Normal 3 8 26 2 2" xfId="48097" xr:uid="{00000000-0005-0000-0000-0000D9BB0000}"/>
    <cellStyle name="Normal 3 8 26 2 3" xfId="48098" xr:uid="{00000000-0005-0000-0000-0000DABB0000}"/>
    <cellStyle name="Normal 3 8 26 3" xfId="48099" xr:uid="{00000000-0005-0000-0000-0000DBBB0000}"/>
    <cellStyle name="Normal 3 8 26 3 2" xfId="48100" xr:uid="{00000000-0005-0000-0000-0000DCBB0000}"/>
    <cellStyle name="Normal 3 8 26 3 3" xfId="48101" xr:uid="{00000000-0005-0000-0000-0000DDBB0000}"/>
    <cellStyle name="Normal 3 8 26 4" xfId="48102" xr:uid="{00000000-0005-0000-0000-0000DEBB0000}"/>
    <cellStyle name="Normal 3 8 26 4 2" xfId="48103" xr:uid="{00000000-0005-0000-0000-0000DFBB0000}"/>
    <cellStyle name="Normal 3 8 26 4 3" xfId="48104" xr:uid="{00000000-0005-0000-0000-0000E0BB0000}"/>
    <cellStyle name="Normal 3 8 26 5" xfId="48105" xr:uid="{00000000-0005-0000-0000-0000E1BB0000}"/>
    <cellStyle name="Normal 3 8 26 5 2" xfId="48106" xr:uid="{00000000-0005-0000-0000-0000E2BB0000}"/>
    <cellStyle name="Normal 3 8 26 5 3" xfId="48107" xr:uid="{00000000-0005-0000-0000-0000E3BB0000}"/>
    <cellStyle name="Normal 3 8 26 6" xfId="48108" xr:uid="{00000000-0005-0000-0000-0000E4BB0000}"/>
    <cellStyle name="Normal 3 8 26 6 2" xfId="48109" xr:uid="{00000000-0005-0000-0000-0000E5BB0000}"/>
    <cellStyle name="Normal 3 8 26 6 3" xfId="48110" xr:uid="{00000000-0005-0000-0000-0000E6BB0000}"/>
    <cellStyle name="Normal 3 8 26 7" xfId="48111" xr:uid="{00000000-0005-0000-0000-0000E7BB0000}"/>
    <cellStyle name="Normal 3 8 26 7 2" xfId="48112" xr:uid="{00000000-0005-0000-0000-0000E8BB0000}"/>
    <cellStyle name="Normal 3 8 26 7 3" xfId="48113" xr:uid="{00000000-0005-0000-0000-0000E9BB0000}"/>
    <cellStyle name="Normal 3 8 26 8" xfId="48114" xr:uid="{00000000-0005-0000-0000-0000EABB0000}"/>
    <cellStyle name="Normal 3 8 26 8 2" xfId="48115" xr:uid="{00000000-0005-0000-0000-0000EBBB0000}"/>
    <cellStyle name="Normal 3 8 26 8 3" xfId="48116" xr:uid="{00000000-0005-0000-0000-0000ECBB0000}"/>
    <cellStyle name="Normal 3 8 26 9" xfId="48117" xr:uid="{00000000-0005-0000-0000-0000EDBB0000}"/>
    <cellStyle name="Normal 3 8 26 9 2" xfId="48118" xr:uid="{00000000-0005-0000-0000-0000EEBB0000}"/>
    <cellStyle name="Normal 3 8 26 9 3" xfId="48119" xr:uid="{00000000-0005-0000-0000-0000EFBB0000}"/>
    <cellStyle name="Normal 3 8 3" xfId="48120" xr:uid="{00000000-0005-0000-0000-0000F0BB0000}"/>
    <cellStyle name="Normal 3 8 4" xfId="48121" xr:uid="{00000000-0005-0000-0000-0000F1BB0000}"/>
    <cellStyle name="Normal 3 8 5" xfId="48122" xr:uid="{00000000-0005-0000-0000-0000F2BB0000}"/>
    <cellStyle name="Normal 3 8 6" xfId="48123" xr:uid="{00000000-0005-0000-0000-0000F3BB0000}"/>
    <cellStyle name="Normal 3 8 7" xfId="48124" xr:uid="{00000000-0005-0000-0000-0000F4BB0000}"/>
    <cellStyle name="Normal 3 8 8" xfId="48125" xr:uid="{00000000-0005-0000-0000-0000F5BB0000}"/>
    <cellStyle name="Normal 3 8 9" xfId="48126" xr:uid="{00000000-0005-0000-0000-0000F6BB0000}"/>
    <cellStyle name="Normal 3 8_End-use Summary" xfId="48127" xr:uid="{00000000-0005-0000-0000-0000F7BB0000}"/>
    <cellStyle name="Normal 3 9" xfId="48128" xr:uid="{00000000-0005-0000-0000-0000F8BB0000}"/>
    <cellStyle name="Normal 3 9 10" xfId="48129" xr:uid="{00000000-0005-0000-0000-0000F9BB0000}"/>
    <cellStyle name="Normal 3 9 11" xfId="48130" xr:uid="{00000000-0005-0000-0000-0000FABB0000}"/>
    <cellStyle name="Normal 3 9 11 10" xfId="48131" xr:uid="{00000000-0005-0000-0000-0000FBBB0000}"/>
    <cellStyle name="Normal 3 9 11 10 2" xfId="48132" xr:uid="{00000000-0005-0000-0000-0000FCBB0000}"/>
    <cellStyle name="Normal 3 9 11 10 3" xfId="48133" xr:uid="{00000000-0005-0000-0000-0000FDBB0000}"/>
    <cellStyle name="Normal 3 9 11 11" xfId="48134" xr:uid="{00000000-0005-0000-0000-0000FEBB0000}"/>
    <cellStyle name="Normal 3 9 11 11 2" xfId="48135" xr:uid="{00000000-0005-0000-0000-0000FFBB0000}"/>
    <cellStyle name="Normal 3 9 11 11 3" xfId="48136" xr:uid="{00000000-0005-0000-0000-000000BC0000}"/>
    <cellStyle name="Normal 3 9 11 12" xfId="48137" xr:uid="{00000000-0005-0000-0000-000001BC0000}"/>
    <cellStyle name="Normal 3 9 11 12 2" xfId="48138" xr:uid="{00000000-0005-0000-0000-000002BC0000}"/>
    <cellStyle name="Normal 3 9 11 12 3" xfId="48139" xr:uid="{00000000-0005-0000-0000-000003BC0000}"/>
    <cellStyle name="Normal 3 9 11 13" xfId="48140" xr:uid="{00000000-0005-0000-0000-000004BC0000}"/>
    <cellStyle name="Normal 3 9 11 13 2" xfId="48141" xr:uid="{00000000-0005-0000-0000-000005BC0000}"/>
    <cellStyle name="Normal 3 9 11 13 3" xfId="48142" xr:uid="{00000000-0005-0000-0000-000006BC0000}"/>
    <cellStyle name="Normal 3 9 11 14" xfId="48143" xr:uid="{00000000-0005-0000-0000-000007BC0000}"/>
    <cellStyle name="Normal 3 9 11 14 2" xfId="48144" xr:uid="{00000000-0005-0000-0000-000008BC0000}"/>
    <cellStyle name="Normal 3 9 11 14 3" xfId="48145" xr:uid="{00000000-0005-0000-0000-000009BC0000}"/>
    <cellStyle name="Normal 3 9 11 15" xfId="48146" xr:uid="{00000000-0005-0000-0000-00000ABC0000}"/>
    <cellStyle name="Normal 3 9 11 15 2" xfId="48147" xr:uid="{00000000-0005-0000-0000-00000BBC0000}"/>
    <cellStyle name="Normal 3 9 11 15 3" xfId="48148" xr:uid="{00000000-0005-0000-0000-00000CBC0000}"/>
    <cellStyle name="Normal 3 9 11 16" xfId="48149" xr:uid="{00000000-0005-0000-0000-00000DBC0000}"/>
    <cellStyle name="Normal 3 9 11 16 2" xfId="48150" xr:uid="{00000000-0005-0000-0000-00000EBC0000}"/>
    <cellStyle name="Normal 3 9 11 16 3" xfId="48151" xr:uid="{00000000-0005-0000-0000-00000FBC0000}"/>
    <cellStyle name="Normal 3 9 11 17" xfId="48152" xr:uid="{00000000-0005-0000-0000-000010BC0000}"/>
    <cellStyle name="Normal 3 9 11 17 2" xfId="48153" xr:uid="{00000000-0005-0000-0000-000011BC0000}"/>
    <cellStyle name="Normal 3 9 11 17 3" xfId="48154" xr:uid="{00000000-0005-0000-0000-000012BC0000}"/>
    <cellStyle name="Normal 3 9 11 18" xfId="48155" xr:uid="{00000000-0005-0000-0000-000013BC0000}"/>
    <cellStyle name="Normal 3 9 11 19" xfId="48156" xr:uid="{00000000-0005-0000-0000-000014BC0000}"/>
    <cellStyle name="Normal 3 9 11 2" xfId="48157" xr:uid="{00000000-0005-0000-0000-000015BC0000}"/>
    <cellStyle name="Normal 3 9 11 3" xfId="48158" xr:uid="{00000000-0005-0000-0000-000016BC0000}"/>
    <cellStyle name="Normal 3 9 11 4" xfId="48159" xr:uid="{00000000-0005-0000-0000-000017BC0000}"/>
    <cellStyle name="Normal 3 9 11 5" xfId="48160" xr:uid="{00000000-0005-0000-0000-000018BC0000}"/>
    <cellStyle name="Normal 3 9 11 5 2" xfId="48161" xr:uid="{00000000-0005-0000-0000-000019BC0000}"/>
    <cellStyle name="Normal 3 9 11 5 3" xfId="48162" xr:uid="{00000000-0005-0000-0000-00001ABC0000}"/>
    <cellStyle name="Normal 3 9 11 6" xfId="48163" xr:uid="{00000000-0005-0000-0000-00001BBC0000}"/>
    <cellStyle name="Normal 3 9 11 6 2" xfId="48164" xr:uid="{00000000-0005-0000-0000-00001CBC0000}"/>
    <cellStyle name="Normal 3 9 11 6 3" xfId="48165" xr:uid="{00000000-0005-0000-0000-00001DBC0000}"/>
    <cellStyle name="Normal 3 9 11 7" xfId="48166" xr:uid="{00000000-0005-0000-0000-00001EBC0000}"/>
    <cellStyle name="Normal 3 9 11 7 2" xfId="48167" xr:uid="{00000000-0005-0000-0000-00001FBC0000}"/>
    <cellStyle name="Normal 3 9 11 7 3" xfId="48168" xr:uid="{00000000-0005-0000-0000-000020BC0000}"/>
    <cellStyle name="Normal 3 9 11 8" xfId="48169" xr:uid="{00000000-0005-0000-0000-000021BC0000}"/>
    <cellStyle name="Normal 3 9 11 8 2" xfId="48170" xr:uid="{00000000-0005-0000-0000-000022BC0000}"/>
    <cellStyle name="Normal 3 9 11 8 3" xfId="48171" xr:uid="{00000000-0005-0000-0000-000023BC0000}"/>
    <cellStyle name="Normal 3 9 11 9" xfId="48172" xr:uid="{00000000-0005-0000-0000-000024BC0000}"/>
    <cellStyle name="Normal 3 9 11 9 2" xfId="48173" xr:uid="{00000000-0005-0000-0000-000025BC0000}"/>
    <cellStyle name="Normal 3 9 11 9 3" xfId="48174" xr:uid="{00000000-0005-0000-0000-000026BC0000}"/>
    <cellStyle name="Normal 3 9 12" xfId="48175" xr:uid="{00000000-0005-0000-0000-000027BC0000}"/>
    <cellStyle name="Normal 3 9 13" xfId="48176" xr:uid="{00000000-0005-0000-0000-000028BC0000}"/>
    <cellStyle name="Normal 3 9 14" xfId="48177" xr:uid="{00000000-0005-0000-0000-000029BC0000}"/>
    <cellStyle name="Normal 3 9 14 10" xfId="48178" xr:uid="{00000000-0005-0000-0000-00002ABC0000}"/>
    <cellStyle name="Normal 3 9 14 10 2" xfId="48179" xr:uid="{00000000-0005-0000-0000-00002BBC0000}"/>
    <cellStyle name="Normal 3 9 14 10 3" xfId="48180" xr:uid="{00000000-0005-0000-0000-00002CBC0000}"/>
    <cellStyle name="Normal 3 9 14 11" xfId="48181" xr:uid="{00000000-0005-0000-0000-00002DBC0000}"/>
    <cellStyle name="Normal 3 9 14 11 2" xfId="48182" xr:uid="{00000000-0005-0000-0000-00002EBC0000}"/>
    <cellStyle name="Normal 3 9 14 11 3" xfId="48183" xr:uid="{00000000-0005-0000-0000-00002FBC0000}"/>
    <cellStyle name="Normal 3 9 14 12" xfId="48184" xr:uid="{00000000-0005-0000-0000-000030BC0000}"/>
    <cellStyle name="Normal 3 9 14 12 2" xfId="48185" xr:uid="{00000000-0005-0000-0000-000031BC0000}"/>
    <cellStyle name="Normal 3 9 14 12 3" xfId="48186" xr:uid="{00000000-0005-0000-0000-000032BC0000}"/>
    <cellStyle name="Normal 3 9 14 13" xfId="48187" xr:uid="{00000000-0005-0000-0000-000033BC0000}"/>
    <cellStyle name="Normal 3 9 14 13 2" xfId="48188" xr:uid="{00000000-0005-0000-0000-000034BC0000}"/>
    <cellStyle name="Normal 3 9 14 13 3" xfId="48189" xr:uid="{00000000-0005-0000-0000-000035BC0000}"/>
    <cellStyle name="Normal 3 9 14 14" xfId="48190" xr:uid="{00000000-0005-0000-0000-000036BC0000}"/>
    <cellStyle name="Normal 3 9 14 14 2" xfId="48191" xr:uid="{00000000-0005-0000-0000-000037BC0000}"/>
    <cellStyle name="Normal 3 9 14 14 3" xfId="48192" xr:uid="{00000000-0005-0000-0000-000038BC0000}"/>
    <cellStyle name="Normal 3 9 14 15" xfId="48193" xr:uid="{00000000-0005-0000-0000-000039BC0000}"/>
    <cellStyle name="Normal 3 9 14 15 2" xfId="48194" xr:uid="{00000000-0005-0000-0000-00003ABC0000}"/>
    <cellStyle name="Normal 3 9 14 15 3" xfId="48195" xr:uid="{00000000-0005-0000-0000-00003BBC0000}"/>
    <cellStyle name="Normal 3 9 14 16" xfId="48196" xr:uid="{00000000-0005-0000-0000-00003CBC0000}"/>
    <cellStyle name="Normal 3 9 14 17" xfId="48197" xr:uid="{00000000-0005-0000-0000-00003DBC0000}"/>
    <cellStyle name="Normal 3 9 14 2" xfId="48198" xr:uid="{00000000-0005-0000-0000-00003EBC0000}"/>
    <cellStyle name="Normal 3 9 14 2 10" xfId="48199" xr:uid="{00000000-0005-0000-0000-00003FBC0000}"/>
    <cellStyle name="Normal 3 9 14 2 10 2" xfId="48200" xr:uid="{00000000-0005-0000-0000-000040BC0000}"/>
    <cellStyle name="Normal 3 9 14 2 10 3" xfId="48201" xr:uid="{00000000-0005-0000-0000-000041BC0000}"/>
    <cellStyle name="Normal 3 9 14 2 11" xfId="48202" xr:uid="{00000000-0005-0000-0000-000042BC0000}"/>
    <cellStyle name="Normal 3 9 14 2 11 2" xfId="48203" xr:uid="{00000000-0005-0000-0000-000043BC0000}"/>
    <cellStyle name="Normal 3 9 14 2 11 3" xfId="48204" xr:uid="{00000000-0005-0000-0000-000044BC0000}"/>
    <cellStyle name="Normal 3 9 14 2 12" xfId="48205" xr:uid="{00000000-0005-0000-0000-000045BC0000}"/>
    <cellStyle name="Normal 3 9 14 2 12 2" xfId="48206" xr:uid="{00000000-0005-0000-0000-000046BC0000}"/>
    <cellStyle name="Normal 3 9 14 2 12 3" xfId="48207" xr:uid="{00000000-0005-0000-0000-000047BC0000}"/>
    <cellStyle name="Normal 3 9 14 2 13" xfId="48208" xr:uid="{00000000-0005-0000-0000-000048BC0000}"/>
    <cellStyle name="Normal 3 9 14 2 13 2" xfId="48209" xr:uid="{00000000-0005-0000-0000-000049BC0000}"/>
    <cellStyle name="Normal 3 9 14 2 13 3" xfId="48210" xr:uid="{00000000-0005-0000-0000-00004ABC0000}"/>
    <cellStyle name="Normal 3 9 14 2 14" xfId="48211" xr:uid="{00000000-0005-0000-0000-00004BBC0000}"/>
    <cellStyle name="Normal 3 9 14 2 14 2" xfId="48212" xr:uid="{00000000-0005-0000-0000-00004CBC0000}"/>
    <cellStyle name="Normal 3 9 14 2 14 3" xfId="48213" xr:uid="{00000000-0005-0000-0000-00004DBC0000}"/>
    <cellStyle name="Normal 3 9 14 2 15" xfId="48214" xr:uid="{00000000-0005-0000-0000-00004EBC0000}"/>
    <cellStyle name="Normal 3 9 14 2 16" xfId="48215" xr:uid="{00000000-0005-0000-0000-00004FBC0000}"/>
    <cellStyle name="Normal 3 9 14 2 2" xfId="48216" xr:uid="{00000000-0005-0000-0000-000050BC0000}"/>
    <cellStyle name="Normal 3 9 14 2 2 2" xfId="48217" xr:uid="{00000000-0005-0000-0000-000051BC0000}"/>
    <cellStyle name="Normal 3 9 14 2 2 3" xfId="48218" xr:uid="{00000000-0005-0000-0000-000052BC0000}"/>
    <cellStyle name="Normal 3 9 14 2 3" xfId="48219" xr:uid="{00000000-0005-0000-0000-000053BC0000}"/>
    <cellStyle name="Normal 3 9 14 2 3 2" xfId="48220" xr:uid="{00000000-0005-0000-0000-000054BC0000}"/>
    <cellStyle name="Normal 3 9 14 2 3 3" xfId="48221" xr:uid="{00000000-0005-0000-0000-000055BC0000}"/>
    <cellStyle name="Normal 3 9 14 2 4" xfId="48222" xr:uid="{00000000-0005-0000-0000-000056BC0000}"/>
    <cellStyle name="Normal 3 9 14 2 4 2" xfId="48223" xr:uid="{00000000-0005-0000-0000-000057BC0000}"/>
    <cellStyle name="Normal 3 9 14 2 4 3" xfId="48224" xr:uid="{00000000-0005-0000-0000-000058BC0000}"/>
    <cellStyle name="Normal 3 9 14 2 5" xfId="48225" xr:uid="{00000000-0005-0000-0000-000059BC0000}"/>
    <cellStyle name="Normal 3 9 14 2 5 2" xfId="48226" xr:uid="{00000000-0005-0000-0000-00005ABC0000}"/>
    <cellStyle name="Normal 3 9 14 2 5 3" xfId="48227" xr:uid="{00000000-0005-0000-0000-00005BBC0000}"/>
    <cellStyle name="Normal 3 9 14 2 6" xfId="48228" xr:uid="{00000000-0005-0000-0000-00005CBC0000}"/>
    <cellStyle name="Normal 3 9 14 2 6 2" xfId="48229" xr:uid="{00000000-0005-0000-0000-00005DBC0000}"/>
    <cellStyle name="Normal 3 9 14 2 6 3" xfId="48230" xr:uid="{00000000-0005-0000-0000-00005EBC0000}"/>
    <cellStyle name="Normal 3 9 14 2 7" xfId="48231" xr:uid="{00000000-0005-0000-0000-00005FBC0000}"/>
    <cellStyle name="Normal 3 9 14 2 7 2" xfId="48232" xr:uid="{00000000-0005-0000-0000-000060BC0000}"/>
    <cellStyle name="Normal 3 9 14 2 7 3" xfId="48233" xr:uid="{00000000-0005-0000-0000-000061BC0000}"/>
    <cellStyle name="Normal 3 9 14 2 8" xfId="48234" xr:uid="{00000000-0005-0000-0000-000062BC0000}"/>
    <cellStyle name="Normal 3 9 14 2 8 2" xfId="48235" xr:uid="{00000000-0005-0000-0000-000063BC0000}"/>
    <cellStyle name="Normal 3 9 14 2 8 3" xfId="48236" xr:uid="{00000000-0005-0000-0000-000064BC0000}"/>
    <cellStyle name="Normal 3 9 14 2 9" xfId="48237" xr:uid="{00000000-0005-0000-0000-000065BC0000}"/>
    <cellStyle name="Normal 3 9 14 2 9 2" xfId="48238" xr:uid="{00000000-0005-0000-0000-000066BC0000}"/>
    <cellStyle name="Normal 3 9 14 2 9 3" xfId="48239" xr:uid="{00000000-0005-0000-0000-000067BC0000}"/>
    <cellStyle name="Normal 3 9 14 3" xfId="48240" xr:uid="{00000000-0005-0000-0000-000068BC0000}"/>
    <cellStyle name="Normal 3 9 14 3 2" xfId="48241" xr:uid="{00000000-0005-0000-0000-000069BC0000}"/>
    <cellStyle name="Normal 3 9 14 3 3" xfId="48242" xr:uid="{00000000-0005-0000-0000-00006ABC0000}"/>
    <cellStyle name="Normal 3 9 14 4" xfId="48243" xr:uid="{00000000-0005-0000-0000-00006BBC0000}"/>
    <cellStyle name="Normal 3 9 14 4 2" xfId="48244" xr:uid="{00000000-0005-0000-0000-00006CBC0000}"/>
    <cellStyle name="Normal 3 9 14 4 3" xfId="48245" xr:uid="{00000000-0005-0000-0000-00006DBC0000}"/>
    <cellStyle name="Normal 3 9 14 5" xfId="48246" xr:uid="{00000000-0005-0000-0000-00006EBC0000}"/>
    <cellStyle name="Normal 3 9 14 5 2" xfId="48247" xr:uid="{00000000-0005-0000-0000-00006FBC0000}"/>
    <cellStyle name="Normal 3 9 14 5 3" xfId="48248" xr:uid="{00000000-0005-0000-0000-000070BC0000}"/>
    <cellStyle name="Normal 3 9 14 6" xfId="48249" xr:uid="{00000000-0005-0000-0000-000071BC0000}"/>
    <cellStyle name="Normal 3 9 14 6 2" xfId="48250" xr:uid="{00000000-0005-0000-0000-000072BC0000}"/>
    <cellStyle name="Normal 3 9 14 6 3" xfId="48251" xr:uid="{00000000-0005-0000-0000-000073BC0000}"/>
    <cellStyle name="Normal 3 9 14 7" xfId="48252" xr:uid="{00000000-0005-0000-0000-000074BC0000}"/>
    <cellStyle name="Normal 3 9 14 7 2" xfId="48253" xr:uid="{00000000-0005-0000-0000-000075BC0000}"/>
    <cellStyle name="Normal 3 9 14 7 3" xfId="48254" xr:uid="{00000000-0005-0000-0000-000076BC0000}"/>
    <cellStyle name="Normal 3 9 14 8" xfId="48255" xr:uid="{00000000-0005-0000-0000-000077BC0000}"/>
    <cellStyle name="Normal 3 9 14 8 2" xfId="48256" xr:uid="{00000000-0005-0000-0000-000078BC0000}"/>
    <cellStyle name="Normal 3 9 14 8 3" xfId="48257" xr:uid="{00000000-0005-0000-0000-000079BC0000}"/>
    <cellStyle name="Normal 3 9 14 9" xfId="48258" xr:uid="{00000000-0005-0000-0000-00007ABC0000}"/>
    <cellStyle name="Normal 3 9 14 9 2" xfId="48259" xr:uid="{00000000-0005-0000-0000-00007BBC0000}"/>
    <cellStyle name="Normal 3 9 14 9 3" xfId="48260" xr:uid="{00000000-0005-0000-0000-00007CBC0000}"/>
    <cellStyle name="Normal 3 9 15" xfId="48261" xr:uid="{00000000-0005-0000-0000-00007DBC0000}"/>
    <cellStyle name="Normal 3 9 15 10" xfId="48262" xr:uid="{00000000-0005-0000-0000-00007EBC0000}"/>
    <cellStyle name="Normal 3 9 15 10 2" xfId="48263" xr:uid="{00000000-0005-0000-0000-00007FBC0000}"/>
    <cellStyle name="Normal 3 9 15 10 3" xfId="48264" xr:uid="{00000000-0005-0000-0000-000080BC0000}"/>
    <cellStyle name="Normal 3 9 15 11" xfId="48265" xr:uid="{00000000-0005-0000-0000-000081BC0000}"/>
    <cellStyle name="Normal 3 9 15 11 2" xfId="48266" xr:uid="{00000000-0005-0000-0000-000082BC0000}"/>
    <cellStyle name="Normal 3 9 15 11 3" xfId="48267" xr:uid="{00000000-0005-0000-0000-000083BC0000}"/>
    <cellStyle name="Normal 3 9 15 12" xfId="48268" xr:uid="{00000000-0005-0000-0000-000084BC0000}"/>
    <cellStyle name="Normal 3 9 15 12 2" xfId="48269" xr:uid="{00000000-0005-0000-0000-000085BC0000}"/>
    <cellStyle name="Normal 3 9 15 12 3" xfId="48270" xr:uid="{00000000-0005-0000-0000-000086BC0000}"/>
    <cellStyle name="Normal 3 9 15 13" xfId="48271" xr:uid="{00000000-0005-0000-0000-000087BC0000}"/>
    <cellStyle name="Normal 3 9 15 13 2" xfId="48272" xr:uid="{00000000-0005-0000-0000-000088BC0000}"/>
    <cellStyle name="Normal 3 9 15 13 3" xfId="48273" xr:uid="{00000000-0005-0000-0000-000089BC0000}"/>
    <cellStyle name="Normal 3 9 15 14" xfId="48274" xr:uid="{00000000-0005-0000-0000-00008ABC0000}"/>
    <cellStyle name="Normal 3 9 15 14 2" xfId="48275" xr:uid="{00000000-0005-0000-0000-00008BBC0000}"/>
    <cellStyle name="Normal 3 9 15 14 3" xfId="48276" xr:uid="{00000000-0005-0000-0000-00008CBC0000}"/>
    <cellStyle name="Normal 3 9 15 15" xfId="48277" xr:uid="{00000000-0005-0000-0000-00008DBC0000}"/>
    <cellStyle name="Normal 3 9 15 15 2" xfId="48278" xr:uid="{00000000-0005-0000-0000-00008EBC0000}"/>
    <cellStyle name="Normal 3 9 15 15 3" xfId="48279" xr:uid="{00000000-0005-0000-0000-00008FBC0000}"/>
    <cellStyle name="Normal 3 9 15 16" xfId="48280" xr:uid="{00000000-0005-0000-0000-000090BC0000}"/>
    <cellStyle name="Normal 3 9 15 17" xfId="48281" xr:uid="{00000000-0005-0000-0000-000091BC0000}"/>
    <cellStyle name="Normal 3 9 15 2" xfId="48282" xr:uid="{00000000-0005-0000-0000-000092BC0000}"/>
    <cellStyle name="Normal 3 9 15 2 10" xfId="48283" xr:uid="{00000000-0005-0000-0000-000093BC0000}"/>
    <cellStyle name="Normal 3 9 15 2 10 2" xfId="48284" xr:uid="{00000000-0005-0000-0000-000094BC0000}"/>
    <cellStyle name="Normal 3 9 15 2 10 3" xfId="48285" xr:uid="{00000000-0005-0000-0000-000095BC0000}"/>
    <cellStyle name="Normal 3 9 15 2 11" xfId="48286" xr:uid="{00000000-0005-0000-0000-000096BC0000}"/>
    <cellStyle name="Normal 3 9 15 2 11 2" xfId="48287" xr:uid="{00000000-0005-0000-0000-000097BC0000}"/>
    <cellStyle name="Normal 3 9 15 2 11 3" xfId="48288" xr:uid="{00000000-0005-0000-0000-000098BC0000}"/>
    <cellStyle name="Normal 3 9 15 2 12" xfId="48289" xr:uid="{00000000-0005-0000-0000-000099BC0000}"/>
    <cellStyle name="Normal 3 9 15 2 12 2" xfId="48290" xr:uid="{00000000-0005-0000-0000-00009ABC0000}"/>
    <cellStyle name="Normal 3 9 15 2 12 3" xfId="48291" xr:uid="{00000000-0005-0000-0000-00009BBC0000}"/>
    <cellStyle name="Normal 3 9 15 2 13" xfId="48292" xr:uid="{00000000-0005-0000-0000-00009CBC0000}"/>
    <cellStyle name="Normal 3 9 15 2 13 2" xfId="48293" xr:uid="{00000000-0005-0000-0000-00009DBC0000}"/>
    <cellStyle name="Normal 3 9 15 2 13 3" xfId="48294" xr:uid="{00000000-0005-0000-0000-00009EBC0000}"/>
    <cellStyle name="Normal 3 9 15 2 14" xfId="48295" xr:uid="{00000000-0005-0000-0000-00009FBC0000}"/>
    <cellStyle name="Normal 3 9 15 2 14 2" xfId="48296" xr:uid="{00000000-0005-0000-0000-0000A0BC0000}"/>
    <cellStyle name="Normal 3 9 15 2 14 3" xfId="48297" xr:uid="{00000000-0005-0000-0000-0000A1BC0000}"/>
    <cellStyle name="Normal 3 9 15 2 15" xfId="48298" xr:uid="{00000000-0005-0000-0000-0000A2BC0000}"/>
    <cellStyle name="Normal 3 9 15 2 16" xfId="48299" xr:uid="{00000000-0005-0000-0000-0000A3BC0000}"/>
    <cellStyle name="Normal 3 9 15 2 2" xfId="48300" xr:uid="{00000000-0005-0000-0000-0000A4BC0000}"/>
    <cellStyle name="Normal 3 9 15 2 2 2" xfId="48301" xr:uid="{00000000-0005-0000-0000-0000A5BC0000}"/>
    <cellStyle name="Normal 3 9 15 2 2 3" xfId="48302" xr:uid="{00000000-0005-0000-0000-0000A6BC0000}"/>
    <cellStyle name="Normal 3 9 15 2 3" xfId="48303" xr:uid="{00000000-0005-0000-0000-0000A7BC0000}"/>
    <cellStyle name="Normal 3 9 15 2 3 2" xfId="48304" xr:uid="{00000000-0005-0000-0000-0000A8BC0000}"/>
    <cellStyle name="Normal 3 9 15 2 3 3" xfId="48305" xr:uid="{00000000-0005-0000-0000-0000A9BC0000}"/>
    <cellStyle name="Normal 3 9 15 2 4" xfId="48306" xr:uid="{00000000-0005-0000-0000-0000AABC0000}"/>
    <cellStyle name="Normal 3 9 15 2 4 2" xfId="48307" xr:uid="{00000000-0005-0000-0000-0000ABBC0000}"/>
    <cellStyle name="Normal 3 9 15 2 4 3" xfId="48308" xr:uid="{00000000-0005-0000-0000-0000ACBC0000}"/>
    <cellStyle name="Normal 3 9 15 2 5" xfId="48309" xr:uid="{00000000-0005-0000-0000-0000ADBC0000}"/>
    <cellStyle name="Normal 3 9 15 2 5 2" xfId="48310" xr:uid="{00000000-0005-0000-0000-0000AEBC0000}"/>
    <cellStyle name="Normal 3 9 15 2 5 3" xfId="48311" xr:uid="{00000000-0005-0000-0000-0000AFBC0000}"/>
    <cellStyle name="Normal 3 9 15 2 6" xfId="48312" xr:uid="{00000000-0005-0000-0000-0000B0BC0000}"/>
    <cellStyle name="Normal 3 9 15 2 6 2" xfId="48313" xr:uid="{00000000-0005-0000-0000-0000B1BC0000}"/>
    <cellStyle name="Normal 3 9 15 2 6 3" xfId="48314" xr:uid="{00000000-0005-0000-0000-0000B2BC0000}"/>
    <cellStyle name="Normal 3 9 15 2 7" xfId="48315" xr:uid="{00000000-0005-0000-0000-0000B3BC0000}"/>
    <cellStyle name="Normal 3 9 15 2 7 2" xfId="48316" xr:uid="{00000000-0005-0000-0000-0000B4BC0000}"/>
    <cellStyle name="Normal 3 9 15 2 7 3" xfId="48317" xr:uid="{00000000-0005-0000-0000-0000B5BC0000}"/>
    <cellStyle name="Normal 3 9 15 2 8" xfId="48318" xr:uid="{00000000-0005-0000-0000-0000B6BC0000}"/>
    <cellStyle name="Normal 3 9 15 2 8 2" xfId="48319" xr:uid="{00000000-0005-0000-0000-0000B7BC0000}"/>
    <cellStyle name="Normal 3 9 15 2 8 3" xfId="48320" xr:uid="{00000000-0005-0000-0000-0000B8BC0000}"/>
    <cellStyle name="Normal 3 9 15 2 9" xfId="48321" xr:uid="{00000000-0005-0000-0000-0000B9BC0000}"/>
    <cellStyle name="Normal 3 9 15 2 9 2" xfId="48322" xr:uid="{00000000-0005-0000-0000-0000BABC0000}"/>
    <cellStyle name="Normal 3 9 15 2 9 3" xfId="48323" xr:uid="{00000000-0005-0000-0000-0000BBBC0000}"/>
    <cellStyle name="Normal 3 9 15 3" xfId="48324" xr:uid="{00000000-0005-0000-0000-0000BCBC0000}"/>
    <cellStyle name="Normal 3 9 15 3 2" xfId="48325" xr:uid="{00000000-0005-0000-0000-0000BDBC0000}"/>
    <cellStyle name="Normal 3 9 15 3 3" xfId="48326" xr:uid="{00000000-0005-0000-0000-0000BEBC0000}"/>
    <cellStyle name="Normal 3 9 15 4" xfId="48327" xr:uid="{00000000-0005-0000-0000-0000BFBC0000}"/>
    <cellStyle name="Normal 3 9 15 4 2" xfId="48328" xr:uid="{00000000-0005-0000-0000-0000C0BC0000}"/>
    <cellStyle name="Normal 3 9 15 4 3" xfId="48329" xr:uid="{00000000-0005-0000-0000-0000C1BC0000}"/>
    <cellStyle name="Normal 3 9 15 5" xfId="48330" xr:uid="{00000000-0005-0000-0000-0000C2BC0000}"/>
    <cellStyle name="Normal 3 9 15 5 2" xfId="48331" xr:uid="{00000000-0005-0000-0000-0000C3BC0000}"/>
    <cellStyle name="Normal 3 9 15 5 3" xfId="48332" xr:uid="{00000000-0005-0000-0000-0000C4BC0000}"/>
    <cellStyle name="Normal 3 9 15 6" xfId="48333" xr:uid="{00000000-0005-0000-0000-0000C5BC0000}"/>
    <cellStyle name="Normal 3 9 15 6 2" xfId="48334" xr:uid="{00000000-0005-0000-0000-0000C6BC0000}"/>
    <cellStyle name="Normal 3 9 15 6 3" xfId="48335" xr:uid="{00000000-0005-0000-0000-0000C7BC0000}"/>
    <cellStyle name="Normal 3 9 15 7" xfId="48336" xr:uid="{00000000-0005-0000-0000-0000C8BC0000}"/>
    <cellStyle name="Normal 3 9 15 7 2" xfId="48337" xr:uid="{00000000-0005-0000-0000-0000C9BC0000}"/>
    <cellStyle name="Normal 3 9 15 7 3" xfId="48338" xr:uid="{00000000-0005-0000-0000-0000CABC0000}"/>
    <cellStyle name="Normal 3 9 15 8" xfId="48339" xr:uid="{00000000-0005-0000-0000-0000CBBC0000}"/>
    <cellStyle name="Normal 3 9 15 8 2" xfId="48340" xr:uid="{00000000-0005-0000-0000-0000CCBC0000}"/>
    <cellStyle name="Normal 3 9 15 8 3" xfId="48341" xr:uid="{00000000-0005-0000-0000-0000CDBC0000}"/>
    <cellStyle name="Normal 3 9 15 9" xfId="48342" xr:uid="{00000000-0005-0000-0000-0000CEBC0000}"/>
    <cellStyle name="Normal 3 9 15 9 2" xfId="48343" xr:uid="{00000000-0005-0000-0000-0000CFBC0000}"/>
    <cellStyle name="Normal 3 9 15 9 3" xfId="48344" xr:uid="{00000000-0005-0000-0000-0000D0BC0000}"/>
    <cellStyle name="Normal 3 9 16" xfId="48345" xr:uid="{00000000-0005-0000-0000-0000D1BC0000}"/>
    <cellStyle name="Normal 3 9 16 10" xfId="48346" xr:uid="{00000000-0005-0000-0000-0000D2BC0000}"/>
    <cellStyle name="Normal 3 9 16 10 2" xfId="48347" xr:uid="{00000000-0005-0000-0000-0000D3BC0000}"/>
    <cellStyle name="Normal 3 9 16 10 3" xfId="48348" xr:uid="{00000000-0005-0000-0000-0000D4BC0000}"/>
    <cellStyle name="Normal 3 9 16 11" xfId="48349" xr:uid="{00000000-0005-0000-0000-0000D5BC0000}"/>
    <cellStyle name="Normal 3 9 16 11 2" xfId="48350" xr:uid="{00000000-0005-0000-0000-0000D6BC0000}"/>
    <cellStyle name="Normal 3 9 16 11 3" xfId="48351" xr:uid="{00000000-0005-0000-0000-0000D7BC0000}"/>
    <cellStyle name="Normal 3 9 16 12" xfId="48352" xr:uid="{00000000-0005-0000-0000-0000D8BC0000}"/>
    <cellStyle name="Normal 3 9 16 12 2" xfId="48353" xr:uid="{00000000-0005-0000-0000-0000D9BC0000}"/>
    <cellStyle name="Normal 3 9 16 12 3" xfId="48354" xr:uid="{00000000-0005-0000-0000-0000DABC0000}"/>
    <cellStyle name="Normal 3 9 16 13" xfId="48355" xr:uid="{00000000-0005-0000-0000-0000DBBC0000}"/>
    <cellStyle name="Normal 3 9 16 13 2" xfId="48356" xr:uid="{00000000-0005-0000-0000-0000DCBC0000}"/>
    <cellStyle name="Normal 3 9 16 13 3" xfId="48357" xr:uid="{00000000-0005-0000-0000-0000DDBC0000}"/>
    <cellStyle name="Normal 3 9 16 14" xfId="48358" xr:uid="{00000000-0005-0000-0000-0000DEBC0000}"/>
    <cellStyle name="Normal 3 9 16 14 2" xfId="48359" xr:uid="{00000000-0005-0000-0000-0000DFBC0000}"/>
    <cellStyle name="Normal 3 9 16 14 3" xfId="48360" xr:uid="{00000000-0005-0000-0000-0000E0BC0000}"/>
    <cellStyle name="Normal 3 9 16 15" xfId="48361" xr:uid="{00000000-0005-0000-0000-0000E1BC0000}"/>
    <cellStyle name="Normal 3 9 16 15 2" xfId="48362" xr:uid="{00000000-0005-0000-0000-0000E2BC0000}"/>
    <cellStyle name="Normal 3 9 16 15 3" xfId="48363" xr:uid="{00000000-0005-0000-0000-0000E3BC0000}"/>
    <cellStyle name="Normal 3 9 16 16" xfId="48364" xr:uid="{00000000-0005-0000-0000-0000E4BC0000}"/>
    <cellStyle name="Normal 3 9 16 17" xfId="48365" xr:uid="{00000000-0005-0000-0000-0000E5BC0000}"/>
    <cellStyle name="Normal 3 9 16 2" xfId="48366" xr:uid="{00000000-0005-0000-0000-0000E6BC0000}"/>
    <cellStyle name="Normal 3 9 16 2 10" xfId="48367" xr:uid="{00000000-0005-0000-0000-0000E7BC0000}"/>
    <cellStyle name="Normal 3 9 16 2 10 2" xfId="48368" xr:uid="{00000000-0005-0000-0000-0000E8BC0000}"/>
    <cellStyle name="Normal 3 9 16 2 10 3" xfId="48369" xr:uid="{00000000-0005-0000-0000-0000E9BC0000}"/>
    <cellStyle name="Normal 3 9 16 2 11" xfId="48370" xr:uid="{00000000-0005-0000-0000-0000EABC0000}"/>
    <cellStyle name="Normal 3 9 16 2 11 2" xfId="48371" xr:uid="{00000000-0005-0000-0000-0000EBBC0000}"/>
    <cellStyle name="Normal 3 9 16 2 11 3" xfId="48372" xr:uid="{00000000-0005-0000-0000-0000ECBC0000}"/>
    <cellStyle name="Normal 3 9 16 2 12" xfId="48373" xr:uid="{00000000-0005-0000-0000-0000EDBC0000}"/>
    <cellStyle name="Normal 3 9 16 2 12 2" xfId="48374" xr:uid="{00000000-0005-0000-0000-0000EEBC0000}"/>
    <cellStyle name="Normal 3 9 16 2 12 3" xfId="48375" xr:uid="{00000000-0005-0000-0000-0000EFBC0000}"/>
    <cellStyle name="Normal 3 9 16 2 13" xfId="48376" xr:uid="{00000000-0005-0000-0000-0000F0BC0000}"/>
    <cellStyle name="Normal 3 9 16 2 13 2" xfId="48377" xr:uid="{00000000-0005-0000-0000-0000F1BC0000}"/>
    <cellStyle name="Normal 3 9 16 2 13 3" xfId="48378" xr:uid="{00000000-0005-0000-0000-0000F2BC0000}"/>
    <cellStyle name="Normal 3 9 16 2 14" xfId="48379" xr:uid="{00000000-0005-0000-0000-0000F3BC0000}"/>
    <cellStyle name="Normal 3 9 16 2 14 2" xfId="48380" xr:uid="{00000000-0005-0000-0000-0000F4BC0000}"/>
    <cellStyle name="Normal 3 9 16 2 14 3" xfId="48381" xr:uid="{00000000-0005-0000-0000-0000F5BC0000}"/>
    <cellStyle name="Normal 3 9 16 2 15" xfId="48382" xr:uid="{00000000-0005-0000-0000-0000F6BC0000}"/>
    <cellStyle name="Normal 3 9 16 2 16" xfId="48383" xr:uid="{00000000-0005-0000-0000-0000F7BC0000}"/>
    <cellStyle name="Normal 3 9 16 2 2" xfId="48384" xr:uid="{00000000-0005-0000-0000-0000F8BC0000}"/>
    <cellStyle name="Normal 3 9 16 2 2 2" xfId="48385" xr:uid="{00000000-0005-0000-0000-0000F9BC0000}"/>
    <cellStyle name="Normal 3 9 16 2 2 3" xfId="48386" xr:uid="{00000000-0005-0000-0000-0000FABC0000}"/>
    <cellStyle name="Normal 3 9 16 2 3" xfId="48387" xr:uid="{00000000-0005-0000-0000-0000FBBC0000}"/>
    <cellStyle name="Normal 3 9 16 2 3 2" xfId="48388" xr:uid="{00000000-0005-0000-0000-0000FCBC0000}"/>
    <cellStyle name="Normal 3 9 16 2 3 3" xfId="48389" xr:uid="{00000000-0005-0000-0000-0000FDBC0000}"/>
    <cellStyle name="Normal 3 9 16 2 4" xfId="48390" xr:uid="{00000000-0005-0000-0000-0000FEBC0000}"/>
    <cellStyle name="Normal 3 9 16 2 4 2" xfId="48391" xr:uid="{00000000-0005-0000-0000-0000FFBC0000}"/>
    <cellStyle name="Normal 3 9 16 2 4 3" xfId="48392" xr:uid="{00000000-0005-0000-0000-000000BD0000}"/>
    <cellStyle name="Normal 3 9 16 2 5" xfId="48393" xr:uid="{00000000-0005-0000-0000-000001BD0000}"/>
    <cellStyle name="Normal 3 9 16 2 5 2" xfId="48394" xr:uid="{00000000-0005-0000-0000-000002BD0000}"/>
    <cellStyle name="Normal 3 9 16 2 5 3" xfId="48395" xr:uid="{00000000-0005-0000-0000-000003BD0000}"/>
    <cellStyle name="Normal 3 9 16 2 6" xfId="48396" xr:uid="{00000000-0005-0000-0000-000004BD0000}"/>
    <cellStyle name="Normal 3 9 16 2 6 2" xfId="48397" xr:uid="{00000000-0005-0000-0000-000005BD0000}"/>
    <cellStyle name="Normal 3 9 16 2 6 3" xfId="48398" xr:uid="{00000000-0005-0000-0000-000006BD0000}"/>
    <cellStyle name="Normal 3 9 16 2 7" xfId="48399" xr:uid="{00000000-0005-0000-0000-000007BD0000}"/>
    <cellStyle name="Normal 3 9 16 2 7 2" xfId="48400" xr:uid="{00000000-0005-0000-0000-000008BD0000}"/>
    <cellStyle name="Normal 3 9 16 2 7 3" xfId="48401" xr:uid="{00000000-0005-0000-0000-000009BD0000}"/>
    <cellStyle name="Normal 3 9 16 2 8" xfId="48402" xr:uid="{00000000-0005-0000-0000-00000ABD0000}"/>
    <cellStyle name="Normal 3 9 16 2 8 2" xfId="48403" xr:uid="{00000000-0005-0000-0000-00000BBD0000}"/>
    <cellStyle name="Normal 3 9 16 2 8 3" xfId="48404" xr:uid="{00000000-0005-0000-0000-00000CBD0000}"/>
    <cellStyle name="Normal 3 9 16 2 9" xfId="48405" xr:uid="{00000000-0005-0000-0000-00000DBD0000}"/>
    <cellStyle name="Normal 3 9 16 2 9 2" xfId="48406" xr:uid="{00000000-0005-0000-0000-00000EBD0000}"/>
    <cellStyle name="Normal 3 9 16 2 9 3" xfId="48407" xr:uid="{00000000-0005-0000-0000-00000FBD0000}"/>
    <cellStyle name="Normal 3 9 16 3" xfId="48408" xr:uid="{00000000-0005-0000-0000-000010BD0000}"/>
    <cellStyle name="Normal 3 9 16 3 2" xfId="48409" xr:uid="{00000000-0005-0000-0000-000011BD0000}"/>
    <cellStyle name="Normal 3 9 16 3 3" xfId="48410" xr:uid="{00000000-0005-0000-0000-000012BD0000}"/>
    <cellStyle name="Normal 3 9 16 4" xfId="48411" xr:uid="{00000000-0005-0000-0000-000013BD0000}"/>
    <cellStyle name="Normal 3 9 16 4 2" xfId="48412" xr:uid="{00000000-0005-0000-0000-000014BD0000}"/>
    <cellStyle name="Normal 3 9 16 4 3" xfId="48413" xr:uid="{00000000-0005-0000-0000-000015BD0000}"/>
    <cellStyle name="Normal 3 9 16 5" xfId="48414" xr:uid="{00000000-0005-0000-0000-000016BD0000}"/>
    <cellStyle name="Normal 3 9 16 5 2" xfId="48415" xr:uid="{00000000-0005-0000-0000-000017BD0000}"/>
    <cellStyle name="Normal 3 9 16 5 3" xfId="48416" xr:uid="{00000000-0005-0000-0000-000018BD0000}"/>
    <cellStyle name="Normal 3 9 16 6" xfId="48417" xr:uid="{00000000-0005-0000-0000-000019BD0000}"/>
    <cellStyle name="Normal 3 9 16 6 2" xfId="48418" xr:uid="{00000000-0005-0000-0000-00001ABD0000}"/>
    <cellStyle name="Normal 3 9 16 6 3" xfId="48419" xr:uid="{00000000-0005-0000-0000-00001BBD0000}"/>
    <cellStyle name="Normal 3 9 16 7" xfId="48420" xr:uid="{00000000-0005-0000-0000-00001CBD0000}"/>
    <cellStyle name="Normal 3 9 16 7 2" xfId="48421" xr:uid="{00000000-0005-0000-0000-00001DBD0000}"/>
    <cellStyle name="Normal 3 9 16 7 3" xfId="48422" xr:uid="{00000000-0005-0000-0000-00001EBD0000}"/>
    <cellStyle name="Normal 3 9 16 8" xfId="48423" xr:uid="{00000000-0005-0000-0000-00001FBD0000}"/>
    <cellStyle name="Normal 3 9 16 8 2" xfId="48424" xr:uid="{00000000-0005-0000-0000-000020BD0000}"/>
    <cellStyle name="Normal 3 9 16 8 3" xfId="48425" xr:uid="{00000000-0005-0000-0000-000021BD0000}"/>
    <cellStyle name="Normal 3 9 16 9" xfId="48426" xr:uid="{00000000-0005-0000-0000-000022BD0000}"/>
    <cellStyle name="Normal 3 9 16 9 2" xfId="48427" xr:uid="{00000000-0005-0000-0000-000023BD0000}"/>
    <cellStyle name="Normal 3 9 16 9 3" xfId="48428" xr:uid="{00000000-0005-0000-0000-000024BD0000}"/>
    <cellStyle name="Normal 3 9 17" xfId="48429" xr:uid="{00000000-0005-0000-0000-000025BD0000}"/>
    <cellStyle name="Normal 3 9 17 10" xfId="48430" xr:uid="{00000000-0005-0000-0000-000026BD0000}"/>
    <cellStyle name="Normal 3 9 17 10 2" xfId="48431" xr:uid="{00000000-0005-0000-0000-000027BD0000}"/>
    <cellStyle name="Normal 3 9 17 10 3" xfId="48432" xr:uid="{00000000-0005-0000-0000-000028BD0000}"/>
    <cellStyle name="Normal 3 9 17 11" xfId="48433" xr:uid="{00000000-0005-0000-0000-000029BD0000}"/>
    <cellStyle name="Normal 3 9 17 11 2" xfId="48434" xr:uid="{00000000-0005-0000-0000-00002ABD0000}"/>
    <cellStyle name="Normal 3 9 17 11 3" xfId="48435" xr:uid="{00000000-0005-0000-0000-00002BBD0000}"/>
    <cellStyle name="Normal 3 9 17 12" xfId="48436" xr:uid="{00000000-0005-0000-0000-00002CBD0000}"/>
    <cellStyle name="Normal 3 9 17 12 2" xfId="48437" xr:uid="{00000000-0005-0000-0000-00002DBD0000}"/>
    <cellStyle name="Normal 3 9 17 12 3" xfId="48438" xr:uid="{00000000-0005-0000-0000-00002EBD0000}"/>
    <cellStyle name="Normal 3 9 17 13" xfId="48439" xr:uid="{00000000-0005-0000-0000-00002FBD0000}"/>
    <cellStyle name="Normal 3 9 17 13 2" xfId="48440" xr:uid="{00000000-0005-0000-0000-000030BD0000}"/>
    <cellStyle name="Normal 3 9 17 13 3" xfId="48441" xr:uid="{00000000-0005-0000-0000-000031BD0000}"/>
    <cellStyle name="Normal 3 9 17 14" xfId="48442" xr:uid="{00000000-0005-0000-0000-000032BD0000}"/>
    <cellStyle name="Normal 3 9 17 14 2" xfId="48443" xr:uid="{00000000-0005-0000-0000-000033BD0000}"/>
    <cellStyle name="Normal 3 9 17 14 3" xfId="48444" xr:uid="{00000000-0005-0000-0000-000034BD0000}"/>
    <cellStyle name="Normal 3 9 17 15" xfId="48445" xr:uid="{00000000-0005-0000-0000-000035BD0000}"/>
    <cellStyle name="Normal 3 9 17 16" xfId="48446" xr:uid="{00000000-0005-0000-0000-000036BD0000}"/>
    <cellStyle name="Normal 3 9 17 2" xfId="48447" xr:uid="{00000000-0005-0000-0000-000037BD0000}"/>
    <cellStyle name="Normal 3 9 17 2 2" xfId="48448" xr:uid="{00000000-0005-0000-0000-000038BD0000}"/>
    <cellStyle name="Normal 3 9 17 2 3" xfId="48449" xr:uid="{00000000-0005-0000-0000-000039BD0000}"/>
    <cellStyle name="Normal 3 9 17 3" xfId="48450" xr:uid="{00000000-0005-0000-0000-00003ABD0000}"/>
    <cellStyle name="Normal 3 9 17 3 2" xfId="48451" xr:uid="{00000000-0005-0000-0000-00003BBD0000}"/>
    <cellStyle name="Normal 3 9 17 3 3" xfId="48452" xr:uid="{00000000-0005-0000-0000-00003CBD0000}"/>
    <cellStyle name="Normal 3 9 17 4" xfId="48453" xr:uid="{00000000-0005-0000-0000-00003DBD0000}"/>
    <cellStyle name="Normal 3 9 17 4 2" xfId="48454" xr:uid="{00000000-0005-0000-0000-00003EBD0000}"/>
    <cellStyle name="Normal 3 9 17 4 3" xfId="48455" xr:uid="{00000000-0005-0000-0000-00003FBD0000}"/>
    <cellStyle name="Normal 3 9 17 5" xfId="48456" xr:uid="{00000000-0005-0000-0000-000040BD0000}"/>
    <cellStyle name="Normal 3 9 17 5 2" xfId="48457" xr:uid="{00000000-0005-0000-0000-000041BD0000}"/>
    <cellStyle name="Normal 3 9 17 5 3" xfId="48458" xr:uid="{00000000-0005-0000-0000-000042BD0000}"/>
    <cellStyle name="Normal 3 9 17 6" xfId="48459" xr:uid="{00000000-0005-0000-0000-000043BD0000}"/>
    <cellStyle name="Normal 3 9 17 6 2" xfId="48460" xr:uid="{00000000-0005-0000-0000-000044BD0000}"/>
    <cellStyle name="Normal 3 9 17 6 3" xfId="48461" xr:uid="{00000000-0005-0000-0000-000045BD0000}"/>
    <cellStyle name="Normal 3 9 17 7" xfId="48462" xr:uid="{00000000-0005-0000-0000-000046BD0000}"/>
    <cellStyle name="Normal 3 9 17 7 2" xfId="48463" xr:uid="{00000000-0005-0000-0000-000047BD0000}"/>
    <cellStyle name="Normal 3 9 17 7 3" xfId="48464" xr:uid="{00000000-0005-0000-0000-000048BD0000}"/>
    <cellStyle name="Normal 3 9 17 8" xfId="48465" xr:uid="{00000000-0005-0000-0000-000049BD0000}"/>
    <cellStyle name="Normal 3 9 17 8 2" xfId="48466" xr:uid="{00000000-0005-0000-0000-00004ABD0000}"/>
    <cellStyle name="Normal 3 9 17 8 3" xfId="48467" xr:uid="{00000000-0005-0000-0000-00004BBD0000}"/>
    <cellStyle name="Normal 3 9 17 9" xfId="48468" xr:uid="{00000000-0005-0000-0000-00004CBD0000}"/>
    <cellStyle name="Normal 3 9 17 9 2" xfId="48469" xr:uid="{00000000-0005-0000-0000-00004DBD0000}"/>
    <cellStyle name="Normal 3 9 17 9 3" xfId="48470" xr:uid="{00000000-0005-0000-0000-00004EBD0000}"/>
    <cellStyle name="Normal 3 9 18" xfId="48471" xr:uid="{00000000-0005-0000-0000-00004FBD0000}"/>
    <cellStyle name="Normal 3 9 18 10" xfId="48472" xr:uid="{00000000-0005-0000-0000-000050BD0000}"/>
    <cellStyle name="Normal 3 9 18 10 2" xfId="48473" xr:uid="{00000000-0005-0000-0000-000051BD0000}"/>
    <cellStyle name="Normal 3 9 18 10 3" xfId="48474" xr:uid="{00000000-0005-0000-0000-000052BD0000}"/>
    <cellStyle name="Normal 3 9 18 11" xfId="48475" xr:uid="{00000000-0005-0000-0000-000053BD0000}"/>
    <cellStyle name="Normal 3 9 18 11 2" xfId="48476" xr:uid="{00000000-0005-0000-0000-000054BD0000}"/>
    <cellStyle name="Normal 3 9 18 11 3" xfId="48477" xr:uid="{00000000-0005-0000-0000-000055BD0000}"/>
    <cellStyle name="Normal 3 9 18 12" xfId="48478" xr:uid="{00000000-0005-0000-0000-000056BD0000}"/>
    <cellStyle name="Normal 3 9 18 12 2" xfId="48479" xr:uid="{00000000-0005-0000-0000-000057BD0000}"/>
    <cellStyle name="Normal 3 9 18 12 3" xfId="48480" xr:uid="{00000000-0005-0000-0000-000058BD0000}"/>
    <cellStyle name="Normal 3 9 18 13" xfId="48481" xr:uid="{00000000-0005-0000-0000-000059BD0000}"/>
    <cellStyle name="Normal 3 9 18 13 2" xfId="48482" xr:uid="{00000000-0005-0000-0000-00005ABD0000}"/>
    <cellStyle name="Normal 3 9 18 13 3" xfId="48483" xr:uid="{00000000-0005-0000-0000-00005BBD0000}"/>
    <cellStyle name="Normal 3 9 18 14" xfId="48484" xr:uid="{00000000-0005-0000-0000-00005CBD0000}"/>
    <cellStyle name="Normal 3 9 18 14 2" xfId="48485" xr:uid="{00000000-0005-0000-0000-00005DBD0000}"/>
    <cellStyle name="Normal 3 9 18 14 3" xfId="48486" xr:uid="{00000000-0005-0000-0000-00005EBD0000}"/>
    <cellStyle name="Normal 3 9 18 15" xfId="48487" xr:uid="{00000000-0005-0000-0000-00005FBD0000}"/>
    <cellStyle name="Normal 3 9 18 16" xfId="48488" xr:uid="{00000000-0005-0000-0000-000060BD0000}"/>
    <cellStyle name="Normal 3 9 18 2" xfId="48489" xr:uid="{00000000-0005-0000-0000-000061BD0000}"/>
    <cellStyle name="Normal 3 9 18 2 2" xfId="48490" xr:uid="{00000000-0005-0000-0000-000062BD0000}"/>
    <cellStyle name="Normal 3 9 18 2 3" xfId="48491" xr:uid="{00000000-0005-0000-0000-000063BD0000}"/>
    <cellStyle name="Normal 3 9 18 3" xfId="48492" xr:uid="{00000000-0005-0000-0000-000064BD0000}"/>
    <cellStyle name="Normal 3 9 18 3 2" xfId="48493" xr:uid="{00000000-0005-0000-0000-000065BD0000}"/>
    <cellStyle name="Normal 3 9 18 3 3" xfId="48494" xr:uid="{00000000-0005-0000-0000-000066BD0000}"/>
    <cellStyle name="Normal 3 9 18 4" xfId="48495" xr:uid="{00000000-0005-0000-0000-000067BD0000}"/>
    <cellStyle name="Normal 3 9 18 4 2" xfId="48496" xr:uid="{00000000-0005-0000-0000-000068BD0000}"/>
    <cellStyle name="Normal 3 9 18 4 3" xfId="48497" xr:uid="{00000000-0005-0000-0000-000069BD0000}"/>
    <cellStyle name="Normal 3 9 18 5" xfId="48498" xr:uid="{00000000-0005-0000-0000-00006ABD0000}"/>
    <cellStyle name="Normal 3 9 18 5 2" xfId="48499" xr:uid="{00000000-0005-0000-0000-00006BBD0000}"/>
    <cellStyle name="Normal 3 9 18 5 3" xfId="48500" xr:uid="{00000000-0005-0000-0000-00006CBD0000}"/>
    <cellStyle name="Normal 3 9 18 6" xfId="48501" xr:uid="{00000000-0005-0000-0000-00006DBD0000}"/>
    <cellStyle name="Normal 3 9 18 6 2" xfId="48502" xr:uid="{00000000-0005-0000-0000-00006EBD0000}"/>
    <cellStyle name="Normal 3 9 18 6 3" xfId="48503" xr:uid="{00000000-0005-0000-0000-00006FBD0000}"/>
    <cellStyle name="Normal 3 9 18 7" xfId="48504" xr:uid="{00000000-0005-0000-0000-000070BD0000}"/>
    <cellStyle name="Normal 3 9 18 7 2" xfId="48505" xr:uid="{00000000-0005-0000-0000-000071BD0000}"/>
    <cellStyle name="Normal 3 9 18 7 3" xfId="48506" xr:uid="{00000000-0005-0000-0000-000072BD0000}"/>
    <cellStyle name="Normal 3 9 18 8" xfId="48507" xr:uid="{00000000-0005-0000-0000-000073BD0000}"/>
    <cellStyle name="Normal 3 9 18 8 2" xfId="48508" xr:uid="{00000000-0005-0000-0000-000074BD0000}"/>
    <cellStyle name="Normal 3 9 18 8 3" xfId="48509" xr:uid="{00000000-0005-0000-0000-000075BD0000}"/>
    <cellStyle name="Normal 3 9 18 9" xfId="48510" xr:uid="{00000000-0005-0000-0000-000076BD0000}"/>
    <cellStyle name="Normal 3 9 18 9 2" xfId="48511" xr:uid="{00000000-0005-0000-0000-000077BD0000}"/>
    <cellStyle name="Normal 3 9 18 9 3" xfId="48512" xr:uid="{00000000-0005-0000-0000-000078BD0000}"/>
    <cellStyle name="Normal 3 9 19" xfId="48513" xr:uid="{00000000-0005-0000-0000-000079BD0000}"/>
    <cellStyle name="Normal 3 9 19 10" xfId="48514" xr:uid="{00000000-0005-0000-0000-00007ABD0000}"/>
    <cellStyle name="Normal 3 9 19 10 2" xfId="48515" xr:uid="{00000000-0005-0000-0000-00007BBD0000}"/>
    <cellStyle name="Normal 3 9 19 10 3" xfId="48516" xr:uid="{00000000-0005-0000-0000-00007CBD0000}"/>
    <cellStyle name="Normal 3 9 19 11" xfId="48517" xr:uid="{00000000-0005-0000-0000-00007DBD0000}"/>
    <cellStyle name="Normal 3 9 19 11 2" xfId="48518" xr:uid="{00000000-0005-0000-0000-00007EBD0000}"/>
    <cellStyle name="Normal 3 9 19 11 3" xfId="48519" xr:uid="{00000000-0005-0000-0000-00007FBD0000}"/>
    <cellStyle name="Normal 3 9 19 12" xfId="48520" xr:uid="{00000000-0005-0000-0000-000080BD0000}"/>
    <cellStyle name="Normal 3 9 19 12 2" xfId="48521" xr:uid="{00000000-0005-0000-0000-000081BD0000}"/>
    <cellStyle name="Normal 3 9 19 12 3" xfId="48522" xr:uid="{00000000-0005-0000-0000-000082BD0000}"/>
    <cellStyle name="Normal 3 9 19 13" xfId="48523" xr:uid="{00000000-0005-0000-0000-000083BD0000}"/>
    <cellStyle name="Normal 3 9 19 13 2" xfId="48524" xr:uid="{00000000-0005-0000-0000-000084BD0000}"/>
    <cellStyle name="Normal 3 9 19 13 3" xfId="48525" xr:uid="{00000000-0005-0000-0000-000085BD0000}"/>
    <cellStyle name="Normal 3 9 19 14" xfId="48526" xr:uid="{00000000-0005-0000-0000-000086BD0000}"/>
    <cellStyle name="Normal 3 9 19 14 2" xfId="48527" xr:uid="{00000000-0005-0000-0000-000087BD0000}"/>
    <cellStyle name="Normal 3 9 19 14 3" xfId="48528" xr:uid="{00000000-0005-0000-0000-000088BD0000}"/>
    <cellStyle name="Normal 3 9 19 15" xfId="48529" xr:uid="{00000000-0005-0000-0000-000089BD0000}"/>
    <cellStyle name="Normal 3 9 19 16" xfId="48530" xr:uid="{00000000-0005-0000-0000-00008ABD0000}"/>
    <cellStyle name="Normal 3 9 19 2" xfId="48531" xr:uid="{00000000-0005-0000-0000-00008BBD0000}"/>
    <cellStyle name="Normal 3 9 19 2 2" xfId="48532" xr:uid="{00000000-0005-0000-0000-00008CBD0000}"/>
    <cellStyle name="Normal 3 9 19 2 3" xfId="48533" xr:uid="{00000000-0005-0000-0000-00008DBD0000}"/>
    <cellStyle name="Normal 3 9 19 3" xfId="48534" xr:uid="{00000000-0005-0000-0000-00008EBD0000}"/>
    <cellStyle name="Normal 3 9 19 3 2" xfId="48535" xr:uid="{00000000-0005-0000-0000-00008FBD0000}"/>
    <cellStyle name="Normal 3 9 19 3 3" xfId="48536" xr:uid="{00000000-0005-0000-0000-000090BD0000}"/>
    <cellStyle name="Normal 3 9 19 4" xfId="48537" xr:uid="{00000000-0005-0000-0000-000091BD0000}"/>
    <cellStyle name="Normal 3 9 19 4 2" xfId="48538" xr:uid="{00000000-0005-0000-0000-000092BD0000}"/>
    <cellStyle name="Normal 3 9 19 4 3" xfId="48539" xr:uid="{00000000-0005-0000-0000-000093BD0000}"/>
    <cellStyle name="Normal 3 9 19 5" xfId="48540" xr:uid="{00000000-0005-0000-0000-000094BD0000}"/>
    <cellStyle name="Normal 3 9 19 5 2" xfId="48541" xr:uid="{00000000-0005-0000-0000-000095BD0000}"/>
    <cellStyle name="Normal 3 9 19 5 3" xfId="48542" xr:uid="{00000000-0005-0000-0000-000096BD0000}"/>
    <cellStyle name="Normal 3 9 19 6" xfId="48543" xr:uid="{00000000-0005-0000-0000-000097BD0000}"/>
    <cellStyle name="Normal 3 9 19 6 2" xfId="48544" xr:uid="{00000000-0005-0000-0000-000098BD0000}"/>
    <cellStyle name="Normal 3 9 19 6 3" xfId="48545" xr:uid="{00000000-0005-0000-0000-000099BD0000}"/>
    <cellStyle name="Normal 3 9 19 7" xfId="48546" xr:uid="{00000000-0005-0000-0000-00009ABD0000}"/>
    <cellStyle name="Normal 3 9 19 7 2" xfId="48547" xr:uid="{00000000-0005-0000-0000-00009BBD0000}"/>
    <cellStyle name="Normal 3 9 19 7 3" xfId="48548" xr:uid="{00000000-0005-0000-0000-00009CBD0000}"/>
    <cellStyle name="Normal 3 9 19 8" xfId="48549" xr:uid="{00000000-0005-0000-0000-00009DBD0000}"/>
    <cellStyle name="Normal 3 9 19 8 2" xfId="48550" xr:uid="{00000000-0005-0000-0000-00009EBD0000}"/>
    <cellStyle name="Normal 3 9 19 8 3" xfId="48551" xr:uid="{00000000-0005-0000-0000-00009FBD0000}"/>
    <cellStyle name="Normal 3 9 19 9" xfId="48552" xr:uid="{00000000-0005-0000-0000-0000A0BD0000}"/>
    <cellStyle name="Normal 3 9 19 9 2" xfId="48553" xr:uid="{00000000-0005-0000-0000-0000A1BD0000}"/>
    <cellStyle name="Normal 3 9 19 9 3" xfId="48554" xr:uid="{00000000-0005-0000-0000-0000A2BD0000}"/>
    <cellStyle name="Normal 3 9 2" xfId="48555" xr:uid="{00000000-0005-0000-0000-0000A3BD0000}"/>
    <cellStyle name="Normal 3 9 20" xfId="48556" xr:uid="{00000000-0005-0000-0000-0000A4BD0000}"/>
    <cellStyle name="Normal 3 9 20 10" xfId="48557" xr:uid="{00000000-0005-0000-0000-0000A5BD0000}"/>
    <cellStyle name="Normal 3 9 20 10 2" xfId="48558" xr:uid="{00000000-0005-0000-0000-0000A6BD0000}"/>
    <cellStyle name="Normal 3 9 20 10 3" xfId="48559" xr:uid="{00000000-0005-0000-0000-0000A7BD0000}"/>
    <cellStyle name="Normal 3 9 20 11" xfId="48560" xr:uid="{00000000-0005-0000-0000-0000A8BD0000}"/>
    <cellStyle name="Normal 3 9 20 11 2" xfId="48561" xr:uid="{00000000-0005-0000-0000-0000A9BD0000}"/>
    <cellStyle name="Normal 3 9 20 11 3" xfId="48562" xr:uid="{00000000-0005-0000-0000-0000AABD0000}"/>
    <cellStyle name="Normal 3 9 20 12" xfId="48563" xr:uid="{00000000-0005-0000-0000-0000ABBD0000}"/>
    <cellStyle name="Normal 3 9 20 12 2" xfId="48564" xr:uid="{00000000-0005-0000-0000-0000ACBD0000}"/>
    <cellStyle name="Normal 3 9 20 12 3" xfId="48565" xr:uid="{00000000-0005-0000-0000-0000ADBD0000}"/>
    <cellStyle name="Normal 3 9 20 13" xfId="48566" xr:uid="{00000000-0005-0000-0000-0000AEBD0000}"/>
    <cellStyle name="Normal 3 9 20 13 2" xfId="48567" xr:uid="{00000000-0005-0000-0000-0000AFBD0000}"/>
    <cellStyle name="Normal 3 9 20 13 3" xfId="48568" xr:uid="{00000000-0005-0000-0000-0000B0BD0000}"/>
    <cellStyle name="Normal 3 9 20 14" xfId="48569" xr:uid="{00000000-0005-0000-0000-0000B1BD0000}"/>
    <cellStyle name="Normal 3 9 20 14 2" xfId="48570" xr:uid="{00000000-0005-0000-0000-0000B2BD0000}"/>
    <cellStyle name="Normal 3 9 20 14 3" xfId="48571" xr:uid="{00000000-0005-0000-0000-0000B3BD0000}"/>
    <cellStyle name="Normal 3 9 20 15" xfId="48572" xr:uid="{00000000-0005-0000-0000-0000B4BD0000}"/>
    <cellStyle name="Normal 3 9 20 16" xfId="48573" xr:uid="{00000000-0005-0000-0000-0000B5BD0000}"/>
    <cellStyle name="Normal 3 9 20 2" xfId="48574" xr:uid="{00000000-0005-0000-0000-0000B6BD0000}"/>
    <cellStyle name="Normal 3 9 20 2 2" xfId="48575" xr:uid="{00000000-0005-0000-0000-0000B7BD0000}"/>
    <cellStyle name="Normal 3 9 20 2 3" xfId="48576" xr:uid="{00000000-0005-0000-0000-0000B8BD0000}"/>
    <cellStyle name="Normal 3 9 20 3" xfId="48577" xr:uid="{00000000-0005-0000-0000-0000B9BD0000}"/>
    <cellStyle name="Normal 3 9 20 3 2" xfId="48578" xr:uid="{00000000-0005-0000-0000-0000BABD0000}"/>
    <cellStyle name="Normal 3 9 20 3 3" xfId="48579" xr:uid="{00000000-0005-0000-0000-0000BBBD0000}"/>
    <cellStyle name="Normal 3 9 20 4" xfId="48580" xr:uid="{00000000-0005-0000-0000-0000BCBD0000}"/>
    <cellStyle name="Normal 3 9 20 4 2" xfId="48581" xr:uid="{00000000-0005-0000-0000-0000BDBD0000}"/>
    <cellStyle name="Normal 3 9 20 4 3" xfId="48582" xr:uid="{00000000-0005-0000-0000-0000BEBD0000}"/>
    <cellStyle name="Normal 3 9 20 5" xfId="48583" xr:uid="{00000000-0005-0000-0000-0000BFBD0000}"/>
    <cellStyle name="Normal 3 9 20 5 2" xfId="48584" xr:uid="{00000000-0005-0000-0000-0000C0BD0000}"/>
    <cellStyle name="Normal 3 9 20 5 3" xfId="48585" xr:uid="{00000000-0005-0000-0000-0000C1BD0000}"/>
    <cellStyle name="Normal 3 9 20 6" xfId="48586" xr:uid="{00000000-0005-0000-0000-0000C2BD0000}"/>
    <cellStyle name="Normal 3 9 20 6 2" xfId="48587" xr:uid="{00000000-0005-0000-0000-0000C3BD0000}"/>
    <cellStyle name="Normal 3 9 20 6 3" xfId="48588" xr:uid="{00000000-0005-0000-0000-0000C4BD0000}"/>
    <cellStyle name="Normal 3 9 20 7" xfId="48589" xr:uid="{00000000-0005-0000-0000-0000C5BD0000}"/>
    <cellStyle name="Normal 3 9 20 7 2" xfId="48590" xr:uid="{00000000-0005-0000-0000-0000C6BD0000}"/>
    <cellStyle name="Normal 3 9 20 7 3" xfId="48591" xr:uid="{00000000-0005-0000-0000-0000C7BD0000}"/>
    <cellStyle name="Normal 3 9 20 8" xfId="48592" xr:uid="{00000000-0005-0000-0000-0000C8BD0000}"/>
    <cellStyle name="Normal 3 9 20 8 2" xfId="48593" xr:uid="{00000000-0005-0000-0000-0000C9BD0000}"/>
    <cellStyle name="Normal 3 9 20 8 3" xfId="48594" xr:uid="{00000000-0005-0000-0000-0000CABD0000}"/>
    <cellStyle name="Normal 3 9 20 9" xfId="48595" xr:uid="{00000000-0005-0000-0000-0000CBBD0000}"/>
    <cellStyle name="Normal 3 9 20 9 2" xfId="48596" xr:uid="{00000000-0005-0000-0000-0000CCBD0000}"/>
    <cellStyle name="Normal 3 9 20 9 3" xfId="48597" xr:uid="{00000000-0005-0000-0000-0000CDBD0000}"/>
    <cellStyle name="Normal 3 9 21" xfId="48598" xr:uid="{00000000-0005-0000-0000-0000CEBD0000}"/>
    <cellStyle name="Normal 3 9 21 10" xfId="48599" xr:uid="{00000000-0005-0000-0000-0000CFBD0000}"/>
    <cellStyle name="Normal 3 9 21 10 2" xfId="48600" xr:uid="{00000000-0005-0000-0000-0000D0BD0000}"/>
    <cellStyle name="Normal 3 9 21 10 3" xfId="48601" xr:uid="{00000000-0005-0000-0000-0000D1BD0000}"/>
    <cellStyle name="Normal 3 9 21 11" xfId="48602" xr:uid="{00000000-0005-0000-0000-0000D2BD0000}"/>
    <cellStyle name="Normal 3 9 21 11 2" xfId="48603" xr:uid="{00000000-0005-0000-0000-0000D3BD0000}"/>
    <cellStyle name="Normal 3 9 21 11 3" xfId="48604" xr:uid="{00000000-0005-0000-0000-0000D4BD0000}"/>
    <cellStyle name="Normal 3 9 21 12" xfId="48605" xr:uid="{00000000-0005-0000-0000-0000D5BD0000}"/>
    <cellStyle name="Normal 3 9 21 12 2" xfId="48606" xr:uid="{00000000-0005-0000-0000-0000D6BD0000}"/>
    <cellStyle name="Normal 3 9 21 12 3" xfId="48607" xr:uid="{00000000-0005-0000-0000-0000D7BD0000}"/>
    <cellStyle name="Normal 3 9 21 13" xfId="48608" xr:uid="{00000000-0005-0000-0000-0000D8BD0000}"/>
    <cellStyle name="Normal 3 9 21 13 2" xfId="48609" xr:uid="{00000000-0005-0000-0000-0000D9BD0000}"/>
    <cellStyle name="Normal 3 9 21 13 3" xfId="48610" xr:uid="{00000000-0005-0000-0000-0000DABD0000}"/>
    <cellStyle name="Normal 3 9 21 14" xfId="48611" xr:uid="{00000000-0005-0000-0000-0000DBBD0000}"/>
    <cellStyle name="Normal 3 9 21 14 2" xfId="48612" xr:uid="{00000000-0005-0000-0000-0000DCBD0000}"/>
    <cellStyle name="Normal 3 9 21 14 3" xfId="48613" xr:uid="{00000000-0005-0000-0000-0000DDBD0000}"/>
    <cellStyle name="Normal 3 9 21 15" xfId="48614" xr:uid="{00000000-0005-0000-0000-0000DEBD0000}"/>
    <cellStyle name="Normal 3 9 21 16" xfId="48615" xr:uid="{00000000-0005-0000-0000-0000DFBD0000}"/>
    <cellStyle name="Normal 3 9 21 2" xfId="48616" xr:uid="{00000000-0005-0000-0000-0000E0BD0000}"/>
    <cellStyle name="Normal 3 9 21 2 2" xfId="48617" xr:uid="{00000000-0005-0000-0000-0000E1BD0000}"/>
    <cellStyle name="Normal 3 9 21 2 3" xfId="48618" xr:uid="{00000000-0005-0000-0000-0000E2BD0000}"/>
    <cellStyle name="Normal 3 9 21 3" xfId="48619" xr:uid="{00000000-0005-0000-0000-0000E3BD0000}"/>
    <cellStyle name="Normal 3 9 21 3 2" xfId="48620" xr:uid="{00000000-0005-0000-0000-0000E4BD0000}"/>
    <cellStyle name="Normal 3 9 21 3 3" xfId="48621" xr:uid="{00000000-0005-0000-0000-0000E5BD0000}"/>
    <cellStyle name="Normal 3 9 21 4" xfId="48622" xr:uid="{00000000-0005-0000-0000-0000E6BD0000}"/>
    <cellStyle name="Normal 3 9 21 4 2" xfId="48623" xr:uid="{00000000-0005-0000-0000-0000E7BD0000}"/>
    <cellStyle name="Normal 3 9 21 4 3" xfId="48624" xr:uid="{00000000-0005-0000-0000-0000E8BD0000}"/>
    <cellStyle name="Normal 3 9 21 5" xfId="48625" xr:uid="{00000000-0005-0000-0000-0000E9BD0000}"/>
    <cellStyle name="Normal 3 9 21 5 2" xfId="48626" xr:uid="{00000000-0005-0000-0000-0000EABD0000}"/>
    <cellStyle name="Normal 3 9 21 5 3" xfId="48627" xr:uid="{00000000-0005-0000-0000-0000EBBD0000}"/>
    <cellStyle name="Normal 3 9 21 6" xfId="48628" xr:uid="{00000000-0005-0000-0000-0000ECBD0000}"/>
    <cellStyle name="Normal 3 9 21 6 2" xfId="48629" xr:uid="{00000000-0005-0000-0000-0000EDBD0000}"/>
    <cellStyle name="Normal 3 9 21 6 3" xfId="48630" xr:uid="{00000000-0005-0000-0000-0000EEBD0000}"/>
    <cellStyle name="Normal 3 9 21 7" xfId="48631" xr:uid="{00000000-0005-0000-0000-0000EFBD0000}"/>
    <cellStyle name="Normal 3 9 21 7 2" xfId="48632" xr:uid="{00000000-0005-0000-0000-0000F0BD0000}"/>
    <cellStyle name="Normal 3 9 21 7 3" xfId="48633" xr:uid="{00000000-0005-0000-0000-0000F1BD0000}"/>
    <cellStyle name="Normal 3 9 21 8" xfId="48634" xr:uid="{00000000-0005-0000-0000-0000F2BD0000}"/>
    <cellStyle name="Normal 3 9 21 8 2" xfId="48635" xr:uid="{00000000-0005-0000-0000-0000F3BD0000}"/>
    <cellStyle name="Normal 3 9 21 8 3" xfId="48636" xr:uid="{00000000-0005-0000-0000-0000F4BD0000}"/>
    <cellStyle name="Normal 3 9 21 9" xfId="48637" xr:uid="{00000000-0005-0000-0000-0000F5BD0000}"/>
    <cellStyle name="Normal 3 9 21 9 2" xfId="48638" xr:uid="{00000000-0005-0000-0000-0000F6BD0000}"/>
    <cellStyle name="Normal 3 9 21 9 3" xfId="48639" xr:uid="{00000000-0005-0000-0000-0000F7BD0000}"/>
    <cellStyle name="Normal 3 9 22" xfId="48640" xr:uid="{00000000-0005-0000-0000-0000F8BD0000}"/>
    <cellStyle name="Normal 3 9 22 10" xfId="48641" xr:uid="{00000000-0005-0000-0000-0000F9BD0000}"/>
    <cellStyle name="Normal 3 9 22 10 2" xfId="48642" xr:uid="{00000000-0005-0000-0000-0000FABD0000}"/>
    <cellStyle name="Normal 3 9 22 10 3" xfId="48643" xr:uid="{00000000-0005-0000-0000-0000FBBD0000}"/>
    <cellStyle name="Normal 3 9 22 11" xfId="48644" xr:uid="{00000000-0005-0000-0000-0000FCBD0000}"/>
    <cellStyle name="Normal 3 9 22 11 2" xfId="48645" xr:uid="{00000000-0005-0000-0000-0000FDBD0000}"/>
    <cellStyle name="Normal 3 9 22 11 3" xfId="48646" xr:uid="{00000000-0005-0000-0000-0000FEBD0000}"/>
    <cellStyle name="Normal 3 9 22 12" xfId="48647" xr:uid="{00000000-0005-0000-0000-0000FFBD0000}"/>
    <cellStyle name="Normal 3 9 22 12 2" xfId="48648" xr:uid="{00000000-0005-0000-0000-000000BE0000}"/>
    <cellStyle name="Normal 3 9 22 12 3" xfId="48649" xr:uid="{00000000-0005-0000-0000-000001BE0000}"/>
    <cellStyle name="Normal 3 9 22 13" xfId="48650" xr:uid="{00000000-0005-0000-0000-000002BE0000}"/>
    <cellStyle name="Normal 3 9 22 13 2" xfId="48651" xr:uid="{00000000-0005-0000-0000-000003BE0000}"/>
    <cellStyle name="Normal 3 9 22 13 3" xfId="48652" xr:uid="{00000000-0005-0000-0000-000004BE0000}"/>
    <cellStyle name="Normal 3 9 22 14" xfId="48653" xr:uid="{00000000-0005-0000-0000-000005BE0000}"/>
    <cellStyle name="Normal 3 9 22 14 2" xfId="48654" xr:uid="{00000000-0005-0000-0000-000006BE0000}"/>
    <cellStyle name="Normal 3 9 22 14 3" xfId="48655" xr:uid="{00000000-0005-0000-0000-000007BE0000}"/>
    <cellStyle name="Normal 3 9 22 15" xfId="48656" xr:uid="{00000000-0005-0000-0000-000008BE0000}"/>
    <cellStyle name="Normal 3 9 22 16" xfId="48657" xr:uid="{00000000-0005-0000-0000-000009BE0000}"/>
    <cellStyle name="Normal 3 9 22 2" xfId="48658" xr:uid="{00000000-0005-0000-0000-00000ABE0000}"/>
    <cellStyle name="Normal 3 9 22 2 2" xfId="48659" xr:uid="{00000000-0005-0000-0000-00000BBE0000}"/>
    <cellStyle name="Normal 3 9 22 2 3" xfId="48660" xr:uid="{00000000-0005-0000-0000-00000CBE0000}"/>
    <cellStyle name="Normal 3 9 22 3" xfId="48661" xr:uid="{00000000-0005-0000-0000-00000DBE0000}"/>
    <cellStyle name="Normal 3 9 22 3 2" xfId="48662" xr:uid="{00000000-0005-0000-0000-00000EBE0000}"/>
    <cellStyle name="Normal 3 9 22 3 3" xfId="48663" xr:uid="{00000000-0005-0000-0000-00000FBE0000}"/>
    <cellStyle name="Normal 3 9 22 4" xfId="48664" xr:uid="{00000000-0005-0000-0000-000010BE0000}"/>
    <cellStyle name="Normal 3 9 22 4 2" xfId="48665" xr:uid="{00000000-0005-0000-0000-000011BE0000}"/>
    <cellStyle name="Normal 3 9 22 4 3" xfId="48666" xr:uid="{00000000-0005-0000-0000-000012BE0000}"/>
    <cellStyle name="Normal 3 9 22 5" xfId="48667" xr:uid="{00000000-0005-0000-0000-000013BE0000}"/>
    <cellStyle name="Normal 3 9 22 5 2" xfId="48668" xr:uid="{00000000-0005-0000-0000-000014BE0000}"/>
    <cellStyle name="Normal 3 9 22 5 3" xfId="48669" xr:uid="{00000000-0005-0000-0000-000015BE0000}"/>
    <cellStyle name="Normal 3 9 22 6" xfId="48670" xr:uid="{00000000-0005-0000-0000-000016BE0000}"/>
    <cellStyle name="Normal 3 9 22 6 2" xfId="48671" xr:uid="{00000000-0005-0000-0000-000017BE0000}"/>
    <cellStyle name="Normal 3 9 22 6 3" xfId="48672" xr:uid="{00000000-0005-0000-0000-000018BE0000}"/>
    <cellStyle name="Normal 3 9 22 7" xfId="48673" xr:uid="{00000000-0005-0000-0000-000019BE0000}"/>
    <cellStyle name="Normal 3 9 22 7 2" xfId="48674" xr:uid="{00000000-0005-0000-0000-00001ABE0000}"/>
    <cellStyle name="Normal 3 9 22 7 3" xfId="48675" xr:uid="{00000000-0005-0000-0000-00001BBE0000}"/>
    <cellStyle name="Normal 3 9 22 8" xfId="48676" xr:uid="{00000000-0005-0000-0000-00001CBE0000}"/>
    <cellStyle name="Normal 3 9 22 8 2" xfId="48677" xr:uid="{00000000-0005-0000-0000-00001DBE0000}"/>
    <cellStyle name="Normal 3 9 22 8 3" xfId="48678" xr:uid="{00000000-0005-0000-0000-00001EBE0000}"/>
    <cellStyle name="Normal 3 9 22 9" xfId="48679" xr:uid="{00000000-0005-0000-0000-00001FBE0000}"/>
    <cellStyle name="Normal 3 9 22 9 2" xfId="48680" xr:uid="{00000000-0005-0000-0000-000020BE0000}"/>
    <cellStyle name="Normal 3 9 22 9 3" xfId="48681" xr:uid="{00000000-0005-0000-0000-000021BE0000}"/>
    <cellStyle name="Normal 3 9 23" xfId="48682" xr:uid="{00000000-0005-0000-0000-000022BE0000}"/>
    <cellStyle name="Normal 3 9 24" xfId="48683" xr:uid="{00000000-0005-0000-0000-000023BE0000}"/>
    <cellStyle name="Normal 3 9 25" xfId="48684" xr:uid="{00000000-0005-0000-0000-000024BE0000}"/>
    <cellStyle name="Normal 3 9 25 10" xfId="48685" xr:uid="{00000000-0005-0000-0000-000025BE0000}"/>
    <cellStyle name="Normal 3 9 25 10 2" xfId="48686" xr:uid="{00000000-0005-0000-0000-000026BE0000}"/>
    <cellStyle name="Normal 3 9 25 10 3" xfId="48687" xr:uid="{00000000-0005-0000-0000-000027BE0000}"/>
    <cellStyle name="Normal 3 9 25 11" xfId="48688" xr:uid="{00000000-0005-0000-0000-000028BE0000}"/>
    <cellStyle name="Normal 3 9 25 11 2" xfId="48689" xr:uid="{00000000-0005-0000-0000-000029BE0000}"/>
    <cellStyle name="Normal 3 9 25 11 3" xfId="48690" xr:uid="{00000000-0005-0000-0000-00002ABE0000}"/>
    <cellStyle name="Normal 3 9 25 12" xfId="48691" xr:uid="{00000000-0005-0000-0000-00002BBE0000}"/>
    <cellStyle name="Normal 3 9 25 12 2" xfId="48692" xr:uid="{00000000-0005-0000-0000-00002CBE0000}"/>
    <cellStyle name="Normal 3 9 25 12 3" xfId="48693" xr:uid="{00000000-0005-0000-0000-00002DBE0000}"/>
    <cellStyle name="Normal 3 9 25 13" xfId="48694" xr:uid="{00000000-0005-0000-0000-00002EBE0000}"/>
    <cellStyle name="Normal 3 9 25 13 2" xfId="48695" xr:uid="{00000000-0005-0000-0000-00002FBE0000}"/>
    <cellStyle name="Normal 3 9 25 13 3" xfId="48696" xr:uid="{00000000-0005-0000-0000-000030BE0000}"/>
    <cellStyle name="Normal 3 9 25 14" xfId="48697" xr:uid="{00000000-0005-0000-0000-000031BE0000}"/>
    <cellStyle name="Normal 3 9 25 14 2" xfId="48698" xr:uid="{00000000-0005-0000-0000-000032BE0000}"/>
    <cellStyle name="Normal 3 9 25 14 3" xfId="48699" xr:uid="{00000000-0005-0000-0000-000033BE0000}"/>
    <cellStyle name="Normal 3 9 25 15" xfId="48700" xr:uid="{00000000-0005-0000-0000-000034BE0000}"/>
    <cellStyle name="Normal 3 9 25 16" xfId="48701" xr:uid="{00000000-0005-0000-0000-000035BE0000}"/>
    <cellStyle name="Normal 3 9 25 2" xfId="48702" xr:uid="{00000000-0005-0000-0000-000036BE0000}"/>
    <cellStyle name="Normal 3 9 25 2 2" xfId="48703" xr:uid="{00000000-0005-0000-0000-000037BE0000}"/>
    <cellStyle name="Normal 3 9 25 2 3" xfId="48704" xr:uid="{00000000-0005-0000-0000-000038BE0000}"/>
    <cellStyle name="Normal 3 9 25 3" xfId="48705" xr:uid="{00000000-0005-0000-0000-000039BE0000}"/>
    <cellStyle name="Normal 3 9 25 3 2" xfId="48706" xr:uid="{00000000-0005-0000-0000-00003ABE0000}"/>
    <cellStyle name="Normal 3 9 25 3 3" xfId="48707" xr:uid="{00000000-0005-0000-0000-00003BBE0000}"/>
    <cellStyle name="Normal 3 9 25 4" xfId="48708" xr:uid="{00000000-0005-0000-0000-00003CBE0000}"/>
    <cellStyle name="Normal 3 9 25 4 2" xfId="48709" xr:uid="{00000000-0005-0000-0000-00003DBE0000}"/>
    <cellStyle name="Normal 3 9 25 4 3" xfId="48710" xr:uid="{00000000-0005-0000-0000-00003EBE0000}"/>
    <cellStyle name="Normal 3 9 25 5" xfId="48711" xr:uid="{00000000-0005-0000-0000-00003FBE0000}"/>
    <cellStyle name="Normal 3 9 25 5 2" xfId="48712" xr:uid="{00000000-0005-0000-0000-000040BE0000}"/>
    <cellStyle name="Normal 3 9 25 5 3" xfId="48713" xr:uid="{00000000-0005-0000-0000-000041BE0000}"/>
    <cellStyle name="Normal 3 9 25 6" xfId="48714" xr:uid="{00000000-0005-0000-0000-000042BE0000}"/>
    <cellStyle name="Normal 3 9 25 6 2" xfId="48715" xr:uid="{00000000-0005-0000-0000-000043BE0000}"/>
    <cellStyle name="Normal 3 9 25 6 3" xfId="48716" xr:uid="{00000000-0005-0000-0000-000044BE0000}"/>
    <cellStyle name="Normal 3 9 25 7" xfId="48717" xr:uid="{00000000-0005-0000-0000-000045BE0000}"/>
    <cellStyle name="Normal 3 9 25 7 2" xfId="48718" xr:uid="{00000000-0005-0000-0000-000046BE0000}"/>
    <cellStyle name="Normal 3 9 25 7 3" xfId="48719" xr:uid="{00000000-0005-0000-0000-000047BE0000}"/>
    <cellStyle name="Normal 3 9 25 8" xfId="48720" xr:uid="{00000000-0005-0000-0000-000048BE0000}"/>
    <cellStyle name="Normal 3 9 25 8 2" xfId="48721" xr:uid="{00000000-0005-0000-0000-000049BE0000}"/>
    <cellStyle name="Normal 3 9 25 8 3" xfId="48722" xr:uid="{00000000-0005-0000-0000-00004ABE0000}"/>
    <cellStyle name="Normal 3 9 25 9" xfId="48723" xr:uid="{00000000-0005-0000-0000-00004BBE0000}"/>
    <cellStyle name="Normal 3 9 25 9 2" xfId="48724" xr:uid="{00000000-0005-0000-0000-00004CBE0000}"/>
    <cellStyle name="Normal 3 9 25 9 3" xfId="48725" xr:uid="{00000000-0005-0000-0000-00004DBE0000}"/>
    <cellStyle name="Normal 3 9 26" xfId="48726" xr:uid="{00000000-0005-0000-0000-00004EBE0000}"/>
    <cellStyle name="Normal 3 9 26 10" xfId="48727" xr:uid="{00000000-0005-0000-0000-00004FBE0000}"/>
    <cellStyle name="Normal 3 9 26 10 2" xfId="48728" xr:uid="{00000000-0005-0000-0000-000050BE0000}"/>
    <cellStyle name="Normal 3 9 26 10 3" xfId="48729" xr:uid="{00000000-0005-0000-0000-000051BE0000}"/>
    <cellStyle name="Normal 3 9 26 11" xfId="48730" xr:uid="{00000000-0005-0000-0000-000052BE0000}"/>
    <cellStyle name="Normal 3 9 26 11 2" xfId="48731" xr:uid="{00000000-0005-0000-0000-000053BE0000}"/>
    <cellStyle name="Normal 3 9 26 11 3" xfId="48732" xr:uid="{00000000-0005-0000-0000-000054BE0000}"/>
    <cellStyle name="Normal 3 9 26 12" xfId="48733" xr:uid="{00000000-0005-0000-0000-000055BE0000}"/>
    <cellStyle name="Normal 3 9 26 12 2" xfId="48734" xr:uid="{00000000-0005-0000-0000-000056BE0000}"/>
    <cellStyle name="Normal 3 9 26 12 3" xfId="48735" xr:uid="{00000000-0005-0000-0000-000057BE0000}"/>
    <cellStyle name="Normal 3 9 26 13" xfId="48736" xr:uid="{00000000-0005-0000-0000-000058BE0000}"/>
    <cellStyle name="Normal 3 9 26 13 2" xfId="48737" xr:uid="{00000000-0005-0000-0000-000059BE0000}"/>
    <cellStyle name="Normal 3 9 26 13 3" xfId="48738" xr:uid="{00000000-0005-0000-0000-00005ABE0000}"/>
    <cellStyle name="Normal 3 9 26 14" xfId="48739" xr:uid="{00000000-0005-0000-0000-00005BBE0000}"/>
    <cellStyle name="Normal 3 9 26 14 2" xfId="48740" xr:uid="{00000000-0005-0000-0000-00005CBE0000}"/>
    <cellStyle name="Normal 3 9 26 14 3" xfId="48741" xr:uid="{00000000-0005-0000-0000-00005DBE0000}"/>
    <cellStyle name="Normal 3 9 26 15" xfId="48742" xr:uid="{00000000-0005-0000-0000-00005EBE0000}"/>
    <cellStyle name="Normal 3 9 26 16" xfId="48743" xr:uid="{00000000-0005-0000-0000-00005FBE0000}"/>
    <cellStyle name="Normal 3 9 26 2" xfId="48744" xr:uid="{00000000-0005-0000-0000-000060BE0000}"/>
    <cellStyle name="Normal 3 9 26 2 2" xfId="48745" xr:uid="{00000000-0005-0000-0000-000061BE0000}"/>
    <cellStyle name="Normal 3 9 26 2 3" xfId="48746" xr:uid="{00000000-0005-0000-0000-000062BE0000}"/>
    <cellStyle name="Normal 3 9 26 3" xfId="48747" xr:uid="{00000000-0005-0000-0000-000063BE0000}"/>
    <cellStyle name="Normal 3 9 26 3 2" xfId="48748" xr:uid="{00000000-0005-0000-0000-000064BE0000}"/>
    <cellStyle name="Normal 3 9 26 3 3" xfId="48749" xr:uid="{00000000-0005-0000-0000-000065BE0000}"/>
    <cellStyle name="Normal 3 9 26 4" xfId="48750" xr:uid="{00000000-0005-0000-0000-000066BE0000}"/>
    <cellStyle name="Normal 3 9 26 4 2" xfId="48751" xr:uid="{00000000-0005-0000-0000-000067BE0000}"/>
    <cellStyle name="Normal 3 9 26 4 3" xfId="48752" xr:uid="{00000000-0005-0000-0000-000068BE0000}"/>
    <cellStyle name="Normal 3 9 26 5" xfId="48753" xr:uid="{00000000-0005-0000-0000-000069BE0000}"/>
    <cellStyle name="Normal 3 9 26 5 2" xfId="48754" xr:uid="{00000000-0005-0000-0000-00006ABE0000}"/>
    <cellStyle name="Normal 3 9 26 5 3" xfId="48755" xr:uid="{00000000-0005-0000-0000-00006BBE0000}"/>
    <cellStyle name="Normal 3 9 26 6" xfId="48756" xr:uid="{00000000-0005-0000-0000-00006CBE0000}"/>
    <cellStyle name="Normal 3 9 26 6 2" xfId="48757" xr:uid="{00000000-0005-0000-0000-00006DBE0000}"/>
    <cellStyle name="Normal 3 9 26 6 3" xfId="48758" xr:uid="{00000000-0005-0000-0000-00006EBE0000}"/>
    <cellStyle name="Normal 3 9 26 7" xfId="48759" xr:uid="{00000000-0005-0000-0000-00006FBE0000}"/>
    <cellStyle name="Normal 3 9 26 7 2" xfId="48760" xr:uid="{00000000-0005-0000-0000-000070BE0000}"/>
    <cellStyle name="Normal 3 9 26 7 3" xfId="48761" xr:uid="{00000000-0005-0000-0000-000071BE0000}"/>
    <cellStyle name="Normal 3 9 26 8" xfId="48762" xr:uid="{00000000-0005-0000-0000-000072BE0000}"/>
    <cellStyle name="Normal 3 9 26 8 2" xfId="48763" xr:uid="{00000000-0005-0000-0000-000073BE0000}"/>
    <cellStyle name="Normal 3 9 26 8 3" xfId="48764" xr:uid="{00000000-0005-0000-0000-000074BE0000}"/>
    <cellStyle name="Normal 3 9 26 9" xfId="48765" xr:uid="{00000000-0005-0000-0000-000075BE0000}"/>
    <cellStyle name="Normal 3 9 26 9 2" xfId="48766" xr:uid="{00000000-0005-0000-0000-000076BE0000}"/>
    <cellStyle name="Normal 3 9 26 9 3" xfId="48767" xr:uid="{00000000-0005-0000-0000-000077BE0000}"/>
    <cellStyle name="Normal 3 9 3" xfId="48768" xr:uid="{00000000-0005-0000-0000-000078BE0000}"/>
    <cellStyle name="Normal 3 9 4" xfId="48769" xr:uid="{00000000-0005-0000-0000-000079BE0000}"/>
    <cellStyle name="Normal 3 9 5" xfId="48770" xr:uid="{00000000-0005-0000-0000-00007ABE0000}"/>
    <cellStyle name="Normal 3 9 6" xfId="48771" xr:uid="{00000000-0005-0000-0000-00007BBE0000}"/>
    <cellStyle name="Normal 3 9 7" xfId="48772" xr:uid="{00000000-0005-0000-0000-00007CBE0000}"/>
    <cellStyle name="Normal 3 9 8" xfId="48773" xr:uid="{00000000-0005-0000-0000-00007DBE0000}"/>
    <cellStyle name="Normal 3 9 9" xfId="48774" xr:uid="{00000000-0005-0000-0000-00007EBE0000}"/>
    <cellStyle name="Normal 3 9_End-use Summary" xfId="48775" xr:uid="{00000000-0005-0000-0000-00007FBE0000}"/>
    <cellStyle name="Normal 30" xfId="48776" xr:uid="{00000000-0005-0000-0000-000080BE0000}"/>
    <cellStyle name="Normal 30 2" xfId="48777" xr:uid="{00000000-0005-0000-0000-000081BE0000}"/>
    <cellStyle name="Normal 30 2 10" xfId="48778" xr:uid="{00000000-0005-0000-0000-000082BE0000}"/>
    <cellStyle name="Normal 30 2 10 10" xfId="48779" xr:uid="{00000000-0005-0000-0000-000083BE0000}"/>
    <cellStyle name="Normal 30 2 10 10 2" xfId="48780" xr:uid="{00000000-0005-0000-0000-000084BE0000}"/>
    <cellStyle name="Normal 30 2 10 10 3" xfId="48781" xr:uid="{00000000-0005-0000-0000-000085BE0000}"/>
    <cellStyle name="Normal 30 2 10 11" xfId="48782" xr:uid="{00000000-0005-0000-0000-000086BE0000}"/>
    <cellStyle name="Normal 30 2 10 11 2" xfId="48783" xr:uid="{00000000-0005-0000-0000-000087BE0000}"/>
    <cellStyle name="Normal 30 2 10 11 3" xfId="48784" xr:uid="{00000000-0005-0000-0000-000088BE0000}"/>
    <cellStyle name="Normal 30 2 10 12" xfId="48785" xr:uid="{00000000-0005-0000-0000-000089BE0000}"/>
    <cellStyle name="Normal 30 2 10 12 2" xfId="48786" xr:uid="{00000000-0005-0000-0000-00008ABE0000}"/>
    <cellStyle name="Normal 30 2 10 12 3" xfId="48787" xr:uid="{00000000-0005-0000-0000-00008BBE0000}"/>
    <cellStyle name="Normal 30 2 10 13" xfId="48788" xr:uid="{00000000-0005-0000-0000-00008CBE0000}"/>
    <cellStyle name="Normal 30 2 10 13 2" xfId="48789" xr:uid="{00000000-0005-0000-0000-00008DBE0000}"/>
    <cellStyle name="Normal 30 2 10 13 3" xfId="48790" xr:uid="{00000000-0005-0000-0000-00008EBE0000}"/>
    <cellStyle name="Normal 30 2 10 14" xfId="48791" xr:uid="{00000000-0005-0000-0000-00008FBE0000}"/>
    <cellStyle name="Normal 30 2 10 14 2" xfId="48792" xr:uid="{00000000-0005-0000-0000-000090BE0000}"/>
    <cellStyle name="Normal 30 2 10 14 3" xfId="48793" xr:uid="{00000000-0005-0000-0000-000091BE0000}"/>
    <cellStyle name="Normal 30 2 10 15" xfId="48794" xr:uid="{00000000-0005-0000-0000-000092BE0000}"/>
    <cellStyle name="Normal 30 2 10 16" xfId="48795" xr:uid="{00000000-0005-0000-0000-000093BE0000}"/>
    <cellStyle name="Normal 30 2 10 2" xfId="48796" xr:uid="{00000000-0005-0000-0000-000094BE0000}"/>
    <cellStyle name="Normal 30 2 10 2 2" xfId="48797" xr:uid="{00000000-0005-0000-0000-000095BE0000}"/>
    <cellStyle name="Normal 30 2 10 2 3" xfId="48798" xr:uid="{00000000-0005-0000-0000-000096BE0000}"/>
    <cellStyle name="Normal 30 2 10 3" xfId="48799" xr:uid="{00000000-0005-0000-0000-000097BE0000}"/>
    <cellStyle name="Normal 30 2 10 3 2" xfId="48800" xr:uid="{00000000-0005-0000-0000-000098BE0000}"/>
    <cellStyle name="Normal 30 2 10 3 3" xfId="48801" xr:uid="{00000000-0005-0000-0000-000099BE0000}"/>
    <cellStyle name="Normal 30 2 10 4" xfId="48802" xr:uid="{00000000-0005-0000-0000-00009ABE0000}"/>
    <cellStyle name="Normal 30 2 10 4 2" xfId="48803" xr:uid="{00000000-0005-0000-0000-00009BBE0000}"/>
    <cellStyle name="Normal 30 2 10 4 3" xfId="48804" xr:uid="{00000000-0005-0000-0000-00009CBE0000}"/>
    <cellStyle name="Normal 30 2 10 5" xfId="48805" xr:uid="{00000000-0005-0000-0000-00009DBE0000}"/>
    <cellStyle name="Normal 30 2 10 5 2" xfId="48806" xr:uid="{00000000-0005-0000-0000-00009EBE0000}"/>
    <cellStyle name="Normal 30 2 10 5 3" xfId="48807" xr:uid="{00000000-0005-0000-0000-00009FBE0000}"/>
    <cellStyle name="Normal 30 2 10 6" xfId="48808" xr:uid="{00000000-0005-0000-0000-0000A0BE0000}"/>
    <cellStyle name="Normal 30 2 10 6 2" xfId="48809" xr:uid="{00000000-0005-0000-0000-0000A1BE0000}"/>
    <cellStyle name="Normal 30 2 10 6 3" xfId="48810" xr:uid="{00000000-0005-0000-0000-0000A2BE0000}"/>
    <cellStyle name="Normal 30 2 10 7" xfId="48811" xr:uid="{00000000-0005-0000-0000-0000A3BE0000}"/>
    <cellStyle name="Normal 30 2 10 7 2" xfId="48812" xr:uid="{00000000-0005-0000-0000-0000A4BE0000}"/>
    <cellStyle name="Normal 30 2 10 7 3" xfId="48813" xr:uid="{00000000-0005-0000-0000-0000A5BE0000}"/>
    <cellStyle name="Normal 30 2 10 8" xfId="48814" xr:uid="{00000000-0005-0000-0000-0000A6BE0000}"/>
    <cellStyle name="Normal 30 2 10 8 2" xfId="48815" xr:uid="{00000000-0005-0000-0000-0000A7BE0000}"/>
    <cellStyle name="Normal 30 2 10 8 3" xfId="48816" xr:uid="{00000000-0005-0000-0000-0000A8BE0000}"/>
    <cellStyle name="Normal 30 2 10 9" xfId="48817" xr:uid="{00000000-0005-0000-0000-0000A9BE0000}"/>
    <cellStyle name="Normal 30 2 10 9 2" xfId="48818" xr:uid="{00000000-0005-0000-0000-0000AABE0000}"/>
    <cellStyle name="Normal 30 2 10 9 3" xfId="48819" xr:uid="{00000000-0005-0000-0000-0000ABBE0000}"/>
    <cellStyle name="Normal 30 2 11" xfId="48820" xr:uid="{00000000-0005-0000-0000-0000ACBE0000}"/>
    <cellStyle name="Normal 30 2 11 10" xfId="48821" xr:uid="{00000000-0005-0000-0000-0000ADBE0000}"/>
    <cellStyle name="Normal 30 2 11 10 2" xfId="48822" xr:uid="{00000000-0005-0000-0000-0000AEBE0000}"/>
    <cellStyle name="Normal 30 2 11 10 3" xfId="48823" xr:uid="{00000000-0005-0000-0000-0000AFBE0000}"/>
    <cellStyle name="Normal 30 2 11 11" xfId="48824" xr:uid="{00000000-0005-0000-0000-0000B0BE0000}"/>
    <cellStyle name="Normal 30 2 11 11 2" xfId="48825" xr:uid="{00000000-0005-0000-0000-0000B1BE0000}"/>
    <cellStyle name="Normal 30 2 11 11 3" xfId="48826" xr:uid="{00000000-0005-0000-0000-0000B2BE0000}"/>
    <cellStyle name="Normal 30 2 11 12" xfId="48827" xr:uid="{00000000-0005-0000-0000-0000B3BE0000}"/>
    <cellStyle name="Normal 30 2 11 12 2" xfId="48828" xr:uid="{00000000-0005-0000-0000-0000B4BE0000}"/>
    <cellStyle name="Normal 30 2 11 12 3" xfId="48829" xr:uid="{00000000-0005-0000-0000-0000B5BE0000}"/>
    <cellStyle name="Normal 30 2 11 13" xfId="48830" xr:uid="{00000000-0005-0000-0000-0000B6BE0000}"/>
    <cellStyle name="Normal 30 2 11 13 2" xfId="48831" xr:uid="{00000000-0005-0000-0000-0000B7BE0000}"/>
    <cellStyle name="Normal 30 2 11 13 3" xfId="48832" xr:uid="{00000000-0005-0000-0000-0000B8BE0000}"/>
    <cellStyle name="Normal 30 2 11 14" xfId="48833" xr:uid="{00000000-0005-0000-0000-0000B9BE0000}"/>
    <cellStyle name="Normal 30 2 11 14 2" xfId="48834" xr:uid="{00000000-0005-0000-0000-0000BABE0000}"/>
    <cellStyle name="Normal 30 2 11 14 3" xfId="48835" xr:uid="{00000000-0005-0000-0000-0000BBBE0000}"/>
    <cellStyle name="Normal 30 2 11 15" xfId="48836" xr:uid="{00000000-0005-0000-0000-0000BCBE0000}"/>
    <cellStyle name="Normal 30 2 11 16" xfId="48837" xr:uid="{00000000-0005-0000-0000-0000BDBE0000}"/>
    <cellStyle name="Normal 30 2 11 2" xfId="48838" xr:uid="{00000000-0005-0000-0000-0000BEBE0000}"/>
    <cellStyle name="Normal 30 2 11 2 2" xfId="48839" xr:uid="{00000000-0005-0000-0000-0000BFBE0000}"/>
    <cellStyle name="Normal 30 2 11 2 3" xfId="48840" xr:uid="{00000000-0005-0000-0000-0000C0BE0000}"/>
    <cellStyle name="Normal 30 2 11 3" xfId="48841" xr:uid="{00000000-0005-0000-0000-0000C1BE0000}"/>
    <cellStyle name="Normal 30 2 11 3 2" xfId="48842" xr:uid="{00000000-0005-0000-0000-0000C2BE0000}"/>
    <cellStyle name="Normal 30 2 11 3 3" xfId="48843" xr:uid="{00000000-0005-0000-0000-0000C3BE0000}"/>
    <cellStyle name="Normal 30 2 11 4" xfId="48844" xr:uid="{00000000-0005-0000-0000-0000C4BE0000}"/>
    <cellStyle name="Normal 30 2 11 4 2" xfId="48845" xr:uid="{00000000-0005-0000-0000-0000C5BE0000}"/>
    <cellStyle name="Normal 30 2 11 4 3" xfId="48846" xr:uid="{00000000-0005-0000-0000-0000C6BE0000}"/>
    <cellStyle name="Normal 30 2 11 5" xfId="48847" xr:uid="{00000000-0005-0000-0000-0000C7BE0000}"/>
    <cellStyle name="Normal 30 2 11 5 2" xfId="48848" xr:uid="{00000000-0005-0000-0000-0000C8BE0000}"/>
    <cellStyle name="Normal 30 2 11 5 3" xfId="48849" xr:uid="{00000000-0005-0000-0000-0000C9BE0000}"/>
    <cellStyle name="Normal 30 2 11 6" xfId="48850" xr:uid="{00000000-0005-0000-0000-0000CABE0000}"/>
    <cellStyle name="Normal 30 2 11 6 2" xfId="48851" xr:uid="{00000000-0005-0000-0000-0000CBBE0000}"/>
    <cellStyle name="Normal 30 2 11 6 3" xfId="48852" xr:uid="{00000000-0005-0000-0000-0000CCBE0000}"/>
    <cellStyle name="Normal 30 2 11 7" xfId="48853" xr:uid="{00000000-0005-0000-0000-0000CDBE0000}"/>
    <cellStyle name="Normal 30 2 11 7 2" xfId="48854" xr:uid="{00000000-0005-0000-0000-0000CEBE0000}"/>
    <cellStyle name="Normal 30 2 11 7 3" xfId="48855" xr:uid="{00000000-0005-0000-0000-0000CFBE0000}"/>
    <cellStyle name="Normal 30 2 11 8" xfId="48856" xr:uid="{00000000-0005-0000-0000-0000D0BE0000}"/>
    <cellStyle name="Normal 30 2 11 8 2" xfId="48857" xr:uid="{00000000-0005-0000-0000-0000D1BE0000}"/>
    <cellStyle name="Normal 30 2 11 8 3" xfId="48858" xr:uid="{00000000-0005-0000-0000-0000D2BE0000}"/>
    <cellStyle name="Normal 30 2 11 9" xfId="48859" xr:uid="{00000000-0005-0000-0000-0000D3BE0000}"/>
    <cellStyle name="Normal 30 2 11 9 2" xfId="48860" xr:uid="{00000000-0005-0000-0000-0000D4BE0000}"/>
    <cellStyle name="Normal 30 2 11 9 3" xfId="48861" xr:uid="{00000000-0005-0000-0000-0000D5BE0000}"/>
    <cellStyle name="Normal 30 2 12" xfId="48862" xr:uid="{00000000-0005-0000-0000-0000D6BE0000}"/>
    <cellStyle name="Normal 30 2 12 10" xfId="48863" xr:uid="{00000000-0005-0000-0000-0000D7BE0000}"/>
    <cellStyle name="Normal 30 2 12 10 2" xfId="48864" xr:uid="{00000000-0005-0000-0000-0000D8BE0000}"/>
    <cellStyle name="Normal 30 2 12 10 3" xfId="48865" xr:uid="{00000000-0005-0000-0000-0000D9BE0000}"/>
    <cellStyle name="Normal 30 2 12 11" xfId="48866" xr:uid="{00000000-0005-0000-0000-0000DABE0000}"/>
    <cellStyle name="Normal 30 2 12 11 2" xfId="48867" xr:uid="{00000000-0005-0000-0000-0000DBBE0000}"/>
    <cellStyle name="Normal 30 2 12 11 3" xfId="48868" xr:uid="{00000000-0005-0000-0000-0000DCBE0000}"/>
    <cellStyle name="Normal 30 2 12 12" xfId="48869" xr:uid="{00000000-0005-0000-0000-0000DDBE0000}"/>
    <cellStyle name="Normal 30 2 12 12 2" xfId="48870" xr:uid="{00000000-0005-0000-0000-0000DEBE0000}"/>
    <cellStyle name="Normal 30 2 12 12 3" xfId="48871" xr:uid="{00000000-0005-0000-0000-0000DFBE0000}"/>
    <cellStyle name="Normal 30 2 12 13" xfId="48872" xr:uid="{00000000-0005-0000-0000-0000E0BE0000}"/>
    <cellStyle name="Normal 30 2 12 13 2" xfId="48873" xr:uid="{00000000-0005-0000-0000-0000E1BE0000}"/>
    <cellStyle name="Normal 30 2 12 13 3" xfId="48874" xr:uid="{00000000-0005-0000-0000-0000E2BE0000}"/>
    <cellStyle name="Normal 30 2 12 14" xfId="48875" xr:uid="{00000000-0005-0000-0000-0000E3BE0000}"/>
    <cellStyle name="Normal 30 2 12 14 2" xfId="48876" xr:uid="{00000000-0005-0000-0000-0000E4BE0000}"/>
    <cellStyle name="Normal 30 2 12 14 3" xfId="48877" xr:uid="{00000000-0005-0000-0000-0000E5BE0000}"/>
    <cellStyle name="Normal 30 2 12 15" xfId="48878" xr:uid="{00000000-0005-0000-0000-0000E6BE0000}"/>
    <cellStyle name="Normal 30 2 12 16" xfId="48879" xr:uid="{00000000-0005-0000-0000-0000E7BE0000}"/>
    <cellStyle name="Normal 30 2 12 2" xfId="48880" xr:uid="{00000000-0005-0000-0000-0000E8BE0000}"/>
    <cellStyle name="Normal 30 2 12 2 2" xfId="48881" xr:uid="{00000000-0005-0000-0000-0000E9BE0000}"/>
    <cellStyle name="Normal 30 2 12 2 3" xfId="48882" xr:uid="{00000000-0005-0000-0000-0000EABE0000}"/>
    <cellStyle name="Normal 30 2 12 3" xfId="48883" xr:uid="{00000000-0005-0000-0000-0000EBBE0000}"/>
    <cellStyle name="Normal 30 2 12 3 2" xfId="48884" xr:uid="{00000000-0005-0000-0000-0000ECBE0000}"/>
    <cellStyle name="Normal 30 2 12 3 3" xfId="48885" xr:uid="{00000000-0005-0000-0000-0000EDBE0000}"/>
    <cellStyle name="Normal 30 2 12 4" xfId="48886" xr:uid="{00000000-0005-0000-0000-0000EEBE0000}"/>
    <cellStyle name="Normal 30 2 12 4 2" xfId="48887" xr:uid="{00000000-0005-0000-0000-0000EFBE0000}"/>
    <cellStyle name="Normal 30 2 12 4 3" xfId="48888" xr:uid="{00000000-0005-0000-0000-0000F0BE0000}"/>
    <cellStyle name="Normal 30 2 12 5" xfId="48889" xr:uid="{00000000-0005-0000-0000-0000F1BE0000}"/>
    <cellStyle name="Normal 30 2 12 5 2" xfId="48890" xr:uid="{00000000-0005-0000-0000-0000F2BE0000}"/>
    <cellStyle name="Normal 30 2 12 5 3" xfId="48891" xr:uid="{00000000-0005-0000-0000-0000F3BE0000}"/>
    <cellStyle name="Normal 30 2 12 6" xfId="48892" xr:uid="{00000000-0005-0000-0000-0000F4BE0000}"/>
    <cellStyle name="Normal 30 2 12 6 2" xfId="48893" xr:uid="{00000000-0005-0000-0000-0000F5BE0000}"/>
    <cellStyle name="Normal 30 2 12 6 3" xfId="48894" xr:uid="{00000000-0005-0000-0000-0000F6BE0000}"/>
    <cellStyle name="Normal 30 2 12 7" xfId="48895" xr:uid="{00000000-0005-0000-0000-0000F7BE0000}"/>
    <cellStyle name="Normal 30 2 12 7 2" xfId="48896" xr:uid="{00000000-0005-0000-0000-0000F8BE0000}"/>
    <cellStyle name="Normal 30 2 12 7 3" xfId="48897" xr:uid="{00000000-0005-0000-0000-0000F9BE0000}"/>
    <cellStyle name="Normal 30 2 12 8" xfId="48898" xr:uid="{00000000-0005-0000-0000-0000FABE0000}"/>
    <cellStyle name="Normal 30 2 12 8 2" xfId="48899" xr:uid="{00000000-0005-0000-0000-0000FBBE0000}"/>
    <cellStyle name="Normal 30 2 12 8 3" xfId="48900" xr:uid="{00000000-0005-0000-0000-0000FCBE0000}"/>
    <cellStyle name="Normal 30 2 12 9" xfId="48901" xr:uid="{00000000-0005-0000-0000-0000FDBE0000}"/>
    <cellStyle name="Normal 30 2 12 9 2" xfId="48902" xr:uid="{00000000-0005-0000-0000-0000FEBE0000}"/>
    <cellStyle name="Normal 30 2 12 9 3" xfId="48903" xr:uid="{00000000-0005-0000-0000-0000FFBE0000}"/>
    <cellStyle name="Normal 30 2 13" xfId="48904" xr:uid="{00000000-0005-0000-0000-000000BF0000}"/>
    <cellStyle name="Normal 30 2 13 10" xfId="48905" xr:uid="{00000000-0005-0000-0000-000001BF0000}"/>
    <cellStyle name="Normal 30 2 13 10 2" xfId="48906" xr:uid="{00000000-0005-0000-0000-000002BF0000}"/>
    <cellStyle name="Normal 30 2 13 10 3" xfId="48907" xr:uid="{00000000-0005-0000-0000-000003BF0000}"/>
    <cellStyle name="Normal 30 2 13 11" xfId="48908" xr:uid="{00000000-0005-0000-0000-000004BF0000}"/>
    <cellStyle name="Normal 30 2 13 11 2" xfId="48909" xr:uid="{00000000-0005-0000-0000-000005BF0000}"/>
    <cellStyle name="Normal 30 2 13 11 3" xfId="48910" xr:uid="{00000000-0005-0000-0000-000006BF0000}"/>
    <cellStyle name="Normal 30 2 13 12" xfId="48911" xr:uid="{00000000-0005-0000-0000-000007BF0000}"/>
    <cellStyle name="Normal 30 2 13 12 2" xfId="48912" xr:uid="{00000000-0005-0000-0000-000008BF0000}"/>
    <cellStyle name="Normal 30 2 13 12 3" xfId="48913" xr:uid="{00000000-0005-0000-0000-000009BF0000}"/>
    <cellStyle name="Normal 30 2 13 13" xfId="48914" xr:uid="{00000000-0005-0000-0000-00000ABF0000}"/>
    <cellStyle name="Normal 30 2 13 13 2" xfId="48915" xr:uid="{00000000-0005-0000-0000-00000BBF0000}"/>
    <cellStyle name="Normal 30 2 13 13 3" xfId="48916" xr:uid="{00000000-0005-0000-0000-00000CBF0000}"/>
    <cellStyle name="Normal 30 2 13 14" xfId="48917" xr:uid="{00000000-0005-0000-0000-00000DBF0000}"/>
    <cellStyle name="Normal 30 2 13 14 2" xfId="48918" xr:uid="{00000000-0005-0000-0000-00000EBF0000}"/>
    <cellStyle name="Normal 30 2 13 14 3" xfId="48919" xr:uid="{00000000-0005-0000-0000-00000FBF0000}"/>
    <cellStyle name="Normal 30 2 13 15" xfId="48920" xr:uid="{00000000-0005-0000-0000-000010BF0000}"/>
    <cellStyle name="Normal 30 2 13 16" xfId="48921" xr:uid="{00000000-0005-0000-0000-000011BF0000}"/>
    <cellStyle name="Normal 30 2 13 2" xfId="48922" xr:uid="{00000000-0005-0000-0000-000012BF0000}"/>
    <cellStyle name="Normal 30 2 13 2 2" xfId="48923" xr:uid="{00000000-0005-0000-0000-000013BF0000}"/>
    <cellStyle name="Normal 30 2 13 2 3" xfId="48924" xr:uid="{00000000-0005-0000-0000-000014BF0000}"/>
    <cellStyle name="Normal 30 2 13 3" xfId="48925" xr:uid="{00000000-0005-0000-0000-000015BF0000}"/>
    <cellStyle name="Normal 30 2 13 3 2" xfId="48926" xr:uid="{00000000-0005-0000-0000-000016BF0000}"/>
    <cellStyle name="Normal 30 2 13 3 3" xfId="48927" xr:uid="{00000000-0005-0000-0000-000017BF0000}"/>
    <cellStyle name="Normal 30 2 13 4" xfId="48928" xr:uid="{00000000-0005-0000-0000-000018BF0000}"/>
    <cellStyle name="Normal 30 2 13 4 2" xfId="48929" xr:uid="{00000000-0005-0000-0000-000019BF0000}"/>
    <cellStyle name="Normal 30 2 13 4 3" xfId="48930" xr:uid="{00000000-0005-0000-0000-00001ABF0000}"/>
    <cellStyle name="Normal 30 2 13 5" xfId="48931" xr:uid="{00000000-0005-0000-0000-00001BBF0000}"/>
    <cellStyle name="Normal 30 2 13 5 2" xfId="48932" xr:uid="{00000000-0005-0000-0000-00001CBF0000}"/>
    <cellStyle name="Normal 30 2 13 5 3" xfId="48933" xr:uid="{00000000-0005-0000-0000-00001DBF0000}"/>
    <cellStyle name="Normal 30 2 13 6" xfId="48934" xr:uid="{00000000-0005-0000-0000-00001EBF0000}"/>
    <cellStyle name="Normal 30 2 13 6 2" xfId="48935" xr:uid="{00000000-0005-0000-0000-00001FBF0000}"/>
    <cellStyle name="Normal 30 2 13 6 3" xfId="48936" xr:uid="{00000000-0005-0000-0000-000020BF0000}"/>
    <cellStyle name="Normal 30 2 13 7" xfId="48937" xr:uid="{00000000-0005-0000-0000-000021BF0000}"/>
    <cellStyle name="Normal 30 2 13 7 2" xfId="48938" xr:uid="{00000000-0005-0000-0000-000022BF0000}"/>
    <cellStyle name="Normal 30 2 13 7 3" xfId="48939" xr:uid="{00000000-0005-0000-0000-000023BF0000}"/>
    <cellStyle name="Normal 30 2 13 8" xfId="48940" xr:uid="{00000000-0005-0000-0000-000024BF0000}"/>
    <cellStyle name="Normal 30 2 13 8 2" xfId="48941" xr:uid="{00000000-0005-0000-0000-000025BF0000}"/>
    <cellStyle name="Normal 30 2 13 8 3" xfId="48942" xr:uid="{00000000-0005-0000-0000-000026BF0000}"/>
    <cellStyle name="Normal 30 2 13 9" xfId="48943" xr:uid="{00000000-0005-0000-0000-000027BF0000}"/>
    <cellStyle name="Normal 30 2 13 9 2" xfId="48944" xr:uid="{00000000-0005-0000-0000-000028BF0000}"/>
    <cellStyle name="Normal 30 2 13 9 3" xfId="48945" xr:uid="{00000000-0005-0000-0000-000029BF0000}"/>
    <cellStyle name="Normal 30 2 14" xfId="48946" xr:uid="{00000000-0005-0000-0000-00002ABF0000}"/>
    <cellStyle name="Normal 30 2 14 10" xfId="48947" xr:uid="{00000000-0005-0000-0000-00002BBF0000}"/>
    <cellStyle name="Normal 30 2 14 10 2" xfId="48948" xr:uid="{00000000-0005-0000-0000-00002CBF0000}"/>
    <cellStyle name="Normal 30 2 14 10 3" xfId="48949" xr:uid="{00000000-0005-0000-0000-00002DBF0000}"/>
    <cellStyle name="Normal 30 2 14 11" xfId="48950" xr:uid="{00000000-0005-0000-0000-00002EBF0000}"/>
    <cellStyle name="Normal 30 2 14 11 2" xfId="48951" xr:uid="{00000000-0005-0000-0000-00002FBF0000}"/>
    <cellStyle name="Normal 30 2 14 11 3" xfId="48952" xr:uid="{00000000-0005-0000-0000-000030BF0000}"/>
    <cellStyle name="Normal 30 2 14 12" xfId="48953" xr:uid="{00000000-0005-0000-0000-000031BF0000}"/>
    <cellStyle name="Normal 30 2 14 12 2" xfId="48954" xr:uid="{00000000-0005-0000-0000-000032BF0000}"/>
    <cellStyle name="Normal 30 2 14 12 3" xfId="48955" xr:uid="{00000000-0005-0000-0000-000033BF0000}"/>
    <cellStyle name="Normal 30 2 14 13" xfId="48956" xr:uid="{00000000-0005-0000-0000-000034BF0000}"/>
    <cellStyle name="Normal 30 2 14 13 2" xfId="48957" xr:uid="{00000000-0005-0000-0000-000035BF0000}"/>
    <cellStyle name="Normal 30 2 14 13 3" xfId="48958" xr:uid="{00000000-0005-0000-0000-000036BF0000}"/>
    <cellStyle name="Normal 30 2 14 14" xfId="48959" xr:uid="{00000000-0005-0000-0000-000037BF0000}"/>
    <cellStyle name="Normal 30 2 14 14 2" xfId="48960" xr:uid="{00000000-0005-0000-0000-000038BF0000}"/>
    <cellStyle name="Normal 30 2 14 14 3" xfId="48961" xr:uid="{00000000-0005-0000-0000-000039BF0000}"/>
    <cellStyle name="Normal 30 2 14 15" xfId="48962" xr:uid="{00000000-0005-0000-0000-00003ABF0000}"/>
    <cellStyle name="Normal 30 2 14 16" xfId="48963" xr:uid="{00000000-0005-0000-0000-00003BBF0000}"/>
    <cellStyle name="Normal 30 2 14 2" xfId="48964" xr:uid="{00000000-0005-0000-0000-00003CBF0000}"/>
    <cellStyle name="Normal 30 2 14 2 2" xfId="48965" xr:uid="{00000000-0005-0000-0000-00003DBF0000}"/>
    <cellStyle name="Normal 30 2 14 2 3" xfId="48966" xr:uid="{00000000-0005-0000-0000-00003EBF0000}"/>
    <cellStyle name="Normal 30 2 14 3" xfId="48967" xr:uid="{00000000-0005-0000-0000-00003FBF0000}"/>
    <cellStyle name="Normal 30 2 14 3 2" xfId="48968" xr:uid="{00000000-0005-0000-0000-000040BF0000}"/>
    <cellStyle name="Normal 30 2 14 3 3" xfId="48969" xr:uid="{00000000-0005-0000-0000-000041BF0000}"/>
    <cellStyle name="Normal 30 2 14 4" xfId="48970" xr:uid="{00000000-0005-0000-0000-000042BF0000}"/>
    <cellStyle name="Normal 30 2 14 4 2" xfId="48971" xr:uid="{00000000-0005-0000-0000-000043BF0000}"/>
    <cellStyle name="Normal 30 2 14 4 3" xfId="48972" xr:uid="{00000000-0005-0000-0000-000044BF0000}"/>
    <cellStyle name="Normal 30 2 14 5" xfId="48973" xr:uid="{00000000-0005-0000-0000-000045BF0000}"/>
    <cellStyle name="Normal 30 2 14 5 2" xfId="48974" xr:uid="{00000000-0005-0000-0000-000046BF0000}"/>
    <cellStyle name="Normal 30 2 14 5 3" xfId="48975" xr:uid="{00000000-0005-0000-0000-000047BF0000}"/>
    <cellStyle name="Normal 30 2 14 6" xfId="48976" xr:uid="{00000000-0005-0000-0000-000048BF0000}"/>
    <cellStyle name="Normal 30 2 14 6 2" xfId="48977" xr:uid="{00000000-0005-0000-0000-000049BF0000}"/>
    <cellStyle name="Normal 30 2 14 6 3" xfId="48978" xr:uid="{00000000-0005-0000-0000-00004ABF0000}"/>
    <cellStyle name="Normal 30 2 14 7" xfId="48979" xr:uid="{00000000-0005-0000-0000-00004BBF0000}"/>
    <cellStyle name="Normal 30 2 14 7 2" xfId="48980" xr:uid="{00000000-0005-0000-0000-00004CBF0000}"/>
    <cellStyle name="Normal 30 2 14 7 3" xfId="48981" xr:uid="{00000000-0005-0000-0000-00004DBF0000}"/>
    <cellStyle name="Normal 30 2 14 8" xfId="48982" xr:uid="{00000000-0005-0000-0000-00004EBF0000}"/>
    <cellStyle name="Normal 30 2 14 8 2" xfId="48983" xr:uid="{00000000-0005-0000-0000-00004FBF0000}"/>
    <cellStyle name="Normal 30 2 14 8 3" xfId="48984" xr:uid="{00000000-0005-0000-0000-000050BF0000}"/>
    <cellStyle name="Normal 30 2 14 9" xfId="48985" xr:uid="{00000000-0005-0000-0000-000051BF0000}"/>
    <cellStyle name="Normal 30 2 14 9 2" xfId="48986" xr:uid="{00000000-0005-0000-0000-000052BF0000}"/>
    <cellStyle name="Normal 30 2 14 9 3" xfId="48987" xr:uid="{00000000-0005-0000-0000-000053BF0000}"/>
    <cellStyle name="Normal 30 2 15" xfId="48988" xr:uid="{00000000-0005-0000-0000-000054BF0000}"/>
    <cellStyle name="Normal 30 2 15 10" xfId="48989" xr:uid="{00000000-0005-0000-0000-000055BF0000}"/>
    <cellStyle name="Normal 30 2 15 10 2" xfId="48990" xr:uid="{00000000-0005-0000-0000-000056BF0000}"/>
    <cellStyle name="Normal 30 2 15 10 3" xfId="48991" xr:uid="{00000000-0005-0000-0000-000057BF0000}"/>
    <cellStyle name="Normal 30 2 15 11" xfId="48992" xr:uid="{00000000-0005-0000-0000-000058BF0000}"/>
    <cellStyle name="Normal 30 2 15 11 2" xfId="48993" xr:uid="{00000000-0005-0000-0000-000059BF0000}"/>
    <cellStyle name="Normal 30 2 15 11 3" xfId="48994" xr:uid="{00000000-0005-0000-0000-00005ABF0000}"/>
    <cellStyle name="Normal 30 2 15 12" xfId="48995" xr:uid="{00000000-0005-0000-0000-00005BBF0000}"/>
    <cellStyle name="Normal 30 2 15 12 2" xfId="48996" xr:uid="{00000000-0005-0000-0000-00005CBF0000}"/>
    <cellStyle name="Normal 30 2 15 12 3" xfId="48997" xr:uid="{00000000-0005-0000-0000-00005DBF0000}"/>
    <cellStyle name="Normal 30 2 15 13" xfId="48998" xr:uid="{00000000-0005-0000-0000-00005EBF0000}"/>
    <cellStyle name="Normal 30 2 15 13 2" xfId="48999" xr:uid="{00000000-0005-0000-0000-00005FBF0000}"/>
    <cellStyle name="Normal 30 2 15 13 3" xfId="49000" xr:uid="{00000000-0005-0000-0000-000060BF0000}"/>
    <cellStyle name="Normal 30 2 15 14" xfId="49001" xr:uid="{00000000-0005-0000-0000-000061BF0000}"/>
    <cellStyle name="Normal 30 2 15 14 2" xfId="49002" xr:uid="{00000000-0005-0000-0000-000062BF0000}"/>
    <cellStyle name="Normal 30 2 15 14 3" xfId="49003" xr:uid="{00000000-0005-0000-0000-000063BF0000}"/>
    <cellStyle name="Normal 30 2 15 15" xfId="49004" xr:uid="{00000000-0005-0000-0000-000064BF0000}"/>
    <cellStyle name="Normal 30 2 15 16" xfId="49005" xr:uid="{00000000-0005-0000-0000-000065BF0000}"/>
    <cellStyle name="Normal 30 2 15 2" xfId="49006" xr:uid="{00000000-0005-0000-0000-000066BF0000}"/>
    <cellStyle name="Normal 30 2 15 2 2" xfId="49007" xr:uid="{00000000-0005-0000-0000-000067BF0000}"/>
    <cellStyle name="Normal 30 2 15 2 3" xfId="49008" xr:uid="{00000000-0005-0000-0000-000068BF0000}"/>
    <cellStyle name="Normal 30 2 15 3" xfId="49009" xr:uid="{00000000-0005-0000-0000-000069BF0000}"/>
    <cellStyle name="Normal 30 2 15 3 2" xfId="49010" xr:uid="{00000000-0005-0000-0000-00006ABF0000}"/>
    <cellStyle name="Normal 30 2 15 3 3" xfId="49011" xr:uid="{00000000-0005-0000-0000-00006BBF0000}"/>
    <cellStyle name="Normal 30 2 15 4" xfId="49012" xr:uid="{00000000-0005-0000-0000-00006CBF0000}"/>
    <cellStyle name="Normal 30 2 15 4 2" xfId="49013" xr:uid="{00000000-0005-0000-0000-00006DBF0000}"/>
    <cellStyle name="Normal 30 2 15 4 3" xfId="49014" xr:uid="{00000000-0005-0000-0000-00006EBF0000}"/>
    <cellStyle name="Normal 30 2 15 5" xfId="49015" xr:uid="{00000000-0005-0000-0000-00006FBF0000}"/>
    <cellStyle name="Normal 30 2 15 5 2" xfId="49016" xr:uid="{00000000-0005-0000-0000-000070BF0000}"/>
    <cellStyle name="Normal 30 2 15 5 3" xfId="49017" xr:uid="{00000000-0005-0000-0000-000071BF0000}"/>
    <cellStyle name="Normal 30 2 15 6" xfId="49018" xr:uid="{00000000-0005-0000-0000-000072BF0000}"/>
    <cellStyle name="Normal 30 2 15 6 2" xfId="49019" xr:uid="{00000000-0005-0000-0000-000073BF0000}"/>
    <cellStyle name="Normal 30 2 15 6 3" xfId="49020" xr:uid="{00000000-0005-0000-0000-000074BF0000}"/>
    <cellStyle name="Normal 30 2 15 7" xfId="49021" xr:uid="{00000000-0005-0000-0000-000075BF0000}"/>
    <cellStyle name="Normal 30 2 15 7 2" xfId="49022" xr:uid="{00000000-0005-0000-0000-000076BF0000}"/>
    <cellStyle name="Normal 30 2 15 7 3" xfId="49023" xr:uid="{00000000-0005-0000-0000-000077BF0000}"/>
    <cellStyle name="Normal 30 2 15 8" xfId="49024" xr:uid="{00000000-0005-0000-0000-000078BF0000}"/>
    <cellStyle name="Normal 30 2 15 8 2" xfId="49025" xr:uid="{00000000-0005-0000-0000-000079BF0000}"/>
    <cellStyle name="Normal 30 2 15 8 3" xfId="49026" xr:uid="{00000000-0005-0000-0000-00007ABF0000}"/>
    <cellStyle name="Normal 30 2 15 9" xfId="49027" xr:uid="{00000000-0005-0000-0000-00007BBF0000}"/>
    <cellStyle name="Normal 30 2 15 9 2" xfId="49028" xr:uid="{00000000-0005-0000-0000-00007CBF0000}"/>
    <cellStyle name="Normal 30 2 15 9 3" xfId="49029" xr:uid="{00000000-0005-0000-0000-00007DBF0000}"/>
    <cellStyle name="Normal 30 2 16" xfId="49030" xr:uid="{00000000-0005-0000-0000-00007EBF0000}"/>
    <cellStyle name="Normal 30 2 16 2" xfId="49031" xr:uid="{00000000-0005-0000-0000-00007FBF0000}"/>
    <cellStyle name="Normal 30 2 16 3" xfId="49032" xr:uid="{00000000-0005-0000-0000-000080BF0000}"/>
    <cellStyle name="Normal 30 2 17" xfId="49033" xr:uid="{00000000-0005-0000-0000-000081BF0000}"/>
    <cellStyle name="Normal 30 2 17 2" xfId="49034" xr:uid="{00000000-0005-0000-0000-000082BF0000}"/>
    <cellStyle name="Normal 30 2 17 3" xfId="49035" xr:uid="{00000000-0005-0000-0000-000083BF0000}"/>
    <cellStyle name="Normal 30 2 18" xfId="49036" xr:uid="{00000000-0005-0000-0000-000084BF0000}"/>
    <cellStyle name="Normal 30 2 18 2" xfId="49037" xr:uid="{00000000-0005-0000-0000-000085BF0000}"/>
    <cellStyle name="Normal 30 2 18 3" xfId="49038" xr:uid="{00000000-0005-0000-0000-000086BF0000}"/>
    <cellStyle name="Normal 30 2 19" xfId="49039" xr:uid="{00000000-0005-0000-0000-000087BF0000}"/>
    <cellStyle name="Normal 30 2 19 2" xfId="49040" xr:uid="{00000000-0005-0000-0000-000088BF0000}"/>
    <cellStyle name="Normal 30 2 19 3" xfId="49041" xr:uid="{00000000-0005-0000-0000-000089BF0000}"/>
    <cellStyle name="Normal 30 2 2" xfId="49042" xr:uid="{00000000-0005-0000-0000-00008ABF0000}"/>
    <cellStyle name="Normal 30 2 2 10" xfId="49043" xr:uid="{00000000-0005-0000-0000-00008BBF0000}"/>
    <cellStyle name="Normal 30 2 2 10 2" xfId="49044" xr:uid="{00000000-0005-0000-0000-00008CBF0000}"/>
    <cellStyle name="Normal 30 2 2 10 3" xfId="49045" xr:uid="{00000000-0005-0000-0000-00008DBF0000}"/>
    <cellStyle name="Normal 30 2 2 11" xfId="49046" xr:uid="{00000000-0005-0000-0000-00008EBF0000}"/>
    <cellStyle name="Normal 30 2 2 11 2" xfId="49047" xr:uid="{00000000-0005-0000-0000-00008FBF0000}"/>
    <cellStyle name="Normal 30 2 2 11 3" xfId="49048" xr:uid="{00000000-0005-0000-0000-000090BF0000}"/>
    <cellStyle name="Normal 30 2 2 12" xfId="49049" xr:uid="{00000000-0005-0000-0000-000091BF0000}"/>
    <cellStyle name="Normal 30 2 2 12 2" xfId="49050" xr:uid="{00000000-0005-0000-0000-000092BF0000}"/>
    <cellStyle name="Normal 30 2 2 12 3" xfId="49051" xr:uid="{00000000-0005-0000-0000-000093BF0000}"/>
    <cellStyle name="Normal 30 2 2 13" xfId="49052" xr:uid="{00000000-0005-0000-0000-000094BF0000}"/>
    <cellStyle name="Normal 30 2 2 13 2" xfId="49053" xr:uid="{00000000-0005-0000-0000-000095BF0000}"/>
    <cellStyle name="Normal 30 2 2 13 3" xfId="49054" xr:uid="{00000000-0005-0000-0000-000096BF0000}"/>
    <cellStyle name="Normal 30 2 2 14" xfId="49055" xr:uid="{00000000-0005-0000-0000-000097BF0000}"/>
    <cellStyle name="Normal 30 2 2 14 2" xfId="49056" xr:uid="{00000000-0005-0000-0000-000098BF0000}"/>
    <cellStyle name="Normal 30 2 2 14 3" xfId="49057" xr:uid="{00000000-0005-0000-0000-000099BF0000}"/>
    <cellStyle name="Normal 30 2 2 15" xfId="49058" xr:uid="{00000000-0005-0000-0000-00009ABF0000}"/>
    <cellStyle name="Normal 30 2 2 15 2" xfId="49059" xr:uid="{00000000-0005-0000-0000-00009BBF0000}"/>
    <cellStyle name="Normal 30 2 2 15 3" xfId="49060" xr:uid="{00000000-0005-0000-0000-00009CBF0000}"/>
    <cellStyle name="Normal 30 2 2 16" xfId="49061" xr:uid="{00000000-0005-0000-0000-00009DBF0000}"/>
    <cellStyle name="Normal 30 2 2 17" xfId="49062" xr:uid="{00000000-0005-0000-0000-00009EBF0000}"/>
    <cellStyle name="Normal 30 2 2 2" xfId="49063" xr:uid="{00000000-0005-0000-0000-00009FBF0000}"/>
    <cellStyle name="Normal 30 2 2 2 10" xfId="49064" xr:uid="{00000000-0005-0000-0000-0000A0BF0000}"/>
    <cellStyle name="Normal 30 2 2 2 10 2" xfId="49065" xr:uid="{00000000-0005-0000-0000-0000A1BF0000}"/>
    <cellStyle name="Normal 30 2 2 2 10 3" xfId="49066" xr:uid="{00000000-0005-0000-0000-0000A2BF0000}"/>
    <cellStyle name="Normal 30 2 2 2 11" xfId="49067" xr:uid="{00000000-0005-0000-0000-0000A3BF0000}"/>
    <cellStyle name="Normal 30 2 2 2 11 2" xfId="49068" xr:uid="{00000000-0005-0000-0000-0000A4BF0000}"/>
    <cellStyle name="Normal 30 2 2 2 11 3" xfId="49069" xr:uid="{00000000-0005-0000-0000-0000A5BF0000}"/>
    <cellStyle name="Normal 30 2 2 2 12" xfId="49070" xr:uid="{00000000-0005-0000-0000-0000A6BF0000}"/>
    <cellStyle name="Normal 30 2 2 2 12 2" xfId="49071" xr:uid="{00000000-0005-0000-0000-0000A7BF0000}"/>
    <cellStyle name="Normal 30 2 2 2 12 3" xfId="49072" xr:uid="{00000000-0005-0000-0000-0000A8BF0000}"/>
    <cellStyle name="Normal 30 2 2 2 13" xfId="49073" xr:uid="{00000000-0005-0000-0000-0000A9BF0000}"/>
    <cellStyle name="Normal 30 2 2 2 13 2" xfId="49074" xr:uid="{00000000-0005-0000-0000-0000AABF0000}"/>
    <cellStyle name="Normal 30 2 2 2 13 3" xfId="49075" xr:uid="{00000000-0005-0000-0000-0000ABBF0000}"/>
    <cellStyle name="Normal 30 2 2 2 14" xfId="49076" xr:uid="{00000000-0005-0000-0000-0000ACBF0000}"/>
    <cellStyle name="Normal 30 2 2 2 14 2" xfId="49077" xr:uid="{00000000-0005-0000-0000-0000ADBF0000}"/>
    <cellStyle name="Normal 30 2 2 2 14 3" xfId="49078" xr:uid="{00000000-0005-0000-0000-0000AEBF0000}"/>
    <cellStyle name="Normal 30 2 2 2 15" xfId="49079" xr:uid="{00000000-0005-0000-0000-0000AFBF0000}"/>
    <cellStyle name="Normal 30 2 2 2 16" xfId="49080" xr:uid="{00000000-0005-0000-0000-0000B0BF0000}"/>
    <cellStyle name="Normal 30 2 2 2 2" xfId="49081" xr:uid="{00000000-0005-0000-0000-0000B1BF0000}"/>
    <cellStyle name="Normal 30 2 2 2 2 2" xfId="49082" xr:uid="{00000000-0005-0000-0000-0000B2BF0000}"/>
    <cellStyle name="Normal 30 2 2 2 2 3" xfId="49083" xr:uid="{00000000-0005-0000-0000-0000B3BF0000}"/>
    <cellStyle name="Normal 30 2 2 2 3" xfId="49084" xr:uid="{00000000-0005-0000-0000-0000B4BF0000}"/>
    <cellStyle name="Normal 30 2 2 2 3 2" xfId="49085" xr:uid="{00000000-0005-0000-0000-0000B5BF0000}"/>
    <cellStyle name="Normal 30 2 2 2 3 3" xfId="49086" xr:uid="{00000000-0005-0000-0000-0000B6BF0000}"/>
    <cellStyle name="Normal 30 2 2 2 4" xfId="49087" xr:uid="{00000000-0005-0000-0000-0000B7BF0000}"/>
    <cellStyle name="Normal 30 2 2 2 4 2" xfId="49088" xr:uid="{00000000-0005-0000-0000-0000B8BF0000}"/>
    <cellStyle name="Normal 30 2 2 2 4 3" xfId="49089" xr:uid="{00000000-0005-0000-0000-0000B9BF0000}"/>
    <cellStyle name="Normal 30 2 2 2 5" xfId="49090" xr:uid="{00000000-0005-0000-0000-0000BABF0000}"/>
    <cellStyle name="Normal 30 2 2 2 5 2" xfId="49091" xr:uid="{00000000-0005-0000-0000-0000BBBF0000}"/>
    <cellStyle name="Normal 30 2 2 2 5 3" xfId="49092" xr:uid="{00000000-0005-0000-0000-0000BCBF0000}"/>
    <cellStyle name="Normal 30 2 2 2 6" xfId="49093" xr:uid="{00000000-0005-0000-0000-0000BDBF0000}"/>
    <cellStyle name="Normal 30 2 2 2 6 2" xfId="49094" xr:uid="{00000000-0005-0000-0000-0000BEBF0000}"/>
    <cellStyle name="Normal 30 2 2 2 6 3" xfId="49095" xr:uid="{00000000-0005-0000-0000-0000BFBF0000}"/>
    <cellStyle name="Normal 30 2 2 2 7" xfId="49096" xr:uid="{00000000-0005-0000-0000-0000C0BF0000}"/>
    <cellStyle name="Normal 30 2 2 2 7 2" xfId="49097" xr:uid="{00000000-0005-0000-0000-0000C1BF0000}"/>
    <cellStyle name="Normal 30 2 2 2 7 3" xfId="49098" xr:uid="{00000000-0005-0000-0000-0000C2BF0000}"/>
    <cellStyle name="Normal 30 2 2 2 8" xfId="49099" xr:uid="{00000000-0005-0000-0000-0000C3BF0000}"/>
    <cellStyle name="Normal 30 2 2 2 8 2" xfId="49100" xr:uid="{00000000-0005-0000-0000-0000C4BF0000}"/>
    <cellStyle name="Normal 30 2 2 2 8 3" xfId="49101" xr:uid="{00000000-0005-0000-0000-0000C5BF0000}"/>
    <cellStyle name="Normal 30 2 2 2 9" xfId="49102" xr:uid="{00000000-0005-0000-0000-0000C6BF0000}"/>
    <cellStyle name="Normal 30 2 2 2 9 2" xfId="49103" xr:uid="{00000000-0005-0000-0000-0000C7BF0000}"/>
    <cellStyle name="Normal 30 2 2 2 9 3" xfId="49104" xr:uid="{00000000-0005-0000-0000-0000C8BF0000}"/>
    <cellStyle name="Normal 30 2 2 3" xfId="49105" xr:uid="{00000000-0005-0000-0000-0000C9BF0000}"/>
    <cellStyle name="Normal 30 2 2 3 2" xfId="49106" xr:uid="{00000000-0005-0000-0000-0000CABF0000}"/>
    <cellStyle name="Normal 30 2 2 3 3" xfId="49107" xr:uid="{00000000-0005-0000-0000-0000CBBF0000}"/>
    <cellStyle name="Normal 30 2 2 4" xfId="49108" xr:uid="{00000000-0005-0000-0000-0000CCBF0000}"/>
    <cellStyle name="Normal 30 2 2 4 2" xfId="49109" xr:uid="{00000000-0005-0000-0000-0000CDBF0000}"/>
    <cellStyle name="Normal 30 2 2 4 3" xfId="49110" xr:uid="{00000000-0005-0000-0000-0000CEBF0000}"/>
    <cellStyle name="Normal 30 2 2 5" xfId="49111" xr:uid="{00000000-0005-0000-0000-0000CFBF0000}"/>
    <cellStyle name="Normal 30 2 2 5 2" xfId="49112" xr:uid="{00000000-0005-0000-0000-0000D0BF0000}"/>
    <cellStyle name="Normal 30 2 2 5 3" xfId="49113" xr:uid="{00000000-0005-0000-0000-0000D1BF0000}"/>
    <cellStyle name="Normal 30 2 2 6" xfId="49114" xr:uid="{00000000-0005-0000-0000-0000D2BF0000}"/>
    <cellStyle name="Normal 30 2 2 6 2" xfId="49115" xr:uid="{00000000-0005-0000-0000-0000D3BF0000}"/>
    <cellStyle name="Normal 30 2 2 6 3" xfId="49116" xr:uid="{00000000-0005-0000-0000-0000D4BF0000}"/>
    <cellStyle name="Normal 30 2 2 7" xfId="49117" xr:uid="{00000000-0005-0000-0000-0000D5BF0000}"/>
    <cellStyle name="Normal 30 2 2 7 2" xfId="49118" xr:uid="{00000000-0005-0000-0000-0000D6BF0000}"/>
    <cellStyle name="Normal 30 2 2 7 3" xfId="49119" xr:uid="{00000000-0005-0000-0000-0000D7BF0000}"/>
    <cellStyle name="Normal 30 2 2 8" xfId="49120" xr:uid="{00000000-0005-0000-0000-0000D8BF0000}"/>
    <cellStyle name="Normal 30 2 2 8 2" xfId="49121" xr:uid="{00000000-0005-0000-0000-0000D9BF0000}"/>
    <cellStyle name="Normal 30 2 2 8 3" xfId="49122" xr:uid="{00000000-0005-0000-0000-0000DABF0000}"/>
    <cellStyle name="Normal 30 2 2 9" xfId="49123" xr:uid="{00000000-0005-0000-0000-0000DBBF0000}"/>
    <cellStyle name="Normal 30 2 2 9 2" xfId="49124" xr:uid="{00000000-0005-0000-0000-0000DCBF0000}"/>
    <cellStyle name="Normal 30 2 2 9 3" xfId="49125" xr:uid="{00000000-0005-0000-0000-0000DDBF0000}"/>
    <cellStyle name="Normal 30 2 20" xfId="49126" xr:uid="{00000000-0005-0000-0000-0000DEBF0000}"/>
    <cellStyle name="Normal 30 2 20 2" xfId="49127" xr:uid="{00000000-0005-0000-0000-0000DFBF0000}"/>
    <cellStyle name="Normal 30 2 20 3" xfId="49128" xr:uid="{00000000-0005-0000-0000-0000E0BF0000}"/>
    <cellStyle name="Normal 30 2 21" xfId="49129" xr:uid="{00000000-0005-0000-0000-0000E1BF0000}"/>
    <cellStyle name="Normal 30 2 21 2" xfId="49130" xr:uid="{00000000-0005-0000-0000-0000E2BF0000}"/>
    <cellStyle name="Normal 30 2 21 3" xfId="49131" xr:uid="{00000000-0005-0000-0000-0000E3BF0000}"/>
    <cellStyle name="Normal 30 2 22" xfId="49132" xr:uid="{00000000-0005-0000-0000-0000E4BF0000}"/>
    <cellStyle name="Normal 30 2 22 2" xfId="49133" xr:uid="{00000000-0005-0000-0000-0000E5BF0000}"/>
    <cellStyle name="Normal 30 2 22 3" xfId="49134" xr:uid="{00000000-0005-0000-0000-0000E6BF0000}"/>
    <cellStyle name="Normal 30 2 23" xfId="49135" xr:uid="{00000000-0005-0000-0000-0000E7BF0000}"/>
    <cellStyle name="Normal 30 2 23 2" xfId="49136" xr:uid="{00000000-0005-0000-0000-0000E8BF0000}"/>
    <cellStyle name="Normal 30 2 23 3" xfId="49137" xr:uid="{00000000-0005-0000-0000-0000E9BF0000}"/>
    <cellStyle name="Normal 30 2 24" xfId="49138" xr:uid="{00000000-0005-0000-0000-0000EABF0000}"/>
    <cellStyle name="Normal 30 2 24 2" xfId="49139" xr:uid="{00000000-0005-0000-0000-0000EBBF0000}"/>
    <cellStyle name="Normal 30 2 24 3" xfId="49140" xr:uid="{00000000-0005-0000-0000-0000ECBF0000}"/>
    <cellStyle name="Normal 30 2 25" xfId="49141" xr:uid="{00000000-0005-0000-0000-0000EDBF0000}"/>
    <cellStyle name="Normal 30 2 25 2" xfId="49142" xr:uid="{00000000-0005-0000-0000-0000EEBF0000}"/>
    <cellStyle name="Normal 30 2 25 3" xfId="49143" xr:uid="{00000000-0005-0000-0000-0000EFBF0000}"/>
    <cellStyle name="Normal 30 2 26" xfId="49144" xr:uid="{00000000-0005-0000-0000-0000F0BF0000}"/>
    <cellStyle name="Normal 30 2 26 2" xfId="49145" xr:uid="{00000000-0005-0000-0000-0000F1BF0000}"/>
    <cellStyle name="Normal 30 2 26 3" xfId="49146" xr:uid="{00000000-0005-0000-0000-0000F2BF0000}"/>
    <cellStyle name="Normal 30 2 27" xfId="49147" xr:uid="{00000000-0005-0000-0000-0000F3BF0000}"/>
    <cellStyle name="Normal 30 2 27 2" xfId="49148" xr:uid="{00000000-0005-0000-0000-0000F4BF0000}"/>
    <cellStyle name="Normal 30 2 27 3" xfId="49149" xr:uid="{00000000-0005-0000-0000-0000F5BF0000}"/>
    <cellStyle name="Normal 30 2 28" xfId="49150" xr:uid="{00000000-0005-0000-0000-0000F6BF0000}"/>
    <cellStyle name="Normal 30 2 28 2" xfId="49151" xr:uid="{00000000-0005-0000-0000-0000F7BF0000}"/>
    <cellStyle name="Normal 30 2 28 3" xfId="49152" xr:uid="{00000000-0005-0000-0000-0000F8BF0000}"/>
    <cellStyle name="Normal 30 2 29" xfId="49153" xr:uid="{00000000-0005-0000-0000-0000F9BF0000}"/>
    <cellStyle name="Normal 30 2 3" xfId="49154" xr:uid="{00000000-0005-0000-0000-0000FABF0000}"/>
    <cellStyle name="Normal 30 2 3 10" xfId="49155" xr:uid="{00000000-0005-0000-0000-0000FBBF0000}"/>
    <cellStyle name="Normal 30 2 3 10 2" xfId="49156" xr:uid="{00000000-0005-0000-0000-0000FCBF0000}"/>
    <cellStyle name="Normal 30 2 3 10 3" xfId="49157" xr:uid="{00000000-0005-0000-0000-0000FDBF0000}"/>
    <cellStyle name="Normal 30 2 3 11" xfId="49158" xr:uid="{00000000-0005-0000-0000-0000FEBF0000}"/>
    <cellStyle name="Normal 30 2 3 11 2" xfId="49159" xr:uid="{00000000-0005-0000-0000-0000FFBF0000}"/>
    <cellStyle name="Normal 30 2 3 11 3" xfId="49160" xr:uid="{00000000-0005-0000-0000-000000C00000}"/>
    <cellStyle name="Normal 30 2 3 12" xfId="49161" xr:uid="{00000000-0005-0000-0000-000001C00000}"/>
    <cellStyle name="Normal 30 2 3 12 2" xfId="49162" xr:uid="{00000000-0005-0000-0000-000002C00000}"/>
    <cellStyle name="Normal 30 2 3 12 3" xfId="49163" xr:uid="{00000000-0005-0000-0000-000003C00000}"/>
    <cellStyle name="Normal 30 2 3 13" xfId="49164" xr:uid="{00000000-0005-0000-0000-000004C00000}"/>
    <cellStyle name="Normal 30 2 3 13 2" xfId="49165" xr:uid="{00000000-0005-0000-0000-000005C00000}"/>
    <cellStyle name="Normal 30 2 3 13 3" xfId="49166" xr:uid="{00000000-0005-0000-0000-000006C00000}"/>
    <cellStyle name="Normal 30 2 3 14" xfId="49167" xr:uid="{00000000-0005-0000-0000-000007C00000}"/>
    <cellStyle name="Normal 30 2 3 14 2" xfId="49168" xr:uid="{00000000-0005-0000-0000-000008C00000}"/>
    <cellStyle name="Normal 30 2 3 14 3" xfId="49169" xr:uid="{00000000-0005-0000-0000-000009C00000}"/>
    <cellStyle name="Normal 30 2 3 15" xfId="49170" xr:uid="{00000000-0005-0000-0000-00000AC00000}"/>
    <cellStyle name="Normal 30 2 3 15 2" xfId="49171" xr:uid="{00000000-0005-0000-0000-00000BC00000}"/>
    <cellStyle name="Normal 30 2 3 15 3" xfId="49172" xr:uid="{00000000-0005-0000-0000-00000CC00000}"/>
    <cellStyle name="Normal 30 2 3 16" xfId="49173" xr:uid="{00000000-0005-0000-0000-00000DC00000}"/>
    <cellStyle name="Normal 30 2 3 17" xfId="49174" xr:uid="{00000000-0005-0000-0000-00000EC00000}"/>
    <cellStyle name="Normal 30 2 3 2" xfId="49175" xr:uid="{00000000-0005-0000-0000-00000FC00000}"/>
    <cellStyle name="Normal 30 2 3 2 10" xfId="49176" xr:uid="{00000000-0005-0000-0000-000010C00000}"/>
    <cellStyle name="Normal 30 2 3 2 10 2" xfId="49177" xr:uid="{00000000-0005-0000-0000-000011C00000}"/>
    <cellStyle name="Normal 30 2 3 2 10 3" xfId="49178" xr:uid="{00000000-0005-0000-0000-000012C00000}"/>
    <cellStyle name="Normal 30 2 3 2 11" xfId="49179" xr:uid="{00000000-0005-0000-0000-000013C00000}"/>
    <cellStyle name="Normal 30 2 3 2 11 2" xfId="49180" xr:uid="{00000000-0005-0000-0000-000014C00000}"/>
    <cellStyle name="Normal 30 2 3 2 11 3" xfId="49181" xr:uid="{00000000-0005-0000-0000-000015C00000}"/>
    <cellStyle name="Normal 30 2 3 2 12" xfId="49182" xr:uid="{00000000-0005-0000-0000-000016C00000}"/>
    <cellStyle name="Normal 30 2 3 2 12 2" xfId="49183" xr:uid="{00000000-0005-0000-0000-000017C00000}"/>
    <cellStyle name="Normal 30 2 3 2 12 3" xfId="49184" xr:uid="{00000000-0005-0000-0000-000018C00000}"/>
    <cellStyle name="Normal 30 2 3 2 13" xfId="49185" xr:uid="{00000000-0005-0000-0000-000019C00000}"/>
    <cellStyle name="Normal 30 2 3 2 13 2" xfId="49186" xr:uid="{00000000-0005-0000-0000-00001AC00000}"/>
    <cellStyle name="Normal 30 2 3 2 13 3" xfId="49187" xr:uid="{00000000-0005-0000-0000-00001BC00000}"/>
    <cellStyle name="Normal 30 2 3 2 14" xfId="49188" xr:uid="{00000000-0005-0000-0000-00001CC00000}"/>
    <cellStyle name="Normal 30 2 3 2 14 2" xfId="49189" xr:uid="{00000000-0005-0000-0000-00001DC00000}"/>
    <cellStyle name="Normal 30 2 3 2 14 3" xfId="49190" xr:uid="{00000000-0005-0000-0000-00001EC00000}"/>
    <cellStyle name="Normal 30 2 3 2 15" xfId="49191" xr:uid="{00000000-0005-0000-0000-00001FC00000}"/>
    <cellStyle name="Normal 30 2 3 2 16" xfId="49192" xr:uid="{00000000-0005-0000-0000-000020C00000}"/>
    <cellStyle name="Normal 30 2 3 2 2" xfId="49193" xr:uid="{00000000-0005-0000-0000-000021C00000}"/>
    <cellStyle name="Normal 30 2 3 2 2 2" xfId="49194" xr:uid="{00000000-0005-0000-0000-000022C00000}"/>
    <cellStyle name="Normal 30 2 3 2 2 3" xfId="49195" xr:uid="{00000000-0005-0000-0000-000023C00000}"/>
    <cellStyle name="Normal 30 2 3 2 3" xfId="49196" xr:uid="{00000000-0005-0000-0000-000024C00000}"/>
    <cellStyle name="Normal 30 2 3 2 3 2" xfId="49197" xr:uid="{00000000-0005-0000-0000-000025C00000}"/>
    <cellStyle name="Normal 30 2 3 2 3 3" xfId="49198" xr:uid="{00000000-0005-0000-0000-000026C00000}"/>
    <cellStyle name="Normal 30 2 3 2 4" xfId="49199" xr:uid="{00000000-0005-0000-0000-000027C00000}"/>
    <cellStyle name="Normal 30 2 3 2 4 2" xfId="49200" xr:uid="{00000000-0005-0000-0000-000028C00000}"/>
    <cellStyle name="Normal 30 2 3 2 4 3" xfId="49201" xr:uid="{00000000-0005-0000-0000-000029C00000}"/>
    <cellStyle name="Normal 30 2 3 2 5" xfId="49202" xr:uid="{00000000-0005-0000-0000-00002AC00000}"/>
    <cellStyle name="Normal 30 2 3 2 5 2" xfId="49203" xr:uid="{00000000-0005-0000-0000-00002BC00000}"/>
    <cellStyle name="Normal 30 2 3 2 5 3" xfId="49204" xr:uid="{00000000-0005-0000-0000-00002CC00000}"/>
    <cellStyle name="Normal 30 2 3 2 6" xfId="49205" xr:uid="{00000000-0005-0000-0000-00002DC00000}"/>
    <cellStyle name="Normal 30 2 3 2 6 2" xfId="49206" xr:uid="{00000000-0005-0000-0000-00002EC00000}"/>
    <cellStyle name="Normal 30 2 3 2 6 3" xfId="49207" xr:uid="{00000000-0005-0000-0000-00002FC00000}"/>
    <cellStyle name="Normal 30 2 3 2 7" xfId="49208" xr:uid="{00000000-0005-0000-0000-000030C00000}"/>
    <cellStyle name="Normal 30 2 3 2 7 2" xfId="49209" xr:uid="{00000000-0005-0000-0000-000031C00000}"/>
    <cellStyle name="Normal 30 2 3 2 7 3" xfId="49210" xr:uid="{00000000-0005-0000-0000-000032C00000}"/>
    <cellStyle name="Normal 30 2 3 2 8" xfId="49211" xr:uid="{00000000-0005-0000-0000-000033C00000}"/>
    <cellStyle name="Normal 30 2 3 2 8 2" xfId="49212" xr:uid="{00000000-0005-0000-0000-000034C00000}"/>
    <cellStyle name="Normal 30 2 3 2 8 3" xfId="49213" xr:uid="{00000000-0005-0000-0000-000035C00000}"/>
    <cellStyle name="Normal 30 2 3 2 9" xfId="49214" xr:uid="{00000000-0005-0000-0000-000036C00000}"/>
    <cellStyle name="Normal 30 2 3 2 9 2" xfId="49215" xr:uid="{00000000-0005-0000-0000-000037C00000}"/>
    <cellStyle name="Normal 30 2 3 2 9 3" xfId="49216" xr:uid="{00000000-0005-0000-0000-000038C00000}"/>
    <cellStyle name="Normal 30 2 3 3" xfId="49217" xr:uid="{00000000-0005-0000-0000-000039C00000}"/>
    <cellStyle name="Normal 30 2 3 3 2" xfId="49218" xr:uid="{00000000-0005-0000-0000-00003AC00000}"/>
    <cellStyle name="Normal 30 2 3 3 3" xfId="49219" xr:uid="{00000000-0005-0000-0000-00003BC00000}"/>
    <cellStyle name="Normal 30 2 3 4" xfId="49220" xr:uid="{00000000-0005-0000-0000-00003CC00000}"/>
    <cellStyle name="Normal 30 2 3 4 2" xfId="49221" xr:uid="{00000000-0005-0000-0000-00003DC00000}"/>
    <cellStyle name="Normal 30 2 3 4 3" xfId="49222" xr:uid="{00000000-0005-0000-0000-00003EC00000}"/>
    <cellStyle name="Normal 30 2 3 5" xfId="49223" xr:uid="{00000000-0005-0000-0000-00003FC00000}"/>
    <cellStyle name="Normal 30 2 3 5 2" xfId="49224" xr:uid="{00000000-0005-0000-0000-000040C00000}"/>
    <cellStyle name="Normal 30 2 3 5 3" xfId="49225" xr:uid="{00000000-0005-0000-0000-000041C00000}"/>
    <cellStyle name="Normal 30 2 3 6" xfId="49226" xr:uid="{00000000-0005-0000-0000-000042C00000}"/>
    <cellStyle name="Normal 30 2 3 6 2" xfId="49227" xr:uid="{00000000-0005-0000-0000-000043C00000}"/>
    <cellStyle name="Normal 30 2 3 6 3" xfId="49228" xr:uid="{00000000-0005-0000-0000-000044C00000}"/>
    <cellStyle name="Normal 30 2 3 7" xfId="49229" xr:uid="{00000000-0005-0000-0000-000045C00000}"/>
    <cellStyle name="Normal 30 2 3 7 2" xfId="49230" xr:uid="{00000000-0005-0000-0000-000046C00000}"/>
    <cellStyle name="Normal 30 2 3 7 3" xfId="49231" xr:uid="{00000000-0005-0000-0000-000047C00000}"/>
    <cellStyle name="Normal 30 2 3 8" xfId="49232" xr:uid="{00000000-0005-0000-0000-000048C00000}"/>
    <cellStyle name="Normal 30 2 3 8 2" xfId="49233" xr:uid="{00000000-0005-0000-0000-000049C00000}"/>
    <cellStyle name="Normal 30 2 3 8 3" xfId="49234" xr:uid="{00000000-0005-0000-0000-00004AC00000}"/>
    <cellStyle name="Normal 30 2 3 9" xfId="49235" xr:uid="{00000000-0005-0000-0000-00004BC00000}"/>
    <cellStyle name="Normal 30 2 3 9 2" xfId="49236" xr:uid="{00000000-0005-0000-0000-00004CC00000}"/>
    <cellStyle name="Normal 30 2 3 9 3" xfId="49237" xr:uid="{00000000-0005-0000-0000-00004DC00000}"/>
    <cellStyle name="Normal 30 2 30" xfId="49238" xr:uid="{00000000-0005-0000-0000-00004EC00000}"/>
    <cellStyle name="Normal 30 2 31" xfId="49239" xr:uid="{00000000-0005-0000-0000-00004FC00000}"/>
    <cellStyle name="Normal 30 2 32" xfId="49240" xr:uid="{00000000-0005-0000-0000-000050C00000}"/>
    <cellStyle name="Normal 30 2 33" xfId="49241" xr:uid="{00000000-0005-0000-0000-000051C00000}"/>
    <cellStyle name="Normal 30 2 34" xfId="49242" xr:uid="{00000000-0005-0000-0000-000052C00000}"/>
    <cellStyle name="Normal 30 2 35" xfId="49243" xr:uid="{00000000-0005-0000-0000-000053C00000}"/>
    <cellStyle name="Normal 30 2 36" xfId="49244" xr:uid="{00000000-0005-0000-0000-000054C00000}"/>
    <cellStyle name="Normal 30 2 37" xfId="49245" xr:uid="{00000000-0005-0000-0000-000055C00000}"/>
    <cellStyle name="Normal 30 2 38" xfId="49246" xr:uid="{00000000-0005-0000-0000-000056C00000}"/>
    <cellStyle name="Normal 30 2 39" xfId="49247" xr:uid="{00000000-0005-0000-0000-000057C00000}"/>
    <cellStyle name="Normal 30 2 4" xfId="49248" xr:uid="{00000000-0005-0000-0000-000058C00000}"/>
    <cellStyle name="Normal 30 2 4 10" xfId="49249" xr:uid="{00000000-0005-0000-0000-000059C00000}"/>
    <cellStyle name="Normal 30 2 4 10 2" xfId="49250" xr:uid="{00000000-0005-0000-0000-00005AC00000}"/>
    <cellStyle name="Normal 30 2 4 10 3" xfId="49251" xr:uid="{00000000-0005-0000-0000-00005BC00000}"/>
    <cellStyle name="Normal 30 2 4 11" xfId="49252" xr:uid="{00000000-0005-0000-0000-00005CC00000}"/>
    <cellStyle name="Normal 30 2 4 11 2" xfId="49253" xr:uid="{00000000-0005-0000-0000-00005DC00000}"/>
    <cellStyle name="Normal 30 2 4 11 3" xfId="49254" xr:uid="{00000000-0005-0000-0000-00005EC00000}"/>
    <cellStyle name="Normal 30 2 4 12" xfId="49255" xr:uid="{00000000-0005-0000-0000-00005FC00000}"/>
    <cellStyle name="Normal 30 2 4 12 2" xfId="49256" xr:uid="{00000000-0005-0000-0000-000060C00000}"/>
    <cellStyle name="Normal 30 2 4 12 3" xfId="49257" xr:uid="{00000000-0005-0000-0000-000061C00000}"/>
    <cellStyle name="Normal 30 2 4 13" xfId="49258" xr:uid="{00000000-0005-0000-0000-000062C00000}"/>
    <cellStyle name="Normal 30 2 4 13 2" xfId="49259" xr:uid="{00000000-0005-0000-0000-000063C00000}"/>
    <cellStyle name="Normal 30 2 4 13 3" xfId="49260" xr:uid="{00000000-0005-0000-0000-000064C00000}"/>
    <cellStyle name="Normal 30 2 4 14" xfId="49261" xr:uid="{00000000-0005-0000-0000-000065C00000}"/>
    <cellStyle name="Normal 30 2 4 14 2" xfId="49262" xr:uid="{00000000-0005-0000-0000-000066C00000}"/>
    <cellStyle name="Normal 30 2 4 14 3" xfId="49263" xr:uid="{00000000-0005-0000-0000-000067C00000}"/>
    <cellStyle name="Normal 30 2 4 15" xfId="49264" xr:uid="{00000000-0005-0000-0000-000068C00000}"/>
    <cellStyle name="Normal 30 2 4 15 2" xfId="49265" xr:uid="{00000000-0005-0000-0000-000069C00000}"/>
    <cellStyle name="Normal 30 2 4 15 3" xfId="49266" xr:uid="{00000000-0005-0000-0000-00006AC00000}"/>
    <cellStyle name="Normal 30 2 4 16" xfId="49267" xr:uid="{00000000-0005-0000-0000-00006BC00000}"/>
    <cellStyle name="Normal 30 2 4 17" xfId="49268" xr:uid="{00000000-0005-0000-0000-00006CC00000}"/>
    <cellStyle name="Normal 30 2 4 2" xfId="49269" xr:uid="{00000000-0005-0000-0000-00006DC00000}"/>
    <cellStyle name="Normal 30 2 4 2 10" xfId="49270" xr:uid="{00000000-0005-0000-0000-00006EC00000}"/>
    <cellStyle name="Normal 30 2 4 2 10 2" xfId="49271" xr:uid="{00000000-0005-0000-0000-00006FC00000}"/>
    <cellStyle name="Normal 30 2 4 2 10 3" xfId="49272" xr:uid="{00000000-0005-0000-0000-000070C00000}"/>
    <cellStyle name="Normal 30 2 4 2 11" xfId="49273" xr:uid="{00000000-0005-0000-0000-000071C00000}"/>
    <cellStyle name="Normal 30 2 4 2 11 2" xfId="49274" xr:uid="{00000000-0005-0000-0000-000072C00000}"/>
    <cellStyle name="Normal 30 2 4 2 11 3" xfId="49275" xr:uid="{00000000-0005-0000-0000-000073C00000}"/>
    <cellStyle name="Normal 30 2 4 2 12" xfId="49276" xr:uid="{00000000-0005-0000-0000-000074C00000}"/>
    <cellStyle name="Normal 30 2 4 2 12 2" xfId="49277" xr:uid="{00000000-0005-0000-0000-000075C00000}"/>
    <cellStyle name="Normal 30 2 4 2 12 3" xfId="49278" xr:uid="{00000000-0005-0000-0000-000076C00000}"/>
    <cellStyle name="Normal 30 2 4 2 13" xfId="49279" xr:uid="{00000000-0005-0000-0000-000077C00000}"/>
    <cellStyle name="Normal 30 2 4 2 13 2" xfId="49280" xr:uid="{00000000-0005-0000-0000-000078C00000}"/>
    <cellStyle name="Normal 30 2 4 2 13 3" xfId="49281" xr:uid="{00000000-0005-0000-0000-000079C00000}"/>
    <cellStyle name="Normal 30 2 4 2 14" xfId="49282" xr:uid="{00000000-0005-0000-0000-00007AC00000}"/>
    <cellStyle name="Normal 30 2 4 2 14 2" xfId="49283" xr:uid="{00000000-0005-0000-0000-00007BC00000}"/>
    <cellStyle name="Normal 30 2 4 2 14 3" xfId="49284" xr:uid="{00000000-0005-0000-0000-00007CC00000}"/>
    <cellStyle name="Normal 30 2 4 2 15" xfId="49285" xr:uid="{00000000-0005-0000-0000-00007DC00000}"/>
    <cellStyle name="Normal 30 2 4 2 16" xfId="49286" xr:uid="{00000000-0005-0000-0000-00007EC00000}"/>
    <cellStyle name="Normal 30 2 4 2 2" xfId="49287" xr:uid="{00000000-0005-0000-0000-00007FC00000}"/>
    <cellStyle name="Normal 30 2 4 2 2 2" xfId="49288" xr:uid="{00000000-0005-0000-0000-000080C00000}"/>
    <cellStyle name="Normal 30 2 4 2 2 3" xfId="49289" xr:uid="{00000000-0005-0000-0000-000081C00000}"/>
    <cellStyle name="Normal 30 2 4 2 3" xfId="49290" xr:uid="{00000000-0005-0000-0000-000082C00000}"/>
    <cellStyle name="Normal 30 2 4 2 3 2" xfId="49291" xr:uid="{00000000-0005-0000-0000-000083C00000}"/>
    <cellStyle name="Normal 30 2 4 2 3 3" xfId="49292" xr:uid="{00000000-0005-0000-0000-000084C00000}"/>
    <cellStyle name="Normal 30 2 4 2 4" xfId="49293" xr:uid="{00000000-0005-0000-0000-000085C00000}"/>
    <cellStyle name="Normal 30 2 4 2 4 2" xfId="49294" xr:uid="{00000000-0005-0000-0000-000086C00000}"/>
    <cellStyle name="Normal 30 2 4 2 4 3" xfId="49295" xr:uid="{00000000-0005-0000-0000-000087C00000}"/>
    <cellStyle name="Normal 30 2 4 2 5" xfId="49296" xr:uid="{00000000-0005-0000-0000-000088C00000}"/>
    <cellStyle name="Normal 30 2 4 2 5 2" xfId="49297" xr:uid="{00000000-0005-0000-0000-000089C00000}"/>
    <cellStyle name="Normal 30 2 4 2 5 3" xfId="49298" xr:uid="{00000000-0005-0000-0000-00008AC00000}"/>
    <cellStyle name="Normal 30 2 4 2 6" xfId="49299" xr:uid="{00000000-0005-0000-0000-00008BC00000}"/>
    <cellStyle name="Normal 30 2 4 2 6 2" xfId="49300" xr:uid="{00000000-0005-0000-0000-00008CC00000}"/>
    <cellStyle name="Normal 30 2 4 2 6 3" xfId="49301" xr:uid="{00000000-0005-0000-0000-00008DC00000}"/>
    <cellStyle name="Normal 30 2 4 2 7" xfId="49302" xr:uid="{00000000-0005-0000-0000-00008EC00000}"/>
    <cellStyle name="Normal 30 2 4 2 7 2" xfId="49303" xr:uid="{00000000-0005-0000-0000-00008FC00000}"/>
    <cellStyle name="Normal 30 2 4 2 7 3" xfId="49304" xr:uid="{00000000-0005-0000-0000-000090C00000}"/>
    <cellStyle name="Normal 30 2 4 2 8" xfId="49305" xr:uid="{00000000-0005-0000-0000-000091C00000}"/>
    <cellStyle name="Normal 30 2 4 2 8 2" xfId="49306" xr:uid="{00000000-0005-0000-0000-000092C00000}"/>
    <cellStyle name="Normal 30 2 4 2 8 3" xfId="49307" xr:uid="{00000000-0005-0000-0000-000093C00000}"/>
    <cellStyle name="Normal 30 2 4 2 9" xfId="49308" xr:uid="{00000000-0005-0000-0000-000094C00000}"/>
    <cellStyle name="Normal 30 2 4 2 9 2" xfId="49309" xr:uid="{00000000-0005-0000-0000-000095C00000}"/>
    <cellStyle name="Normal 30 2 4 2 9 3" xfId="49310" xr:uid="{00000000-0005-0000-0000-000096C00000}"/>
    <cellStyle name="Normal 30 2 4 3" xfId="49311" xr:uid="{00000000-0005-0000-0000-000097C00000}"/>
    <cellStyle name="Normal 30 2 4 3 2" xfId="49312" xr:uid="{00000000-0005-0000-0000-000098C00000}"/>
    <cellStyle name="Normal 30 2 4 3 3" xfId="49313" xr:uid="{00000000-0005-0000-0000-000099C00000}"/>
    <cellStyle name="Normal 30 2 4 4" xfId="49314" xr:uid="{00000000-0005-0000-0000-00009AC00000}"/>
    <cellStyle name="Normal 30 2 4 4 2" xfId="49315" xr:uid="{00000000-0005-0000-0000-00009BC00000}"/>
    <cellStyle name="Normal 30 2 4 4 3" xfId="49316" xr:uid="{00000000-0005-0000-0000-00009CC00000}"/>
    <cellStyle name="Normal 30 2 4 5" xfId="49317" xr:uid="{00000000-0005-0000-0000-00009DC00000}"/>
    <cellStyle name="Normal 30 2 4 5 2" xfId="49318" xr:uid="{00000000-0005-0000-0000-00009EC00000}"/>
    <cellStyle name="Normal 30 2 4 5 3" xfId="49319" xr:uid="{00000000-0005-0000-0000-00009FC00000}"/>
    <cellStyle name="Normal 30 2 4 6" xfId="49320" xr:uid="{00000000-0005-0000-0000-0000A0C00000}"/>
    <cellStyle name="Normal 30 2 4 6 2" xfId="49321" xr:uid="{00000000-0005-0000-0000-0000A1C00000}"/>
    <cellStyle name="Normal 30 2 4 6 3" xfId="49322" xr:uid="{00000000-0005-0000-0000-0000A2C00000}"/>
    <cellStyle name="Normal 30 2 4 7" xfId="49323" xr:uid="{00000000-0005-0000-0000-0000A3C00000}"/>
    <cellStyle name="Normal 30 2 4 7 2" xfId="49324" xr:uid="{00000000-0005-0000-0000-0000A4C00000}"/>
    <cellStyle name="Normal 30 2 4 7 3" xfId="49325" xr:uid="{00000000-0005-0000-0000-0000A5C00000}"/>
    <cellStyle name="Normal 30 2 4 8" xfId="49326" xr:uid="{00000000-0005-0000-0000-0000A6C00000}"/>
    <cellStyle name="Normal 30 2 4 8 2" xfId="49327" xr:uid="{00000000-0005-0000-0000-0000A7C00000}"/>
    <cellStyle name="Normal 30 2 4 8 3" xfId="49328" xr:uid="{00000000-0005-0000-0000-0000A8C00000}"/>
    <cellStyle name="Normal 30 2 4 9" xfId="49329" xr:uid="{00000000-0005-0000-0000-0000A9C00000}"/>
    <cellStyle name="Normal 30 2 4 9 2" xfId="49330" xr:uid="{00000000-0005-0000-0000-0000AAC00000}"/>
    <cellStyle name="Normal 30 2 4 9 3" xfId="49331" xr:uid="{00000000-0005-0000-0000-0000ABC00000}"/>
    <cellStyle name="Normal 30 2 40" xfId="49332" xr:uid="{00000000-0005-0000-0000-0000ACC00000}"/>
    <cellStyle name="Normal 30 2 41" xfId="49333" xr:uid="{00000000-0005-0000-0000-0000ADC00000}"/>
    <cellStyle name="Normal 30 2 5" xfId="49334" xr:uid="{00000000-0005-0000-0000-0000AEC00000}"/>
    <cellStyle name="Normal 30 2 5 10" xfId="49335" xr:uid="{00000000-0005-0000-0000-0000AFC00000}"/>
    <cellStyle name="Normal 30 2 5 10 2" xfId="49336" xr:uid="{00000000-0005-0000-0000-0000B0C00000}"/>
    <cellStyle name="Normal 30 2 5 10 3" xfId="49337" xr:uid="{00000000-0005-0000-0000-0000B1C00000}"/>
    <cellStyle name="Normal 30 2 5 11" xfId="49338" xr:uid="{00000000-0005-0000-0000-0000B2C00000}"/>
    <cellStyle name="Normal 30 2 5 11 2" xfId="49339" xr:uid="{00000000-0005-0000-0000-0000B3C00000}"/>
    <cellStyle name="Normal 30 2 5 11 3" xfId="49340" xr:uid="{00000000-0005-0000-0000-0000B4C00000}"/>
    <cellStyle name="Normal 30 2 5 12" xfId="49341" xr:uid="{00000000-0005-0000-0000-0000B5C00000}"/>
    <cellStyle name="Normal 30 2 5 12 2" xfId="49342" xr:uid="{00000000-0005-0000-0000-0000B6C00000}"/>
    <cellStyle name="Normal 30 2 5 12 3" xfId="49343" xr:uid="{00000000-0005-0000-0000-0000B7C00000}"/>
    <cellStyle name="Normal 30 2 5 13" xfId="49344" xr:uid="{00000000-0005-0000-0000-0000B8C00000}"/>
    <cellStyle name="Normal 30 2 5 13 2" xfId="49345" xr:uid="{00000000-0005-0000-0000-0000B9C00000}"/>
    <cellStyle name="Normal 30 2 5 13 3" xfId="49346" xr:uid="{00000000-0005-0000-0000-0000BAC00000}"/>
    <cellStyle name="Normal 30 2 5 14" xfId="49347" xr:uid="{00000000-0005-0000-0000-0000BBC00000}"/>
    <cellStyle name="Normal 30 2 5 14 2" xfId="49348" xr:uid="{00000000-0005-0000-0000-0000BCC00000}"/>
    <cellStyle name="Normal 30 2 5 14 3" xfId="49349" xr:uid="{00000000-0005-0000-0000-0000BDC00000}"/>
    <cellStyle name="Normal 30 2 5 15" xfId="49350" xr:uid="{00000000-0005-0000-0000-0000BEC00000}"/>
    <cellStyle name="Normal 30 2 5 16" xfId="49351" xr:uid="{00000000-0005-0000-0000-0000BFC00000}"/>
    <cellStyle name="Normal 30 2 5 2" xfId="49352" xr:uid="{00000000-0005-0000-0000-0000C0C00000}"/>
    <cellStyle name="Normal 30 2 5 2 2" xfId="49353" xr:uid="{00000000-0005-0000-0000-0000C1C00000}"/>
    <cellStyle name="Normal 30 2 5 2 3" xfId="49354" xr:uid="{00000000-0005-0000-0000-0000C2C00000}"/>
    <cellStyle name="Normal 30 2 5 3" xfId="49355" xr:uid="{00000000-0005-0000-0000-0000C3C00000}"/>
    <cellStyle name="Normal 30 2 5 3 2" xfId="49356" xr:uid="{00000000-0005-0000-0000-0000C4C00000}"/>
    <cellStyle name="Normal 30 2 5 3 3" xfId="49357" xr:uid="{00000000-0005-0000-0000-0000C5C00000}"/>
    <cellStyle name="Normal 30 2 5 4" xfId="49358" xr:uid="{00000000-0005-0000-0000-0000C6C00000}"/>
    <cellStyle name="Normal 30 2 5 4 2" xfId="49359" xr:uid="{00000000-0005-0000-0000-0000C7C00000}"/>
    <cellStyle name="Normal 30 2 5 4 3" xfId="49360" xr:uid="{00000000-0005-0000-0000-0000C8C00000}"/>
    <cellStyle name="Normal 30 2 5 5" xfId="49361" xr:uid="{00000000-0005-0000-0000-0000C9C00000}"/>
    <cellStyle name="Normal 30 2 5 5 2" xfId="49362" xr:uid="{00000000-0005-0000-0000-0000CAC00000}"/>
    <cellStyle name="Normal 30 2 5 5 3" xfId="49363" xr:uid="{00000000-0005-0000-0000-0000CBC00000}"/>
    <cellStyle name="Normal 30 2 5 6" xfId="49364" xr:uid="{00000000-0005-0000-0000-0000CCC00000}"/>
    <cellStyle name="Normal 30 2 5 6 2" xfId="49365" xr:uid="{00000000-0005-0000-0000-0000CDC00000}"/>
    <cellStyle name="Normal 30 2 5 6 3" xfId="49366" xr:uid="{00000000-0005-0000-0000-0000CEC00000}"/>
    <cellStyle name="Normal 30 2 5 7" xfId="49367" xr:uid="{00000000-0005-0000-0000-0000CFC00000}"/>
    <cellStyle name="Normal 30 2 5 7 2" xfId="49368" xr:uid="{00000000-0005-0000-0000-0000D0C00000}"/>
    <cellStyle name="Normal 30 2 5 7 3" xfId="49369" xr:uid="{00000000-0005-0000-0000-0000D1C00000}"/>
    <cellStyle name="Normal 30 2 5 8" xfId="49370" xr:uid="{00000000-0005-0000-0000-0000D2C00000}"/>
    <cellStyle name="Normal 30 2 5 8 2" xfId="49371" xr:uid="{00000000-0005-0000-0000-0000D3C00000}"/>
    <cellStyle name="Normal 30 2 5 8 3" xfId="49372" xr:uid="{00000000-0005-0000-0000-0000D4C00000}"/>
    <cellStyle name="Normal 30 2 5 9" xfId="49373" xr:uid="{00000000-0005-0000-0000-0000D5C00000}"/>
    <cellStyle name="Normal 30 2 5 9 2" xfId="49374" xr:uid="{00000000-0005-0000-0000-0000D6C00000}"/>
    <cellStyle name="Normal 30 2 5 9 3" xfId="49375" xr:uid="{00000000-0005-0000-0000-0000D7C00000}"/>
    <cellStyle name="Normal 30 2 6" xfId="49376" xr:uid="{00000000-0005-0000-0000-0000D8C00000}"/>
    <cellStyle name="Normal 30 2 6 10" xfId="49377" xr:uid="{00000000-0005-0000-0000-0000D9C00000}"/>
    <cellStyle name="Normal 30 2 6 10 2" xfId="49378" xr:uid="{00000000-0005-0000-0000-0000DAC00000}"/>
    <cellStyle name="Normal 30 2 6 10 3" xfId="49379" xr:uid="{00000000-0005-0000-0000-0000DBC00000}"/>
    <cellStyle name="Normal 30 2 6 11" xfId="49380" xr:uid="{00000000-0005-0000-0000-0000DCC00000}"/>
    <cellStyle name="Normal 30 2 6 11 2" xfId="49381" xr:uid="{00000000-0005-0000-0000-0000DDC00000}"/>
    <cellStyle name="Normal 30 2 6 11 3" xfId="49382" xr:uid="{00000000-0005-0000-0000-0000DEC00000}"/>
    <cellStyle name="Normal 30 2 6 12" xfId="49383" xr:uid="{00000000-0005-0000-0000-0000DFC00000}"/>
    <cellStyle name="Normal 30 2 6 12 2" xfId="49384" xr:uid="{00000000-0005-0000-0000-0000E0C00000}"/>
    <cellStyle name="Normal 30 2 6 12 3" xfId="49385" xr:uid="{00000000-0005-0000-0000-0000E1C00000}"/>
    <cellStyle name="Normal 30 2 6 13" xfId="49386" xr:uid="{00000000-0005-0000-0000-0000E2C00000}"/>
    <cellStyle name="Normal 30 2 6 13 2" xfId="49387" xr:uid="{00000000-0005-0000-0000-0000E3C00000}"/>
    <cellStyle name="Normal 30 2 6 13 3" xfId="49388" xr:uid="{00000000-0005-0000-0000-0000E4C00000}"/>
    <cellStyle name="Normal 30 2 6 14" xfId="49389" xr:uid="{00000000-0005-0000-0000-0000E5C00000}"/>
    <cellStyle name="Normal 30 2 6 14 2" xfId="49390" xr:uid="{00000000-0005-0000-0000-0000E6C00000}"/>
    <cellStyle name="Normal 30 2 6 14 3" xfId="49391" xr:uid="{00000000-0005-0000-0000-0000E7C00000}"/>
    <cellStyle name="Normal 30 2 6 15" xfId="49392" xr:uid="{00000000-0005-0000-0000-0000E8C00000}"/>
    <cellStyle name="Normal 30 2 6 16" xfId="49393" xr:uid="{00000000-0005-0000-0000-0000E9C00000}"/>
    <cellStyle name="Normal 30 2 6 2" xfId="49394" xr:uid="{00000000-0005-0000-0000-0000EAC00000}"/>
    <cellStyle name="Normal 30 2 6 2 2" xfId="49395" xr:uid="{00000000-0005-0000-0000-0000EBC00000}"/>
    <cellStyle name="Normal 30 2 6 2 3" xfId="49396" xr:uid="{00000000-0005-0000-0000-0000ECC00000}"/>
    <cellStyle name="Normal 30 2 6 3" xfId="49397" xr:uid="{00000000-0005-0000-0000-0000EDC00000}"/>
    <cellStyle name="Normal 30 2 6 3 2" xfId="49398" xr:uid="{00000000-0005-0000-0000-0000EEC00000}"/>
    <cellStyle name="Normal 30 2 6 3 3" xfId="49399" xr:uid="{00000000-0005-0000-0000-0000EFC00000}"/>
    <cellStyle name="Normal 30 2 6 4" xfId="49400" xr:uid="{00000000-0005-0000-0000-0000F0C00000}"/>
    <cellStyle name="Normal 30 2 6 4 2" xfId="49401" xr:uid="{00000000-0005-0000-0000-0000F1C00000}"/>
    <cellStyle name="Normal 30 2 6 4 3" xfId="49402" xr:uid="{00000000-0005-0000-0000-0000F2C00000}"/>
    <cellStyle name="Normal 30 2 6 5" xfId="49403" xr:uid="{00000000-0005-0000-0000-0000F3C00000}"/>
    <cellStyle name="Normal 30 2 6 5 2" xfId="49404" xr:uid="{00000000-0005-0000-0000-0000F4C00000}"/>
    <cellStyle name="Normal 30 2 6 5 3" xfId="49405" xr:uid="{00000000-0005-0000-0000-0000F5C00000}"/>
    <cellStyle name="Normal 30 2 6 6" xfId="49406" xr:uid="{00000000-0005-0000-0000-0000F6C00000}"/>
    <cellStyle name="Normal 30 2 6 6 2" xfId="49407" xr:uid="{00000000-0005-0000-0000-0000F7C00000}"/>
    <cellStyle name="Normal 30 2 6 6 3" xfId="49408" xr:uid="{00000000-0005-0000-0000-0000F8C00000}"/>
    <cellStyle name="Normal 30 2 6 7" xfId="49409" xr:uid="{00000000-0005-0000-0000-0000F9C00000}"/>
    <cellStyle name="Normal 30 2 6 7 2" xfId="49410" xr:uid="{00000000-0005-0000-0000-0000FAC00000}"/>
    <cellStyle name="Normal 30 2 6 7 3" xfId="49411" xr:uid="{00000000-0005-0000-0000-0000FBC00000}"/>
    <cellStyle name="Normal 30 2 6 8" xfId="49412" xr:uid="{00000000-0005-0000-0000-0000FCC00000}"/>
    <cellStyle name="Normal 30 2 6 8 2" xfId="49413" xr:uid="{00000000-0005-0000-0000-0000FDC00000}"/>
    <cellStyle name="Normal 30 2 6 8 3" xfId="49414" xr:uid="{00000000-0005-0000-0000-0000FEC00000}"/>
    <cellStyle name="Normal 30 2 6 9" xfId="49415" xr:uid="{00000000-0005-0000-0000-0000FFC00000}"/>
    <cellStyle name="Normal 30 2 6 9 2" xfId="49416" xr:uid="{00000000-0005-0000-0000-000000C10000}"/>
    <cellStyle name="Normal 30 2 6 9 3" xfId="49417" xr:uid="{00000000-0005-0000-0000-000001C10000}"/>
    <cellStyle name="Normal 30 2 7" xfId="49418" xr:uid="{00000000-0005-0000-0000-000002C10000}"/>
    <cellStyle name="Normal 30 2 7 10" xfId="49419" xr:uid="{00000000-0005-0000-0000-000003C10000}"/>
    <cellStyle name="Normal 30 2 7 10 2" xfId="49420" xr:uid="{00000000-0005-0000-0000-000004C10000}"/>
    <cellStyle name="Normal 30 2 7 10 3" xfId="49421" xr:uid="{00000000-0005-0000-0000-000005C10000}"/>
    <cellStyle name="Normal 30 2 7 11" xfId="49422" xr:uid="{00000000-0005-0000-0000-000006C10000}"/>
    <cellStyle name="Normal 30 2 7 11 2" xfId="49423" xr:uid="{00000000-0005-0000-0000-000007C10000}"/>
    <cellStyle name="Normal 30 2 7 11 3" xfId="49424" xr:uid="{00000000-0005-0000-0000-000008C10000}"/>
    <cellStyle name="Normal 30 2 7 12" xfId="49425" xr:uid="{00000000-0005-0000-0000-000009C10000}"/>
    <cellStyle name="Normal 30 2 7 12 2" xfId="49426" xr:uid="{00000000-0005-0000-0000-00000AC10000}"/>
    <cellStyle name="Normal 30 2 7 12 3" xfId="49427" xr:uid="{00000000-0005-0000-0000-00000BC10000}"/>
    <cellStyle name="Normal 30 2 7 13" xfId="49428" xr:uid="{00000000-0005-0000-0000-00000CC10000}"/>
    <cellStyle name="Normal 30 2 7 13 2" xfId="49429" xr:uid="{00000000-0005-0000-0000-00000DC10000}"/>
    <cellStyle name="Normal 30 2 7 13 3" xfId="49430" xr:uid="{00000000-0005-0000-0000-00000EC10000}"/>
    <cellStyle name="Normal 30 2 7 14" xfId="49431" xr:uid="{00000000-0005-0000-0000-00000FC10000}"/>
    <cellStyle name="Normal 30 2 7 14 2" xfId="49432" xr:uid="{00000000-0005-0000-0000-000010C10000}"/>
    <cellStyle name="Normal 30 2 7 14 3" xfId="49433" xr:uid="{00000000-0005-0000-0000-000011C10000}"/>
    <cellStyle name="Normal 30 2 7 15" xfId="49434" xr:uid="{00000000-0005-0000-0000-000012C10000}"/>
    <cellStyle name="Normal 30 2 7 16" xfId="49435" xr:uid="{00000000-0005-0000-0000-000013C10000}"/>
    <cellStyle name="Normal 30 2 7 2" xfId="49436" xr:uid="{00000000-0005-0000-0000-000014C10000}"/>
    <cellStyle name="Normal 30 2 7 2 2" xfId="49437" xr:uid="{00000000-0005-0000-0000-000015C10000}"/>
    <cellStyle name="Normal 30 2 7 2 3" xfId="49438" xr:uid="{00000000-0005-0000-0000-000016C10000}"/>
    <cellStyle name="Normal 30 2 7 3" xfId="49439" xr:uid="{00000000-0005-0000-0000-000017C10000}"/>
    <cellStyle name="Normal 30 2 7 3 2" xfId="49440" xr:uid="{00000000-0005-0000-0000-000018C10000}"/>
    <cellStyle name="Normal 30 2 7 3 3" xfId="49441" xr:uid="{00000000-0005-0000-0000-000019C10000}"/>
    <cellStyle name="Normal 30 2 7 4" xfId="49442" xr:uid="{00000000-0005-0000-0000-00001AC10000}"/>
    <cellStyle name="Normal 30 2 7 4 2" xfId="49443" xr:uid="{00000000-0005-0000-0000-00001BC10000}"/>
    <cellStyle name="Normal 30 2 7 4 3" xfId="49444" xr:uid="{00000000-0005-0000-0000-00001CC10000}"/>
    <cellStyle name="Normal 30 2 7 5" xfId="49445" xr:uid="{00000000-0005-0000-0000-00001DC10000}"/>
    <cellStyle name="Normal 30 2 7 5 2" xfId="49446" xr:uid="{00000000-0005-0000-0000-00001EC10000}"/>
    <cellStyle name="Normal 30 2 7 5 3" xfId="49447" xr:uid="{00000000-0005-0000-0000-00001FC10000}"/>
    <cellStyle name="Normal 30 2 7 6" xfId="49448" xr:uid="{00000000-0005-0000-0000-000020C10000}"/>
    <cellStyle name="Normal 30 2 7 6 2" xfId="49449" xr:uid="{00000000-0005-0000-0000-000021C10000}"/>
    <cellStyle name="Normal 30 2 7 6 3" xfId="49450" xr:uid="{00000000-0005-0000-0000-000022C10000}"/>
    <cellStyle name="Normal 30 2 7 7" xfId="49451" xr:uid="{00000000-0005-0000-0000-000023C10000}"/>
    <cellStyle name="Normal 30 2 7 7 2" xfId="49452" xr:uid="{00000000-0005-0000-0000-000024C10000}"/>
    <cellStyle name="Normal 30 2 7 7 3" xfId="49453" xr:uid="{00000000-0005-0000-0000-000025C10000}"/>
    <cellStyle name="Normal 30 2 7 8" xfId="49454" xr:uid="{00000000-0005-0000-0000-000026C10000}"/>
    <cellStyle name="Normal 30 2 7 8 2" xfId="49455" xr:uid="{00000000-0005-0000-0000-000027C10000}"/>
    <cellStyle name="Normal 30 2 7 8 3" xfId="49456" xr:uid="{00000000-0005-0000-0000-000028C10000}"/>
    <cellStyle name="Normal 30 2 7 9" xfId="49457" xr:uid="{00000000-0005-0000-0000-000029C10000}"/>
    <cellStyle name="Normal 30 2 7 9 2" xfId="49458" xr:uid="{00000000-0005-0000-0000-00002AC10000}"/>
    <cellStyle name="Normal 30 2 7 9 3" xfId="49459" xr:uid="{00000000-0005-0000-0000-00002BC10000}"/>
    <cellStyle name="Normal 30 2 8" xfId="49460" xr:uid="{00000000-0005-0000-0000-00002CC10000}"/>
    <cellStyle name="Normal 30 2 8 10" xfId="49461" xr:uid="{00000000-0005-0000-0000-00002DC10000}"/>
    <cellStyle name="Normal 30 2 8 10 2" xfId="49462" xr:uid="{00000000-0005-0000-0000-00002EC10000}"/>
    <cellStyle name="Normal 30 2 8 10 3" xfId="49463" xr:uid="{00000000-0005-0000-0000-00002FC10000}"/>
    <cellStyle name="Normal 30 2 8 11" xfId="49464" xr:uid="{00000000-0005-0000-0000-000030C10000}"/>
    <cellStyle name="Normal 30 2 8 11 2" xfId="49465" xr:uid="{00000000-0005-0000-0000-000031C10000}"/>
    <cellStyle name="Normal 30 2 8 11 3" xfId="49466" xr:uid="{00000000-0005-0000-0000-000032C10000}"/>
    <cellStyle name="Normal 30 2 8 12" xfId="49467" xr:uid="{00000000-0005-0000-0000-000033C10000}"/>
    <cellStyle name="Normal 30 2 8 12 2" xfId="49468" xr:uid="{00000000-0005-0000-0000-000034C10000}"/>
    <cellStyle name="Normal 30 2 8 12 3" xfId="49469" xr:uid="{00000000-0005-0000-0000-000035C10000}"/>
    <cellStyle name="Normal 30 2 8 13" xfId="49470" xr:uid="{00000000-0005-0000-0000-000036C10000}"/>
    <cellStyle name="Normal 30 2 8 13 2" xfId="49471" xr:uid="{00000000-0005-0000-0000-000037C10000}"/>
    <cellStyle name="Normal 30 2 8 13 3" xfId="49472" xr:uid="{00000000-0005-0000-0000-000038C10000}"/>
    <cellStyle name="Normal 30 2 8 14" xfId="49473" xr:uid="{00000000-0005-0000-0000-000039C10000}"/>
    <cellStyle name="Normal 30 2 8 14 2" xfId="49474" xr:uid="{00000000-0005-0000-0000-00003AC10000}"/>
    <cellStyle name="Normal 30 2 8 14 3" xfId="49475" xr:uid="{00000000-0005-0000-0000-00003BC10000}"/>
    <cellStyle name="Normal 30 2 8 15" xfId="49476" xr:uid="{00000000-0005-0000-0000-00003CC10000}"/>
    <cellStyle name="Normal 30 2 8 16" xfId="49477" xr:uid="{00000000-0005-0000-0000-00003DC10000}"/>
    <cellStyle name="Normal 30 2 8 2" xfId="49478" xr:uid="{00000000-0005-0000-0000-00003EC10000}"/>
    <cellStyle name="Normal 30 2 8 2 2" xfId="49479" xr:uid="{00000000-0005-0000-0000-00003FC10000}"/>
    <cellStyle name="Normal 30 2 8 2 3" xfId="49480" xr:uid="{00000000-0005-0000-0000-000040C10000}"/>
    <cellStyle name="Normal 30 2 8 3" xfId="49481" xr:uid="{00000000-0005-0000-0000-000041C10000}"/>
    <cellStyle name="Normal 30 2 8 3 2" xfId="49482" xr:uid="{00000000-0005-0000-0000-000042C10000}"/>
    <cellStyle name="Normal 30 2 8 3 3" xfId="49483" xr:uid="{00000000-0005-0000-0000-000043C10000}"/>
    <cellStyle name="Normal 30 2 8 4" xfId="49484" xr:uid="{00000000-0005-0000-0000-000044C10000}"/>
    <cellStyle name="Normal 30 2 8 4 2" xfId="49485" xr:uid="{00000000-0005-0000-0000-000045C10000}"/>
    <cellStyle name="Normal 30 2 8 4 3" xfId="49486" xr:uid="{00000000-0005-0000-0000-000046C10000}"/>
    <cellStyle name="Normal 30 2 8 5" xfId="49487" xr:uid="{00000000-0005-0000-0000-000047C10000}"/>
    <cellStyle name="Normal 30 2 8 5 2" xfId="49488" xr:uid="{00000000-0005-0000-0000-000048C10000}"/>
    <cellStyle name="Normal 30 2 8 5 3" xfId="49489" xr:uid="{00000000-0005-0000-0000-000049C10000}"/>
    <cellStyle name="Normal 30 2 8 6" xfId="49490" xr:uid="{00000000-0005-0000-0000-00004AC10000}"/>
    <cellStyle name="Normal 30 2 8 6 2" xfId="49491" xr:uid="{00000000-0005-0000-0000-00004BC10000}"/>
    <cellStyle name="Normal 30 2 8 6 3" xfId="49492" xr:uid="{00000000-0005-0000-0000-00004CC10000}"/>
    <cellStyle name="Normal 30 2 8 7" xfId="49493" xr:uid="{00000000-0005-0000-0000-00004DC10000}"/>
    <cellStyle name="Normal 30 2 8 7 2" xfId="49494" xr:uid="{00000000-0005-0000-0000-00004EC10000}"/>
    <cellStyle name="Normal 30 2 8 7 3" xfId="49495" xr:uid="{00000000-0005-0000-0000-00004FC10000}"/>
    <cellStyle name="Normal 30 2 8 8" xfId="49496" xr:uid="{00000000-0005-0000-0000-000050C10000}"/>
    <cellStyle name="Normal 30 2 8 8 2" xfId="49497" xr:uid="{00000000-0005-0000-0000-000051C10000}"/>
    <cellStyle name="Normal 30 2 8 8 3" xfId="49498" xr:uid="{00000000-0005-0000-0000-000052C10000}"/>
    <cellStyle name="Normal 30 2 8 9" xfId="49499" xr:uid="{00000000-0005-0000-0000-000053C10000}"/>
    <cellStyle name="Normal 30 2 8 9 2" xfId="49500" xr:uid="{00000000-0005-0000-0000-000054C10000}"/>
    <cellStyle name="Normal 30 2 8 9 3" xfId="49501" xr:uid="{00000000-0005-0000-0000-000055C10000}"/>
    <cellStyle name="Normal 30 2 9" xfId="49502" xr:uid="{00000000-0005-0000-0000-000056C10000}"/>
    <cellStyle name="Normal 30 2 9 10" xfId="49503" xr:uid="{00000000-0005-0000-0000-000057C10000}"/>
    <cellStyle name="Normal 30 2 9 10 2" xfId="49504" xr:uid="{00000000-0005-0000-0000-000058C10000}"/>
    <cellStyle name="Normal 30 2 9 10 3" xfId="49505" xr:uid="{00000000-0005-0000-0000-000059C10000}"/>
    <cellStyle name="Normal 30 2 9 11" xfId="49506" xr:uid="{00000000-0005-0000-0000-00005AC10000}"/>
    <cellStyle name="Normal 30 2 9 11 2" xfId="49507" xr:uid="{00000000-0005-0000-0000-00005BC10000}"/>
    <cellStyle name="Normal 30 2 9 11 3" xfId="49508" xr:uid="{00000000-0005-0000-0000-00005CC10000}"/>
    <cellStyle name="Normal 30 2 9 12" xfId="49509" xr:uid="{00000000-0005-0000-0000-00005DC10000}"/>
    <cellStyle name="Normal 30 2 9 12 2" xfId="49510" xr:uid="{00000000-0005-0000-0000-00005EC10000}"/>
    <cellStyle name="Normal 30 2 9 12 3" xfId="49511" xr:uid="{00000000-0005-0000-0000-00005FC10000}"/>
    <cellStyle name="Normal 30 2 9 13" xfId="49512" xr:uid="{00000000-0005-0000-0000-000060C10000}"/>
    <cellStyle name="Normal 30 2 9 13 2" xfId="49513" xr:uid="{00000000-0005-0000-0000-000061C10000}"/>
    <cellStyle name="Normal 30 2 9 13 3" xfId="49514" xr:uid="{00000000-0005-0000-0000-000062C10000}"/>
    <cellStyle name="Normal 30 2 9 14" xfId="49515" xr:uid="{00000000-0005-0000-0000-000063C10000}"/>
    <cellStyle name="Normal 30 2 9 14 2" xfId="49516" xr:uid="{00000000-0005-0000-0000-000064C10000}"/>
    <cellStyle name="Normal 30 2 9 14 3" xfId="49517" xr:uid="{00000000-0005-0000-0000-000065C10000}"/>
    <cellStyle name="Normal 30 2 9 15" xfId="49518" xr:uid="{00000000-0005-0000-0000-000066C10000}"/>
    <cellStyle name="Normal 30 2 9 16" xfId="49519" xr:uid="{00000000-0005-0000-0000-000067C10000}"/>
    <cellStyle name="Normal 30 2 9 2" xfId="49520" xr:uid="{00000000-0005-0000-0000-000068C10000}"/>
    <cellStyle name="Normal 30 2 9 2 2" xfId="49521" xr:uid="{00000000-0005-0000-0000-000069C10000}"/>
    <cellStyle name="Normal 30 2 9 2 3" xfId="49522" xr:uid="{00000000-0005-0000-0000-00006AC10000}"/>
    <cellStyle name="Normal 30 2 9 3" xfId="49523" xr:uid="{00000000-0005-0000-0000-00006BC10000}"/>
    <cellStyle name="Normal 30 2 9 3 2" xfId="49524" xr:uid="{00000000-0005-0000-0000-00006CC10000}"/>
    <cellStyle name="Normal 30 2 9 3 3" xfId="49525" xr:uid="{00000000-0005-0000-0000-00006DC10000}"/>
    <cellStyle name="Normal 30 2 9 4" xfId="49526" xr:uid="{00000000-0005-0000-0000-00006EC10000}"/>
    <cellStyle name="Normal 30 2 9 4 2" xfId="49527" xr:uid="{00000000-0005-0000-0000-00006FC10000}"/>
    <cellStyle name="Normal 30 2 9 4 3" xfId="49528" xr:uid="{00000000-0005-0000-0000-000070C10000}"/>
    <cellStyle name="Normal 30 2 9 5" xfId="49529" xr:uid="{00000000-0005-0000-0000-000071C10000}"/>
    <cellStyle name="Normal 30 2 9 5 2" xfId="49530" xr:uid="{00000000-0005-0000-0000-000072C10000}"/>
    <cellStyle name="Normal 30 2 9 5 3" xfId="49531" xr:uid="{00000000-0005-0000-0000-000073C10000}"/>
    <cellStyle name="Normal 30 2 9 6" xfId="49532" xr:uid="{00000000-0005-0000-0000-000074C10000}"/>
    <cellStyle name="Normal 30 2 9 6 2" xfId="49533" xr:uid="{00000000-0005-0000-0000-000075C10000}"/>
    <cellStyle name="Normal 30 2 9 6 3" xfId="49534" xr:uid="{00000000-0005-0000-0000-000076C10000}"/>
    <cellStyle name="Normal 30 2 9 7" xfId="49535" xr:uid="{00000000-0005-0000-0000-000077C10000}"/>
    <cellStyle name="Normal 30 2 9 7 2" xfId="49536" xr:uid="{00000000-0005-0000-0000-000078C10000}"/>
    <cellStyle name="Normal 30 2 9 7 3" xfId="49537" xr:uid="{00000000-0005-0000-0000-000079C10000}"/>
    <cellStyle name="Normal 30 2 9 8" xfId="49538" xr:uid="{00000000-0005-0000-0000-00007AC10000}"/>
    <cellStyle name="Normal 30 2 9 8 2" xfId="49539" xr:uid="{00000000-0005-0000-0000-00007BC10000}"/>
    <cellStyle name="Normal 30 2 9 8 3" xfId="49540" xr:uid="{00000000-0005-0000-0000-00007CC10000}"/>
    <cellStyle name="Normal 30 2 9 9" xfId="49541" xr:uid="{00000000-0005-0000-0000-00007DC10000}"/>
    <cellStyle name="Normal 30 2 9 9 2" xfId="49542" xr:uid="{00000000-0005-0000-0000-00007EC10000}"/>
    <cellStyle name="Normal 30 2 9 9 3" xfId="49543" xr:uid="{00000000-0005-0000-0000-00007FC10000}"/>
    <cellStyle name="Normal 30 3" xfId="49544" xr:uid="{00000000-0005-0000-0000-000080C10000}"/>
    <cellStyle name="Normal 30 3 10" xfId="49545" xr:uid="{00000000-0005-0000-0000-000081C10000}"/>
    <cellStyle name="Normal 30 3 10 10" xfId="49546" xr:uid="{00000000-0005-0000-0000-000082C10000}"/>
    <cellStyle name="Normal 30 3 10 10 2" xfId="49547" xr:uid="{00000000-0005-0000-0000-000083C10000}"/>
    <cellStyle name="Normal 30 3 10 10 3" xfId="49548" xr:uid="{00000000-0005-0000-0000-000084C10000}"/>
    <cellStyle name="Normal 30 3 10 11" xfId="49549" xr:uid="{00000000-0005-0000-0000-000085C10000}"/>
    <cellStyle name="Normal 30 3 10 11 2" xfId="49550" xr:uid="{00000000-0005-0000-0000-000086C10000}"/>
    <cellStyle name="Normal 30 3 10 11 3" xfId="49551" xr:uid="{00000000-0005-0000-0000-000087C10000}"/>
    <cellStyle name="Normal 30 3 10 12" xfId="49552" xr:uid="{00000000-0005-0000-0000-000088C10000}"/>
    <cellStyle name="Normal 30 3 10 12 2" xfId="49553" xr:uid="{00000000-0005-0000-0000-000089C10000}"/>
    <cellStyle name="Normal 30 3 10 12 3" xfId="49554" xr:uid="{00000000-0005-0000-0000-00008AC10000}"/>
    <cellStyle name="Normal 30 3 10 13" xfId="49555" xr:uid="{00000000-0005-0000-0000-00008BC10000}"/>
    <cellStyle name="Normal 30 3 10 13 2" xfId="49556" xr:uid="{00000000-0005-0000-0000-00008CC10000}"/>
    <cellStyle name="Normal 30 3 10 13 3" xfId="49557" xr:uid="{00000000-0005-0000-0000-00008DC10000}"/>
    <cellStyle name="Normal 30 3 10 14" xfId="49558" xr:uid="{00000000-0005-0000-0000-00008EC10000}"/>
    <cellStyle name="Normal 30 3 10 14 2" xfId="49559" xr:uid="{00000000-0005-0000-0000-00008FC10000}"/>
    <cellStyle name="Normal 30 3 10 14 3" xfId="49560" xr:uid="{00000000-0005-0000-0000-000090C10000}"/>
    <cellStyle name="Normal 30 3 10 15" xfId="49561" xr:uid="{00000000-0005-0000-0000-000091C10000}"/>
    <cellStyle name="Normal 30 3 10 16" xfId="49562" xr:uid="{00000000-0005-0000-0000-000092C10000}"/>
    <cellStyle name="Normal 30 3 10 2" xfId="49563" xr:uid="{00000000-0005-0000-0000-000093C10000}"/>
    <cellStyle name="Normal 30 3 10 2 2" xfId="49564" xr:uid="{00000000-0005-0000-0000-000094C10000}"/>
    <cellStyle name="Normal 30 3 10 2 3" xfId="49565" xr:uid="{00000000-0005-0000-0000-000095C10000}"/>
    <cellStyle name="Normal 30 3 10 3" xfId="49566" xr:uid="{00000000-0005-0000-0000-000096C10000}"/>
    <cellStyle name="Normal 30 3 10 3 2" xfId="49567" xr:uid="{00000000-0005-0000-0000-000097C10000}"/>
    <cellStyle name="Normal 30 3 10 3 3" xfId="49568" xr:uid="{00000000-0005-0000-0000-000098C10000}"/>
    <cellStyle name="Normal 30 3 10 4" xfId="49569" xr:uid="{00000000-0005-0000-0000-000099C10000}"/>
    <cellStyle name="Normal 30 3 10 4 2" xfId="49570" xr:uid="{00000000-0005-0000-0000-00009AC10000}"/>
    <cellStyle name="Normal 30 3 10 4 3" xfId="49571" xr:uid="{00000000-0005-0000-0000-00009BC10000}"/>
    <cellStyle name="Normal 30 3 10 5" xfId="49572" xr:uid="{00000000-0005-0000-0000-00009CC10000}"/>
    <cellStyle name="Normal 30 3 10 5 2" xfId="49573" xr:uid="{00000000-0005-0000-0000-00009DC10000}"/>
    <cellStyle name="Normal 30 3 10 5 3" xfId="49574" xr:uid="{00000000-0005-0000-0000-00009EC10000}"/>
    <cellStyle name="Normal 30 3 10 6" xfId="49575" xr:uid="{00000000-0005-0000-0000-00009FC10000}"/>
    <cellStyle name="Normal 30 3 10 6 2" xfId="49576" xr:uid="{00000000-0005-0000-0000-0000A0C10000}"/>
    <cellStyle name="Normal 30 3 10 6 3" xfId="49577" xr:uid="{00000000-0005-0000-0000-0000A1C10000}"/>
    <cellStyle name="Normal 30 3 10 7" xfId="49578" xr:uid="{00000000-0005-0000-0000-0000A2C10000}"/>
    <cellStyle name="Normal 30 3 10 7 2" xfId="49579" xr:uid="{00000000-0005-0000-0000-0000A3C10000}"/>
    <cellStyle name="Normal 30 3 10 7 3" xfId="49580" xr:uid="{00000000-0005-0000-0000-0000A4C10000}"/>
    <cellStyle name="Normal 30 3 10 8" xfId="49581" xr:uid="{00000000-0005-0000-0000-0000A5C10000}"/>
    <cellStyle name="Normal 30 3 10 8 2" xfId="49582" xr:uid="{00000000-0005-0000-0000-0000A6C10000}"/>
    <cellStyle name="Normal 30 3 10 8 3" xfId="49583" xr:uid="{00000000-0005-0000-0000-0000A7C10000}"/>
    <cellStyle name="Normal 30 3 10 9" xfId="49584" xr:uid="{00000000-0005-0000-0000-0000A8C10000}"/>
    <cellStyle name="Normal 30 3 10 9 2" xfId="49585" xr:uid="{00000000-0005-0000-0000-0000A9C10000}"/>
    <cellStyle name="Normal 30 3 10 9 3" xfId="49586" xr:uid="{00000000-0005-0000-0000-0000AAC10000}"/>
    <cellStyle name="Normal 30 3 11" xfId="49587" xr:uid="{00000000-0005-0000-0000-0000ABC10000}"/>
    <cellStyle name="Normal 30 3 11 10" xfId="49588" xr:uid="{00000000-0005-0000-0000-0000ACC10000}"/>
    <cellStyle name="Normal 30 3 11 10 2" xfId="49589" xr:uid="{00000000-0005-0000-0000-0000ADC10000}"/>
    <cellStyle name="Normal 30 3 11 10 3" xfId="49590" xr:uid="{00000000-0005-0000-0000-0000AEC10000}"/>
    <cellStyle name="Normal 30 3 11 11" xfId="49591" xr:uid="{00000000-0005-0000-0000-0000AFC10000}"/>
    <cellStyle name="Normal 30 3 11 11 2" xfId="49592" xr:uid="{00000000-0005-0000-0000-0000B0C10000}"/>
    <cellStyle name="Normal 30 3 11 11 3" xfId="49593" xr:uid="{00000000-0005-0000-0000-0000B1C10000}"/>
    <cellStyle name="Normal 30 3 11 12" xfId="49594" xr:uid="{00000000-0005-0000-0000-0000B2C10000}"/>
    <cellStyle name="Normal 30 3 11 12 2" xfId="49595" xr:uid="{00000000-0005-0000-0000-0000B3C10000}"/>
    <cellStyle name="Normal 30 3 11 12 3" xfId="49596" xr:uid="{00000000-0005-0000-0000-0000B4C10000}"/>
    <cellStyle name="Normal 30 3 11 13" xfId="49597" xr:uid="{00000000-0005-0000-0000-0000B5C10000}"/>
    <cellStyle name="Normal 30 3 11 13 2" xfId="49598" xr:uid="{00000000-0005-0000-0000-0000B6C10000}"/>
    <cellStyle name="Normal 30 3 11 13 3" xfId="49599" xr:uid="{00000000-0005-0000-0000-0000B7C10000}"/>
    <cellStyle name="Normal 30 3 11 14" xfId="49600" xr:uid="{00000000-0005-0000-0000-0000B8C10000}"/>
    <cellStyle name="Normal 30 3 11 14 2" xfId="49601" xr:uid="{00000000-0005-0000-0000-0000B9C10000}"/>
    <cellStyle name="Normal 30 3 11 14 3" xfId="49602" xr:uid="{00000000-0005-0000-0000-0000BAC10000}"/>
    <cellStyle name="Normal 30 3 11 15" xfId="49603" xr:uid="{00000000-0005-0000-0000-0000BBC10000}"/>
    <cellStyle name="Normal 30 3 11 16" xfId="49604" xr:uid="{00000000-0005-0000-0000-0000BCC10000}"/>
    <cellStyle name="Normal 30 3 11 2" xfId="49605" xr:uid="{00000000-0005-0000-0000-0000BDC10000}"/>
    <cellStyle name="Normal 30 3 11 2 2" xfId="49606" xr:uid="{00000000-0005-0000-0000-0000BEC10000}"/>
    <cellStyle name="Normal 30 3 11 2 3" xfId="49607" xr:uid="{00000000-0005-0000-0000-0000BFC10000}"/>
    <cellStyle name="Normal 30 3 11 3" xfId="49608" xr:uid="{00000000-0005-0000-0000-0000C0C10000}"/>
    <cellStyle name="Normal 30 3 11 3 2" xfId="49609" xr:uid="{00000000-0005-0000-0000-0000C1C10000}"/>
    <cellStyle name="Normal 30 3 11 3 3" xfId="49610" xr:uid="{00000000-0005-0000-0000-0000C2C10000}"/>
    <cellStyle name="Normal 30 3 11 4" xfId="49611" xr:uid="{00000000-0005-0000-0000-0000C3C10000}"/>
    <cellStyle name="Normal 30 3 11 4 2" xfId="49612" xr:uid="{00000000-0005-0000-0000-0000C4C10000}"/>
    <cellStyle name="Normal 30 3 11 4 3" xfId="49613" xr:uid="{00000000-0005-0000-0000-0000C5C10000}"/>
    <cellStyle name="Normal 30 3 11 5" xfId="49614" xr:uid="{00000000-0005-0000-0000-0000C6C10000}"/>
    <cellStyle name="Normal 30 3 11 5 2" xfId="49615" xr:uid="{00000000-0005-0000-0000-0000C7C10000}"/>
    <cellStyle name="Normal 30 3 11 5 3" xfId="49616" xr:uid="{00000000-0005-0000-0000-0000C8C10000}"/>
    <cellStyle name="Normal 30 3 11 6" xfId="49617" xr:uid="{00000000-0005-0000-0000-0000C9C10000}"/>
    <cellStyle name="Normal 30 3 11 6 2" xfId="49618" xr:uid="{00000000-0005-0000-0000-0000CAC10000}"/>
    <cellStyle name="Normal 30 3 11 6 3" xfId="49619" xr:uid="{00000000-0005-0000-0000-0000CBC10000}"/>
    <cellStyle name="Normal 30 3 11 7" xfId="49620" xr:uid="{00000000-0005-0000-0000-0000CCC10000}"/>
    <cellStyle name="Normal 30 3 11 7 2" xfId="49621" xr:uid="{00000000-0005-0000-0000-0000CDC10000}"/>
    <cellStyle name="Normal 30 3 11 7 3" xfId="49622" xr:uid="{00000000-0005-0000-0000-0000CEC10000}"/>
    <cellStyle name="Normal 30 3 11 8" xfId="49623" xr:uid="{00000000-0005-0000-0000-0000CFC10000}"/>
    <cellStyle name="Normal 30 3 11 8 2" xfId="49624" xr:uid="{00000000-0005-0000-0000-0000D0C10000}"/>
    <cellStyle name="Normal 30 3 11 8 3" xfId="49625" xr:uid="{00000000-0005-0000-0000-0000D1C10000}"/>
    <cellStyle name="Normal 30 3 11 9" xfId="49626" xr:uid="{00000000-0005-0000-0000-0000D2C10000}"/>
    <cellStyle name="Normal 30 3 11 9 2" xfId="49627" xr:uid="{00000000-0005-0000-0000-0000D3C10000}"/>
    <cellStyle name="Normal 30 3 11 9 3" xfId="49628" xr:uid="{00000000-0005-0000-0000-0000D4C10000}"/>
    <cellStyle name="Normal 30 3 12" xfId="49629" xr:uid="{00000000-0005-0000-0000-0000D5C10000}"/>
    <cellStyle name="Normal 30 3 12 10" xfId="49630" xr:uid="{00000000-0005-0000-0000-0000D6C10000}"/>
    <cellStyle name="Normal 30 3 12 10 2" xfId="49631" xr:uid="{00000000-0005-0000-0000-0000D7C10000}"/>
    <cellStyle name="Normal 30 3 12 10 3" xfId="49632" xr:uid="{00000000-0005-0000-0000-0000D8C10000}"/>
    <cellStyle name="Normal 30 3 12 11" xfId="49633" xr:uid="{00000000-0005-0000-0000-0000D9C10000}"/>
    <cellStyle name="Normal 30 3 12 11 2" xfId="49634" xr:uid="{00000000-0005-0000-0000-0000DAC10000}"/>
    <cellStyle name="Normal 30 3 12 11 3" xfId="49635" xr:uid="{00000000-0005-0000-0000-0000DBC10000}"/>
    <cellStyle name="Normal 30 3 12 12" xfId="49636" xr:uid="{00000000-0005-0000-0000-0000DCC10000}"/>
    <cellStyle name="Normal 30 3 12 12 2" xfId="49637" xr:uid="{00000000-0005-0000-0000-0000DDC10000}"/>
    <cellStyle name="Normal 30 3 12 12 3" xfId="49638" xr:uid="{00000000-0005-0000-0000-0000DEC10000}"/>
    <cellStyle name="Normal 30 3 12 13" xfId="49639" xr:uid="{00000000-0005-0000-0000-0000DFC10000}"/>
    <cellStyle name="Normal 30 3 12 13 2" xfId="49640" xr:uid="{00000000-0005-0000-0000-0000E0C10000}"/>
    <cellStyle name="Normal 30 3 12 13 3" xfId="49641" xr:uid="{00000000-0005-0000-0000-0000E1C10000}"/>
    <cellStyle name="Normal 30 3 12 14" xfId="49642" xr:uid="{00000000-0005-0000-0000-0000E2C10000}"/>
    <cellStyle name="Normal 30 3 12 14 2" xfId="49643" xr:uid="{00000000-0005-0000-0000-0000E3C10000}"/>
    <cellStyle name="Normal 30 3 12 14 3" xfId="49644" xr:uid="{00000000-0005-0000-0000-0000E4C10000}"/>
    <cellStyle name="Normal 30 3 12 15" xfId="49645" xr:uid="{00000000-0005-0000-0000-0000E5C10000}"/>
    <cellStyle name="Normal 30 3 12 16" xfId="49646" xr:uid="{00000000-0005-0000-0000-0000E6C10000}"/>
    <cellStyle name="Normal 30 3 12 2" xfId="49647" xr:uid="{00000000-0005-0000-0000-0000E7C10000}"/>
    <cellStyle name="Normal 30 3 12 2 2" xfId="49648" xr:uid="{00000000-0005-0000-0000-0000E8C10000}"/>
    <cellStyle name="Normal 30 3 12 2 3" xfId="49649" xr:uid="{00000000-0005-0000-0000-0000E9C10000}"/>
    <cellStyle name="Normal 30 3 12 3" xfId="49650" xr:uid="{00000000-0005-0000-0000-0000EAC10000}"/>
    <cellStyle name="Normal 30 3 12 3 2" xfId="49651" xr:uid="{00000000-0005-0000-0000-0000EBC10000}"/>
    <cellStyle name="Normal 30 3 12 3 3" xfId="49652" xr:uid="{00000000-0005-0000-0000-0000ECC10000}"/>
    <cellStyle name="Normal 30 3 12 4" xfId="49653" xr:uid="{00000000-0005-0000-0000-0000EDC10000}"/>
    <cellStyle name="Normal 30 3 12 4 2" xfId="49654" xr:uid="{00000000-0005-0000-0000-0000EEC10000}"/>
    <cellStyle name="Normal 30 3 12 4 3" xfId="49655" xr:uid="{00000000-0005-0000-0000-0000EFC10000}"/>
    <cellStyle name="Normal 30 3 12 5" xfId="49656" xr:uid="{00000000-0005-0000-0000-0000F0C10000}"/>
    <cellStyle name="Normal 30 3 12 5 2" xfId="49657" xr:uid="{00000000-0005-0000-0000-0000F1C10000}"/>
    <cellStyle name="Normal 30 3 12 5 3" xfId="49658" xr:uid="{00000000-0005-0000-0000-0000F2C10000}"/>
    <cellStyle name="Normal 30 3 12 6" xfId="49659" xr:uid="{00000000-0005-0000-0000-0000F3C10000}"/>
    <cellStyle name="Normal 30 3 12 6 2" xfId="49660" xr:uid="{00000000-0005-0000-0000-0000F4C10000}"/>
    <cellStyle name="Normal 30 3 12 6 3" xfId="49661" xr:uid="{00000000-0005-0000-0000-0000F5C10000}"/>
    <cellStyle name="Normal 30 3 12 7" xfId="49662" xr:uid="{00000000-0005-0000-0000-0000F6C10000}"/>
    <cellStyle name="Normal 30 3 12 7 2" xfId="49663" xr:uid="{00000000-0005-0000-0000-0000F7C10000}"/>
    <cellStyle name="Normal 30 3 12 7 3" xfId="49664" xr:uid="{00000000-0005-0000-0000-0000F8C10000}"/>
    <cellStyle name="Normal 30 3 12 8" xfId="49665" xr:uid="{00000000-0005-0000-0000-0000F9C10000}"/>
    <cellStyle name="Normal 30 3 12 8 2" xfId="49666" xr:uid="{00000000-0005-0000-0000-0000FAC10000}"/>
    <cellStyle name="Normal 30 3 12 8 3" xfId="49667" xr:uid="{00000000-0005-0000-0000-0000FBC10000}"/>
    <cellStyle name="Normal 30 3 12 9" xfId="49668" xr:uid="{00000000-0005-0000-0000-0000FCC10000}"/>
    <cellStyle name="Normal 30 3 12 9 2" xfId="49669" xr:uid="{00000000-0005-0000-0000-0000FDC10000}"/>
    <cellStyle name="Normal 30 3 12 9 3" xfId="49670" xr:uid="{00000000-0005-0000-0000-0000FEC10000}"/>
    <cellStyle name="Normal 30 3 13" xfId="49671" xr:uid="{00000000-0005-0000-0000-0000FFC10000}"/>
    <cellStyle name="Normal 30 3 13 10" xfId="49672" xr:uid="{00000000-0005-0000-0000-000000C20000}"/>
    <cellStyle name="Normal 30 3 13 10 2" xfId="49673" xr:uid="{00000000-0005-0000-0000-000001C20000}"/>
    <cellStyle name="Normal 30 3 13 10 3" xfId="49674" xr:uid="{00000000-0005-0000-0000-000002C20000}"/>
    <cellStyle name="Normal 30 3 13 11" xfId="49675" xr:uid="{00000000-0005-0000-0000-000003C20000}"/>
    <cellStyle name="Normal 30 3 13 11 2" xfId="49676" xr:uid="{00000000-0005-0000-0000-000004C20000}"/>
    <cellStyle name="Normal 30 3 13 11 3" xfId="49677" xr:uid="{00000000-0005-0000-0000-000005C20000}"/>
    <cellStyle name="Normal 30 3 13 12" xfId="49678" xr:uid="{00000000-0005-0000-0000-000006C20000}"/>
    <cellStyle name="Normal 30 3 13 12 2" xfId="49679" xr:uid="{00000000-0005-0000-0000-000007C20000}"/>
    <cellStyle name="Normal 30 3 13 12 3" xfId="49680" xr:uid="{00000000-0005-0000-0000-000008C20000}"/>
    <cellStyle name="Normal 30 3 13 13" xfId="49681" xr:uid="{00000000-0005-0000-0000-000009C20000}"/>
    <cellStyle name="Normal 30 3 13 13 2" xfId="49682" xr:uid="{00000000-0005-0000-0000-00000AC20000}"/>
    <cellStyle name="Normal 30 3 13 13 3" xfId="49683" xr:uid="{00000000-0005-0000-0000-00000BC20000}"/>
    <cellStyle name="Normal 30 3 13 14" xfId="49684" xr:uid="{00000000-0005-0000-0000-00000CC20000}"/>
    <cellStyle name="Normal 30 3 13 14 2" xfId="49685" xr:uid="{00000000-0005-0000-0000-00000DC20000}"/>
    <cellStyle name="Normal 30 3 13 14 3" xfId="49686" xr:uid="{00000000-0005-0000-0000-00000EC20000}"/>
    <cellStyle name="Normal 30 3 13 15" xfId="49687" xr:uid="{00000000-0005-0000-0000-00000FC20000}"/>
    <cellStyle name="Normal 30 3 13 16" xfId="49688" xr:uid="{00000000-0005-0000-0000-000010C20000}"/>
    <cellStyle name="Normal 30 3 13 2" xfId="49689" xr:uid="{00000000-0005-0000-0000-000011C20000}"/>
    <cellStyle name="Normal 30 3 13 2 2" xfId="49690" xr:uid="{00000000-0005-0000-0000-000012C20000}"/>
    <cellStyle name="Normal 30 3 13 2 3" xfId="49691" xr:uid="{00000000-0005-0000-0000-000013C20000}"/>
    <cellStyle name="Normal 30 3 13 3" xfId="49692" xr:uid="{00000000-0005-0000-0000-000014C20000}"/>
    <cellStyle name="Normal 30 3 13 3 2" xfId="49693" xr:uid="{00000000-0005-0000-0000-000015C20000}"/>
    <cellStyle name="Normal 30 3 13 3 3" xfId="49694" xr:uid="{00000000-0005-0000-0000-000016C20000}"/>
    <cellStyle name="Normal 30 3 13 4" xfId="49695" xr:uid="{00000000-0005-0000-0000-000017C20000}"/>
    <cellStyle name="Normal 30 3 13 4 2" xfId="49696" xr:uid="{00000000-0005-0000-0000-000018C20000}"/>
    <cellStyle name="Normal 30 3 13 4 3" xfId="49697" xr:uid="{00000000-0005-0000-0000-000019C20000}"/>
    <cellStyle name="Normal 30 3 13 5" xfId="49698" xr:uid="{00000000-0005-0000-0000-00001AC20000}"/>
    <cellStyle name="Normal 30 3 13 5 2" xfId="49699" xr:uid="{00000000-0005-0000-0000-00001BC20000}"/>
    <cellStyle name="Normal 30 3 13 5 3" xfId="49700" xr:uid="{00000000-0005-0000-0000-00001CC20000}"/>
    <cellStyle name="Normal 30 3 13 6" xfId="49701" xr:uid="{00000000-0005-0000-0000-00001DC20000}"/>
    <cellStyle name="Normal 30 3 13 6 2" xfId="49702" xr:uid="{00000000-0005-0000-0000-00001EC20000}"/>
    <cellStyle name="Normal 30 3 13 6 3" xfId="49703" xr:uid="{00000000-0005-0000-0000-00001FC20000}"/>
    <cellStyle name="Normal 30 3 13 7" xfId="49704" xr:uid="{00000000-0005-0000-0000-000020C20000}"/>
    <cellStyle name="Normal 30 3 13 7 2" xfId="49705" xr:uid="{00000000-0005-0000-0000-000021C20000}"/>
    <cellStyle name="Normal 30 3 13 7 3" xfId="49706" xr:uid="{00000000-0005-0000-0000-000022C20000}"/>
    <cellStyle name="Normal 30 3 13 8" xfId="49707" xr:uid="{00000000-0005-0000-0000-000023C20000}"/>
    <cellStyle name="Normal 30 3 13 8 2" xfId="49708" xr:uid="{00000000-0005-0000-0000-000024C20000}"/>
    <cellStyle name="Normal 30 3 13 8 3" xfId="49709" xr:uid="{00000000-0005-0000-0000-000025C20000}"/>
    <cellStyle name="Normal 30 3 13 9" xfId="49710" xr:uid="{00000000-0005-0000-0000-000026C20000}"/>
    <cellStyle name="Normal 30 3 13 9 2" xfId="49711" xr:uid="{00000000-0005-0000-0000-000027C20000}"/>
    <cellStyle name="Normal 30 3 13 9 3" xfId="49712" xr:uid="{00000000-0005-0000-0000-000028C20000}"/>
    <cellStyle name="Normal 30 3 14" xfId="49713" xr:uid="{00000000-0005-0000-0000-000029C20000}"/>
    <cellStyle name="Normal 30 3 14 10" xfId="49714" xr:uid="{00000000-0005-0000-0000-00002AC20000}"/>
    <cellStyle name="Normal 30 3 14 10 2" xfId="49715" xr:uid="{00000000-0005-0000-0000-00002BC20000}"/>
    <cellStyle name="Normal 30 3 14 10 3" xfId="49716" xr:uid="{00000000-0005-0000-0000-00002CC20000}"/>
    <cellStyle name="Normal 30 3 14 11" xfId="49717" xr:uid="{00000000-0005-0000-0000-00002DC20000}"/>
    <cellStyle name="Normal 30 3 14 11 2" xfId="49718" xr:uid="{00000000-0005-0000-0000-00002EC20000}"/>
    <cellStyle name="Normal 30 3 14 11 3" xfId="49719" xr:uid="{00000000-0005-0000-0000-00002FC20000}"/>
    <cellStyle name="Normal 30 3 14 12" xfId="49720" xr:uid="{00000000-0005-0000-0000-000030C20000}"/>
    <cellStyle name="Normal 30 3 14 12 2" xfId="49721" xr:uid="{00000000-0005-0000-0000-000031C20000}"/>
    <cellStyle name="Normal 30 3 14 12 3" xfId="49722" xr:uid="{00000000-0005-0000-0000-000032C20000}"/>
    <cellStyle name="Normal 30 3 14 13" xfId="49723" xr:uid="{00000000-0005-0000-0000-000033C20000}"/>
    <cellStyle name="Normal 30 3 14 13 2" xfId="49724" xr:uid="{00000000-0005-0000-0000-000034C20000}"/>
    <cellStyle name="Normal 30 3 14 13 3" xfId="49725" xr:uid="{00000000-0005-0000-0000-000035C20000}"/>
    <cellStyle name="Normal 30 3 14 14" xfId="49726" xr:uid="{00000000-0005-0000-0000-000036C20000}"/>
    <cellStyle name="Normal 30 3 14 14 2" xfId="49727" xr:uid="{00000000-0005-0000-0000-000037C20000}"/>
    <cellStyle name="Normal 30 3 14 14 3" xfId="49728" xr:uid="{00000000-0005-0000-0000-000038C20000}"/>
    <cellStyle name="Normal 30 3 14 15" xfId="49729" xr:uid="{00000000-0005-0000-0000-000039C20000}"/>
    <cellStyle name="Normal 30 3 14 16" xfId="49730" xr:uid="{00000000-0005-0000-0000-00003AC20000}"/>
    <cellStyle name="Normal 30 3 14 2" xfId="49731" xr:uid="{00000000-0005-0000-0000-00003BC20000}"/>
    <cellStyle name="Normal 30 3 14 2 2" xfId="49732" xr:uid="{00000000-0005-0000-0000-00003CC20000}"/>
    <cellStyle name="Normal 30 3 14 2 3" xfId="49733" xr:uid="{00000000-0005-0000-0000-00003DC20000}"/>
    <cellStyle name="Normal 30 3 14 3" xfId="49734" xr:uid="{00000000-0005-0000-0000-00003EC20000}"/>
    <cellStyle name="Normal 30 3 14 3 2" xfId="49735" xr:uid="{00000000-0005-0000-0000-00003FC20000}"/>
    <cellStyle name="Normal 30 3 14 3 3" xfId="49736" xr:uid="{00000000-0005-0000-0000-000040C20000}"/>
    <cellStyle name="Normal 30 3 14 4" xfId="49737" xr:uid="{00000000-0005-0000-0000-000041C20000}"/>
    <cellStyle name="Normal 30 3 14 4 2" xfId="49738" xr:uid="{00000000-0005-0000-0000-000042C20000}"/>
    <cellStyle name="Normal 30 3 14 4 3" xfId="49739" xr:uid="{00000000-0005-0000-0000-000043C20000}"/>
    <cellStyle name="Normal 30 3 14 5" xfId="49740" xr:uid="{00000000-0005-0000-0000-000044C20000}"/>
    <cellStyle name="Normal 30 3 14 5 2" xfId="49741" xr:uid="{00000000-0005-0000-0000-000045C20000}"/>
    <cellStyle name="Normal 30 3 14 5 3" xfId="49742" xr:uid="{00000000-0005-0000-0000-000046C20000}"/>
    <cellStyle name="Normal 30 3 14 6" xfId="49743" xr:uid="{00000000-0005-0000-0000-000047C20000}"/>
    <cellStyle name="Normal 30 3 14 6 2" xfId="49744" xr:uid="{00000000-0005-0000-0000-000048C20000}"/>
    <cellStyle name="Normal 30 3 14 6 3" xfId="49745" xr:uid="{00000000-0005-0000-0000-000049C20000}"/>
    <cellStyle name="Normal 30 3 14 7" xfId="49746" xr:uid="{00000000-0005-0000-0000-00004AC20000}"/>
    <cellStyle name="Normal 30 3 14 7 2" xfId="49747" xr:uid="{00000000-0005-0000-0000-00004BC20000}"/>
    <cellStyle name="Normal 30 3 14 7 3" xfId="49748" xr:uid="{00000000-0005-0000-0000-00004CC20000}"/>
    <cellStyle name="Normal 30 3 14 8" xfId="49749" xr:uid="{00000000-0005-0000-0000-00004DC20000}"/>
    <cellStyle name="Normal 30 3 14 8 2" xfId="49750" xr:uid="{00000000-0005-0000-0000-00004EC20000}"/>
    <cellStyle name="Normal 30 3 14 8 3" xfId="49751" xr:uid="{00000000-0005-0000-0000-00004FC20000}"/>
    <cellStyle name="Normal 30 3 14 9" xfId="49752" xr:uid="{00000000-0005-0000-0000-000050C20000}"/>
    <cellStyle name="Normal 30 3 14 9 2" xfId="49753" xr:uid="{00000000-0005-0000-0000-000051C20000}"/>
    <cellStyle name="Normal 30 3 14 9 3" xfId="49754" xr:uid="{00000000-0005-0000-0000-000052C20000}"/>
    <cellStyle name="Normal 30 3 15" xfId="49755" xr:uid="{00000000-0005-0000-0000-000053C20000}"/>
    <cellStyle name="Normal 30 3 15 10" xfId="49756" xr:uid="{00000000-0005-0000-0000-000054C20000}"/>
    <cellStyle name="Normal 30 3 15 10 2" xfId="49757" xr:uid="{00000000-0005-0000-0000-000055C20000}"/>
    <cellStyle name="Normal 30 3 15 10 3" xfId="49758" xr:uid="{00000000-0005-0000-0000-000056C20000}"/>
    <cellStyle name="Normal 30 3 15 11" xfId="49759" xr:uid="{00000000-0005-0000-0000-000057C20000}"/>
    <cellStyle name="Normal 30 3 15 11 2" xfId="49760" xr:uid="{00000000-0005-0000-0000-000058C20000}"/>
    <cellStyle name="Normal 30 3 15 11 3" xfId="49761" xr:uid="{00000000-0005-0000-0000-000059C20000}"/>
    <cellStyle name="Normal 30 3 15 12" xfId="49762" xr:uid="{00000000-0005-0000-0000-00005AC20000}"/>
    <cellStyle name="Normal 30 3 15 12 2" xfId="49763" xr:uid="{00000000-0005-0000-0000-00005BC20000}"/>
    <cellStyle name="Normal 30 3 15 12 3" xfId="49764" xr:uid="{00000000-0005-0000-0000-00005CC20000}"/>
    <cellStyle name="Normal 30 3 15 13" xfId="49765" xr:uid="{00000000-0005-0000-0000-00005DC20000}"/>
    <cellStyle name="Normal 30 3 15 13 2" xfId="49766" xr:uid="{00000000-0005-0000-0000-00005EC20000}"/>
    <cellStyle name="Normal 30 3 15 13 3" xfId="49767" xr:uid="{00000000-0005-0000-0000-00005FC20000}"/>
    <cellStyle name="Normal 30 3 15 14" xfId="49768" xr:uid="{00000000-0005-0000-0000-000060C20000}"/>
    <cellStyle name="Normal 30 3 15 14 2" xfId="49769" xr:uid="{00000000-0005-0000-0000-000061C20000}"/>
    <cellStyle name="Normal 30 3 15 14 3" xfId="49770" xr:uid="{00000000-0005-0000-0000-000062C20000}"/>
    <cellStyle name="Normal 30 3 15 15" xfId="49771" xr:uid="{00000000-0005-0000-0000-000063C20000}"/>
    <cellStyle name="Normal 30 3 15 16" xfId="49772" xr:uid="{00000000-0005-0000-0000-000064C20000}"/>
    <cellStyle name="Normal 30 3 15 2" xfId="49773" xr:uid="{00000000-0005-0000-0000-000065C20000}"/>
    <cellStyle name="Normal 30 3 15 2 2" xfId="49774" xr:uid="{00000000-0005-0000-0000-000066C20000}"/>
    <cellStyle name="Normal 30 3 15 2 3" xfId="49775" xr:uid="{00000000-0005-0000-0000-000067C20000}"/>
    <cellStyle name="Normal 30 3 15 3" xfId="49776" xr:uid="{00000000-0005-0000-0000-000068C20000}"/>
    <cellStyle name="Normal 30 3 15 3 2" xfId="49777" xr:uid="{00000000-0005-0000-0000-000069C20000}"/>
    <cellStyle name="Normal 30 3 15 3 3" xfId="49778" xr:uid="{00000000-0005-0000-0000-00006AC20000}"/>
    <cellStyle name="Normal 30 3 15 4" xfId="49779" xr:uid="{00000000-0005-0000-0000-00006BC20000}"/>
    <cellStyle name="Normal 30 3 15 4 2" xfId="49780" xr:uid="{00000000-0005-0000-0000-00006CC20000}"/>
    <cellStyle name="Normal 30 3 15 4 3" xfId="49781" xr:uid="{00000000-0005-0000-0000-00006DC20000}"/>
    <cellStyle name="Normal 30 3 15 5" xfId="49782" xr:uid="{00000000-0005-0000-0000-00006EC20000}"/>
    <cellStyle name="Normal 30 3 15 5 2" xfId="49783" xr:uid="{00000000-0005-0000-0000-00006FC20000}"/>
    <cellStyle name="Normal 30 3 15 5 3" xfId="49784" xr:uid="{00000000-0005-0000-0000-000070C20000}"/>
    <cellStyle name="Normal 30 3 15 6" xfId="49785" xr:uid="{00000000-0005-0000-0000-000071C20000}"/>
    <cellStyle name="Normal 30 3 15 6 2" xfId="49786" xr:uid="{00000000-0005-0000-0000-000072C20000}"/>
    <cellStyle name="Normal 30 3 15 6 3" xfId="49787" xr:uid="{00000000-0005-0000-0000-000073C20000}"/>
    <cellStyle name="Normal 30 3 15 7" xfId="49788" xr:uid="{00000000-0005-0000-0000-000074C20000}"/>
    <cellStyle name="Normal 30 3 15 7 2" xfId="49789" xr:uid="{00000000-0005-0000-0000-000075C20000}"/>
    <cellStyle name="Normal 30 3 15 7 3" xfId="49790" xr:uid="{00000000-0005-0000-0000-000076C20000}"/>
    <cellStyle name="Normal 30 3 15 8" xfId="49791" xr:uid="{00000000-0005-0000-0000-000077C20000}"/>
    <cellStyle name="Normal 30 3 15 8 2" xfId="49792" xr:uid="{00000000-0005-0000-0000-000078C20000}"/>
    <cellStyle name="Normal 30 3 15 8 3" xfId="49793" xr:uid="{00000000-0005-0000-0000-000079C20000}"/>
    <cellStyle name="Normal 30 3 15 9" xfId="49794" xr:uid="{00000000-0005-0000-0000-00007AC20000}"/>
    <cellStyle name="Normal 30 3 15 9 2" xfId="49795" xr:uid="{00000000-0005-0000-0000-00007BC20000}"/>
    <cellStyle name="Normal 30 3 15 9 3" xfId="49796" xr:uid="{00000000-0005-0000-0000-00007CC20000}"/>
    <cellStyle name="Normal 30 3 16" xfId="49797" xr:uid="{00000000-0005-0000-0000-00007DC20000}"/>
    <cellStyle name="Normal 30 3 16 2" xfId="49798" xr:uid="{00000000-0005-0000-0000-00007EC20000}"/>
    <cellStyle name="Normal 30 3 16 3" xfId="49799" xr:uid="{00000000-0005-0000-0000-00007FC20000}"/>
    <cellStyle name="Normal 30 3 17" xfId="49800" xr:uid="{00000000-0005-0000-0000-000080C20000}"/>
    <cellStyle name="Normal 30 3 17 2" xfId="49801" xr:uid="{00000000-0005-0000-0000-000081C20000}"/>
    <cellStyle name="Normal 30 3 17 3" xfId="49802" xr:uid="{00000000-0005-0000-0000-000082C20000}"/>
    <cellStyle name="Normal 30 3 18" xfId="49803" xr:uid="{00000000-0005-0000-0000-000083C20000}"/>
    <cellStyle name="Normal 30 3 18 2" xfId="49804" xr:uid="{00000000-0005-0000-0000-000084C20000}"/>
    <cellStyle name="Normal 30 3 18 3" xfId="49805" xr:uid="{00000000-0005-0000-0000-000085C20000}"/>
    <cellStyle name="Normal 30 3 19" xfId="49806" xr:uid="{00000000-0005-0000-0000-000086C20000}"/>
    <cellStyle name="Normal 30 3 19 2" xfId="49807" xr:uid="{00000000-0005-0000-0000-000087C20000}"/>
    <cellStyle name="Normal 30 3 19 3" xfId="49808" xr:uid="{00000000-0005-0000-0000-000088C20000}"/>
    <cellStyle name="Normal 30 3 2" xfId="49809" xr:uid="{00000000-0005-0000-0000-000089C20000}"/>
    <cellStyle name="Normal 30 3 2 10" xfId="49810" xr:uid="{00000000-0005-0000-0000-00008AC20000}"/>
    <cellStyle name="Normal 30 3 2 10 2" xfId="49811" xr:uid="{00000000-0005-0000-0000-00008BC20000}"/>
    <cellStyle name="Normal 30 3 2 10 3" xfId="49812" xr:uid="{00000000-0005-0000-0000-00008CC20000}"/>
    <cellStyle name="Normal 30 3 2 11" xfId="49813" xr:uid="{00000000-0005-0000-0000-00008DC20000}"/>
    <cellStyle name="Normal 30 3 2 11 2" xfId="49814" xr:uid="{00000000-0005-0000-0000-00008EC20000}"/>
    <cellStyle name="Normal 30 3 2 11 3" xfId="49815" xr:uid="{00000000-0005-0000-0000-00008FC20000}"/>
    <cellStyle name="Normal 30 3 2 12" xfId="49816" xr:uid="{00000000-0005-0000-0000-000090C20000}"/>
    <cellStyle name="Normal 30 3 2 12 2" xfId="49817" xr:uid="{00000000-0005-0000-0000-000091C20000}"/>
    <cellStyle name="Normal 30 3 2 12 3" xfId="49818" xr:uid="{00000000-0005-0000-0000-000092C20000}"/>
    <cellStyle name="Normal 30 3 2 13" xfId="49819" xr:uid="{00000000-0005-0000-0000-000093C20000}"/>
    <cellStyle name="Normal 30 3 2 13 2" xfId="49820" xr:uid="{00000000-0005-0000-0000-000094C20000}"/>
    <cellStyle name="Normal 30 3 2 13 3" xfId="49821" xr:uid="{00000000-0005-0000-0000-000095C20000}"/>
    <cellStyle name="Normal 30 3 2 14" xfId="49822" xr:uid="{00000000-0005-0000-0000-000096C20000}"/>
    <cellStyle name="Normal 30 3 2 14 2" xfId="49823" xr:uid="{00000000-0005-0000-0000-000097C20000}"/>
    <cellStyle name="Normal 30 3 2 14 3" xfId="49824" xr:uid="{00000000-0005-0000-0000-000098C20000}"/>
    <cellStyle name="Normal 30 3 2 15" xfId="49825" xr:uid="{00000000-0005-0000-0000-000099C20000}"/>
    <cellStyle name="Normal 30 3 2 15 2" xfId="49826" xr:uid="{00000000-0005-0000-0000-00009AC20000}"/>
    <cellStyle name="Normal 30 3 2 15 3" xfId="49827" xr:uid="{00000000-0005-0000-0000-00009BC20000}"/>
    <cellStyle name="Normal 30 3 2 16" xfId="49828" xr:uid="{00000000-0005-0000-0000-00009CC20000}"/>
    <cellStyle name="Normal 30 3 2 17" xfId="49829" xr:uid="{00000000-0005-0000-0000-00009DC20000}"/>
    <cellStyle name="Normal 30 3 2 2" xfId="49830" xr:uid="{00000000-0005-0000-0000-00009EC20000}"/>
    <cellStyle name="Normal 30 3 2 2 10" xfId="49831" xr:uid="{00000000-0005-0000-0000-00009FC20000}"/>
    <cellStyle name="Normal 30 3 2 2 10 2" xfId="49832" xr:uid="{00000000-0005-0000-0000-0000A0C20000}"/>
    <cellStyle name="Normal 30 3 2 2 10 3" xfId="49833" xr:uid="{00000000-0005-0000-0000-0000A1C20000}"/>
    <cellStyle name="Normal 30 3 2 2 11" xfId="49834" xr:uid="{00000000-0005-0000-0000-0000A2C20000}"/>
    <cellStyle name="Normal 30 3 2 2 11 2" xfId="49835" xr:uid="{00000000-0005-0000-0000-0000A3C20000}"/>
    <cellStyle name="Normal 30 3 2 2 11 3" xfId="49836" xr:uid="{00000000-0005-0000-0000-0000A4C20000}"/>
    <cellStyle name="Normal 30 3 2 2 12" xfId="49837" xr:uid="{00000000-0005-0000-0000-0000A5C20000}"/>
    <cellStyle name="Normal 30 3 2 2 12 2" xfId="49838" xr:uid="{00000000-0005-0000-0000-0000A6C20000}"/>
    <cellStyle name="Normal 30 3 2 2 12 3" xfId="49839" xr:uid="{00000000-0005-0000-0000-0000A7C20000}"/>
    <cellStyle name="Normal 30 3 2 2 13" xfId="49840" xr:uid="{00000000-0005-0000-0000-0000A8C20000}"/>
    <cellStyle name="Normal 30 3 2 2 13 2" xfId="49841" xr:uid="{00000000-0005-0000-0000-0000A9C20000}"/>
    <cellStyle name="Normal 30 3 2 2 13 3" xfId="49842" xr:uid="{00000000-0005-0000-0000-0000AAC20000}"/>
    <cellStyle name="Normal 30 3 2 2 14" xfId="49843" xr:uid="{00000000-0005-0000-0000-0000ABC20000}"/>
    <cellStyle name="Normal 30 3 2 2 14 2" xfId="49844" xr:uid="{00000000-0005-0000-0000-0000ACC20000}"/>
    <cellStyle name="Normal 30 3 2 2 14 3" xfId="49845" xr:uid="{00000000-0005-0000-0000-0000ADC20000}"/>
    <cellStyle name="Normal 30 3 2 2 15" xfId="49846" xr:uid="{00000000-0005-0000-0000-0000AEC20000}"/>
    <cellStyle name="Normal 30 3 2 2 16" xfId="49847" xr:uid="{00000000-0005-0000-0000-0000AFC20000}"/>
    <cellStyle name="Normal 30 3 2 2 2" xfId="49848" xr:uid="{00000000-0005-0000-0000-0000B0C20000}"/>
    <cellStyle name="Normal 30 3 2 2 2 2" xfId="49849" xr:uid="{00000000-0005-0000-0000-0000B1C20000}"/>
    <cellStyle name="Normal 30 3 2 2 2 3" xfId="49850" xr:uid="{00000000-0005-0000-0000-0000B2C20000}"/>
    <cellStyle name="Normal 30 3 2 2 3" xfId="49851" xr:uid="{00000000-0005-0000-0000-0000B3C20000}"/>
    <cellStyle name="Normal 30 3 2 2 3 2" xfId="49852" xr:uid="{00000000-0005-0000-0000-0000B4C20000}"/>
    <cellStyle name="Normal 30 3 2 2 3 3" xfId="49853" xr:uid="{00000000-0005-0000-0000-0000B5C20000}"/>
    <cellStyle name="Normal 30 3 2 2 4" xfId="49854" xr:uid="{00000000-0005-0000-0000-0000B6C20000}"/>
    <cellStyle name="Normal 30 3 2 2 4 2" xfId="49855" xr:uid="{00000000-0005-0000-0000-0000B7C20000}"/>
    <cellStyle name="Normal 30 3 2 2 4 3" xfId="49856" xr:uid="{00000000-0005-0000-0000-0000B8C20000}"/>
    <cellStyle name="Normal 30 3 2 2 5" xfId="49857" xr:uid="{00000000-0005-0000-0000-0000B9C20000}"/>
    <cellStyle name="Normal 30 3 2 2 5 2" xfId="49858" xr:uid="{00000000-0005-0000-0000-0000BAC20000}"/>
    <cellStyle name="Normal 30 3 2 2 5 3" xfId="49859" xr:uid="{00000000-0005-0000-0000-0000BBC20000}"/>
    <cellStyle name="Normal 30 3 2 2 6" xfId="49860" xr:uid="{00000000-0005-0000-0000-0000BCC20000}"/>
    <cellStyle name="Normal 30 3 2 2 6 2" xfId="49861" xr:uid="{00000000-0005-0000-0000-0000BDC20000}"/>
    <cellStyle name="Normal 30 3 2 2 6 3" xfId="49862" xr:uid="{00000000-0005-0000-0000-0000BEC20000}"/>
    <cellStyle name="Normal 30 3 2 2 7" xfId="49863" xr:uid="{00000000-0005-0000-0000-0000BFC20000}"/>
    <cellStyle name="Normal 30 3 2 2 7 2" xfId="49864" xr:uid="{00000000-0005-0000-0000-0000C0C20000}"/>
    <cellStyle name="Normal 30 3 2 2 7 3" xfId="49865" xr:uid="{00000000-0005-0000-0000-0000C1C20000}"/>
    <cellStyle name="Normal 30 3 2 2 8" xfId="49866" xr:uid="{00000000-0005-0000-0000-0000C2C20000}"/>
    <cellStyle name="Normal 30 3 2 2 8 2" xfId="49867" xr:uid="{00000000-0005-0000-0000-0000C3C20000}"/>
    <cellStyle name="Normal 30 3 2 2 8 3" xfId="49868" xr:uid="{00000000-0005-0000-0000-0000C4C20000}"/>
    <cellStyle name="Normal 30 3 2 2 9" xfId="49869" xr:uid="{00000000-0005-0000-0000-0000C5C20000}"/>
    <cellStyle name="Normal 30 3 2 2 9 2" xfId="49870" xr:uid="{00000000-0005-0000-0000-0000C6C20000}"/>
    <cellStyle name="Normal 30 3 2 2 9 3" xfId="49871" xr:uid="{00000000-0005-0000-0000-0000C7C20000}"/>
    <cellStyle name="Normal 30 3 2 3" xfId="49872" xr:uid="{00000000-0005-0000-0000-0000C8C20000}"/>
    <cellStyle name="Normal 30 3 2 3 2" xfId="49873" xr:uid="{00000000-0005-0000-0000-0000C9C20000}"/>
    <cellStyle name="Normal 30 3 2 3 3" xfId="49874" xr:uid="{00000000-0005-0000-0000-0000CAC20000}"/>
    <cellStyle name="Normal 30 3 2 4" xfId="49875" xr:uid="{00000000-0005-0000-0000-0000CBC20000}"/>
    <cellStyle name="Normal 30 3 2 4 2" xfId="49876" xr:uid="{00000000-0005-0000-0000-0000CCC20000}"/>
    <cellStyle name="Normal 30 3 2 4 3" xfId="49877" xr:uid="{00000000-0005-0000-0000-0000CDC20000}"/>
    <cellStyle name="Normal 30 3 2 5" xfId="49878" xr:uid="{00000000-0005-0000-0000-0000CEC20000}"/>
    <cellStyle name="Normal 30 3 2 5 2" xfId="49879" xr:uid="{00000000-0005-0000-0000-0000CFC20000}"/>
    <cellStyle name="Normal 30 3 2 5 3" xfId="49880" xr:uid="{00000000-0005-0000-0000-0000D0C20000}"/>
    <cellStyle name="Normal 30 3 2 6" xfId="49881" xr:uid="{00000000-0005-0000-0000-0000D1C20000}"/>
    <cellStyle name="Normal 30 3 2 6 2" xfId="49882" xr:uid="{00000000-0005-0000-0000-0000D2C20000}"/>
    <cellStyle name="Normal 30 3 2 6 3" xfId="49883" xr:uid="{00000000-0005-0000-0000-0000D3C20000}"/>
    <cellStyle name="Normal 30 3 2 7" xfId="49884" xr:uid="{00000000-0005-0000-0000-0000D4C20000}"/>
    <cellStyle name="Normal 30 3 2 7 2" xfId="49885" xr:uid="{00000000-0005-0000-0000-0000D5C20000}"/>
    <cellStyle name="Normal 30 3 2 7 3" xfId="49886" xr:uid="{00000000-0005-0000-0000-0000D6C20000}"/>
    <cellStyle name="Normal 30 3 2 8" xfId="49887" xr:uid="{00000000-0005-0000-0000-0000D7C20000}"/>
    <cellStyle name="Normal 30 3 2 8 2" xfId="49888" xr:uid="{00000000-0005-0000-0000-0000D8C20000}"/>
    <cellStyle name="Normal 30 3 2 8 3" xfId="49889" xr:uid="{00000000-0005-0000-0000-0000D9C20000}"/>
    <cellStyle name="Normal 30 3 2 9" xfId="49890" xr:uid="{00000000-0005-0000-0000-0000DAC20000}"/>
    <cellStyle name="Normal 30 3 2 9 2" xfId="49891" xr:uid="{00000000-0005-0000-0000-0000DBC20000}"/>
    <cellStyle name="Normal 30 3 2 9 3" xfId="49892" xr:uid="{00000000-0005-0000-0000-0000DCC20000}"/>
    <cellStyle name="Normal 30 3 20" xfId="49893" xr:uid="{00000000-0005-0000-0000-0000DDC20000}"/>
    <cellStyle name="Normal 30 3 20 2" xfId="49894" xr:uid="{00000000-0005-0000-0000-0000DEC20000}"/>
    <cellStyle name="Normal 30 3 20 3" xfId="49895" xr:uid="{00000000-0005-0000-0000-0000DFC20000}"/>
    <cellStyle name="Normal 30 3 21" xfId="49896" xr:uid="{00000000-0005-0000-0000-0000E0C20000}"/>
    <cellStyle name="Normal 30 3 21 2" xfId="49897" xr:uid="{00000000-0005-0000-0000-0000E1C20000}"/>
    <cellStyle name="Normal 30 3 21 3" xfId="49898" xr:uid="{00000000-0005-0000-0000-0000E2C20000}"/>
    <cellStyle name="Normal 30 3 22" xfId="49899" xr:uid="{00000000-0005-0000-0000-0000E3C20000}"/>
    <cellStyle name="Normal 30 3 22 2" xfId="49900" xr:uid="{00000000-0005-0000-0000-0000E4C20000}"/>
    <cellStyle name="Normal 30 3 22 3" xfId="49901" xr:uid="{00000000-0005-0000-0000-0000E5C20000}"/>
    <cellStyle name="Normal 30 3 23" xfId="49902" xr:uid="{00000000-0005-0000-0000-0000E6C20000}"/>
    <cellStyle name="Normal 30 3 23 2" xfId="49903" xr:uid="{00000000-0005-0000-0000-0000E7C20000}"/>
    <cellStyle name="Normal 30 3 23 3" xfId="49904" xr:uid="{00000000-0005-0000-0000-0000E8C20000}"/>
    <cellStyle name="Normal 30 3 24" xfId="49905" xr:uid="{00000000-0005-0000-0000-0000E9C20000}"/>
    <cellStyle name="Normal 30 3 24 2" xfId="49906" xr:uid="{00000000-0005-0000-0000-0000EAC20000}"/>
    <cellStyle name="Normal 30 3 24 3" xfId="49907" xr:uid="{00000000-0005-0000-0000-0000EBC20000}"/>
    <cellStyle name="Normal 30 3 25" xfId="49908" xr:uid="{00000000-0005-0000-0000-0000ECC20000}"/>
    <cellStyle name="Normal 30 3 25 2" xfId="49909" xr:uid="{00000000-0005-0000-0000-0000EDC20000}"/>
    <cellStyle name="Normal 30 3 25 3" xfId="49910" xr:uid="{00000000-0005-0000-0000-0000EEC20000}"/>
    <cellStyle name="Normal 30 3 26" xfId="49911" xr:uid="{00000000-0005-0000-0000-0000EFC20000}"/>
    <cellStyle name="Normal 30 3 26 2" xfId="49912" xr:uid="{00000000-0005-0000-0000-0000F0C20000}"/>
    <cellStyle name="Normal 30 3 26 3" xfId="49913" xr:uid="{00000000-0005-0000-0000-0000F1C20000}"/>
    <cellStyle name="Normal 30 3 27" xfId="49914" xr:uid="{00000000-0005-0000-0000-0000F2C20000}"/>
    <cellStyle name="Normal 30 3 27 2" xfId="49915" xr:uid="{00000000-0005-0000-0000-0000F3C20000}"/>
    <cellStyle name="Normal 30 3 27 3" xfId="49916" xr:uid="{00000000-0005-0000-0000-0000F4C20000}"/>
    <cellStyle name="Normal 30 3 28" xfId="49917" xr:uid="{00000000-0005-0000-0000-0000F5C20000}"/>
    <cellStyle name="Normal 30 3 28 2" xfId="49918" xr:uid="{00000000-0005-0000-0000-0000F6C20000}"/>
    <cellStyle name="Normal 30 3 28 3" xfId="49919" xr:uid="{00000000-0005-0000-0000-0000F7C20000}"/>
    <cellStyle name="Normal 30 3 29" xfId="49920" xr:uid="{00000000-0005-0000-0000-0000F8C20000}"/>
    <cellStyle name="Normal 30 3 3" xfId="49921" xr:uid="{00000000-0005-0000-0000-0000F9C20000}"/>
    <cellStyle name="Normal 30 3 3 10" xfId="49922" xr:uid="{00000000-0005-0000-0000-0000FAC20000}"/>
    <cellStyle name="Normal 30 3 3 10 2" xfId="49923" xr:uid="{00000000-0005-0000-0000-0000FBC20000}"/>
    <cellStyle name="Normal 30 3 3 10 3" xfId="49924" xr:uid="{00000000-0005-0000-0000-0000FCC20000}"/>
    <cellStyle name="Normal 30 3 3 11" xfId="49925" xr:uid="{00000000-0005-0000-0000-0000FDC20000}"/>
    <cellStyle name="Normal 30 3 3 11 2" xfId="49926" xr:uid="{00000000-0005-0000-0000-0000FEC20000}"/>
    <cellStyle name="Normal 30 3 3 11 3" xfId="49927" xr:uid="{00000000-0005-0000-0000-0000FFC20000}"/>
    <cellStyle name="Normal 30 3 3 12" xfId="49928" xr:uid="{00000000-0005-0000-0000-000000C30000}"/>
    <cellStyle name="Normal 30 3 3 12 2" xfId="49929" xr:uid="{00000000-0005-0000-0000-000001C30000}"/>
    <cellStyle name="Normal 30 3 3 12 3" xfId="49930" xr:uid="{00000000-0005-0000-0000-000002C30000}"/>
    <cellStyle name="Normal 30 3 3 13" xfId="49931" xr:uid="{00000000-0005-0000-0000-000003C30000}"/>
    <cellStyle name="Normal 30 3 3 13 2" xfId="49932" xr:uid="{00000000-0005-0000-0000-000004C30000}"/>
    <cellStyle name="Normal 30 3 3 13 3" xfId="49933" xr:uid="{00000000-0005-0000-0000-000005C30000}"/>
    <cellStyle name="Normal 30 3 3 14" xfId="49934" xr:uid="{00000000-0005-0000-0000-000006C30000}"/>
    <cellStyle name="Normal 30 3 3 14 2" xfId="49935" xr:uid="{00000000-0005-0000-0000-000007C30000}"/>
    <cellStyle name="Normal 30 3 3 14 3" xfId="49936" xr:uid="{00000000-0005-0000-0000-000008C30000}"/>
    <cellStyle name="Normal 30 3 3 15" xfId="49937" xr:uid="{00000000-0005-0000-0000-000009C30000}"/>
    <cellStyle name="Normal 30 3 3 15 2" xfId="49938" xr:uid="{00000000-0005-0000-0000-00000AC30000}"/>
    <cellStyle name="Normal 30 3 3 15 3" xfId="49939" xr:uid="{00000000-0005-0000-0000-00000BC30000}"/>
    <cellStyle name="Normal 30 3 3 16" xfId="49940" xr:uid="{00000000-0005-0000-0000-00000CC30000}"/>
    <cellStyle name="Normal 30 3 3 17" xfId="49941" xr:uid="{00000000-0005-0000-0000-00000DC30000}"/>
    <cellStyle name="Normal 30 3 3 2" xfId="49942" xr:uid="{00000000-0005-0000-0000-00000EC30000}"/>
    <cellStyle name="Normal 30 3 3 2 10" xfId="49943" xr:uid="{00000000-0005-0000-0000-00000FC30000}"/>
    <cellStyle name="Normal 30 3 3 2 10 2" xfId="49944" xr:uid="{00000000-0005-0000-0000-000010C30000}"/>
    <cellStyle name="Normal 30 3 3 2 10 3" xfId="49945" xr:uid="{00000000-0005-0000-0000-000011C30000}"/>
    <cellStyle name="Normal 30 3 3 2 11" xfId="49946" xr:uid="{00000000-0005-0000-0000-000012C30000}"/>
    <cellStyle name="Normal 30 3 3 2 11 2" xfId="49947" xr:uid="{00000000-0005-0000-0000-000013C30000}"/>
    <cellStyle name="Normal 30 3 3 2 11 3" xfId="49948" xr:uid="{00000000-0005-0000-0000-000014C30000}"/>
    <cellStyle name="Normal 30 3 3 2 12" xfId="49949" xr:uid="{00000000-0005-0000-0000-000015C30000}"/>
    <cellStyle name="Normal 30 3 3 2 12 2" xfId="49950" xr:uid="{00000000-0005-0000-0000-000016C30000}"/>
    <cellStyle name="Normal 30 3 3 2 12 3" xfId="49951" xr:uid="{00000000-0005-0000-0000-000017C30000}"/>
    <cellStyle name="Normal 30 3 3 2 13" xfId="49952" xr:uid="{00000000-0005-0000-0000-000018C30000}"/>
    <cellStyle name="Normal 30 3 3 2 13 2" xfId="49953" xr:uid="{00000000-0005-0000-0000-000019C30000}"/>
    <cellStyle name="Normal 30 3 3 2 13 3" xfId="49954" xr:uid="{00000000-0005-0000-0000-00001AC30000}"/>
    <cellStyle name="Normal 30 3 3 2 14" xfId="49955" xr:uid="{00000000-0005-0000-0000-00001BC30000}"/>
    <cellStyle name="Normal 30 3 3 2 14 2" xfId="49956" xr:uid="{00000000-0005-0000-0000-00001CC30000}"/>
    <cellStyle name="Normal 30 3 3 2 14 3" xfId="49957" xr:uid="{00000000-0005-0000-0000-00001DC30000}"/>
    <cellStyle name="Normal 30 3 3 2 15" xfId="49958" xr:uid="{00000000-0005-0000-0000-00001EC30000}"/>
    <cellStyle name="Normal 30 3 3 2 16" xfId="49959" xr:uid="{00000000-0005-0000-0000-00001FC30000}"/>
    <cellStyle name="Normal 30 3 3 2 2" xfId="49960" xr:uid="{00000000-0005-0000-0000-000020C30000}"/>
    <cellStyle name="Normal 30 3 3 2 2 2" xfId="49961" xr:uid="{00000000-0005-0000-0000-000021C30000}"/>
    <cellStyle name="Normal 30 3 3 2 2 3" xfId="49962" xr:uid="{00000000-0005-0000-0000-000022C30000}"/>
    <cellStyle name="Normal 30 3 3 2 3" xfId="49963" xr:uid="{00000000-0005-0000-0000-000023C30000}"/>
    <cellStyle name="Normal 30 3 3 2 3 2" xfId="49964" xr:uid="{00000000-0005-0000-0000-000024C30000}"/>
    <cellStyle name="Normal 30 3 3 2 3 3" xfId="49965" xr:uid="{00000000-0005-0000-0000-000025C30000}"/>
    <cellStyle name="Normal 30 3 3 2 4" xfId="49966" xr:uid="{00000000-0005-0000-0000-000026C30000}"/>
    <cellStyle name="Normal 30 3 3 2 4 2" xfId="49967" xr:uid="{00000000-0005-0000-0000-000027C30000}"/>
    <cellStyle name="Normal 30 3 3 2 4 3" xfId="49968" xr:uid="{00000000-0005-0000-0000-000028C30000}"/>
    <cellStyle name="Normal 30 3 3 2 5" xfId="49969" xr:uid="{00000000-0005-0000-0000-000029C30000}"/>
    <cellStyle name="Normal 30 3 3 2 5 2" xfId="49970" xr:uid="{00000000-0005-0000-0000-00002AC30000}"/>
    <cellStyle name="Normal 30 3 3 2 5 3" xfId="49971" xr:uid="{00000000-0005-0000-0000-00002BC30000}"/>
    <cellStyle name="Normal 30 3 3 2 6" xfId="49972" xr:uid="{00000000-0005-0000-0000-00002CC30000}"/>
    <cellStyle name="Normal 30 3 3 2 6 2" xfId="49973" xr:uid="{00000000-0005-0000-0000-00002DC30000}"/>
    <cellStyle name="Normal 30 3 3 2 6 3" xfId="49974" xr:uid="{00000000-0005-0000-0000-00002EC30000}"/>
    <cellStyle name="Normal 30 3 3 2 7" xfId="49975" xr:uid="{00000000-0005-0000-0000-00002FC30000}"/>
    <cellStyle name="Normal 30 3 3 2 7 2" xfId="49976" xr:uid="{00000000-0005-0000-0000-000030C30000}"/>
    <cellStyle name="Normal 30 3 3 2 7 3" xfId="49977" xr:uid="{00000000-0005-0000-0000-000031C30000}"/>
    <cellStyle name="Normal 30 3 3 2 8" xfId="49978" xr:uid="{00000000-0005-0000-0000-000032C30000}"/>
    <cellStyle name="Normal 30 3 3 2 8 2" xfId="49979" xr:uid="{00000000-0005-0000-0000-000033C30000}"/>
    <cellStyle name="Normal 30 3 3 2 8 3" xfId="49980" xr:uid="{00000000-0005-0000-0000-000034C30000}"/>
    <cellStyle name="Normal 30 3 3 2 9" xfId="49981" xr:uid="{00000000-0005-0000-0000-000035C30000}"/>
    <cellStyle name="Normal 30 3 3 2 9 2" xfId="49982" xr:uid="{00000000-0005-0000-0000-000036C30000}"/>
    <cellStyle name="Normal 30 3 3 2 9 3" xfId="49983" xr:uid="{00000000-0005-0000-0000-000037C30000}"/>
    <cellStyle name="Normal 30 3 3 3" xfId="49984" xr:uid="{00000000-0005-0000-0000-000038C30000}"/>
    <cellStyle name="Normal 30 3 3 3 2" xfId="49985" xr:uid="{00000000-0005-0000-0000-000039C30000}"/>
    <cellStyle name="Normal 30 3 3 3 3" xfId="49986" xr:uid="{00000000-0005-0000-0000-00003AC30000}"/>
    <cellStyle name="Normal 30 3 3 4" xfId="49987" xr:uid="{00000000-0005-0000-0000-00003BC30000}"/>
    <cellStyle name="Normal 30 3 3 4 2" xfId="49988" xr:uid="{00000000-0005-0000-0000-00003CC30000}"/>
    <cellStyle name="Normal 30 3 3 4 3" xfId="49989" xr:uid="{00000000-0005-0000-0000-00003DC30000}"/>
    <cellStyle name="Normal 30 3 3 5" xfId="49990" xr:uid="{00000000-0005-0000-0000-00003EC30000}"/>
    <cellStyle name="Normal 30 3 3 5 2" xfId="49991" xr:uid="{00000000-0005-0000-0000-00003FC30000}"/>
    <cellStyle name="Normal 30 3 3 5 3" xfId="49992" xr:uid="{00000000-0005-0000-0000-000040C30000}"/>
    <cellStyle name="Normal 30 3 3 6" xfId="49993" xr:uid="{00000000-0005-0000-0000-000041C30000}"/>
    <cellStyle name="Normal 30 3 3 6 2" xfId="49994" xr:uid="{00000000-0005-0000-0000-000042C30000}"/>
    <cellStyle name="Normal 30 3 3 6 3" xfId="49995" xr:uid="{00000000-0005-0000-0000-000043C30000}"/>
    <cellStyle name="Normal 30 3 3 7" xfId="49996" xr:uid="{00000000-0005-0000-0000-000044C30000}"/>
    <cellStyle name="Normal 30 3 3 7 2" xfId="49997" xr:uid="{00000000-0005-0000-0000-000045C30000}"/>
    <cellStyle name="Normal 30 3 3 7 3" xfId="49998" xr:uid="{00000000-0005-0000-0000-000046C30000}"/>
    <cellStyle name="Normal 30 3 3 8" xfId="49999" xr:uid="{00000000-0005-0000-0000-000047C30000}"/>
    <cellStyle name="Normal 30 3 3 8 2" xfId="50000" xr:uid="{00000000-0005-0000-0000-000048C30000}"/>
    <cellStyle name="Normal 30 3 3 8 3" xfId="50001" xr:uid="{00000000-0005-0000-0000-000049C30000}"/>
    <cellStyle name="Normal 30 3 3 9" xfId="50002" xr:uid="{00000000-0005-0000-0000-00004AC30000}"/>
    <cellStyle name="Normal 30 3 3 9 2" xfId="50003" xr:uid="{00000000-0005-0000-0000-00004BC30000}"/>
    <cellStyle name="Normal 30 3 3 9 3" xfId="50004" xr:uid="{00000000-0005-0000-0000-00004CC30000}"/>
    <cellStyle name="Normal 30 3 30" xfId="50005" xr:uid="{00000000-0005-0000-0000-00004DC30000}"/>
    <cellStyle name="Normal 30 3 31" xfId="50006" xr:uid="{00000000-0005-0000-0000-00004EC30000}"/>
    <cellStyle name="Normal 30 3 32" xfId="50007" xr:uid="{00000000-0005-0000-0000-00004FC30000}"/>
    <cellStyle name="Normal 30 3 33" xfId="50008" xr:uid="{00000000-0005-0000-0000-000050C30000}"/>
    <cellStyle name="Normal 30 3 34" xfId="50009" xr:uid="{00000000-0005-0000-0000-000051C30000}"/>
    <cellStyle name="Normal 30 3 35" xfId="50010" xr:uid="{00000000-0005-0000-0000-000052C30000}"/>
    <cellStyle name="Normal 30 3 36" xfId="50011" xr:uid="{00000000-0005-0000-0000-000053C30000}"/>
    <cellStyle name="Normal 30 3 37" xfId="50012" xr:uid="{00000000-0005-0000-0000-000054C30000}"/>
    <cellStyle name="Normal 30 3 38" xfId="50013" xr:uid="{00000000-0005-0000-0000-000055C30000}"/>
    <cellStyle name="Normal 30 3 39" xfId="50014" xr:uid="{00000000-0005-0000-0000-000056C30000}"/>
    <cellStyle name="Normal 30 3 4" xfId="50015" xr:uid="{00000000-0005-0000-0000-000057C30000}"/>
    <cellStyle name="Normal 30 3 4 10" xfId="50016" xr:uid="{00000000-0005-0000-0000-000058C30000}"/>
    <cellStyle name="Normal 30 3 4 10 2" xfId="50017" xr:uid="{00000000-0005-0000-0000-000059C30000}"/>
    <cellStyle name="Normal 30 3 4 10 3" xfId="50018" xr:uid="{00000000-0005-0000-0000-00005AC30000}"/>
    <cellStyle name="Normal 30 3 4 11" xfId="50019" xr:uid="{00000000-0005-0000-0000-00005BC30000}"/>
    <cellStyle name="Normal 30 3 4 11 2" xfId="50020" xr:uid="{00000000-0005-0000-0000-00005CC30000}"/>
    <cellStyle name="Normal 30 3 4 11 3" xfId="50021" xr:uid="{00000000-0005-0000-0000-00005DC30000}"/>
    <cellStyle name="Normal 30 3 4 12" xfId="50022" xr:uid="{00000000-0005-0000-0000-00005EC30000}"/>
    <cellStyle name="Normal 30 3 4 12 2" xfId="50023" xr:uid="{00000000-0005-0000-0000-00005FC30000}"/>
    <cellStyle name="Normal 30 3 4 12 3" xfId="50024" xr:uid="{00000000-0005-0000-0000-000060C30000}"/>
    <cellStyle name="Normal 30 3 4 13" xfId="50025" xr:uid="{00000000-0005-0000-0000-000061C30000}"/>
    <cellStyle name="Normal 30 3 4 13 2" xfId="50026" xr:uid="{00000000-0005-0000-0000-000062C30000}"/>
    <cellStyle name="Normal 30 3 4 13 3" xfId="50027" xr:uid="{00000000-0005-0000-0000-000063C30000}"/>
    <cellStyle name="Normal 30 3 4 14" xfId="50028" xr:uid="{00000000-0005-0000-0000-000064C30000}"/>
    <cellStyle name="Normal 30 3 4 14 2" xfId="50029" xr:uid="{00000000-0005-0000-0000-000065C30000}"/>
    <cellStyle name="Normal 30 3 4 14 3" xfId="50030" xr:uid="{00000000-0005-0000-0000-000066C30000}"/>
    <cellStyle name="Normal 30 3 4 15" xfId="50031" xr:uid="{00000000-0005-0000-0000-000067C30000}"/>
    <cellStyle name="Normal 30 3 4 15 2" xfId="50032" xr:uid="{00000000-0005-0000-0000-000068C30000}"/>
    <cellStyle name="Normal 30 3 4 15 3" xfId="50033" xr:uid="{00000000-0005-0000-0000-000069C30000}"/>
    <cellStyle name="Normal 30 3 4 16" xfId="50034" xr:uid="{00000000-0005-0000-0000-00006AC30000}"/>
    <cellStyle name="Normal 30 3 4 17" xfId="50035" xr:uid="{00000000-0005-0000-0000-00006BC30000}"/>
    <cellStyle name="Normal 30 3 4 2" xfId="50036" xr:uid="{00000000-0005-0000-0000-00006CC30000}"/>
    <cellStyle name="Normal 30 3 4 2 10" xfId="50037" xr:uid="{00000000-0005-0000-0000-00006DC30000}"/>
    <cellStyle name="Normal 30 3 4 2 10 2" xfId="50038" xr:uid="{00000000-0005-0000-0000-00006EC30000}"/>
    <cellStyle name="Normal 30 3 4 2 10 3" xfId="50039" xr:uid="{00000000-0005-0000-0000-00006FC30000}"/>
    <cellStyle name="Normal 30 3 4 2 11" xfId="50040" xr:uid="{00000000-0005-0000-0000-000070C30000}"/>
    <cellStyle name="Normal 30 3 4 2 11 2" xfId="50041" xr:uid="{00000000-0005-0000-0000-000071C30000}"/>
    <cellStyle name="Normal 30 3 4 2 11 3" xfId="50042" xr:uid="{00000000-0005-0000-0000-000072C30000}"/>
    <cellStyle name="Normal 30 3 4 2 12" xfId="50043" xr:uid="{00000000-0005-0000-0000-000073C30000}"/>
    <cellStyle name="Normal 30 3 4 2 12 2" xfId="50044" xr:uid="{00000000-0005-0000-0000-000074C30000}"/>
    <cellStyle name="Normal 30 3 4 2 12 3" xfId="50045" xr:uid="{00000000-0005-0000-0000-000075C30000}"/>
    <cellStyle name="Normal 30 3 4 2 13" xfId="50046" xr:uid="{00000000-0005-0000-0000-000076C30000}"/>
    <cellStyle name="Normal 30 3 4 2 13 2" xfId="50047" xr:uid="{00000000-0005-0000-0000-000077C30000}"/>
    <cellStyle name="Normal 30 3 4 2 13 3" xfId="50048" xr:uid="{00000000-0005-0000-0000-000078C30000}"/>
    <cellStyle name="Normal 30 3 4 2 14" xfId="50049" xr:uid="{00000000-0005-0000-0000-000079C30000}"/>
    <cellStyle name="Normal 30 3 4 2 14 2" xfId="50050" xr:uid="{00000000-0005-0000-0000-00007AC30000}"/>
    <cellStyle name="Normal 30 3 4 2 14 3" xfId="50051" xr:uid="{00000000-0005-0000-0000-00007BC30000}"/>
    <cellStyle name="Normal 30 3 4 2 15" xfId="50052" xr:uid="{00000000-0005-0000-0000-00007CC30000}"/>
    <cellStyle name="Normal 30 3 4 2 16" xfId="50053" xr:uid="{00000000-0005-0000-0000-00007DC30000}"/>
    <cellStyle name="Normal 30 3 4 2 2" xfId="50054" xr:uid="{00000000-0005-0000-0000-00007EC30000}"/>
    <cellStyle name="Normal 30 3 4 2 2 2" xfId="50055" xr:uid="{00000000-0005-0000-0000-00007FC30000}"/>
    <cellStyle name="Normal 30 3 4 2 2 3" xfId="50056" xr:uid="{00000000-0005-0000-0000-000080C30000}"/>
    <cellStyle name="Normal 30 3 4 2 3" xfId="50057" xr:uid="{00000000-0005-0000-0000-000081C30000}"/>
    <cellStyle name="Normal 30 3 4 2 3 2" xfId="50058" xr:uid="{00000000-0005-0000-0000-000082C30000}"/>
    <cellStyle name="Normal 30 3 4 2 3 3" xfId="50059" xr:uid="{00000000-0005-0000-0000-000083C30000}"/>
    <cellStyle name="Normal 30 3 4 2 4" xfId="50060" xr:uid="{00000000-0005-0000-0000-000084C30000}"/>
    <cellStyle name="Normal 30 3 4 2 4 2" xfId="50061" xr:uid="{00000000-0005-0000-0000-000085C30000}"/>
    <cellStyle name="Normal 30 3 4 2 4 3" xfId="50062" xr:uid="{00000000-0005-0000-0000-000086C30000}"/>
    <cellStyle name="Normal 30 3 4 2 5" xfId="50063" xr:uid="{00000000-0005-0000-0000-000087C30000}"/>
    <cellStyle name="Normal 30 3 4 2 5 2" xfId="50064" xr:uid="{00000000-0005-0000-0000-000088C30000}"/>
    <cellStyle name="Normal 30 3 4 2 5 3" xfId="50065" xr:uid="{00000000-0005-0000-0000-000089C30000}"/>
    <cellStyle name="Normal 30 3 4 2 6" xfId="50066" xr:uid="{00000000-0005-0000-0000-00008AC30000}"/>
    <cellStyle name="Normal 30 3 4 2 6 2" xfId="50067" xr:uid="{00000000-0005-0000-0000-00008BC30000}"/>
    <cellStyle name="Normal 30 3 4 2 6 3" xfId="50068" xr:uid="{00000000-0005-0000-0000-00008CC30000}"/>
    <cellStyle name="Normal 30 3 4 2 7" xfId="50069" xr:uid="{00000000-0005-0000-0000-00008DC30000}"/>
    <cellStyle name="Normal 30 3 4 2 7 2" xfId="50070" xr:uid="{00000000-0005-0000-0000-00008EC30000}"/>
    <cellStyle name="Normal 30 3 4 2 7 3" xfId="50071" xr:uid="{00000000-0005-0000-0000-00008FC30000}"/>
    <cellStyle name="Normal 30 3 4 2 8" xfId="50072" xr:uid="{00000000-0005-0000-0000-000090C30000}"/>
    <cellStyle name="Normal 30 3 4 2 8 2" xfId="50073" xr:uid="{00000000-0005-0000-0000-000091C30000}"/>
    <cellStyle name="Normal 30 3 4 2 8 3" xfId="50074" xr:uid="{00000000-0005-0000-0000-000092C30000}"/>
    <cellStyle name="Normal 30 3 4 2 9" xfId="50075" xr:uid="{00000000-0005-0000-0000-000093C30000}"/>
    <cellStyle name="Normal 30 3 4 2 9 2" xfId="50076" xr:uid="{00000000-0005-0000-0000-000094C30000}"/>
    <cellStyle name="Normal 30 3 4 2 9 3" xfId="50077" xr:uid="{00000000-0005-0000-0000-000095C30000}"/>
    <cellStyle name="Normal 30 3 4 3" xfId="50078" xr:uid="{00000000-0005-0000-0000-000096C30000}"/>
    <cellStyle name="Normal 30 3 4 3 2" xfId="50079" xr:uid="{00000000-0005-0000-0000-000097C30000}"/>
    <cellStyle name="Normal 30 3 4 3 3" xfId="50080" xr:uid="{00000000-0005-0000-0000-000098C30000}"/>
    <cellStyle name="Normal 30 3 4 4" xfId="50081" xr:uid="{00000000-0005-0000-0000-000099C30000}"/>
    <cellStyle name="Normal 30 3 4 4 2" xfId="50082" xr:uid="{00000000-0005-0000-0000-00009AC30000}"/>
    <cellStyle name="Normal 30 3 4 4 3" xfId="50083" xr:uid="{00000000-0005-0000-0000-00009BC30000}"/>
    <cellStyle name="Normal 30 3 4 5" xfId="50084" xr:uid="{00000000-0005-0000-0000-00009CC30000}"/>
    <cellStyle name="Normal 30 3 4 5 2" xfId="50085" xr:uid="{00000000-0005-0000-0000-00009DC30000}"/>
    <cellStyle name="Normal 30 3 4 5 3" xfId="50086" xr:uid="{00000000-0005-0000-0000-00009EC30000}"/>
    <cellStyle name="Normal 30 3 4 6" xfId="50087" xr:uid="{00000000-0005-0000-0000-00009FC30000}"/>
    <cellStyle name="Normal 30 3 4 6 2" xfId="50088" xr:uid="{00000000-0005-0000-0000-0000A0C30000}"/>
    <cellStyle name="Normal 30 3 4 6 3" xfId="50089" xr:uid="{00000000-0005-0000-0000-0000A1C30000}"/>
    <cellStyle name="Normal 30 3 4 7" xfId="50090" xr:uid="{00000000-0005-0000-0000-0000A2C30000}"/>
    <cellStyle name="Normal 30 3 4 7 2" xfId="50091" xr:uid="{00000000-0005-0000-0000-0000A3C30000}"/>
    <cellStyle name="Normal 30 3 4 7 3" xfId="50092" xr:uid="{00000000-0005-0000-0000-0000A4C30000}"/>
    <cellStyle name="Normal 30 3 4 8" xfId="50093" xr:uid="{00000000-0005-0000-0000-0000A5C30000}"/>
    <cellStyle name="Normal 30 3 4 8 2" xfId="50094" xr:uid="{00000000-0005-0000-0000-0000A6C30000}"/>
    <cellStyle name="Normal 30 3 4 8 3" xfId="50095" xr:uid="{00000000-0005-0000-0000-0000A7C30000}"/>
    <cellStyle name="Normal 30 3 4 9" xfId="50096" xr:uid="{00000000-0005-0000-0000-0000A8C30000}"/>
    <cellStyle name="Normal 30 3 4 9 2" xfId="50097" xr:uid="{00000000-0005-0000-0000-0000A9C30000}"/>
    <cellStyle name="Normal 30 3 4 9 3" xfId="50098" xr:uid="{00000000-0005-0000-0000-0000AAC30000}"/>
    <cellStyle name="Normal 30 3 40" xfId="50099" xr:uid="{00000000-0005-0000-0000-0000ABC30000}"/>
    <cellStyle name="Normal 30 3 41" xfId="50100" xr:uid="{00000000-0005-0000-0000-0000ACC30000}"/>
    <cellStyle name="Normal 30 3 5" xfId="50101" xr:uid="{00000000-0005-0000-0000-0000ADC30000}"/>
    <cellStyle name="Normal 30 3 5 10" xfId="50102" xr:uid="{00000000-0005-0000-0000-0000AEC30000}"/>
    <cellStyle name="Normal 30 3 5 10 2" xfId="50103" xr:uid="{00000000-0005-0000-0000-0000AFC30000}"/>
    <cellStyle name="Normal 30 3 5 10 3" xfId="50104" xr:uid="{00000000-0005-0000-0000-0000B0C30000}"/>
    <cellStyle name="Normal 30 3 5 11" xfId="50105" xr:uid="{00000000-0005-0000-0000-0000B1C30000}"/>
    <cellStyle name="Normal 30 3 5 11 2" xfId="50106" xr:uid="{00000000-0005-0000-0000-0000B2C30000}"/>
    <cellStyle name="Normal 30 3 5 11 3" xfId="50107" xr:uid="{00000000-0005-0000-0000-0000B3C30000}"/>
    <cellStyle name="Normal 30 3 5 12" xfId="50108" xr:uid="{00000000-0005-0000-0000-0000B4C30000}"/>
    <cellStyle name="Normal 30 3 5 12 2" xfId="50109" xr:uid="{00000000-0005-0000-0000-0000B5C30000}"/>
    <cellStyle name="Normal 30 3 5 12 3" xfId="50110" xr:uid="{00000000-0005-0000-0000-0000B6C30000}"/>
    <cellStyle name="Normal 30 3 5 13" xfId="50111" xr:uid="{00000000-0005-0000-0000-0000B7C30000}"/>
    <cellStyle name="Normal 30 3 5 13 2" xfId="50112" xr:uid="{00000000-0005-0000-0000-0000B8C30000}"/>
    <cellStyle name="Normal 30 3 5 13 3" xfId="50113" xr:uid="{00000000-0005-0000-0000-0000B9C30000}"/>
    <cellStyle name="Normal 30 3 5 14" xfId="50114" xr:uid="{00000000-0005-0000-0000-0000BAC30000}"/>
    <cellStyle name="Normal 30 3 5 14 2" xfId="50115" xr:uid="{00000000-0005-0000-0000-0000BBC30000}"/>
    <cellStyle name="Normal 30 3 5 14 3" xfId="50116" xr:uid="{00000000-0005-0000-0000-0000BCC30000}"/>
    <cellStyle name="Normal 30 3 5 15" xfId="50117" xr:uid="{00000000-0005-0000-0000-0000BDC30000}"/>
    <cellStyle name="Normal 30 3 5 16" xfId="50118" xr:uid="{00000000-0005-0000-0000-0000BEC30000}"/>
    <cellStyle name="Normal 30 3 5 2" xfId="50119" xr:uid="{00000000-0005-0000-0000-0000BFC30000}"/>
    <cellStyle name="Normal 30 3 5 2 2" xfId="50120" xr:uid="{00000000-0005-0000-0000-0000C0C30000}"/>
    <cellStyle name="Normal 30 3 5 2 3" xfId="50121" xr:uid="{00000000-0005-0000-0000-0000C1C30000}"/>
    <cellStyle name="Normal 30 3 5 3" xfId="50122" xr:uid="{00000000-0005-0000-0000-0000C2C30000}"/>
    <cellStyle name="Normal 30 3 5 3 2" xfId="50123" xr:uid="{00000000-0005-0000-0000-0000C3C30000}"/>
    <cellStyle name="Normal 30 3 5 3 3" xfId="50124" xr:uid="{00000000-0005-0000-0000-0000C4C30000}"/>
    <cellStyle name="Normal 30 3 5 4" xfId="50125" xr:uid="{00000000-0005-0000-0000-0000C5C30000}"/>
    <cellStyle name="Normal 30 3 5 4 2" xfId="50126" xr:uid="{00000000-0005-0000-0000-0000C6C30000}"/>
    <cellStyle name="Normal 30 3 5 4 3" xfId="50127" xr:uid="{00000000-0005-0000-0000-0000C7C30000}"/>
    <cellStyle name="Normal 30 3 5 5" xfId="50128" xr:uid="{00000000-0005-0000-0000-0000C8C30000}"/>
    <cellStyle name="Normal 30 3 5 5 2" xfId="50129" xr:uid="{00000000-0005-0000-0000-0000C9C30000}"/>
    <cellStyle name="Normal 30 3 5 5 3" xfId="50130" xr:uid="{00000000-0005-0000-0000-0000CAC30000}"/>
    <cellStyle name="Normal 30 3 5 6" xfId="50131" xr:uid="{00000000-0005-0000-0000-0000CBC30000}"/>
    <cellStyle name="Normal 30 3 5 6 2" xfId="50132" xr:uid="{00000000-0005-0000-0000-0000CCC30000}"/>
    <cellStyle name="Normal 30 3 5 6 3" xfId="50133" xr:uid="{00000000-0005-0000-0000-0000CDC30000}"/>
    <cellStyle name="Normal 30 3 5 7" xfId="50134" xr:uid="{00000000-0005-0000-0000-0000CEC30000}"/>
    <cellStyle name="Normal 30 3 5 7 2" xfId="50135" xr:uid="{00000000-0005-0000-0000-0000CFC30000}"/>
    <cellStyle name="Normal 30 3 5 7 3" xfId="50136" xr:uid="{00000000-0005-0000-0000-0000D0C30000}"/>
    <cellStyle name="Normal 30 3 5 8" xfId="50137" xr:uid="{00000000-0005-0000-0000-0000D1C30000}"/>
    <cellStyle name="Normal 30 3 5 8 2" xfId="50138" xr:uid="{00000000-0005-0000-0000-0000D2C30000}"/>
    <cellStyle name="Normal 30 3 5 8 3" xfId="50139" xr:uid="{00000000-0005-0000-0000-0000D3C30000}"/>
    <cellStyle name="Normal 30 3 5 9" xfId="50140" xr:uid="{00000000-0005-0000-0000-0000D4C30000}"/>
    <cellStyle name="Normal 30 3 5 9 2" xfId="50141" xr:uid="{00000000-0005-0000-0000-0000D5C30000}"/>
    <cellStyle name="Normal 30 3 5 9 3" xfId="50142" xr:uid="{00000000-0005-0000-0000-0000D6C30000}"/>
    <cellStyle name="Normal 30 3 6" xfId="50143" xr:uid="{00000000-0005-0000-0000-0000D7C30000}"/>
    <cellStyle name="Normal 30 3 6 10" xfId="50144" xr:uid="{00000000-0005-0000-0000-0000D8C30000}"/>
    <cellStyle name="Normal 30 3 6 10 2" xfId="50145" xr:uid="{00000000-0005-0000-0000-0000D9C30000}"/>
    <cellStyle name="Normal 30 3 6 10 3" xfId="50146" xr:uid="{00000000-0005-0000-0000-0000DAC30000}"/>
    <cellStyle name="Normal 30 3 6 11" xfId="50147" xr:uid="{00000000-0005-0000-0000-0000DBC30000}"/>
    <cellStyle name="Normal 30 3 6 11 2" xfId="50148" xr:uid="{00000000-0005-0000-0000-0000DCC30000}"/>
    <cellStyle name="Normal 30 3 6 11 3" xfId="50149" xr:uid="{00000000-0005-0000-0000-0000DDC30000}"/>
    <cellStyle name="Normal 30 3 6 12" xfId="50150" xr:uid="{00000000-0005-0000-0000-0000DEC30000}"/>
    <cellStyle name="Normal 30 3 6 12 2" xfId="50151" xr:uid="{00000000-0005-0000-0000-0000DFC30000}"/>
    <cellStyle name="Normal 30 3 6 12 3" xfId="50152" xr:uid="{00000000-0005-0000-0000-0000E0C30000}"/>
    <cellStyle name="Normal 30 3 6 13" xfId="50153" xr:uid="{00000000-0005-0000-0000-0000E1C30000}"/>
    <cellStyle name="Normal 30 3 6 13 2" xfId="50154" xr:uid="{00000000-0005-0000-0000-0000E2C30000}"/>
    <cellStyle name="Normal 30 3 6 13 3" xfId="50155" xr:uid="{00000000-0005-0000-0000-0000E3C30000}"/>
    <cellStyle name="Normal 30 3 6 14" xfId="50156" xr:uid="{00000000-0005-0000-0000-0000E4C30000}"/>
    <cellStyle name="Normal 30 3 6 14 2" xfId="50157" xr:uid="{00000000-0005-0000-0000-0000E5C30000}"/>
    <cellStyle name="Normal 30 3 6 14 3" xfId="50158" xr:uid="{00000000-0005-0000-0000-0000E6C30000}"/>
    <cellStyle name="Normal 30 3 6 15" xfId="50159" xr:uid="{00000000-0005-0000-0000-0000E7C30000}"/>
    <cellStyle name="Normal 30 3 6 16" xfId="50160" xr:uid="{00000000-0005-0000-0000-0000E8C30000}"/>
    <cellStyle name="Normal 30 3 6 2" xfId="50161" xr:uid="{00000000-0005-0000-0000-0000E9C30000}"/>
    <cellStyle name="Normal 30 3 6 2 2" xfId="50162" xr:uid="{00000000-0005-0000-0000-0000EAC30000}"/>
    <cellStyle name="Normal 30 3 6 2 3" xfId="50163" xr:uid="{00000000-0005-0000-0000-0000EBC30000}"/>
    <cellStyle name="Normal 30 3 6 3" xfId="50164" xr:uid="{00000000-0005-0000-0000-0000ECC30000}"/>
    <cellStyle name="Normal 30 3 6 3 2" xfId="50165" xr:uid="{00000000-0005-0000-0000-0000EDC30000}"/>
    <cellStyle name="Normal 30 3 6 3 3" xfId="50166" xr:uid="{00000000-0005-0000-0000-0000EEC30000}"/>
    <cellStyle name="Normal 30 3 6 4" xfId="50167" xr:uid="{00000000-0005-0000-0000-0000EFC30000}"/>
    <cellStyle name="Normal 30 3 6 4 2" xfId="50168" xr:uid="{00000000-0005-0000-0000-0000F0C30000}"/>
    <cellStyle name="Normal 30 3 6 4 3" xfId="50169" xr:uid="{00000000-0005-0000-0000-0000F1C30000}"/>
    <cellStyle name="Normal 30 3 6 5" xfId="50170" xr:uid="{00000000-0005-0000-0000-0000F2C30000}"/>
    <cellStyle name="Normal 30 3 6 5 2" xfId="50171" xr:uid="{00000000-0005-0000-0000-0000F3C30000}"/>
    <cellStyle name="Normal 30 3 6 5 3" xfId="50172" xr:uid="{00000000-0005-0000-0000-0000F4C30000}"/>
    <cellStyle name="Normal 30 3 6 6" xfId="50173" xr:uid="{00000000-0005-0000-0000-0000F5C30000}"/>
    <cellStyle name="Normal 30 3 6 6 2" xfId="50174" xr:uid="{00000000-0005-0000-0000-0000F6C30000}"/>
    <cellStyle name="Normal 30 3 6 6 3" xfId="50175" xr:uid="{00000000-0005-0000-0000-0000F7C30000}"/>
    <cellStyle name="Normal 30 3 6 7" xfId="50176" xr:uid="{00000000-0005-0000-0000-0000F8C30000}"/>
    <cellStyle name="Normal 30 3 6 7 2" xfId="50177" xr:uid="{00000000-0005-0000-0000-0000F9C30000}"/>
    <cellStyle name="Normal 30 3 6 7 3" xfId="50178" xr:uid="{00000000-0005-0000-0000-0000FAC30000}"/>
    <cellStyle name="Normal 30 3 6 8" xfId="50179" xr:uid="{00000000-0005-0000-0000-0000FBC30000}"/>
    <cellStyle name="Normal 30 3 6 8 2" xfId="50180" xr:uid="{00000000-0005-0000-0000-0000FCC30000}"/>
    <cellStyle name="Normal 30 3 6 8 3" xfId="50181" xr:uid="{00000000-0005-0000-0000-0000FDC30000}"/>
    <cellStyle name="Normal 30 3 6 9" xfId="50182" xr:uid="{00000000-0005-0000-0000-0000FEC30000}"/>
    <cellStyle name="Normal 30 3 6 9 2" xfId="50183" xr:uid="{00000000-0005-0000-0000-0000FFC30000}"/>
    <cellStyle name="Normal 30 3 6 9 3" xfId="50184" xr:uid="{00000000-0005-0000-0000-000000C40000}"/>
    <cellStyle name="Normal 30 3 7" xfId="50185" xr:uid="{00000000-0005-0000-0000-000001C40000}"/>
    <cellStyle name="Normal 30 3 7 10" xfId="50186" xr:uid="{00000000-0005-0000-0000-000002C40000}"/>
    <cellStyle name="Normal 30 3 7 10 2" xfId="50187" xr:uid="{00000000-0005-0000-0000-000003C40000}"/>
    <cellStyle name="Normal 30 3 7 10 3" xfId="50188" xr:uid="{00000000-0005-0000-0000-000004C40000}"/>
    <cellStyle name="Normal 30 3 7 11" xfId="50189" xr:uid="{00000000-0005-0000-0000-000005C40000}"/>
    <cellStyle name="Normal 30 3 7 11 2" xfId="50190" xr:uid="{00000000-0005-0000-0000-000006C40000}"/>
    <cellStyle name="Normal 30 3 7 11 3" xfId="50191" xr:uid="{00000000-0005-0000-0000-000007C40000}"/>
    <cellStyle name="Normal 30 3 7 12" xfId="50192" xr:uid="{00000000-0005-0000-0000-000008C40000}"/>
    <cellStyle name="Normal 30 3 7 12 2" xfId="50193" xr:uid="{00000000-0005-0000-0000-000009C40000}"/>
    <cellStyle name="Normal 30 3 7 12 3" xfId="50194" xr:uid="{00000000-0005-0000-0000-00000AC40000}"/>
    <cellStyle name="Normal 30 3 7 13" xfId="50195" xr:uid="{00000000-0005-0000-0000-00000BC40000}"/>
    <cellStyle name="Normal 30 3 7 13 2" xfId="50196" xr:uid="{00000000-0005-0000-0000-00000CC40000}"/>
    <cellStyle name="Normal 30 3 7 13 3" xfId="50197" xr:uid="{00000000-0005-0000-0000-00000DC40000}"/>
    <cellStyle name="Normal 30 3 7 14" xfId="50198" xr:uid="{00000000-0005-0000-0000-00000EC40000}"/>
    <cellStyle name="Normal 30 3 7 14 2" xfId="50199" xr:uid="{00000000-0005-0000-0000-00000FC40000}"/>
    <cellStyle name="Normal 30 3 7 14 3" xfId="50200" xr:uid="{00000000-0005-0000-0000-000010C40000}"/>
    <cellStyle name="Normal 30 3 7 15" xfId="50201" xr:uid="{00000000-0005-0000-0000-000011C40000}"/>
    <cellStyle name="Normal 30 3 7 16" xfId="50202" xr:uid="{00000000-0005-0000-0000-000012C40000}"/>
    <cellStyle name="Normal 30 3 7 2" xfId="50203" xr:uid="{00000000-0005-0000-0000-000013C40000}"/>
    <cellStyle name="Normal 30 3 7 2 2" xfId="50204" xr:uid="{00000000-0005-0000-0000-000014C40000}"/>
    <cellStyle name="Normal 30 3 7 2 3" xfId="50205" xr:uid="{00000000-0005-0000-0000-000015C40000}"/>
    <cellStyle name="Normal 30 3 7 3" xfId="50206" xr:uid="{00000000-0005-0000-0000-000016C40000}"/>
    <cellStyle name="Normal 30 3 7 3 2" xfId="50207" xr:uid="{00000000-0005-0000-0000-000017C40000}"/>
    <cellStyle name="Normal 30 3 7 3 3" xfId="50208" xr:uid="{00000000-0005-0000-0000-000018C40000}"/>
    <cellStyle name="Normal 30 3 7 4" xfId="50209" xr:uid="{00000000-0005-0000-0000-000019C40000}"/>
    <cellStyle name="Normal 30 3 7 4 2" xfId="50210" xr:uid="{00000000-0005-0000-0000-00001AC40000}"/>
    <cellStyle name="Normal 30 3 7 4 3" xfId="50211" xr:uid="{00000000-0005-0000-0000-00001BC40000}"/>
    <cellStyle name="Normal 30 3 7 5" xfId="50212" xr:uid="{00000000-0005-0000-0000-00001CC40000}"/>
    <cellStyle name="Normal 30 3 7 5 2" xfId="50213" xr:uid="{00000000-0005-0000-0000-00001DC40000}"/>
    <cellStyle name="Normal 30 3 7 5 3" xfId="50214" xr:uid="{00000000-0005-0000-0000-00001EC40000}"/>
    <cellStyle name="Normal 30 3 7 6" xfId="50215" xr:uid="{00000000-0005-0000-0000-00001FC40000}"/>
    <cellStyle name="Normal 30 3 7 6 2" xfId="50216" xr:uid="{00000000-0005-0000-0000-000020C40000}"/>
    <cellStyle name="Normal 30 3 7 6 3" xfId="50217" xr:uid="{00000000-0005-0000-0000-000021C40000}"/>
    <cellStyle name="Normal 30 3 7 7" xfId="50218" xr:uid="{00000000-0005-0000-0000-000022C40000}"/>
    <cellStyle name="Normal 30 3 7 7 2" xfId="50219" xr:uid="{00000000-0005-0000-0000-000023C40000}"/>
    <cellStyle name="Normal 30 3 7 7 3" xfId="50220" xr:uid="{00000000-0005-0000-0000-000024C40000}"/>
    <cellStyle name="Normal 30 3 7 8" xfId="50221" xr:uid="{00000000-0005-0000-0000-000025C40000}"/>
    <cellStyle name="Normal 30 3 7 8 2" xfId="50222" xr:uid="{00000000-0005-0000-0000-000026C40000}"/>
    <cellStyle name="Normal 30 3 7 8 3" xfId="50223" xr:uid="{00000000-0005-0000-0000-000027C40000}"/>
    <cellStyle name="Normal 30 3 7 9" xfId="50224" xr:uid="{00000000-0005-0000-0000-000028C40000}"/>
    <cellStyle name="Normal 30 3 7 9 2" xfId="50225" xr:uid="{00000000-0005-0000-0000-000029C40000}"/>
    <cellStyle name="Normal 30 3 7 9 3" xfId="50226" xr:uid="{00000000-0005-0000-0000-00002AC40000}"/>
    <cellStyle name="Normal 30 3 8" xfId="50227" xr:uid="{00000000-0005-0000-0000-00002BC40000}"/>
    <cellStyle name="Normal 30 3 8 10" xfId="50228" xr:uid="{00000000-0005-0000-0000-00002CC40000}"/>
    <cellStyle name="Normal 30 3 8 10 2" xfId="50229" xr:uid="{00000000-0005-0000-0000-00002DC40000}"/>
    <cellStyle name="Normal 30 3 8 10 3" xfId="50230" xr:uid="{00000000-0005-0000-0000-00002EC40000}"/>
    <cellStyle name="Normal 30 3 8 11" xfId="50231" xr:uid="{00000000-0005-0000-0000-00002FC40000}"/>
    <cellStyle name="Normal 30 3 8 11 2" xfId="50232" xr:uid="{00000000-0005-0000-0000-000030C40000}"/>
    <cellStyle name="Normal 30 3 8 11 3" xfId="50233" xr:uid="{00000000-0005-0000-0000-000031C40000}"/>
    <cellStyle name="Normal 30 3 8 12" xfId="50234" xr:uid="{00000000-0005-0000-0000-000032C40000}"/>
    <cellStyle name="Normal 30 3 8 12 2" xfId="50235" xr:uid="{00000000-0005-0000-0000-000033C40000}"/>
    <cellStyle name="Normal 30 3 8 12 3" xfId="50236" xr:uid="{00000000-0005-0000-0000-000034C40000}"/>
    <cellStyle name="Normal 30 3 8 13" xfId="50237" xr:uid="{00000000-0005-0000-0000-000035C40000}"/>
    <cellStyle name="Normal 30 3 8 13 2" xfId="50238" xr:uid="{00000000-0005-0000-0000-000036C40000}"/>
    <cellStyle name="Normal 30 3 8 13 3" xfId="50239" xr:uid="{00000000-0005-0000-0000-000037C40000}"/>
    <cellStyle name="Normal 30 3 8 14" xfId="50240" xr:uid="{00000000-0005-0000-0000-000038C40000}"/>
    <cellStyle name="Normal 30 3 8 14 2" xfId="50241" xr:uid="{00000000-0005-0000-0000-000039C40000}"/>
    <cellStyle name="Normal 30 3 8 14 3" xfId="50242" xr:uid="{00000000-0005-0000-0000-00003AC40000}"/>
    <cellStyle name="Normal 30 3 8 15" xfId="50243" xr:uid="{00000000-0005-0000-0000-00003BC40000}"/>
    <cellStyle name="Normal 30 3 8 16" xfId="50244" xr:uid="{00000000-0005-0000-0000-00003CC40000}"/>
    <cellStyle name="Normal 30 3 8 2" xfId="50245" xr:uid="{00000000-0005-0000-0000-00003DC40000}"/>
    <cellStyle name="Normal 30 3 8 2 2" xfId="50246" xr:uid="{00000000-0005-0000-0000-00003EC40000}"/>
    <cellStyle name="Normal 30 3 8 2 3" xfId="50247" xr:uid="{00000000-0005-0000-0000-00003FC40000}"/>
    <cellStyle name="Normal 30 3 8 3" xfId="50248" xr:uid="{00000000-0005-0000-0000-000040C40000}"/>
    <cellStyle name="Normal 30 3 8 3 2" xfId="50249" xr:uid="{00000000-0005-0000-0000-000041C40000}"/>
    <cellStyle name="Normal 30 3 8 3 3" xfId="50250" xr:uid="{00000000-0005-0000-0000-000042C40000}"/>
    <cellStyle name="Normal 30 3 8 4" xfId="50251" xr:uid="{00000000-0005-0000-0000-000043C40000}"/>
    <cellStyle name="Normal 30 3 8 4 2" xfId="50252" xr:uid="{00000000-0005-0000-0000-000044C40000}"/>
    <cellStyle name="Normal 30 3 8 4 3" xfId="50253" xr:uid="{00000000-0005-0000-0000-000045C40000}"/>
    <cellStyle name="Normal 30 3 8 5" xfId="50254" xr:uid="{00000000-0005-0000-0000-000046C40000}"/>
    <cellStyle name="Normal 30 3 8 5 2" xfId="50255" xr:uid="{00000000-0005-0000-0000-000047C40000}"/>
    <cellStyle name="Normal 30 3 8 5 3" xfId="50256" xr:uid="{00000000-0005-0000-0000-000048C40000}"/>
    <cellStyle name="Normal 30 3 8 6" xfId="50257" xr:uid="{00000000-0005-0000-0000-000049C40000}"/>
    <cellStyle name="Normal 30 3 8 6 2" xfId="50258" xr:uid="{00000000-0005-0000-0000-00004AC40000}"/>
    <cellStyle name="Normal 30 3 8 6 3" xfId="50259" xr:uid="{00000000-0005-0000-0000-00004BC40000}"/>
    <cellStyle name="Normal 30 3 8 7" xfId="50260" xr:uid="{00000000-0005-0000-0000-00004CC40000}"/>
    <cellStyle name="Normal 30 3 8 7 2" xfId="50261" xr:uid="{00000000-0005-0000-0000-00004DC40000}"/>
    <cellStyle name="Normal 30 3 8 7 3" xfId="50262" xr:uid="{00000000-0005-0000-0000-00004EC40000}"/>
    <cellStyle name="Normal 30 3 8 8" xfId="50263" xr:uid="{00000000-0005-0000-0000-00004FC40000}"/>
    <cellStyle name="Normal 30 3 8 8 2" xfId="50264" xr:uid="{00000000-0005-0000-0000-000050C40000}"/>
    <cellStyle name="Normal 30 3 8 8 3" xfId="50265" xr:uid="{00000000-0005-0000-0000-000051C40000}"/>
    <cellStyle name="Normal 30 3 8 9" xfId="50266" xr:uid="{00000000-0005-0000-0000-000052C40000}"/>
    <cellStyle name="Normal 30 3 8 9 2" xfId="50267" xr:uid="{00000000-0005-0000-0000-000053C40000}"/>
    <cellStyle name="Normal 30 3 8 9 3" xfId="50268" xr:uid="{00000000-0005-0000-0000-000054C40000}"/>
    <cellStyle name="Normal 30 3 9" xfId="50269" xr:uid="{00000000-0005-0000-0000-000055C40000}"/>
    <cellStyle name="Normal 30 3 9 10" xfId="50270" xr:uid="{00000000-0005-0000-0000-000056C40000}"/>
    <cellStyle name="Normal 30 3 9 10 2" xfId="50271" xr:uid="{00000000-0005-0000-0000-000057C40000}"/>
    <cellStyle name="Normal 30 3 9 10 3" xfId="50272" xr:uid="{00000000-0005-0000-0000-000058C40000}"/>
    <cellStyle name="Normal 30 3 9 11" xfId="50273" xr:uid="{00000000-0005-0000-0000-000059C40000}"/>
    <cellStyle name="Normal 30 3 9 11 2" xfId="50274" xr:uid="{00000000-0005-0000-0000-00005AC40000}"/>
    <cellStyle name="Normal 30 3 9 11 3" xfId="50275" xr:uid="{00000000-0005-0000-0000-00005BC40000}"/>
    <cellStyle name="Normal 30 3 9 12" xfId="50276" xr:uid="{00000000-0005-0000-0000-00005CC40000}"/>
    <cellStyle name="Normal 30 3 9 12 2" xfId="50277" xr:uid="{00000000-0005-0000-0000-00005DC40000}"/>
    <cellStyle name="Normal 30 3 9 12 3" xfId="50278" xr:uid="{00000000-0005-0000-0000-00005EC40000}"/>
    <cellStyle name="Normal 30 3 9 13" xfId="50279" xr:uid="{00000000-0005-0000-0000-00005FC40000}"/>
    <cellStyle name="Normal 30 3 9 13 2" xfId="50280" xr:uid="{00000000-0005-0000-0000-000060C40000}"/>
    <cellStyle name="Normal 30 3 9 13 3" xfId="50281" xr:uid="{00000000-0005-0000-0000-000061C40000}"/>
    <cellStyle name="Normal 30 3 9 14" xfId="50282" xr:uid="{00000000-0005-0000-0000-000062C40000}"/>
    <cellStyle name="Normal 30 3 9 14 2" xfId="50283" xr:uid="{00000000-0005-0000-0000-000063C40000}"/>
    <cellStyle name="Normal 30 3 9 14 3" xfId="50284" xr:uid="{00000000-0005-0000-0000-000064C40000}"/>
    <cellStyle name="Normal 30 3 9 15" xfId="50285" xr:uid="{00000000-0005-0000-0000-000065C40000}"/>
    <cellStyle name="Normal 30 3 9 16" xfId="50286" xr:uid="{00000000-0005-0000-0000-000066C40000}"/>
    <cellStyle name="Normal 30 3 9 2" xfId="50287" xr:uid="{00000000-0005-0000-0000-000067C40000}"/>
    <cellStyle name="Normal 30 3 9 2 2" xfId="50288" xr:uid="{00000000-0005-0000-0000-000068C40000}"/>
    <cellStyle name="Normal 30 3 9 2 3" xfId="50289" xr:uid="{00000000-0005-0000-0000-000069C40000}"/>
    <cellStyle name="Normal 30 3 9 3" xfId="50290" xr:uid="{00000000-0005-0000-0000-00006AC40000}"/>
    <cellStyle name="Normal 30 3 9 3 2" xfId="50291" xr:uid="{00000000-0005-0000-0000-00006BC40000}"/>
    <cellStyle name="Normal 30 3 9 3 3" xfId="50292" xr:uid="{00000000-0005-0000-0000-00006CC40000}"/>
    <cellStyle name="Normal 30 3 9 4" xfId="50293" xr:uid="{00000000-0005-0000-0000-00006DC40000}"/>
    <cellStyle name="Normal 30 3 9 4 2" xfId="50294" xr:uid="{00000000-0005-0000-0000-00006EC40000}"/>
    <cellStyle name="Normal 30 3 9 4 3" xfId="50295" xr:uid="{00000000-0005-0000-0000-00006FC40000}"/>
    <cellStyle name="Normal 30 3 9 5" xfId="50296" xr:uid="{00000000-0005-0000-0000-000070C40000}"/>
    <cellStyle name="Normal 30 3 9 5 2" xfId="50297" xr:uid="{00000000-0005-0000-0000-000071C40000}"/>
    <cellStyle name="Normal 30 3 9 5 3" xfId="50298" xr:uid="{00000000-0005-0000-0000-000072C40000}"/>
    <cellStyle name="Normal 30 3 9 6" xfId="50299" xr:uid="{00000000-0005-0000-0000-000073C40000}"/>
    <cellStyle name="Normal 30 3 9 6 2" xfId="50300" xr:uid="{00000000-0005-0000-0000-000074C40000}"/>
    <cellStyle name="Normal 30 3 9 6 3" xfId="50301" xr:uid="{00000000-0005-0000-0000-000075C40000}"/>
    <cellStyle name="Normal 30 3 9 7" xfId="50302" xr:uid="{00000000-0005-0000-0000-000076C40000}"/>
    <cellStyle name="Normal 30 3 9 7 2" xfId="50303" xr:uid="{00000000-0005-0000-0000-000077C40000}"/>
    <cellStyle name="Normal 30 3 9 7 3" xfId="50304" xr:uid="{00000000-0005-0000-0000-000078C40000}"/>
    <cellStyle name="Normal 30 3 9 8" xfId="50305" xr:uid="{00000000-0005-0000-0000-000079C40000}"/>
    <cellStyle name="Normal 30 3 9 8 2" xfId="50306" xr:uid="{00000000-0005-0000-0000-00007AC40000}"/>
    <cellStyle name="Normal 30 3 9 8 3" xfId="50307" xr:uid="{00000000-0005-0000-0000-00007BC40000}"/>
    <cellStyle name="Normal 30 3 9 9" xfId="50308" xr:uid="{00000000-0005-0000-0000-00007CC40000}"/>
    <cellStyle name="Normal 30 3 9 9 2" xfId="50309" xr:uid="{00000000-0005-0000-0000-00007DC40000}"/>
    <cellStyle name="Normal 30 3 9 9 3" xfId="50310" xr:uid="{00000000-0005-0000-0000-00007EC40000}"/>
    <cellStyle name="Normal 30 4" xfId="50311" xr:uid="{00000000-0005-0000-0000-00007FC40000}"/>
    <cellStyle name="Normal 30 5" xfId="50312" xr:uid="{00000000-0005-0000-0000-000080C40000}"/>
    <cellStyle name="Normal 30 6" xfId="50313" xr:uid="{00000000-0005-0000-0000-000081C40000}"/>
    <cellStyle name="Normal 30 7" xfId="50314" xr:uid="{00000000-0005-0000-0000-000082C40000}"/>
    <cellStyle name="Normal 30 8" xfId="50315" xr:uid="{00000000-0005-0000-0000-000083C40000}"/>
    <cellStyle name="Normal 30 8 10" xfId="50316" xr:uid="{00000000-0005-0000-0000-000084C40000}"/>
    <cellStyle name="Normal 30 8 10 10" xfId="50317" xr:uid="{00000000-0005-0000-0000-000085C40000}"/>
    <cellStyle name="Normal 30 8 10 10 2" xfId="50318" xr:uid="{00000000-0005-0000-0000-000086C40000}"/>
    <cellStyle name="Normal 30 8 10 10 3" xfId="50319" xr:uid="{00000000-0005-0000-0000-000087C40000}"/>
    <cellStyle name="Normal 30 8 10 11" xfId="50320" xr:uid="{00000000-0005-0000-0000-000088C40000}"/>
    <cellStyle name="Normal 30 8 10 11 2" xfId="50321" xr:uid="{00000000-0005-0000-0000-000089C40000}"/>
    <cellStyle name="Normal 30 8 10 11 3" xfId="50322" xr:uid="{00000000-0005-0000-0000-00008AC40000}"/>
    <cellStyle name="Normal 30 8 10 12" xfId="50323" xr:uid="{00000000-0005-0000-0000-00008BC40000}"/>
    <cellStyle name="Normal 30 8 10 12 2" xfId="50324" xr:uid="{00000000-0005-0000-0000-00008CC40000}"/>
    <cellStyle name="Normal 30 8 10 12 3" xfId="50325" xr:uid="{00000000-0005-0000-0000-00008DC40000}"/>
    <cellStyle name="Normal 30 8 10 13" xfId="50326" xr:uid="{00000000-0005-0000-0000-00008EC40000}"/>
    <cellStyle name="Normal 30 8 10 13 2" xfId="50327" xr:uid="{00000000-0005-0000-0000-00008FC40000}"/>
    <cellStyle name="Normal 30 8 10 13 3" xfId="50328" xr:uid="{00000000-0005-0000-0000-000090C40000}"/>
    <cellStyle name="Normal 30 8 10 14" xfId="50329" xr:uid="{00000000-0005-0000-0000-000091C40000}"/>
    <cellStyle name="Normal 30 8 10 14 2" xfId="50330" xr:uid="{00000000-0005-0000-0000-000092C40000}"/>
    <cellStyle name="Normal 30 8 10 14 3" xfId="50331" xr:uid="{00000000-0005-0000-0000-000093C40000}"/>
    <cellStyle name="Normal 30 8 10 15" xfId="50332" xr:uid="{00000000-0005-0000-0000-000094C40000}"/>
    <cellStyle name="Normal 30 8 10 16" xfId="50333" xr:uid="{00000000-0005-0000-0000-000095C40000}"/>
    <cellStyle name="Normal 30 8 10 2" xfId="50334" xr:uid="{00000000-0005-0000-0000-000096C40000}"/>
    <cellStyle name="Normal 30 8 10 2 2" xfId="50335" xr:uid="{00000000-0005-0000-0000-000097C40000}"/>
    <cellStyle name="Normal 30 8 10 2 3" xfId="50336" xr:uid="{00000000-0005-0000-0000-000098C40000}"/>
    <cellStyle name="Normal 30 8 10 3" xfId="50337" xr:uid="{00000000-0005-0000-0000-000099C40000}"/>
    <cellStyle name="Normal 30 8 10 3 2" xfId="50338" xr:uid="{00000000-0005-0000-0000-00009AC40000}"/>
    <cellStyle name="Normal 30 8 10 3 3" xfId="50339" xr:uid="{00000000-0005-0000-0000-00009BC40000}"/>
    <cellStyle name="Normal 30 8 10 4" xfId="50340" xr:uid="{00000000-0005-0000-0000-00009CC40000}"/>
    <cellStyle name="Normal 30 8 10 4 2" xfId="50341" xr:uid="{00000000-0005-0000-0000-00009DC40000}"/>
    <cellStyle name="Normal 30 8 10 4 3" xfId="50342" xr:uid="{00000000-0005-0000-0000-00009EC40000}"/>
    <cellStyle name="Normal 30 8 10 5" xfId="50343" xr:uid="{00000000-0005-0000-0000-00009FC40000}"/>
    <cellStyle name="Normal 30 8 10 5 2" xfId="50344" xr:uid="{00000000-0005-0000-0000-0000A0C40000}"/>
    <cellStyle name="Normal 30 8 10 5 3" xfId="50345" xr:uid="{00000000-0005-0000-0000-0000A1C40000}"/>
    <cellStyle name="Normal 30 8 10 6" xfId="50346" xr:uid="{00000000-0005-0000-0000-0000A2C40000}"/>
    <cellStyle name="Normal 30 8 10 6 2" xfId="50347" xr:uid="{00000000-0005-0000-0000-0000A3C40000}"/>
    <cellStyle name="Normal 30 8 10 6 3" xfId="50348" xr:uid="{00000000-0005-0000-0000-0000A4C40000}"/>
    <cellStyle name="Normal 30 8 10 7" xfId="50349" xr:uid="{00000000-0005-0000-0000-0000A5C40000}"/>
    <cellStyle name="Normal 30 8 10 7 2" xfId="50350" xr:uid="{00000000-0005-0000-0000-0000A6C40000}"/>
    <cellStyle name="Normal 30 8 10 7 3" xfId="50351" xr:uid="{00000000-0005-0000-0000-0000A7C40000}"/>
    <cellStyle name="Normal 30 8 10 8" xfId="50352" xr:uid="{00000000-0005-0000-0000-0000A8C40000}"/>
    <cellStyle name="Normal 30 8 10 8 2" xfId="50353" xr:uid="{00000000-0005-0000-0000-0000A9C40000}"/>
    <cellStyle name="Normal 30 8 10 8 3" xfId="50354" xr:uid="{00000000-0005-0000-0000-0000AAC40000}"/>
    <cellStyle name="Normal 30 8 10 9" xfId="50355" xr:uid="{00000000-0005-0000-0000-0000ABC40000}"/>
    <cellStyle name="Normal 30 8 10 9 2" xfId="50356" xr:uid="{00000000-0005-0000-0000-0000ACC40000}"/>
    <cellStyle name="Normal 30 8 10 9 3" xfId="50357" xr:uid="{00000000-0005-0000-0000-0000ADC40000}"/>
    <cellStyle name="Normal 30 8 11" xfId="50358" xr:uid="{00000000-0005-0000-0000-0000AEC40000}"/>
    <cellStyle name="Normal 30 8 11 10" xfId="50359" xr:uid="{00000000-0005-0000-0000-0000AFC40000}"/>
    <cellStyle name="Normal 30 8 11 10 2" xfId="50360" xr:uid="{00000000-0005-0000-0000-0000B0C40000}"/>
    <cellStyle name="Normal 30 8 11 10 3" xfId="50361" xr:uid="{00000000-0005-0000-0000-0000B1C40000}"/>
    <cellStyle name="Normal 30 8 11 11" xfId="50362" xr:uid="{00000000-0005-0000-0000-0000B2C40000}"/>
    <cellStyle name="Normal 30 8 11 11 2" xfId="50363" xr:uid="{00000000-0005-0000-0000-0000B3C40000}"/>
    <cellStyle name="Normal 30 8 11 11 3" xfId="50364" xr:uid="{00000000-0005-0000-0000-0000B4C40000}"/>
    <cellStyle name="Normal 30 8 11 12" xfId="50365" xr:uid="{00000000-0005-0000-0000-0000B5C40000}"/>
    <cellStyle name="Normal 30 8 11 12 2" xfId="50366" xr:uid="{00000000-0005-0000-0000-0000B6C40000}"/>
    <cellStyle name="Normal 30 8 11 12 3" xfId="50367" xr:uid="{00000000-0005-0000-0000-0000B7C40000}"/>
    <cellStyle name="Normal 30 8 11 13" xfId="50368" xr:uid="{00000000-0005-0000-0000-0000B8C40000}"/>
    <cellStyle name="Normal 30 8 11 13 2" xfId="50369" xr:uid="{00000000-0005-0000-0000-0000B9C40000}"/>
    <cellStyle name="Normal 30 8 11 13 3" xfId="50370" xr:uid="{00000000-0005-0000-0000-0000BAC40000}"/>
    <cellStyle name="Normal 30 8 11 14" xfId="50371" xr:uid="{00000000-0005-0000-0000-0000BBC40000}"/>
    <cellStyle name="Normal 30 8 11 14 2" xfId="50372" xr:uid="{00000000-0005-0000-0000-0000BCC40000}"/>
    <cellStyle name="Normal 30 8 11 14 3" xfId="50373" xr:uid="{00000000-0005-0000-0000-0000BDC40000}"/>
    <cellStyle name="Normal 30 8 11 15" xfId="50374" xr:uid="{00000000-0005-0000-0000-0000BEC40000}"/>
    <cellStyle name="Normal 30 8 11 16" xfId="50375" xr:uid="{00000000-0005-0000-0000-0000BFC40000}"/>
    <cellStyle name="Normal 30 8 11 2" xfId="50376" xr:uid="{00000000-0005-0000-0000-0000C0C40000}"/>
    <cellStyle name="Normal 30 8 11 2 2" xfId="50377" xr:uid="{00000000-0005-0000-0000-0000C1C40000}"/>
    <cellStyle name="Normal 30 8 11 2 3" xfId="50378" xr:uid="{00000000-0005-0000-0000-0000C2C40000}"/>
    <cellStyle name="Normal 30 8 11 3" xfId="50379" xr:uid="{00000000-0005-0000-0000-0000C3C40000}"/>
    <cellStyle name="Normal 30 8 11 3 2" xfId="50380" xr:uid="{00000000-0005-0000-0000-0000C4C40000}"/>
    <cellStyle name="Normal 30 8 11 3 3" xfId="50381" xr:uid="{00000000-0005-0000-0000-0000C5C40000}"/>
    <cellStyle name="Normal 30 8 11 4" xfId="50382" xr:uid="{00000000-0005-0000-0000-0000C6C40000}"/>
    <cellStyle name="Normal 30 8 11 4 2" xfId="50383" xr:uid="{00000000-0005-0000-0000-0000C7C40000}"/>
    <cellStyle name="Normal 30 8 11 4 3" xfId="50384" xr:uid="{00000000-0005-0000-0000-0000C8C40000}"/>
    <cellStyle name="Normal 30 8 11 5" xfId="50385" xr:uid="{00000000-0005-0000-0000-0000C9C40000}"/>
    <cellStyle name="Normal 30 8 11 5 2" xfId="50386" xr:uid="{00000000-0005-0000-0000-0000CAC40000}"/>
    <cellStyle name="Normal 30 8 11 5 3" xfId="50387" xr:uid="{00000000-0005-0000-0000-0000CBC40000}"/>
    <cellStyle name="Normal 30 8 11 6" xfId="50388" xr:uid="{00000000-0005-0000-0000-0000CCC40000}"/>
    <cellStyle name="Normal 30 8 11 6 2" xfId="50389" xr:uid="{00000000-0005-0000-0000-0000CDC40000}"/>
    <cellStyle name="Normal 30 8 11 6 3" xfId="50390" xr:uid="{00000000-0005-0000-0000-0000CEC40000}"/>
    <cellStyle name="Normal 30 8 11 7" xfId="50391" xr:uid="{00000000-0005-0000-0000-0000CFC40000}"/>
    <cellStyle name="Normal 30 8 11 7 2" xfId="50392" xr:uid="{00000000-0005-0000-0000-0000D0C40000}"/>
    <cellStyle name="Normal 30 8 11 7 3" xfId="50393" xr:uid="{00000000-0005-0000-0000-0000D1C40000}"/>
    <cellStyle name="Normal 30 8 11 8" xfId="50394" xr:uid="{00000000-0005-0000-0000-0000D2C40000}"/>
    <cellStyle name="Normal 30 8 11 8 2" xfId="50395" xr:uid="{00000000-0005-0000-0000-0000D3C40000}"/>
    <cellStyle name="Normal 30 8 11 8 3" xfId="50396" xr:uid="{00000000-0005-0000-0000-0000D4C40000}"/>
    <cellStyle name="Normal 30 8 11 9" xfId="50397" xr:uid="{00000000-0005-0000-0000-0000D5C40000}"/>
    <cellStyle name="Normal 30 8 11 9 2" xfId="50398" xr:uid="{00000000-0005-0000-0000-0000D6C40000}"/>
    <cellStyle name="Normal 30 8 11 9 3" xfId="50399" xr:uid="{00000000-0005-0000-0000-0000D7C40000}"/>
    <cellStyle name="Normal 30 8 12" xfId="50400" xr:uid="{00000000-0005-0000-0000-0000D8C40000}"/>
    <cellStyle name="Normal 30 8 12 10" xfId="50401" xr:uid="{00000000-0005-0000-0000-0000D9C40000}"/>
    <cellStyle name="Normal 30 8 12 10 2" xfId="50402" xr:uid="{00000000-0005-0000-0000-0000DAC40000}"/>
    <cellStyle name="Normal 30 8 12 10 3" xfId="50403" xr:uid="{00000000-0005-0000-0000-0000DBC40000}"/>
    <cellStyle name="Normal 30 8 12 11" xfId="50404" xr:uid="{00000000-0005-0000-0000-0000DCC40000}"/>
    <cellStyle name="Normal 30 8 12 11 2" xfId="50405" xr:uid="{00000000-0005-0000-0000-0000DDC40000}"/>
    <cellStyle name="Normal 30 8 12 11 3" xfId="50406" xr:uid="{00000000-0005-0000-0000-0000DEC40000}"/>
    <cellStyle name="Normal 30 8 12 12" xfId="50407" xr:uid="{00000000-0005-0000-0000-0000DFC40000}"/>
    <cellStyle name="Normal 30 8 12 12 2" xfId="50408" xr:uid="{00000000-0005-0000-0000-0000E0C40000}"/>
    <cellStyle name="Normal 30 8 12 12 3" xfId="50409" xr:uid="{00000000-0005-0000-0000-0000E1C40000}"/>
    <cellStyle name="Normal 30 8 12 13" xfId="50410" xr:uid="{00000000-0005-0000-0000-0000E2C40000}"/>
    <cellStyle name="Normal 30 8 12 13 2" xfId="50411" xr:uid="{00000000-0005-0000-0000-0000E3C40000}"/>
    <cellStyle name="Normal 30 8 12 13 3" xfId="50412" xr:uid="{00000000-0005-0000-0000-0000E4C40000}"/>
    <cellStyle name="Normal 30 8 12 14" xfId="50413" xr:uid="{00000000-0005-0000-0000-0000E5C40000}"/>
    <cellStyle name="Normal 30 8 12 14 2" xfId="50414" xr:uid="{00000000-0005-0000-0000-0000E6C40000}"/>
    <cellStyle name="Normal 30 8 12 14 3" xfId="50415" xr:uid="{00000000-0005-0000-0000-0000E7C40000}"/>
    <cellStyle name="Normal 30 8 12 15" xfId="50416" xr:uid="{00000000-0005-0000-0000-0000E8C40000}"/>
    <cellStyle name="Normal 30 8 12 16" xfId="50417" xr:uid="{00000000-0005-0000-0000-0000E9C40000}"/>
    <cellStyle name="Normal 30 8 12 2" xfId="50418" xr:uid="{00000000-0005-0000-0000-0000EAC40000}"/>
    <cellStyle name="Normal 30 8 12 2 2" xfId="50419" xr:uid="{00000000-0005-0000-0000-0000EBC40000}"/>
    <cellStyle name="Normal 30 8 12 2 3" xfId="50420" xr:uid="{00000000-0005-0000-0000-0000ECC40000}"/>
    <cellStyle name="Normal 30 8 12 3" xfId="50421" xr:uid="{00000000-0005-0000-0000-0000EDC40000}"/>
    <cellStyle name="Normal 30 8 12 3 2" xfId="50422" xr:uid="{00000000-0005-0000-0000-0000EEC40000}"/>
    <cellStyle name="Normal 30 8 12 3 3" xfId="50423" xr:uid="{00000000-0005-0000-0000-0000EFC40000}"/>
    <cellStyle name="Normal 30 8 12 4" xfId="50424" xr:uid="{00000000-0005-0000-0000-0000F0C40000}"/>
    <cellStyle name="Normal 30 8 12 4 2" xfId="50425" xr:uid="{00000000-0005-0000-0000-0000F1C40000}"/>
    <cellStyle name="Normal 30 8 12 4 3" xfId="50426" xr:uid="{00000000-0005-0000-0000-0000F2C40000}"/>
    <cellStyle name="Normal 30 8 12 5" xfId="50427" xr:uid="{00000000-0005-0000-0000-0000F3C40000}"/>
    <cellStyle name="Normal 30 8 12 5 2" xfId="50428" xr:uid="{00000000-0005-0000-0000-0000F4C40000}"/>
    <cellStyle name="Normal 30 8 12 5 3" xfId="50429" xr:uid="{00000000-0005-0000-0000-0000F5C40000}"/>
    <cellStyle name="Normal 30 8 12 6" xfId="50430" xr:uid="{00000000-0005-0000-0000-0000F6C40000}"/>
    <cellStyle name="Normal 30 8 12 6 2" xfId="50431" xr:uid="{00000000-0005-0000-0000-0000F7C40000}"/>
    <cellStyle name="Normal 30 8 12 6 3" xfId="50432" xr:uid="{00000000-0005-0000-0000-0000F8C40000}"/>
    <cellStyle name="Normal 30 8 12 7" xfId="50433" xr:uid="{00000000-0005-0000-0000-0000F9C40000}"/>
    <cellStyle name="Normal 30 8 12 7 2" xfId="50434" xr:uid="{00000000-0005-0000-0000-0000FAC40000}"/>
    <cellStyle name="Normal 30 8 12 7 3" xfId="50435" xr:uid="{00000000-0005-0000-0000-0000FBC40000}"/>
    <cellStyle name="Normal 30 8 12 8" xfId="50436" xr:uid="{00000000-0005-0000-0000-0000FCC40000}"/>
    <cellStyle name="Normal 30 8 12 8 2" xfId="50437" xr:uid="{00000000-0005-0000-0000-0000FDC40000}"/>
    <cellStyle name="Normal 30 8 12 8 3" xfId="50438" xr:uid="{00000000-0005-0000-0000-0000FEC40000}"/>
    <cellStyle name="Normal 30 8 12 9" xfId="50439" xr:uid="{00000000-0005-0000-0000-0000FFC40000}"/>
    <cellStyle name="Normal 30 8 12 9 2" xfId="50440" xr:uid="{00000000-0005-0000-0000-000000C50000}"/>
    <cellStyle name="Normal 30 8 12 9 3" xfId="50441" xr:uid="{00000000-0005-0000-0000-000001C50000}"/>
    <cellStyle name="Normal 30 8 13" xfId="50442" xr:uid="{00000000-0005-0000-0000-000002C50000}"/>
    <cellStyle name="Normal 30 8 13 10" xfId="50443" xr:uid="{00000000-0005-0000-0000-000003C50000}"/>
    <cellStyle name="Normal 30 8 13 10 2" xfId="50444" xr:uid="{00000000-0005-0000-0000-000004C50000}"/>
    <cellStyle name="Normal 30 8 13 10 3" xfId="50445" xr:uid="{00000000-0005-0000-0000-000005C50000}"/>
    <cellStyle name="Normal 30 8 13 11" xfId="50446" xr:uid="{00000000-0005-0000-0000-000006C50000}"/>
    <cellStyle name="Normal 30 8 13 11 2" xfId="50447" xr:uid="{00000000-0005-0000-0000-000007C50000}"/>
    <cellStyle name="Normal 30 8 13 11 3" xfId="50448" xr:uid="{00000000-0005-0000-0000-000008C50000}"/>
    <cellStyle name="Normal 30 8 13 12" xfId="50449" xr:uid="{00000000-0005-0000-0000-000009C50000}"/>
    <cellStyle name="Normal 30 8 13 12 2" xfId="50450" xr:uid="{00000000-0005-0000-0000-00000AC50000}"/>
    <cellStyle name="Normal 30 8 13 12 3" xfId="50451" xr:uid="{00000000-0005-0000-0000-00000BC50000}"/>
    <cellStyle name="Normal 30 8 13 13" xfId="50452" xr:uid="{00000000-0005-0000-0000-00000CC50000}"/>
    <cellStyle name="Normal 30 8 13 13 2" xfId="50453" xr:uid="{00000000-0005-0000-0000-00000DC50000}"/>
    <cellStyle name="Normal 30 8 13 13 3" xfId="50454" xr:uid="{00000000-0005-0000-0000-00000EC50000}"/>
    <cellStyle name="Normal 30 8 13 14" xfId="50455" xr:uid="{00000000-0005-0000-0000-00000FC50000}"/>
    <cellStyle name="Normal 30 8 13 14 2" xfId="50456" xr:uid="{00000000-0005-0000-0000-000010C50000}"/>
    <cellStyle name="Normal 30 8 13 14 3" xfId="50457" xr:uid="{00000000-0005-0000-0000-000011C50000}"/>
    <cellStyle name="Normal 30 8 13 15" xfId="50458" xr:uid="{00000000-0005-0000-0000-000012C50000}"/>
    <cellStyle name="Normal 30 8 13 16" xfId="50459" xr:uid="{00000000-0005-0000-0000-000013C50000}"/>
    <cellStyle name="Normal 30 8 13 2" xfId="50460" xr:uid="{00000000-0005-0000-0000-000014C50000}"/>
    <cellStyle name="Normal 30 8 13 2 2" xfId="50461" xr:uid="{00000000-0005-0000-0000-000015C50000}"/>
    <cellStyle name="Normal 30 8 13 2 3" xfId="50462" xr:uid="{00000000-0005-0000-0000-000016C50000}"/>
    <cellStyle name="Normal 30 8 13 3" xfId="50463" xr:uid="{00000000-0005-0000-0000-000017C50000}"/>
    <cellStyle name="Normal 30 8 13 3 2" xfId="50464" xr:uid="{00000000-0005-0000-0000-000018C50000}"/>
    <cellStyle name="Normal 30 8 13 3 3" xfId="50465" xr:uid="{00000000-0005-0000-0000-000019C50000}"/>
    <cellStyle name="Normal 30 8 13 4" xfId="50466" xr:uid="{00000000-0005-0000-0000-00001AC50000}"/>
    <cellStyle name="Normal 30 8 13 4 2" xfId="50467" xr:uid="{00000000-0005-0000-0000-00001BC50000}"/>
    <cellStyle name="Normal 30 8 13 4 3" xfId="50468" xr:uid="{00000000-0005-0000-0000-00001CC50000}"/>
    <cellStyle name="Normal 30 8 13 5" xfId="50469" xr:uid="{00000000-0005-0000-0000-00001DC50000}"/>
    <cellStyle name="Normal 30 8 13 5 2" xfId="50470" xr:uid="{00000000-0005-0000-0000-00001EC50000}"/>
    <cellStyle name="Normal 30 8 13 5 3" xfId="50471" xr:uid="{00000000-0005-0000-0000-00001FC50000}"/>
    <cellStyle name="Normal 30 8 13 6" xfId="50472" xr:uid="{00000000-0005-0000-0000-000020C50000}"/>
    <cellStyle name="Normal 30 8 13 6 2" xfId="50473" xr:uid="{00000000-0005-0000-0000-000021C50000}"/>
    <cellStyle name="Normal 30 8 13 6 3" xfId="50474" xr:uid="{00000000-0005-0000-0000-000022C50000}"/>
    <cellStyle name="Normal 30 8 13 7" xfId="50475" xr:uid="{00000000-0005-0000-0000-000023C50000}"/>
    <cellStyle name="Normal 30 8 13 7 2" xfId="50476" xr:uid="{00000000-0005-0000-0000-000024C50000}"/>
    <cellStyle name="Normal 30 8 13 7 3" xfId="50477" xr:uid="{00000000-0005-0000-0000-000025C50000}"/>
    <cellStyle name="Normal 30 8 13 8" xfId="50478" xr:uid="{00000000-0005-0000-0000-000026C50000}"/>
    <cellStyle name="Normal 30 8 13 8 2" xfId="50479" xr:uid="{00000000-0005-0000-0000-000027C50000}"/>
    <cellStyle name="Normal 30 8 13 8 3" xfId="50480" xr:uid="{00000000-0005-0000-0000-000028C50000}"/>
    <cellStyle name="Normal 30 8 13 9" xfId="50481" xr:uid="{00000000-0005-0000-0000-000029C50000}"/>
    <cellStyle name="Normal 30 8 13 9 2" xfId="50482" xr:uid="{00000000-0005-0000-0000-00002AC50000}"/>
    <cellStyle name="Normal 30 8 13 9 3" xfId="50483" xr:uid="{00000000-0005-0000-0000-00002BC50000}"/>
    <cellStyle name="Normal 30 8 14" xfId="50484" xr:uid="{00000000-0005-0000-0000-00002CC50000}"/>
    <cellStyle name="Normal 30 8 14 10" xfId="50485" xr:uid="{00000000-0005-0000-0000-00002DC50000}"/>
    <cellStyle name="Normal 30 8 14 10 2" xfId="50486" xr:uid="{00000000-0005-0000-0000-00002EC50000}"/>
    <cellStyle name="Normal 30 8 14 10 3" xfId="50487" xr:uid="{00000000-0005-0000-0000-00002FC50000}"/>
    <cellStyle name="Normal 30 8 14 11" xfId="50488" xr:uid="{00000000-0005-0000-0000-000030C50000}"/>
    <cellStyle name="Normal 30 8 14 11 2" xfId="50489" xr:uid="{00000000-0005-0000-0000-000031C50000}"/>
    <cellStyle name="Normal 30 8 14 11 3" xfId="50490" xr:uid="{00000000-0005-0000-0000-000032C50000}"/>
    <cellStyle name="Normal 30 8 14 12" xfId="50491" xr:uid="{00000000-0005-0000-0000-000033C50000}"/>
    <cellStyle name="Normal 30 8 14 12 2" xfId="50492" xr:uid="{00000000-0005-0000-0000-000034C50000}"/>
    <cellStyle name="Normal 30 8 14 12 3" xfId="50493" xr:uid="{00000000-0005-0000-0000-000035C50000}"/>
    <cellStyle name="Normal 30 8 14 13" xfId="50494" xr:uid="{00000000-0005-0000-0000-000036C50000}"/>
    <cellStyle name="Normal 30 8 14 13 2" xfId="50495" xr:uid="{00000000-0005-0000-0000-000037C50000}"/>
    <cellStyle name="Normal 30 8 14 13 3" xfId="50496" xr:uid="{00000000-0005-0000-0000-000038C50000}"/>
    <cellStyle name="Normal 30 8 14 14" xfId="50497" xr:uid="{00000000-0005-0000-0000-000039C50000}"/>
    <cellStyle name="Normal 30 8 14 14 2" xfId="50498" xr:uid="{00000000-0005-0000-0000-00003AC50000}"/>
    <cellStyle name="Normal 30 8 14 14 3" xfId="50499" xr:uid="{00000000-0005-0000-0000-00003BC50000}"/>
    <cellStyle name="Normal 30 8 14 15" xfId="50500" xr:uid="{00000000-0005-0000-0000-00003CC50000}"/>
    <cellStyle name="Normal 30 8 14 16" xfId="50501" xr:uid="{00000000-0005-0000-0000-00003DC50000}"/>
    <cellStyle name="Normal 30 8 14 2" xfId="50502" xr:uid="{00000000-0005-0000-0000-00003EC50000}"/>
    <cellStyle name="Normal 30 8 14 2 2" xfId="50503" xr:uid="{00000000-0005-0000-0000-00003FC50000}"/>
    <cellStyle name="Normal 30 8 14 2 3" xfId="50504" xr:uid="{00000000-0005-0000-0000-000040C50000}"/>
    <cellStyle name="Normal 30 8 14 3" xfId="50505" xr:uid="{00000000-0005-0000-0000-000041C50000}"/>
    <cellStyle name="Normal 30 8 14 3 2" xfId="50506" xr:uid="{00000000-0005-0000-0000-000042C50000}"/>
    <cellStyle name="Normal 30 8 14 3 3" xfId="50507" xr:uid="{00000000-0005-0000-0000-000043C50000}"/>
    <cellStyle name="Normal 30 8 14 4" xfId="50508" xr:uid="{00000000-0005-0000-0000-000044C50000}"/>
    <cellStyle name="Normal 30 8 14 4 2" xfId="50509" xr:uid="{00000000-0005-0000-0000-000045C50000}"/>
    <cellStyle name="Normal 30 8 14 4 3" xfId="50510" xr:uid="{00000000-0005-0000-0000-000046C50000}"/>
    <cellStyle name="Normal 30 8 14 5" xfId="50511" xr:uid="{00000000-0005-0000-0000-000047C50000}"/>
    <cellStyle name="Normal 30 8 14 5 2" xfId="50512" xr:uid="{00000000-0005-0000-0000-000048C50000}"/>
    <cellStyle name="Normal 30 8 14 5 3" xfId="50513" xr:uid="{00000000-0005-0000-0000-000049C50000}"/>
    <cellStyle name="Normal 30 8 14 6" xfId="50514" xr:uid="{00000000-0005-0000-0000-00004AC50000}"/>
    <cellStyle name="Normal 30 8 14 6 2" xfId="50515" xr:uid="{00000000-0005-0000-0000-00004BC50000}"/>
    <cellStyle name="Normal 30 8 14 6 3" xfId="50516" xr:uid="{00000000-0005-0000-0000-00004CC50000}"/>
    <cellStyle name="Normal 30 8 14 7" xfId="50517" xr:uid="{00000000-0005-0000-0000-00004DC50000}"/>
    <cellStyle name="Normal 30 8 14 7 2" xfId="50518" xr:uid="{00000000-0005-0000-0000-00004EC50000}"/>
    <cellStyle name="Normal 30 8 14 7 3" xfId="50519" xr:uid="{00000000-0005-0000-0000-00004FC50000}"/>
    <cellStyle name="Normal 30 8 14 8" xfId="50520" xr:uid="{00000000-0005-0000-0000-000050C50000}"/>
    <cellStyle name="Normal 30 8 14 8 2" xfId="50521" xr:uid="{00000000-0005-0000-0000-000051C50000}"/>
    <cellStyle name="Normal 30 8 14 8 3" xfId="50522" xr:uid="{00000000-0005-0000-0000-000052C50000}"/>
    <cellStyle name="Normal 30 8 14 9" xfId="50523" xr:uid="{00000000-0005-0000-0000-000053C50000}"/>
    <cellStyle name="Normal 30 8 14 9 2" xfId="50524" xr:uid="{00000000-0005-0000-0000-000054C50000}"/>
    <cellStyle name="Normal 30 8 14 9 3" xfId="50525" xr:uid="{00000000-0005-0000-0000-000055C50000}"/>
    <cellStyle name="Normal 30 8 15" xfId="50526" xr:uid="{00000000-0005-0000-0000-000056C50000}"/>
    <cellStyle name="Normal 30 8 15 10" xfId="50527" xr:uid="{00000000-0005-0000-0000-000057C50000}"/>
    <cellStyle name="Normal 30 8 15 10 2" xfId="50528" xr:uid="{00000000-0005-0000-0000-000058C50000}"/>
    <cellStyle name="Normal 30 8 15 10 3" xfId="50529" xr:uid="{00000000-0005-0000-0000-000059C50000}"/>
    <cellStyle name="Normal 30 8 15 11" xfId="50530" xr:uid="{00000000-0005-0000-0000-00005AC50000}"/>
    <cellStyle name="Normal 30 8 15 11 2" xfId="50531" xr:uid="{00000000-0005-0000-0000-00005BC50000}"/>
    <cellStyle name="Normal 30 8 15 11 3" xfId="50532" xr:uid="{00000000-0005-0000-0000-00005CC50000}"/>
    <cellStyle name="Normal 30 8 15 12" xfId="50533" xr:uid="{00000000-0005-0000-0000-00005DC50000}"/>
    <cellStyle name="Normal 30 8 15 12 2" xfId="50534" xr:uid="{00000000-0005-0000-0000-00005EC50000}"/>
    <cellStyle name="Normal 30 8 15 12 3" xfId="50535" xr:uid="{00000000-0005-0000-0000-00005FC50000}"/>
    <cellStyle name="Normal 30 8 15 13" xfId="50536" xr:uid="{00000000-0005-0000-0000-000060C50000}"/>
    <cellStyle name="Normal 30 8 15 13 2" xfId="50537" xr:uid="{00000000-0005-0000-0000-000061C50000}"/>
    <cellStyle name="Normal 30 8 15 13 3" xfId="50538" xr:uid="{00000000-0005-0000-0000-000062C50000}"/>
    <cellStyle name="Normal 30 8 15 14" xfId="50539" xr:uid="{00000000-0005-0000-0000-000063C50000}"/>
    <cellStyle name="Normal 30 8 15 14 2" xfId="50540" xr:uid="{00000000-0005-0000-0000-000064C50000}"/>
    <cellStyle name="Normal 30 8 15 14 3" xfId="50541" xr:uid="{00000000-0005-0000-0000-000065C50000}"/>
    <cellStyle name="Normal 30 8 15 15" xfId="50542" xr:uid="{00000000-0005-0000-0000-000066C50000}"/>
    <cellStyle name="Normal 30 8 15 16" xfId="50543" xr:uid="{00000000-0005-0000-0000-000067C50000}"/>
    <cellStyle name="Normal 30 8 15 2" xfId="50544" xr:uid="{00000000-0005-0000-0000-000068C50000}"/>
    <cellStyle name="Normal 30 8 15 2 2" xfId="50545" xr:uid="{00000000-0005-0000-0000-000069C50000}"/>
    <cellStyle name="Normal 30 8 15 2 3" xfId="50546" xr:uid="{00000000-0005-0000-0000-00006AC50000}"/>
    <cellStyle name="Normal 30 8 15 3" xfId="50547" xr:uid="{00000000-0005-0000-0000-00006BC50000}"/>
    <cellStyle name="Normal 30 8 15 3 2" xfId="50548" xr:uid="{00000000-0005-0000-0000-00006CC50000}"/>
    <cellStyle name="Normal 30 8 15 3 3" xfId="50549" xr:uid="{00000000-0005-0000-0000-00006DC50000}"/>
    <cellStyle name="Normal 30 8 15 4" xfId="50550" xr:uid="{00000000-0005-0000-0000-00006EC50000}"/>
    <cellStyle name="Normal 30 8 15 4 2" xfId="50551" xr:uid="{00000000-0005-0000-0000-00006FC50000}"/>
    <cellStyle name="Normal 30 8 15 4 3" xfId="50552" xr:uid="{00000000-0005-0000-0000-000070C50000}"/>
    <cellStyle name="Normal 30 8 15 5" xfId="50553" xr:uid="{00000000-0005-0000-0000-000071C50000}"/>
    <cellStyle name="Normal 30 8 15 5 2" xfId="50554" xr:uid="{00000000-0005-0000-0000-000072C50000}"/>
    <cellStyle name="Normal 30 8 15 5 3" xfId="50555" xr:uid="{00000000-0005-0000-0000-000073C50000}"/>
    <cellStyle name="Normal 30 8 15 6" xfId="50556" xr:uid="{00000000-0005-0000-0000-000074C50000}"/>
    <cellStyle name="Normal 30 8 15 6 2" xfId="50557" xr:uid="{00000000-0005-0000-0000-000075C50000}"/>
    <cellStyle name="Normal 30 8 15 6 3" xfId="50558" xr:uid="{00000000-0005-0000-0000-000076C50000}"/>
    <cellStyle name="Normal 30 8 15 7" xfId="50559" xr:uid="{00000000-0005-0000-0000-000077C50000}"/>
    <cellStyle name="Normal 30 8 15 7 2" xfId="50560" xr:uid="{00000000-0005-0000-0000-000078C50000}"/>
    <cellStyle name="Normal 30 8 15 7 3" xfId="50561" xr:uid="{00000000-0005-0000-0000-000079C50000}"/>
    <cellStyle name="Normal 30 8 15 8" xfId="50562" xr:uid="{00000000-0005-0000-0000-00007AC50000}"/>
    <cellStyle name="Normal 30 8 15 8 2" xfId="50563" xr:uid="{00000000-0005-0000-0000-00007BC50000}"/>
    <cellStyle name="Normal 30 8 15 8 3" xfId="50564" xr:uid="{00000000-0005-0000-0000-00007CC50000}"/>
    <cellStyle name="Normal 30 8 15 9" xfId="50565" xr:uid="{00000000-0005-0000-0000-00007DC50000}"/>
    <cellStyle name="Normal 30 8 15 9 2" xfId="50566" xr:uid="{00000000-0005-0000-0000-00007EC50000}"/>
    <cellStyle name="Normal 30 8 15 9 3" xfId="50567" xr:uid="{00000000-0005-0000-0000-00007FC50000}"/>
    <cellStyle name="Normal 30 8 16" xfId="50568" xr:uid="{00000000-0005-0000-0000-000080C50000}"/>
    <cellStyle name="Normal 30 8 16 2" xfId="50569" xr:uid="{00000000-0005-0000-0000-000081C50000}"/>
    <cellStyle name="Normal 30 8 16 3" xfId="50570" xr:uid="{00000000-0005-0000-0000-000082C50000}"/>
    <cellStyle name="Normal 30 8 17" xfId="50571" xr:uid="{00000000-0005-0000-0000-000083C50000}"/>
    <cellStyle name="Normal 30 8 17 2" xfId="50572" xr:uid="{00000000-0005-0000-0000-000084C50000}"/>
    <cellStyle name="Normal 30 8 17 3" xfId="50573" xr:uid="{00000000-0005-0000-0000-000085C50000}"/>
    <cellStyle name="Normal 30 8 18" xfId="50574" xr:uid="{00000000-0005-0000-0000-000086C50000}"/>
    <cellStyle name="Normal 30 8 18 2" xfId="50575" xr:uid="{00000000-0005-0000-0000-000087C50000}"/>
    <cellStyle name="Normal 30 8 18 3" xfId="50576" xr:uid="{00000000-0005-0000-0000-000088C50000}"/>
    <cellStyle name="Normal 30 8 19" xfId="50577" xr:uid="{00000000-0005-0000-0000-000089C50000}"/>
    <cellStyle name="Normal 30 8 19 2" xfId="50578" xr:uid="{00000000-0005-0000-0000-00008AC50000}"/>
    <cellStyle name="Normal 30 8 19 3" xfId="50579" xr:uid="{00000000-0005-0000-0000-00008BC50000}"/>
    <cellStyle name="Normal 30 8 2" xfId="50580" xr:uid="{00000000-0005-0000-0000-00008CC50000}"/>
    <cellStyle name="Normal 30 8 2 10" xfId="50581" xr:uid="{00000000-0005-0000-0000-00008DC50000}"/>
    <cellStyle name="Normal 30 8 2 10 2" xfId="50582" xr:uid="{00000000-0005-0000-0000-00008EC50000}"/>
    <cellStyle name="Normal 30 8 2 10 3" xfId="50583" xr:uid="{00000000-0005-0000-0000-00008FC50000}"/>
    <cellStyle name="Normal 30 8 2 11" xfId="50584" xr:uid="{00000000-0005-0000-0000-000090C50000}"/>
    <cellStyle name="Normal 30 8 2 11 2" xfId="50585" xr:uid="{00000000-0005-0000-0000-000091C50000}"/>
    <cellStyle name="Normal 30 8 2 11 3" xfId="50586" xr:uid="{00000000-0005-0000-0000-000092C50000}"/>
    <cellStyle name="Normal 30 8 2 12" xfId="50587" xr:uid="{00000000-0005-0000-0000-000093C50000}"/>
    <cellStyle name="Normal 30 8 2 12 2" xfId="50588" xr:uid="{00000000-0005-0000-0000-000094C50000}"/>
    <cellStyle name="Normal 30 8 2 12 3" xfId="50589" xr:uid="{00000000-0005-0000-0000-000095C50000}"/>
    <cellStyle name="Normal 30 8 2 13" xfId="50590" xr:uid="{00000000-0005-0000-0000-000096C50000}"/>
    <cellStyle name="Normal 30 8 2 13 2" xfId="50591" xr:uid="{00000000-0005-0000-0000-000097C50000}"/>
    <cellStyle name="Normal 30 8 2 13 3" xfId="50592" xr:uid="{00000000-0005-0000-0000-000098C50000}"/>
    <cellStyle name="Normal 30 8 2 14" xfId="50593" xr:uid="{00000000-0005-0000-0000-000099C50000}"/>
    <cellStyle name="Normal 30 8 2 14 2" xfId="50594" xr:uid="{00000000-0005-0000-0000-00009AC50000}"/>
    <cellStyle name="Normal 30 8 2 14 3" xfId="50595" xr:uid="{00000000-0005-0000-0000-00009BC50000}"/>
    <cellStyle name="Normal 30 8 2 15" xfId="50596" xr:uid="{00000000-0005-0000-0000-00009CC50000}"/>
    <cellStyle name="Normal 30 8 2 15 2" xfId="50597" xr:uid="{00000000-0005-0000-0000-00009DC50000}"/>
    <cellStyle name="Normal 30 8 2 15 3" xfId="50598" xr:uid="{00000000-0005-0000-0000-00009EC50000}"/>
    <cellStyle name="Normal 30 8 2 16" xfId="50599" xr:uid="{00000000-0005-0000-0000-00009FC50000}"/>
    <cellStyle name="Normal 30 8 2 17" xfId="50600" xr:uid="{00000000-0005-0000-0000-0000A0C50000}"/>
    <cellStyle name="Normal 30 8 2 2" xfId="50601" xr:uid="{00000000-0005-0000-0000-0000A1C50000}"/>
    <cellStyle name="Normal 30 8 2 2 10" xfId="50602" xr:uid="{00000000-0005-0000-0000-0000A2C50000}"/>
    <cellStyle name="Normal 30 8 2 2 10 2" xfId="50603" xr:uid="{00000000-0005-0000-0000-0000A3C50000}"/>
    <cellStyle name="Normal 30 8 2 2 10 3" xfId="50604" xr:uid="{00000000-0005-0000-0000-0000A4C50000}"/>
    <cellStyle name="Normal 30 8 2 2 11" xfId="50605" xr:uid="{00000000-0005-0000-0000-0000A5C50000}"/>
    <cellStyle name="Normal 30 8 2 2 11 2" xfId="50606" xr:uid="{00000000-0005-0000-0000-0000A6C50000}"/>
    <cellStyle name="Normal 30 8 2 2 11 3" xfId="50607" xr:uid="{00000000-0005-0000-0000-0000A7C50000}"/>
    <cellStyle name="Normal 30 8 2 2 12" xfId="50608" xr:uid="{00000000-0005-0000-0000-0000A8C50000}"/>
    <cellStyle name="Normal 30 8 2 2 12 2" xfId="50609" xr:uid="{00000000-0005-0000-0000-0000A9C50000}"/>
    <cellStyle name="Normal 30 8 2 2 12 3" xfId="50610" xr:uid="{00000000-0005-0000-0000-0000AAC50000}"/>
    <cellStyle name="Normal 30 8 2 2 13" xfId="50611" xr:uid="{00000000-0005-0000-0000-0000ABC50000}"/>
    <cellStyle name="Normal 30 8 2 2 13 2" xfId="50612" xr:uid="{00000000-0005-0000-0000-0000ACC50000}"/>
    <cellStyle name="Normal 30 8 2 2 13 3" xfId="50613" xr:uid="{00000000-0005-0000-0000-0000ADC50000}"/>
    <cellStyle name="Normal 30 8 2 2 14" xfId="50614" xr:uid="{00000000-0005-0000-0000-0000AEC50000}"/>
    <cellStyle name="Normal 30 8 2 2 14 2" xfId="50615" xr:uid="{00000000-0005-0000-0000-0000AFC50000}"/>
    <cellStyle name="Normal 30 8 2 2 14 3" xfId="50616" xr:uid="{00000000-0005-0000-0000-0000B0C50000}"/>
    <cellStyle name="Normal 30 8 2 2 15" xfId="50617" xr:uid="{00000000-0005-0000-0000-0000B1C50000}"/>
    <cellStyle name="Normal 30 8 2 2 16" xfId="50618" xr:uid="{00000000-0005-0000-0000-0000B2C50000}"/>
    <cellStyle name="Normal 30 8 2 2 2" xfId="50619" xr:uid="{00000000-0005-0000-0000-0000B3C50000}"/>
    <cellStyle name="Normal 30 8 2 2 2 2" xfId="50620" xr:uid="{00000000-0005-0000-0000-0000B4C50000}"/>
    <cellStyle name="Normal 30 8 2 2 2 3" xfId="50621" xr:uid="{00000000-0005-0000-0000-0000B5C50000}"/>
    <cellStyle name="Normal 30 8 2 2 3" xfId="50622" xr:uid="{00000000-0005-0000-0000-0000B6C50000}"/>
    <cellStyle name="Normal 30 8 2 2 3 2" xfId="50623" xr:uid="{00000000-0005-0000-0000-0000B7C50000}"/>
    <cellStyle name="Normal 30 8 2 2 3 3" xfId="50624" xr:uid="{00000000-0005-0000-0000-0000B8C50000}"/>
    <cellStyle name="Normal 30 8 2 2 4" xfId="50625" xr:uid="{00000000-0005-0000-0000-0000B9C50000}"/>
    <cellStyle name="Normal 30 8 2 2 4 2" xfId="50626" xr:uid="{00000000-0005-0000-0000-0000BAC50000}"/>
    <cellStyle name="Normal 30 8 2 2 4 3" xfId="50627" xr:uid="{00000000-0005-0000-0000-0000BBC50000}"/>
    <cellStyle name="Normal 30 8 2 2 5" xfId="50628" xr:uid="{00000000-0005-0000-0000-0000BCC50000}"/>
    <cellStyle name="Normal 30 8 2 2 5 2" xfId="50629" xr:uid="{00000000-0005-0000-0000-0000BDC50000}"/>
    <cellStyle name="Normal 30 8 2 2 5 3" xfId="50630" xr:uid="{00000000-0005-0000-0000-0000BEC50000}"/>
    <cellStyle name="Normal 30 8 2 2 6" xfId="50631" xr:uid="{00000000-0005-0000-0000-0000BFC50000}"/>
    <cellStyle name="Normal 30 8 2 2 6 2" xfId="50632" xr:uid="{00000000-0005-0000-0000-0000C0C50000}"/>
    <cellStyle name="Normal 30 8 2 2 6 3" xfId="50633" xr:uid="{00000000-0005-0000-0000-0000C1C50000}"/>
    <cellStyle name="Normal 30 8 2 2 7" xfId="50634" xr:uid="{00000000-0005-0000-0000-0000C2C50000}"/>
    <cellStyle name="Normal 30 8 2 2 7 2" xfId="50635" xr:uid="{00000000-0005-0000-0000-0000C3C50000}"/>
    <cellStyle name="Normal 30 8 2 2 7 3" xfId="50636" xr:uid="{00000000-0005-0000-0000-0000C4C50000}"/>
    <cellStyle name="Normal 30 8 2 2 8" xfId="50637" xr:uid="{00000000-0005-0000-0000-0000C5C50000}"/>
    <cellStyle name="Normal 30 8 2 2 8 2" xfId="50638" xr:uid="{00000000-0005-0000-0000-0000C6C50000}"/>
    <cellStyle name="Normal 30 8 2 2 8 3" xfId="50639" xr:uid="{00000000-0005-0000-0000-0000C7C50000}"/>
    <cellStyle name="Normal 30 8 2 2 9" xfId="50640" xr:uid="{00000000-0005-0000-0000-0000C8C50000}"/>
    <cellStyle name="Normal 30 8 2 2 9 2" xfId="50641" xr:uid="{00000000-0005-0000-0000-0000C9C50000}"/>
    <cellStyle name="Normal 30 8 2 2 9 3" xfId="50642" xr:uid="{00000000-0005-0000-0000-0000CAC50000}"/>
    <cellStyle name="Normal 30 8 2 3" xfId="50643" xr:uid="{00000000-0005-0000-0000-0000CBC50000}"/>
    <cellStyle name="Normal 30 8 2 3 2" xfId="50644" xr:uid="{00000000-0005-0000-0000-0000CCC50000}"/>
    <cellStyle name="Normal 30 8 2 3 3" xfId="50645" xr:uid="{00000000-0005-0000-0000-0000CDC50000}"/>
    <cellStyle name="Normal 30 8 2 4" xfId="50646" xr:uid="{00000000-0005-0000-0000-0000CEC50000}"/>
    <cellStyle name="Normal 30 8 2 4 2" xfId="50647" xr:uid="{00000000-0005-0000-0000-0000CFC50000}"/>
    <cellStyle name="Normal 30 8 2 4 3" xfId="50648" xr:uid="{00000000-0005-0000-0000-0000D0C50000}"/>
    <cellStyle name="Normal 30 8 2 5" xfId="50649" xr:uid="{00000000-0005-0000-0000-0000D1C50000}"/>
    <cellStyle name="Normal 30 8 2 5 2" xfId="50650" xr:uid="{00000000-0005-0000-0000-0000D2C50000}"/>
    <cellStyle name="Normal 30 8 2 5 3" xfId="50651" xr:uid="{00000000-0005-0000-0000-0000D3C50000}"/>
    <cellStyle name="Normal 30 8 2 6" xfId="50652" xr:uid="{00000000-0005-0000-0000-0000D4C50000}"/>
    <cellStyle name="Normal 30 8 2 6 2" xfId="50653" xr:uid="{00000000-0005-0000-0000-0000D5C50000}"/>
    <cellStyle name="Normal 30 8 2 6 3" xfId="50654" xr:uid="{00000000-0005-0000-0000-0000D6C50000}"/>
    <cellStyle name="Normal 30 8 2 7" xfId="50655" xr:uid="{00000000-0005-0000-0000-0000D7C50000}"/>
    <cellStyle name="Normal 30 8 2 7 2" xfId="50656" xr:uid="{00000000-0005-0000-0000-0000D8C50000}"/>
    <cellStyle name="Normal 30 8 2 7 3" xfId="50657" xr:uid="{00000000-0005-0000-0000-0000D9C50000}"/>
    <cellStyle name="Normal 30 8 2 8" xfId="50658" xr:uid="{00000000-0005-0000-0000-0000DAC50000}"/>
    <cellStyle name="Normal 30 8 2 8 2" xfId="50659" xr:uid="{00000000-0005-0000-0000-0000DBC50000}"/>
    <cellStyle name="Normal 30 8 2 8 3" xfId="50660" xr:uid="{00000000-0005-0000-0000-0000DCC50000}"/>
    <cellStyle name="Normal 30 8 2 9" xfId="50661" xr:uid="{00000000-0005-0000-0000-0000DDC50000}"/>
    <cellStyle name="Normal 30 8 2 9 2" xfId="50662" xr:uid="{00000000-0005-0000-0000-0000DEC50000}"/>
    <cellStyle name="Normal 30 8 2 9 3" xfId="50663" xr:uid="{00000000-0005-0000-0000-0000DFC50000}"/>
    <cellStyle name="Normal 30 8 20" xfId="50664" xr:uid="{00000000-0005-0000-0000-0000E0C50000}"/>
    <cellStyle name="Normal 30 8 20 2" xfId="50665" xr:uid="{00000000-0005-0000-0000-0000E1C50000}"/>
    <cellStyle name="Normal 30 8 20 3" xfId="50666" xr:uid="{00000000-0005-0000-0000-0000E2C50000}"/>
    <cellStyle name="Normal 30 8 21" xfId="50667" xr:uid="{00000000-0005-0000-0000-0000E3C50000}"/>
    <cellStyle name="Normal 30 8 21 2" xfId="50668" xr:uid="{00000000-0005-0000-0000-0000E4C50000}"/>
    <cellStyle name="Normal 30 8 21 3" xfId="50669" xr:uid="{00000000-0005-0000-0000-0000E5C50000}"/>
    <cellStyle name="Normal 30 8 22" xfId="50670" xr:uid="{00000000-0005-0000-0000-0000E6C50000}"/>
    <cellStyle name="Normal 30 8 22 2" xfId="50671" xr:uid="{00000000-0005-0000-0000-0000E7C50000}"/>
    <cellStyle name="Normal 30 8 22 3" xfId="50672" xr:uid="{00000000-0005-0000-0000-0000E8C50000}"/>
    <cellStyle name="Normal 30 8 23" xfId="50673" xr:uid="{00000000-0005-0000-0000-0000E9C50000}"/>
    <cellStyle name="Normal 30 8 23 2" xfId="50674" xr:uid="{00000000-0005-0000-0000-0000EAC50000}"/>
    <cellStyle name="Normal 30 8 23 3" xfId="50675" xr:uid="{00000000-0005-0000-0000-0000EBC50000}"/>
    <cellStyle name="Normal 30 8 24" xfId="50676" xr:uid="{00000000-0005-0000-0000-0000ECC50000}"/>
    <cellStyle name="Normal 30 8 24 2" xfId="50677" xr:uid="{00000000-0005-0000-0000-0000EDC50000}"/>
    <cellStyle name="Normal 30 8 24 3" xfId="50678" xr:uid="{00000000-0005-0000-0000-0000EEC50000}"/>
    <cellStyle name="Normal 30 8 25" xfId="50679" xr:uid="{00000000-0005-0000-0000-0000EFC50000}"/>
    <cellStyle name="Normal 30 8 25 2" xfId="50680" xr:uid="{00000000-0005-0000-0000-0000F0C50000}"/>
    <cellStyle name="Normal 30 8 25 3" xfId="50681" xr:uid="{00000000-0005-0000-0000-0000F1C50000}"/>
    <cellStyle name="Normal 30 8 26" xfId="50682" xr:uid="{00000000-0005-0000-0000-0000F2C50000}"/>
    <cellStyle name="Normal 30 8 26 2" xfId="50683" xr:uid="{00000000-0005-0000-0000-0000F3C50000}"/>
    <cellStyle name="Normal 30 8 26 3" xfId="50684" xr:uid="{00000000-0005-0000-0000-0000F4C50000}"/>
    <cellStyle name="Normal 30 8 27" xfId="50685" xr:uid="{00000000-0005-0000-0000-0000F5C50000}"/>
    <cellStyle name="Normal 30 8 27 2" xfId="50686" xr:uid="{00000000-0005-0000-0000-0000F6C50000}"/>
    <cellStyle name="Normal 30 8 27 3" xfId="50687" xr:uid="{00000000-0005-0000-0000-0000F7C50000}"/>
    <cellStyle name="Normal 30 8 28" xfId="50688" xr:uid="{00000000-0005-0000-0000-0000F8C50000}"/>
    <cellStyle name="Normal 30 8 28 2" xfId="50689" xr:uid="{00000000-0005-0000-0000-0000F9C50000}"/>
    <cellStyle name="Normal 30 8 28 3" xfId="50690" xr:uid="{00000000-0005-0000-0000-0000FAC50000}"/>
    <cellStyle name="Normal 30 8 29" xfId="50691" xr:uid="{00000000-0005-0000-0000-0000FBC50000}"/>
    <cellStyle name="Normal 30 8 3" xfId="50692" xr:uid="{00000000-0005-0000-0000-0000FCC50000}"/>
    <cellStyle name="Normal 30 8 3 10" xfId="50693" xr:uid="{00000000-0005-0000-0000-0000FDC50000}"/>
    <cellStyle name="Normal 30 8 3 10 2" xfId="50694" xr:uid="{00000000-0005-0000-0000-0000FEC50000}"/>
    <cellStyle name="Normal 30 8 3 10 3" xfId="50695" xr:uid="{00000000-0005-0000-0000-0000FFC50000}"/>
    <cellStyle name="Normal 30 8 3 11" xfId="50696" xr:uid="{00000000-0005-0000-0000-000000C60000}"/>
    <cellStyle name="Normal 30 8 3 11 2" xfId="50697" xr:uid="{00000000-0005-0000-0000-000001C60000}"/>
    <cellStyle name="Normal 30 8 3 11 3" xfId="50698" xr:uid="{00000000-0005-0000-0000-000002C60000}"/>
    <cellStyle name="Normal 30 8 3 12" xfId="50699" xr:uid="{00000000-0005-0000-0000-000003C60000}"/>
    <cellStyle name="Normal 30 8 3 12 2" xfId="50700" xr:uid="{00000000-0005-0000-0000-000004C60000}"/>
    <cellStyle name="Normal 30 8 3 12 3" xfId="50701" xr:uid="{00000000-0005-0000-0000-000005C60000}"/>
    <cellStyle name="Normal 30 8 3 13" xfId="50702" xr:uid="{00000000-0005-0000-0000-000006C60000}"/>
    <cellStyle name="Normal 30 8 3 13 2" xfId="50703" xr:uid="{00000000-0005-0000-0000-000007C60000}"/>
    <cellStyle name="Normal 30 8 3 13 3" xfId="50704" xr:uid="{00000000-0005-0000-0000-000008C60000}"/>
    <cellStyle name="Normal 30 8 3 14" xfId="50705" xr:uid="{00000000-0005-0000-0000-000009C60000}"/>
    <cellStyle name="Normal 30 8 3 14 2" xfId="50706" xr:uid="{00000000-0005-0000-0000-00000AC60000}"/>
    <cellStyle name="Normal 30 8 3 14 3" xfId="50707" xr:uid="{00000000-0005-0000-0000-00000BC60000}"/>
    <cellStyle name="Normal 30 8 3 15" xfId="50708" xr:uid="{00000000-0005-0000-0000-00000CC60000}"/>
    <cellStyle name="Normal 30 8 3 15 2" xfId="50709" xr:uid="{00000000-0005-0000-0000-00000DC60000}"/>
    <cellStyle name="Normal 30 8 3 15 3" xfId="50710" xr:uid="{00000000-0005-0000-0000-00000EC60000}"/>
    <cellStyle name="Normal 30 8 3 16" xfId="50711" xr:uid="{00000000-0005-0000-0000-00000FC60000}"/>
    <cellStyle name="Normal 30 8 3 17" xfId="50712" xr:uid="{00000000-0005-0000-0000-000010C60000}"/>
    <cellStyle name="Normal 30 8 3 2" xfId="50713" xr:uid="{00000000-0005-0000-0000-000011C60000}"/>
    <cellStyle name="Normal 30 8 3 2 10" xfId="50714" xr:uid="{00000000-0005-0000-0000-000012C60000}"/>
    <cellStyle name="Normal 30 8 3 2 10 2" xfId="50715" xr:uid="{00000000-0005-0000-0000-000013C60000}"/>
    <cellStyle name="Normal 30 8 3 2 10 3" xfId="50716" xr:uid="{00000000-0005-0000-0000-000014C60000}"/>
    <cellStyle name="Normal 30 8 3 2 11" xfId="50717" xr:uid="{00000000-0005-0000-0000-000015C60000}"/>
    <cellStyle name="Normal 30 8 3 2 11 2" xfId="50718" xr:uid="{00000000-0005-0000-0000-000016C60000}"/>
    <cellStyle name="Normal 30 8 3 2 11 3" xfId="50719" xr:uid="{00000000-0005-0000-0000-000017C60000}"/>
    <cellStyle name="Normal 30 8 3 2 12" xfId="50720" xr:uid="{00000000-0005-0000-0000-000018C60000}"/>
    <cellStyle name="Normal 30 8 3 2 12 2" xfId="50721" xr:uid="{00000000-0005-0000-0000-000019C60000}"/>
    <cellStyle name="Normal 30 8 3 2 12 3" xfId="50722" xr:uid="{00000000-0005-0000-0000-00001AC60000}"/>
    <cellStyle name="Normal 30 8 3 2 13" xfId="50723" xr:uid="{00000000-0005-0000-0000-00001BC60000}"/>
    <cellStyle name="Normal 30 8 3 2 13 2" xfId="50724" xr:uid="{00000000-0005-0000-0000-00001CC60000}"/>
    <cellStyle name="Normal 30 8 3 2 13 3" xfId="50725" xr:uid="{00000000-0005-0000-0000-00001DC60000}"/>
    <cellStyle name="Normal 30 8 3 2 14" xfId="50726" xr:uid="{00000000-0005-0000-0000-00001EC60000}"/>
    <cellStyle name="Normal 30 8 3 2 14 2" xfId="50727" xr:uid="{00000000-0005-0000-0000-00001FC60000}"/>
    <cellStyle name="Normal 30 8 3 2 14 3" xfId="50728" xr:uid="{00000000-0005-0000-0000-000020C60000}"/>
    <cellStyle name="Normal 30 8 3 2 15" xfId="50729" xr:uid="{00000000-0005-0000-0000-000021C60000}"/>
    <cellStyle name="Normal 30 8 3 2 16" xfId="50730" xr:uid="{00000000-0005-0000-0000-000022C60000}"/>
    <cellStyle name="Normal 30 8 3 2 2" xfId="50731" xr:uid="{00000000-0005-0000-0000-000023C60000}"/>
    <cellStyle name="Normal 30 8 3 2 2 2" xfId="50732" xr:uid="{00000000-0005-0000-0000-000024C60000}"/>
    <cellStyle name="Normal 30 8 3 2 2 3" xfId="50733" xr:uid="{00000000-0005-0000-0000-000025C60000}"/>
    <cellStyle name="Normal 30 8 3 2 3" xfId="50734" xr:uid="{00000000-0005-0000-0000-000026C60000}"/>
    <cellStyle name="Normal 30 8 3 2 3 2" xfId="50735" xr:uid="{00000000-0005-0000-0000-000027C60000}"/>
    <cellStyle name="Normal 30 8 3 2 3 3" xfId="50736" xr:uid="{00000000-0005-0000-0000-000028C60000}"/>
    <cellStyle name="Normal 30 8 3 2 4" xfId="50737" xr:uid="{00000000-0005-0000-0000-000029C60000}"/>
    <cellStyle name="Normal 30 8 3 2 4 2" xfId="50738" xr:uid="{00000000-0005-0000-0000-00002AC60000}"/>
    <cellStyle name="Normal 30 8 3 2 4 3" xfId="50739" xr:uid="{00000000-0005-0000-0000-00002BC60000}"/>
    <cellStyle name="Normal 30 8 3 2 5" xfId="50740" xr:uid="{00000000-0005-0000-0000-00002CC60000}"/>
    <cellStyle name="Normal 30 8 3 2 5 2" xfId="50741" xr:uid="{00000000-0005-0000-0000-00002DC60000}"/>
    <cellStyle name="Normal 30 8 3 2 5 3" xfId="50742" xr:uid="{00000000-0005-0000-0000-00002EC60000}"/>
    <cellStyle name="Normal 30 8 3 2 6" xfId="50743" xr:uid="{00000000-0005-0000-0000-00002FC60000}"/>
    <cellStyle name="Normal 30 8 3 2 6 2" xfId="50744" xr:uid="{00000000-0005-0000-0000-000030C60000}"/>
    <cellStyle name="Normal 30 8 3 2 6 3" xfId="50745" xr:uid="{00000000-0005-0000-0000-000031C60000}"/>
    <cellStyle name="Normal 30 8 3 2 7" xfId="50746" xr:uid="{00000000-0005-0000-0000-000032C60000}"/>
    <cellStyle name="Normal 30 8 3 2 7 2" xfId="50747" xr:uid="{00000000-0005-0000-0000-000033C60000}"/>
    <cellStyle name="Normal 30 8 3 2 7 3" xfId="50748" xr:uid="{00000000-0005-0000-0000-000034C60000}"/>
    <cellStyle name="Normal 30 8 3 2 8" xfId="50749" xr:uid="{00000000-0005-0000-0000-000035C60000}"/>
    <cellStyle name="Normal 30 8 3 2 8 2" xfId="50750" xr:uid="{00000000-0005-0000-0000-000036C60000}"/>
    <cellStyle name="Normal 30 8 3 2 8 3" xfId="50751" xr:uid="{00000000-0005-0000-0000-000037C60000}"/>
    <cellStyle name="Normal 30 8 3 2 9" xfId="50752" xr:uid="{00000000-0005-0000-0000-000038C60000}"/>
    <cellStyle name="Normal 30 8 3 2 9 2" xfId="50753" xr:uid="{00000000-0005-0000-0000-000039C60000}"/>
    <cellStyle name="Normal 30 8 3 2 9 3" xfId="50754" xr:uid="{00000000-0005-0000-0000-00003AC60000}"/>
    <cellStyle name="Normal 30 8 3 3" xfId="50755" xr:uid="{00000000-0005-0000-0000-00003BC60000}"/>
    <cellStyle name="Normal 30 8 3 3 2" xfId="50756" xr:uid="{00000000-0005-0000-0000-00003CC60000}"/>
    <cellStyle name="Normal 30 8 3 3 3" xfId="50757" xr:uid="{00000000-0005-0000-0000-00003DC60000}"/>
    <cellStyle name="Normal 30 8 3 4" xfId="50758" xr:uid="{00000000-0005-0000-0000-00003EC60000}"/>
    <cellStyle name="Normal 30 8 3 4 2" xfId="50759" xr:uid="{00000000-0005-0000-0000-00003FC60000}"/>
    <cellStyle name="Normal 30 8 3 4 3" xfId="50760" xr:uid="{00000000-0005-0000-0000-000040C60000}"/>
    <cellStyle name="Normal 30 8 3 5" xfId="50761" xr:uid="{00000000-0005-0000-0000-000041C60000}"/>
    <cellStyle name="Normal 30 8 3 5 2" xfId="50762" xr:uid="{00000000-0005-0000-0000-000042C60000}"/>
    <cellStyle name="Normal 30 8 3 5 3" xfId="50763" xr:uid="{00000000-0005-0000-0000-000043C60000}"/>
    <cellStyle name="Normal 30 8 3 6" xfId="50764" xr:uid="{00000000-0005-0000-0000-000044C60000}"/>
    <cellStyle name="Normal 30 8 3 6 2" xfId="50765" xr:uid="{00000000-0005-0000-0000-000045C60000}"/>
    <cellStyle name="Normal 30 8 3 6 3" xfId="50766" xr:uid="{00000000-0005-0000-0000-000046C60000}"/>
    <cellStyle name="Normal 30 8 3 7" xfId="50767" xr:uid="{00000000-0005-0000-0000-000047C60000}"/>
    <cellStyle name="Normal 30 8 3 7 2" xfId="50768" xr:uid="{00000000-0005-0000-0000-000048C60000}"/>
    <cellStyle name="Normal 30 8 3 7 3" xfId="50769" xr:uid="{00000000-0005-0000-0000-000049C60000}"/>
    <cellStyle name="Normal 30 8 3 8" xfId="50770" xr:uid="{00000000-0005-0000-0000-00004AC60000}"/>
    <cellStyle name="Normal 30 8 3 8 2" xfId="50771" xr:uid="{00000000-0005-0000-0000-00004BC60000}"/>
    <cellStyle name="Normal 30 8 3 8 3" xfId="50772" xr:uid="{00000000-0005-0000-0000-00004CC60000}"/>
    <cellStyle name="Normal 30 8 3 9" xfId="50773" xr:uid="{00000000-0005-0000-0000-00004DC60000}"/>
    <cellStyle name="Normal 30 8 3 9 2" xfId="50774" xr:uid="{00000000-0005-0000-0000-00004EC60000}"/>
    <cellStyle name="Normal 30 8 3 9 3" xfId="50775" xr:uid="{00000000-0005-0000-0000-00004FC60000}"/>
    <cellStyle name="Normal 30 8 30" xfId="50776" xr:uid="{00000000-0005-0000-0000-000050C60000}"/>
    <cellStyle name="Normal 30 8 31" xfId="50777" xr:uid="{00000000-0005-0000-0000-000051C60000}"/>
    <cellStyle name="Normal 30 8 32" xfId="50778" xr:uid="{00000000-0005-0000-0000-000052C60000}"/>
    <cellStyle name="Normal 30 8 33" xfId="50779" xr:uid="{00000000-0005-0000-0000-000053C60000}"/>
    <cellStyle name="Normal 30 8 34" xfId="50780" xr:uid="{00000000-0005-0000-0000-000054C60000}"/>
    <cellStyle name="Normal 30 8 35" xfId="50781" xr:uid="{00000000-0005-0000-0000-000055C60000}"/>
    <cellStyle name="Normal 30 8 36" xfId="50782" xr:uid="{00000000-0005-0000-0000-000056C60000}"/>
    <cellStyle name="Normal 30 8 37" xfId="50783" xr:uid="{00000000-0005-0000-0000-000057C60000}"/>
    <cellStyle name="Normal 30 8 38" xfId="50784" xr:uid="{00000000-0005-0000-0000-000058C60000}"/>
    <cellStyle name="Normal 30 8 39" xfId="50785" xr:uid="{00000000-0005-0000-0000-000059C60000}"/>
    <cellStyle name="Normal 30 8 4" xfId="50786" xr:uid="{00000000-0005-0000-0000-00005AC60000}"/>
    <cellStyle name="Normal 30 8 4 10" xfId="50787" xr:uid="{00000000-0005-0000-0000-00005BC60000}"/>
    <cellStyle name="Normal 30 8 4 10 2" xfId="50788" xr:uid="{00000000-0005-0000-0000-00005CC60000}"/>
    <cellStyle name="Normal 30 8 4 10 3" xfId="50789" xr:uid="{00000000-0005-0000-0000-00005DC60000}"/>
    <cellStyle name="Normal 30 8 4 11" xfId="50790" xr:uid="{00000000-0005-0000-0000-00005EC60000}"/>
    <cellStyle name="Normal 30 8 4 11 2" xfId="50791" xr:uid="{00000000-0005-0000-0000-00005FC60000}"/>
    <cellStyle name="Normal 30 8 4 11 3" xfId="50792" xr:uid="{00000000-0005-0000-0000-000060C60000}"/>
    <cellStyle name="Normal 30 8 4 12" xfId="50793" xr:uid="{00000000-0005-0000-0000-000061C60000}"/>
    <cellStyle name="Normal 30 8 4 12 2" xfId="50794" xr:uid="{00000000-0005-0000-0000-000062C60000}"/>
    <cellStyle name="Normal 30 8 4 12 3" xfId="50795" xr:uid="{00000000-0005-0000-0000-000063C60000}"/>
    <cellStyle name="Normal 30 8 4 13" xfId="50796" xr:uid="{00000000-0005-0000-0000-000064C60000}"/>
    <cellStyle name="Normal 30 8 4 13 2" xfId="50797" xr:uid="{00000000-0005-0000-0000-000065C60000}"/>
    <cellStyle name="Normal 30 8 4 13 3" xfId="50798" xr:uid="{00000000-0005-0000-0000-000066C60000}"/>
    <cellStyle name="Normal 30 8 4 14" xfId="50799" xr:uid="{00000000-0005-0000-0000-000067C60000}"/>
    <cellStyle name="Normal 30 8 4 14 2" xfId="50800" xr:uid="{00000000-0005-0000-0000-000068C60000}"/>
    <cellStyle name="Normal 30 8 4 14 3" xfId="50801" xr:uid="{00000000-0005-0000-0000-000069C60000}"/>
    <cellStyle name="Normal 30 8 4 15" xfId="50802" xr:uid="{00000000-0005-0000-0000-00006AC60000}"/>
    <cellStyle name="Normal 30 8 4 15 2" xfId="50803" xr:uid="{00000000-0005-0000-0000-00006BC60000}"/>
    <cellStyle name="Normal 30 8 4 15 3" xfId="50804" xr:uid="{00000000-0005-0000-0000-00006CC60000}"/>
    <cellStyle name="Normal 30 8 4 16" xfId="50805" xr:uid="{00000000-0005-0000-0000-00006DC60000}"/>
    <cellStyle name="Normal 30 8 4 17" xfId="50806" xr:uid="{00000000-0005-0000-0000-00006EC60000}"/>
    <cellStyle name="Normal 30 8 4 2" xfId="50807" xr:uid="{00000000-0005-0000-0000-00006FC60000}"/>
    <cellStyle name="Normal 30 8 4 2 10" xfId="50808" xr:uid="{00000000-0005-0000-0000-000070C60000}"/>
    <cellStyle name="Normal 30 8 4 2 10 2" xfId="50809" xr:uid="{00000000-0005-0000-0000-000071C60000}"/>
    <cellStyle name="Normal 30 8 4 2 10 3" xfId="50810" xr:uid="{00000000-0005-0000-0000-000072C60000}"/>
    <cellStyle name="Normal 30 8 4 2 11" xfId="50811" xr:uid="{00000000-0005-0000-0000-000073C60000}"/>
    <cellStyle name="Normal 30 8 4 2 11 2" xfId="50812" xr:uid="{00000000-0005-0000-0000-000074C60000}"/>
    <cellStyle name="Normal 30 8 4 2 11 3" xfId="50813" xr:uid="{00000000-0005-0000-0000-000075C60000}"/>
    <cellStyle name="Normal 30 8 4 2 12" xfId="50814" xr:uid="{00000000-0005-0000-0000-000076C60000}"/>
    <cellStyle name="Normal 30 8 4 2 12 2" xfId="50815" xr:uid="{00000000-0005-0000-0000-000077C60000}"/>
    <cellStyle name="Normal 30 8 4 2 12 3" xfId="50816" xr:uid="{00000000-0005-0000-0000-000078C60000}"/>
    <cellStyle name="Normal 30 8 4 2 13" xfId="50817" xr:uid="{00000000-0005-0000-0000-000079C60000}"/>
    <cellStyle name="Normal 30 8 4 2 13 2" xfId="50818" xr:uid="{00000000-0005-0000-0000-00007AC60000}"/>
    <cellStyle name="Normal 30 8 4 2 13 3" xfId="50819" xr:uid="{00000000-0005-0000-0000-00007BC60000}"/>
    <cellStyle name="Normal 30 8 4 2 14" xfId="50820" xr:uid="{00000000-0005-0000-0000-00007CC60000}"/>
    <cellStyle name="Normal 30 8 4 2 14 2" xfId="50821" xr:uid="{00000000-0005-0000-0000-00007DC60000}"/>
    <cellStyle name="Normal 30 8 4 2 14 3" xfId="50822" xr:uid="{00000000-0005-0000-0000-00007EC60000}"/>
    <cellStyle name="Normal 30 8 4 2 15" xfId="50823" xr:uid="{00000000-0005-0000-0000-00007FC60000}"/>
    <cellStyle name="Normal 30 8 4 2 16" xfId="50824" xr:uid="{00000000-0005-0000-0000-000080C60000}"/>
    <cellStyle name="Normal 30 8 4 2 2" xfId="50825" xr:uid="{00000000-0005-0000-0000-000081C60000}"/>
    <cellStyle name="Normal 30 8 4 2 2 2" xfId="50826" xr:uid="{00000000-0005-0000-0000-000082C60000}"/>
    <cellStyle name="Normal 30 8 4 2 2 3" xfId="50827" xr:uid="{00000000-0005-0000-0000-000083C60000}"/>
    <cellStyle name="Normal 30 8 4 2 3" xfId="50828" xr:uid="{00000000-0005-0000-0000-000084C60000}"/>
    <cellStyle name="Normal 30 8 4 2 3 2" xfId="50829" xr:uid="{00000000-0005-0000-0000-000085C60000}"/>
    <cellStyle name="Normal 30 8 4 2 3 3" xfId="50830" xr:uid="{00000000-0005-0000-0000-000086C60000}"/>
    <cellStyle name="Normal 30 8 4 2 4" xfId="50831" xr:uid="{00000000-0005-0000-0000-000087C60000}"/>
    <cellStyle name="Normal 30 8 4 2 4 2" xfId="50832" xr:uid="{00000000-0005-0000-0000-000088C60000}"/>
    <cellStyle name="Normal 30 8 4 2 4 3" xfId="50833" xr:uid="{00000000-0005-0000-0000-000089C60000}"/>
    <cellStyle name="Normal 30 8 4 2 5" xfId="50834" xr:uid="{00000000-0005-0000-0000-00008AC60000}"/>
    <cellStyle name="Normal 30 8 4 2 5 2" xfId="50835" xr:uid="{00000000-0005-0000-0000-00008BC60000}"/>
    <cellStyle name="Normal 30 8 4 2 5 3" xfId="50836" xr:uid="{00000000-0005-0000-0000-00008CC60000}"/>
    <cellStyle name="Normal 30 8 4 2 6" xfId="50837" xr:uid="{00000000-0005-0000-0000-00008DC60000}"/>
    <cellStyle name="Normal 30 8 4 2 6 2" xfId="50838" xr:uid="{00000000-0005-0000-0000-00008EC60000}"/>
    <cellStyle name="Normal 30 8 4 2 6 3" xfId="50839" xr:uid="{00000000-0005-0000-0000-00008FC60000}"/>
    <cellStyle name="Normal 30 8 4 2 7" xfId="50840" xr:uid="{00000000-0005-0000-0000-000090C60000}"/>
    <cellStyle name="Normal 30 8 4 2 7 2" xfId="50841" xr:uid="{00000000-0005-0000-0000-000091C60000}"/>
    <cellStyle name="Normal 30 8 4 2 7 3" xfId="50842" xr:uid="{00000000-0005-0000-0000-000092C60000}"/>
    <cellStyle name="Normal 30 8 4 2 8" xfId="50843" xr:uid="{00000000-0005-0000-0000-000093C60000}"/>
    <cellStyle name="Normal 30 8 4 2 8 2" xfId="50844" xr:uid="{00000000-0005-0000-0000-000094C60000}"/>
    <cellStyle name="Normal 30 8 4 2 8 3" xfId="50845" xr:uid="{00000000-0005-0000-0000-000095C60000}"/>
    <cellStyle name="Normal 30 8 4 2 9" xfId="50846" xr:uid="{00000000-0005-0000-0000-000096C60000}"/>
    <cellStyle name="Normal 30 8 4 2 9 2" xfId="50847" xr:uid="{00000000-0005-0000-0000-000097C60000}"/>
    <cellStyle name="Normal 30 8 4 2 9 3" xfId="50848" xr:uid="{00000000-0005-0000-0000-000098C60000}"/>
    <cellStyle name="Normal 30 8 4 3" xfId="50849" xr:uid="{00000000-0005-0000-0000-000099C60000}"/>
    <cellStyle name="Normal 30 8 4 3 2" xfId="50850" xr:uid="{00000000-0005-0000-0000-00009AC60000}"/>
    <cellStyle name="Normal 30 8 4 3 3" xfId="50851" xr:uid="{00000000-0005-0000-0000-00009BC60000}"/>
    <cellStyle name="Normal 30 8 4 4" xfId="50852" xr:uid="{00000000-0005-0000-0000-00009CC60000}"/>
    <cellStyle name="Normal 30 8 4 4 2" xfId="50853" xr:uid="{00000000-0005-0000-0000-00009DC60000}"/>
    <cellStyle name="Normal 30 8 4 4 3" xfId="50854" xr:uid="{00000000-0005-0000-0000-00009EC60000}"/>
    <cellStyle name="Normal 30 8 4 5" xfId="50855" xr:uid="{00000000-0005-0000-0000-00009FC60000}"/>
    <cellStyle name="Normal 30 8 4 5 2" xfId="50856" xr:uid="{00000000-0005-0000-0000-0000A0C60000}"/>
    <cellStyle name="Normal 30 8 4 5 3" xfId="50857" xr:uid="{00000000-0005-0000-0000-0000A1C60000}"/>
    <cellStyle name="Normal 30 8 4 6" xfId="50858" xr:uid="{00000000-0005-0000-0000-0000A2C60000}"/>
    <cellStyle name="Normal 30 8 4 6 2" xfId="50859" xr:uid="{00000000-0005-0000-0000-0000A3C60000}"/>
    <cellStyle name="Normal 30 8 4 6 3" xfId="50860" xr:uid="{00000000-0005-0000-0000-0000A4C60000}"/>
    <cellStyle name="Normal 30 8 4 7" xfId="50861" xr:uid="{00000000-0005-0000-0000-0000A5C60000}"/>
    <cellStyle name="Normal 30 8 4 7 2" xfId="50862" xr:uid="{00000000-0005-0000-0000-0000A6C60000}"/>
    <cellStyle name="Normal 30 8 4 7 3" xfId="50863" xr:uid="{00000000-0005-0000-0000-0000A7C60000}"/>
    <cellStyle name="Normal 30 8 4 8" xfId="50864" xr:uid="{00000000-0005-0000-0000-0000A8C60000}"/>
    <cellStyle name="Normal 30 8 4 8 2" xfId="50865" xr:uid="{00000000-0005-0000-0000-0000A9C60000}"/>
    <cellStyle name="Normal 30 8 4 8 3" xfId="50866" xr:uid="{00000000-0005-0000-0000-0000AAC60000}"/>
    <cellStyle name="Normal 30 8 4 9" xfId="50867" xr:uid="{00000000-0005-0000-0000-0000ABC60000}"/>
    <cellStyle name="Normal 30 8 4 9 2" xfId="50868" xr:uid="{00000000-0005-0000-0000-0000ACC60000}"/>
    <cellStyle name="Normal 30 8 4 9 3" xfId="50869" xr:uid="{00000000-0005-0000-0000-0000ADC60000}"/>
    <cellStyle name="Normal 30 8 40" xfId="50870" xr:uid="{00000000-0005-0000-0000-0000AEC60000}"/>
    <cellStyle name="Normal 30 8 41" xfId="50871" xr:uid="{00000000-0005-0000-0000-0000AFC60000}"/>
    <cellStyle name="Normal 30 8 5" xfId="50872" xr:uid="{00000000-0005-0000-0000-0000B0C60000}"/>
    <cellStyle name="Normal 30 8 5 10" xfId="50873" xr:uid="{00000000-0005-0000-0000-0000B1C60000}"/>
    <cellStyle name="Normal 30 8 5 10 2" xfId="50874" xr:uid="{00000000-0005-0000-0000-0000B2C60000}"/>
    <cellStyle name="Normal 30 8 5 10 3" xfId="50875" xr:uid="{00000000-0005-0000-0000-0000B3C60000}"/>
    <cellStyle name="Normal 30 8 5 11" xfId="50876" xr:uid="{00000000-0005-0000-0000-0000B4C60000}"/>
    <cellStyle name="Normal 30 8 5 11 2" xfId="50877" xr:uid="{00000000-0005-0000-0000-0000B5C60000}"/>
    <cellStyle name="Normal 30 8 5 11 3" xfId="50878" xr:uid="{00000000-0005-0000-0000-0000B6C60000}"/>
    <cellStyle name="Normal 30 8 5 12" xfId="50879" xr:uid="{00000000-0005-0000-0000-0000B7C60000}"/>
    <cellStyle name="Normal 30 8 5 12 2" xfId="50880" xr:uid="{00000000-0005-0000-0000-0000B8C60000}"/>
    <cellStyle name="Normal 30 8 5 12 3" xfId="50881" xr:uid="{00000000-0005-0000-0000-0000B9C60000}"/>
    <cellStyle name="Normal 30 8 5 13" xfId="50882" xr:uid="{00000000-0005-0000-0000-0000BAC60000}"/>
    <cellStyle name="Normal 30 8 5 13 2" xfId="50883" xr:uid="{00000000-0005-0000-0000-0000BBC60000}"/>
    <cellStyle name="Normal 30 8 5 13 3" xfId="50884" xr:uid="{00000000-0005-0000-0000-0000BCC60000}"/>
    <cellStyle name="Normal 30 8 5 14" xfId="50885" xr:uid="{00000000-0005-0000-0000-0000BDC60000}"/>
    <cellStyle name="Normal 30 8 5 14 2" xfId="50886" xr:uid="{00000000-0005-0000-0000-0000BEC60000}"/>
    <cellStyle name="Normal 30 8 5 14 3" xfId="50887" xr:uid="{00000000-0005-0000-0000-0000BFC60000}"/>
    <cellStyle name="Normal 30 8 5 15" xfId="50888" xr:uid="{00000000-0005-0000-0000-0000C0C60000}"/>
    <cellStyle name="Normal 30 8 5 16" xfId="50889" xr:uid="{00000000-0005-0000-0000-0000C1C60000}"/>
    <cellStyle name="Normal 30 8 5 2" xfId="50890" xr:uid="{00000000-0005-0000-0000-0000C2C60000}"/>
    <cellStyle name="Normal 30 8 5 2 2" xfId="50891" xr:uid="{00000000-0005-0000-0000-0000C3C60000}"/>
    <cellStyle name="Normal 30 8 5 2 3" xfId="50892" xr:uid="{00000000-0005-0000-0000-0000C4C60000}"/>
    <cellStyle name="Normal 30 8 5 3" xfId="50893" xr:uid="{00000000-0005-0000-0000-0000C5C60000}"/>
    <cellStyle name="Normal 30 8 5 3 2" xfId="50894" xr:uid="{00000000-0005-0000-0000-0000C6C60000}"/>
    <cellStyle name="Normal 30 8 5 3 3" xfId="50895" xr:uid="{00000000-0005-0000-0000-0000C7C60000}"/>
    <cellStyle name="Normal 30 8 5 4" xfId="50896" xr:uid="{00000000-0005-0000-0000-0000C8C60000}"/>
    <cellStyle name="Normal 30 8 5 4 2" xfId="50897" xr:uid="{00000000-0005-0000-0000-0000C9C60000}"/>
    <cellStyle name="Normal 30 8 5 4 3" xfId="50898" xr:uid="{00000000-0005-0000-0000-0000CAC60000}"/>
    <cellStyle name="Normal 30 8 5 5" xfId="50899" xr:uid="{00000000-0005-0000-0000-0000CBC60000}"/>
    <cellStyle name="Normal 30 8 5 5 2" xfId="50900" xr:uid="{00000000-0005-0000-0000-0000CCC60000}"/>
    <cellStyle name="Normal 30 8 5 5 3" xfId="50901" xr:uid="{00000000-0005-0000-0000-0000CDC60000}"/>
    <cellStyle name="Normal 30 8 5 6" xfId="50902" xr:uid="{00000000-0005-0000-0000-0000CEC60000}"/>
    <cellStyle name="Normal 30 8 5 6 2" xfId="50903" xr:uid="{00000000-0005-0000-0000-0000CFC60000}"/>
    <cellStyle name="Normal 30 8 5 6 3" xfId="50904" xr:uid="{00000000-0005-0000-0000-0000D0C60000}"/>
    <cellStyle name="Normal 30 8 5 7" xfId="50905" xr:uid="{00000000-0005-0000-0000-0000D1C60000}"/>
    <cellStyle name="Normal 30 8 5 7 2" xfId="50906" xr:uid="{00000000-0005-0000-0000-0000D2C60000}"/>
    <cellStyle name="Normal 30 8 5 7 3" xfId="50907" xr:uid="{00000000-0005-0000-0000-0000D3C60000}"/>
    <cellStyle name="Normal 30 8 5 8" xfId="50908" xr:uid="{00000000-0005-0000-0000-0000D4C60000}"/>
    <cellStyle name="Normal 30 8 5 8 2" xfId="50909" xr:uid="{00000000-0005-0000-0000-0000D5C60000}"/>
    <cellStyle name="Normal 30 8 5 8 3" xfId="50910" xr:uid="{00000000-0005-0000-0000-0000D6C60000}"/>
    <cellStyle name="Normal 30 8 5 9" xfId="50911" xr:uid="{00000000-0005-0000-0000-0000D7C60000}"/>
    <cellStyle name="Normal 30 8 5 9 2" xfId="50912" xr:uid="{00000000-0005-0000-0000-0000D8C60000}"/>
    <cellStyle name="Normal 30 8 5 9 3" xfId="50913" xr:uid="{00000000-0005-0000-0000-0000D9C60000}"/>
    <cellStyle name="Normal 30 8 6" xfId="50914" xr:uid="{00000000-0005-0000-0000-0000DAC60000}"/>
    <cellStyle name="Normal 30 8 6 10" xfId="50915" xr:uid="{00000000-0005-0000-0000-0000DBC60000}"/>
    <cellStyle name="Normal 30 8 6 10 2" xfId="50916" xr:uid="{00000000-0005-0000-0000-0000DCC60000}"/>
    <cellStyle name="Normal 30 8 6 10 3" xfId="50917" xr:uid="{00000000-0005-0000-0000-0000DDC60000}"/>
    <cellStyle name="Normal 30 8 6 11" xfId="50918" xr:uid="{00000000-0005-0000-0000-0000DEC60000}"/>
    <cellStyle name="Normal 30 8 6 11 2" xfId="50919" xr:uid="{00000000-0005-0000-0000-0000DFC60000}"/>
    <cellStyle name="Normal 30 8 6 11 3" xfId="50920" xr:uid="{00000000-0005-0000-0000-0000E0C60000}"/>
    <cellStyle name="Normal 30 8 6 12" xfId="50921" xr:uid="{00000000-0005-0000-0000-0000E1C60000}"/>
    <cellStyle name="Normal 30 8 6 12 2" xfId="50922" xr:uid="{00000000-0005-0000-0000-0000E2C60000}"/>
    <cellStyle name="Normal 30 8 6 12 3" xfId="50923" xr:uid="{00000000-0005-0000-0000-0000E3C60000}"/>
    <cellStyle name="Normal 30 8 6 13" xfId="50924" xr:uid="{00000000-0005-0000-0000-0000E4C60000}"/>
    <cellStyle name="Normal 30 8 6 13 2" xfId="50925" xr:uid="{00000000-0005-0000-0000-0000E5C60000}"/>
    <cellStyle name="Normal 30 8 6 13 3" xfId="50926" xr:uid="{00000000-0005-0000-0000-0000E6C60000}"/>
    <cellStyle name="Normal 30 8 6 14" xfId="50927" xr:uid="{00000000-0005-0000-0000-0000E7C60000}"/>
    <cellStyle name="Normal 30 8 6 14 2" xfId="50928" xr:uid="{00000000-0005-0000-0000-0000E8C60000}"/>
    <cellStyle name="Normal 30 8 6 14 3" xfId="50929" xr:uid="{00000000-0005-0000-0000-0000E9C60000}"/>
    <cellStyle name="Normal 30 8 6 15" xfId="50930" xr:uid="{00000000-0005-0000-0000-0000EAC60000}"/>
    <cellStyle name="Normal 30 8 6 16" xfId="50931" xr:uid="{00000000-0005-0000-0000-0000EBC60000}"/>
    <cellStyle name="Normal 30 8 6 2" xfId="50932" xr:uid="{00000000-0005-0000-0000-0000ECC60000}"/>
    <cellStyle name="Normal 30 8 6 2 2" xfId="50933" xr:uid="{00000000-0005-0000-0000-0000EDC60000}"/>
    <cellStyle name="Normal 30 8 6 2 3" xfId="50934" xr:uid="{00000000-0005-0000-0000-0000EEC60000}"/>
    <cellStyle name="Normal 30 8 6 3" xfId="50935" xr:uid="{00000000-0005-0000-0000-0000EFC60000}"/>
    <cellStyle name="Normal 30 8 6 3 2" xfId="50936" xr:uid="{00000000-0005-0000-0000-0000F0C60000}"/>
    <cellStyle name="Normal 30 8 6 3 3" xfId="50937" xr:uid="{00000000-0005-0000-0000-0000F1C60000}"/>
    <cellStyle name="Normal 30 8 6 4" xfId="50938" xr:uid="{00000000-0005-0000-0000-0000F2C60000}"/>
    <cellStyle name="Normal 30 8 6 4 2" xfId="50939" xr:uid="{00000000-0005-0000-0000-0000F3C60000}"/>
    <cellStyle name="Normal 30 8 6 4 3" xfId="50940" xr:uid="{00000000-0005-0000-0000-0000F4C60000}"/>
    <cellStyle name="Normal 30 8 6 5" xfId="50941" xr:uid="{00000000-0005-0000-0000-0000F5C60000}"/>
    <cellStyle name="Normal 30 8 6 5 2" xfId="50942" xr:uid="{00000000-0005-0000-0000-0000F6C60000}"/>
    <cellStyle name="Normal 30 8 6 5 3" xfId="50943" xr:uid="{00000000-0005-0000-0000-0000F7C60000}"/>
    <cellStyle name="Normal 30 8 6 6" xfId="50944" xr:uid="{00000000-0005-0000-0000-0000F8C60000}"/>
    <cellStyle name="Normal 30 8 6 6 2" xfId="50945" xr:uid="{00000000-0005-0000-0000-0000F9C60000}"/>
    <cellStyle name="Normal 30 8 6 6 3" xfId="50946" xr:uid="{00000000-0005-0000-0000-0000FAC60000}"/>
    <cellStyle name="Normal 30 8 6 7" xfId="50947" xr:uid="{00000000-0005-0000-0000-0000FBC60000}"/>
    <cellStyle name="Normal 30 8 6 7 2" xfId="50948" xr:uid="{00000000-0005-0000-0000-0000FCC60000}"/>
    <cellStyle name="Normal 30 8 6 7 3" xfId="50949" xr:uid="{00000000-0005-0000-0000-0000FDC60000}"/>
    <cellStyle name="Normal 30 8 6 8" xfId="50950" xr:uid="{00000000-0005-0000-0000-0000FEC60000}"/>
    <cellStyle name="Normal 30 8 6 8 2" xfId="50951" xr:uid="{00000000-0005-0000-0000-0000FFC60000}"/>
    <cellStyle name="Normal 30 8 6 8 3" xfId="50952" xr:uid="{00000000-0005-0000-0000-000000C70000}"/>
    <cellStyle name="Normal 30 8 6 9" xfId="50953" xr:uid="{00000000-0005-0000-0000-000001C70000}"/>
    <cellStyle name="Normal 30 8 6 9 2" xfId="50954" xr:uid="{00000000-0005-0000-0000-000002C70000}"/>
    <cellStyle name="Normal 30 8 6 9 3" xfId="50955" xr:uid="{00000000-0005-0000-0000-000003C70000}"/>
    <cellStyle name="Normal 30 8 7" xfId="50956" xr:uid="{00000000-0005-0000-0000-000004C70000}"/>
    <cellStyle name="Normal 30 8 7 10" xfId="50957" xr:uid="{00000000-0005-0000-0000-000005C70000}"/>
    <cellStyle name="Normal 30 8 7 10 2" xfId="50958" xr:uid="{00000000-0005-0000-0000-000006C70000}"/>
    <cellStyle name="Normal 30 8 7 10 3" xfId="50959" xr:uid="{00000000-0005-0000-0000-000007C70000}"/>
    <cellStyle name="Normal 30 8 7 11" xfId="50960" xr:uid="{00000000-0005-0000-0000-000008C70000}"/>
    <cellStyle name="Normal 30 8 7 11 2" xfId="50961" xr:uid="{00000000-0005-0000-0000-000009C70000}"/>
    <cellStyle name="Normal 30 8 7 11 3" xfId="50962" xr:uid="{00000000-0005-0000-0000-00000AC70000}"/>
    <cellStyle name="Normal 30 8 7 12" xfId="50963" xr:uid="{00000000-0005-0000-0000-00000BC70000}"/>
    <cellStyle name="Normal 30 8 7 12 2" xfId="50964" xr:uid="{00000000-0005-0000-0000-00000CC70000}"/>
    <cellStyle name="Normal 30 8 7 12 3" xfId="50965" xr:uid="{00000000-0005-0000-0000-00000DC70000}"/>
    <cellStyle name="Normal 30 8 7 13" xfId="50966" xr:uid="{00000000-0005-0000-0000-00000EC70000}"/>
    <cellStyle name="Normal 30 8 7 13 2" xfId="50967" xr:uid="{00000000-0005-0000-0000-00000FC70000}"/>
    <cellStyle name="Normal 30 8 7 13 3" xfId="50968" xr:uid="{00000000-0005-0000-0000-000010C70000}"/>
    <cellStyle name="Normal 30 8 7 14" xfId="50969" xr:uid="{00000000-0005-0000-0000-000011C70000}"/>
    <cellStyle name="Normal 30 8 7 14 2" xfId="50970" xr:uid="{00000000-0005-0000-0000-000012C70000}"/>
    <cellStyle name="Normal 30 8 7 14 3" xfId="50971" xr:uid="{00000000-0005-0000-0000-000013C70000}"/>
    <cellStyle name="Normal 30 8 7 15" xfId="50972" xr:uid="{00000000-0005-0000-0000-000014C70000}"/>
    <cellStyle name="Normal 30 8 7 16" xfId="50973" xr:uid="{00000000-0005-0000-0000-000015C70000}"/>
    <cellStyle name="Normal 30 8 7 2" xfId="50974" xr:uid="{00000000-0005-0000-0000-000016C70000}"/>
    <cellStyle name="Normal 30 8 7 2 2" xfId="50975" xr:uid="{00000000-0005-0000-0000-000017C70000}"/>
    <cellStyle name="Normal 30 8 7 2 3" xfId="50976" xr:uid="{00000000-0005-0000-0000-000018C70000}"/>
    <cellStyle name="Normal 30 8 7 3" xfId="50977" xr:uid="{00000000-0005-0000-0000-000019C70000}"/>
    <cellStyle name="Normal 30 8 7 3 2" xfId="50978" xr:uid="{00000000-0005-0000-0000-00001AC70000}"/>
    <cellStyle name="Normal 30 8 7 3 3" xfId="50979" xr:uid="{00000000-0005-0000-0000-00001BC70000}"/>
    <cellStyle name="Normal 30 8 7 4" xfId="50980" xr:uid="{00000000-0005-0000-0000-00001CC70000}"/>
    <cellStyle name="Normal 30 8 7 4 2" xfId="50981" xr:uid="{00000000-0005-0000-0000-00001DC70000}"/>
    <cellStyle name="Normal 30 8 7 4 3" xfId="50982" xr:uid="{00000000-0005-0000-0000-00001EC70000}"/>
    <cellStyle name="Normal 30 8 7 5" xfId="50983" xr:uid="{00000000-0005-0000-0000-00001FC70000}"/>
    <cellStyle name="Normal 30 8 7 5 2" xfId="50984" xr:uid="{00000000-0005-0000-0000-000020C70000}"/>
    <cellStyle name="Normal 30 8 7 5 3" xfId="50985" xr:uid="{00000000-0005-0000-0000-000021C70000}"/>
    <cellStyle name="Normal 30 8 7 6" xfId="50986" xr:uid="{00000000-0005-0000-0000-000022C70000}"/>
    <cellStyle name="Normal 30 8 7 6 2" xfId="50987" xr:uid="{00000000-0005-0000-0000-000023C70000}"/>
    <cellStyle name="Normal 30 8 7 6 3" xfId="50988" xr:uid="{00000000-0005-0000-0000-000024C70000}"/>
    <cellStyle name="Normal 30 8 7 7" xfId="50989" xr:uid="{00000000-0005-0000-0000-000025C70000}"/>
    <cellStyle name="Normal 30 8 7 7 2" xfId="50990" xr:uid="{00000000-0005-0000-0000-000026C70000}"/>
    <cellStyle name="Normal 30 8 7 7 3" xfId="50991" xr:uid="{00000000-0005-0000-0000-000027C70000}"/>
    <cellStyle name="Normal 30 8 7 8" xfId="50992" xr:uid="{00000000-0005-0000-0000-000028C70000}"/>
    <cellStyle name="Normal 30 8 7 8 2" xfId="50993" xr:uid="{00000000-0005-0000-0000-000029C70000}"/>
    <cellStyle name="Normal 30 8 7 8 3" xfId="50994" xr:uid="{00000000-0005-0000-0000-00002AC70000}"/>
    <cellStyle name="Normal 30 8 7 9" xfId="50995" xr:uid="{00000000-0005-0000-0000-00002BC70000}"/>
    <cellStyle name="Normal 30 8 7 9 2" xfId="50996" xr:uid="{00000000-0005-0000-0000-00002CC70000}"/>
    <cellStyle name="Normal 30 8 7 9 3" xfId="50997" xr:uid="{00000000-0005-0000-0000-00002DC70000}"/>
    <cellStyle name="Normal 30 8 8" xfId="50998" xr:uid="{00000000-0005-0000-0000-00002EC70000}"/>
    <cellStyle name="Normal 30 8 8 10" xfId="50999" xr:uid="{00000000-0005-0000-0000-00002FC70000}"/>
    <cellStyle name="Normal 30 8 8 10 2" xfId="51000" xr:uid="{00000000-0005-0000-0000-000030C70000}"/>
    <cellStyle name="Normal 30 8 8 10 3" xfId="51001" xr:uid="{00000000-0005-0000-0000-000031C70000}"/>
    <cellStyle name="Normal 30 8 8 11" xfId="51002" xr:uid="{00000000-0005-0000-0000-000032C70000}"/>
    <cellStyle name="Normal 30 8 8 11 2" xfId="51003" xr:uid="{00000000-0005-0000-0000-000033C70000}"/>
    <cellStyle name="Normal 30 8 8 11 3" xfId="51004" xr:uid="{00000000-0005-0000-0000-000034C70000}"/>
    <cellStyle name="Normal 30 8 8 12" xfId="51005" xr:uid="{00000000-0005-0000-0000-000035C70000}"/>
    <cellStyle name="Normal 30 8 8 12 2" xfId="51006" xr:uid="{00000000-0005-0000-0000-000036C70000}"/>
    <cellStyle name="Normal 30 8 8 12 3" xfId="51007" xr:uid="{00000000-0005-0000-0000-000037C70000}"/>
    <cellStyle name="Normal 30 8 8 13" xfId="51008" xr:uid="{00000000-0005-0000-0000-000038C70000}"/>
    <cellStyle name="Normal 30 8 8 13 2" xfId="51009" xr:uid="{00000000-0005-0000-0000-000039C70000}"/>
    <cellStyle name="Normal 30 8 8 13 3" xfId="51010" xr:uid="{00000000-0005-0000-0000-00003AC70000}"/>
    <cellStyle name="Normal 30 8 8 14" xfId="51011" xr:uid="{00000000-0005-0000-0000-00003BC70000}"/>
    <cellStyle name="Normal 30 8 8 14 2" xfId="51012" xr:uid="{00000000-0005-0000-0000-00003CC70000}"/>
    <cellStyle name="Normal 30 8 8 14 3" xfId="51013" xr:uid="{00000000-0005-0000-0000-00003DC70000}"/>
    <cellStyle name="Normal 30 8 8 15" xfId="51014" xr:uid="{00000000-0005-0000-0000-00003EC70000}"/>
    <cellStyle name="Normal 30 8 8 16" xfId="51015" xr:uid="{00000000-0005-0000-0000-00003FC70000}"/>
    <cellStyle name="Normal 30 8 8 2" xfId="51016" xr:uid="{00000000-0005-0000-0000-000040C70000}"/>
    <cellStyle name="Normal 30 8 8 2 2" xfId="51017" xr:uid="{00000000-0005-0000-0000-000041C70000}"/>
    <cellStyle name="Normal 30 8 8 2 3" xfId="51018" xr:uid="{00000000-0005-0000-0000-000042C70000}"/>
    <cellStyle name="Normal 30 8 8 3" xfId="51019" xr:uid="{00000000-0005-0000-0000-000043C70000}"/>
    <cellStyle name="Normal 30 8 8 3 2" xfId="51020" xr:uid="{00000000-0005-0000-0000-000044C70000}"/>
    <cellStyle name="Normal 30 8 8 3 3" xfId="51021" xr:uid="{00000000-0005-0000-0000-000045C70000}"/>
    <cellStyle name="Normal 30 8 8 4" xfId="51022" xr:uid="{00000000-0005-0000-0000-000046C70000}"/>
    <cellStyle name="Normal 30 8 8 4 2" xfId="51023" xr:uid="{00000000-0005-0000-0000-000047C70000}"/>
    <cellStyle name="Normal 30 8 8 4 3" xfId="51024" xr:uid="{00000000-0005-0000-0000-000048C70000}"/>
    <cellStyle name="Normal 30 8 8 5" xfId="51025" xr:uid="{00000000-0005-0000-0000-000049C70000}"/>
    <cellStyle name="Normal 30 8 8 5 2" xfId="51026" xr:uid="{00000000-0005-0000-0000-00004AC70000}"/>
    <cellStyle name="Normal 30 8 8 5 3" xfId="51027" xr:uid="{00000000-0005-0000-0000-00004BC70000}"/>
    <cellStyle name="Normal 30 8 8 6" xfId="51028" xr:uid="{00000000-0005-0000-0000-00004CC70000}"/>
    <cellStyle name="Normal 30 8 8 6 2" xfId="51029" xr:uid="{00000000-0005-0000-0000-00004DC70000}"/>
    <cellStyle name="Normal 30 8 8 6 3" xfId="51030" xr:uid="{00000000-0005-0000-0000-00004EC70000}"/>
    <cellStyle name="Normal 30 8 8 7" xfId="51031" xr:uid="{00000000-0005-0000-0000-00004FC70000}"/>
    <cellStyle name="Normal 30 8 8 7 2" xfId="51032" xr:uid="{00000000-0005-0000-0000-000050C70000}"/>
    <cellStyle name="Normal 30 8 8 7 3" xfId="51033" xr:uid="{00000000-0005-0000-0000-000051C70000}"/>
    <cellStyle name="Normal 30 8 8 8" xfId="51034" xr:uid="{00000000-0005-0000-0000-000052C70000}"/>
    <cellStyle name="Normal 30 8 8 8 2" xfId="51035" xr:uid="{00000000-0005-0000-0000-000053C70000}"/>
    <cellStyle name="Normal 30 8 8 8 3" xfId="51036" xr:uid="{00000000-0005-0000-0000-000054C70000}"/>
    <cellStyle name="Normal 30 8 8 9" xfId="51037" xr:uid="{00000000-0005-0000-0000-000055C70000}"/>
    <cellStyle name="Normal 30 8 8 9 2" xfId="51038" xr:uid="{00000000-0005-0000-0000-000056C70000}"/>
    <cellStyle name="Normal 30 8 8 9 3" xfId="51039" xr:uid="{00000000-0005-0000-0000-000057C70000}"/>
    <cellStyle name="Normal 30 8 9" xfId="51040" xr:uid="{00000000-0005-0000-0000-000058C70000}"/>
    <cellStyle name="Normal 30 8 9 10" xfId="51041" xr:uid="{00000000-0005-0000-0000-000059C70000}"/>
    <cellStyle name="Normal 30 8 9 10 2" xfId="51042" xr:uid="{00000000-0005-0000-0000-00005AC70000}"/>
    <cellStyle name="Normal 30 8 9 10 3" xfId="51043" xr:uid="{00000000-0005-0000-0000-00005BC70000}"/>
    <cellStyle name="Normal 30 8 9 11" xfId="51044" xr:uid="{00000000-0005-0000-0000-00005CC70000}"/>
    <cellStyle name="Normal 30 8 9 11 2" xfId="51045" xr:uid="{00000000-0005-0000-0000-00005DC70000}"/>
    <cellStyle name="Normal 30 8 9 11 3" xfId="51046" xr:uid="{00000000-0005-0000-0000-00005EC70000}"/>
    <cellStyle name="Normal 30 8 9 12" xfId="51047" xr:uid="{00000000-0005-0000-0000-00005FC70000}"/>
    <cellStyle name="Normal 30 8 9 12 2" xfId="51048" xr:uid="{00000000-0005-0000-0000-000060C70000}"/>
    <cellStyle name="Normal 30 8 9 12 3" xfId="51049" xr:uid="{00000000-0005-0000-0000-000061C70000}"/>
    <cellStyle name="Normal 30 8 9 13" xfId="51050" xr:uid="{00000000-0005-0000-0000-000062C70000}"/>
    <cellStyle name="Normal 30 8 9 13 2" xfId="51051" xr:uid="{00000000-0005-0000-0000-000063C70000}"/>
    <cellStyle name="Normal 30 8 9 13 3" xfId="51052" xr:uid="{00000000-0005-0000-0000-000064C70000}"/>
    <cellStyle name="Normal 30 8 9 14" xfId="51053" xr:uid="{00000000-0005-0000-0000-000065C70000}"/>
    <cellStyle name="Normal 30 8 9 14 2" xfId="51054" xr:uid="{00000000-0005-0000-0000-000066C70000}"/>
    <cellStyle name="Normal 30 8 9 14 3" xfId="51055" xr:uid="{00000000-0005-0000-0000-000067C70000}"/>
    <cellStyle name="Normal 30 8 9 15" xfId="51056" xr:uid="{00000000-0005-0000-0000-000068C70000}"/>
    <cellStyle name="Normal 30 8 9 16" xfId="51057" xr:uid="{00000000-0005-0000-0000-000069C70000}"/>
    <cellStyle name="Normal 30 8 9 2" xfId="51058" xr:uid="{00000000-0005-0000-0000-00006AC70000}"/>
    <cellStyle name="Normal 30 8 9 2 2" xfId="51059" xr:uid="{00000000-0005-0000-0000-00006BC70000}"/>
    <cellStyle name="Normal 30 8 9 2 3" xfId="51060" xr:uid="{00000000-0005-0000-0000-00006CC70000}"/>
    <cellStyle name="Normal 30 8 9 3" xfId="51061" xr:uid="{00000000-0005-0000-0000-00006DC70000}"/>
    <cellStyle name="Normal 30 8 9 3 2" xfId="51062" xr:uid="{00000000-0005-0000-0000-00006EC70000}"/>
    <cellStyle name="Normal 30 8 9 3 3" xfId="51063" xr:uid="{00000000-0005-0000-0000-00006FC70000}"/>
    <cellStyle name="Normal 30 8 9 4" xfId="51064" xr:uid="{00000000-0005-0000-0000-000070C70000}"/>
    <cellStyle name="Normal 30 8 9 4 2" xfId="51065" xr:uid="{00000000-0005-0000-0000-000071C70000}"/>
    <cellStyle name="Normal 30 8 9 4 3" xfId="51066" xr:uid="{00000000-0005-0000-0000-000072C70000}"/>
    <cellStyle name="Normal 30 8 9 5" xfId="51067" xr:uid="{00000000-0005-0000-0000-000073C70000}"/>
    <cellStyle name="Normal 30 8 9 5 2" xfId="51068" xr:uid="{00000000-0005-0000-0000-000074C70000}"/>
    <cellStyle name="Normal 30 8 9 5 3" xfId="51069" xr:uid="{00000000-0005-0000-0000-000075C70000}"/>
    <cellStyle name="Normal 30 8 9 6" xfId="51070" xr:uid="{00000000-0005-0000-0000-000076C70000}"/>
    <cellStyle name="Normal 30 8 9 6 2" xfId="51071" xr:uid="{00000000-0005-0000-0000-000077C70000}"/>
    <cellStyle name="Normal 30 8 9 6 3" xfId="51072" xr:uid="{00000000-0005-0000-0000-000078C70000}"/>
    <cellStyle name="Normal 30 8 9 7" xfId="51073" xr:uid="{00000000-0005-0000-0000-000079C70000}"/>
    <cellStyle name="Normal 30 8 9 7 2" xfId="51074" xr:uid="{00000000-0005-0000-0000-00007AC70000}"/>
    <cellStyle name="Normal 30 8 9 7 3" xfId="51075" xr:uid="{00000000-0005-0000-0000-00007BC70000}"/>
    <cellStyle name="Normal 30 8 9 8" xfId="51076" xr:uid="{00000000-0005-0000-0000-00007CC70000}"/>
    <cellStyle name="Normal 30 8 9 8 2" xfId="51077" xr:uid="{00000000-0005-0000-0000-00007DC70000}"/>
    <cellStyle name="Normal 30 8 9 8 3" xfId="51078" xr:uid="{00000000-0005-0000-0000-00007EC70000}"/>
    <cellStyle name="Normal 30 8 9 9" xfId="51079" xr:uid="{00000000-0005-0000-0000-00007FC70000}"/>
    <cellStyle name="Normal 30 8 9 9 2" xfId="51080" xr:uid="{00000000-0005-0000-0000-000080C70000}"/>
    <cellStyle name="Normal 30 8 9 9 3" xfId="51081" xr:uid="{00000000-0005-0000-0000-000081C70000}"/>
    <cellStyle name="Normal 31" xfId="51082" xr:uid="{00000000-0005-0000-0000-000082C70000}"/>
    <cellStyle name="Normal 31 2" xfId="51083" xr:uid="{00000000-0005-0000-0000-000083C70000}"/>
    <cellStyle name="Normal 31 3" xfId="51084" xr:uid="{00000000-0005-0000-0000-000084C70000}"/>
    <cellStyle name="Normal 31 4" xfId="51085" xr:uid="{00000000-0005-0000-0000-000085C70000}"/>
    <cellStyle name="Normal 31 5" xfId="51086" xr:uid="{00000000-0005-0000-0000-000086C70000}"/>
    <cellStyle name="Normal 31 6" xfId="51087" xr:uid="{00000000-0005-0000-0000-000087C70000}"/>
    <cellStyle name="Normal 32" xfId="51088" xr:uid="{00000000-0005-0000-0000-000088C70000}"/>
    <cellStyle name="Normal 32 2" xfId="51089" xr:uid="{00000000-0005-0000-0000-000089C70000}"/>
    <cellStyle name="Normal 32 3" xfId="51090" xr:uid="{00000000-0005-0000-0000-00008AC70000}"/>
    <cellStyle name="Normal 33" xfId="51091" xr:uid="{00000000-0005-0000-0000-00008BC70000}"/>
    <cellStyle name="Normal 33 2" xfId="51092" xr:uid="{00000000-0005-0000-0000-00008CC70000}"/>
    <cellStyle name="Normal 33 3" xfId="51093" xr:uid="{00000000-0005-0000-0000-00008DC70000}"/>
    <cellStyle name="Normal 33 4" xfId="51094" xr:uid="{00000000-0005-0000-0000-00008EC70000}"/>
    <cellStyle name="Normal 34" xfId="51095" xr:uid="{00000000-0005-0000-0000-00008FC70000}"/>
    <cellStyle name="Normal 34 2" xfId="51096" xr:uid="{00000000-0005-0000-0000-000090C70000}"/>
    <cellStyle name="Normal 34 3" xfId="51097" xr:uid="{00000000-0005-0000-0000-000091C70000}"/>
    <cellStyle name="Normal 34 4" xfId="51098" xr:uid="{00000000-0005-0000-0000-000092C70000}"/>
    <cellStyle name="Normal 34 5" xfId="51099" xr:uid="{00000000-0005-0000-0000-000093C70000}"/>
    <cellStyle name="Normal 34 6" xfId="51100" xr:uid="{00000000-0005-0000-0000-000094C70000}"/>
    <cellStyle name="Normal 35" xfId="55" xr:uid="{00000000-0005-0000-0000-000095C70000}"/>
    <cellStyle name="Normal 35 10" xfId="51101" xr:uid="{00000000-0005-0000-0000-000096C70000}"/>
    <cellStyle name="Normal 35 11" xfId="51102" xr:uid="{00000000-0005-0000-0000-000097C70000}"/>
    <cellStyle name="Normal 35 12" xfId="51103" xr:uid="{00000000-0005-0000-0000-000098C70000}"/>
    <cellStyle name="Normal 35 13" xfId="51104" xr:uid="{00000000-0005-0000-0000-000099C70000}"/>
    <cellStyle name="Normal 35 14" xfId="51105" xr:uid="{00000000-0005-0000-0000-00009AC70000}"/>
    <cellStyle name="Normal 35 15" xfId="51106" xr:uid="{00000000-0005-0000-0000-00009BC70000}"/>
    <cellStyle name="Normal 35 16" xfId="51107" xr:uid="{00000000-0005-0000-0000-00009CC70000}"/>
    <cellStyle name="Normal 35 17" xfId="51108" xr:uid="{00000000-0005-0000-0000-00009DC70000}"/>
    <cellStyle name="Normal 35 2" xfId="51109" xr:uid="{00000000-0005-0000-0000-00009EC70000}"/>
    <cellStyle name="Normal 35 3" xfId="51110" xr:uid="{00000000-0005-0000-0000-00009FC70000}"/>
    <cellStyle name="Normal 35 4" xfId="51111" xr:uid="{00000000-0005-0000-0000-0000A0C70000}"/>
    <cellStyle name="Normal 35 5" xfId="51112" xr:uid="{00000000-0005-0000-0000-0000A1C70000}"/>
    <cellStyle name="Normal 35 6" xfId="51113" xr:uid="{00000000-0005-0000-0000-0000A2C70000}"/>
    <cellStyle name="Normal 35 7" xfId="51114" xr:uid="{00000000-0005-0000-0000-0000A3C70000}"/>
    <cellStyle name="Normal 35 8" xfId="51115" xr:uid="{00000000-0005-0000-0000-0000A4C70000}"/>
    <cellStyle name="Normal 35 9" xfId="51116" xr:uid="{00000000-0005-0000-0000-0000A5C70000}"/>
    <cellStyle name="Normal 36" xfId="51117" xr:uid="{00000000-0005-0000-0000-0000A6C70000}"/>
    <cellStyle name="Normal 36 2" xfId="51118" xr:uid="{00000000-0005-0000-0000-0000A7C70000}"/>
    <cellStyle name="Normal 36 3" xfId="51119" xr:uid="{00000000-0005-0000-0000-0000A8C70000}"/>
    <cellStyle name="Normal 37" xfId="51120" xr:uid="{00000000-0005-0000-0000-0000A9C70000}"/>
    <cellStyle name="Normal 37 2" xfId="51121" xr:uid="{00000000-0005-0000-0000-0000AAC70000}"/>
    <cellStyle name="Normal 37 2 10" xfId="51122" xr:uid="{00000000-0005-0000-0000-0000ABC70000}"/>
    <cellStyle name="Normal 37 2 10 10" xfId="51123" xr:uid="{00000000-0005-0000-0000-0000ACC70000}"/>
    <cellStyle name="Normal 37 2 10 10 2" xfId="51124" xr:uid="{00000000-0005-0000-0000-0000ADC70000}"/>
    <cellStyle name="Normal 37 2 10 10 3" xfId="51125" xr:uid="{00000000-0005-0000-0000-0000AEC70000}"/>
    <cellStyle name="Normal 37 2 10 11" xfId="51126" xr:uid="{00000000-0005-0000-0000-0000AFC70000}"/>
    <cellStyle name="Normal 37 2 10 11 2" xfId="51127" xr:uid="{00000000-0005-0000-0000-0000B0C70000}"/>
    <cellStyle name="Normal 37 2 10 11 3" xfId="51128" xr:uid="{00000000-0005-0000-0000-0000B1C70000}"/>
    <cellStyle name="Normal 37 2 10 12" xfId="51129" xr:uid="{00000000-0005-0000-0000-0000B2C70000}"/>
    <cellStyle name="Normal 37 2 10 12 2" xfId="51130" xr:uid="{00000000-0005-0000-0000-0000B3C70000}"/>
    <cellStyle name="Normal 37 2 10 12 3" xfId="51131" xr:uid="{00000000-0005-0000-0000-0000B4C70000}"/>
    <cellStyle name="Normal 37 2 10 13" xfId="51132" xr:uid="{00000000-0005-0000-0000-0000B5C70000}"/>
    <cellStyle name="Normal 37 2 10 13 2" xfId="51133" xr:uid="{00000000-0005-0000-0000-0000B6C70000}"/>
    <cellStyle name="Normal 37 2 10 13 3" xfId="51134" xr:uid="{00000000-0005-0000-0000-0000B7C70000}"/>
    <cellStyle name="Normal 37 2 10 14" xfId="51135" xr:uid="{00000000-0005-0000-0000-0000B8C70000}"/>
    <cellStyle name="Normal 37 2 10 14 2" xfId="51136" xr:uid="{00000000-0005-0000-0000-0000B9C70000}"/>
    <cellStyle name="Normal 37 2 10 14 3" xfId="51137" xr:uid="{00000000-0005-0000-0000-0000BAC70000}"/>
    <cellStyle name="Normal 37 2 10 15" xfId="51138" xr:uid="{00000000-0005-0000-0000-0000BBC70000}"/>
    <cellStyle name="Normal 37 2 10 16" xfId="51139" xr:uid="{00000000-0005-0000-0000-0000BCC70000}"/>
    <cellStyle name="Normal 37 2 10 2" xfId="51140" xr:uid="{00000000-0005-0000-0000-0000BDC70000}"/>
    <cellStyle name="Normal 37 2 10 2 2" xfId="51141" xr:uid="{00000000-0005-0000-0000-0000BEC70000}"/>
    <cellStyle name="Normal 37 2 10 2 3" xfId="51142" xr:uid="{00000000-0005-0000-0000-0000BFC70000}"/>
    <cellStyle name="Normal 37 2 10 3" xfId="51143" xr:uid="{00000000-0005-0000-0000-0000C0C70000}"/>
    <cellStyle name="Normal 37 2 10 3 2" xfId="51144" xr:uid="{00000000-0005-0000-0000-0000C1C70000}"/>
    <cellStyle name="Normal 37 2 10 3 3" xfId="51145" xr:uid="{00000000-0005-0000-0000-0000C2C70000}"/>
    <cellStyle name="Normal 37 2 10 4" xfId="51146" xr:uid="{00000000-0005-0000-0000-0000C3C70000}"/>
    <cellStyle name="Normal 37 2 10 4 2" xfId="51147" xr:uid="{00000000-0005-0000-0000-0000C4C70000}"/>
    <cellStyle name="Normal 37 2 10 4 3" xfId="51148" xr:uid="{00000000-0005-0000-0000-0000C5C70000}"/>
    <cellStyle name="Normal 37 2 10 5" xfId="51149" xr:uid="{00000000-0005-0000-0000-0000C6C70000}"/>
    <cellStyle name="Normal 37 2 10 5 2" xfId="51150" xr:uid="{00000000-0005-0000-0000-0000C7C70000}"/>
    <cellStyle name="Normal 37 2 10 5 3" xfId="51151" xr:uid="{00000000-0005-0000-0000-0000C8C70000}"/>
    <cellStyle name="Normal 37 2 10 6" xfId="51152" xr:uid="{00000000-0005-0000-0000-0000C9C70000}"/>
    <cellStyle name="Normal 37 2 10 6 2" xfId="51153" xr:uid="{00000000-0005-0000-0000-0000CAC70000}"/>
    <cellStyle name="Normal 37 2 10 6 3" xfId="51154" xr:uid="{00000000-0005-0000-0000-0000CBC70000}"/>
    <cellStyle name="Normal 37 2 10 7" xfId="51155" xr:uid="{00000000-0005-0000-0000-0000CCC70000}"/>
    <cellStyle name="Normal 37 2 10 7 2" xfId="51156" xr:uid="{00000000-0005-0000-0000-0000CDC70000}"/>
    <cellStyle name="Normal 37 2 10 7 3" xfId="51157" xr:uid="{00000000-0005-0000-0000-0000CEC70000}"/>
    <cellStyle name="Normal 37 2 10 8" xfId="51158" xr:uid="{00000000-0005-0000-0000-0000CFC70000}"/>
    <cellStyle name="Normal 37 2 10 8 2" xfId="51159" xr:uid="{00000000-0005-0000-0000-0000D0C70000}"/>
    <cellStyle name="Normal 37 2 10 8 3" xfId="51160" xr:uid="{00000000-0005-0000-0000-0000D1C70000}"/>
    <cellStyle name="Normal 37 2 10 9" xfId="51161" xr:uid="{00000000-0005-0000-0000-0000D2C70000}"/>
    <cellStyle name="Normal 37 2 10 9 2" xfId="51162" xr:uid="{00000000-0005-0000-0000-0000D3C70000}"/>
    <cellStyle name="Normal 37 2 10 9 3" xfId="51163" xr:uid="{00000000-0005-0000-0000-0000D4C70000}"/>
    <cellStyle name="Normal 37 2 11" xfId="51164" xr:uid="{00000000-0005-0000-0000-0000D5C70000}"/>
    <cellStyle name="Normal 37 2 11 10" xfId="51165" xr:uid="{00000000-0005-0000-0000-0000D6C70000}"/>
    <cellStyle name="Normal 37 2 11 10 2" xfId="51166" xr:uid="{00000000-0005-0000-0000-0000D7C70000}"/>
    <cellStyle name="Normal 37 2 11 10 3" xfId="51167" xr:uid="{00000000-0005-0000-0000-0000D8C70000}"/>
    <cellStyle name="Normal 37 2 11 11" xfId="51168" xr:uid="{00000000-0005-0000-0000-0000D9C70000}"/>
    <cellStyle name="Normal 37 2 11 11 2" xfId="51169" xr:uid="{00000000-0005-0000-0000-0000DAC70000}"/>
    <cellStyle name="Normal 37 2 11 11 3" xfId="51170" xr:uid="{00000000-0005-0000-0000-0000DBC70000}"/>
    <cellStyle name="Normal 37 2 11 12" xfId="51171" xr:uid="{00000000-0005-0000-0000-0000DCC70000}"/>
    <cellStyle name="Normal 37 2 11 12 2" xfId="51172" xr:uid="{00000000-0005-0000-0000-0000DDC70000}"/>
    <cellStyle name="Normal 37 2 11 12 3" xfId="51173" xr:uid="{00000000-0005-0000-0000-0000DEC70000}"/>
    <cellStyle name="Normal 37 2 11 13" xfId="51174" xr:uid="{00000000-0005-0000-0000-0000DFC70000}"/>
    <cellStyle name="Normal 37 2 11 13 2" xfId="51175" xr:uid="{00000000-0005-0000-0000-0000E0C70000}"/>
    <cellStyle name="Normal 37 2 11 13 3" xfId="51176" xr:uid="{00000000-0005-0000-0000-0000E1C70000}"/>
    <cellStyle name="Normal 37 2 11 14" xfId="51177" xr:uid="{00000000-0005-0000-0000-0000E2C70000}"/>
    <cellStyle name="Normal 37 2 11 14 2" xfId="51178" xr:uid="{00000000-0005-0000-0000-0000E3C70000}"/>
    <cellStyle name="Normal 37 2 11 14 3" xfId="51179" xr:uid="{00000000-0005-0000-0000-0000E4C70000}"/>
    <cellStyle name="Normal 37 2 11 15" xfId="51180" xr:uid="{00000000-0005-0000-0000-0000E5C70000}"/>
    <cellStyle name="Normal 37 2 11 16" xfId="51181" xr:uid="{00000000-0005-0000-0000-0000E6C70000}"/>
    <cellStyle name="Normal 37 2 11 2" xfId="51182" xr:uid="{00000000-0005-0000-0000-0000E7C70000}"/>
    <cellStyle name="Normal 37 2 11 2 2" xfId="51183" xr:uid="{00000000-0005-0000-0000-0000E8C70000}"/>
    <cellStyle name="Normal 37 2 11 2 3" xfId="51184" xr:uid="{00000000-0005-0000-0000-0000E9C70000}"/>
    <cellStyle name="Normal 37 2 11 3" xfId="51185" xr:uid="{00000000-0005-0000-0000-0000EAC70000}"/>
    <cellStyle name="Normal 37 2 11 3 2" xfId="51186" xr:uid="{00000000-0005-0000-0000-0000EBC70000}"/>
    <cellStyle name="Normal 37 2 11 3 3" xfId="51187" xr:uid="{00000000-0005-0000-0000-0000ECC70000}"/>
    <cellStyle name="Normal 37 2 11 4" xfId="51188" xr:uid="{00000000-0005-0000-0000-0000EDC70000}"/>
    <cellStyle name="Normal 37 2 11 4 2" xfId="51189" xr:uid="{00000000-0005-0000-0000-0000EEC70000}"/>
    <cellStyle name="Normal 37 2 11 4 3" xfId="51190" xr:uid="{00000000-0005-0000-0000-0000EFC70000}"/>
    <cellStyle name="Normal 37 2 11 5" xfId="51191" xr:uid="{00000000-0005-0000-0000-0000F0C70000}"/>
    <cellStyle name="Normal 37 2 11 5 2" xfId="51192" xr:uid="{00000000-0005-0000-0000-0000F1C70000}"/>
    <cellStyle name="Normal 37 2 11 5 3" xfId="51193" xr:uid="{00000000-0005-0000-0000-0000F2C70000}"/>
    <cellStyle name="Normal 37 2 11 6" xfId="51194" xr:uid="{00000000-0005-0000-0000-0000F3C70000}"/>
    <cellStyle name="Normal 37 2 11 6 2" xfId="51195" xr:uid="{00000000-0005-0000-0000-0000F4C70000}"/>
    <cellStyle name="Normal 37 2 11 6 3" xfId="51196" xr:uid="{00000000-0005-0000-0000-0000F5C70000}"/>
    <cellStyle name="Normal 37 2 11 7" xfId="51197" xr:uid="{00000000-0005-0000-0000-0000F6C70000}"/>
    <cellStyle name="Normal 37 2 11 7 2" xfId="51198" xr:uid="{00000000-0005-0000-0000-0000F7C70000}"/>
    <cellStyle name="Normal 37 2 11 7 3" xfId="51199" xr:uid="{00000000-0005-0000-0000-0000F8C70000}"/>
    <cellStyle name="Normal 37 2 11 8" xfId="51200" xr:uid="{00000000-0005-0000-0000-0000F9C70000}"/>
    <cellStyle name="Normal 37 2 11 8 2" xfId="51201" xr:uid="{00000000-0005-0000-0000-0000FAC70000}"/>
    <cellStyle name="Normal 37 2 11 8 3" xfId="51202" xr:uid="{00000000-0005-0000-0000-0000FBC70000}"/>
    <cellStyle name="Normal 37 2 11 9" xfId="51203" xr:uid="{00000000-0005-0000-0000-0000FCC70000}"/>
    <cellStyle name="Normal 37 2 11 9 2" xfId="51204" xr:uid="{00000000-0005-0000-0000-0000FDC70000}"/>
    <cellStyle name="Normal 37 2 11 9 3" xfId="51205" xr:uid="{00000000-0005-0000-0000-0000FEC70000}"/>
    <cellStyle name="Normal 37 2 12" xfId="51206" xr:uid="{00000000-0005-0000-0000-0000FFC70000}"/>
    <cellStyle name="Normal 37 2 12 10" xfId="51207" xr:uid="{00000000-0005-0000-0000-000000C80000}"/>
    <cellStyle name="Normal 37 2 12 10 2" xfId="51208" xr:uid="{00000000-0005-0000-0000-000001C80000}"/>
    <cellStyle name="Normal 37 2 12 10 3" xfId="51209" xr:uid="{00000000-0005-0000-0000-000002C80000}"/>
    <cellStyle name="Normal 37 2 12 11" xfId="51210" xr:uid="{00000000-0005-0000-0000-000003C80000}"/>
    <cellStyle name="Normal 37 2 12 11 2" xfId="51211" xr:uid="{00000000-0005-0000-0000-000004C80000}"/>
    <cellStyle name="Normal 37 2 12 11 3" xfId="51212" xr:uid="{00000000-0005-0000-0000-000005C80000}"/>
    <cellStyle name="Normal 37 2 12 12" xfId="51213" xr:uid="{00000000-0005-0000-0000-000006C80000}"/>
    <cellStyle name="Normal 37 2 12 12 2" xfId="51214" xr:uid="{00000000-0005-0000-0000-000007C80000}"/>
    <cellStyle name="Normal 37 2 12 12 3" xfId="51215" xr:uid="{00000000-0005-0000-0000-000008C80000}"/>
    <cellStyle name="Normal 37 2 12 13" xfId="51216" xr:uid="{00000000-0005-0000-0000-000009C80000}"/>
    <cellStyle name="Normal 37 2 12 13 2" xfId="51217" xr:uid="{00000000-0005-0000-0000-00000AC80000}"/>
    <cellStyle name="Normal 37 2 12 13 3" xfId="51218" xr:uid="{00000000-0005-0000-0000-00000BC80000}"/>
    <cellStyle name="Normal 37 2 12 14" xfId="51219" xr:uid="{00000000-0005-0000-0000-00000CC80000}"/>
    <cellStyle name="Normal 37 2 12 14 2" xfId="51220" xr:uid="{00000000-0005-0000-0000-00000DC80000}"/>
    <cellStyle name="Normal 37 2 12 14 3" xfId="51221" xr:uid="{00000000-0005-0000-0000-00000EC80000}"/>
    <cellStyle name="Normal 37 2 12 15" xfId="51222" xr:uid="{00000000-0005-0000-0000-00000FC80000}"/>
    <cellStyle name="Normal 37 2 12 16" xfId="51223" xr:uid="{00000000-0005-0000-0000-000010C80000}"/>
    <cellStyle name="Normal 37 2 12 2" xfId="51224" xr:uid="{00000000-0005-0000-0000-000011C80000}"/>
    <cellStyle name="Normal 37 2 12 2 2" xfId="51225" xr:uid="{00000000-0005-0000-0000-000012C80000}"/>
    <cellStyle name="Normal 37 2 12 2 3" xfId="51226" xr:uid="{00000000-0005-0000-0000-000013C80000}"/>
    <cellStyle name="Normal 37 2 12 3" xfId="51227" xr:uid="{00000000-0005-0000-0000-000014C80000}"/>
    <cellStyle name="Normal 37 2 12 3 2" xfId="51228" xr:uid="{00000000-0005-0000-0000-000015C80000}"/>
    <cellStyle name="Normal 37 2 12 3 3" xfId="51229" xr:uid="{00000000-0005-0000-0000-000016C80000}"/>
    <cellStyle name="Normal 37 2 12 4" xfId="51230" xr:uid="{00000000-0005-0000-0000-000017C80000}"/>
    <cellStyle name="Normal 37 2 12 4 2" xfId="51231" xr:uid="{00000000-0005-0000-0000-000018C80000}"/>
    <cellStyle name="Normal 37 2 12 4 3" xfId="51232" xr:uid="{00000000-0005-0000-0000-000019C80000}"/>
    <cellStyle name="Normal 37 2 12 5" xfId="51233" xr:uid="{00000000-0005-0000-0000-00001AC80000}"/>
    <cellStyle name="Normal 37 2 12 5 2" xfId="51234" xr:uid="{00000000-0005-0000-0000-00001BC80000}"/>
    <cellStyle name="Normal 37 2 12 5 3" xfId="51235" xr:uid="{00000000-0005-0000-0000-00001CC80000}"/>
    <cellStyle name="Normal 37 2 12 6" xfId="51236" xr:uid="{00000000-0005-0000-0000-00001DC80000}"/>
    <cellStyle name="Normal 37 2 12 6 2" xfId="51237" xr:uid="{00000000-0005-0000-0000-00001EC80000}"/>
    <cellStyle name="Normal 37 2 12 6 3" xfId="51238" xr:uid="{00000000-0005-0000-0000-00001FC80000}"/>
    <cellStyle name="Normal 37 2 12 7" xfId="51239" xr:uid="{00000000-0005-0000-0000-000020C80000}"/>
    <cellStyle name="Normal 37 2 12 7 2" xfId="51240" xr:uid="{00000000-0005-0000-0000-000021C80000}"/>
    <cellStyle name="Normal 37 2 12 7 3" xfId="51241" xr:uid="{00000000-0005-0000-0000-000022C80000}"/>
    <cellStyle name="Normal 37 2 12 8" xfId="51242" xr:uid="{00000000-0005-0000-0000-000023C80000}"/>
    <cellStyle name="Normal 37 2 12 8 2" xfId="51243" xr:uid="{00000000-0005-0000-0000-000024C80000}"/>
    <cellStyle name="Normal 37 2 12 8 3" xfId="51244" xr:uid="{00000000-0005-0000-0000-000025C80000}"/>
    <cellStyle name="Normal 37 2 12 9" xfId="51245" xr:uid="{00000000-0005-0000-0000-000026C80000}"/>
    <cellStyle name="Normal 37 2 12 9 2" xfId="51246" xr:uid="{00000000-0005-0000-0000-000027C80000}"/>
    <cellStyle name="Normal 37 2 12 9 3" xfId="51247" xr:uid="{00000000-0005-0000-0000-000028C80000}"/>
    <cellStyle name="Normal 37 2 13" xfId="51248" xr:uid="{00000000-0005-0000-0000-000029C80000}"/>
    <cellStyle name="Normal 37 2 13 10" xfId="51249" xr:uid="{00000000-0005-0000-0000-00002AC80000}"/>
    <cellStyle name="Normal 37 2 13 10 2" xfId="51250" xr:uid="{00000000-0005-0000-0000-00002BC80000}"/>
    <cellStyle name="Normal 37 2 13 10 3" xfId="51251" xr:uid="{00000000-0005-0000-0000-00002CC80000}"/>
    <cellStyle name="Normal 37 2 13 11" xfId="51252" xr:uid="{00000000-0005-0000-0000-00002DC80000}"/>
    <cellStyle name="Normal 37 2 13 11 2" xfId="51253" xr:uid="{00000000-0005-0000-0000-00002EC80000}"/>
    <cellStyle name="Normal 37 2 13 11 3" xfId="51254" xr:uid="{00000000-0005-0000-0000-00002FC80000}"/>
    <cellStyle name="Normal 37 2 13 12" xfId="51255" xr:uid="{00000000-0005-0000-0000-000030C80000}"/>
    <cellStyle name="Normal 37 2 13 12 2" xfId="51256" xr:uid="{00000000-0005-0000-0000-000031C80000}"/>
    <cellStyle name="Normal 37 2 13 12 3" xfId="51257" xr:uid="{00000000-0005-0000-0000-000032C80000}"/>
    <cellStyle name="Normal 37 2 13 13" xfId="51258" xr:uid="{00000000-0005-0000-0000-000033C80000}"/>
    <cellStyle name="Normal 37 2 13 13 2" xfId="51259" xr:uid="{00000000-0005-0000-0000-000034C80000}"/>
    <cellStyle name="Normal 37 2 13 13 3" xfId="51260" xr:uid="{00000000-0005-0000-0000-000035C80000}"/>
    <cellStyle name="Normal 37 2 13 14" xfId="51261" xr:uid="{00000000-0005-0000-0000-000036C80000}"/>
    <cellStyle name="Normal 37 2 13 14 2" xfId="51262" xr:uid="{00000000-0005-0000-0000-000037C80000}"/>
    <cellStyle name="Normal 37 2 13 14 3" xfId="51263" xr:uid="{00000000-0005-0000-0000-000038C80000}"/>
    <cellStyle name="Normal 37 2 13 15" xfId="51264" xr:uid="{00000000-0005-0000-0000-000039C80000}"/>
    <cellStyle name="Normal 37 2 13 16" xfId="51265" xr:uid="{00000000-0005-0000-0000-00003AC80000}"/>
    <cellStyle name="Normal 37 2 13 2" xfId="51266" xr:uid="{00000000-0005-0000-0000-00003BC80000}"/>
    <cellStyle name="Normal 37 2 13 2 2" xfId="51267" xr:uid="{00000000-0005-0000-0000-00003CC80000}"/>
    <cellStyle name="Normal 37 2 13 2 3" xfId="51268" xr:uid="{00000000-0005-0000-0000-00003DC80000}"/>
    <cellStyle name="Normal 37 2 13 3" xfId="51269" xr:uid="{00000000-0005-0000-0000-00003EC80000}"/>
    <cellStyle name="Normal 37 2 13 3 2" xfId="51270" xr:uid="{00000000-0005-0000-0000-00003FC80000}"/>
    <cellStyle name="Normal 37 2 13 3 3" xfId="51271" xr:uid="{00000000-0005-0000-0000-000040C80000}"/>
    <cellStyle name="Normal 37 2 13 4" xfId="51272" xr:uid="{00000000-0005-0000-0000-000041C80000}"/>
    <cellStyle name="Normal 37 2 13 4 2" xfId="51273" xr:uid="{00000000-0005-0000-0000-000042C80000}"/>
    <cellStyle name="Normal 37 2 13 4 3" xfId="51274" xr:uid="{00000000-0005-0000-0000-000043C80000}"/>
    <cellStyle name="Normal 37 2 13 5" xfId="51275" xr:uid="{00000000-0005-0000-0000-000044C80000}"/>
    <cellStyle name="Normal 37 2 13 5 2" xfId="51276" xr:uid="{00000000-0005-0000-0000-000045C80000}"/>
    <cellStyle name="Normal 37 2 13 5 3" xfId="51277" xr:uid="{00000000-0005-0000-0000-000046C80000}"/>
    <cellStyle name="Normal 37 2 13 6" xfId="51278" xr:uid="{00000000-0005-0000-0000-000047C80000}"/>
    <cellStyle name="Normal 37 2 13 6 2" xfId="51279" xr:uid="{00000000-0005-0000-0000-000048C80000}"/>
    <cellStyle name="Normal 37 2 13 6 3" xfId="51280" xr:uid="{00000000-0005-0000-0000-000049C80000}"/>
    <cellStyle name="Normal 37 2 13 7" xfId="51281" xr:uid="{00000000-0005-0000-0000-00004AC80000}"/>
    <cellStyle name="Normal 37 2 13 7 2" xfId="51282" xr:uid="{00000000-0005-0000-0000-00004BC80000}"/>
    <cellStyle name="Normal 37 2 13 7 3" xfId="51283" xr:uid="{00000000-0005-0000-0000-00004CC80000}"/>
    <cellStyle name="Normal 37 2 13 8" xfId="51284" xr:uid="{00000000-0005-0000-0000-00004DC80000}"/>
    <cellStyle name="Normal 37 2 13 8 2" xfId="51285" xr:uid="{00000000-0005-0000-0000-00004EC80000}"/>
    <cellStyle name="Normal 37 2 13 8 3" xfId="51286" xr:uid="{00000000-0005-0000-0000-00004FC80000}"/>
    <cellStyle name="Normal 37 2 13 9" xfId="51287" xr:uid="{00000000-0005-0000-0000-000050C80000}"/>
    <cellStyle name="Normal 37 2 13 9 2" xfId="51288" xr:uid="{00000000-0005-0000-0000-000051C80000}"/>
    <cellStyle name="Normal 37 2 13 9 3" xfId="51289" xr:uid="{00000000-0005-0000-0000-000052C80000}"/>
    <cellStyle name="Normal 37 2 14" xfId="51290" xr:uid="{00000000-0005-0000-0000-000053C80000}"/>
    <cellStyle name="Normal 37 2 14 10" xfId="51291" xr:uid="{00000000-0005-0000-0000-000054C80000}"/>
    <cellStyle name="Normal 37 2 14 10 2" xfId="51292" xr:uid="{00000000-0005-0000-0000-000055C80000}"/>
    <cellStyle name="Normal 37 2 14 10 3" xfId="51293" xr:uid="{00000000-0005-0000-0000-000056C80000}"/>
    <cellStyle name="Normal 37 2 14 11" xfId="51294" xr:uid="{00000000-0005-0000-0000-000057C80000}"/>
    <cellStyle name="Normal 37 2 14 11 2" xfId="51295" xr:uid="{00000000-0005-0000-0000-000058C80000}"/>
    <cellStyle name="Normal 37 2 14 11 3" xfId="51296" xr:uid="{00000000-0005-0000-0000-000059C80000}"/>
    <cellStyle name="Normal 37 2 14 12" xfId="51297" xr:uid="{00000000-0005-0000-0000-00005AC80000}"/>
    <cellStyle name="Normal 37 2 14 12 2" xfId="51298" xr:uid="{00000000-0005-0000-0000-00005BC80000}"/>
    <cellStyle name="Normal 37 2 14 12 3" xfId="51299" xr:uid="{00000000-0005-0000-0000-00005CC80000}"/>
    <cellStyle name="Normal 37 2 14 13" xfId="51300" xr:uid="{00000000-0005-0000-0000-00005DC80000}"/>
    <cellStyle name="Normal 37 2 14 13 2" xfId="51301" xr:uid="{00000000-0005-0000-0000-00005EC80000}"/>
    <cellStyle name="Normal 37 2 14 13 3" xfId="51302" xr:uid="{00000000-0005-0000-0000-00005FC80000}"/>
    <cellStyle name="Normal 37 2 14 14" xfId="51303" xr:uid="{00000000-0005-0000-0000-000060C80000}"/>
    <cellStyle name="Normal 37 2 14 14 2" xfId="51304" xr:uid="{00000000-0005-0000-0000-000061C80000}"/>
    <cellStyle name="Normal 37 2 14 14 3" xfId="51305" xr:uid="{00000000-0005-0000-0000-000062C80000}"/>
    <cellStyle name="Normal 37 2 14 15" xfId="51306" xr:uid="{00000000-0005-0000-0000-000063C80000}"/>
    <cellStyle name="Normal 37 2 14 16" xfId="51307" xr:uid="{00000000-0005-0000-0000-000064C80000}"/>
    <cellStyle name="Normal 37 2 14 2" xfId="51308" xr:uid="{00000000-0005-0000-0000-000065C80000}"/>
    <cellStyle name="Normal 37 2 14 2 2" xfId="51309" xr:uid="{00000000-0005-0000-0000-000066C80000}"/>
    <cellStyle name="Normal 37 2 14 2 3" xfId="51310" xr:uid="{00000000-0005-0000-0000-000067C80000}"/>
    <cellStyle name="Normal 37 2 14 3" xfId="51311" xr:uid="{00000000-0005-0000-0000-000068C80000}"/>
    <cellStyle name="Normal 37 2 14 3 2" xfId="51312" xr:uid="{00000000-0005-0000-0000-000069C80000}"/>
    <cellStyle name="Normal 37 2 14 3 3" xfId="51313" xr:uid="{00000000-0005-0000-0000-00006AC80000}"/>
    <cellStyle name="Normal 37 2 14 4" xfId="51314" xr:uid="{00000000-0005-0000-0000-00006BC80000}"/>
    <cellStyle name="Normal 37 2 14 4 2" xfId="51315" xr:uid="{00000000-0005-0000-0000-00006CC80000}"/>
    <cellStyle name="Normal 37 2 14 4 3" xfId="51316" xr:uid="{00000000-0005-0000-0000-00006DC80000}"/>
    <cellStyle name="Normal 37 2 14 5" xfId="51317" xr:uid="{00000000-0005-0000-0000-00006EC80000}"/>
    <cellStyle name="Normal 37 2 14 5 2" xfId="51318" xr:uid="{00000000-0005-0000-0000-00006FC80000}"/>
    <cellStyle name="Normal 37 2 14 5 3" xfId="51319" xr:uid="{00000000-0005-0000-0000-000070C80000}"/>
    <cellStyle name="Normal 37 2 14 6" xfId="51320" xr:uid="{00000000-0005-0000-0000-000071C80000}"/>
    <cellStyle name="Normal 37 2 14 6 2" xfId="51321" xr:uid="{00000000-0005-0000-0000-000072C80000}"/>
    <cellStyle name="Normal 37 2 14 6 3" xfId="51322" xr:uid="{00000000-0005-0000-0000-000073C80000}"/>
    <cellStyle name="Normal 37 2 14 7" xfId="51323" xr:uid="{00000000-0005-0000-0000-000074C80000}"/>
    <cellStyle name="Normal 37 2 14 7 2" xfId="51324" xr:uid="{00000000-0005-0000-0000-000075C80000}"/>
    <cellStyle name="Normal 37 2 14 7 3" xfId="51325" xr:uid="{00000000-0005-0000-0000-000076C80000}"/>
    <cellStyle name="Normal 37 2 14 8" xfId="51326" xr:uid="{00000000-0005-0000-0000-000077C80000}"/>
    <cellStyle name="Normal 37 2 14 8 2" xfId="51327" xr:uid="{00000000-0005-0000-0000-000078C80000}"/>
    <cellStyle name="Normal 37 2 14 8 3" xfId="51328" xr:uid="{00000000-0005-0000-0000-000079C80000}"/>
    <cellStyle name="Normal 37 2 14 9" xfId="51329" xr:uid="{00000000-0005-0000-0000-00007AC80000}"/>
    <cellStyle name="Normal 37 2 14 9 2" xfId="51330" xr:uid="{00000000-0005-0000-0000-00007BC80000}"/>
    <cellStyle name="Normal 37 2 14 9 3" xfId="51331" xr:uid="{00000000-0005-0000-0000-00007CC80000}"/>
    <cellStyle name="Normal 37 2 15" xfId="51332" xr:uid="{00000000-0005-0000-0000-00007DC80000}"/>
    <cellStyle name="Normal 37 2 15 10" xfId="51333" xr:uid="{00000000-0005-0000-0000-00007EC80000}"/>
    <cellStyle name="Normal 37 2 15 10 2" xfId="51334" xr:uid="{00000000-0005-0000-0000-00007FC80000}"/>
    <cellStyle name="Normal 37 2 15 10 3" xfId="51335" xr:uid="{00000000-0005-0000-0000-000080C80000}"/>
    <cellStyle name="Normal 37 2 15 11" xfId="51336" xr:uid="{00000000-0005-0000-0000-000081C80000}"/>
    <cellStyle name="Normal 37 2 15 11 2" xfId="51337" xr:uid="{00000000-0005-0000-0000-000082C80000}"/>
    <cellStyle name="Normal 37 2 15 11 3" xfId="51338" xr:uid="{00000000-0005-0000-0000-000083C80000}"/>
    <cellStyle name="Normal 37 2 15 12" xfId="51339" xr:uid="{00000000-0005-0000-0000-000084C80000}"/>
    <cellStyle name="Normal 37 2 15 12 2" xfId="51340" xr:uid="{00000000-0005-0000-0000-000085C80000}"/>
    <cellStyle name="Normal 37 2 15 12 3" xfId="51341" xr:uid="{00000000-0005-0000-0000-000086C80000}"/>
    <cellStyle name="Normal 37 2 15 13" xfId="51342" xr:uid="{00000000-0005-0000-0000-000087C80000}"/>
    <cellStyle name="Normal 37 2 15 13 2" xfId="51343" xr:uid="{00000000-0005-0000-0000-000088C80000}"/>
    <cellStyle name="Normal 37 2 15 13 3" xfId="51344" xr:uid="{00000000-0005-0000-0000-000089C80000}"/>
    <cellStyle name="Normal 37 2 15 14" xfId="51345" xr:uid="{00000000-0005-0000-0000-00008AC80000}"/>
    <cellStyle name="Normal 37 2 15 14 2" xfId="51346" xr:uid="{00000000-0005-0000-0000-00008BC80000}"/>
    <cellStyle name="Normal 37 2 15 14 3" xfId="51347" xr:uid="{00000000-0005-0000-0000-00008CC80000}"/>
    <cellStyle name="Normal 37 2 15 15" xfId="51348" xr:uid="{00000000-0005-0000-0000-00008DC80000}"/>
    <cellStyle name="Normal 37 2 15 16" xfId="51349" xr:uid="{00000000-0005-0000-0000-00008EC80000}"/>
    <cellStyle name="Normal 37 2 15 2" xfId="51350" xr:uid="{00000000-0005-0000-0000-00008FC80000}"/>
    <cellStyle name="Normal 37 2 15 2 2" xfId="51351" xr:uid="{00000000-0005-0000-0000-000090C80000}"/>
    <cellStyle name="Normal 37 2 15 2 3" xfId="51352" xr:uid="{00000000-0005-0000-0000-000091C80000}"/>
    <cellStyle name="Normal 37 2 15 3" xfId="51353" xr:uid="{00000000-0005-0000-0000-000092C80000}"/>
    <cellStyle name="Normal 37 2 15 3 2" xfId="51354" xr:uid="{00000000-0005-0000-0000-000093C80000}"/>
    <cellStyle name="Normal 37 2 15 3 3" xfId="51355" xr:uid="{00000000-0005-0000-0000-000094C80000}"/>
    <cellStyle name="Normal 37 2 15 4" xfId="51356" xr:uid="{00000000-0005-0000-0000-000095C80000}"/>
    <cellStyle name="Normal 37 2 15 4 2" xfId="51357" xr:uid="{00000000-0005-0000-0000-000096C80000}"/>
    <cellStyle name="Normal 37 2 15 4 3" xfId="51358" xr:uid="{00000000-0005-0000-0000-000097C80000}"/>
    <cellStyle name="Normal 37 2 15 5" xfId="51359" xr:uid="{00000000-0005-0000-0000-000098C80000}"/>
    <cellStyle name="Normal 37 2 15 5 2" xfId="51360" xr:uid="{00000000-0005-0000-0000-000099C80000}"/>
    <cellStyle name="Normal 37 2 15 5 3" xfId="51361" xr:uid="{00000000-0005-0000-0000-00009AC80000}"/>
    <cellStyle name="Normal 37 2 15 6" xfId="51362" xr:uid="{00000000-0005-0000-0000-00009BC80000}"/>
    <cellStyle name="Normal 37 2 15 6 2" xfId="51363" xr:uid="{00000000-0005-0000-0000-00009CC80000}"/>
    <cellStyle name="Normal 37 2 15 6 3" xfId="51364" xr:uid="{00000000-0005-0000-0000-00009DC80000}"/>
    <cellStyle name="Normal 37 2 15 7" xfId="51365" xr:uid="{00000000-0005-0000-0000-00009EC80000}"/>
    <cellStyle name="Normal 37 2 15 7 2" xfId="51366" xr:uid="{00000000-0005-0000-0000-00009FC80000}"/>
    <cellStyle name="Normal 37 2 15 7 3" xfId="51367" xr:uid="{00000000-0005-0000-0000-0000A0C80000}"/>
    <cellStyle name="Normal 37 2 15 8" xfId="51368" xr:uid="{00000000-0005-0000-0000-0000A1C80000}"/>
    <cellStyle name="Normal 37 2 15 8 2" xfId="51369" xr:uid="{00000000-0005-0000-0000-0000A2C80000}"/>
    <cellStyle name="Normal 37 2 15 8 3" xfId="51370" xr:uid="{00000000-0005-0000-0000-0000A3C80000}"/>
    <cellStyle name="Normal 37 2 15 9" xfId="51371" xr:uid="{00000000-0005-0000-0000-0000A4C80000}"/>
    <cellStyle name="Normal 37 2 15 9 2" xfId="51372" xr:uid="{00000000-0005-0000-0000-0000A5C80000}"/>
    <cellStyle name="Normal 37 2 15 9 3" xfId="51373" xr:uid="{00000000-0005-0000-0000-0000A6C80000}"/>
    <cellStyle name="Normal 37 2 16" xfId="51374" xr:uid="{00000000-0005-0000-0000-0000A7C80000}"/>
    <cellStyle name="Normal 37 2 16 10" xfId="51375" xr:uid="{00000000-0005-0000-0000-0000A8C80000}"/>
    <cellStyle name="Normal 37 2 16 10 2" xfId="51376" xr:uid="{00000000-0005-0000-0000-0000A9C80000}"/>
    <cellStyle name="Normal 37 2 16 10 3" xfId="51377" xr:uid="{00000000-0005-0000-0000-0000AAC80000}"/>
    <cellStyle name="Normal 37 2 16 11" xfId="51378" xr:uid="{00000000-0005-0000-0000-0000ABC80000}"/>
    <cellStyle name="Normal 37 2 16 11 2" xfId="51379" xr:uid="{00000000-0005-0000-0000-0000ACC80000}"/>
    <cellStyle name="Normal 37 2 16 11 3" xfId="51380" xr:uid="{00000000-0005-0000-0000-0000ADC80000}"/>
    <cellStyle name="Normal 37 2 16 12" xfId="51381" xr:uid="{00000000-0005-0000-0000-0000AEC80000}"/>
    <cellStyle name="Normal 37 2 16 12 2" xfId="51382" xr:uid="{00000000-0005-0000-0000-0000AFC80000}"/>
    <cellStyle name="Normal 37 2 16 12 3" xfId="51383" xr:uid="{00000000-0005-0000-0000-0000B0C80000}"/>
    <cellStyle name="Normal 37 2 16 13" xfId="51384" xr:uid="{00000000-0005-0000-0000-0000B1C80000}"/>
    <cellStyle name="Normal 37 2 16 13 2" xfId="51385" xr:uid="{00000000-0005-0000-0000-0000B2C80000}"/>
    <cellStyle name="Normal 37 2 16 13 3" xfId="51386" xr:uid="{00000000-0005-0000-0000-0000B3C80000}"/>
    <cellStyle name="Normal 37 2 16 14" xfId="51387" xr:uid="{00000000-0005-0000-0000-0000B4C80000}"/>
    <cellStyle name="Normal 37 2 16 14 2" xfId="51388" xr:uid="{00000000-0005-0000-0000-0000B5C80000}"/>
    <cellStyle name="Normal 37 2 16 14 3" xfId="51389" xr:uid="{00000000-0005-0000-0000-0000B6C80000}"/>
    <cellStyle name="Normal 37 2 16 15" xfId="51390" xr:uid="{00000000-0005-0000-0000-0000B7C80000}"/>
    <cellStyle name="Normal 37 2 16 16" xfId="51391" xr:uid="{00000000-0005-0000-0000-0000B8C80000}"/>
    <cellStyle name="Normal 37 2 16 2" xfId="51392" xr:uid="{00000000-0005-0000-0000-0000B9C80000}"/>
    <cellStyle name="Normal 37 2 16 2 2" xfId="51393" xr:uid="{00000000-0005-0000-0000-0000BAC80000}"/>
    <cellStyle name="Normal 37 2 16 2 3" xfId="51394" xr:uid="{00000000-0005-0000-0000-0000BBC80000}"/>
    <cellStyle name="Normal 37 2 16 3" xfId="51395" xr:uid="{00000000-0005-0000-0000-0000BCC80000}"/>
    <cellStyle name="Normal 37 2 16 3 2" xfId="51396" xr:uid="{00000000-0005-0000-0000-0000BDC80000}"/>
    <cellStyle name="Normal 37 2 16 3 3" xfId="51397" xr:uid="{00000000-0005-0000-0000-0000BEC80000}"/>
    <cellStyle name="Normal 37 2 16 4" xfId="51398" xr:uid="{00000000-0005-0000-0000-0000BFC80000}"/>
    <cellStyle name="Normal 37 2 16 4 2" xfId="51399" xr:uid="{00000000-0005-0000-0000-0000C0C80000}"/>
    <cellStyle name="Normal 37 2 16 4 3" xfId="51400" xr:uid="{00000000-0005-0000-0000-0000C1C80000}"/>
    <cellStyle name="Normal 37 2 16 5" xfId="51401" xr:uid="{00000000-0005-0000-0000-0000C2C80000}"/>
    <cellStyle name="Normal 37 2 16 5 2" xfId="51402" xr:uid="{00000000-0005-0000-0000-0000C3C80000}"/>
    <cellStyle name="Normal 37 2 16 5 3" xfId="51403" xr:uid="{00000000-0005-0000-0000-0000C4C80000}"/>
    <cellStyle name="Normal 37 2 16 6" xfId="51404" xr:uid="{00000000-0005-0000-0000-0000C5C80000}"/>
    <cellStyle name="Normal 37 2 16 6 2" xfId="51405" xr:uid="{00000000-0005-0000-0000-0000C6C80000}"/>
    <cellStyle name="Normal 37 2 16 6 3" xfId="51406" xr:uid="{00000000-0005-0000-0000-0000C7C80000}"/>
    <cellStyle name="Normal 37 2 16 7" xfId="51407" xr:uid="{00000000-0005-0000-0000-0000C8C80000}"/>
    <cellStyle name="Normal 37 2 16 7 2" xfId="51408" xr:uid="{00000000-0005-0000-0000-0000C9C80000}"/>
    <cellStyle name="Normal 37 2 16 7 3" xfId="51409" xr:uid="{00000000-0005-0000-0000-0000CAC80000}"/>
    <cellStyle name="Normal 37 2 16 8" xfId="51410" xr:uid="{00000000-0005-0000-0000-0000CBC80000}"/>
    <cellStyle name="Normal 37 2 16 8 2" xfId="51411" xr:uid="{00000000-0005-0000-0000-0000CCC80000}"/>
    <cellStyle name="Normal 37 2 16 8 3" xfId="51412" xr:uid="{00000000-0005-0000-0000-0000CDC80000}"/>
    <cellStyle name="Normal 37 2 16 9" xfId="51413" xr:uid="{00000000-0005-0000-0000-0000CEC80000}"/>
    <cellStyle name="Normal 37 2 16 9 2" xfId="51414" xr:uid="{00000000-0005-0000-0000-0000CFC80000}"/>
    <cellStyle name="Normal 37 2 16 9 3" xfId="51415" xr:uid="{00000000-0005-0000-0000-0000D0C80000}"/>
    <cellStyle name="Normal 37 2 17" xfId="51416" xr:uid="{00000000-0005-0000-0000-0000D1C80000}"/>
    <cellStyle name="Normal 37 2 17 10" xfId="51417" xr:uid="{00000000-0005-0000-0000-0000D2C80000}"/>
    <cellStyle name="Normal 37 2 17 10 2" xfId="51418" xr:uid="{00000000-0005-0000-0000-0000D3C80000}"/>
    <cellStyle name="Normal 37 2 17 10 3" xfId="51419" xr:uid="{00000000-0005-0000-0000-0000D4C80000}"/>
    <cellStyle name="Normal 37 2 17 11" xfId="51420" xr:uid="{00000000-0005-0000-0000-0000D5C80000}"/>
    <cellStyle name="Normal 37 2 17 11 2" xfId="51421" xr:uid="{00000000-0005-0000-0000-0000D6C80000}"/>
    <cellStyle name="Normal 37 2 17 11 3" xfId="51422" xr:uid="{00000000-0005-0000-0000-0000D7C80000}"/>
    <cellStyle name="Normal 37 2 17 12" xfId="51423" xr:uid="{00000000-0005-0000-0000-0000D8C80000}"/>
    <cellStyle name="Normal 37 2 17 12 2" xfId="51424" xr:uid="{00000000-0005-0000-0000-0000D9C80000}"/>
    <cellStyle name="Normal 37 2 17 12 3" xfId="51425" xr:uid="{00000000-0005-0000-0000-0000DAC80000}"/>
    <cellStyle name="Normal 37 2 17 13" xfId="51426" xr:uid="{00000000-0005-0000-0000-0000DBC80000}"/>
    <cellStyle name="Normal 37 2 17 13 2" xfId="51427" xr:uid="{00000000-0005-0000-0000-0000DCC80000}"/>
    <cellStyle name="Normal 37 2 17 13 3" xfId="51428" xr:uid="{00000000-0005-0000-0000-0000DDC80000}"/>
    <cellStyle name="Normal 37 2 17 14" xfId="51429" xr:uid="{00000000-0005-0000-0000-0000DEC80000}"/>
    <cellStyle name="Normal 37 2 17 14 2" xfId="51430" xr:uid="{00000000-0005-0000-0000-0000DFC80000}"/>
    <cellStyle name="Normal 37 2 17 14 3" xfId="51431" xr:uid="{00000000-0005-0000-0000-0000E0C80000}"/>
    <cellStyle name="Normal 37 2 17 15" xfId="51432" xr:uid="{00000000-0005-0000-0000-0000E1C80000}"/>
    <cellStyle name="Normal 37 2 17 16" xfId="51433" xr:uid="{00000000-0005-0000-0000-0000E2C80000}"/>
    <cellStyle name="Normal 37 2 17 2" xfId="51434" xr:uid="{00000000-0005-0000-0000-0000E3C80000}"/>
    <cellStyle name="Normal 37 2 17 2 2" xfId="51435" xr:uid="{00000000-0005-0000-0000-0000E4C80000}"/>
    <cellStyle name="Normal 37 2 17 2 3" xfId="51436" xr:uid="{00000000-0005-0000-0000-0000E5C80000}"/>
    <cellStyle name="Normal 37 2 17 3" xfId="51437" xr:uid="{00000000-0005-0000-0000-0000E6C80000}"/>
    <cellStyle name="Normal 37 2 17 3 2" xfId="51438" xr:uid="{00000000-0005-0000-0000-0000E7C80000}"/>
    <cellStyle name="Normal 37 2 17 3 3" xfId="51439" xr:uid="{00000000-0005-0000-0000-0000E8C80000}"/>
    <cellStyle name="Normal 37 2 17 4" xfId="51440" xr:uid="{00000000-0005-0000-0000-0000E9C80000}"/>
    <cellStyle name="Normal 37 2 17 4 2" xfId="51441" xr:uid="{00000000-0005-0000-0000-0000EAC80000}"/>
    <cellStyle name="Normal 37 2 17 4 3" xfId="51442" xr:uid="{00000000-0005-0000-0000-0000EBC80000}"/>
    <cellStyle name="Normal 37 2 17 5" xfId="51443" xr:uid="{00000000-0005-0000-0000-0000ECC80000}"/>
    <cellStyle name="Normal 37 2 17 5 2" xfId="51444" xr:uid="{00000000-0005-0000-0000-0000EDC80000}"/>
    <cellStyle name="Normal 37 2 17 5 3" xfId="51445" xr:uid="{00000000-0005-0000-0000-0000EEC80000}"/>
    <cellStyle name="Normal 37 2 17 6" xfId="51446" xr:uid="{00000000-0005-0000-0000-0000EFC80000}"/>
    <cellStyle name="Normal 37 2 17 6 2" xfId="51447" xr:uid="{00000000-0005-0000-0000-0000F0C80000}"/>
    <cellStyle name="Normal 37 2 17 6 3" xfId="51448" xr:uid="{00000000-0005-0000-0000-0000F1C80000}"/>
    <cellStyle name="Normal 37 2 17 7" xfId="51449" xr:uid="{00000000-0005-0000-0000-0000F2C80000}"/>
    <cellStyle name="Normal 37 2 17 7 2" xfId="51450" xr:uid="{00000000-0005-0000-0000-0000F3C80000}"/>
    <cellStyle name="Normal 37 2 17 7 3" xfId="51451" xr:uid="{00000000-0005-0000-0000-0000F4C80000}"/>
    <cellStyle name="Normal 37 2 17 8" xfId="51452" xr:uid="{00000000-0005-0000-0000-0000F5C80000}"/>
    <cellStyle name="Normal 37 2 17 8 2" xfId="51453" xr:uid="{00000000-0005-0000-0000-0000F6C80000}"/>
    <cellStyle name="Normal 37 2 17 8 3" xfId="51454" xr:uid="{00000000-0005-0000-0000-0000F7C80000}"/>
    <cellStyle name="Normal 37 2 17 9" xfId="51455" xr:uid="{00000000-0005-0000-0000-0000F8C80000}"/>
    <cellStyle name="Normal 37 2 17 9 2" xfId="51456" xr:uid="{00000000-0005-0000-0000-0000F9C80000}"/>
    <cellStyle name="Normal 37 2 17 9 3" xfId="51457" xr:uid="{00000000-0005-0000-0000-0000FAC80000}"/>
    <cellStyle name="Normal 37 2 18" xfId="51458" xr:uid="{00000000-0005-0000-0000-0000FBC80000}"/>
    <cellStyle name="Normal 37 2 18 2" xfId="51459" xr:uid="{00000000-0005-0000-0000-0000FCC80000}"/>
    <cellStyle name="Normal 37 2 18 3" xfId="51460" xr:uid="{00000000-0005-0000-0000-0000FDC80000}"/>
    <cellStyle name="Normal 37 2 19" xfId="51461" xr:uid="{00000000-0005-0000-0000-0000FEC80000}"/>
    <cellStyle name="Normal 37 2 19 2" xfId="51462" xr:uid="{00000000-0005-0000-0000-0000FFC80000}"/>
    <cellStyle name="Normal 37 2 19 3" xfId="51463" xr:uid="{00000000-0005-0000-0000-000000C90000}"/>
    <cellStyle name="Normal 37 2 2" xfId="51464" xr:uid="{00000000-0005-0000-0000-000001C90000}"/>
    <cellStyle name="Normal 37 2 20" xfId="51465" xr:uid="{00000000-0005-0000-0000-000002C90000}"/>
    <cellStyle name="Normal 37 2 20 2" xfId="51466" xr:uid="{00000000-0005-0000-0000-000003C90000}"/>
    <cellStyle name="Normal 37 2 20 3" xfId="51467" xr:uid="{00000000-0005-0000-0000-000004C90000}"/>
    <cellStyle name="Normal 37 2 21" xfId="51468" xr:uid="{00000000-0005-0000-0000-000005C90000}"/>
    <cellStyle name="Normal 37 2 21 2" xfId="51469" xr:uid="{00000000-0005-0000-0000-000006C90000}"/>
    <cellStyle name="Normal 37 2 21 3" xfId="51470" xr:uid="{00000000-0005-0000-0000-000007C90000}"/>
    <cellStyle name="Normal 37 2 22" xfId="51471" xr:uid="{00000000-0005-0000-0000-000008C90000}"/>
    <cellStyle name="Normal 37 2 22 2" xfId="51472" xr:uid="{00000000-0005-0000-0000-000009C90000}"/>
    <cellStyle name="Normal 37 2 22 3" xfId="51473" xr:uid="{00000000-0005-0000-0000-00000AC90000}"/>
    <cellStyle name="Normal 37 2 23" xfId="51474" xr:uid="{00000000-0005-0000-0000-00000BC90000}"/>
    <cellStyle name="Normal 37 2 23 2" xfId="51475" xr:uid="{00000000-0005-0000-0000-00000CC90000}"/>
    <cellStyle name="Normal 37 2 23 3" xfId="51476" xr:uid="{00000000-0005-0000-0000-00000DC90000}"/>
    <cellStyle name="Normal 37 2 24" xfId="51477" xr:uid="{00000000-0005-0000-0000-00000EC90000}"/>
    <cellStyle name="Normal 37 2 24 2" xfId="51478" xr:uid="{00000000-0005-0000-0000-00000FC90000}"/>
    <cellStyle name="Normal 37 2 24 3" xfId="51479" xr:uid="{00000000-0005-0000-0000-000010C90000}"/>
    <cellStyle name="Normal 37 2 25" xfId="51480" xr:uid="{00000000-0005-0000-0000-000011C90000}"/>
    <cellStyle name="Normal 37 2 25 2" xfId="51481" xr:uid="{00000000-0005-0000-0000-000012C90000}"/>
    <cellStyle name="Normal 37 2 25 3" xfId="51482" xr:uid="{00000000-0005-0000-0000-000013C90000}"/>
    <cellStyle name="Normal 37 2 26" xfId="51483" xr:uid="{00000000-0005-0000-0000-000014C90000}"/>
    <cellStyle name="Normal 37 2 26 2" xfId="51484" xr:uid="{00000000-0005-0000-0000-000015C90000}"/>
    <cellStyle name="Normal 37 2 26 3" xfId="51485" xr:uid="{00000000-0005-0000-0000-000016C90000}"/>
    <cellStyle name="Normal 37 2 27" xfId="51486" xr:uid="{00000000-0005-0000-0000-000017C90000}"/>
    <cellStyle name="Normal 37 2 27 2" xfId="51487" xr:uid="{00000000-0005-0000-0000-000018C90000}"/>
    <cellStyle name="Normal 37 2 27 3" xfId="51488" xr:uid="{00000000-0005-0000-0000-000019C90000}"/>
    <cellStyle name="Normal 37 2 28" xfId="51489" xr:uid="{00000000-0005-0000-0000-00001AC90000}"/>
    <cellStyle name="Normal 37 2 28 2" xfId="51490" xr:uid="{00000000-0005-0000-0000-00001BC90000}"/>
    <cellStyle name="Normal 37 2 28 3" xfId="51491" xr:uid="{00000000-0005-0000-0000-00001CC90000}"/>
    <cellStyle name="Normal 37 2 29" xfId="51492" xr:uid="{00000000-0005-0000-0000-00001DC90000}"/>
    <cellStyle name="Normal 37 2 29 2" xfId="51493" xr:uid="{00000000-0005-0000-0000-00001EC90000}"/>
    <cellStyle name="Normal 37 2 29 3" xfId="51494" xr:uid="{00000000-0005-0000-0000-00001FC90000}"/>
    <cellStyle name="Normal 37 2 3" xfId="51495" xr:uid="{00000000-0005-0000-0000-000020C90000}"/>
    <cellStyle name="Normal 37 2 30" xfId="51496" xr:uid="{00000000-0005-0000-0000-000021C90000}"/>
    <cellStyle name="Normal 37 2 30 2" xfId="51497" xr:uid="{00000000-0005-0000-0000-000022C90000}"/>
    <cellStyle name="Normal 37 2 30 3" xfId="51498" xr:uid="{00000000-0005-0000-0000-000023C90000}"/>
    <cellStyle name="Normal 37 2 31" xfId="51499" xr:uid="{00000000-0005-0000-0000-000024C90000}"/>
    <cellStyle name="Normal 37 2 32" xfId="51500" xr:uid="{00000000-0005-0000-0000-000025C90000}"/>
    <cellStyle name="Normal 37 2 33" xfId="51501" xr:uid="{00000000-0005-0000-0000-000026C90000}"/>
    <cellStyle name="Normal 37 2 34" xfId="51502" xr:uid="{00000000-0005-0000-0000-000027C90000}"/>
    <cellStyle name="Normal 37 2 35" xfId="51503" xr:uid="{00000000-0005-0000-0000-000028C90000}"/>
    <cellStyle name="Normal 37 2 36" xfId="51504" xr:uid="{00000000-0005-0000-0000-000029C90000}"/>
    <cellStyle name="Normal 37 2 37" xfId="51505" xr:uid="{00000000-0005-0000-0000-00002AC90000}"/>
    <cellStyle name="Normal 37 2 38" xfId="51506" xr:uid="{00000000-0005-0000-0000-00002BC90000}"/>
    <cellStyle name="Normal 37 2 39" xfId="51507" xr:uid="{00000000-0005-0000-0000-00002CC90000}"/>
    <cellStyle name="Normal 37 2 4" xfId="51508" xr:uid="{00000000-0005-0000-0000-00002DC90000}"/>
    <cellStyle name="Normal 37 2 4 10" xfId="51509" xr:uid="{00000000-0005-0000-0000-00002EC90000}"/>
    <cellStyle name="Normal 37 2 4 10 2" xfId="51510" xr:uid="{00000000-0005-0000-0000-00002FC90000}"/>
    <cellStyle name="Normal 37 2 4 10 3" xfId="51511" xr:uid="{00000000-0005-0000-0000-000030C90000}"/>
    <cellStyle name="Normal 37 2 4 11" xfId="51512" xr:uid="{00000000-0005-0000-0000-000031C90000}"/>
    <cellStyle name="Normal 37 2 4 11 2" xfId="51513" xr:uid="{00000000-0005-0000-0000-000032C90000}"/>
    <cellStyle name="Normal 37 2 4 11 3" xfId="51514" xr:uid="{00000000-0005-0000-0000-000033C90000}"/>
    <cellStyle name="Normal 37 2 4 12" xfId="51515" xr:uid="{00000000-0005-0000-0000-000034C90000}"/>
    <cellStyle name="Normal 37 2 4 12 2" xfId="51516" xr:uid="{00000000-0005-0000-0000-000035C90000}"/>
    <cellStyle name="Normal 37 2 4 12 3" xfId="51517" xr:uid="{00000000-0005-0000-0000-000036C90000}"/>
    <cellStyle name="Normal 37 2 4 13" xfId="51518" xr:uid="{00000000-0005-0000-0000-000037C90000}"/>
    <cellStyle name="Normal 37 2 4 13 2" xfId="51519" xr:uid="{00000000-0005-0000-0000-000038C90000}"/>
    <cellStyle name="Normal 37 2 4 13 3" xfId="51520" xr:uid="{00000000-0005-0000-0000-000039C90000}"/>
    <cellStyle name="Normal 37 2 4 14" xfId="51521" xr:uid="{00000000-0005-0000-0000-00003AC90000}"/>
    <cellStyle name="Normal 37 2 4 14 2" xfId="51522" xr:uid="{00000000-0005-0000-0000-00003BC90000}"/>
    <cellStyle name="Normal 37 2 4 14 3" xfId="51523" xr:uid="{00000000-0005-0000-0000-00003CC90000}"/>
    <cellStyle name="Normal 37 2 4 15" xfId="51524" xr:uid="{00000000-0005-0000-0000-00003DC90000}"/>
    <cellStyle name="Normal 37 2 4 15 2" xfId="51525" xr:uid="{00000000-0005-0000-0000-00003EC90000}"/>
    <cellStyle name="Normal 37 2 4 15 3" xfId="51526" xr:uid="{00000000-0005-0000-0000-00003FC90000}"/>
    <cellStyle name="Normal 37 2 4 16" xfId="51527" xr:uid="{00000000-0005-0000-0000-000040C90000}"/>
    <cellStyle name="Normal 37 2 4 17" xfId="51528" xr:uid="{00000000-0005-0000-0000-000041C90000}"/>
    <cellStyle name="Normal 37 2 4 2" xfId="51529" xr:uid="{00000000-0005-0000-0000-000042C90000}"/>
    <cellStyle name="Normal 37 2 4 2 10" xfId="51530" xr:uid="{00000000-0005-0000-0000-000043C90000}"/>
    <cellStyle name="Normal 37 2 4 2 10 2" xfId="51531" xr:uid="{00000000-0005-0000-0000-000044C90000}"/>
    <cellStyle name="Normal 37 2 4 2 10 3" xfId="51532" xr:uid="{00000000-0005-0000-0000-000045C90000}"/>
    <cellStyle name="Normal 37 2 4 2 11" xfId="51533" xr:uid="{00000000-0005-0000-0000-000046C90000}"/>
    <cellStyle name="Normal 37 2 4 2 11 2" xfId="51534" xr:uid="{00000000-0005-0000-0000-000047C90000}"/>
    <cellStyle name="Normal 37 2 4 2 11 3" xfId="51535" xr:uid="{00000000-0005-0000-0000-000048C90000}"/>
    <cellStyle name="Normal 37 2 4 2 12" xfId="51536" xr:uid="{00000000-0005-0000-0000-000049C90000}"/>
    <cellStyle name="Normal 37 2 4 2 12 2" xfId="51537" xr:uid="{00000000-0005-0000-0000-00004AC90000}"/>
    <cellStyle name="Normal 37 2 4 2 12 3" xfId="51538" xr:uid="{00000000-0005-0000-0000-00004BC90000}"/>
    <cellStyle name="Normal 37 2 4 2 13" xfId="51539" xr:uid="{00000000-0005-0000-0000-00004CC90000}"/>
    <cellStyle name="Normal 37 2 4 2 13 2" xfId="51540" xr:uid="{00000000-0005-0000-0000-00004DC90000}"/>
    <cellStyle name="Normal 37 2 4 2 13 3" xfId="51541" xr:uid="{00000000-0005-0000-0000-00004EC90000}"/>
    <cellStyle name="Normal 37 2 4 2 14" xfId="51542" xr:uid="{00000000-0005-0000-0000-00004FC90000}"/>
    <cellStyle name="Normal 37 2 4 2 14 2" xfId="51543" xr:uid="{00000000-0005-0000-0000-000050C90000}"/>
    <cellStyle name="Normal 37 2 4 2 14 3" xfId="51544" xr:uid="{00000000-0005-0000-0000-000051C90000}"/>
    <cellStyle name="Normal 37 2 4 2 15" xfId="51545" xr:uid="{00000000-0005-0000-0000-000052C90000}"/>
    <cellStyle name="Normal 37 2 4 2 16" xfId="51546" xr:uid="{00000000-0005-0000-0000-000053C90000}"/>
    <cellStyle name="Normal 37 2 4 2 2" xfId="51547" xr:uid="{00000000-0005-0000-0000-000054C90000}"/>
    <cellStyle name="Normal 37 2 4 2 2 2" xfId="51548" xr:uid="{00000000-0005-0000-0000-000055C90000}"/>
    <cellStyle name="Normal 37 2 4 2 2 3" xfId="51549" xr:uid="{00000000-0005-0000-0000-000056C90000}"/>
    <cellStyle name="Normal 37 2 4 2 3" xfId="51550" xr:uid="{00000000-0005-0000-0000-000057C90000}"/>
    <cellStyle name="Normal 37 2 4 2 3 2" xfId="51551" xr:uid="{00000000-0005-0000-0000-000058C90000}"/>
    <cellStyle name="Normal 37 2 4 2 3 3" xfId="51552" xr:uid="{00000000-0005-0000-0000-000059C90000}"/>
    <cellStyle name="Normal 37 2 4 2 4" xfId="51553" xr:uid="{00000000-0005-0000-0000-00005AC90000}"/>
    <cellStyle name="Normal 37 2 4 2 4 2" xfId="51554" xr:uid="{00000000-0005-0000-0000-00005BC90000}"/>
    <cellStyle name="Normal 37 2 4 2 4 3" xfId="51555" xr:uid="{00000000-0005-0000-0000-00005CC90000}"/>
    <cellStyle name="Normal 37 2 4 2 5" xfId="51556" xr:uid="{00000000-0005-0000-0000-00005DC90000}"/>
    <cellStyle name="Normal 37 2 4 2 5 2" xfId="51557" xr:uid="{00000000-0005-0000-0000-00005EC90000}"/>
    <cellStyle name="Normal 37 2 4 2 5 3" xfId="51558" xr:uid="{00000000-0005-0000-0000-00005FC90000}"/>
    <cellStyle name="Normal 37 2 4 2 6" xfId="51559" xr:uid="{00000000-0005-0000-0000-000060C90000}"/>
    <cellStyle name="Normal 37 2 4 2 6 2" xfId="51560" xr:uid="{00000000-0005-0000-0000-000061C90000}"/>
    <cellStyle name="Normal 37 2 4 2 6 3" xfId="51561" xr:uid="{00000000-0005-0000-0000-000062C90000}"/>
    <cellStyle name="Normal 37 2 4 2 7" xfId="51562" xr:uid="{00000000-0005-0000-0000-000063C90000}"/>
    <cellStyle name="Normal 37 2 4 2 7 2" xfId="51563" xr:uid="{00000000-0005-0000-0000-000064C90000}"/>
    <cellStyle name="Normal 37 2 4 2 7 3" xfId="51564" xr:uid="{00000000-0005-0000-0000-000065C90000}"/>
    <cellStyle name="Normal 37 2 4 2 8" xfId="51565" xr:uid="{00000000-0005-0000-0000-000066C90000}"/>
    <cellStyle name="Normal 37 2 4 2 8 2" xfId="51566" xr:uid="{00000000-0005-0000-0000-000067C90000}"/>
    <cellStyle name="Normal 37 2 4 2 8 3" xfId="51567" xr:uid="{00000000-0005-0000-0000-000068C90000}"/>
    <cellStyle name="Normal 37 2 4 2 9" xfId="51568" xr:uid="{00000000-0005-0000-0000-000069C90000}"/>
    <cellStyle name="Normal 37 2 4 2 9 2" xfId="51569" xr:uid="{00000000-0005-0000-0000-00006AC90000}"/>
    <cellStyle name="Normal 37 2 4 2 9 3" xfId="51570" xr:uid="{00000000-0005-0000-0000-00006BC90000}"/>
    <cellStyle name="Normal 37 2 4 3" xfId="51571" xr:uid="{00000000-0005-0000-0000-00006CC90000}"/>
    <cellStyle name="Normal 37 2 4 3 2" xfId="51572" xr:uid="{00000000-0005-0000-0000-00006DC90000}"/>
    <cellStyle name="Normal 37 2 4 3 3" xfId="51573" xr:uid="{00000000-0005-0000-0000-00006EC90000}"/>
    <cellStyle name="Normal 37 2 4 4" xfId="51574" xr:uid="{00000000-0005-0000-0000-00006FC90000}"/>
    <cellStyle name="Normal 37 2 4 4 2" xfId="51575" xr:uid="{00000000-0005-0000-0000-000070C90000}"/>
    <cellStyle name="Normal 37 2 4 4 3" xfId="51576" xr:uid="{00000000-0005-0000-0000-000071C90000}"/>
    <cellStyle name="Normal 37 2 4 5" xfId="51577" xr:uid="{00000000-0005-0000-0000-000072C90000}"/>
    <cellStyle name="Normal 37 2 4 5 2" xfId="51578" xr:uid="{00000000-0005-0000-0000-000073C90000}"/>
    <cellStyle name="Normal 37 2 4 5 3" xfId="51579" xr:uid="{00000000-0005-0000-0000-000074C90000}"/>
    <cellStyle name="Normal 37 2 4 6" xfId="51580" xr:uid="{00000000-0005-0000-0000-000075C90000}"/>
    <cellStyle name="Normal 37 2 4 6 2" xfId="51581" xr:uid="{00000000-0005-0000-0000-000076C90000}"/>
    <cellStyle name="Normal 37 2 4 6 3" xfId="51582" xr:uid="{00000000-0005-0000-0000-000077C90000}"/>
    <cellStyle name="Normal 37 2 4 7" xfId="51583" xr:uid="{00000000-0005-0000-0000-000078C90000}"/>
    <cellStyle name="Normal 37 2 4 7 2" xfId="51584" xr:uid="{00000000-0005-0000-0000-000079C90000}"/>
    <cellStyle name="Normal 37 2 4 7 3" xfId="51585" xr:uid="{00000000-0005-0000-0000-00007AC90000}"/>
    <cellStyle name="Normal 37 2 4 8" xfId="51586" xr:uid="{00000000-0005-0000-0000-00007BC90000}"/>
    <cellStyle name="Normal 37 2 4 8 2" xfId="51587" xr:uid="{00000000-0005-0000-0000-00007CC90000}"/>
    <cellStyle name="Normal 37 2 4 8 3" xfId="51588" xr:uid="{00000000-0005-0000-0000-00007DC90000}"/>
    <cellStyle name="Normal 37 2 4 9" xfId="51589" xr:uid="{00000000-0005-0000-0000-00007EC90000}"/>
    <cellStyle name="Normal 37 2 4 9 2" xfId="51590" xr:uid="{00000000-0005-0000-0000-00007FC90000}"/>
    <cellStyle name="Normal 37 2 4 9 3" xfId="51591" xr:uid="{00000000-0005-0000-0000-000080C90000}"/>
    <cellStyle name="Normal 37 2 40" xfId="51592" xr:uid="{00000000-0005-0000-0000-000081C90000}"/>
    <cellStyle name="Normal 37 2 41" xfId="51593" xr:uid="{00000000-0005-0000-0000-000082C90000}"/>
    <cellStyle name="Normal 37 2 42" xfId="51594" xr:uid="{00000000-0005-0000-0000-000083C90000}"/>
    <cellStyle name="Normal 37 2 43" xfId="51595" xr:uid="{00000000-0005-0000-0000-000084C90000}"/>
    <cellStyle name="Normal 37 2 5" xfId="51596" xr:uid="{00000000-0005-0000-0000-000085C90000}"/>
    <cellStyle name="Normal 37 2 5 10" xfId="51597" xr:uid="{00000000-0005-0000-0000-000086C90000}"/>
    <cellStyle name="Normal 37 2 5 10 2" xfId="51598" xr:uid="{00000000-0005-0000-0000-000087C90000}"/>
    <cellStyle name="Normal 37 2 5 10 3" xfId="51599" xr:uid="{00000000-0005-0000-0000-000088C90000}"/>
    <cellStyle name="Normal 37 2 5 11" xfId="51600" xr:uid="{00000000-0005-0000-0000-000089C90000}"/>
    <cellStyle name="Normal 37 2 5 11 2" xfId="51601" xr:uid="{00000000-0005-0000-0000-00008AC90000}"/>
    <cellStyle name="Normal 37 2 5 11 3" xfId="51602" xr:uid="{00000000-0005-0000-0000-00008BC90000}"/>
    <cellStyle name="Normal 37 2 5 12" xfId="51603" xr:uid="{00000000-0005-0000-0000-00008CC90000}"/>
    <cellStyle name="Normal 37 2 5 12 2" xfId="51604" xr:uid="{00000000-0005-0000-0000-00008DC90000}"/>
    <cellStyle name="Normal 37 2 5 12 3" xfId="51605" xr:uid="{00000000-0005-0000-0000-00008EC90000}"/>
    <cellStyle name="Normal 37 2 5 13" xfId="51606" xr:uid="{00000000-0005-0000-0000-00008FC90000}"/>
    <cellStyle name="Normal 37 2 5 13 2" xfId="51607" xr:uid="{00000000-0005-0000-0000-000090C90000}"/>
    <cellStyle name="Normal 37 2 5 13 3" xfId="51608" xr:uid="{00000000-0005-0000-0000-000091C90000}"/>
    <cellStyle name="Normal 37 2 5 14" xfId="51609" xr:uid="{00000000-0005-0000-0000-000092C90000}"/>
    <cellStyle name="Normal 37 2 5 14 2" xfId="51610" xr:uid="{00000000-0005-0000-0000-000093C90000}"/>
    <cellStyle name="Normal 37 2 5 14 3" xfId="51611" xr:uid="{00000000-0005-0000-0000-000094C90000}"/>
    <cellStyle name="Normal 37 2 5 15" xfId="51612" xr:uid="{00000000-0005-0000-0000-000095C90000}"/>
    <cellStyle name="Normal 37 2 5 15 2" xfId="51613" xr:uid="{00000000-0005-0000-0000-000096C90000}"/>
    <cellStyle name="Normal 37 2 5 15 3" xfId="51614" xr:uid="{00000000-0005-0000-0000-000097C90000}"/>
    <cellStyle name="Normal 37 2 5 16" xfId="51615" xr:uid="{00000000-0005-0000-0000-000098C90000}"/>
    <cellStyle name="Normal 37 2 5 17" xfId="51616" xr:uid="{00000000-0005-0000-0000-000099C90000}"/>
    <cellStyle name="Normal 37 2 5 2" xfId="51617" xr:uid="{00000000-0005-0000-0000-00009AC90000}"/>
    <cellStyle name="Normal 37 2 5 2 10" xfId="51618" xr:uid="{00000000-0005-0000-0000-00009BC90000}"/>
    <cellStyle name="Normal 37 2 5 2 10 2" xfId="51619" xr:uid="{00000000-0005-0000-0000-00009CC90000}"/>
    <cellStyle name="Normal 37 2 5 2 10 3" xfId="51620" xr:uid="{00000000-0005-0000-0000-00009DC90000}"/>
    <cellStyle name="Normal 37 2 5 2 11" xfId="51621" xr:uid="{00000000-0005-0000-0000-00009EC90000}"/>
    <cellStyle name="Normal 37 2 5 2 11 2" xfId="51622" xr:uid="{00000000-0005-0000-0000-00009FC90000}"/>
    <cellStyle name="Normal 37 2 5 2 11 3" xfId="51623" xr:uid="{00000000-0005-0000-0000-0000A0C90000}"/>
    <cellStyle name="Normal 37 2 5 2 12" xfId="51624" xr:uid="{00000000-0005-0000-0000-0000A1C90000}"/>
    <cellStyle name="Normal 37 2 5 2 12 2" xfId="51625" xr:uid="{00000000-0005-0000-0000-0000A2C90000}"/>
    <cellStyle name="Normal 37 2 5 2 12 3" xfId="51626" xr:uid="{00000000-0005-0000-0000-0000A3C90000}"/>
    <cellStyle name="Normal 37 2 5 2 13" xfId="51627" xr:uid="{00000000-0005-0000-0000-0000A4C90000}"/>
    <cellStyle name="Normal 37 2 5 2 13 2" xfId="51628" xr:uid="{00000000-0005-0000-0000-0000A5C90000}"/>
    <cellStyle name="Normal 37 2 5 2 13 3" xfId="51629" xr:uid="{00000000-0005-0000-0000-0000A6C90000}"/>
    <cellStyle name="Normal 37 2 5 2 14" xfId="51630" xr:uid="{00000000-0005-0000-0000-0000A7C90000}"/>
    <cellStyle name="Normal 37 2 5 2 14 2" xfId="51631" xr:uid="{00000000-0005-0000-0000-0000A8C90000}"/>
    <cellStyle name="Normal 37 2 5 2 14 3" xfId="51632" xr:uid="{00000000-0005-0000-0000-0000A9C90000}"/>
    <cellStyle name="Normal 37 2 5 2 15" xfId="51633" xr:uid="{00000000-0005-0000-0000-0000AAC90000}"/>
    <cellStyle name="Normal 37 2 5 2 16" xfId="51634" xr:uid="{00000000-0005-0000-0000-0000ABC90000}"/>
    <cellStyle name="Normal 37 2 5 2 2" xfId="51635" xr:uid="{00000000-0005-0000-0000-0000ACC90000}"/>
    <cellStyle name="Normal 37 2 5 2 2 2" xfId="51636" xr:uid="{00000000-0005-0000-0000-0000ADC90000}"/>
    <cellStyle name="Normal 37 2 5 2 2 3" xfId="51637" xr:uid="{00000000-0005-0000-0000-0000AEC90000}"/>
    <cellStyle name="Normal 37 2 5 2 3" xfId="51638" xr:uid="{00000000-0005-0000-0000-0000AFC90000}"/>
    <cellStyle name="Normal 37 2 5 2 3 2" xfId="51639" xr:uid="{00000000-0005-0000-0000-0000B0C90000}"/>
    <cellStyle name="Normal 37 2 5 2 3 3" xfId="51640" xr:uid="{00000000-0005-0000-0000-0000B1C90000}"/>
    <cellStyle name="Normal 37 2 5 2 4" xfId="51641" xr:uid="{00000000-0005-0000-0000-0000B2C90000}"/>
    <cellStyle name="Normal 37 2 5 2 4 2" xfId="51642" xr:uid="{00000000-0005-0000-0000-0000B3C90000}"/>
    <cellStyle name="Normal 37 2 5 2 4 3" xfId="51643" xr:uid="{00000000-0005-0000-0000-0000B4C90000}"/>
    <cellStyle name="Normal 37 2 5 2 5" xfId="51644" xr:uid="{00000000-0005-0000-0000-0000B5C90000}"/>
    <cellStyle name="Normal 37 2 5 2 5 2" xfId="51645" xr:uid="{00000000-0005-0000-0000-0000B6C90000}"/>
    <cellStyle name="Normal 37 2 5 2 5 3" xfId="51646" xr:uid="{00000000-0005-0000-0000-0000B7C90000}"/>
    <cellStyle name="Normal 37 2 5 2 6" xfId="51647" xr:uid="{00000000-0005-0000-0000-0000B8C90000}"/>
    <cellStyle name="Normal 37 2 5 2 6 2" xfId="51648" xr:uid="{00000000-0005-0000-0000-0000B9C90000}"/>
    <cellStyle name="Normal 37 2 5 2 6 3" xfId="51649" xr:uid="{00000000-0005-0000-0000-0000BAC90000}"/>
    <cellStyle name="Normal 37 2 5 2 7" xfId="51650" xr:uid="{00000000-0005-0000-0000-0000BBC90000}"/>
    <cellStyle name="Normal 37 2 5 2 7 2" xfId="51651" xr:uid="{00000000-0005-0000-0000-0000BCC90000}"/>
    <cellStyle name="Normal 37 2 5 2 7 3" xfId="51652" xr:uid="{00000000-0005-0000-0000-0000BDC90000}"/>
    <cellStyle name="Normal 37 2 5 2 8" xfId="51653" xr:uid="{00000000-0005-0000-0000-0000BEC90000}"/>
    <cellStyle name="Normal 37 2 5 2 8 2" xfId="51654" xr:uid="{00000000-0005-0000-0000-0000BFC90000}"/>
    <cellStyle name="Normal 37 2 5 2 8 3" xfId="51655" xr:uid="{00000000-0005-0000-0000-0000C0C90000}"/>
    <cellStyle name="Normal 37 2 5 2 9" xfId="51656" xr:uid="{00000000-0005-0000-0000-0000C1C90000}"/>
    <cellStyle name="Normal 37 2 5 2 9 2" xfId="51657" xr:uid="{00000000-0005-0000-0000-0000C2C90000}"/>
    <cellStyle name="Normal 37 2 5 2 9 3" xfId="51658" xr:uid="{00000000-0005-0000-0000-0000C3C90000}"/>
    <cellStyle name="Normal 37 2 5 3" xfId="51659" xr:uid="{00000000-0005-0000-0000-0000C4C90000}"/>
    <cellStyle name="Normal 37 2 5 3 2" xfId="51660" xr:uid="{00000000-0005-0000-0000-0000C5C90000}"/>
    <cellStyle name="Normal 37 2 5 3 3" xfId="51661" xr:uid="{00000000-0005-0000-0000-0000C6C90000}"/>
    <cellStyle name="Normal 37 2 5 4" xfId="51662" xr:uid="{00000000-0005-0000-0000-0000C7C90000}"/>
    <cellStyle name="Normal 37 2 5 4 2" xfId="51663" xr:uid="{00000000-0005-0000-0000-0000C8C90000}"/>
    <cellStyle name="Normal 37 2 5 4 3" xfId="51664" xr:uid="{00000000-0005-0000-0000-0000C9C90000}"/>
    <cellStyle name="Normal 37 2 5 5" xfId="51665" xr:uid="{00000000-0005-0000-0000-0000CAC90000}"/>
    <cellStyle name="Normal 37 2 5 5 2" xfId="51666" xr:uid="{00000000-0005-0000-0000-0000CBC90000}"/>
    <cellStyle name="Normal 37 2 5 5 3" xfId="51667" xr:uid="{00000000-0005-0000-0000-0000CCC90000}"/>
    <cellStyle name="Normal 37 2 5 6" xfId="51668" xr:uid="{00000000-0005-0000-0000-0000CDC90000}"/>
    <cellStyle name="Normal 37 2 5 6 2" xfId="51669" xr:uid="{00000000-0005-0000-0000-0000CEC90000}"/>
    <cellStyle name="Normal 37 2 5 6 3" xfId="51670" xr:uid="{00000000-0005-0000-0000-0000CFC90000}"/>
    <cellStyle name="Normal 37 2 5 7" xfId="51671" xr:uid="{00000000-0005-0000-0000-0000D0C90000}"/>
    <cellStyle name="Normal 37 2 5 7 2" xfId="51672" xr:uid="{00000000-0005-0000-0000-0000D1C90000}"/>
    <cellStyle name="Normal 37 2 5 7 3" xfId="51673" xr:uid="{00000000-0005-0000-0000-0000D2C90000}"/>
    <cellStyle name="Normal 37 2 5 8" xfId="51674" xr:uid="{00000000-0005-0000-0000-0000D3C90000}"/>
    <cellStyle name="Normal 37 2 5 8 2" xfId="51675" xr:uid="{00000000-0005-0000-0000-0000D4C90000}"/>
    <cellStyle name="Normal 37 2 5 8 3" xfId="51676" xr:uid="{00000000-0005-0000-0000-0000D5C90000}"/>
    <cellStyle name="Normal 37 2 5 9" xfId="51677" xr:uid="{00000000-0005-0000-0000-0000D6C90000}"/>
    <cellStyle name="Normal 37 2 5 9 2" xfId="51678" xr:uid="{00000000-0005-0000-0000-0000D7C90000}"/>
    <cellStyle name="Normal 37 2 5 9 3" xfId="51679" xr:uid="{00000000-0005-0000-0000-0000D8C90000}"/>
    <cellStyle name="Normal 37 2 6" xfId="51680" xr:uid="{00000000-0005-0000-0000-0000D9C90000}"/>
    <cellStyle name="Normal 37 2 6 10" xfId="51681" xr:uid="{00000000-0005-0000-0000-0000DAC90000}"/>
    <cellStyle name="Normal 37 2 6 10 2" xfId="51682" xr:uid="{00000000-0005-0000-0000-0000DBC90000}"/>
    <cellStyle name="Normal 37 2 6 10 3" xfId="51683" xr:uid="{00000000-0005-0000-0000-0000DCC90000}"/>
    <cellStyle name="Normal 37 2 6 11" xfId="51684" xr:uid="{00000000-0005-0000-0000-0000DDC90000}"/>
    <cellStyle name="Normal 37 2 6 11 2" xfId="51685" xr:uid="{00000000-0005-0000-0000-0000DEC90000}"/>
    <cellStyle name="Normal 37 2 6 11 3" xfId="51686" xr:uid="{00000000-0005-0000-0000-0000DFC90000}"/>
    <cellStyle name="Normal 37 2 6 12" xfId="51687" xr:uid="{00000000-0005-0000-0000-0000E0C90000}"/>
    <cellStyle name="Normal 37 2 6 12 2" xfId="51688" xr:uid="{00000000-0005-0000-0000-0000E1C90000}"/>
    <cellStyle name="Normal 37 2 6 12 3" xfId="51689" xr:uid="{00000000-0005-0000-0000-0000E2C90000}"/>
    <cellStyle name="Normal 37 2 6 13" xfId="51690" xr:uid="{00000000-0005-0000-0000-0000E3C90000}"/>
    <cellStyle name="Normal 37 2 6 13 2" xfId="51691" xr:uid="{00000000-0005-0000-0000-0000E4C90000}"/>
    <cellStyle name="Normal 37 2 6 13 3" xfId="51692" xr:uid="{00000000-0005-0000-0000-0000E5C90000}"/>
    <cellStyle name="Normal 37 2 6 14" xfId="51693" xr:uid="{00000000-0005-0000-0000-0000E6C90000}"/>
    <cellStyle name="Normal 37 2 6 14 2" xfId="51694" xr:uid="{00000000-0005-0000-0000-0000E7C90000}"/>
    <cellStyle name="Normal 37 2 6 14 3" xfId="51695" xr:uid="{00000000-0005-0000-0000-0000E8C90000}"/>
    <cellStyle name="Normal 37 2 6 15" xfId="51696" xr:uid="{00000000-0005-0000-0000-0000E9C90000}"/>
    <cellStyle name="Normal 37 2 6 15 2" xfId="51697" xr:uid="{00000000-0005-0000-0000-0000EAC90000}"/>
    <cellStyle name="Normal 37 2 6 15 3" xfId="51698" xr:uid="{00000000-0005-0000-0000-0000EBC90000}"/>
    <cellStyle name="Normal 37 2 6 16" xfId="51699" xr:uid="{00000000-0005-0000-0000-0000ECC90000}"/>
    <cellStyle name="Normal 37 2 6 17" xfId="51700" xr:uid="{00000000-0005-0000-0000-0000EDC90000}"/>
    <cellStyle name="Normal 37 2 6 2" xfId="51701" xr:uid="{00000000-0005-0000-0000-0000EEC90000}"/>
    <cellStyle name="Normal 37 2 6 2 10" xfId="51702" xr:uid="{00000000-0005-0000-0000-0000EFC90000}"/>
    <cellStyle name="Normal 37 2 6 2 10 2" xfId="51703" xr:uid="{00000000-0005-0000-0000-0000F0C90000}"/>
    <cellStyle name="Normal 37 2 6 2 10 3" xfId="51704" xr:uid="{00000000-0005-0000-0000-0000F1C90000}"/>
    <cellStyle name="Normal 37 2 6 2 11" xfId="51705" xr:uid="{00000000-0005-0000-0000-0000F2C90000}"/>
    <cellStyle name="Normal 37 2 6 2 11 2" xfId="51706" xr:uid="{00000000-0005-0000-0000-0000F3C90000}"/>
    <cellStyle name="Normal 37 2 6 2 11 3" xfId="51707" xr:uid="{00000000-0005-0000-0000-0000F4C90000}"/>
    <cellStyle name="Normal 37 2 6 2 12" xfId="51708" xr:uid="{00000000-0005-0000-0000-0000F5C90000}"/>
    <cellStyle name="Normal 37 2 6 2 12 2" xfId="51709" xr:uid="{00000000-0005-0000-0000-0000F6C90000}"/>
    <cellStyle name="Normal 37 2 6 2 12 3" xfId="51710" xr:uid="{00000000-0005-0000-0000-0000F7C90000}"/>
    <cellStyle name="Normal 37 2 6 2 13" xfId="51711" xr:uid="{00000000-0005-0000-0000-0000F8C90000}"/>
    <cellStyle name="Normal 37 2 6 2 13 2" xfId="51712" xr:uid="{00000000-0005-0000-0000-0000F9C90000}"/>
    <cellStyle name="Normal 37 2 6 2 13 3" xfId="51713" xr:uid="{00000000-0005-0000-0000-0000FAC90000}"/>
    <cellStyle name="Normal 37 2 6 2 14" xfId="51714" xr:uid="{00000000-0005-0000-0000-0000FBC90000}"/>
    <cellStyle name="Normal 37 2 6 2 14 2" xfId="51715" xr:uid="{00000000-0005-0000-0000-0000FCC90000}"/>
    <cellStyle name="Normal 37 2 6 2 14 3" xfId="51716" xr:uid="{00000000-0005-0000-0000-0000FDC90000}"/>
    <cellStyle name="Normal 37 2 6 2 15" xfId="51717" xr:uid="{00000000-0005-0000-0000-0000FEC90000}"/>
    <cellStyle name="Normal 37 2 6 2 16" xfId="51718" xr:uid="{00000000-0005-0000-0000-0000FFC90000}"/>
    <cellStyle name="Normal 37 2 6 2 2" xfId="51719" xr:uid="{00000000-0005-0000-0000-000000CA0000}"/>
    <cellStyle name="Normal 37 2 6 2 2 2" xfId="51720" xr:uid="{00000000-0005-0000-0000-000001CA0000}"/>
    <cellStyle name="Normal 37 2 6 2 2 3" xfId="51721" xr:uid="{00000000-0005-0000-0000-000002CA0000}"/>
    <cellStyle name="Normal 37 2 6 2 3" xfId="51722" xr:uid="{00000000-0005-0000-0000-000003CA0000}"/>
    <cellStyle name="Normal 37 2 6 2 3 2" xfId="51723" xr:uid="{00000000-0005-0000-0000-000004CA0000}"/>
    <cellStyle name="Normal 37 2 6 2 3 3" xfId="51724" xr:uid="{00000000-0005-0000-0000-000005CA0000}"/>
    <cellStyle name="Normal 37 2 6 2 4" xfId="51725" xr:uid="{00000000-0005-0000-0000-000006CA0000}"/>
    <cellStyle name="Normal 37 2 6 2 4 2" xfId="51726" xr:uid="{00000000-0005-0000-0000-000007CA0000}"/>
    <cellStyle name="Normal 37 2 6 2 4 3" xfId="51727" xr:uid="{00000000-0005-0000-0000-000008CA0000}"/>
    <cellStyle name="Normal 37 2 6 2 5" xfId="51728" xr:uid="{00000000-0005-0000-0000-000009CA0000}"/>
    <cellStyle name="Normal 37 2 6 2 5 2" xfId="51729" xr:uid="{00000000-0005-0000-0000-00000ACA0000}"/>
    <cellStyle name="Normal 37 2 6 2 5 3" xfId="51730" xr:uid="{00000000-0005-0000-0000-00000BCA0000}"/>
    <cellStyle name="Normal 37 2 6 2 6" xfId="51731" xr:uid="{00000000-0005-0000-0000-00000CCA0000}"/>
    <cellStyle name="Normal 37 2 6 2 6 2" xfId="51732" xr:uid="{00000000-0005-0000-0000-00000DCA0000}"/>
    <cellStyle name="Normal 37 2 6 2 6 3" xfId="51733" xr:uid="{00000000-0005-0000-0000-00000ECA0000}"/>
    <cellStyle name="Normal 37 2 6 2 7" xfId="51734" xr:uid="{00000000-0005-0000-0000-00000FCA0000}"/>
    <cellStyle name="Normal 37 2 6 2 7 2" xfId="51735" xr:uid="{00000000-0005-0000-0000-000010CA0000}"/>
    <cellStyle name="Normal 37 2 6 2 7 3" xfId="51736" xr:uid="{00000000-0005-0000-0000-000011CA0000}"/>
    <cellStyle name="Normal 37 2 6 2 8" xfId="51737" xr:uid="{00000000-0005-0000-0000-000012CA0000}"/>
    <cellStyle name="Normal 37 2 6 2 8 2" xfId="51738" xr:uid="{00000000-0005-0000-0000-000013CA0000}"/>
    <cellStyle name="Normal 37 2 6 2 8 3" xfId="51739" xr:uid="{00000000-0005-0000-0000-000014CA0000}"/>
    <cellStyle name="Normal 37 2 6 2 9" xfId="51740" xr:uid="{00000000-0005-0000-0000-000015CA0000}"/>
    <cellStyle name="Normal 37 2 6 2 9 2" xfId="51741" xr:uid="{00000000-0005-0000-0000-000016CA0000}"/>
    <cellStyle name="Normal 37 2 6 2 9 3" xfId="51742" xr:uid="{00000000-0005-0000-0000-000017CA0000}"/>
    <cellStyle name="Normal 37 2 6 3" xfId="51743" xr:uid="{00000000-0005-0000-0000-000018CA0000}"/>
    <cellStyle name="Normal 37 2 6 3 2" xfId="51744" xr:uid="{00000000-0005-0000-0000-000019CA0000}"/>
    <cellStyle name="Normal 37 2 6 3 3" xfId="51745" xr:uid="{00000000-0005-0000-0000-00001ACA0000}"/>
    <cellStyle name="Normal 37 2 6 4" xfId="51746" xr:uid="{00000000-0005-0000-0000-00001BCA0000}"/>
    <cellStyle name="Normal 37 2 6 4 2" xfId="51747" xr:uid="{00000000-0005-0000-0000-00001CCA0000}"/>
    <cellStyle name="Normal 37 2 6 4 3" xfId="51748" xr:uid="{00000000-0005-0000-0000-00001DCA0000}"/>
    <cellStyle name="Normal 37 2 6 5" xfId="51749" xr:uid="{00000000-0005-0000-0000-00001ECA0000}"/>
    <cellStyle name="Normal 37 2 6 5 2" xfId="51750" xr:uid="{00000000-0005-0000-0000-00001FCA0000}"/>
    <cellStyle name="Normal 37 2 6 5 3" xfId="51751" xr:uid="{00000000-0005-0000-0000-000020CA0000}"/>
    <cellStyle name="Normal 37 2 6 6" xfId="51752" xr:uid="{00000000-0005-0000-0000-000021CA0000}"/>
    <cellStyle name="Normal 37 2 6 6 2" xfId="51753" xr:uid="{00000000-0005-0000-0000-000022CA0000}"/>
    <cellStyle name="Normal 37 2 6 6 3" xfId="51754" xr:uid="{00000000-0005-0000-0000-000023CA0000}"/>
    <cellStyle name="Normal 37 2 6 7" xfId="51755" xr:uid="{00000000-0005-0000-0000-000024CA0000}"/>
    <cellStyle name="Normal 37 2 6 7 2" xfId="51756" xr:uid="{00000000-0005-0000-0000-000025CA0000}"/>
    <cellStyle name="Normal 37 2 6 7 3" xfId="51757" xr:uid="{00000000-0005-0000-0000-000026CA0000}"/>
    <cellStyle name="Normal 37 2 6 8" xfId="51758" xr:uid="{00000000-0005-0000-0000-000027CA0000}"/>
    <cellStyle name="Normal 37 2 6 8 2" xfId="51759" xr:uid="{00000000-0005-0000-0000-000028CA0000}"/>
    <cellStyle name="Normal 37 2 6 8 3" xfId="51760" xr:uid="{00000000-0005-0000-0000-000029CA0000}"/>
    <cellStyle name="Normal 37 2 6 9" xfId="51761" xr:uid="{00000000-0005-0000-0000-00002ACA0000}"/>
    <cellStyle name="Normal 37 2 6 9 2" xfId="51762" xr:uid="{00000000-0005-0000-0000-00002BCA0000}"/>
    <cellStyle name="Normal 37 2 6 9 3" xfId="51763" xr:uid="{00000000-0005-0000-0000-00002CCA0000}"/>
    <cellStyle name="Normal 37 2 7" xfId="51764" xr:uid="{00000000-0005-0000-0000-00002DCA0000}"/>
    <cellStyle name="Normal 37 2 7 10" xfId="51765" xr:uid="{00000000-0005-0000-0000-00002ECA0000}"/>
    <cellStyle name="Normal 37 2 7 10 2" xfId="51766" xr:uid="{00000000-0005-0000-0000-00002FCA0000}"/>
    <cellStyle name="Normal 37 2 7 10 3" xfId="51767" xr:uid="{00000000-0005-0000-0000-000030CA0000}"/>
    <cellStyle name="Normal 37 2 7 11" xfId="51768" xr:uid="{00000000-0005-0000-0000-000031CA0000}"/>
    <cellStyle name="Normal 37 2 7 11 2" xfId="51769" xr:uid="{00000000-0005-0000-0000-000032CA0000}"/>
    <cellStyle name="Normal 37 2 7 11 3" xfId="51770" xr:uid="{00000000-0005-0000-0000-000033CA0000}"/>
    <cellStyle name="Normal 37 2 7 12" xfId="51771" xr:uid="{00000000-0005-0000-0000-000034CA0000}"/>
    <cellStyle name="Normal 37 2 7 12 2" xfId="51772" xr:uid="{00000000-0005-0000-0000-000035CA0000}"/>
    <cellStyle name="Normal 37 2 7 12 3" xfId="51773" xr:uid="{00000000-0005-0000-0000-000036CA0000}"/>
    <cellStyle name="Normal 37 2 7 13" xfId="51774" xr:uid="{00000000-0005-0000-0000-000037CA0000}"/>
    <cellStyle name="Normal 37 2 7 13 2" xfId="51775" xr:uid="{00000000-0005-0000-0000-000038CA0000}"/>
    <cellStyle name="Normal 37 2 7 13 3" xfId="51776" xr:uid="{00000000-0005-0000-0000-000039CA0000}"/>
    <cellStyle name="Normal 37 2 7 14" xfId="51777" xr:uid="{00000000-0005-0000-0000-00003ACA0000}"/>
    <cellStyle name="Normal 37 2 7 14 2" xfId="51778" xr:uid="{00000000-0005-0000-0000-00003BCA0000}"/>
    <cellStyle name="Normal 37 2 7 14 3" xfId="51779" xr:uid="{00000000-0005-0000-0000-00003CCA0000}"/>
    <cellStyle name="Normal 37 2 7 15" xfId="51780" xr:uid="{00000000-0005-0000-0000-00003DCA0000}"/>
    <cellStyle name="Normal 37 2 7 16" xfId="51781" xr:uid="{00000000-0005-0000-0000-00003ECA0000}"/>
    <cellStyle name="Normal 37 2 7 2" xfId="51782" xr:uid="{00000000-0005-0000-0000-00003FCA0000}"/>
    <cellStyle name="Normal 37 2 7 2 2" xfId="51783" xr:uid="{00000000-0005-0000-0000-000040CA0000}"/>
    <cellStyle name="Normal 37 2 7 2 3" xfId="51784" xr:uid="{00000000-0005-0000-0000-000041CA0000}"/>
    <cellStyle name="Normal 37 2 7 3" xfId="51785" xr:uid="{00000000-0005-0000-0000-000042CA0000}"/>
    <cellStyle name="Normal 37 2 7 3 2" xfId="51786" xr:uid="{00000000-0005-0000-0000-000043CA0000}"/>
    <cellStyle name="Normal 37 2 7 3 3" xfId="51787" xr:uid="{00000000-0005-0000-0000-000044CA0000}"/>
    <cellStyle name="Normal 37 2 7 4" xfId="51788" xr:uid="{00000000-0005-0000-0000-000045CA0000}"/>
    <cellStyle name="Normal 37 2 7 4 2" xfId="51789" xr:uid="{00000000-0005-0000-0000-000046CA0000}"/>
    <cellStyle name="Normal 37 2 7 4 3" xfId="51790" xr:uid="{00000000-0005-0000-0000-000047CA0000}"/>
    <cellStyle name="Normal 37 2 7 5" xfId="51791" xr:uid="{00000000-0005-0000-0000-000048CA0000}"/>
    <cellStyle name="Normal 37 2 7 5 2" xfId="51792" xr:uid="{00000000-0005-0000-0000-000049CA0000}"/>
    <cellStyle name="Normal 37 2 7 5 3" xfId="51793" xr:uid="{00000000-0005-0000-0000-00004ACA0000}"/>
    <cellStyle name="Normal 37 2 7 6" xfId="51794" xr:uid="{00000000-0005-0000-0000-00004BCA0000}"/>
    <cellStyle name="Normal 37 2 7 6 2" xfId="51795" xr:uid="{00000000-0005-0000-0000-00004CCA0000}"/>
    <cellStyle name="Normal 37 2 7 6 3" xfId="51796" xr:uid="{00000000-0005-0000-0000-00004DCA0000}"/>
    <cellStyle name="Normal 37 2 7 7" xfId="51797" xr:uid="{00000000-0005-0000-0000-00004ECA0000}"/>
    <cellStyle name="Normal 37 2 7 7 2" xfId="51798" xr:uid="{00000000-0005-0000-0000-00004FCA0000}"/>
    <cellStyle name="Normal 37 2 7 7 3" xfId="51799" xr:uid="{00000000-0005-0000-0000-000050CA0000}"/>
    <cellStyle name="Normal 37 2 7 8" xfId="51800" xr:uid="{00000000-0005-0000-0000-000051CA0000}"/>
    <cellStyle name="Normal 37 2 7 8 2" xfId="51801" xr:uid="{00000000-0005-0000-0000-000052CA0000}"/>
    <cellStyle name="Normal 37 2 7 8 3" xfId="51802" xr:uid="{00000000-0005-0000-0000-000053CA0000}"/>
    <cellStyle name="Normal 37 2 7 9" xfId="51803" xr:uid="{00000000-0005-0000-0000-000054CA0000}"/>
    <cellStyle name="Normal 37 2 7 9 2" xfId="51804" xr:uid="{00000000-0005-0000-0000-000055CA0000}"/>
    <cellStyle name="Normal 37 2 7 9 3" xfId="51805" xr:uid="{00000000-0005-0000-0000-000056CA0000}"/>
    <cellStyle name="Normal 37 2 8" xfId="51806" xr:uid="{00000000-0005-0000-0000-000057CA0000}"/>
    <cellStyle name="Normal 37 2 8 10" xfId="51807" xr:uid="{00000000-0005-0000-0000-000058CA0000}"/>
    <cellStyle name="Normal 37 2 8 10 2" xfId="51808" xr:uid="{00000000-0005-0000-0000-000059CA0000}"/>
    <cellStyle name="Normal 37 2 8 10 3" xfId="51809" xr:uid="{00000000-0005-0000-0000-00005ACA0000}"/>
    <cellStyle name="Normal 37 2 8 11" xfId="51810" xr:uid="{00000000-0005-0000-0000-00005BCA0000}"/>
    <cellStyle name="Normal 37 2 8 11 2" xfId="51811" xr:uid="{00000000-0005-0000-0000-00005CCA0000}"/>
    <cellStyle name="Normal 37 2 8 11 3" xfId="51812" xr:uid="{00000000-0005-0000-0000-00005DCA0000}"/>
    <cellStyle name="Normal 37 2 8 12" xfId="51813" xr:uid="{00000000-0005-0000-0000-00005ECA0000}"/>
    <cellStyle name="Normal 37 2 8 12 2" xfId="51814" xr:uid="{00000000-0005-0000-0000-00005FCA0000}"/>
    <cellStyle name="Normal 37 2 8 12 3" xfId="51815" xr:uid="{00000000-0005-0000-0000-000060CA0000}"/>
    <cellStyle name="Normal 37 2 8 13" xfId="51816" xr:uid="{00000000-0005-0000-0000-000061CA0000}"/>
    <cellStyle name="Normal 37 2 8 13 2" xfId="51817" xr:uid="{00000000-0005-0000-0000-000062CA0000}"/>
    <cellStyle name="Normal 37 2 8 13 3" xfId="51818" xr:uid="{00000000-0005-0000-0000-000063CA0000}"/>
    <cellStyle name="Normal 37 2 8 14" xfId="51819" xr:uid="{00000000-0005-0000-0000-000064CA0000}"/>
    <cellStyle name="Normal 37 2 8 14 2" xfId="51820" xr:uid="{00000000-0005-0000-0000-000065CA0000}"/>
    <cellStyle name="Normal 37 2 8 14 3" xfId="51821" xr:uid="{00000000-0005-0000-0000-000066CA0000}"/>
    <cellStyle name="Normal 37 2 8 15" xfId="51822" xr:uid="{00000000-0005-0000-0000-000067CA0000}"/>
    <cellStyle name="Normal 37 2 8 16" xfId="51823" xr:uid="{00000000-0005-0000-0000-000068CA0000}"/>
    <cellStyle name="Normal 37 2 8 2" xfId="51824" xr:uid="{00000000-0005-0000-0000-000069CA0000}"/>
    <cellStyle name="Normal 37 2 8 2 2" xfId="51825" xr:uid="{00000000-0005-0000-0000-00006ACA0000}"/>
    <cellStyle name="Normal 37 2 8 2 3" xfId="51826" xr:uid="{00000000-0005-0000-0000-00006BCA0000}"/>
    <cellStyle name="Normal 37 2 8 3" xfId="51827" xr:uid="{00000000-0005-0000-0000-00006CCA0000}"/>
    <cellStyle name="Normal 37 2 8 3 2" xfId="51828" xr:uid="{00000000-0005-0000-0000-00006DCA0000}"/>
    <cellStyle name="Normal 37 2 8 3 3" xfId="51829" xr:uid="{00000000-0005-0000-0000-00006ECA0000}"/>
    <cellStyle name="Normal 37 2 8 4" xfId="51830" xr:uid="{00000000-0005-0000-0000-00006FCA0000}"/>
    <cellStyle name="Normal 37 2 8 4 2" xfId="51831" xr:uid="{00000000-0005-0000-0000-000070CA0000}"/>
    <cellStyle name="Normal 37 2 8 4 3" xfId="51832" xr:uid="{00000000-0005-0000-0000-000071CA0000}"/>
    <cellStyle name="Normal 37 2 8 5" xfId="51833" xr:uid="{00000000-0005-0000-0000-000072CA0000}"/>
    <cellStyle name="Normal 37 2 8 5 2" xfId="51834" xr:uid="{00000000-0005-0000-0000-000073CA0000}"/>
    <cellStyle name="Normal 37 2 8 5 3" xfId="51835" xr:uid="{00000000-0005-0000-0000-000074CA0000}"/>
    <cellStyle name="Normal 37 2 8 6" xfId="51836" xr:uid="{00000000-0005-0000-0000-000075CA0000}"/>
    <cellStyle name="Normal 37 2 8 6 2" xfId="51837" xr:uid="{00000000-0005-0000-0000-000076CA0000}"/>
    <cellStyle name="Normal 37 2 8 6 3" xfId="51838" xr:uid="{00000000-0005-0000-0000-000077CA0000}"/>
    <cellStyle name="Normal 37 2 8 7" xfId="51839" xr:uid="{00000000-0005-0000-0000-000078CA0000}"/>
    <cellStyle name="Normal 37 2 8 7 2" xfId="51840" xr:uid="{00000000-0005-0000-0000-000079CA0000}"/>
    <cellStyle name="Normal 37 2 8 7 3" xfId="51841" xr:uid="{00000000-0005-0000-0000-00007ACA0000}"/>
    <cellStyle name="Normal 37 2 8 8" xfId="51842" xr:uid="{00000000-0005-0000-0000-00007BCA0000}"/>
    <cellStyle name="Normal 37 2 8 8 2" xfId="51843" xr:uid="{00000000-0005-0000-0000-00007CCA0000}"/>
    <cellStyle name="Normal 37 2 8 8 3" xfId="51844" xr:uid="{00000000-0005-0000-0000-00007DCA0000}"/>
    <cellStyle name="Normal 37 2 8 9" xfId="51845" xr:uid="{00000000-0005-0000-0000-00007ECA0000}"/>
    <cellStyle name="Normal 37 2 8 9 2" xfId="51846" xr:uid="{00000000-0005-0000-0000-00007FCA0000}"/>
    <cellStyle name="Normal 37 2 8 9 3" xfId="51847" xr:uid="{00000000-0005-0000-0000-000080CA0000}"/>
    <cellStyle name="Normal 37 2 9" xfId="51848" xr:uid="{00000000-0005-0000-0000-000081CA0000}"/>
    <cellStyle name="Normal 37 2 9 10" xfId="51849" xr:uid="{00000000-0005-0000-0000-000082CA0000}"/>
    <cellStyle name="Normal 37 2 9 10 2" xfId="51850" xr:uid="{00000000-0005-0000-0000-000083CA0000}"/>
    <cellStyle name="Normal 37 2 9 10 3" xfId="51851" xr:uid="{00000000-0005-0000-0000-000084CA0000}"/>
    <cellStyle name="Normal 37 2 9 11" xfId="51852" xr:uid="{00000000-0005-0000-0000-000085CA0000}"/>
    <cellStyle name="Normal 37 2 9 11 2" xfId="51853" xr:uid="{00000000-0005-0000-0000-000086CA0000}"/>
    <cellStyle name="Normal 37 2 9 11 3" xfId="51854" xr:uid="{00000000-0005-0000-0000-000087CA0000}"/>
    <cellStyle name="Normal 37 2 9 12" xfId="51855" xr:uid="{00000000-0005-0000-0000-000088CA0000}"/>
    <cellStyle name="Normal 37 2 9 12 2" xfId="51856" xr:uid="{00000000-0005-0000-0000-000089CA0000}"/>
    <cellStyle name="Normal 37 2 9 12 3" xfId="51857" xr:uid="{00000000-0005-0000-0000-00008ACA0000}"/>
    <cellStyle name="Normal 37 2 9 13" xfId="51858" xr:uid="{00000000-0005-0000-0000-00008BCA0000}"/>
    <cellStyle name="Normal 37 2 9 13 2" xfId="51859" xr:uid="{00000000-0005-0000-0000-00008CCA0000}"/>
    <cellStyle name="Normal 37 2 9 13 3" xfId="51860" xr:uid="{00000000-0005-0000-0000-00008DCA0000}"/>
    <cellStyle name="Normal 37 2 9 14" xfId="51861" xr:uid="{00000000-0005-0000-0000-00008ECA0000}"/>
    <cellStyle name="Normal 37 2 9 14 2" xfId="51862" xr:uid="{00000000-0005-0000-0000-00008FCA0000}"/>
    <cellStyle name="Normal 37 2 9 14 3" xfId="51863" xr:uid="{00000000-0005-0000-0000-000090CA0000}"/>
    <cellStyle name="Normal 37 2 9 15" xfId="51864" xr:uid="{00000000-0005-0000-0000-000091CA0000}"/>
    <cellStyle name="Normal 37 2 9 16" xfId="51865" xr:uid="{00000000-0005-0000-0000-000092CA0000}"/>
    <cellStyle name="Normal 37 2 9 2" xfId="51866" xr:uid="{00000000-0005-0000-0000-000093CA0000}"/>
    <cellStyle name="Normal 37 2 9 2 2" xfId="51867" xr:uid="{00000000-0005-0000-0000-000094CA0000}"/>
    <cellStyle name="Normal 37 2 9 2 3" xfId="51868" xr:uid="{00000000-0005-0000-0000-000095CA0000}"/>
    <cellStyle name="Normal 37 2 9 3" xfId="51869" xr:uid="{00000000-0005-0000-0000-000096CA0000}"/>
    <cellStyle name="Normal 37 2 9 3 2" xfId="51870" xr:uid="{00000000-0005-0000-0000-000097CA0000}"/>
    <cellStyle name="Normal 37 2 9 3 3" xfId="51871" xr:uid="{00000000-0005-0000-0000-000098CA0000}"/>
    <cellStyle name="Normal 37 2 9 4" xfId="51872" xr:uid="{00000000-0005-0000-0000-000099CA0000}"/>
    <cellStyle name="Normal 37 2 9 4 2" xfId="51873" xr:uid="{00000000-0005-0000-0000-00009ACA0000}"/>
    <cellStyle name="Normal 37 2 9 4 3" xfId="51874" xr:uid="{00000000-0005-0000-0000-00009BCA0000}"/>
    <cellStyle name="Normal 37 2 9 5" xfId="51875" xr:uid="{00000000-0005-0000-0000-00009CCA0000}"/>
    <cellStyle name="Normal 37 2 9 5 2" xfId="51876" xr:uid="{00000000-0005-0000-0000-00009DCA0000}"/>
    <cellStyle name="Normal 37 2 9 5 3" xfId="51877" xr:uid="{00000000-0005-0000-0000-00009ECA0000}"/>
    <cellStyle name="Normal 37 2 9 6" xfId="51878" xr:uid="{00000000-0005-0000-0000-00009FCA0000}"/>
    <cellStyle name="Normal 37 2 9 6 2" xfId="51879" xr:uid="{00000000-0005-0000-0000-0000A0CA0000}"/>
    <cellStyle name="Normal 37 2 9 6 3" xfId="51880" xr:uid="{00000000-0005-0000-0000-0000A1CA0000}"/>
    <cellStyle name="Normal 37 2 9 7" xfId="51881" xr:uid="{00000000-0005-0000-0000-0000A2CA0000}"/>
    <cellStyle name="Normal 37 2 9 7 2" xfId="51882" xr:uid="{00000000-0005-0000-0000-0000A3CA0000}"/>
    <cellStyle name="Normal 37 2 9 7 3" xfId="51883" xr:uid="{00000000-0005-0000-0000-0000A4CA0000}"/>
    <cellStyle name="Normal 37 2 9 8" xfId="51884" xr:uid="{00000000-0005-0000-0000-0000A5CA0000}"/>
    <cellStyle name="Normal 37 2 9 8 2" xfId="51885" xr:uid="{00000000-0005-0000-0000-0000A6CA0000}"/>
    <cellStyle name="Normal 37 2 9 8 3" xfId="51886" xr:uid="{00000000-0005-0000-0000-0000A7CA0000}"/>
    <cellStyle name="Normal 37 2 9 9" xfId="51887" xr:uid="{00000000-0005-0000-0000-0000A8CA0000}"/>
    <cellStyle name="Normal 37 2 9 9 2" xfId="51888" xr:uid="{00000000-0005-0000-0000-0000A9CA0000}"/>
    <cellStyle name="Normal 37 2 9 9 3" xfId="51889" xr:uid="{00000000-0005-0000-0000-0000AACA0000}"/>
    <cellStyle name="Normal 37 2_End-use Summary" xfId="51890" xr:uid="{00000000-0005-0000-0000-0000ABCA0000}"/>
    <cellStyle name="Normal 37 3" xfId="51891" xr:uid="{00000000-0005-0000-0000-0000ACCA0000}"/>
    <cellStyle name="Normal 37 4" xfId="51892" xr:uid="{00000000-0005-0000-0000-0000ADCA0000}"/>
    <cellStyle name="Normal 37 4 10" xfId="51893" xr:uid="{00000000-0005-0000-0000-0000AECA0000}"/>
    <cellStyle name="Normal 37 4 10 10" xfId="51894" xr:uid="{00000000-0005-0000-0000-0000AFCA0000}"/>
    <cellStyle name="Normal 37 4 10 10 2" xfId="51895" xr:uid="{00000000-0005-0000-0000-0000B0CA0000}"/>
    <cellStyle name="Normal 37 4 10 10 3" xfId="51896" xr:uid="{00000000-0005-0000-0000-0000B1CA0000}"/>
    <cellStyle name="Normal 37 4 10 11" xfId="51897" xr:uid="{00000000-0005-0000-0000-0000B2CA0000}"/>
    <cellStyle name="Normal 37 4 10 11 2" xfId="51898" xr:uid="{00000000-0005-0000-0000-0000B3CA0000}"/>
    <cellStyle name="Normal 37 4 10 11 3" xfId="51899" xr:uid="{00000000-0005-0000-0000-0000B4CA0000}"/>
    <cellStyle name="Normal 37 4 10 12" xfId="51900" xr:uid="{00000000-0005-0000-0000-0000B5CA0000}"/>
    <cellStyle name="Normal 37 4 10 12 2" xfId="51901" xr:uid="{00000000-0005-0000-0000-0000B6CA0000}"/>
    <cellStyle name="Normal 37 4 10 12 3" xfId="51902" xr:uid="{00000000-0005-0000-0000-0000B7CA0000}"/>
    <cellStyle name="Normal 37 4 10 13" xfId="51903" xr:uid="{00000000-0005-0000-0000-0000B8CA0000}"/>
    <cellStyle name="Normal 37 4 10 13 2" xfId="51904" xr:uid="{00000000-0005-0000-0000-0000B9CA0000}"/>
    <cellStyle name="Normal 37 4 10 13 3" xfId="51905" xr:uid="{00000000-0005-0000-0000-0000BACA0000}"/>
    <cellStyle name="Normal 37 4 10 14" xfId="51906" xr:uid="{00000000-0005-0000-0000-0000BBCA0000}"/>
    <cellStyle name="Normal 37 4 10 14 2" xfId="51907" xr:uid="{00000000-0005-0000-0000-0000BCCA0000}"/>
    <cellStyle name="Normal 37 4 10 14 3" xfId="51908" xr:uid="{00000000-0005-0000-0000-0000BDCA0000}"/>
    <cellStyle name="Normal 37 4 10 15" xfId="51909" xr:uid="{00000000-0005-0000-0000-0000BECA0000}"/>
    <cellStyle name="Normal 37 4 10 16" xfId="51910" xr:uid="{00000000-0005-0000-0000-0000BFCA0000}"/>
    <cellStyle name="Normal 37 4 10 2" xfId="51911" xr:uid="{00000000-0005-0000-0000-0000C0CA0000}"/>
    <cellStyle name="Normal 37 4 10 2 2" xfId="51912" xr:uid="{00000000-0005-0000-0000-0000C1CA0000}"/>
    <cellStyle name="Normal 37 4 10 2 3" xfId="51913" xr:uid="{00000000-0005-0000-0000-0000C2CA0000}"/>
    <cellStyle name="Normal 37 4 10 3" xfId="51914" xr:uid="{00000000-0005-0000-0000-0000C3CA0000}"/>
    <cellStyle name="Normal 37 4 10 3 2" xfId="51915" xr:uid="{00000000-0005-0000-0000-0000C4CA0000}"/>
    <cellStyle name="Normal 37 4 10 3 3" xfId="51916" xr:uid="{00000000-0005-0000-0000-0000C5CA0000}"/>
    <cellStyle name="Normal 37 4 10 4" xfId="51917" xr:uid="{00000000-0005-0000-0000-0000C6CA0000}"/>
    <cellStyle name="Normal 37 4 10 4 2" xfId="51918" xr:uid="{00000000-0005-0000-0000-0000C7CA0000}"/>
    <cellStyle name="Normal 37 4 10 4 3" xfId="51919" xr:uid="{00000000-0005-0000-0000-0000C8CA0000}"/>
    <cellStyle name="Normal 37 4 10 5" xfId="51920" xr:uid="{00000000-0005-0000-0000-0000C9CA0000}"/>
    <cellStyle name="Normal 37 4 10 5 2" xfId="51921" xr:uid="{00000000-0005-0000-0000-0000CACA0000}"/>
    <cellStyle name="Normal 37 4 10 5 3" xfId="51922" xr:uid="{00000000-0005-0000-0000-0000CBCA0000}"/>
    <cellStyle name="Normal 37 4 10 6" xfId="51923" xr:uid="{00000000-0005-0000-0000-0000CCCA0000}"/>
    <cellStyle name="Normal 37 4 10 6 2" xfId="51924" xr:uid="{00000000-0005-0000-0000-0000CDCA0000}"/>
    <cellStyle name="Normal 37 4 10 6 3" xfId="51925" xr:uid="{00000000-0005-0000-0000-0000CECA0000}"/>
    <cellStyle name="Normal 37 4 10 7" xfId="51926" xr:uid="{00000000-0005-0000-0000-0000CFCA0000}"/>
    <cellStyle name="Normal 37 4 10 7 2" xfId="51927" xr:uid="{00000000-0005-0000-0000-0000D0CA0000}"/>
    <cellStyle name="Normal 37 4 10 7 3" xfId="51928" xr:uid="{00000000-0005-0000-0000-0000D1CA0000}"/>
    <cellStyle name="Normal 37 4 10 8" xfId="51929" xr:uid="{00000000-0005-0000-0000-0000D2CA0000}"/>
    <cellStyle name="Normal 37 4 10 8 2" xfId="51930" xr:uid="{00000000-0005-0000-0000-0000D3CA0000}"/>
    <cellStyle name="Normal 37 4 10 8 3" xfId="51931" xr:uid="{00000000-0005-0000-0000-0000D4CA0000}"/>
    <cellStyle name="Normal 37 4 10 9" xfId="51932" xr:uid="{00000000-0005-0000-0000-0000D5CA0000}"/>
    <cellStyle name="Normal 37 4 10 9 2" xfId="51933" xr:uid="{00000000-0005-0000-0000-0000D6CA0000}"/>
    <cellStyle name="Normal 37 4 10 9 3" xfId="51934" xr:uid="{00000000-0005-0000-0000-0000D7CA0000}"/>
    <cellStyle name="Normal 37 4 11" xfId="51935" xr:uid="{00000000-0005-0000-0000-0000D8CA0000}"/>
    <cellStyle name="Normal 37 4 11 10" xfId="51936" xr:uid="{00000000-0005-0000-0000-0000D9CA0000}"/>
    <cellStyle name="Normal 37 4 11 10 2" xfId="51937" xr:uid="{00000000-0005-0000-0000-0000DACA0000}"/>
    <cellStyle name="Normal 37 4 11 10 3" xfId="51938" xr:uid="{00000000-0005-0000-0000-0000DBCA0000}"/>
    <cellStyle name="Normal 37 4 11 11" xfId="51939" xr:uid="{00000000-0005-0000-0000-0000DCCA0000}"/>
    <cellStyle name="Normal 37 4 11 11 2" xfId="51940" xr:uid="{00000000-0005-0000-0000-0000DDCA0000}"/>
    <cellStyle name="Normal 37 4 11 11 3" xfId="51941" xr:uid="{00000000-0005-0000-0000-0000DECA0000}"/>
    <cellStyle name="Normal 37 4 11 12" xfId="51942" xr:uid="{00000000-0005-0000-0000-0000DFCA0000}"/>
    <cellStyle name="Normal 37 4 11 12 2" xfId="51943" xr:uid="{00000000-0005-0000-0000-0000E0CA0000}"/>
    <cellStyle name="Normal 37 4 11 12 3" xfId="51944" xr:uid="{00000000-0005-0000-0000-0000E1CA0000}"/>
    <cellStyle name="Normal 37 4 11 13" xfId="51945" xr:uid="{00000000-0005-0000-0000-0000E2CA0000}"/>
    <cellStyle name="Normal 37 4 11 13 2" xfId="51946" xr:uid="{00000000-0005-0000-0000-0000E3CA0000}"/>
    <cellStyle name="Normal 37 4 11 13 3" xfId="51947" xr:uid="{00000000-0005-0000-0000-0000E4CA0000}"/>
    <cellStyle name="Normal 37 4 11 14" xfId="51948" xr:uid="{00000000-0005-0000-0000-0000E5CA0000}"/>
    <cellStyle name="Normal 37 4 11 14 2" xfId="51949" xr:uid="{00000000-0005-0000-0000-0000E6CA0000}"/>
    <cellStyle name="Normal 37 4 11 14 3" xfId="51950" xr:uid="{00000000-0005-0000-0000-0000E7CA0000}"/>
    <cellStyle name="Normal 37 4 11 15" xfId="51951" xr:uid="{00000000-0005-0000-0000-0000E8CA0000}"/>
    <cellStyle name="Normal 37 4 11 16" xfId="51952" xr:uid="{00000000-0005-0000-0000-0000E9CA0000}"/>
    <cellStyle name="Normal 37 4 11 2" xfId="51953" xr:uid="{00000000-0005-0000-0000-0000EACA0000}"/>
    <cellStyle name="Normal 37 4 11 2 2" xfId="51954" xr:uid="{00000000-0005-0000-0000-0000EBCA0000}"/>
    <cellStyle name="Normal 37 4 11 2 3" xfId="51955" xr:uid="{00000000-0005-0000-0000-0000ECCA0000}"/>
    <cellStyle name="Normal 37 4 11 3" xfId="51956" xr:uid="{00000000-0005-0000-0000-0000EDCA0000}"/>
    <cellStyle name="Normal 37 4 11 3 2" xfId="51957" xr:uid="{00000000-0005-0000-0000-0000EECA0000}"/>
    <cellStyle name="Normal 37 4 11 3 3" xfId="51958" xr:uid="{00000000-0005-0000-0000-0000EFCA0000}"/>
    <cellStyle name="Normal 37 4 11 4" xfId="51959" xr:uid="{00000000-0005-0000-0000-0000F0CA0000}"/>
    <cellStyle name="Normal 37 4 11 4 2" xfId="51960" xr:uid="{00000000-0005-0000-0000-0000F1CA0000}"/>
    <cellStyle name="Normal 37 4 11 4 3" xfId="51961" xr:uid="{00000000-0005-0000-0000-0000F2CA0000}"/>
    <cellStyle name="Normal 37 4 11 5" xfId="51962" xr:uid="{00000000-0005-0000-0000-0000F3CA0000}"/>
    <cellStyle name="Normal 37 4 11 5 2" xfId="51963" xr:uid="{00000000-0005-0000-0000-0000F4CA0000}"/>
    <cellStyle name="Normal 37 4 11 5 3" xfId="51964" xr:uid="{00000000-0005-0000-0000-0000F5CA0000}"/>
    <cellStyle name="Normal 37 4 11 6" xfId="51965" xr:uid="{00000000-0005-0000-0000-0000F6CA0000}"/>
    <cellStyle name="Normal 37 4 11 6 2" xfId="51966" xr:uid="{00000000-0005-0000-0000-0000F7CA0000}"/>
    <cellStyle name="Normal 37 4 11 6 3" xfId="51967" xr:uid="{00000000-0005-0000-0000-0000F8CA0000}"/>
    <cellStyle name="Normal 37 4 11 7" xfId="51968" xr:uid="{00000000-0005-0000-0000-0000F9CA0000}"/>
    <cellStyle name="Normal 37 4 11 7 2" xfId="51969" xr:uid="{00000000-0005-0000-0000-0000FACA0000}"/>
    <cellStyle name="Normal 37 4 11 7 3" xfId="51970" xr:uid="{00000000-0005-0000-0000-0000FBCA0000}"/>
    <cellStyle name="Normal 37 4 11 8" xfId="51971" xr:uid="{00000000-0005-0000-0000-0000FCCA0000}"/>
    <cellStyle name="Normal 37 4 11 8 2" xfId="51972" xr:uid="{00000000-0005-0000-0000-0000FDCA0000}"/>
    <cellStyle name="Normal 37 4 11 8 3" xfId="51973" xr:uid="{00000000-0005-0000-0000-0000FECA0000}"/>
    <cellStyle name="Normal 37 4 11 9" xfId="51974" xr:uid="{00000000-0005-0000-0000-0000FFCA0000}"/>
    <cellStyle name="Normal 37 4 11 9 2" xfId="51975" xr:uid="{00000000-0005-0000-0000-000000CB0000}"/>
    <cellStyle name="Normal 37 4 11 9 3" xfId="51976" xr:uid="{00000000-0005-0000-0000-000001CB0000}"/>
    <cellStyle name="Normal 37 4 12" xfId="51977" xr:uid="{00000000-0005-0000-0000-000002CB0000}"/>
    <cellStyle name="Normal 37 4 12 10" xfId="51978" xr:uid="{00000000-0005-0000-0000-000003CB0000}"/>
    <cellStyle name="Normal 37 4 12 10 2" xfId="51979" xr:uid="{00000000-0005-0000-0000-000004CB0000}"/>
    <cellStyle name="Normal 37 4 12 10 3" xfId="51980" xr:uid="{00000000-0005-0000-0000-000005CB0000}"/>
    <cellStyle name="Normal 37 4 12 11" xfId="51981" xr:uid="{00000000-0005-0000-0000-000006CB0000}"/>
    <cellStyle name="Normal 37 4 12 11 2" xfId="51982" xr:uid="{00000000-0005-0000-0000-000007CB0000}"/>
    <cellStyle name="Normal 37 4 12 11 3" xfId="51983" xr:uid="{00000000-0005-0000-0000-000008CB0000}"/>
    <cellStyle name="Normal 37 4 12 12" xfId="51984" xr:uid="{00000000-0005-0000-0000-000009CB0000}"/>
    <cellStyle name="Normal 37 4 12 12 2" xfId="51985" xr:uid="{00000000-0005-0000-0000-00000ACB0000}"/>
    <cellStyle name="Normal 37 4 12 12 3" xfId="51986" xr:uid="{00000000-0005-0000-0000-00000BCB0000}"/>
    <cellStyle name="Normal 37 4 12 13" xfId="51987" xr:uid="{00000000-0005-0000-0000-00000CCB0000}"/>
    <cellStyle name="Normal 37 4 12 13 2" xfId="51988" xr:uid="{00000000-0005-0000-0000-00000DCB0000}"/>
    <cellStyle name="Normal 37 4 12 13 3" xfId="51989" xr:uid="{00000000-0005-0000-0000-00000ECB0000}"/>
    <cellStyle name="Normal 37 4 12 14" xfId="51990" xr:uid="{00000000-0005-0000-0000-00000FCB0000}"/>
    <cellStyle name="Normal 37 4 12 14 2" xfId="51991" xr:uid="{00000000-0005-0000-0000-000010CB0000}"/>
    <cellStyle name="Normal 37 4 12 14 3" xfId="51992" xr:uid="{00000000-0005-0000-0000-000011CB0000}"/>
    <cellStyle name="Normal 37 4 12 15" xfId="51993" xr:uid="{00000000-0005-0000-0000-000012CB0000}"/>
    <cellStyle name="Normal 37 4 12 16" xfId="51994" xr:uid="{00000000-0005-0000-0000-000013CB0000}"/>
    <cellStyle name="Normal 37 4 12 2" xfId="51995" xr:uid="{00000000-0005-0000-0000-000014CB0000}"/>
    <cellStyle name="Normal 37 4 12 2 2" xfId="51996" xr:uid="{00000000-0005-0000-0000-000015CB0000}"/>
    <cellStyle name="Normal 37 4 12 2 3" xfId="51997" xr:uid="{00000000-0005-0000-0000-000016CB0000}"/>
    <cellStyle name="Normal 37 4 12 3" xfId="51998" xr:uid="{00000000-0005-0000-0000-000017CB0000}"/>
    <cellStyle name="Normal 37 4 12 3 2" xfId="51999" xr:uid="{00000000-0005-0000-0000-000018CB0000}"/>
    <cellStyle name="Normal 37 4 12 3 3" xfId="52000" xr:uid="{00000000-0005-0000-0000-000019CB0000}"/>
    <cellStyle name="Normal 37 4 12 4" xfId="52001" xr:uid="{00000000-0005-0000-0000-00001ACB0000}"/>
    <cellStyle name="Normal 37 4 12 4 2" xfId="52002" xr:uid="{00000000-0005-0000-0000-00001BCB0000}"/>
    <cellStyle name="Normal 37 4 12 4 3" xfId="52003" xr:uid="{00000000-0005-0000-0000-00001CCB0000}"/>
    <cellStyle name="Normal 37 4 12 5" xfId="52004" xr:uid="{00000000-0005-0000-0000-00001DCB0000}"/>
    <cellStyle name="Normal 37 4 12 5 2" xfId="52005" xr:uid="{00000000-0005-0000-0000-00001ECB0000}"/>
    <cellStyle name="Normal 37 4 12 5 3" xfId="52006" xr:uid="{00000000-0005-0000-0000-00001FCB0000}"/>
    <cellStyle name="Normal 37 4 12 6" xfId="52007" xr:uid="{00000000-0005-0000-0000-000020CB0000}"/>
    <cellStyle name="Normal 37 4 12 6 2" xfId="52008" xr:uid="{00000000-0005-0000-0000-000021CB0000}"/>
    <cellStyle name="Normal 37 4 12 6 3" xfId="52009" xr:uid="{00000000-0005-0000-0000-000022CB0000}"/>
    <cellStyle name="Normal 37 4 12 7" xfId="52010" xr:uid="{00000000-0005-0000-0000-000023CB0000}"/>
    <cellStyle name="Normal 37 4 12 7 2" xfId="52011" xr:uid="{00000000-0005-0000-0000-000024CB0000}"/>
    <cellStyle name="Normal 37 4 12 7 3" xfId="52012" xr:uid="{00000000-0005-0000-0000-000025CB0000}"/>
    <cellStyle name="Normal 37 4 12 8" xfId="52013" xr:uid="{00000000-0005-0000-0000-000026CB0000}"/>
    <cellStyle name="Normal 37 4 12 8 2" xfId="52014" xr:uid="{00000000-0005-0000-0000-000027CB0000}"/>
    <cellStyle name="Normal 37 4 12 8 3" xfId="52015" xr:uid="{00000000-0005-0000-0000-000028CB0000}"/>
    <cellStyle name="Normal 37 4 12 9" xfId="52016" xr:uid="{00000000-0005-0000-0000-000029CB0000}"/>
    <cellStyle name="Normal 37 4 12 9 2" xfId="52017" xr:uid="{00000000-0005-0000-0000-00002ACB0000}"/>
    <cellStyle name="Normal 37 4 12 9 3" xfId="52018" xr:uid="{00000000-0005-0000-0000-00002BCB0000}"/>
    <cellStyle name="Normal 37 4 13" xfId="52019" xr:uid="{00000000-0005-0000-0000-00002CCB0000}"/>
    <cellStyle name="Normal 37 4 13 10" xfId="52020" xr:uid="{00000000-0005-0000-0000-00002DCB0000}"/>
    <cellStyle name="Normal 37 4 13 10 2" xfId="52021" xr:uid="{00000000-0005-0000-0000-00002ECB0000}"/>
    <cellStyle name="Normal 37 4 13 10 3" xfId="52022" xr:uid="{00000000-0005-0000-0000-00002FCB0000}"/>
    <cellStyle name="Normal 37 4 13 11" xfId="52023" xr:uid="{00000000-0005-0000-0000-000030CB0000}"/>
    <cellStyle name="Normal 37 4 13 11 2" xfId="52024" xr:uid="{00000000-0005-0000-0000-000031CB0000}"/>
    <cellStyle name="Normal 37 4 13 11 3" xfId="52025" xr:uid="{00000000-0005-0000-0000-000032CB0000}"/>
    <cellStyle name="Normal 37 4 13 12" xfId="52026" xr:uid="{00000000-0005-0000-0000-000033CB0000}"/>
    <cellStyle name="Normal 37 4 13 12 2" xfId="52027" xr:uid="{00000000-0005-0000-0000-000034CB0000}"/>
    <cellStyle name="Normal 37 4 13 12 3" xfId="52028" xr:uid="{00000000-0005-0000-0000-000035CB0000}"/>
    <cellStyle name="Normal 37 4 13 13" xfId="52029" xr:uid="{00000000-0005-0000-0000-000036CB0000}"/>
    <cellStyle name="Normal 37 4 13 13 2" xfId="52030" xr:uid="{00000000-0005-0000-0000-000037CB0000}"/>
    <cellStyle name="Normal 37 4 13 13 3" xfId="52031" xr:uid="{00000000-0005-0000-0000-000038CB0000}"/>
    <cellStyle name="Normal 37 4 13 14" xfId="52032" xr:uid="{00000000-0005-0000-0000-000039CB0000}"/>
    <cellStyle name="Normal 37 4 13 14 2" xfId="52033" xr:uid="{00000000-0005-0000-0000-00003ACB0000}"/>
    <cellStyle name="Normal 37 4 13 14 3" xfId="52034" xr:uid="{00000000-0005-0000-0000-00003BCB0000}"/>
    <cellStyle name="Normal 37 4 13 15" xfId="52035" xr:uid="{00000000-0005-0000-0000-00003CCB0000}"/>
    <cellStyle name="Normal 37 4 13 16" xfId="52036" xr:uid="{00000000-0005-0000-0000-00003DCB0000}"/>
    <cellStyle name="Normal 37 4 13 2" xfId="52037" xr:uid="{00000000-0005-0000-0000-00003ECB0000}"/>
    <cellStyle name="Normal 37 4 13 2 2" xfId="52038" xr:uid="{00000000-0005-0000-0000-00003FCB0000}"/>
    <cellStyle name="Normal 37 4 13 2 3" xfId="52039" xr:uid="{00000000-0005-0000-0000-000040CB0000}"/>
    <cellStyle name="Normal 37 4 13 3" xfId="52040" xr:uid="{00000000-0005-0000-0000-000041CB0000}"/>
    <cellStyle name="Normal 37 4 13 3 2" xfId="52041" xr:uid="{00000000-0005-0000-0000-000042CB0000}"/>
    <cellStyle name="Normal 37 4 13 3 3" xfId="52042" xr:uid="{00000000-0005-0000-0000-000043CB0000}"/>
    <cellStyle name="Normal 37 4 13 4" xfId="52043" xr:uid="{00000000-0005-0000-0000-000044CB0000}"/>
    <cellStyle name="Normal 37 4 13 4 2" xfId="52044" xr:uid="{00000000-0005-0000-0000-000045CB0000}"/>
    <cellStyle name="Normal 37 4 13 4 3" xfId="52045" xr:uid="{00000000-0005-0000-0000-000046CB0000}"/>
    <cellStyle name="Normal 37 4 13 5" xfId="52046" xr:uid="{00000000-0005-0000-0000-000047CB0000}"/>
    <cellStyle name="Normal 37 4 13 5 2" xfId="52047" xr:uid="{00000000-0005-0000-0000-000048CB0000}"/>
    <cellStyle name="Normal 37 4 13 5 3" xfId="52048" xr:uid="{00000000-0005-0000-0000-000049CB0000}"/>
    <cellStyle name="Normal 37 4 13 6" xfId="52049" xr:uid="{00000000-0005-0000-0000-00004ACB0000}"/>
    <cellStyle name="Normal 37 4 13 6 2" xfId="52050" xr:uid="{00000000-0005-0000-0000-00004BCB0000}"/>
    <cellStyle name="Normal 37 4 13 6 3" xfId="52051" xr:uid="{00000000-0005-0000-0000-00004CCB0000}"/>
    <cellStyle name="Normal 37 4 13 7" xfId="52052" xr:uid="{00000000-0005-0000-0000-00004DCB0000}"/>
    <cellStyle name="Normal 37 4 13 7 2" xfId="52053" xr:uid="{00000000-0005-0000-0000-00004ECB0000}"/>
    <cellStyle name="Normal 37 4 13 7 3" xfId="52054" xr:uid="{00000000-0005-0000-0000-00004FCB0000}"/>
    <cellStyle name="Normal 37 4 13 8" xfId="52055" xr:uid="{00000000-0005-0000-0000-000050CB0000}"/>
    <cellStyle name="Normal 37 4 13 8 2" xfId="52056" xr:uid="{00000000-0005-0000-0000-000051CB0000}"/>
    <cellStyle name="Normal 37 4 13 8 3" xfId="52057" xr:uid="{00000000-0005-0000-0000-000052CB0000}"/>
    <cellStyle name="Normal 37 4 13 9" xfId="52058" xr:uid="{00000000-0005-0000-0000-000053CB0000}"/>
    <cellStyle name="Normal 37 4 13 9 2" xfId="52059" xr:uid="{00000000-0005-0000-0000-000054CB0000}"/>
    <cellStyle name="Normal 37 4 13 9 3" xfId="52060" xr:uid="{00000000-0005-0000-0000-000055CB0000}"/>
    <cellStyle name="Normal 37 4 14" xfId="52061" xr:uid="{00000000-0005-0000-0000-000056CB0000}"/>
    <cellStyle name="Normal 37 4 14 10" xfId="52062" xr:uid="{00000000-0005-0000-0000-000057CB0000}"/>
    <cellStyle name="Normal 37 4 14 10 2" xfId="52063" xr:uid="{00000000-0005-0000-0000-000058CB0000}"/>
    <cellStyle name="Normal 37 4 14 10 3" xfId="52064" xr:uid="{00000000-0005-0000-0000-000059CB0000}"/>
    <cellStyle name="Normal 37 4 14 11" xfId="52065" xr:uid="{00000000-0005-0000-0000-00005ACB0000}"/>
    <cellStyle name="Normal 37 4 14 11 2" xfId="52066" xr:uid="{00000000-0005-0000-0000-00005BCB0000}"/>
    <cellStyle name="Normal 37 4 14 11 3" xfId="52067" xr:uid="{00000000-0005-0000-0000-00005CCB0000}"/>
    <cellStyle name="Normal 37 4 14 12" xfId="52068" xr:uid="{00000000-0005-0000-0000-00005DCB0000}"/>
    <cellStyle name="Normal 37 4 14 12 2" xfId="52069" xr:uid="{00000000-0005-0000-0000-00005ECB0000}"/>
    <cellStyle name="Normal 37 4 14 12 3" xfId="52070" xr:uid="{00000000-0005-0000-0000-00005FCB0000}"/>
    <cellStyle name="Normal 37 4 14 13" xfId="52071" xr:uid="{00000000-0005-0000-0000-000060CB0000}"/>
    <cellStyle name="Normal 37 4 14 13 2" xfId="52072" xr:uid="{00000000-0005-0000-0000-000061CB0000}"/>
    <cellStyle name="Normal 37 4 14 13 3" xfId="52073" xr:uid="{00000000-0005-0000-0000-000062CB0000}"/>
    <cellStyle name="Normal 37 4 14 14" xfId="52074" xr:uid="{00000000-0005-0000-0000-000063CB0000}"/>
    <cellStyle name="Normal 37 4 14 14 2" xfId="52075" xr:uid="{00000000-0005-0000-0000-000064CB0000}"/>
    <cellStyle name="Normal 37 4 14 14 3" xfId="52076" xr:uid="{00000000-0005-0000-0000-000065CB0000}"/>
    <cellStyle name="Normal 37 4 14 15" xfId="52077" xr:uid="{00000000-0005-0000-0000-000066CB0000}"/>
    <cellStyle name="Normal 37 4 14 16" xfId="52078" xr:uid="{00000000-0005-0000-0000-000067CB0000}"/>
    <cellStyle name="Normal 37 4 14 2" xfId="52079" xr:uid="{00000000-0005-0000-0000-000068CB0000}"/>
    <cellStyle name="Normal 37 4 14 2 2" xfId="52080" xr:uid="{00000000-0005-0000-0000-000069CB0000}"/>
    <cellStyle name="Normal 37 4 14 2 3" xfId="52081" xr:uid="{00000000-0005-0000-0000-00006ACB0000}"/>
    <cellStyle name="Normal 37 4 14 3" xfId="52082" xr:uid="{00000000-0005-0000-0000-00006BCB0000}"/>
    <cellStyle name="Normal 37 4 14 3 2" xfId="52083" xr:uid="{00000000-0005-0000-0000-00006CCB0000}"/>
    <cellStyle name="Normal 37 4 14 3 3" xfId="52084" xr:uid="{00000000-0005-0000-0000-00006DCB0000}"/>
    <cellStyle name="Normal 37 4 14 4" xfId="52085" xr:uid="{00000000-0005-0000-0000-00006ECB0000}"/>
    <cellStyle name="Normal 37 4 14 4 2" xfId="52086" xr:uid="{00000000-0005-0000-0000-00006FCB0000}"/>
    <cellStyle name="Normal 37 4 14 4 3" xfId="52087" xr:uid="{00000000-0005-0000-0000-000070CB0000}"/>
    <cellStyle name="Normal 37 4 14 5" xfId="52088" xr:uid="{00000000-0005-0000-0000-000071CB0000}"/>
    <cellStyle name="Normal 37 4 14 5 2" xfId="52089" xr:uid="{00000000-0005-0000-0000-000072CB0000}"/>
    <cellStyle name="Normal 37 4 14 5 3" xfId="52090" xr:uid="{00000000-0005-0000-0000-000073CB0000}"/>
    <cellStyle name="Normal 37 4 14 6" xfId="52091" xr:uid="{00000000-0005-0000-0000-000074CB0000}"/>
    <cellStyle name="Normal 37 4 14 6 2" xfId="52092" xr:uid="{00000000-0005-0000-0000-000075CB0000}"/>
    <cellStyle name="Normal 37 4 14 6 3" xfId="52093" xr:uid="{00000000-0005-0000-0000-000076CB0000}"/>
    <cellStyle name="Normal 37 4 14 7" xfId="52094" xr:uid="{00000000-0005-0000-0000-000077CB0000}"/>
    <cellStyle name="Normal 37 4 14 7 2" xfId="52095" xr:uid="{00000000-0005-0000-0000-000078CB0000}"/>
    <cellStyle name="Normal 37 4 14 7 3" xfId="52096" xr:uid="{00000000-0005-0000-0000-000079CB0000}"/>
    <cellStyle name="Normal 37 4 14 8" xfId="52097" xr:uid="{00000000-0005-0000-0000-00007ACB0000}"/>
    <cellStyle name="Normal 37 4 14 8 2" xfId="52098" xr:uid="{00000000-0005-0000-0000-00007BCB0000}"/>
    <cellStyle name="Normal 37 4 14 8 3" xfId="52099" xr:uid="{00000000-0005-0000-0000-00007CCB0000}"/>
    <cellStyle name="Normal 37 4 14 9" xfId="52100" xr:uid="{00000000-0005-0000-0000-00007DCB0000}"/>
    <cellStyle name="Normal 37 4 14 9 2" xfId="52101" xr:uid="{00000000-0005-0000-0000-00007ECB0000}"/>
    <cellStyle name="Normal 37 4 14 9 3" xfId="52102" xr:uid="{00000000-0005-0000-0000-00007FCB0000}"/>
    <cellStyle name="Normal 37 4 15" xfId="52103" xr:uid="{00000000-0005-0000-0000-000080CB0000}"/>
    <cellStyle name="Normal 37 4 15 10" xfId="52104" xr:uid="{00000000-0005-0000-0000-000081CB0000}"/>
    <cellStyle name="Normal 37 4 15 10 2" xfId="52105" xr:uid="{00000000-0005-0000-0000-000082CB0000}"/>
    <cellStyle name="Normal 37 4 15 10 3" xfId="52106" xr:uid="{00000000-0005-0000-0000-000083CB0000}"/>
    <cellStyle name="Normal 37 4 15 11" xfId="52107" xr:uid="{00000000-0005-0000-0000-000084CB0000}"/>
    <cellStyle name="Normal 37 4 15 11 2" xfId="52108" xr:uid="{00000000-0005-0000-0000-000085CB0000}"/>
    <cellStyle name="Normal 37 4 15 11 3" xfId="52109" xr:uid="{00000000-0005-0000-0000-000086CB0000}"/>
    <cellStyle name="Normal 37 4 15 12" xfId="52110" xr:uid="{00000000-0005-0000-0000-000087CB0000}"/>
    <cellStyle name="Normal 37 4 15 12 2" xfId="52111" xr:uid="{00000000-0005-0000-0000-000088CB0000}"/>
    <cellStyle name="Normal 37 4 15 12 3" xfId="52112" xr:uid="{00000000-0005-0000-0000-000089CB0000}"/>
    <cellStyle name="Normal 37 4 15 13" xfId="52113" xr:uid="{00000000-0005-0000-0000-00008ACB0000}"/>
    <cellStyle name="Normal 37 4 15 13 2" xfId="52114" xr:uid="{00000000-0005-0000-0000-00008BCB0000}"/>
    <cellStyle name="Normal 37 4 15 13 3" xfId="52115" xr:uid="{00000000-0005-0000-0000-00008CCB0000}"/>
    <cellStyle name="Normal 37 4 15 14" xfId="52116" xr:uid="{00000000-0005-0000-0000-00008DCB0000}"/>
    <cellStyle name="Normal 37 4 15 14 2" xfId="52117" xr:uid="{00000000-0005-0000-0000-00008ECB0000}"/>
    <cellStyle name="Normal 37 4 15 14 3" xfId="52118" xr:uid="{00000000-0005-0000-0000-00008FCB0000}"/>
    <cellStyle name="Normal 37 4 15 15" xfId="52119" xr:uid="{00000000-0005-0000-0000-000090CB0000}"/>
    <cellStyle name="Normal 37 4 15 16" xfId="52120" xr:uid="{00000000-0005-0000-0000-000091CB0000}"/>
    <cellStyle name="Normal 37 4 15 2" xfId="52121" xr:uid="{00000000-0005-0000-0000-000092CB0000}"/>
    <cellStyle name="Normal 37 4 15 2 2" xfId="52122" xr:uid="{00000000-0005-0000-0000-000093CB0000}"/>
    <cellStyle name="Normal 37 4 15 2 3" xfId="52123" xr:uid="{00000000-0005-0000-0000-000094CB0000}"/>
    <cellStyle name="Normal 37 4 15 3" xfId="52124" xr:uid="{00000000-0005-0000-0000-000095CB0000}"/>
    <cellStyle name="Normal 37 4 15 3 2" xfId="52125" xr:uid="{00000000-0005-0000-0000-000096CB0000}"/>
    <cellStyle name="Normal 37 4 15 3 3" xfId="52126" xr:uid="{00000000-0005-0000-0000-000097CB0000}"/>
    <cellStyle name="Normal 37 4 15 4" xfId="52127" xr:uid="{00000000-0005-0000-0000-000098CB0000}"/>
    <cellStyle name="Normal 37 4 15 4 2" xfId="52128" xr:uid="{00000000-0005-0000-0000-000099CB0000}"/>
    <cellStyle name="Normal 37 4 15 4 3" xfId="52129" xr:uid="{00000000-0005-0000-0000-00009ACB0000}"/>
    <cellStyle name="Normal 37 4 15 5" xfId="52130" xr:uid="{00000000-0005-0000-0000-00009BCB0000}"/>
    <cellStyle name="Normal 37 4 15 5 2" xfId="52131" xr:uid="{00000000-0005-0000-0000-00009CCB0000}"/>
    <cellStyle name="Normal 37 4 15 5 3" xfId="52132" xr:uid="{00000000-0005-0000-0000-00009DCB0000}"/>
    <cellStyle name="Normal 37 4 15 6" xfId="52133" xr:uid="{00000000-0005-0000-0000-00009ECB0000}"/>
    <cellStyle name="Normal 37 4 15 6 2" xfId="52134" xr:uid="{00000000-0005-0000-0000-00009FCB0000}"/>
    <cellStyle name="Normal 37 4 15 6 3" xfId="52135" xr:uid="{00000000-0005-0000-0000-0000A0CB0000}"/>
    <cellStyle name="Normal 37 4 15 7" xfId="52136" xr:uid="{00000000-0005-0000-0000-0000A1CB0000}"/>
    <cellStyle name="Normal 37 4 15 7 2" xfId="52137" xr:uid="{00000000-0005-0000-0000-0000A2CB0000}"/>
    <cellStyle name="Normal 37 4 15 7 3" xfId="52138" xr:uid="{00000000-0005-0000-0000-0000A3CB0000}"/>
    <cellStyle name="Normal 37 4 15 8" xfId="52139" xr:uid="{00000000-0005-0000-0000-0000A4CB0000}"/>
    <cellStyle name="Normal 37 4 15 8 2" xfId="52140" xr:uid="{00000000-0005-0000-0000-0000A5CB0000}"/>
    <cellStyle name="Normal 37 4 15 8 3" xfId="52141" xr:uid="{00000000-0005-0000-0000-0000A6CB0000}"/>
    <cellStyle name="Normal 37 4 15 9" xfId="52142" xr:uid="{00000000-0005-0000-0000-0000A7CB0000}"/>
    <cellStyle name="Normal 37 4 15 9 2" xfId="52143" xr:uid="{00000000-0005-0000-0000-0000A8CB0000}"/>
    <cellStyle name="Normal 37 4 15 9 3" xfId="52144" xr:uid="{00000000-0005-0000-0000-0000A9CB0000}"/>
    <cellStyle name="Normal 37 4 16" xfId="52145" xr:uid="{00000000-0005-0000-0000-0000AACB0000}"/>
    <cellStyle name="Normal 37 4 16 2" xfId="52146" xr:uid="{00000000-0005-0000-0000-0000ABCB0000}"/>
    <cellStyle name="Normal 37 4 16 3" xfId="52147" xr:uid="{00000000-0005-0000-0000-0000ACCB0000}"/>
    <cellStyle name="Normal 37 4 17" xfId="52148" xr:uid="{00000000-0005-0000-0000-0000ADCB0000}"/>
    <cellStyle name="Normal 37 4 17 2" xfId="52149" xr:uid="{00000000-0005-0000-0000-0000AECB0000}"/>
    <cellStyle name="Normal 37 4 17 3" xfId="52150" xr:uid="{00000000-0005-0000-0000-0000AFCB0000}"/>
    <cellStyle name="Normal 37 4 18" xfId="52151" xr:uid="{00000000-0005-0000-0000-0000B0CB0000}"/>
    <cellStyle name="Normal 37 4 18 2" xfId="52152" xr:uid="{00000000-0005-0000-0000-0000B1CB0000}"/>
    <cellStyle name="Normal 37 4 18 3" xfId="52153" xr:uid="{00000000-0005-0000-0000-0000B2CB0000}"/>
    <cellStyle name="Normal 37 4 19" xfId="52154" xr:uid="{00000000-0005-0000-0000-0000B3CB0000}"/>
    <cellStyle name="Normal 37 4 19 2" xfId="52155" xr:uid="{00000000-0005-0000-0000-0000B4CB0000}"/>
    <cellStyle name="Normal 37 4 19 3" xfId="52156" xr:uid="{00000000-0005-0000-0000-0000B5CB0000}"/>
    <cellStyle name="Normal 37 4 2" xfId="52157" xr:uid="{00000000-0005-0000-0000-0000B6CB0000}"/>
    <cellStyle name="Normal 37 4 2 10" xfId="52158" xr:uid="{00000000-0005-0000-0000-0000B7CB0000}"/>
    <cellStyle name="Normal 37 4 2 10 2" xfId="52159" xr:uid="{00000000-0005-0000-0000-0000B8CB0000}"/>
    <cellStyle name="Normal 37 4 2 10 3" xfId="52160" xr:uid="{00000000-0005-0000-0000-0000B9CB0000}"/>
    <cellStyle name="Normal 37 4 2 11" xfId="52161" xr:uid="{00000000-0005-0000-0000-0000BACB0000}"/>
    <cellStyle name="Normal 37 4 2 11 2" xfId="52162" xr:uid="{00000000-0005-0000-0000-0000BBCB0000}"/>
    <cellStyle name="Normal 37 4 2 11 3" xfId="52163" xr:uid="{00000000-0005-0000-0000-0000BCCB0000}"/>
    <cellStyle name="Normal 37 4 2 12" xfId="52164" xr:uid="{00000000-0005-0000-0000-0000BDCB0000}"/>
    <cellStyle name="Normal 37 4 2 12 2" xfId="52165" xr:uid="{00000000-0005-0000-0000-0000BECB0000}"/>
    <cellStyle name="Normal 37 4 2 12 3" xfId="52166" xr:uid="{00000000-0005-0000-0000-0000BFCB0000}"/>
    <cellStyle name="Normal 37 4 2 13" xfId="52167" xr:uid="{00000000-0005-0000-0000-0000C0CB0000}"/>
    <cellStyle name="Normal 37 4 2 13 2" xfId="52168" xr:uid="{00000000-0005-0000-0000-0000C1CB0000}"/>
    <cellStyle name="Normal 37 4 2 13 3" xfId="52169" xr:uid="{00000000-0005-0000-0000-0000C2CB0000}"/>
    <cellStyle name="Normal 37 4 2 14" xfId="52170" xr:uid="{00000000-0005-0000-0000-0000C3CB0000}"/>
    <cellStyle name="Normal 37 4 2 14 2" xfId="52171" xr:uid="{00000000-0005-0000-0000-0000C4CB0000}"/>
    <cellStyle name="Normal 37 4 2 14 3" xfId="52172" xr:uid="{00000000-0005-0000-0000-0000C5CB0000}"/>
    <cellStyle name="Normal 37 4 2 15" xfId="52173" xr:uid="{00000000-0005-0000-0000-0000C6CB0000}"/>
    <cellStyle name="Normal 37 4 2 15 2" xfId="52174" xr:uid="{00000000-0005-0000-0000-0000C7CB0000}"/>
    <cellStyle name="Normal 37 4 2 15 3" xfId="52175" xr:uid="{00000000-0005-0000-0000-0000C8CB0000}"/>
    <cellStyle name="Normal 37 4 2 16" xfId="52176" xr:uid="{00000000-0005-0000-0000-0000C9CB0000}"/>
    <cellStyle name="Normal 37 4 2 17" xfId="52177" xr:uid="{00000000-0005-0000-0000-0000CACB0000}"/>
    <cellStyle name="Normal 37 4 2 2" xfId="52178" xr:uid="{00000000-0005-0000-0000-0000CBCB0000}"/>
    <cellStyle name="Normal 37 4 2 2 10" xfId="52179" xr:uid="{00000000-0005-0000-0000-0000CCCB0000}"/>
    <cellStyle name="Normal 37 4 2 2 10 2" xfId="52180" xr:uid="{00000000-0005-0000-0000-0000CDCB0000}"/>
    <cellStyle name="Normal 37 4 2 2 10 3" xfId="52181" xr:uid="{00000000-0005-0000-0000-0000CECB0000}"/>
    <cellStyle name="Normal 37 4 2 2 11" xfId="52182" xr:uid="{00000000-0005-0000-0000-0000CFCB0000}"/>
    <cellStyle name="Normal 37 4 2 2 11 2" xfId="52183" xr:uid="{00000000-0005-0000-0000-0000D0CB0000}"/>
    <cellStyle name="Normal 37 4 2 2 11 3" xfId="52184" xr:uid="{00000000-0005-0000-0000-0000D1CB0000}"/>
    <cellStyle name="Normal 37 4 2 2 12" xfId="52185" xr:uid="{00000000-0005-0000-0000-0000D2CB0000}"/>
    <cellStyle name="Normal 37 4 2 2 12 2" xfId="52186" xr:uid="{00000000-0005-0000-0000-0000D3CB0000}"/>
    <cellStyle name="Normal 37 4 2 2 12 3" xfId="52187" xr:uid="{00000000-0005-0000-0000-0000D4CB0000}"/>
    <cellStyle name="Normal 37 4 2 2 13" xfId="52188" xr:uid="{00000000-0005-0000-0000-0000D5CB0000}"/>
    <cellStyle name="Normal 37 4 2 2 13 2" xfId="52189" xr:uid="{00000000-0005-0000-0000-0000D6CB0000}"/>
    <cellStyle name="Normal 37 4 2 2 13 3" xfId="52190" xr:uid="{00000000-0005-0000-0000-0000D7CB0000}"/>
    <cellStyle name="Normal 37 4 2 2 14" xfId="52191" xr:uid="{00000000-0005-0000-0000-0000D8CB0000}"/>
    <cellStyle name="Normal 37 4 2 2 14 2" xfId="52192" xr:uid="{00000000-0005-0000-0000-0000D9CB0000}"/>
    <cellStyle name="Normal 37 4 2 2 14 3" xfId="52193" xr:uid="{00000000-0005-0000-0000-0000DACB0000}"/>
    <cellStyle name="Normal 37 4 2 2 15" xfId="52194" xr:uid="{00000000-0005-0000-0000-0000DBCB0000}"/>
    <cellStyle name="Normal 37 4 2 2 16" xfId="52195" xr:uid="{00000000-0005-0000-0000-0000DCCB0000}"/>
    <cellStyle name="Normal 37 4 2 2 2" xfId="52196" xr:uid="{00000000-0005-0000-0000-0000DDCB0000}"/>
    <cellStyle name="Normal 37 4 2 2 2 2" xfId="52197" xr:uid="{00000000-0005-0000-0000-0000DECB0000}"/>
    <cellStyle name="Normal 37 4 2 2 2 3" xfId="52198" xr:uid="{00000000-0005-0000-0000-0000DFCB0000}"/>
    <cellStyle name="Normal 37 4 2 2 3" xfId="52199" xr:uid="{00000000-0005-0000-0000-0000E0CB0000}"/>
    <cellStyle name="Normal 37 4 2 2 3 2" xfId="52200" xr:uid="{00000000-0005-0000-0000-0000E1CB0000}"/>
    <cellStyle name="Normal 37 4 2 2 3 3" xfId="52201" xr:uid="{00000000-0005-0000-0000-0000E2CB0000}"/>
    <cellStyle name="Normal 37 4 2 2 4" xfId="52202" xr:uid="{00000000-0005-0000-0000-0000E3CB0000}"/>
    <cellStyle name="Normal 37 4 2 2 4 2" xfId="52203" xr:uid="{00000000-0005-0000-0000-0000E4CB0000}"/>
    <cellStyle name="Normal 37 4 2 2 4 3" xfId="52204" xr:uid="{00000000-0005-0000-0000-0000E5CB0000}"/>
    <cellStyle name="Normal 37 4 2 2 5" xfId="52205" xr:uid="{00000000-0005-0000-0000-0000E6CB0000}"/>
    <cellStyle name="Normal 37 4 2 2 5 2" xfId="52206" xr:uid="{00000000-0005-0000-0000-0000E7CB0000}"/>
    <cellStyle name="Normal 37 4 2 2 5 3" xfId="52207" xr:uid="{00000000-0005-0000-0000-0000E8CB0000}"/>
    <cellStyle name="Normal 37 4 2 2 6" xfId="52208" xr:uid="{00000000-0005-0000-0000-0000E9CB0000}"/>
    <cellStyle name="Normal 37 4 2 2 6 2" xfId="52209" xr:uid="{00000000-0005-0000-0000-0000EACB0000}"/>
    <cellStyle name="Normal 37 4 2 2 6 3" xfId="52210" xr:uid="{00000000-0005-0000-0000-0000EBCB0000}"/>
    <cellStyle name="Normal 37 4 2 2 7" xfId="52211" xr:uid="{00000000-0005-0000-0000-0000ECCB0000}"/>
    <cellStyle name="Normal 37 4 2 2 7 2" xfId="52212" xr:uid="{00000000-0005-0000-0000-0000EDCB0000}"/>
    <cellStyle name="Normal 37 4 2 2 7 3" xfId="52213" xr:uid="{00000000-0005-0000-0000-0000EECB0000}"/>
    <cellStyle name="Normal 37 4 2 2 8" xfId="52214" xr:uid="{00000000-0005-0000-0000-0000EFCB0000}"/>
    <cellStyle name="Normal 37 4 2 2 8 2" xfId="52215" xr:uid="{00000000-0005-0000-0000-0000F0CB0000}"/>
    <cellStyle name="Normal 37 4 2 2 8 3" xfId="52216" xr:uid="{00000000-0005-0000-0000-0000F1CB0000}"/>
    <cellStyle name="Normal 37 4 2 2 9" xfId="52217" xr:uid="{00000000-0005-0000-0000-0000F2CB0000}"/>
    <cellStyle name="Normal 37 4 2 2 9 2" xfId="52218" xr:uid="{00000000-0005-0000-0000-0000F3CB0000}"/>
    <cellStyle name="Normal 37 4 2 2 9 3" xfId="52219" xr:uid="{00000000-0005-0000-0000-0000F4CB0000}"/>
    <cellStyle name="Normal 37 4 2 3" xfId="52220" xr:uid="{00000000-0005-0000-0000-0000F5CB0000}"/>
    <cellStyle name="Normal 37 4 2 3 2" xfId="52221" xr:uid="{00000000-0005-0000-0000-0000F6CB0000}"/>
    <cellStyle name="Normal 37 4 2 3 3" xfId="52222" xr:uid="{00000000-0005-0000-0000-0000F7CB0000}"/>
    <cellStyle name="Normal 37 4 2 4" xfId="52223" xr:uid="{00000000-0005-0000-0000-0000F8CB0000}"/>
    <cellStyle name="Normal 37 4 2 4 2" xfId="52224" xr:uid="{00000000-0005-0000-0000-0000F9CB0000}"/>
    <cellStyle name="Normal 37 4 2 4 3" xfId="52225" xr:uid="{00000000-0005-0000-0000-0000FACB0000}"/>
    <cellStyle name="Normal 37 4 2 5" xfId="52226" xr:uid="{00000000-0005-0000-0000-0000FBCB0000}"/>
    <cellStyle name="Normal 37 4 2 5 2" xfId="52227" xr:uid="{00000000-0005-0000-0000-0000FCCB0000}"/>
    <cellStyle name="Normal 37 4 2 5 3" xfId="52228" xr:uid="{00000000-0005-0000-0000-0000FDCB0000}"/>
    <cellStyle name="Normal 37 4 2 6" xfId="52229" xr:uid="{00000000-0005-0000-0000-0000FECB0000}"/>
    <cellStyle name="Normal 37 4 2 6 2" xfId="52230" xr:uid="{00000000-0005-0000-0000-0000FFCB0000}"/>
    <cellStyle name="Normal 37 4 2 6 3" xfId="52231" xr:uid="{00000000-0005-0000-0000-000000CC0000}"/>
    <cellStyle name="Normal 37 4 2 7" xfId="52232" xr:uid="{00000000-0005-0000-0000-000001CC0000}"/>
    <cellStyle name="Normal 37 4 2 7 2" xfId="52233" xr:uid="{00000000-0005-0000-0000-000002CC0000}"/>
    <cellStyle name="Normal 37 4 2 7 3" xfId="52234" xr:uid="{00000000-0005-0000-0000-000003CC0000}"/>
    <cellStyle name="Normal 37 4 2 8" xfId="52235" xr:uid="{00000000-0005-0000-0000-000004CC0000}"/>
    <cellStyle name="Normal 37 4 2 8 2" xfId="52236" xr:uid="{00000000-0005-0000-0000-000005CC0000}"/>
    <cellStyle name="Normal 37 4 2 8 3" xfId="52237" xr:uid="{00000000-0005-0000-0000-000006CC0000}"/>
    <cellStyle name="Normal 37 4 2 9" xfId="52238" xr:uid="{00000000-0005-0000-0000-000007CC0000}"/>
    <cellStyle name="Normal 37 4 2 9 2" xfId="52239" xr:uid="{00000000-0005-0000-0000-000008CC0000}"/>
    <cellStyle name="Normal 37 4 2 9 3" xfId="52240" xr:uid="{00000000-0005-0000-0000-000009CC0000}"/>
    <cellStyle name="Normal 37 4 20" xfId="52241" xr:uid="{00000000-0005-0000-0000-00000ACC0000}"/>
    <cellStyle name="Normal 37 4 20 2" xfId="52242" xr:uid="{00000000-0005-0000-0000-00000BCC0000}"/>
    <cellStyle name="Normal 37 4 20 3" xfId="52243" xr:uid="{00000000-0005-0000-0000-00000CCC0000}"/>
    <cellStyle name="Normal 37 4 21" xfId="52244" xr:uid="{00000000-0005-0000-0000-00000DCC0000}"/>
    <cellStyle name="Normal 37 4 21 2" xfId="52245" xr:uid="{00000000-0005-0000-0000-00000ECC0000}"/>
    <cellStyle name="Normal 37 4 21 3" xfId="52246" xr:uid="{00000000-0005-0000-0000-00000FCC0000}"/>
    <cellStyle name="Normal 37 4 22" xfId="52247" xr:uid="{00000000-0005-0000-0000-000010CC0000}"/>
    <cellStyle name="Normal 37 4 22 2" xfId="52248" xr:uid="{00000000-0005-0000-0000-000011CC0000}"/>
    <cellStyle name="Normal 37 4 22 3" xfId="52249" xr:uid="{00000000-0005-0000-0000-000012CC0000}"/>
    <cellStyle name="Normal 37 4 23" xfId="52250" xr:uid="{00000000-0005-0000-0000-000013CC0000}"/>
    <cellStyle name="Normal 37 4 23 2" xfId="52251" xr:uid="{00000000-0005-0000-0000-000014CC0000}"/>
    <cellStyle name="Normal 37 4 23 3" xfId="52252" xr:uid="{00000000-0005-0000-0000-000015CC0000}"/>
    <cellStyle name="Normal 37 4 24" xfId="52253" xr:uid="{00000000-0005-0000-0000-000016CC0000}"/>
    <cellStyle name="Normal 37 4 24 2" xfId="52254" xr:uid="{00000000-0005-0000-0000-000017CC0000}"/>
    <cellStyle name="Normal 37 4 24 3" xfId="52255" xr:uid="{00000000-0005-0000-0000-000018CC0000}"/>
    <cellStyle name="Normal 37 4 25" xfId="52256" xr:uid="{00000000-0005-0000-0000-000019CC0000}"/>
    <cellStyle name="Normal 37 4 25 2" xfId="52257" xr:uid="{00000000-0005-0000-0000-00001ACC0000}"/>
    <cellStyle name="Normal 37 4 25 3" xfId="52258" xr:uid="{00000000-0005-0000-0000-00001BCC0000}"/>
    <cellStyle name="Normal 37 4 26" xfId="52259" xr:uid="{00000000-0005-0000-0000-00001CCC0000}"/>
    <cellStyle name="Normal 37 4 26 2" xfId="52260" xr:uid="{00000000-0005-0000-0000-00001DCC0000}"/>
    <cellStyle name="Normal 37 4 26 3" xfId="52261" xr:uid="{00000000-0005-0000-0000-00001ECC0000}"/>
    <cellStyle name="Normal 37 4 27" xfId="52262" xr:uid="{00000000-0005-0000-0000-00001FCC0000}"/>
    <cellStyle name="Normal 37 4 27 2" xfId="52263" xr:uid="{00000000-0005-0000-0000-000020CC0000}"/>
    <cellStyle name="Normal 37 4 27 3" xfId="52264" xr:uid="{00000000-0005-0000-0000-000021CC0000}"/>
    <cellStyle name="Normal 37 4 28" xfId="52265" xr:uid="{00000000-0005-0000-0000-000022CC0000}"/>
    <cellStyle name="Normal 37 4 28 2" xfId="52266" xr:uid="{00000000-0005-0000-0000-000023CC0000}"/>
    <cellStyle name="Normal 37 4 28 3" xfId="52267" xr:uid="{00000000-0005-0000-0000-000024CC0000}"/>
    <cellStyle name="Normal 37 4 29" xfId="52268" xr:uid="{00000000-0005-0000-0000-000025CC0000}"/>
    <cellStyle name="Normal 37 4 3" xfId="52269" xr:uid="{00000000-0005-0000-0000-000026CC0000}"/>
    <cellStyle name="Normal 37 4 3 10" xfId="52270" xr:uid="{00000000-0005-0000-0000-000027CC0000}"/>
    <cellStyle name="Normal 37 4 3 10 2" xfId="52271" xr:uid="{00000000-0005-0000-0000-000028CC0000}"/>
    <cellStyle name="Normal 37 4 3 10 3" xfId="52272" xr:uid="{00000000-0005-0000-0000-000029CC0000}"/>
    <cellStyle name="Normal 37 4 3 11" xfId="52273" xr:uid="{00000000-0005-0000-0000-00002ACC0000}"/>
    <cellStyle name="Normal 37 4 3 11 2" xfId="52274" xr:uid="{00000000-0005-0000-0000-00002BCC0000}"/>
    <cellStyle name="Normal 37 4 3 11 3" xfId="52275" xr:uid="{00000000-0005-0000-0000-00002CCC0000}"/>
    <cellStyle name="Normal 37 4 3 12" xfId="52276" xr:uid="{00000000-0005-0000-0000-00002DCC0000}"/>
    <cellStyle name="Normal 37 4 3 12 2" xfId="52277" xr:uid="{00000000-0005-0000-0000-00002ECC0000}"/>
    <cellStyle name="Normal 37 4 3 12 3" xfId="52278" xr:uid="{00000000-0005-0000-0000-00002FCC0000}"/>
    <cellStyle name="Normal 37 4 3 13" xfId="52279" xr:uid="{00000000-0005-0000-0000-000030CC0000}"/>
    <cellStyle name="Normal 37 4 3 13 2" xfId="52280" xr:uid="{00000000-0005-0000-0000-000031CC0000}"/>
    <cellStyle name="Normal 37 4 3 13 3" xfId="52281" xr:uid="{00000000-0005-0000-0000-000032CC0000}"/>
    <cellStyle name="Normal 37 4 3 14" xfId="52282" xr:uid="{00000000-0005-0000-0000-000033CC0000}"/>
    <cellStyle name="Normal 37 4 3 14 2" xfId="52283" xr:uid="{00000000-0005-0000-0000-000034CC0000}"/>
    <cellStyle name="Normal 37 4 3 14 3" xfId="52284" xr:uid="{00000000-0005-0000-0000-000035CC0000}"/>
    <cellStyle name="Normal 37 4 3 15" xfId="52285" xr:uid="{00000000-0005-0000-0000-000036CC0000}"/>
    <cellStyle name="Normal 37 4 3 15 2" xfId="52286" xr:uid="{00000000-0005-0000-0000-000037CC0000}"/>
    <cellStyle name="Normal 37 4 3 15 3" xfId="52287" xr:uid="{00000000-0005-0000-0000-000038CC0000}"/>
    <cellStyle name="Normal 37 4 3 16" xfId="52288" xr:uid="{00000000-0005-0000-0000-000039CC0000}"/>
    <cellStyle name="Normal 37 4 3 17" xfId="52289" xr:uid="{00000000-0005-0000-0000-00003ACC0000}"/>
    <cellStyle name="Normal 37 4 3 2" xfId="52290" xr:uid="{00000000-0005-0000-0000-00003BCC0000}"/>
    <cellStyle name="Normal 37 4 3 2 10" xfId="52291" xr:uid="{00000000-0005-0000-0000-00003CCC0000}"/>
    <cellStyle name="Normal 37 4 3 2 10 2" xfId="52292" xr:uid="{00000000-0005-0000-0000-00003DCC0000}"/>
    <cellStyle name="Normal 37 4 3 2 10 3" xfId="52293" xr:uid="{00000000-0005-0000-0000-00003ECC0000}"/>
    <cellStyle name="Normal 37 4 3 2 11" xfId="52294" xr:uid="{00000000-0005-0000-0000-00003FCC0000}"/>
    <cellStyle name="Normal 37 4 3 2 11 2" xfId="52295" xr:uid="{00000000-0005-0000-0000-000040CC0000}"/>
    <cellStyle name="Normal 37 4 3 2 11 3" xfId="52296" xr:uid="{00000000-0005-0000-0000-000041CC0000}"/>
    <cellStyle name="Normal 37 4 3 2 12" xfId="52297" xr:uid="{00000000-0005-0000-0000-000042CC0000}"/>
    <cellStyle name="Normal 37 4 3 2 12 2" xfId="52298" xr:uid="{00000000-0005-0000-0000-000043CC0000}"/>
    <cellStyle name="Normal 37 4 3 2 12 3" xfId="52299" xr:uid="{00000000-0005-0000-0000-000044CC0000}"/>
    <cellStyle name="Normal 37 4 3 2 13" xfId="52300" xr:uid="{00000000-0005-0000-0000-000045CC0000}"/>
    <cellStyle name="Normal 37 4 3 2 13 2" xfId="52301" xr:uid="{00000000-0005-0000-0000-000046CC0000}"/>
    <cellStyle name="Normal 37 4 3 2 13 3" xfId="52302" xr:uid="{00000000-0005-0000-0000-000047CC0000}"/>
    <cellStyle name="Normal 37 4 3 2 14" xfId="52303" xr:uid="{00000000-0005-0000-0000-000048CC0000}"/>
    <cellStyle name="Normal 37 4 3 2 14 2" xfId="52304" xr:uid="{00000000-0005-0000-0000-000049CC0000}"/>
    <cellStyle name="Normal 37 4 3 2 14 3" xfId="52305" xr:uid="{00000000-0005-0000-0000-00004ACC0000}"/>
    <cellStyle name="Normal 37 4 3 2 15" xfId="52306" xr:uid="{00000000-0005-0000-0000-00004BCC0000}"/>
    <cellStyle name="Normal 37 4 3 2 16" xfId="52307" xr:uid="{00000000-0005-0000-0000-00004CCC0000}"/>
    <cellStyle name="Normal 37 4 3 2 2" xfId="52308" xr:uid="{00000000-0005-0000-0000-00004DCC0000}"/>
    <cellStyle name="Normal 37 4 3 2 2 2" xfId="52309" xr:uid="{00000000-0005-0000-0000-00004ECC0000}"/>
    <cellStyle name="Normal 37 4 3 2 2 3" xfId="52310" xr:uid="{00000000-0005-0000-0000-00004FCC0000}"/>
    <cellStyle name="Normal 37 4 3 2 3" xfId="52311" xr:uid="{00000000-0005-0000-0000-000050CC0000}"/>
    <cellStyle name="Normal 37 4 3 2 3 2" xfId="52312" xr:uid="{00000000-0005-0000-0000-000051CC0000}"/>
    <cellStyle name="Normal 37 4 3 2 3 3" xfId="52313" xr:uid="{00000000-0005-0000-0000-000052CC0000}"/>
    <cellStyle name="Normal 37 4 3 2 4" xfId="52314" xr:uid="{00000000-0005-0000-0000-000053CC0000}"/>
    <cellStyle name="Normal 37 4 3 2 4 2" xfId="52315" xr:uid="{00000000-0005-0000-0000-000054CC0000}"/>
    <cellStyle name="Normal 37 4 3 2 4 3" xfId="52316" xr:uid="{00000000-0005-0000-0000-000055CC0000}"/>
    <cellStyle name="Normal 37 4 3 2 5" xfId="52317" xr:uid="{00000000-0005-0000-0000-000056CC0000}"/>
    <cellStyle name="Normal 37 4 3 2 5 2" xfId="52318" xr:uid="{00000000-0005-0000-0000-000057CC0000}"/>
    <cellStyle name="Normal 37 4 3 2 5 3" xfId="52319" xr:uid="{00000000-0005-0000-0000-000058CC0000}"/>
    <cellStyle name="Normal 37 4 3 2 6" xfId="52320" xr:uid="{00000000-0005-0000-0000-000059CC0000}"/>
    <cellStyle name="Normal 37 4 3 2 6 2" xfId="52321" xr:uid="{00000000-0005-0000-0000-00005ACC0000}"/>
    <cellStyle name="Normal 37 4 3 2 6 3" xfId="52322" xr:uid="{00000000-0005-0000-0000-00005BCC0000}"/>
    <cellStyle name="Normal 37 4 3 2 7" xfId="52323" xr:uid="{00000000-0005-0000-0000-00005CCC0000}"/>
    <cellStyle name="Normal 37 4 3 2 7 2" xfId="52324" xr:uid="{00000000-0005-0000-0000-00005DCC0000}"/>
    <cellStyle name="Normal 37 4 3 2 7 3" xfId="52325" xr:uid="{00000000-0005-0000-0000-00005ECC0000}"/>
    <cellStyle name="Normal 37 4 3 2 8" xfId="52326" xr:uid="{00000000-0005-0000-0000-00005FCC0000}"/>
    <cellStyle name="Normal 37 4 3 2 8 2" xfId="52327" xr:uid="{00000000-0005-0000-0000-000060CC0000}"/>
    <cellStyle name="Normal 37 4 3 2 8 3" xfId="52328" xr:uid="{00000000-0005-0000-0000-000061CC0000}"/>
    <cellStyle name="Normal 37 4 3 2 9" xfId="52329" xr:uid="{00000000-0005-0000-0000-000062CC0000}"/>
    <cellStyle name="Normal 37 4 3 2 9 2" xfId="52330" xr:uid="{00000000-0005-0000-0000-000063CC0000}"/>
    <cellStyle name="Normal 37 4 3 2 9 3" xfId="52331" xr:uid="{00000000-0005-0000-0000-000064CC0000}"/>
    <cellStyle name="Normal 37 4 3 3" xfId="52332" xr:uid="{00000000-0005-0000-0000-000065CC0000}"/>
    <cellStyle name="Normal 37 4 3 3 2" xfId="52333" xr:uid="{00000000-0005-0000-0000-000066CC0000}"/>
    <cellStyle name="Normal 37 4 3 3 3" xfId="52334" xr:uid="{00000000-0005-0000-0000-000067CC0000}"/>
    <cellStyle name="Normal 37 4 3 4" xfId="52335" xr:uid="{00000000-0005-0000-0000-000068CC0000}"/>
    <cellStyle name="Normal 37 4 3 4 2" xfId="52336" xr:uid="{00000000-0005-0000-0000-000069CC0000}"/>
    <cellStyle name="Normal 37 4 3 4 3" xfId="52337" xr:uid="{00000000-0005-0000-0000-00006ACC0000}"/>
    <cellStyle name="Normal 37 4 3 5" xfId="52338" xr:uid="{00000000-0005-0000-0000-00006BCC0000}"/>
    <cellStyle name="Normal 37 4 3 5 2" xfId="52339" xr:uid="{00000000-0005-0000-0000-00006CCC0000}"/>
    <cellStyle name="Normal 37 4 3 5 3" xfId="52340" xr:uid="{00000000-0005-0000-0000-00006DCC0000}"/>
    <cellStyle name="Normal 37 4 3 6" xfId="52341" xr:uid="{00000000-0005-0000-0000-00006ECC0000}"/>
    <cellStyle name="Normal 37 4 3 6 2" xfId="52342" xr:uid="{00000000-0005-0000-0000-00006FCC0000}"/>
    <cellStyle name="Normal 37 4 3 6 3" xfId="52343" xr:uid="{00000000-0005-0000-0000-000070CC0000}"/>
    <cellStyle name="Normal 37 4 3 7" xfId="52344" xr:uid="{00000000-0005-0000-0000-000071CC0000}"/>
    <cellStyle name="Normal 37 4 3 7 2" xfId="52345" xr:uid="{00000000-0005-0000-0000-000072CC0000}"/>
    <cellStyle name="Normal 37 4 3 7 3" xfId="52346" xr:uid="{00000000-0005-0000-0000-000073CC0000}"/>
    <cellStyle name="Normal 37 4 3 8" xfId="52347" xr:uid="{00000000-0005-0000-0000-000074CC0000}"/>
    <cellStyle name="Normal 37 4 3 8 2" xfId="52348" xr:uid="{00000000-0005-0000-0000-000075CC0000}"/>
    <cellStyle name="Normal 37 4 3 8 3" xfId="52349" xr:uid="{00000000-0005-0000-0000-000076CC0000}"/>
    <cellStyle name="Normal 37 4 3 9" xfId="52350" xr:uid="{00000000-0005-0000-0000-000077CC0000}"/>
    <cellStyle name="Normal 37 4 3 9 2" xfId="52351" xr:uid="{00000000-0005-0000-0000-000078CC0000}"/>
    <cellStyle name="Normal 37 4 3 9 3" xfId="52352" xr:uid="{00000000-0005-0000-0000-000079CC0000}"/>
    <cellStyle name="Normal 37 4 30" xfId="52353" xr:uid="{00000000-0005-0000-0000-00007ACC0000}"/>
    <cellStyle name="Normal 37 4 31" xfId="52354" xr:uid="{00000000-0005-0000-0000-00007BCC0000}"/>
    <cellStyle name="Normal 37 4 32" xfId="52355" xr:uid="{00000000-0005-0000-0000-00007CCC0000}"/>
    <cellStyle name="Normal 37 4 33" xfId="52356" xr:uid="{00000000-0005-0000-0000-00007DCC0000}"/>
    <cellStyle name="Normal 37 4 34" xfId="52357" xr:uid="{00000000-0005-0000-0000-00007ECC0000}"/>
    <cellStyle name="Normal 37 4 35" xfId="52358" xr:uid="{00000000-0005-0000-0000-00007FCC0000}"/>
    <cellStyle name="Normal 37 4 36" xfId="52359" xr:uid="{00000000-0005-0000-0000-000080CC0000}"/>
    <cellStyle name="Normal 37 4 37" xfId="52360" xr:uid="{00000000-0005-0000-0000-000081CC0000}"/>
    <cellStyle name="Normal 37 4 38" xfId="52361" xr:uid="{00000000-0005-0000-0000-000082CC0000}"/>
    <cellStyle name="Normal 37 4 39" xfId="52362" xr:uid="{00000000-0005-0000-0000-000083CC0000}"/>
    <cellStyle name="Normal 37 4 4" xfId="52363" xr:uid="{00000000-0005-0000-0000-000084CC0000}"/>
    <cellStyle name="Normal 37 4 4 10" xfId="52364" xr:uid="{00000000-0005-0000-0000-000085CC0000}"/>
    <cellStyle name="Normal 37 4 4 10 2" xfId="52365" xr:uid="{00000000-0005-0000-0000-000086CC0000}"/>
    <cellStyle name="Normal 37 4 4 10 3" xfId="52366" xr:uid="{00000000-0005-0000-0000-000087CC0000}"/>
    <cellStyle name="Normal 37 4 4 11" xfId="52367" xr:uid="{00000000-0005-0000-0000-000088CC0000}"/>
    <cellStyle name="Normal 37 4 4 11 2" xfId="52368" xr:uid="{00000000-0005-0000-0000-000089CC0000}"/>
    <cellStyle name="Normal 37 4 4 11 3" xfId="52369" xr:uid="{00000000-0005-0000-0000-00008ACC0000}"/>
    <cellStyle name="Normal 37 4 4 12" xfId="52370" xr:uid="{00000000-0005-0000-0000-00008BCC0000}"/>
    <cellStyle name="Normal 37 4 4 12 2" xfId="52371" xr:uid="{00000000-0005-0000-0000-00008CCC0000}"/>
    <cellStyle name="Normal 37 4 4 12 3" xfId="52372" xr:uid="{00000000-0005-0000-0000-00008DCC0000}"/>
    <cellStyle name="Normal 37 4 4 13" xfId="52373" xr:uid="{00000000-0005-0000-0000-00008ECC0000}"/>
    <cellStyle name="Normal 37 4 4 13 2" xfId="52374" xr:uid="{00000000-0005-0000-0000-00008FCC0000}"/>
    <cellStyle name="Normal 37 4 4 13 3" xfId="52375" xr:uid="{00000000-0005-0000-0000-000090CC0000}"/>
    <cellStyle name="Normal 37 4 4 14" xfId="52376" xr:uid="{00000000-0005-0000-0000-000091CC0000}"/>
    <cellStyle name="Normal 37 4 4 14 2" xfId="52377" xr:uid="{00000000-0005-0000-0000-000092CC0000}"/>
    <cellStyle name="Normal 37 4 4 14 3" xfId="52378" xr:uid="{00000000-0005-0000-0000-000093CC0000}"/>
    <cellStyle name="Normal 37 4 4 15" xfId="52379" xr:uid="{00000000-0005-0000-0000-000094CC0000}"/>
    <cellStyle name="Normal 37 4 4 15 2" xfId="52380" xr:uid="{00000000-0005-0000-0000-000095CC0000}"/>
    <cellStyle name="Normal 37 4 4 15 3" xfId="52381" xr:uid="{00000000-0005-0000-0000-000096CC0000}"/>
    <cellStyle name="Normal 37 4 4 16" xfId="52382" xr:uid="{00000000-0005-0000-0000-000097CC0000}"/>
    <cellStyle name="Normal 37 4 4 17" xfId="52383" xr:uid="{00000000-0005-0000-0000-000098CC0000}"/>
    <cellStyle name="Normal 37 4 4 2" xfId="52384" xr:uid="{00000000-0005-0000-0000-000099CC0000}"/>
    <cellStyle name="Normal 37 4 4 2 10" xfId="52385" xr:uid="{00000000-0005-0000-0000-00009ACC0000}"/>
    <cellStyle name="Normal 37 4 4 2 10 2" xfId="52386" xr:uid="{00000000-0005-0000-0000-00009BCC0000}"/>
    <cellStyle name="Normal 37 4 4 2 10 3" xfId="52387" xr:uid="{00000000-0005-0000-0000-00009CCC0000}"/>
    <cellStyle name="Normal 37 4 4 2 11" xfId="52388" xr:uid="{00000000-0005-0000-0000-00009DCC0000}"/>
    <cellStyle name="Normal 37 4 4 2 11 2" xfId="52389" xr:uid="{00000000-0005-0000-0000-00009ECC0000}"/>
    <cellStyle name="Normal 37 4 4 2 11 3" xfId="52390" xr:uid="{00000000-0005-0000-0000-00009FCC0000}"/>
    <cellStyle name="Normal 37 4 4 2 12" xfId="52391" xr:uid="{00000000-0005-0000-0000-0000A0CC0000}"/>
    <cellStyle name="Normal 37 4 4 2 12 2" xfId="52392" xr:uid="{00000000-0005-0000-0000-0000A1CC0000}"/>
    <cellStyle name="Normal 37 4 4 2 12 3" xfId="52393" xr:uid="{00000000-0005-0000-0000-0000A2CC0000}"/>
    <cellStyle name="Normal 37 4 4 2 13" xfId="52394" xr:uid="{00000000-0005-0000-0000-0000A3CC0000}"/>
    <cellStyle name="Normal 37 4 4 2 13 2" xfId="52395" xr:uid="{00000000-0005-0000-0000-0000A4CC0000}"/>
    <cellStyle name="Normal 37 4 4 2 13 3" xfId="52396" xr:uid="{00000000-0005-0000-0000-0000A5CC0000}"/>
    <cellStyle name="Normal 37 4 4 2 14" xfId="52397" xr:uid="{00000000-0005-0000-0000-0000A6CC0000}"/>
    <cellStyle name="Normal 37 4 4 2 14 2" xfId="52398" xr:uid="{00000000-0005-0000-0000-0000A7CC0000}"/>
    <cellStyle name="Normal 37 4 4 2 14 3" xfId="52399" xr:uid="{00000000-0005-0000-0000-0000A8CC0000}"/>
    <cellStyle name="Normal 37 4 4 2 15" xfId="52400" xr:uid="{00000000-0005-0000-0000-0000A9CC0000}"/>
    <cellStyle name="Normal 37 4 4 2 16" xfId="52401" xr:uid="{00000000-0005-0000-0000-0000AACC0000}"/>
    <cellStyle name="Normal 37 4 4 2 2" xfId="52402" xr:uid="{00000000-0005-0000-0000-0000ABCC0000}"/>
    <cellStyle name="Normal 37 4 4 2 2 2" xfId="52403" xr:uid="{00000000-0005-0000-0000-0000ACCC0000}"/>
    <cellStyle name="Normal 37 4 4 2 2 3" xfId="52404" xr:uid="{00000000-0005-0000-0000-0000ADCC0000}"/>
    <cellStyle name="Normal 37 4 4 2 3" xfId="52405" xr:uid="{00000000-0005-0000-0000-0000AECC0000}"/>
    <cellStyle name="Normal 37 4 4 2 3 2" xfId="52406" xr:uid="{00000000-0005-0000-0000-0000AFCC0000}"/>
    <cellStyle name="Normal 37 4 4 2 3 3" xfId="52407" xr:uid="{00000000-0005-0000-0000-0000B0CC0000}"/>
    <cellStyle name="Normal 37 4 4 2 4" xfId="52408" xr:uid="{00000000-0005-0000-0000-0000B1CC0000}"/>
    <cellStyle name="Normal 37 4 4 2 4 2" xfId="52409" xr:uid="{00000000-0005-0000-0000-0000B2CC0000}"/>
    <cellStyle name="Normal 37 4 4 2 4 3" xfId="52410" xr:uid="{00000000-0005-0000-0000-0000B3CC0000}"/>
    <cellStyle name="Normal 37 4 4 2 5" xfId="52411" xr:uid="{00000000-0005-0000-0000-0000B4CC0000}"/>
    <cellStyle name="Normal 37 4 4 2 5 2" xfId="52412" xr:uid="{00000000-0005-0000-0000-0000B5CC0000}"/>
    <cellStyle name="Normal 37 4 4 2 5 3" xfId="52413" xr:uid="{00000000-0005-0000-0000-0000B6CC0000}"/>
    <cellStyle name="Normal 37 4 4 2 6" xfId="52414" xr:uid="{00000000-0005-0000-0000-0000B7CC0000}"/>
    <cellStyle name="Normal 37 4 4 2 6 2" xfId="52415" xr:uid="{00000000-0005-0000-0000-0000B8CC0000}"/>
    <cellStyle name="Normal 37 4 4 2 6 3" xfId="52416" xr:uid="{00000000-0005-0000-0000-0000B9CC0000}"/>
    <cellStyle name="Normal 37 4 4 2 7" xfId="52417" xr:uid="{00000000-0005-0000-0000-0000BACC0000}"/>
    <cellStyle name="Normal 37 4 4 2 7 2" xfId="52418" xr:uid="{00000000-0005-0000-0000-0000BBCC0000}"/>
    <cellStyle name="Normal 37 4 4 2 7 3" xfId="52419" xr:uid="{00000000-0005-0000-0000-0000BCCC0000}"/>
    <cellStyle name="Normal 37 4 4 2 8" xfId="52420" xr:uid="{00000000-0005-0000-0000-0000BDCC0000}"/>
    <cellStyle name="Normal 37 4 4 2 8 2" xfId="52421" xr:uid="{00000000-0005-0000-0000-0000BECC0000}"/>
    <cellStyle name="Normal 37 4 4 2 8 3" xfId="52422" xr:uid="{00000000-0005-0000-0000-0000BFCC0000}"/>
    <cellStyle name="Normal 37 4 4 2 9" xfId="52423" xr:uid="{00000000-0005-0000-0000-0000C0CC0000}"/>
    <cellStyle name="Normal 37 4 4 2 9 2" xfId="52424" xr:uid="{00000000-0005-0000-0000-0000C1CC0000}"/>
    <cellStyle name="Normal 37 4 4 2 9 3" xfId="52425" xr:uid="{00000000-0005-0000-0000-0000C2CC0000}"/>
    <cellStyle name="Normal 37 4 4 3" xfId="52426" xr:uid="{00000000-0005-0000-0000-0000C3CC0000}"/>
    <cellStyle name="Normal 37 4 4 3 2" xfId="52427" xr:uid="{00000000-0005-0000-0000-0000C4CC0000}"/>
    <cellStyle name="Normal 37 4 4 3 3" xfId="52428" xr:uid="{00000000-0005-0000-0000-0000C5CC0000}"/>
    <cellStyle name="Normal 37 4 4 4" xfId="52429" xr:uid="{00000000-0005-0000-0000-0000C6CC0000}"/>
    <cellStyle name="Normal 37 4 4 4 2" xfId="52430" xr:uid="{00000000-0005-0000-0000-0000C7CC0000}"/>
    <cellStyle name="Normal 37 4 4 4 3" xfId="52431" xr:uid="{00000000-0005-0000-0000-0000C8CC0000}"/>
    <cellStyle name="Normal 37 4 4 5" xfId="52432" xr:uid="{00000000-0005-0000-0000-0000C9CC0000}"/>
    <cellStyle name="Normal 37 4 4 5 2" xfId="52433" xr:uid="{00000000-0005-0000-0000-0000CACC0000}"/>
    <cellStyle name="Normal 37 4 4 5 3" xfId="52434" xr:uid="{00000000-0005-0000-0000-0000CBCC0000}"/>
    <cellStyle name="Normal 37 4 4 6" xfId="52435" xr:uid="{00000000-0005-0000-0000-0000CCCC0000}"/>
    <cellStyle name="Normal 37 4 4 6 2" xfId="52436" xr:uid="{00000000-0005-0000-0000-0000CDCC0000}"/>
    <cellStyle name="Normal 37 4 4 6 3" xfId="52437" xr:uid="{00000000-0005-0000-0000-0000CECC0000}"/>
    <cellStyle name="Normal 37 4 4 7" xfId="52438" xr:uid="{00000000-0005-0000-0000-0000CFCC0000}"/>
    <cellStyle name="Normal 37 4 4 7 2" xfId="52439" xr:uid="{00000000-0005-0000-0000-0000D0CC0000}"/>
    <cellStyle name="Normal 37 4 4 7 3" xfId="52440" xr:uid="{00000000-0005-0000-0000-0000D1CC0000}"/>
    <cellStyle name="Normal 37 4 4 8" xfId="52441" xr:uid="{00000000-0005-0000-0000-0000D2CC0000}"/>
    <cellStyle name="Normal 37 4 4 8 2" xfId="52442" xr:uid="{00000000-0005-0000-0000-0000D3CC0000}"/>
    <cellStyle name="Normal 37 4 4 8 3" xfId="52443" xr:uid="{00000000-0005-0000-0000-0000D4CC0000}"/>
    <cellStyle name="Normal 37 4 4 9" xfId="52444" xr:uid="{00000000-0005-0000-0000-0000D5CC0000}"/>
    <cellStyle name="Normal 37 4 4 9 2" xfId="52445" xr:uid="{00000000-0005-0000-0000-0000D6CC0000}"/>
    <cellStyle name="Normal 37 4 4 9 3" xfId="52446" xr:uid="{00000000-0005-0000-0000-0000D7CC0000}"/>
    <cellStyle name="Normal 37 4 40" xfId="52447" xr:uid="{00000000-0005-0000-0000-0000D8CC0000}"/>
    <cellStyle name="Normal 37 4 41" xfId="52448" xr:uid="{00000000-0005-0000-0000-0000D9CC0000}"/>
    <cellStyle name="Normal 37 4 5" xfId="52449" xr:uid="{00000000-0005-0000-0000-0000DACC0000}"/>
    <cellStyle name="Normal 37 4 5 10" xfId="52450" xr:uid="{00000000-0005-0000-0000-0000DBCC0000}"/>
    <cellStyle name="Normal 37 4 5 10 2" xfId="52451" xr:uid="{00000000-0005-0000-0000-0000DCCC0000}"/>
    <cellStyle name="Normal 37 4 5 10 3" xfId="52452" xr:uid="{00000000-0005-0000-0000-0000DDCC0000}"/>
    <cellStyle name="Normal 37 4 5 11" xfId="52453" xr:uid="{00000000-0005-0000-0000-0000DECC0000}"/>
    <cellStyle name="Normal 37 4 5 11 2" xfId="52454" xr:uid="{00000000-0005-0000-0000-0000DFCC0000}"/>
    <cellStyle name="Normal 37 4 5 11 3" xfId="52455" xr:uid="{00000000-0005-0000-0000-0000E0CC0000}"/>
    <cellStyle name="Normal 37 4 5 12" xfId="52456" xr:uid="{00000000-0005-0000-0000-0000E1CC0000}"/>
    <cellStyle name="Normal 37 4 5 12 2" xfId="52457" xr:uid="{00000000-0005-0000-0000-0000E2CC0000}"/>
    <cellStyle name="Normal 37 4 5 12 3" xfId="52458" xr:uid="{00000000-0005-0000-0000-0000E3CC0000}"/>
    <cellStyle name="Normal 37 4 5 13" xfId="52459" xr:uid="{00000000-0005-0000-0000-0000E4CC0000}"/>
    <cellStyle name="Normal 37 4 5 13 2" xfId="52460" xr:uid="{00000000-0005-0000-0000-0000E5CC0000}"/>
    <cellStyle name="Normal 37 4 5 13 3" xfId="52461" xr:uid="{00000000-0005-0000-0000-0000E6CC0000}"/>
    <cellStyle name="Normal 37 4 5 14" xfId="52462" xr:uid="{00000000-0005-0000-0000-0000E7CC0000}"/>
    <cellStyle name="Normal 37 4 5 14 2" xfId="52463" xr:uid="{00000000-0005-0000-0000-0000E8CC0000}"/>
    <cellStyle name="Normal 37 4 5 14 3" xfId="52464" xr:uid="{00000000-0005-0000-0000-0000E9CC0000}"/>
    <cellStyle name="Normal 37 4 5 15" xfId="52465" xr:uid="{00000000-0005-0000-0000-0000EACC0000}"/>
    <cellStyle name="Normal 37 4 5 16" xfId="52466" xr:uid="{00000000-0005-0000-0000-0000EBCC0000}"/>
    <cellStyle name="Normal 37 4 5 2" xfId="52467" xr:uid="{00000000-0005-0000-0000-0000ECCC0000}"/>
    <cellStyle name="Normal 37 4 5 2 2" xfId="52468" xr:uid="{00000000-0005-0000-0000-0000EDCC0000}"/>
    <cellStyle name="Normal 37 4 5 2 3" xfId="52469" xr:uid="{00000000-0005-0000-0000-0000EECC0000}"/>
    <cellStyle name="Normal 37 4 5 3" xfId="52470" xr:uid="{00000000-0005-0000-0000-0000EFCC0000}"/>
    <cellStyle name="Normal 37 4 5 3 2" xfId="52471" xr:uid="{00000000-0005-0000-0000-0000F0CC0000}"/>
    <cellStyle name="Normal 37 4 5 3 3" xfId="52472" xr:uid="{00000000-0005-0000-0000-0000F1CC0000}"/>
    <cellStyle name="Normal 37 4 5 4" xfId="52473" xr:uid="{00000000-0005-0000-0000-0000F2CC0000}"/>
    <cellStyle name="Normal 37 4 5 4 2" xfId="52474" xr:uid="{00000000-0005-0000-0000-0000F3CC0000}"/>
    <cellStyle name="Normal 37 4 5 4 3" xfId="52475" xr:uid="{00000000-0005-0000-0000-0000F4CC0000}"/>
    <cellStyle name="Normal 37 4 5 5" xfId="52476" xr:uid="{00000000-0005-0000-0000-0000F5CC0000}"/>
    <cellStyle name="Normal 37 4 5 5 2" xfId="52477" xr:uid="{00000000-0005-0000-0000-0000F6CC0000}"/>
    <cellStyle name="Normal 37 4 5 5 3" xfId="52478" xr:uid="{00000000-0005-0000-0000-0000F7CC0000}"/>
    <cellStyle name="Normal 37 4 5 6" xfId="52479" xr:uid="{00000000-0005-0000-0000-0000F8CC0000}"/>
    <cellStyle name="Normal 37 4 5 6 2" xfId="52480" xr:uid="{00000000-0005-0000-0000-0000F9CC0000}"/>
    <cellStyle name="Normal 37 4 5 6 3" xfId="52481" xr:uid="{00000000-0005-0000-0000-0000FACC0000}"/>
    <cellStyle name="Normal 37 4 5 7" xfId="52482" xr:uid="{00000000-0005-0000-0000-0000FBCC0000}"/>
    <cellStyle name="Normal 37 4 5 7 2" xfId="52483" xr:uid="{00000000-0005-0000-0000-0000FCCC0000}"/>
    <cellStyle name="Normal 37 4 5 7 3" xfId="52484" xr:uid="{00000000-0005-0000-0000-0000FDCC0000}"/>
    <cellStyle name="Normal 37 4 5 8" xfId="52485" xr:uid="{00000000-0005-0000-0000-0000FECC0000}"/>
    <cellStyle name="Normal 37 4 5 8 2" xfId="52486" xr:uid="{00000000-0005-0000-0000-0000FFCC0000}"/>
    <cellStyle name="Normal 37 4 5 8 3" xfId="52487" xr:uid="{00000000-0005-0000-0000-000000CD0000}"/>
    <cellStyle name="Normal 37 4 5 9" xfId="52488" xr:uid="{00000000-0005-0000-0000-000001CD0000}"/>
    <cellStyle name="Normal 37 4 5 9 2" xfId="52489" xr:uid="{00000000-0005-0000-0000-000002CD0000}"/>
    <cellStyle name="Normal 37 4 5 9 3" xfId="52490" xr:uid="{00000000-0005-0000-0000-000003CD0000}"/>
    <cellStyle name="Normal 37 4 6" xfId="52491" xr:uid="{00000000-0005-0000-0000-000004CD0000}"/>
    <cellStyle name="Normal 37 4 6 10" xfId="52492" xr:uid="{00000000-0005-0000-0000-000005CD0000}"/>
    <cellStyle name="Normal 37 4 6 10 2" xfId="52493" xr:uid="{00000000-0005-0000-0000-000006CD0000}"/>
    <cellStyle name="Normal 37 4 6 10 3" xfId="52494" xr:uid="{00000000-0005-0000-0000-000007CD0000}"/>
    <cellStyle name="Normal 37 4 6 11" xfId="52495" xr:uid="{00000000-0005-0000-0000-000008CD0000}"/>
    <cellStyle name="Normal 37 4 6 11 2" xfId="52496" xr:uid="{00000000-0005-0000-0000-000009CD0000}"/>
    <cellStyle name="Normal 37 4 6 11 3" xfId="52497" xr:uid="{00000000-0005-0000-0000-00000ACD0000}"/>
    <cellStyle name="Normal 37 4 6 12" xfId="52498" xr:uid="{00000000-0005-0000-0000-00000BCD0000}"/>
    <cellStyle name="Normal 37 4 6 12 2" xfId="52499" xr:uid="{00000000-0005-0000-0000-00000CCD0000}"/>
    <cellStyle name="Normal 37 4 6 12 3" xfId="52500" xr:uid="{00000000-0005-0000-0000-00000DCD0000}"/>
    <cellStyle name="Normal 37 4 6 13" xfId="52501" xr:uid="{00000000-0005-0000-0000-00000ECD0000}"/>
    <cellStyle name="Normal 37 4 6 13 2" xfId="52502" xr:uid="{00000000-0005-0000-0000-00000FCD0000}"/>
    <cellStyle name="Normal 37 4 6 13 3" xfId="52503" xr:uid="{00000000-0005-0000-0000-000010CD0000}"/>
    <cellStyle name="Normal 37 4 6 14" xfId="52504" xr:uid="{00000000-0005-0000-0000-000011CD0000}"/>
    <cellStyle name="Normal 37 4 6 14 2" xfId="52505" xr:uid="{00000000-0005-0000-0000-000012CD0000}"/>
    <cellStyle name="Normal 37 4 6 14 3" xfId="52506" xr:uid="{00000000-0005-0000-0000-000013CD0000}"/>
    <cellStyle name="Normal 37 4 6 15" xfId="52507" xr:uid="{00000000-0005-0000-0000-000014CD0000}"/>
    <cellStyle name="Normal 37 4 6 16" xfId="52508" xr:uid="{00000000-0005-0000-0000-000015CD0000}"/>
    <cellStyle name="Normal 37 4 6 2" xfId="52509" xr:uid="{00000000-0005-0000-0000-000016CD0000}"/>
    <cellStyle name="Normal 37 4 6 2 2" xfId="52510" xr:uid="{00000000-0005-0000-0000-000017CD0000}"/>
    <cellStyle name="Normal 37 4 6 2 3" xfId="52511" xr:uid="{00000000-0005-0000-0000-000018CD0000}"/>
    <cellStyle name="Normal 37 4 6 3" xfId="52512" xr:uid="{00000000-0005-0000-0000-000019CD0000}"/>
    <cellStyle name="Normal 37 4 6 3 2" xfId="52513" xr:uid="{00000000-0005-0000-0000-00001ACD0000}"/>
    <cellStyle name="Normal 37 4 6 3 3" xfId="52514" xr:uid="{00000000-0005-0000-0000-00001BCD0000}"/>
    <cellStyle name="Normal 37 4 6 4" xfId="52515" xr:uid="{00000000-0005-0000-0000-00001CCD0000}"/>
    <cellStyle name="Normal 37 4 6 4 2" xfId="52516" xr:uid="{00000000-0005-0000-0000-00001DCD0000}"/>
    <cellStyle name="Normal 37 4 6 4 3" xfId="52517" xr:uid="{00000000-0005-0000-0000-00001ECD0000}"/>
    <cellStyle name="Normal 37 4 6 5" xfId="52518" xr:uid="{00000000-0005-0000-0000-00001FCD0000}"/>
    <cellStyle name="Normal 37 4 6 5 2" xfId="52519" xr:uid="{00000000-0005-0000-0000-000020CD0000}"/>
    <cellStyle name="Normal 37 4 6 5 3" xfId="52520" xr:uid="{00000000-0005-0000-0000-000021CD0000}"/>
    <cellStyle name="Normal 37 4 6 6" xfId="52521" xr:uid="{00000000-0005-0000-0000-000022CD0000}"/>
    <cellStyle name="Normal 37 4 6 6 2" xfId="52522" xr:uid="{00000000-0005-0000-0000-000023CD0000}"/>
    <cellStyle name="Normal 37 4 6 6 3" xfId="52523" xr:uid="{00000000-0005-0000-0000-000024CD0000}"/>
    <cellStyle name="Normal 37 4 6 7" xfId="52524" xr:uid="{00000000-0005-0000-0000-000025CD0000}"/>
    <cellStyle name="Normal 37 4 6 7 2" xfId="52525" xr:uid="{00000000-0005-0000-0000-000026CD0000}"/>
    <cellStyle name="Normal 37 4 6 7 3" xfId="52526" xr:uid="{00000000-0005-0000-0000-000027CD0000}"/>
    <cellStyle name="Normal 37 4 6 8" xfId="52527" xr:uid="{00000000-0005-0000-0000-000028CD0000}"/>
    <cellStyle name="Normal 37 4 6 8 2" xfId="52528" xr:uid="{00000000-0005-0000-0000-000029CD0000}"/>
    <cellStyle name="Normal 37 4 6 8 3" xfId="52529" xr:uid="{00000000-0005-0000-0000-00002ACD0000}"/>
    <cellStyle name="Normal 37 4 6 9" xfId="52530" xr:uid="{00000000-0005-0000-0000-00002BCD0000}"/>
    <cellStyle name="Normal 37 4 6 9 2" xfId="52531" xr:uid="{00000000-0005-0000-0000-00002CCD0000}"/>
    <cellStyle name="Normal 37 4 6 9 3" xfId="52532" xr:uid="{00000000-0005-0000-0000-00002DCD0000}"/>
    <cellStyle name="Normal 37 4 7" xfId="52533" xr:uid="{00000000-0005-0000-0000-00002ECD0000}"/>
    <cellStyle name="Normal 37 4 7 10" xfId="52534" xr:uid="{00000000-0005-0000-0000-00002FCD0000}"/>
    <cellStyle name="Normal 37 4 7 10 2" xfId="52535" xr:uid="{00000000-0005-0000-0000-000030CD0000}"/>
    <cellStyle name="Normal 37 4 7 10 3" xfId="52536" xr:uid="{00000000-0005-0000-0000-000031CD0000}"/>
    <cellStyle name="Normal 37 4 7 11" xfId="52537" xr:uid="{00000000-0005-0000-0000-000032CD0000}"/>
    <cellStyle name="Normal 37 4 7 11 2" xfId="52538" xr:uid="{00000000-0005-0000-0000-000033CD0000}"/>
    <cellStyle name="Normal 37 4 7 11 3" xfId="52539" xr:uid="{00000000-0005-0000-0000-000034CD0000}"/>
    <cellStyle name="Normal 37 4 7 12" xfId="52540" xr:uid="{00000000-0005-0000-0000-000035CD0000}"/>
    <cellStyle name="Normal 37 4 7 12 2" xfId="52541" xr:uid="{00000000-0005-0000-0000-000036CD0000}"/>
    <cellStyle name="Normal 37 4 7 12 3" xfId="52542" xr:uid="{00000000-0005-0000-0000-000037CD0000}"/>
    <cellStyle name="Normal 37 4 7 13" xfId="52543" xr:uid="{00000000-0005-0000-0000-000038CD0000}"/>
    <cellStyle name="Normal 37 4 7 13 2" xfId="52544" xr:uid="{00000000-0005-0000-0000-000039CD0000}"/>
    <cellStyle name="Normal 37 4 7 13 3" xfId="52545" xr:uid="{00000000-0005-0000-0000-00003ACD0000}"/>
    <cellStyle name="Normal 37 4 7 14" xfId="52546" xr:uid="{00000000-0005-0000-0000-00003BCD0000}"/>
    <cellStyle name="Normal 37 4 7 14 2" xfId="52547" xr:uid="{00000000-0005-0000-0000-00003CCD0000}"/>
    <cellStyle name="Normal 37 4 7 14 3" xfId="52548" xr:uid="{00000000-0005-0000-0000-00003DCD0000}"/>
    <cellStyle name="Normal 37 4 7 15" xfId="52549" xr:uid="{00000000-0005-0000-0000-00003ECD0000}"/>
    <cellStyle name="Normal 37 4 7 16" xfId="52550" xr:uid="{00000000-0005-0000-0000-00003FCD0000}"/>
    <cellStyle name="Normal 37 4 7 2" xfId="52551" xr:uid="{00000000-0005-0000-0000-000040CD0000}"/>
    <cellStyle name="Normal 37 4 7 2 2" xfId="52552" xr:uid="{00000000-0005-0000-0000-000041CD0000}"/>
    <cellStyle name="Normal 37 4 7 2 3" xfId="52553" xr:uid="{00000000-0005-0000-0000-000042CD0000}"/>
    <cellStyle name="Normal 37 4 7 3" xfId="52554" xr:uid="{00000000-0005-0000-0000-000043CD0000}"/>
    <cellStyle name="Normal 37 4 7 3 2" xfId="52555" xr:uid="{00000000-0005-0000-0000-000044CD0000}"/>
    <cellStyle name="Normal 37 4 7 3 3" xfId="52556" xr:uid="{00000000-0005-0000-0000-000045CD0000}"/>
    <cellStyle name="Normal 37 4 7 4" xfId="52557" xr:uid="{00000000-0005-0000-0000-000046CD0000}"/>
    <cellStyle name="Normal 37 4 7 4 2" xfId="52558" xr:uid="{00000000-0005-0000-0000-000047CD0000}"/>
    <cellStyle name="Normal 37 4 7 4 3" xfId="52559" xr:uid="{00000000-0005-0000-0000-000048CD0000}"/>
    <cellStyle name="Normal 37 4 7 5" xfId="52560" xr:uid="{00000000-0005-0000-0000-000049CD0000}"/>
    <cellStyle name="Normal 37 4 7 5 2" xfId="52561" xr:uid="{00000000-0005-0000-0000-00004ACD0000}"/>
    <cellStyle name="Normal 37 4 7 5 3" xfId="52562" xr:uid="{00000000-0005-0000-0000-00004BCD0000}"/>
    <cellStyle name="Normal 37 4 7 6" xfId="52563" xr:uid="{00000000-0005-0000-0000-00004CCD0000}"/>
    <cellStyle name="Normal 37 4 7 6 2" xfId="52564" xr:uid="{00000000-0005-0000-0000-00004DCD0000}"/>
    <cellStyle name="Normal 37 4 7 6 3" xfId="52565" xr:uid="{00000000-0005-0000-0000-00004ECD0000}"/>
    <cellStyle name="Normal 37 4 7 7" xfId="52566" xr:uid="{00000000-0005-0000-0000-00004FCD0000}"/>
    <cellStyle name="Normal 37 4 7 7 2" xfId="52567" xr:uid="{00000000-0005-0000-0000-000050CD0000}"/>
    <cellStyle name="Normal 37 4 7 7 3" xfId="52568" xr:uid="{00000000-0005-0000-0000-000051CD0000}"/>
    <cellStyle name="Normal 37 4 7 8" xfId="52569" xr:uid="{00000000-0005-0000-0000-000052CD0000}"/>
    <cellStyle name="Normal 37 4 7 8 2" xfId="52570" xr:uid="{00000000-0005-0000-0000-000053CD0000}"/>
    <cellStyle name="Normal 37 4 7 8 3" xfId="52571" xr:uid="{00000000-0005-0000-0000-000054CD0000}"/>
    <cellStyle name="Normal 37 4 7 9" xfId="52572" xr:uid="{00000000-0005-0000-0000-000055CD0000}"/>
    <cellStyle name="Normal 37 4 7 9 2" xfId="52573" xr:uid="{00000000-0005-0000-0000-000056CD0000}"/>
    <cellStyle name="Normal 37 4 7 9 3" xfId="52574" xr:uid="{00000000-0005-0000-0000-000057CD0000}"/>
    <cellStyle name="Normal 37 4 8" xfId="52575" xr:uid="{00000000-0005-0000-0000-000058CD0000}"/>
    <cellStyle name="Normal 37 4 8 10" xfId="52576" xr:uid="{00000000-0005-0000-0000-000059CD0000}"/>
    <cellStyle name="Normal 37 4 8 10 2" xfId="52577" xr:uid="{00000000-0005-0000-0000-00005ACD0000}"/>
    <cellStyle name="Normal 37 4 8 10 3" xfId="52578" xr:uid="{00000000-0005-0000-0000-00005BCD0000}"/>
    <cellStyle name="Normal 37 4 8 11" xfId="52579" xr:uid="{00000000-0005-0000-0000-00005CCD0000}"/>
    <cellStyle name="Normal 37 4 8 11 2" xfId="52580" xr:uid="{00000000-0005-0000-0000-00005DCD0000}"/>
    <cellStyle name="Normal 37 4 8 11 3" xfId="52581" xr:uid="{00000000-0005-0000-0000-00005ECD0000}"/>
    <cellStyle name="Normal 37 4 8 12" xfId="52582" xr:uid="{00000000-0005-0000-0000-00005FCD0000}"/>
    <cellStyle name="Normal 37 4 8 12 2" xfId="52583" xr:uid="{00000000-0005-0000-0000-000060CD0000}"/>
    <cellStyle name="Normal 37 4 8 12 3" xfId="52584" xr:uid="{00000000-0005-0000-0000-000061CD0000}"/>
    <cellStyle name="Normal 37 4 8 13" xfId="52585" xr:uid="{00000000-0005-0000-0000-000062CD0000}"/>
    <cellStyle name="Normal 37 4 8 13 2" xfId="52586" xr:uid="{00000000-0005-0000-0000-000063CD0000}"/>
    <cellStyle name="Normal 37 4 8 13 3" xfId="52587" xr:uid="{00000000-0005-0000-0000-000064CD0000}"/>
    <cellStyle name="Normal 37 4 8 14" xfId="52588" xr:uid="{00000000-0005-0000-0000-000065CD0000}"/>
    <cellStyle name="Normal 37 4 8 14 2" xfId="52589" xr:uid="{00000000-0005-0000-0000-000066CD0000}"/>
    <cellStyle name="Normal 37 4 8 14 3" xfId="52590" xr:uid="{00000000-0005-0000-0000-000067CD0000}"/>
    <cellStyle name="Normal 37 4 8 15" xfId="52591" xr:uid="{00000000-0005-0000-0000-000068CD0000}"/>
    <cellStyle name="Normal 37 4 8 16" xfId="52592" xr:uid="{00000000-0005-0000-0000-000069CD0000}"/>
    <cellStyle name="Normal 37 4 8 2" xfId="52593" xr:uid="{00000000-0005-0000-0000-00006ACD0000}"/>
    <cellStyle name="Normal 37 4 8 2 2" xfId="52594" xr:uid="{00000000-0005-0000-0000-00006BCD0000}"/>
    <cellStyle name="Normal 37 4 8 2 3" xfId="52595" xr:uid="{00000000-0005-0000-0000-00006CCD0000}"/>
    <cellStyle name="Normal 37 4 8 3" xfId="52596" xr:uid="{00000000-0005-0000-0000-00006DCD0000}"/>
    <cellStyle name="Normal 37 4 8 3 2" xfId="52597" xr:uid="{00000000-0005-0000-0000-00006ECD0000}"/>
    <cellStyle name="Normal 37 4 8 3 3" xfId="52598" xr:uid="{00000000-0005-0000-0000-00006FCD0000}"/>
    <cellStyle name="Normal 37 4 8 4" xfId="52599" xr:uid="{00000000-0005-0000-0000-000070CD0000}"/>
    <cellStyle name="Normal 37 4 8 4 2" xfId="52600" xr:uid="{00000000-0005-0000-0000-000071CD0000}"/>
    <cellStyle name="Normal 37 4 8 4 3" xfId="52601" xr:uid="{00000000-0005-0000-0000-000072CD0000}"/>
    <cellStyle name="Normal 37 4 8 5" xfId="52602" xr:uid="{00000000-0005-0000-0000-000073CD0000}"/>
    <cellStyle name="Normal 37 4 8 5 2" xfId="52603" xr:uid="{00000000-0005-0000-0000-000074CD0000}"/>
    <cellStyle name="Normal 37 4 8 5 3" xfId="52604" xr:uid="{00000000-0005-0000-0000-000075CD0000}"/>
    <cellStyle name="Normal 37 4 8 6" xfId="52605" xr:uid="{00000000-0005-0000-0000-000076CD0000}"/>
    <cellStyle name="Normal 37 4 8 6 2" xfId="52606" xr:uid="{00000000-0005-0000-0000-000077CD0000}"/>
    <cellStyle name="Normal 37 4 8 6 3" xfId="52607" xr:uid="{00000000-0005-0000-0000-000078CD0000}"/>
    <cellStyle name="Normal 37 4 8 7" xfId="52608" xr:uid="{00000000-0005-0000-0000-000079CD0000}"/>
    <cellStyle name="Normal 37 4 8 7 2" xfId="52609" xr:uid="{00000000-0005-0000-0000-00007ACD0000}"/>
    <cellStyle name="Normal 37 4 8 7 3" xfId="52610" xr:uid="{00000000-0005-0000-0000-00007BCD0000}"/>
    <cellStyle name="Normal 37 4 8 8" xfId="52611" xr:uid="{00000000-0005-0000-0000-00007CCD0000}"/>
    <cellStyle name="Normal 37 4 8 8 2" xfId="52612" xr:uid="{00000000-0005-0000-0000-00007DCD0000}"/>
    <cellStyle name="Normal 37 4 8 8 3" xfId="52613" xr:uid="{00000000-0005-0000-0000-00007ECD0000}"/>
    <cellStyle name="Normal 37 4 8 9" xfId="52614" xr:uid="{00000000-0005-0000-0000-00007FCD0000}"/>
    <cellStyle name="Normal 37 4 8 9 2" xfId="52615" xr:uid="{00000000-0005-0000-0000-000080CD0000}"/>
    <cellStyle name="Normal 37 4 8 9 3" xfId="52616" xr:uid="{00000000-0005-0000-0000-000081CD0000}"/>
    <cellStyle name="Normal 37 4 9" xfId="52617" xr:uid="{00000000-0005-0000-0000-000082CD0000}"/>
    <cellStyle name="Normal 37 4 9 10" xfId="52618" xr:uid="{00000000-0005-0000-0000-000083CD0000}"/>
    <cellStyle name="Normal 37 4 9 10 2" xfId="52619" xr:uid="{00000000-0005-0000-0000-000084CD0000}"/>
    <cellStyle name="Normal 37 4 9 10 3" xfId="52620" xr:uid="{00000000-0005-0000-0000-000085CD0000}"/>
    <cellStyle name="Normal 37 4 9 11" xfId="52621" xr:uid="{00000000-0005-0000-0000-000086CD0000}"/>
    <cellStyle name="Normal 37 4 9 11 2" xfId="52622" xr:uid="{00000000-0005-0000-0000-000087CD0000}"/>
    <cellStyle name="Normal 37 4 9 11 3" xfId="52623" xr:uid="{00000000-0005-0000-0000-000088CD0000}"/>
    <cellStyle name="Normal 37 4 9 12" xfId="52624" xr:uid="{00000000-0005-0000-0000-000089CD0000}"/>
    <cellStyle name="Normal 37 4 9 12 2" xfId="52625" xr:uid="{00000000-0005-0000-0000-00008ACD0000}"/>
    <cellStyle name="Normal 37 4 9 12 3" xfId="52626" xr:uid="{00000000-0005-0000-0000-00008BCD0000}"/>
    <cellStyle name="Normal 37 4 9 13" xfId="52627" xr:uid="{00000000-0005-0000-0000-00008CCD0000}"/>
    <cellStyle name="Normal 37 4 9 13 2" xfId="52628" xr:uid="{00000000-0005-0000-0000-00008DCD0000}"/>
    <cellStyle name="Normal 37 4 9 13 3" xfId="52629" xr:uid="{00000000-0005-0000-0000-00008ECD0000}"/>
    <cellStyle name="Normal 37 4 9 14" xfId="52630" xr:uid="{00000000-0005-0000-0000-00008FCD0000}"/>
    <cellStyle name="Normal 37 4 9 14 2" xfId="52631" xr:uid="{00000000-0005-0000-0000-000090CD0000}"/>
    <cellStyle name="Normal 37 4 9 14 3" xfId="52632" xr:uid="{00000000-0005-0000-0000-000091CD0000}"/>
    <cellStyle name="Normal 37 4 9 15" xfId="52633" xr:uid="{00000000-0005-0000-0000-000092CD0000}"/>
    <cellStyle name="Normal 37 4 9 16" xfId="52634" xr:uid="{00000000-0005-0000-0000-000093CD0000}"/>
    <cellStyle name="Normal 37 4 9 2" xfId="52635" xr:uid="{00000000-0005-0000-0000-000094CD0000}"/>
    <cellStyle name="Normal 37 4 9 2 2" xfId="52636" xr:uid="{00000000-0005-0000-0000-000095CD0000}"/>
    <cellStyle name="Normal 37 4 9 2 3" xfId="52637" xr:uid="{00000000-0005-0000-0000-000096CD0000}"/>
    <cellStyle name="Normal 37 4 9 3" xfId="52638" xr:uid="{00000000-0005-0000-0000-000097CD0000}"/>
    <cellStyle name="Normal 37 4 9 3 2" xfId="52639" xr:uid="{00000000-0005-0000-0000-000098CD0000}"/>
    <cellStyle name="Normal 37 4 9 3 3" xfId="52640" xr:uid="{00000000-0005-0000-0000-000099CD0000}"/>
    <cellStyle name="Normal 37 4 9 4" xfId="52641" xr:uid="{00000000-0005-0000-0000-00009ACD0000}"/>
    <cellStyle name="Normal 37 4 9 4 2" xfId="52642" xr:uid="{00000000-0005-0000-0000-00009BCD0000}"/>
    <cellStyle name="Normal 37 4 9 4 3" xfId="52643" xr:uid="{00000000-0005-0000-0000-00009CCD0000}"/>
    <cellStyle name="Normal 37 4 9 5" xfId="52644" xr:uid="{00000000-0005-0000-0000-00009DCD0000}"/>
    <cellStyle name="Normal 37 4 9 5 2" xfId="52645" xr:uid="{00000000-0005-0000-0000-00009ECD0000}"/>
    <cellStyle name="Normal 37 4 9 5 3" xfId="52646" xr:uid="{00000000-0005-0000-0000-00009FCD0000}"/>
    <cellStyle name="Normal 37 4 9 6" xfId="52647" xr:uid="{00000000-0005-0000-0000-0000A0CD0000}"/>
    <cellStyle name="Normal 37 4 9 6 2" xfId="52648" xr:uid="{00000000-0005-0000-0000-0000A1CD0000}"/>
    <cellStyle name="Normal 37 4 9 6 3" xfId="52649" xr:uid="{00000000-0005-0000-0000-0000A2CD0000}"/>
    <cellStyle name="Normal 37 4 9 7" xfId="52650" xr:uid="{00000000-0005-0000-0000-0000A3CD0000}"/>
    <cellStyle name="Normal 37 4 9 7 2" xfId="52651" xr:uid="{00000000-0005-0000-0000-0000A4CD0000}"/>
    <cellStyle name="Normal 37 4 9 7 3" xfId="52652" xr:uid="{00000000-0005-0000-0000-0000A5CD0000}"/>
    <cellStyle name="Normal 37 4 9 8" xfId="52653" xr:uid="{00000000-0005-0000-0000-0000A6CD0000}"/>
    <cellStyle name="Normal 37 4 9 8 2" xfId="52654" xr:uid="{00000000-0005-0000-0000-0000A7CD0000}"/>
    <cellStyle name="Normal 37 4 9 8 3" xfId="52655" xr:uid="{00000000-0005-0000-0000-0000A8CD0000}"/>
    <cellStyle name="Normal 37 4 9 9" xfId="52656" xr:uid="{00000000-0005-0000-0000-0000A9CD0000}"/>
    <cellStyle name="Normal 37 4 9 9 2" xfId="52657" xr:uid="{00000000-0005-0000-0000-0000AACD0000}"/>
    <cellStyle name="Normal 37 4 9 9 3" xfId="52658" xr:uid="{00000000-0005-0000-0000-0000ABCD0000}"/>
    <cellStyle name="Normal 38" xfId="52659" xr:uid="{00000000-0005-0000-0000-0000ACCD0000}"/>
    <cellStyle name="Normal 38 10" xfId="52660" xr:uid="{00000000-0005-0000-0000-0000ADCD0000}"/>
    <cellStyle name="Normal 38 10 10" xfId="52661" xr:uid="{00000000-0005-0000-0000-0000AECD0000}"/>
    <cellStyle name="Normal 38 10 10 2" xfId="52662" xr:uid="{00000000-0005-0000-0000-0000AFCD0000}"/>
    <cellStyle name="Normal 38 10 10 3" xfId="52663" xr:uid="{00000000-0005-0000-0000-0000B0CD0000}"/>
    <cellStyle name="Normal 38 10 11" xfId="52664" xr:uid="{00000000-0005-0000-0000-0000B1CD0000}"/>
    <cellStyle name="Normal 38 10 11 2" xfId="52665" xr:uid="{00000000-0005-0000-0000-0000B2CD0000}"/>
    <cellStyle name="Normal 38 10 11 3" xfId="52666" xr:uid="{00000000-0005-0000-0000-0000B3CD0000}"/>
    <cellStyle name="Normal 38 10 12" xfId="52667" xr:uid="{00000000-0005-0000-0000-0000B4CD0000}"/>
    <cellStyle name="Normal 38 10 12 2" xfId="52668" xr:uid="{00000000-0005-0000-0000-0000B5CD0000}"/>
    <cellStyle name="Normal 38 10 12 3" xfId="52669" xr:uid="{00000000-0005-0000-0000-0000B6CD0000}"/>
    <cellStyle name="Normal 38 10 13" xfId="52670" xr:uid="{00000000-0005-0000-0000-0000B7CD0000}"/>
    <cellStyle name="Normal 38 10 13 2" xfId="52671" xr:uid="{00000000-0005-0000-0000-0000B8CD0000}"/>
    <cellStyle name="Normal 38 10 13 3" xfId="52672" xr:uid="{00000000-0005-0000-0000-0000B9CD0000}"/>
    <cellStyle name="Normal 38 10 14" xfId="52673" xr:uid="{00000000-0005-0000-0000-0000BACD0000}"/>
    <cellStyle name="Normal 38 10 14 2" xfId="52674" xr:uid="{00000000-0005-0000-0000-0000BBCD0000}"/>
    <cellStyle name="Normal 38 10 14 3" xfId="52675" xr:uid="{00000000-0005-0000-0000-0000BCCD0000}"/>
    <cellStyle name="Normal 38 10 15" xfId="52676" xr:uid="{00000000-0005-0000-0000-0000BDCD0000}"/>
    <cellStyle name="Normal 38 10 16" xfId="52677" xr:uid="{00000000-0005-0000-0000-0000BECD0000}"/>
    <cellStyle name="Normal 38 10 2" xfId="52678" xr:uid="{00000000-0005-0000-0000-0000BFCD0000}"/>
    <cellStyle name="Normal 38 10 2 2" xfId="52679" xr:uid="{00000000-0005-0000-0000-0000C0CD0000}"/>
    <cellStyle name="Normal 38 10 2 3" xfId="52680" xr:uid="{00000000-0005-0000-0000-0000C1CD0000}"/>
    <cellStyle name="Normal 38 10 3" xfId="52681" xr:uid="{00000000-0005-0000-0000-0000C2CD0000}"/>
    <cellStyle name="Normal 38 10 3 2" xfId="52682" xr:uid="{00000000-0005-0000-0000-0000C3CD0000}"/>
    <cellStyle name="Normal 38 10 3 3" xfId="52683" xr:uid="{00000000-0005-0000-0000-0000C4CD0000}"/>
    <cellStyle name="Normal 38 10 4" xfId="52684" xr:uid="{00000000-0005-0000-0000-0000C5CD0000}"/>
    <cellStyle name="Normal 38 10 4 2" xfId="52685" xr:uid="{00000000-0005-0000-0000-0000C6CD0000}"/>
    <cellStyle name="Normal 38 10 4 3" xfId="52686" xr:uid="{00000000-0005-0000-0000-0000C7CD0000}"/>
    <cellStyle name="Normal 38 10 5" xfId="52687" xr:uid="{00000000-0005-0000-0000-0000C8CD0000}"/>
    <cellStyle name="Normal 38 10 5 2" xfId="52688" xr:uid="{00000000-0005-0000-0000-0000C9CD0000}"/>
    <cellStyle name="Normal 38 10 5 3" xfId="52689" xr:uid="{00000000-0005-0000-0000-0000CACD0000}"/>
    <cellStyle name="Normal 38 10 6" xfId="52690" xr:uid="{00000000-0005-0000-0000-0000CBCD0000}"/>
    <cellStyle name="Normal 38 10 6 2" xfId="52691" xr:uid="{00000000-0005-0000-0000-0000CCCD0000}"/>
    <cellStyle name="Normal 38 10 6 3" xfId="52692" xr:uid="{00000000-0005-0000-0000-0000CDCD0000}"/>
    <cellStyle name="Normal 38 10 7" xfId="52693" xr:uid="{00000000-0005-0000-0000-0000CECD0000}"/>
    <cellStyle name="Normal 38 10 7 2" xfId="52694" xr:uid="{00000000-0005-0000-0000-0000CFCD0000}"/>
    <cellStyle name="Normal 38 10 7 3" xfId="52695" xr:uid="{00000000-0005-0000-0000-0000D0CD0000}"/>
    <cellStyle name="Normal 38 10 8" xfId="52696" xr:uid="{00000000-0005-0000-0000-0000D1CD0000}"/>
    <cellStyle name="Normal 38 10 8 2" xfId="52697" xr:uid="{00000000-0005-0000-0000-0000D2CD0000}"/>
    <cellStyle name="Normal 38 10 8 3" xfId="52698" xr:uid="{00000000-0005-0000-0000-0000D3CD0000}"/>
    <cellStyle name="Normal 38 10 9" xfId="52699" xr:uid="{00000000-0005-0000-0000-0000D4CD0000}"/>
    <cellStyle name="Normal 38 10 9 2" xfId="52700" xr:uid="{00000000-0005-0000-0000-0000D5CD0000}"/>
    <cellStyle name="Normal 38 10 9 3" xfId="52701" xr:uid="{00000000-0005-0000-0000-0000D6CD0000}"/>
    <cellStyle name="Normal 38 11" xfId="52702" xr:uid="{00000000-0005-0000-0000-0000D7CD0000}"/>
    <cellStyle name="Normal 38 11 10" xfId="52703" xr:uid="{00000000-0005-0000-0000-0000D8CD0000}"/>
    <cellStyle name="Normal 38 11 10 2" xfId="52704" xr:uid="{00000000-0005-0000-0000-0000D9CD0000}"/>
    <cellStyle name="Normal 38 11 10 3" xfId="52705" xr:uid="{00000000-0005-0000-0000-0000DACD0000}"/>
    <cellStyle name="Normal 38 11 11" xfId="52706" xr:uid="{00000000-0005-0000-0000-0000DBCD0000}"/>
    <cellStyle name="Normal 38 11 11 2" xfId="52707" xr:uid="{00000000-0005-0000-0000-0000DCCD0000}"/>
    <cellStyle name="Normal 38 11 11 3" xfId="52708" xr:uid="{00000000-0005-0000-0000-0000DDCD0000}"/>
    <cellStyle name="Normal 38 11 12" xfId="52709" xr:uid="{00000000-0005-0000-0000-0000DECD0000}"/>
    <cellStyle name="Normal 38 11 12 2" xfId="52710" xr:uid="{00000000-0005-0000-0000-0000DFCD0000}"/>
    <cellStyle name="Normal 38 11 12 3" xfId="52711" xr:uid="{00000000-0005-0000-0000-0000E0CD0000}"/>
    <cellStyle name="Normal 38 11 13" xfId="52712" xr:uid="{00000000-0005-0000-0000-0000E1CD0000}"/>
    <cellStyle name="Normal 38 11 13 2" xfId="52713" xr:uid="{00000000-0005-0000-0000-0000E2CD0000}"/>
    <cellStyle name="Normal 38 11 13 3" xfId="52714" xr:uid="{00000000-0005-0000-0000-0000E3CD0000}"/>
    <cellStyle name="Normal 38 11 14" xfId="52715" xr:uid="{00000000-0005-0000-0000-0000E4CD0000}"/>
    <cellStyle name="Normal 38 11 14 2" xfId="52716" xr:uid="{00000000-0005-0000-0000-0000E5CD0000}"/>
    <cellStyle name="Normal 38 11 14 3" xfId="52717" xr:uid="{00000000-0005-0000-0000-0000E6CD0000}"/>
    <cellStyle name="Normal 38 11 15" xfId="52718" xr:uid="{00000000-0005-0000-0000-0000E7CD0000}"/>
    <cellStyle name="Normal 38 11 16" xfId="52719" xr:uid="{00000000-0005-0000-0000-0000E8CD0000}"/>
    <cellStyle name="Normal 38 11 2" xfId="52720" xr:uid="{00000000-0005-0000-0000-0000E9CD0000}"/>
    <cellStyle name="Normal 38 11 2 2" xfId="52721" xr:uid="{00000000-0005-0000-0000-0000EACD0000}"/>
    <cellStyle name="Normal 38 11 2 3" xfId="52722" xr:uid="{00000000-0005-0000-0000-0000EBCD0000}"/>
    <cellStyle name="Normal 38 11 3" xfId="52723" xr:uid="{00000000-0005-0000-0000-0000ECCD0000}"/>
    <cellStyle name="Normal 38 11 3 2" xfId="52724" xr:uid="{00000000-0005-0000-0000-0000EDCD0000}"/>
    <cellStyle name="Normal 38 11 3 3" xfId="52725" xr:uid="{00000000-0005-0000-0000-0000EECD0000}"/>
    <cellStyle name="Normal 38 11 4" xfId="52726" xr:uid="{00000000-0005-0000-0000-0000EFCD0000}"/>
    <cellStyle name="Normal 38 11 4 2" xfId="52727" xr:uid="{00000000-0005-0000-0000-0000F0CD0000}"/>
    <cellStyle name="Normal 38 11 4 3" xfId="52728" xr:uid="{00000000-0005-0000-0000-0000F1CD0000}"/>
    <cellStyle name="Normal 38 11 5" xfId="52729" xr:uid="{00000000-0005-0000-0000-0000F2CD0000}"/>
    <cellStyle name="Normal 38 11 5 2" xfId="52730" xr:uid="{00000000-0005-0000-0000-0000F3CD0000}"/>
    <cellStyle name="Normal 38 11 5 3" xfId="52731" xr:uid="{00000000-0005-0000-0000-0000F4CD0000}"/>
    <cellStyle name="Normal 38 11 6" xfId="52732" xr:uid="{00000000-0005-0000-0000-0000F5CD0000}"/>
    <cellStyle name="Normal 38 11 6 2" xfId="52733" xr:uid="{00000000-0005-0000-0000-0000F6CD0000}"/>
    <cellStyle name="Normal 38 11 6 3" xfId="52734" xr:uid="{00000000-0005-0000-0000-0000F7CD0000}"/>
    <cellStyle name="Normal 38 11 7" xfId="52735" xr:uid="{00000000-0005-0000-0000-0000F8CD0000}"/>
    <cellStyle name="Normal 38 11 7 2" xfId="52736" xr:uid="{00000000-0005-0000-0000-0000F9CD0000}"/>
    <cellStyle name="Normal 38 11 7 3" xfId="52737" xr:uid="{00000000-0005-0000-0000-0000FACD0000}"/>
    <cellStyle name="Normal 38 11 8" xfId="52738" xr:uid="{00000000-0005-0000-0000-0000FBCD0000}"/>
    <cellStyle name="Normal 38 11 8 2" xfId="52739" xr:uid="{00000000-0005-0000-0000-0000FCCD0000}"/>
    <cellStyle name="Normal 38 11 8 3" xfId="52740" xr:uid="{00000000-0005-0000-0000-0000FDCD0000}"/>
    <cellStyle name="Normal 38 11 9" xfId="52741" xr:uid="{00000000-0005-0000-0000-0000FECD0000}"/>
    <cellStyle name="Normal 38 11 9 2" xfId="52742" xr:uid="{00000000-0005-0000-0000-0000FFCD0000}"/>
    <cellStyle name="Normal 38 11 9 3" xfId="52743" xr:uid="{00000000-0005-0000-0000-000000CE0000}"/>
    <cellStyle name="Normal 38 12" xfId="52744" xr:uid="{00000000-0005-0000-0000-000001CE0000}"/>
    <cellStyle name="Normal 38 12 10" xfId="52745" xr:uid="{00000000-0005-0000-0000-000002CE0000}"/>
    <cellStyle name="Normal 38 12 10 2" xfId="52746" xr:uid="{00000000-0005-0000-0000-000003CE0000}"/>
    <cellStyle name="Normal 38 12 10 3" xfId="52747" xr:uid="{00000000-0005-0000-0000-000004CE0000}"/>
    <cellStyle name="Normal 38 12 11" xfId="52748" xr:uid="{00000000-0005-0000-0000-000005CE0000}"/>
    <cellStyle name="Normal 38 12 11 2" xfId="52749" xr:uid="{00000000-0005-0000-0000-000006CE0000}"/>
    <cellStyle name="Normal 38 12 11 3" xfId="52750" xr:uid="{00000000-0005-0000-0000-000007CE0000}"/>
    <cellStyle name="Normal 38 12 12" xfId="52751" xr:uid="{00000000-0005-0000-0000-000008CE0000}"/>
    <cellStyle name="Normal 38 12 12 2" xfId="52752" xr:uid="{00000000-0005-0000-0000-000009CE0000}"/>
    <cellStyle name="Normal 38 12 12 3" xfId="52753" xr:uid="{00000000-0005-0000-0000-00000ACE0000}"/>
    <cellStyle name="Normal 38 12 13" xfId="52754" xr:uid="{00000000-0005-0000-0000-00000BCE0000}"/>
    <cellStyle name="Normal 38 12 13 2" xfId="52755" xr:uid="{00000000-0005-0000-0000-00000CCE0000}"/>
    <cellStyle name="Normal 38 12 13 3" xfId="52756" xr:uid="{00000000-0005-0000-0000-00000DCE0000}"/>
    <cellStyle name="Normal 38 12 14" xfId="52757" xr:uid="{00000000-0005-0000-0000-00000ECE0000}"/>
    <cellStyle name="Normal 38 12 14 2" xfId="52758" xr:uid="{00000000-0005-0000-0000-00000FCE0000}"/>
    <cellStyle name="Normal 38 12 14 3" xfId="52759" xr:uid="{00000000-0005-0000-0000-000010CE0000}"/>
    <cellStyle name="Normal 38 12 15" xfId="52760" xr:uid="{00000000-0005-0000-0000-000011CE0000}"/>
    <cellStyle name="Normal 38 12 16" xfId="52761" xr:uid="{00000000-0005-0000-0000-000012CE0000}"/>
    <cellStyle name="Normal 38 12 2" xfId="52762" xr:uid="{00000000-0005-0000-0000-000013CE0000}"/>
    <cellStyle name="Normal 38 12 2 2" xfId="52763" xr:uid="{00000000-0005-0000-0000-000014CE0000}"/>
    <cellStyle name="Normal 38 12 2 3" xfId="52764" xr:uid="{00000000-0005-0000-0000-000015CE0000}"/>
    <cellStyle name="Normal 38 12 3" xfId="52765" xr:uid="{00000000-0005-0000-0000-000016CE0000}"/>
    <cellStyle name="Normal 38 12 3 2" xfId="52766" xr:uid="{00000000-0005-0000-0000-000017CE0000}"/>
    <cellStyle name="Normal 38 12 3 3" xfId="52767" xr:uid="{00000000-0005-0000-0000-000018CE0000}"/>
    <cellStyle name="Normal 38 12 4" xfId="52768" xr:uid="{00000000-0005-0000-0000-000019CE0000}"/>
    <cellStyle name="Normal 38 12 4 2" xfId="52769" xr:uid="{00000000-0005-0000-0000-00001ACE0000}"/>
    <cellStyle name="Normal 38 12 4 3" xfId="52770" xr:uid="{00000000-0005-0000-0000-00001BCE0000}"/>
    <cellStyle name="Normal 38 12 5" xfId="52771" xr:uid="{00000000-0005-0000-0000-00001CCE0000}"/>
    <cellStyle name="Normal 38 12 5 2" xfId="52772" xr:uid="{00000000-0005-0000-0000-00001DCE0000}"/>
    <cellStyle name="Normal 38 12 5 3" xfId="52773" xr:uid="{00000000-0005-0000-0000-00001ECE0000}"/>
    <cellStyle name="Normal 38 12 6" xfId="52774" xr:uid="{00000000-0005-0000-0000-00001FCE0000}"/>
    <cellStyle name="Normal 38 12 6 2" xfId="52775" xr:uid="{00000000-0005-0000-0000-000020CE0000}"/>
    <cellStyle name="Normal 38 12 6 3" xfId="52776" xr:uid="{00000000-0005-0000-0000-000021CE0000}"/>
    <cellStyle name="Normal 38 12 7" xfId="52777" xr:uid="{00000000-0005-0000-0000-000022CE0000}"/>
    <cellStyle name="Normal 38 12 7 2" xfId="52778" xr:uid="{00000000-0005-0000-0000-000023CE0000}"/>
    <cellStyle name="Normal 38 12 7 3" xfId="52779" xr:uid="{00000000-0005-0000-0000-000024CE0000}"/>
    <cellStyle name="Normal 38 12 8" xfId="52780" xr:uid="{00000000-0005-0000-0000-000025CE0000}"/>
    <cellStyle name="Normal 38 12 8 2" xfId="52781" xr:uid="{00000000-0005-0000-0000-000026CE0000}"/>
    <cellStyle name="Normal 38 12 8 3" xfId="52782" xr:uid="{00000000-0005-0000-0000-000027CE0000}"/>
    <cellStyle name="Normal 38 12 9" xfId="52783" xr:uid="{00000000-0005-0000-0000-000028CE0000}"/>
    <cellStyle name="Normal 38 12 9 2" xfId="52784" xr:uid="{00000000-0005-0000-0000-000029CE0000}"/>
    <cellStyle name="Normal 38 12 9 3" xfId="52785" xr:uid="{00000000-0005-0000-0000-00002ACE0000}"/>
    <cellStyle name="Normal 38 13" xfId="52786" xr:uid="{00000000-0005-0000-0000-00002BCE0000}"/>
    <cellStyle name="Normal 38 13 10" xfId="52787" xr:uid="{00000000-0005-0000-0000-00002CCE0000}"/>
    <cellStyle name="Normal 38 13 10 2" xfId="52788" xr:uid="{00000000-0005-0000-0000-00002DCE0000}"/>
    <cellStyle name="Normal 38 13 10 3" xfId="52789" xr:uid="{00000000-0005-0000-0000-00002ECE0000}"/>
    <cellStyle name="Normal 38 13 11" xfId="52790" xr:uid="{00000000-0005-0000-0000-00002FCE0000}"/>
    <cellStyle name="Normal 38 13 11 2" xfId="52791" xr:uid="{00000000-0005-0000-0000-000030CE0000}"/>
    <cellStyle name="Normal 38 13 11 3" xfId="52792" xr:uid="{00000000-0005-0000-0000-000031CE0000}"/>
    <cellStyle name="Normal 38 13 12" xfId="52793" xr:uid="{00000000-0005-0000-0000-000032CE0000}"/>
    <cellStyle name="Normal 38 13 12 2" xfId="52794" xr:uid="{00000000-0005-0000-0000-000033CE0000}"/>
    <cellStyle name="Normal 38 13 12 3" xfId="52795" xr:uid="{00000000-0005-0000-0000-000034CE0000}"/>
    <cellStyle name="Normal 38 13 13" xfId="52796" xr:uid="{00000000-0005-0000-0000-000035CE0000}"/>
    <cellStyle name="Normal 38 13 13 2" xfId="52797" xr:uid="{00000000-0005-0000-0000-000036CE0000}"/>
    <cellStyle name="Normal 38 13 13 3" xfId="52798" xr:uid="{00000000-0005-0000-0000-000037CE0000}"/>
    <cellStyle name="Normal 38 13 14" xfId="52799" xr:uid="{00000000-0005-0000-0000-000038CE0000}"/>
    <cellStyle name="Normal 38 13 14 2" xfId="52800" xr:uid="{00000000-0005-0000-0000-000039CE0000}"/>
    <cellStyle name="Normal 38 13 14 3" xfId="52801" xr:uid="{00000000-0005-0000-0000-00003ACE0000}"/>
    <cellStyle name="Normal 38 13 15" xfId="52802" xr:uid="{00000000-0005-0000-0000-00003BCE0000}"/>
    <cellStyle name="Normal 38 13 16" xfId="52803" xr:uid="{00000000-0005-0000-0000-00003CCE0000}"/>
    <cellStyle name="Normal 38 13 2" xfId="52804" xr:uid="{00000000-0005-0000-0000-00003DCE0000}"/>
    <cellStyle name="Normal 38 13 2 2" xfId="52805" xr:uid="{00000000-0005-0000-0000-00003ECE0000}"/>
    <cellStyle name="Normal 38 13 2 3" xfId="52806" xr:uid="{00000000-0005-0000-0000-00003FCE0000}"/>
    <cellStyle name="Normal 38 13 3" xfId="52807" xr:uid="{00000000-0005-0000-0000-000040CE0000}"/>
    <cellStyle name="Normal 38 13 3 2" xfId="52808" xr:uid="{00000000-0005-0000-0000-000041CE0000}"/>
    <cellStyle name="Normal 38 13 3 3" xfId="52809" xr:uid="{00000000-0005-0000-0000-000042CE0000}"/>
    <cellStyle name="Normal 38 13 4" xfId="52810" xr:uid="{00000000-0005-0000-0000-000043CE0000}"/>
    <cellStyle name="Normal 38 13 4 2" xfId="52811" xr:uid="{00000000-0005-0000-0000-000044CE0000}"/>
    <cellStyle name="Normal 38 13 4 3" xfId="52812" xr:uid="{00000000-0005-0000-0000-000045CE0000}"/>
    <cellStyle name="Normal 38 13 5" xfId="52813" xr:uid="{00000000-0005-0000-0000-000046CE0000}"/>
    <cellStyle name="Normal 38 13 5 2" xfId="52814" xr:uid="{00000000-0005-0000-0000-000047CE0000}"/>
    <cellStyle name="Normal 38 13 5 3" xfId="52815" xr:uid="{00000000-0005-0000-0000-000048CE0000}"/>
    <cellStyle name="Normal 38 13 6" xfId="52816" xr:uid="{00000000-0005-0000-0000-000049CE0000}"/>
    <cellStyle name="Normal 38 13 6 2" xfId="52817" xr:uid="{00000000-0005-0000-0000-00004ACE0000}"/>
    <cellStyle name="Normal 38 13 6 3" xfId="52818" xr:uid="{00000000-0005-0000-0000-00004BCE0000}"/>
    <cellStyle name="Normal 38 13 7" xfId="52819" xr:uid="{00000000-0005-0000-0000-00004CCE0000}"/>
    <cellStyle name="Normal 38 13 7 2" xfId="52820" xr:uid="{00000000-0005-0000-0000-00004DCE0000}"/>
    <cellStyle name="Normal 38 13 7 3" xfId="52821" xr:uid="{00000000-0005-0000-0000-00004ECE0000}"/>
    <cellStyle name="Normal 38 13 8" xfId="52822" xr:uid="{00000000-0005-0000-0000-00004FCE0000}"/>
    <cellStyle name="Normal 38 13 8 2" xfId="52823" xr:uid="{00000000-0005-0000-0000-000050CE0000}"/>
    <cellStyle name="Normal 38 13 8 3" xfId="52824" xr:uid="{00000000-0005-0000-0000-000051CE0000}"/>
    <cellStyle name="Normal 38 13 9" xfId="52825" xr:uid="{00000000-0005-0000-0000-000052CE0000}"/>
    <cellStyle name="Normal 38 13 9 2" xfId="52826" xr:uid="{00000000-0005-0000-0000-000053CE0000}"/>
    <cellStyle name="Normal 38 13 9 3" xfId="52827" xr:uid="{00000000-0005-0000-0000-000054CE0000}"/>
    <cellStyle name="Normal 38 14" xfId="52828" xr:uid="{00000000-0005-0000-0000-000055CE0000}"/>
    <cellStyle name="Normal 38 14 10" xfId="52829" xr:uid="{00000000-0005-0000-0000-000056CE0000}"/>
    <cellStyle name="Normal 38 14 10 2" xfId="52830" xr:uid="{00000000-0005-0000-0000-000057CE0000}"/>
    <cellStyle name="Normal 38 14 10 3" xfId="52831" xr:uid="{00000000-0005-0000-0000-000058CE0000}"/>
    <cellStyle name="Normal 38 14 11" xfId="52832" xr:uid="{00000000-0005-0000-0000-000059CE0000}"/>
    <cellStyle name="Normal 38 14 11 2" xfId="52833" xr:uid="{00000000-0005-0000-0000-00005ACE0000}"/>
    <cellStyle name="Normal 38 14 11 3" xfId="52834" xr:uid="{00000000-0005-0000-0000-00005BCE0000}"/>
    <cellStyle name="Normal 38 14 12" xfId="52835" xr:uid="{00000000-0005-0000-0000-00005CCE0000}"/>
    <cellStyle name="Normal 38 14 12 2" xfId="52836" xr:uid="{00000000-0005-0000-0000-00005DCE0000}"/>
    <cellStyle name="Normal 38 14 12 3" xfId="52837" xr:uid="{00000000-0005-0000-0000-00005ECE0000}"/>
    <cellStyle name="Normal 38 14 13" xfId="52838" xr:uid="{00000000-0005-0000-0000-00005FCE0000}"/>
    <cellStyle name="Normal 38 14 13 2" xfId="52839" xr:uid="{00000000-0005-0000-0000-000060CE0000}"/>
    <cellStyle name="Normal 38 14 13 3" xfId="52840" xr:uid="{00000000-0005-0000-0000-000061CE0000}"/>
    <cellStyle name="Normal 38 14 14" xfId="52841" xr:uid="{00000000-0005-0000-0000-000062CE0000}"/>
    <cellStyle name="Normal 38 14 14 2" xfId="52842" xr:uid="{00000000-0005-0000-0000-000063CE0000}"/>
    <cellStyle name="Normal 38 14 14 3" xfId="52843" xr:uid="{00000000-0005-0000-0000-000064CE0000}"/>
    <cellStyle name="Normal 38 14 15" xfId="52844" xr:uid="{00000000-0005-0000-0000-000065CE0000}"/>
    <cellStyle name="Normal 38 14 16" xfId="52845" xr:uid="{00000000-0005-0000-0000-000066CE0000}"/>
    <cellStyle name="Normal 38 14 2" xfId="52846" xr:uid="{00000000-0005-0000-0000-000067CE0000}"/>
    <cellStyle name="Normal 38 14 2 2" xfId="52847" xr:uid="{00000000-0005-0000-0000-000068CE0000}"/>
    <cellStyle name="Normal 38 14 2 3" xfId="52848" xr:uid="{00000000-0005-0000-0000-000069CE0000}"/>
    <cellStyle name="Normal 38 14 3" xfId="52849" xr:uid="{00000000-0005-0000-0000-00006ACE0000}"/>
    <cellStyle name="Normal 38 14 3 2" xfId="52850" xr:uid="{00000000-0005-0000-0000-00006BCE0000}"/>
    <cellStyle name="Normal 38 14 3 3" xfId="52851" xr:uid="{00000000-0005-0000-0000-00006CCE0000}"/>
    <cellStyle name="Normal 38 14 4" xfId="52852" xr:uid="{00000000-0005-0000-0000-00006DCE0000}"/>
    <cellStyle name="Normal 38 14 4 2" xfId="52853" xr:uid="{00000000-0005-0000-0000-00006ECE0000}"/>
    <cellStyle name="Normal 38 14 4 3" xfId="52854" xr:uid="{00000000-0005-0000-0000-00006FCE0000}"/>
    <cellStyle name="Normal 38 14 5" xfId="52855" xr:uid="{00000000-0005-0000-0000-000070CE0000}"/>
    <cellStyle name="Normal 38 14 5 2" xfId="52856" xr:uid="{00000000-0005-0000-0000-000071CE0000}"/>
    <cellStyle name="Normal 38 14 5 3" xfId="52857" xr:uid="{00000000-0005-0000-0000-000072CE0000}"/>
    <cellStyle name="Normal 38 14 6" xfId="52858" xr:uid="{00000000-0005-0000-0000-000073CE0000}"/>
    <cellStyle name="Normal 38 14 6 2" xfId="52859" xr:uid="{00000000-0005-0000-0000-000074CE0000}"/>
    <cellStyle name="Normal 38 14 6 3" xfId="52860" xr:uid="{00000000-0005-0000-0000-000075CE0000}"/>
    <cellStyle name="Normal 38 14 7" xfId="52861" xr:uid="{00000000-0005-0000-0000-000076CE0000}"/>
    <cellStyle name="Normal 38 14 7 2" xfId="52862" xr:uid="{00000000-0005-0000-0000-000077CE0000}"/>
    <cellStyle name="Normal 38 14 7 3" xfId="52863" xr:uid="{00000000-0005-0000-0000-000078CE0000}"/>
    <cellStyle name="Normal 38 14 8" xfId="52864" xr:uid="{00000000-0005-0000-0000-000079CE0000}"/>
    <cellStyle name="Normal 38 14 8 2" xfId="52865" xr:uid="{00000000-0005-0000-0000-00007ACE0000}"/>
    <cellStyle name="Normal 38 14 8 3" xfId="52866" xr:uid="{00000000-0005-0000-0000-00007BCE0000}"/>
    <cellStyle name="Normal 38 14 9" xfId="52867" xr:uid="{00000000-0005-0000-0000-00007CCE0000}"/>
    <cellStyle name="Normal 38 14 9 2" xfId="52868" xr:uid="{00000000-0005-0000-0000-00007DCE0000}"/>
    <cellStyle name="Normal 38 14 9 3" xfId="52869" xr:uid="{00000000-0005-0000-0000-00007ECE0000}"/>
    <cellStyle name="Normal 38 15" xfId="52870" xr:uid="{00000000-0005-0000-0000-00007FCE0000}"/>
    <cellStyle name="Normal 38 15 10" xfId="52871" xr:uid="{00000000-0005-0000-0000-000080CE0000}"/>
    <cellStyle name="Normal 38 15 10 2" xfId="52872" xr:uid="{00000000-0005-0000-0000-000081CE0000}"/>
    <cellStyle name="Normal 38 15 10 3" xfId="52873" xr:uid="{00000000-0005-0000-0000-000082CE0000}"/>
    <cellStyle name="Normal 38 15 11" xfId="52874" xr:uid="{00000000-0005-0000-0000-000083CE0000}"/>
    <cellStyle name="Normal 38 15 11 2" xfId="52875" xr:uid="{00000000-0005-0000-0000-000084CE0000}"/>
    <cellStyle name="Normal 38 15 11 3" xfId="52876" xr:uid="{00000000-0005-0000-0000-000085CE0000}"/>
    <cellStyle name="Normal 38 15 12" xfId="52877" xr:uid="{00000000-0005-0000-0000-000086CE0000}"/>
    <cellStyle name="Normal 38 15 12 2" xfId="52878" xr:uid="{00000000-0005-0000-0000-000087CE0000}"/>
    <cellStyle name="Normal 38 15 12 3" xfId="52879" xr:uid="{00000000-0005-0000-0000-000088CE0000}"/>
    <cellStyle name="Normal 38 15 13" xfId="52880" xr:uid="{00000000-0005-0000-0000-000089CE0000}"/>
    <cellStyle name="Normal 38 15 13 2" xfId="52881" xr:uid="{00000000-0005-0000-0000-00008ACE0000}"/>
    <cellStyle name="Normal 38 15 13 3" xfId="52882" xr:uid="{00000000-0005-0000-0000-00008BCE0000}"/>
    <cellStyle name="Normal 38 15 14" xfId="52883" xr:uid="{00000000-0005-0000-0000-00008CCE0000}"/>
    <cellStyle name="Normal 38 15 14 2" xfId="52884" xr:uid="{00000000-0005-0000-0000-00008DCE0000}"/>
    <cellStyle name="Normal 38 15 14 3" xfId="52885" xr:uid="{00000000-0005-0000-0000-00008ECE0000}"/>
    <cellStyle name="Normal 38 15 15" xfId="52886" xr:uid="{00000000-0005-0000-0000-00008FCE0000}"/>
    <cellStyle name="Normal 38 15 16" xfId="52887" xr:uid="{00000000-0005-0000-0000-000090CE0000}"/>
    <cellStyle name="Normal 38 15 2" xfId="52888" xr:uid="{00000000-0005-0000-0000-000091CE0000}"/>
    <cellStyle name="Normal 38 15 2 2" xfId="52889" xr:uid="{00000000-0005-0000-0000-000092CE0000}"/>
    <cellStyle name="Normal 38 15 2 3" xfId="52890" xr:uid="{00000000-0005-0000-0000-000093CE0000}"/>
    <cellStyle name="Normal 38 15 3" xfId="52891" xr:uid="{00000000-0005-0000-0000-000094CE0000}"/>
    <cellStyle name="Normal 38 15 3 2" xfId="52892" xr:uid="{00000000-0005-0000-0000-000095CE0000}"/>
    <cellStyle name="Normal 38 15 3 3" xfId="52893" xr:uid="{00000000-0005-0000-0000-000096CE0000}"/>
    <cellStyle name="Normal 38 15 4" xfId="52894" xr:uid="{00000000-0005-0000-0000-000097CE0000}"/>
    <cellStyle name="Normal 38 15 4 2" xfId="52895" xr:uid="{00000000-0005-0000-0000-000098CE0000}"/>
    <cellStyle name="Normal 38 15 4 3" xfId="52896" xr:uid="{00000000-0005-0000-0000-000099CE0000}"/>
    <cellStyle name="Normal 38 15 5" xfId="52897" xr:uid="{00000000-0005-0000-0000-00009ACE0000}"/>
    <cellStyle name="Normal 38 15 5 2" xfId="52898" xr:uid="{00000000-0005-0000-0000-00009BCE0000}"/>
    <cellStyle name="Normal 38 15 5 3" xfId="52899" xr:uid="{00000000-0005-0000-0000-00009CCE0000}"/>
    <cellStyle name="Normal 38 15 6" xfId="52900" xr:uid="{00000000-0005-0000-0000-00009DCE0000}"/>
    <cellStyle name="Normal 38 15 6 2" xfId="52901" xr:uid="{00000000-0005-0000-0000-00009ECE0000}"/>
    <cellStyle name="Normal 38 15 6 3" xfId="52902" xr:uid="{00000000-0005-0000-0000-00009FCE0000}"/>
    <cellStyle name="Normal 38 15 7" xfId="52903" xr:uid="{00000000-0005-0000-0000-0000A0CE0000}"/>
    <cellStyle name="Normal 38 15 7 2" xfId="52904" xr:uid="{00000000-0005-0000-0000-0000A1CE0000}"/>
    <cellStyle name="Normal 38 15 7 3" xfId="52905" xr:uid="{00000000-0005-0000-0000-0000A2CE0000}"/>
    <cellStyle name="Normal 38 15 8" xfId="52906" xr:uid="{00000000-0005-0000-0000-0000A3CE0000}"/>
    <cellStyle name="Normal 38 15 8 2" xfId="52907" xr:uid="{00000000-0005-0000-0000-0000A4CE0000}"/>
    <cellStyle name="Normal 38 15 8 3" xfId="52908" xr:uid="{00000000-0005-0000-0000-0000A5CE0000}"/>
    <cellStyle name="Normal 38 15 9" xfId="52909" xr:uid="{00000000-0005-0000-0000-0000A6CE0000}"/>
    <cellStyle name="Normal 38 15 9 2" xfId="52910" xr:uid="{00000000-0005-0000-0000-0000A7CE0000}"/>
    <cellStyle name="Normal 38 15 9 3" xfId="52911" xr:uid="{00000000-0005-0000-0000-0000A8CE0000}"/>
    <cellStyle name="Normal 38 16" xfId="52912" xr:uid="{00000000-0005-0000-0000-0000A9CE0000}"/>
    <cellStyle name="Normal 38 16 10" xfId="52913" xr:uid="{00000000-0005-0000-0000-0000AACE0000}"/>
    <cellStyle name="Normal 38 16 10 2" xfId="52914" xr:uid="{00000000-0005-0000-0000-0000ABCE0000}"/>
    <cellStyle name="Normal 38 16 10 3" xfId="52915" xr:uid="{00000000-0005-0000-0000-0000ACCE0000}"/>
    <cellStyle name="Normal 38 16 11" xfId="52916" xr:uid="{00000000-0005-0000-0000-0000ADCE0000}"/>
    <cellStyle name="Normal 38 16 11 2" xfId="52917" xr:uid="{00000000-0005-0000-0000-0000AECE0000}"/>
    <cellStyle name="Normal 38 16 11 3" xfId="52918" xr:uid="{00000000-0005-0000-0000-0000AFCE0000}"/>
    <cellStyle name="Normal 38 16 12" xfId="52919" xr:uid="{00000000-0005-0000-0000-0000B0CE0000}"/>
    <cellStyle name="Normal 38 16 12 2" xfId="52920" xr:uid="{00000000-0005-0000-0000-0000B1CE0000}"/>
    <cellStyle name="Normal 38 16 12 3" xfId="52921" xr:uid="{00000000-0005-0000-0000-0000B2CE0000}"/>
    <cellStyle name="Normal 38 16 13" xfId="52922" xr:uid="{00000000-0005-0000-0000-0000B3CE0000}"/>
    <cellStyle name="Normal 38 16 13 2" xfId="52923" xr:uid="{00000000-0005-0000-0000-0000B4CE0000}"/>
    <cellStyle name="Normal 38 16 13 3" xfId="52924" xr:uid="{00000000-0005-0000-0000-0000B5CE0000}"/>
    <cellStyle name="Normal 38 16 14" xfId="52925" xr:uid="{00000000-0005-0000-0000-0000B6CE0000}"/>
    <cellStyle name="Normal 38 16 14 2" xfId="52926" xr:uid="{00000000-0005-0000-0000-0000B7CE0000}"/>
    <cellStyle name="Normal 38 16 14 3" xfId="52927" xr:uid="{00000000-0005-0000-0000-0000B8CE0000}"/>
    <cellStyle name="Normal 38 16 15" xfId="52928" xr:uid="{00000000-0005-0000-0000-0000B9CE0000}"/>
    <cellStyle name="Normal 38 16 16" xfId="52929" xr:uid="{00000000-0005-0000-0000-0000BACE0000}"/>
    <cellStyle name="Normal 38 16 2" xfId="52930" xr:uid="{00000000-0005-0000-0000-0000BBCE0000}"/>
    <cellStyle name="Normal 38 16 2 2" xfId="52931" xr:uid="{00000000-0005-0000-0000-0000BCCE0000}"/>
    <cellStyle name="Normal 38 16 2 3" xfId="52932" xr:uid="{00000000-0005-0000-0000-0000BDCE0000}"/>
    <cellStyle name="Normal 38 16 3" xfId="52933" xr:uid="{00000000-0005-0000-0000-0000BECE0000}"/>
    <cellStyle name="Normal 38 16 3 2" xfId="52934" xr:uid="{00000000-0005-0000-0000-0000BFCE0000}"/>
    <cellStyle name="Normal 38 16 3 3" xfId="52935" xr:uid="{00000000-0005-0000-0000-0000C0CE0000}"/>
    <cellStyle name="Normal 38 16 4" xfId="52936" xr:uid="{00000000-0005-0000-0000-0000C1CE0000}"/>
    <cellStyle name="Normal 38 16 4 2" xfId="52937" xr:uid="{00000000-0005-0000-0000-0000C2CE0000}"/>
    <cellStyle name="Normal 38 16 4 3" xfId="52938" xr:uid="{00000000-0005-0000-0000-0000C3CE0000}"/>
    <cellStyle name="Normal 38 16 5" xfId="52939" xr:uid="{00000000-0005-0000-0000-0000C4CE0000}"/>
    <cellStyle name="Normal 38 16 5 2" xfId="52940" xr:uid="{00000000-0005-0000-0000-0000C5CE0000}"/>
    <cellStyle name="Normal 38 16 5 3" xfId="52941" xr:uid="{00000000-0005-0000-0000-0000C6CE0000}"/>
    <cellStyle name="Normal 38 16 6" xfId="52942" xr:uid="{00000000-0005-0000-0000-0000C7CE0000}"/>
    <cellStyle name="Normal 38 16 6 2" xfId="52943" xr:uid="{00000000-0005-0000-0000-0000C8CE0000}"/>
    <cellStyle name="Normal 38 16 6 3" xfId="52944" xr:uid="{00000000-0005-0000-0000-0000C9CE0000}"/>
    <cellStyle name="Normal 38 16 7" xfId="52945" xr:uid="{00000000-0005-0000-0000-0000CACE0000}"/>
    <cellStyle name="Normal 38 16 7 2" xfId="52946" xr:uid="{00000000-0005-0000-0000-0000CBCE0000}"/>
    <cellStyle name="Normal 38 16 7 3" xfId="52947" xr:uid="{00000000-0005-0000-0000-0000CCCE0000}"/>
    <cellStyle name="Normal 38 16 8" xfId="52948" xr:uid="{00000000-0005-0000-0000-0000CDCE0000}"/>
    <cellStyle name="Normal 38 16 8 2" xfId="52949" xr:uid="{00000000-0005-0000-0000-0000CECE0000}"/>
    <cellStyle name="Normal 38 16 8 3" xfId="52950" xr:uid="{00000000-0005-0000-0000-0000CFCE0000}"/>
    <cellStyle name="Normal 38 16 9" xfId="52951" xr:uid="{00000000-0005-0000-0000-0000D0CE0000}"/>
    <cellStyle name="Normal 38 16 9 2" xfId="52952" xr:uid="{00000000-0005-0000-0000-0000D1CE0000}"/>
    <cellStyle name="Normal 38 16 9 3" xfId="52953" xr:uid="{00000000-0005-0000-0000-0000D2CE0000}"/>
    <cellStyle name="Normal 38 17" xfId="52954" xr:uid="{00000000-0005-0000-0000-0000D3CE0000}"/>
    <cellStyle name="Normal 38 17 10" xfId="52955" xr:uid="{00000000-0005-0000-0000-0000D4CE0000}"/>
    <cellStyle name="Normal 38 17 10 2" xfId="52956" xr:uid="{00000000-0005-0000-0000-0000D5CE0000}"/>
    <cellStyle name="Normal 38 17 10 3" xfId="52957" xr:uid="{00000000-0005-0000-0000-0000D6CE0000}"/>
    <cellStyle name="Normal 38 17 11" xfId="52958" xr:uid="{00000000-0005-0000-0000-0000D7CE0000}"/>
    <cellStyle name="Normal 38 17 11 2" xfId="52959" xr:uid="{00000000-0005-0000-0000-0000D8CE0000}"/>
    <cellStyle name="Normal 38 17 11 3" xfId="52960" xr:uid="{00000000-0005-0000-0000-0000D9CE0000}"/>
    <cellStyle name="Normal 38 17 12" xfId="52961" xr:uid="{00000000-0005-0000-0000-0000DACE0000}"/>
    <cellStyle name="Normal 38 17 12 2" xfId="52962" xr:uid="{00000000-0005-0000-0000-0000DBCE0000}"/>
    <cellStyle name="Normal 38 17 12 3" xfId="52963" xr:uid="{00000000-0005-0000-0000-0000DCCE0000}"/>
    <cellStyle name="Normal 38 17 13" xfId="52964" xr:uid="{00000000-0005-0000-0000-0000DDCE0000}"/>
    <cellStyle name="Normal 38 17 13 2" xfId="52965" xr:uid="{00000000-0005-0000-0000-0000DECE0000}"/>
    <cellStyle name="Normal 38 17 13 3" xfId="52966" xr:uid="{00000000-0005-0000-0000-0000DFCE0000}"/>
    <cellStyle name="Normal 38 17 14" xfId="52967" xr:uid="{00000000-0005-0000-0000-0000E0CE0000}"/>
    <cellStyle name="Normal 38 17 14 2" xfId="52968" xr:uid="{00000000-0005-0000-0000-0000E1CE0000}"/>
    <cellStyle name="Normal 38 17 14 3" xfId="52969" xr:uid="{00000000-0005-0000-0000-0000E2CE0000}"/>
    <cellStyle name="Normal 38 17 15" xfId="52970" xr:uid="{00000000-0005-0000-0000-0000E3CE0000}"/>
    <cellStyle name="Normal 38 17 16" xfId="52971" xr:uid="{00000000-0005-0000-0000-0000E4CE0000}"/>
    <cellStyle name="Normal 38 17 2" xfId="52972" xr:uid="{00000000-0005-0000-0000-0000E5CE0000}"/>
    <cellStyle name="Normal 38 17 2 2" xfId="52973" xr:uid="{00000000-0005-0000-0000-0000E6CE0000}"/>
    <cellStyle name="Normal 38 17 2 3" xfId="52974" xr:uid="{00000000-0005-0000-0000-0000E7CE0000}"/>
    <cellStyle name="Normal 38 17 3" xfId="52975" xr:uid="{00000000-0005-0000-0000-0000E8CE0000}"/>
    <cellStyle name="Normal 38 17 3 2" xfId="52976" xr:uid="{00000000-0005-0000-0000-0000E9CE0000}"/>
    <cellStyle name="Normal 38 17 3 3" xfId="52977" xr:uid="{00000000-0005-0000-0000-0000EACE0000}"/>
    <cellStyle name="Normal 38 17 4" xfId="52978" xr:uid="{00000000-0005-0000-0000-0000EBCE0000}"/>
    <cellStyle name="Normal 38 17 4 2" xfId="52979" xr:uid="{00000000-0005-0000-0000-0000ECCE0000}"/>
    <cellStyle name="Normal 38 17 4 3" xfId="52980" xr:uid="{00000000-0005-0000-0000-0000EDCE0000}"/>
    <cellStyle name="Normal 38 17 5" xfId="52981" xr:uid="{00000000-0005-0000-0000-0000EECE0000}"/>
    <cellStyle name="Normal 38 17 5 2" xfId="52982" xr:uid="{00000000-0005-0000-0000-0000EFCE0000}"/>
    <cellStyle name="Normal 38 17 5 3" xfId="52983" xr:uid="{00000000-0005-0000-0000-0000F0CE0000}"/>
    <cellStyle name="Normal 38 17 6" xfId="52984" xr:uid="{00000000-0005-0000-0000-0000F1CE0000}"/>
    <cellStyle name="Normal 38 17 6 2" xfId="52985" xr:uid="{00000000-0005-0000-0000-0000F2CE0000}"/>
    <cellStyle name="Normal 38 17 6 3" xfId="52986" xr:uid="{00000000-0005-0000-0000-0000F3CE0000}"/>
    <cellStyle name="Normal 38 17 7" xfId="52987" xr:uid="{00000000-0005-0000-0000-0000F4CE0000}"/>
    <cellStyle name="Normal 38 17 7 2" xfId="52988" xr:uid="{00000000-0005-0000-0000-0000F5CE0000}"/>
    <cellStyle name="Normal 38 17 7 3" xfId="52989" xr:uid="{00000000-0005-0000-0000-0000F6CE0000}"/>
    <cellStyle name="Normal 38 17 8" xfId="52990" xr:uid="{00000000-0005-0000-0000-0000F7CE0000}"/>
    <cellStyle name="Normal 38 17 8 2" xfId="52991" xr:uid="{00000000-0005-0000-0000-0000F8CE0000}"/>
    <cellStyle name="Normal 38 17 8 3" xfId="52992" xr:uid="{00000000-0005-0000-0000-0000F9CE0000}"/>
    <cellStyle name="Normal 38 17 9" xfId="52993" xr:uid="{00000000-0005-0000-0000-0000FACE0000}"/>
    <cellStyle name="Normal 38 17 9 2" xfId="52994" xr:uid="{00000000-0005-0000-0000-0000FBCE0000}"/>
    <cellStyle name="Normal 38 17 9 3" xfId="52995" xr:uid="{00000000-0005-0000-0000-0000FCCE0000}"/>
    <cellStyle name="Normal 38 18" xfId="52996" xr:uid="{00000000-0005-0000-0000-0000FDCE0000}"/>
    <cellStyle name="Normal 38 18 2" xfId="52997" xr:uid="{00000000-0005-0000-0000-0000FECE0000}"/>
    <cellStyle name="Normal 38 18 3" xfId="52998" xr:uid="{00000000-0005-0000-0000-0000FFCE0000}"/>
    <cellStyle name="Normal 38 19" xfId="52999" xr:uid="{00000000-0005-0000-0000-000000CF0000}"/>
    <cellStyle name="Normal 38 19 2" xfId="53000" xr:uid="{00000000-0005-0000-0000-000001CF0000}"/>
    <cellStyle name="Normal 38 19 3" xfId="53001" xr:uid="{00000000-0005-0000-0000-000002CF0000}"/>
    <cellStyle name="Normal 38 2" xfId="53002" xr:uid="{00000000-0005-0000-0000-000003CF0000}"/>
    <cellStyle name="Normal 38 2 10" xfId="53003" xr:uid="{00000000-0005-0000-0000-000004CF0000}"/>
    <cellStyle name="Normal 38 2 11" xfId="53004" xr:uid="{00000000-0005-0000-0000-000005CF0000}"/>
    <cellStyle name="Normal 38 2 12" xfId="53005" xr:uid="{00000000-0005-0000-0000-000006CF0000}"/>
    <cellStyle name="Normal 38 2 13" xfId="53006" xr:uid="{00000000-0005-0000-0000-000007CF0000}"/>
    <cellStyle name="Normal 38 2 14" xfId="53007" xr:uid="{00000000-0005-0000-0000-000008CF0000}"/>
    <cellStyle name="Normal 38 2 15" xfId="53008" xr:uid="{00000000-0005-0000-0000-000009CF0000}"/>
    <cellStyle name="Normal 38 2 16" xfId="53009" xr:uid="{00000000-0005-0000-0000-00000ACF0000}"/>
    <cellStyle name="Normal 38 2 17" xfId="53010" xr:uid="{00000000-0005-0000-0000-00000BCF0000}"/>
    <cellStyle name="Normal 38 2 2" xfId="53011" xr:uid="{00000000-0005-0000-0000-00000CCF0000}"/>
    <cellStyle name="Normal 38 2 2 10" xfId="53012" xr:uid="{00000000-0005-0000-0000-00000DCF0000}"/>
    <cellStyle name="Normal 38 2 2 11" xfId="53013" xr:uid="{00000000-0005-0000-0000-00000ECF0000}"/>
    <cellStyle name="Normal 38 2 2 12" xfId="53014" xr:uid="{00000000-0005-0000-0000-00000FCF0000}"/>
    <cellStyle name="Normal 38 2 2 13" xfId="53015" xr:uid="{00000000-0005-0000-0000-000010CF0000}"/>
    <cellStyle name="Normal 38 2 2 14" xfId="53016" xr:uid="{00000000-0005-0000-0000-000011CF0000}"/>
    <cellStyle name="Normal 38 2 2 2" xfId="53017" xr:uid="{00000000-0005-0000-0000-000012CF0000}"/>
    <cellStyle name="Normal 38 2 2 2 2" xfId="53018" xr:uid="{00000000-0005-0000-0000-000013CF0000}"/>
    <cellStyle name="Normal 38 2 2 2 2 2" xfId="53019" xr:uid="{00000000-0005-0000-0000-000014CF0000}"/>
    <cellStyle name="Normal 38 2 2 2 2 3" xfId="53020" xr:uid="{00000000-0005-0000-0000-000015CF0000}"/>
    <cellStyle name="Normal 38 2 2 2 3" xfId="53021" xr:uid="{00000000-0005-0000-0000-000016CF0000}"/>
    <cellStyle name="Normal 38 2 2 3" xfId="53022" xr:uid="{00000000-0005-0000-0000-000017CF0000}"/>
    <cellStyle name="Normal 38 2 2 4" xfId="53023" xr:uid="{00000000-0005-0000-0000-000018CF0000}"/>
    <cellStyle name="Normal 38 2 2 5" xfId="53024" xr:uid="{00000000-0005-0000-0000-000019CF0000}"/>
    <cellStyle name="Normal 38 2 2 6" xfId="53025" xr:uid="{00000000-0005-0000-0000-00001ACF0000}"/>
    <cellStyle name="Normal 38 2 2 7" xfId="53026" xr:uid="{00000000-0005-0000-0000-00001BCF0000}"/>
    <cellStyle name="Normal 38 2 2 8" xfId="53027" xr:uid="{00000000-0005-0000-0000-00001CCF0000}"/>
    <cellStyle name="Normal 38 2 2 9" xfId="53028" xr:uid="{00000000-0005-0000-0000-00001DCF0000}"/>
    <cellStyle name="Normal 38 2 3" xfId="53029" xr:uid="{00000000-0005-0000-0000-00001ECF0000}"/>
    <cellStyle name="Normal 38 2 4" xfId="53030" xr:uid="{00000000-0005-0000-0000-00001FCF0000}"/>
    <cellStyle name="Normal 38 2 5" xfId="53031" xr:uid="{00000000-0005-0000-0000-000020CF0000}"/>
    <cellStyle name="Normal 38 2 6" xfId="53032" xr:uid="{00000000-0005-0000-0000-000021CF0000}"/>
    <cellStyle name="Normal 38 2 6 2" xfId="53033" xr:uid="{00000000-0005-0000-0000-000022CF0000}"/>
    <cellStyle name="Normal 38 2 6 2 2" xfId="53034" xr:uid="{00000000-0005-0000-0000-000023CF0000}"/>
    <cellStyle name="Normal 38 2 6 2 3" xfId="53035" xr:uid="{00000000-0005-0000-0000-000024CF0000}"/>
    <cellStyle name="Normal 38 2 6 3" xfId="53036" xr:uid="{00000000-0005-0000-0000-000025CF0000}"/>
    <cellStyle name="Normal 38 2 7" xfId="53037" xr:uid="{00000000-0005-0000-0000-000026CF0000}"/>
    <cellStyle name="Normal 38 2 7 2" xfId="53038" xr:uid="{00000000-0005-0000-0000-000027CF0000}"/>
    <cellStyle name="Normal 38 2 7 2 2" xfId="53039" xr:uid="{00000000-0005-0000-0000-000028CF0000}"/>
    <cellStyle name="Normal 38 2 7 2 3" xfId="53040" xr:uid="{00000000-0005-0000-0000-000029CF0000}"/>
    <cellStyle name="Normal 38 2 7 3" xfId="53041" xr:uid="{00000000-0005-0000-0000-00002ACF0000}"/>
    <cellStyle name="Normal 38 2 8" xfId="53042" xr:uid="{00000000-0005-0000-0000-00002BCF0000}"/>
    <cellStyle name="Normal 38 2 9" xfId="53043" xr:uid="{00000000-0005-0000-0000-00002CCF0000}"/>
    <cellStyle name="Normal 38 20" xfId="53044" xr:uid="{00000000-0005-0000-0000-00002DCF0000}"/>
    <cellStyle name="Normal 38 20 2" xfId="53045" xr:uid="{00000000-0005-0000-0000-00002ECF0000}"/>
    <cellStyle name="Normal 38 20 3" xfId="53046" xr:uid="{00000000-0005-0000-0000-00002FCF0000}"/>
    <cellStyle name="Normal 38 21" xfId="53047" xr:uid="{00000000-0005-0000-0000-000030CF0000}"/>
    <cellStyle name="Normal 38 21 2" xfId="53048" xr:uid="{00000000-0005-0000-0000-000031CF0000}"/>
    <cellStyle name="Normal 38 21 3" xfId="53049" xr:uid="{00000000-0005-0000-0000-000032CF0000}"/>
    <cellStyle name="Normal 38 22" xfId="53050" xr:uid="{00000000-0005-0000-0000-000033CF0000}"/>
    <cellStyle name="Normal 38 22 2" xfId="53051" xr:uid="{00000000-0005-0000-0000-000034CF0000}"/>
    <cellStyle name="Normal 38 22 3" xfId="53052" xr:uid="{00000000-0005-0000-0000-000035CF0000}"/>
    <cellStyle name="Normal 38 23" xfId="53053" xr:uid="{00000000-0005-0000-0000-000036CF0000}"/>
    <cellStyle name="Normal 38 23 2" xfId="53054" xr:uid="{00000000-0005-0000-0000-000037CF0000}"/>
    <cellStyle name="Normal 38 23 3" xfId="53055" xr:uid="{00000000-0005-0000-0000-000038CF0000}"/>
    <cellStyle name="Normal 38 24" xfId="53056" xr:uid="{00000000-0005-0000-0000-000039CF0000}"/>
    <cellStyle name="Normal 38 24 2" xfId="53057" xr:uid="{00000000-0005-0000-0000-00003ACF0000}"/>
    <cellStyle name="Normal 38 24 3" xfId="53058" xr:uid="{00000000-0005-0000-0000-00003BCF0000}"/>
    <cellStyle name="Normal 38 25" xfId="53059" xr:uid="{00000000-0005-0000-0000-00003CCF0000}"/>
    <cellStyle name="Normal 38 25 2" xfId="53060" xr:uid="{00000000-0005-0000-0000-00003DCF0000}"/>
    <cellStyle name="Normal 38 25 3" xfId="53061" xr:uid="{00000000-0005-0000-0000-00003ECF0000}"/>
    <cellStyle name="Normal 38 26" xfId="53062" xr:uid="{00000000-0005-0000-0000-00003FCF0000}"/>
    <cellStyle name="Normal 38 26 2" xfId="53063" xr:uid="{00000000-0005-0000-0000-000040CF0000}"/>
    <cellStyle name="Normal 38 26 3" xfId="53064" xr:uid="{00000000-0005-0000-0000-000041CF0000}"/>
    <cellStyle name="Normal 38 27" xfId="53065" xr:uid="{00000000-0005-0000-0000-000042CF0000}"/>
    <cellStyle name="Normal 38 27 2" xfId="53066" xr:uid="{00000000-0005-0000-0000-000043CF0000}"/>
    <cellStyle name="Normal 38 27 3" xfId="53067" xr:uid="{00000000-0005-0000-0000-000044CF0000}"/>
    <cellStyle name="Normal 38 28" xfId="53068" xr:uid="{00000000-0005-0000-0000-000045CF0000}"/>
    <cellStyle name="Normal 38 28 2" xfId="53069" xr:uid="{00000000-0005-0000-0000-000046CF0000}"/>
    <cellStyle name="Normal 38 28 3" xfId="53070" xr:uid="{00000000-0005-0000-0000-000047CF0000}"/>
    <cellStyle name="Normal 38 29" xfId="53071" xr:uid="{00000000-0005-0000-0000-000048CF0000}"/>
    <cellStyle name="Normal 38 29 2" xfId="53072" xr:uid="{00000000-0005-0000-0000-000049CF0000}"/>
    <cellStyle name="Normal 38 29 3" xfId="53073" xr:uid="{00000000-0005-0000-0000-00004ACF0000}"/>
    <cellStyle name="Normal 38 3" xfId="53074" xr:uid="{00000000-0005-0000-0000-00004BCF0000}"/>
    <cellStyle name="Normal 38 30" xfId="53075" xr:uid="{00000000-0005-0000-0000-00004CCF0000}"/>
    <cellStyle name="Normal 38 30 2" xfId="53076" xr:uid="{00000000-0005-0000-0000-00004DCF0000}"/>
    <cellStyle name="Normal 38 30 3" xfId="53077" xr:uid="{00000000-0005-0000-0000-00004ECF0000}"/>
    <cellStyle name="Normal 38 31" xfId="53078" xr:uid="{00000000-0005-0000-0000-00004FCF0000}"/>
    <cellStyle name="Normal 38 32" xfId="53079" xr:uid="{00000000-0005-0000-0000-000050CF0000}"/>
    <cellStyle name="Normal 38 33" xfId="53080" xr:uid="{00000000-0005-0000-0000-000051CF0000}"/>
    <cellStyle name="Normal 38 34" xfId="53081" xr:uid="{00000000-0005-0000-0000-000052CF0000}"/>
    <cellStyle name="Normal 38 35" xfId="53082" xr:uid="{00000000-0005-0000-0000-000053CF0000}"/>
    <cellStyle name="Normal 38 36" xfId="53083" xr:uid="{00000000-0005-0000-0000-000054CF0000}"/>
    <cellStyle name="Normal 38 37" xfId="53084" xr:uid="{00000000-0005-0000-0000-000055CF0000}"/>
    <cellStyle name="Normal 38 38" xfId="53085" xr:uid="{00000000-0005-0000-0000-000056CF0000}"/>
    <cellStyle name="Normal 38 39" xfId="53086" xr:uid="{00000000-0005-0000-0000-000057CF0000}"/>
    <cellStyle name="Normal 38 4" xfId="53087" xr:uid="{00000000-0005-0000-0000-000058CF0000}"/>
    <cellStyle name="Normal 38 4 10" xfId="53088" xr:uid="{00000000-0005-0000-0000-000059CF0000}"/>
    <cellStyle name="Normal 38 4 10 2" xfId="53089" xr:uid="{00000000-0005-0000-0000-00005ACF0000}"/>
    <cellStyle name="Normal 38 4 10 3" xfId="53090" xr:uid="{00000000-0005-0000-0000-00005BCF0000}"/>
    <cellStyle name="Normal 38 4 11" xfId="53091" xr:uid="{00000000-0005-0000-0000-00005CCF0000}"/>
    <cellStyle name="Normal 38 4 11 2" xfId="53092" xr:uid="{00000000-0005-0000-0000-00005DCF0000}"/>
    <cellStyle name="Normal 38 4 11 3" xfId="53093" xr:uid="{00000000-0005-0000-0000-00005ECF0000}"/>
    <cellStyle name="Normal 38 4 12" xfId="53094" xr:uid="{00000000-0005-0000-0000-00005FCF0000}"/>
    <cellStyle name="Normal 38 4 12 2" xfId="53095" xr:uid="{00000000-0005-0000-0000-000060CF0000}"/>
    <cellStyle name="Normal 38 4 12 3" xfId="53096" xr:uid="{00000000-0005-0000-0000-000061CF0000}"/>
    <cellStyle name="Normal 38 4 13" xfId="53097" xr:uid="{00000000-0005-0000-0000-000062CF0000}"/>
    <cellStyle name="Normal 38 4 13 2" xfId="53098" xr:uid="{00000000-0005-0000-0000-000063CF0000}"/>
    <cellStyle name="Normal 38 4 13 3" xfId="53099" xr:uid="{00000000-0005-0000-0000-000064CF0000}"/>
    <cellStyle name="Normal 38 4 14" xfId="53100" xr:uid="{00000000-0005-0000-0000-000065CF0000}"/>
    <cellStyle name="Normal 38 4 14 2" xfId="53101" xr:uid="{00000000-0005-0000-0000-000066CF0000}"/>
    <cellStyle name="Normal 38 4 14 3" xfId="53102" xr:uid="{00000000-0005-0000-0000-000067CF0000}"/>
    <cellStyle name="Normal 38 4 15" xfId="53103" xr:uid="{00000000-0005-0000-0000-000068CF0000}"/>
    <cellStyle name="Normal 38 4 15 2" xfId="53104" xr:uid="{00000000-0005-0000-0000-000069CF0000}"/>
    <cellStyle name="Normal 38 4 15 3" xfId="53105" xr:uid="{00000000-0005-0000-0000-00006ACF0000}"/>
    <cellStyle name="Normal 38 4 16" xfId="53106" xr:uid="{00000000-0005-0000-0000-00006BCF0000}"/>
    <cellStyle name="Normal 38 4 17" xfId="53107" xr:uid="{00000000-0005-0000-0000-00006CCF0000}"/>
    <cellStyle name="Normal 38 4 18" xfId="53108" xr:uid="{00000000-0005-0000-0000-00006DCF0000}"/>
    <cellStyle name="Normal 38 4 19" xfId="53109" xr:uid="{00000000-0005-0000-0000-00006ECF0000}"/>
    <cellStyle name="Normal 38 4 2" xfId="53110" xr:uid="{00000000-0005-0000-0000-00006FCF0000}"/>
    <cellStyle name="Normal 38 4 2 10" xfId="53111" xr:uid="{00000000-0005-0000-0000-000070CF0000}"/>
    <cellStyle name="Normal 38 4 2 10 2" xfId="53112" xr:uid="{00000000-0005-0000-0000-000071CF0000}"/>
    <cellStyle name="Normal 38 4 2 10 3" xfId="53113" xr:uid="{00000000-0005-0000-0000-000072CF0000}"/>
    <cellStyle name="Normal 38 4 2 11" xfId="53114" xr:uid="{00000000-0005-0000-0000-000073CF0000}"/>
    <cellStyle name="Normal 38 4 2 11 2" xfId="53115" xr:uid="{00000000-0005-0000-0000-000074CF0000}"/>
    <cellStyle name="Normal 38 4 2 11 3" xfId="53116" xr:uid="{00000000-0005-0000-0000-000075CF0000}"/>
    <cellStyle name="Normal 38 4 2 12" xfId="53117" xr:uid="{00000000-0005-0000-0000-000076CF0000}"/>
    <cellStyle name="Normal 38 4 2 12 2" xfId="53118" xr:uid="{00000000-0005-0000-0000-000077CF0000}"/>
    <cellStyle name="Normal 38 4 2 12 3" xfId="53119" xr:uid="{00000000-0005-0000-0000-000078CF0000}"/>
    <cellStyle name="Normal 38 4 2 13" xfId="53120" xr:uid="{00000000-0005-0000-0000-000079CF0000}"/>
    <cellStyle name="Normal 38 4 2 13 2" xfId="53121" xr:uid="{00000000-0005-0000-0000-00007ACF0000}"/>
    <cellStyle name="Normal 38 4 2 13 3" xfId="53122" xr:uid="{00000000-0005-0000-0000-00007BCF0000}"/>
    <cellStyle name="Normal 38 4 2 14" xfId="53123" xr:uid="{00000000-0005-0000-0000-00007CCF0000}"/>
    <cellStyle name="Normal 38 4 2 14 2" xfId="53124" xr:uid="{00000000-0005-0000-0000-00007DCF0000}"/>
    <cellStyle name="Normal 38 4 2 14 3" xfId="53125" xr:uid="{00000000-0005-0000-0000-00007ECF0000}"/>
    <cellStyle name="Normal 38 4 2 15" xfId="53126" xr:uid="{00000000-0005-0000-0000-00007FCF0000}"/>
    <cellStyle name="Normal 38 4 2 16" xfId="53127" xr:uid="{00000000-0005-0000-0000-000080CF0000}"/>
    <cellStyle name="Normal 38 4 2 2" xfId="53128" xr:uid="{00000000-0005-0000-0000-000081CF0000}"/>
    <cellStyle name="Normal 38 4 2 2 2" xfId="53129" xr:uid="{00000000-0005-0000-0000-000082CF0000}"/>
    <cellStyle name="Normal 38 4 2 2 3" xfId="53130" xr:uid="{00000000-0005-0000-0000-000083CF0000}"/>
    <cellStyle name="Normal 38 4 2 3" xfId="53131" xr:uid="{00000000-0005-0000-0000-000084CF0000}"/>
    <cellStyle name="Normal 38 4 2 3 2" xfId="53132" xr:uid="{00000000-0005-0000-0000-000085CF0000}"/>
    <cellStyle name="Normal 38 4 2 3 3" xfId="53133" xr:uid="{00000000-0005-0000-0000-000086CF0000}"/>
    <cellStyle name="Normal 38 4 2 4" xfId="53134" xr:uid="{00000000-0005-0000-0000-000087CF0000}"/>
    <cellStyle name="Normal 38 4 2 4 2" xfId="53135" xr:uid="{00000000-0005-0000-0000-000088CF0000}"/>
    <cellStyle name="Normal 38 4 2 4 3" xfId="53136" xr:uid="{00000000-0005-0000-0000-000089CF0000}"/>
    <cellStyle name="Normal 38 4 2 5" xfId="53137" xr:uid="{00000000-0005-0000-0000-00008ACF0000}"/>
    <cellStyle name="Normal 38 4 2 5 2" xfId="53138" xr:uid="{00000000-0005-0000-0000-00008BCF0000}"/>
    <cellStyle name="Normal 38 4 2 5 3" xfId="53139" xr:uid="{00000000-0005-0000-0000-00008CCF0000}"/>
    <cellStyle name="Normal 38 4 2 6" xfId="53140" xr:uid="{00000000-0005-0000-0000-00008DCF0000}"/>
    <cellStyle name="Normal 38 4 2 6 2" xfId="53141" xr:uid="{00000000-0005-0000-0000-00008ECF0000}"/>
    <cellStyle name="Normal 38 4 2 6 3" xfId="53142" xr:uid="{00000000-0005-0000-0000-00008FCF0000}"/>
    <cellStyle name="Normal 38 4 2 7" xfId="53143" xr:uid="{00000000-0005-0000-0000-000090CF0000}"/>
    <cellStyle name="Normal 38 4 2 7 2" xfId="53144" xr:uid="{00000000-0005-0000-0000-000091CF0000}"/>
    <cellStyle name="Normal 38 4 2 7 3" xfId="53145" xr:uid="{00000000-0005-0000-0000-000092CF0000}"/>
    <cellStyle name="Normal 38 4 2 8" xfId="53146" xr:uid="{00000000-0005-0000-0000-000093CF0000}"/>
    <cellStyle name="Normal 38 4 2 8 2" xfId="53147" xr:uid="{00000000-0005-0000-0000-000094CF0000}"/>
    <cellStyle name="Normal 38 4 2 8 3" xfId="53148" xr:uid="{00000000-0005-0000-0000-000095CF0000}"/>
    <cellStyle name="Normal 38 4 2 9" xfId="53149" xr:uid="{00000000-0005-0000-0000-000096CF0000}"/>
    <cellStyle name="Normal 38 4 2 9 2" xfId="53150" xr:uid="{00000000-0005-0000-0000-000097CF0000}"/>
    <cellStyle name="Normal 38 4 2 9 3" xfId="53151" xr:uid="{00000000-0005-0000-0000-000098CF0000}"/>
    <cellStyle name="Normal 38 4 20" xfId="53152" xr:uid="{00000000-0005-0000-0000-000099CF0000}"/>
    <cellStyle name="Normal 38 4 21" xfId="53153" xr:uid="{00000000-0005-0000-0000-00009ACF0000}"/>
    <cellStyle name="Normal 38 4 22" xfId="53154" xr:uid="{00000000-0005-0000-0000-00009BCF0000}"/>
    <cellStyle name="Normal 38 4 23" xfId="53155" xr:uid="{00000000-0005-0000-0000-00009CCF0000}"/>
    <cellStyle name="Normal 38 4 24" xfId="53156" xr:uid="{00000000-0005-0000-0000-00009DCF0000}"/>
    <cellStyle name="Normal 38 4 25" xfId="53157" xr:uid="{00000000-0005-0000-0000-00009ECF0000}"/>
    <cellStyle name="Normal 38 4 26" xfId="53158" xr:uid="{00000000-0005-0000-0000-00009FCF0000}"/>
    <cellStyle name="Normal 38 4 27" xfId="53159" xr:uid="{00000000-0005-0000-0000-0000A0CF0000}"/>
    <cellStyle name="Normal 38 4 28" xfId="53160" xr:uid="{00000000-0005-0000-0000-0000A1CF0000}"/>
    <cellStyle name="Normal 38 4 3" xfId="53161" xr:uid="{00000000-0005-0000-0000-0000A2CF0000}"/>
    <cellStyle name="Normal 38 4 3 2" xfId="53162" xr:uid="{00000000-0005-0000-0000-0000A3CF0000}"/>
    <cellStyle name="Normal 38 4 3 3" xfId="53163" xr:uid="{00000000-0005-0000-0000-0000A4CF0000}"/>
    <cellStyle name="Normal 38 4 4" xfId="53164" xr:uid="{00000000-0005-0000-0000-0000A5CF0000}"/>
    <cellStyle name="Normal 38 4 4 2" xfId="53165" xr:uid="{00000000-0005-0000-0000-0000A6CF0000}"/>
    <cellStyle name="Normal 38 4 4 3" xfId="53166" xr:uid="{00000000-0005-0000-0000-0000A7CF0000}"/>
    <cellStyle name="Normal 38 4 5" xfId="53167" xr:uid="{00000000-0005-0000-0000-0000A8CF0000}"/>
    <cellStyle name="Normal 38 4 5 2" xfId="53168" xr:uid="{00000000-0005-0000-0000-0000A9CF0000}"/>
    <cellStyle name="Normal 38 4 5 3" xfId="53169" xr:uid="{00000000-0005-0000-0000-0000AACF0000}"/>
    <cellStyle name="Normal 38 4 6" xfId="53170" xr:uid="{00000000-0005-0000-0000-0000ABCF0000}"/>
    <cellStyle name="Normal 38 4 6 2" xfId="53171" xr:uid="{00000000-0005-0000-0000-0000ACCF0000}"/>
    <cellStyle name="Normal 38 4 6 3" xfId="53172" xr:uid="{00000000-0005-0000-0000-0000ADCF0000}"/>
    <cellStyle name="Normal 38 4 7" xfId="53173" xr:uid="{00000000-0005-0000-0000-0000AECF0000}"/>
    <cellStyle name="Normal 38 4 7 2" xfId="53174" xr:uid="{00000000-0005-0000-0000-0000AFCF0000}"/>
    <cellStyle name="Normal 38 4 7 3" xfId="53175" xr:uid="{00000000-0005-0000-0000-0000B0CF0000}"/>
    <cellStyle name="Normal 38 4 8" xfId="53176" xr:uid="{00000000-0005-0000-0000-0000B1CF0000}"/>
    <cellStyle name="Normal 38 4 8 2" xfId="53177" xr:uid="{00000000-0005-0000-0000-0000B2CF0000}"/>
    <cellStyle name="Normal 38 4 8 3" xfId="53178" xr:uid="{00000000-0005-0000-0000-0000B3CF0000}"/>
    <cellStyle name="Normal 38 4 9" xfId="53179" xr:uid="{00000000-0005-0000-0000-0000B4CF0000}"/>
    <cellStyle name="Normal 38 4 9 2" xfId="53180" xr:uid="{00000000-0005-0000-0000-0000B5CF0000}"/>
    <cellStyle name="Normal 38 4 9 3" xfId="53181" xr:uid="{00000000-0005-0000-0000-0000B6CF0000}"/>
    <cellStyle name="Normal 38 40" xfId="53182" xr:uid="{00000000-0005-0000-0000-0000B7CF0000}"/>
    <cellStyle name="Normal 38 41" xfId="53183" xr:uid="{00000000-0005-0000-0000-0000B8CF0000}"/>
    <cellStyle name="Normal 38 42" xfId="53184" xr:uid="{00000000-0005-0000-0000-0000B9CF0000}"/>
    <cellStyle name="Normal 38 43" xfId="53185" xr:uid="{00000000-0005-0000-0000-0000BACF0000}"/>
    <cellStyle name="Normal 38 5" xfId="53186" xr:uid="{00000000-0005-0000-0000-0000BBCF0000}"/>
    <cellStyle name="Normal 38 5 10" xfId="53187" xr:uid="{00000000-0005-0000-0000-0000BCCF0000}"/>
    <cellStyle name="Normal 38 5 10 2" xfId="53188" xr:uid="{00000000-0005-0000-0000-0000BDCF0000}"/>
    <cellStyle name="Normal 38 5 10 3" xfId="53189" xr:uid="{00000000-0005-0000-0000-0000BECF0000}"/>
    <cellStyle name="Normal 38 5 11" xfId="53190" xr:uid="{00000000-0005-0000-0000-0000BFCF0000}"/>
    <cellStyle name="Normal 38 5 11 2" xfId="53191" xr:uid="{00000000-0005-0000-0000-0000C0CF0000}"/>
    <cellStyle name="Normal 38 5 11 3" xfId="53192" xr:uid="{00000000-0005-0000-0000-0000C1CF0000}"/>
    <cellStyle name="Normal 38 5 12" xfId="53193" xr:uid="{00000000-0005-0000-0000-0000C2CF0000}"/>
    <cellStyle name="Normal 38 5 12 2" xfId="53194" xr:uid="{00000000-0005-0000-0000-0000C3CF0000}"/>
    <cellStyle name="Normal 38 5 12 3" xfId="53195" xr:uid="{00000000-0005-0000-0000-0000C4CF0000}"/>
    <cellStyle name="Normal 38 5 13" xfId="53196" xr:uid="{00000000-0005-0000-0000-0000C5CF0000}"/>
    <cellStyle name="Normal 38 5 13 2" xfId="53197" xr:uid="{00000000-0005-0000-0000-0000C6CF0000}"/>
    <cellStyle name="Normal 38 5 13 3" xfId="53198" xr:uid="{00000000-0005-0000-0000-0000C7CF0000}"/>
    <cellStyle name="Normal 38 5 14" xfId="53199" xr:uid="{00000000-0005-0000-0000-0000C8CF0000}"/>
    <cellStyle name="Normal 38 5 14 2" xfId="53200" xr:uid="{00000000-0005-0000-0000-0000C9CF0000}"/>
    <cellStyle name="Normal 38 5 14 3" xfId="53201" xr:uid="{00000000-0005-0000-0000-0000CACF0000}"/>
    <cellStyle name="Normal 38 5 15" xfId="53202" xr:uid="{00000000-0005-0000-0000-0000CBCF0000}"/>
    <cellStyle name="Normal 38 5 15 2" xfId="53203" xr:uid="{00000000-0005-0000-0000-0000CCCF0000}"/>
    <cellStyle name="Normal 38 5 15 3" xfId="53204" xr:uid="{00000000-0005-0000-0000-0000CDCF0000}"/>
    <cellStyle name="Normal 38 5 16" xfId="53205" xr:uid="{00000000-0005-0000-0000-0000CECF0000}"/>
    <cellStyle name="Normal 38 5 17" xfId="53206" xr:uid="{00000000-0005-0000-0000-0000CFCF0000}"/>
    <cellStyle name="Normal 38 5 18" xfId="53207" xr:uid="{00000000-0005-0000-0000-0000D0CF0000}"/>
    <cellStyle name="Normal 38 5 19" xfId="53208" xr:uid="{00000000-0005-0000-0000-0000D1CF0000}"/>
    <cellStyle name="Normal 38 5 2" xfId="53209" xr:uid="{00000000-0005-0000-0000-0000D2CF0000}"/>
    <cellStyle name="Normal 38 5 2 10" xfId="53210" xr:uid="{00000000-0005-0000-0000-0000D3CF0000}"/>
    <cellStyle name="Normal 38 5 2 10 2" xfId="53211" xr:uid="{00000000-0005-0000-0000-0000D4CF0000}"/>
    <cellStyle name="Normal 38 5 2 10 3" xfId="53212" xr:uid="{00000000-0005-0000-0000-0000D5CF0000}"/>
    <cellStyle name="Normal 38 5 2 11" xfId="53213" xr:uid="{00000000-0005-0000-0000-0000D6CF0000}"/>
    <cellStyle name="Normal 38 5 2 11 2" xfId="53214" xr:uid="{00000000-0005-0000-0000-0000D7CF0000}"/>
    <cellStyle name="Normal 38 5 2 11 3" xfId="53215" xr:uid="{00000000-0005-0000-0000-0000D8CF0000}"/>
    <cellStyle name="Normal 38 5 2 12" xfId="53216" xr:uid="{00000000-0005-0000-0000-0000D9CF0000}"/>
    <cellStyle name="Normal 38 5 2 12 2" xfId="53217" xr:uid="{00000000-0005-0000-0000-0000DACF0000}"/>
    <cellStyle name="Normal 38 5 2 12 3" xfId="53218" xr:uid="{00000000-0005-0000-0000-0000DBCF0000}"/>
    <cellStyle name="Normal 38 5 2 13" xfId="53219" xr:uid="{00000000-0005-0000-0000-0000DCCF0000}"/>
    <cellStyle name="Normal 38 5 2 13 2" xfId="53220" xr:uid="{00000000-0005-0000-0000-0000DDCF0000}"/>
    <cellStyle name="Normal 38 5 2 13 3" xfId="53221" xr:uid="{00000000-0005-0000-0000-0000DECF0000}"/>
    <cellStyle name="Normal 38 5 2 14" xfId="53222" xr:uid="{00000000-0005-0000-0000-0000DFCF0000}"/>
    <cellStyle name="Normal 38 5 2 14 2" xfId="53223" xr:uid="{00000000-0005-0000-0000-0000E0CF0000}"/>
    <cellStyle name="Normal 38 5 2 14 3" xfId="53224" xr:uid="{00000000-0005-0000-0000-0000E1CF0000}"/>
    <cellStyle name="Normal 38 5 2 15" xfId="53225" xr:uid="{00000000-0005-0000-0000-0000E2CF0000}"/>
    <cellStyle name="Normal 38 5 2 16" xfId="53226" xr:uid="{00000000-0005-0000-0000-0000E3CF0000}"/>
    <cellStyle name="Normal 38 5 2 2" xfId="53227" xr:uid="{00000000-0005-0000-0000-0000E4CF0000}"/>
    <cellStyle name="Normal 38 5 2 2 2" xfId="53228" xr:uid="{00000000-0005-0000-0000-0000E5CF0000}"/>
    <cellStyle name="Normal 38 5 2 2 3" xfId="53229" xr:uid="{00000000-0005-0000-0000-0000E6CF0000}"/>
    <cellStyle name="Normal 38 5 2 3" xfId="53230" xr:uid="{00000000-0005-0000-0000-0000E7CF0000}"/>
    <cellStyle name="Normal 38 5 2 3 2" xfId="53231" xr:uid="{00000000-0005-0000-0000-0000E8CF0000}"/>
    <cellStyle name="Normal 38 5 2 3 3" xfId="53232" xr:uid="{00000000-0005-0000-0000-0000E9CF0000}"/>
    <cellStyle name="Normal 38 5 2 4" xfId="53233" xr:uid="{00000000-0005-0000-0000-0000EACF0000}"/>
    <cellStyle name="Normal 38 5 2 4 2" xfId="53234" xr:uid="{00000000-0005-0000-0000-0000EBCF0000}"/>
    <cellStyle name="Normal 38 5 2 4 3" xfId="53235" xr:uid="{00000000-0005-0000-0000-0000ECCF0000}"/>
    <cellStyle name="Normal 38 5 2 5" xfId="53236" xr:uid="{00000000-0005-0000-0000-0000EDCF0000}"/>
    <cellStyle name="Normal 38 5 2 5 2" xfId="53237" xr:uid="{00000000-0005-0000-0000-0000EECF0000}"/>
    <cellStyle name="Normal 38 5 2 5 3" xfId="53238" xr:uid="{00000000-0005-0000-0000-0000EFCF0000}"/>
    <cellStyle name="Normal 38 5 2 6" xfId="53239" xr:uid="{00000000-0005-0000-0000-0000F0CF0000}"/>
    <cellStyle name="Normal 38 5 2 6 2" xfId="53240" xr:uid="{00000000-0005-0000-0000-0000F1CF0000}"/>
    <cellStyle name="Normal 38 5 2 6 3" xfId="53241" xr:uid="{00000000-0005-0000-0000-0000F2CF0000}"/>
    <cellStyle name="Normal 38 5 2 7" xfId="53242" xr:uid="{00000000-0005-0000-0000-0000F3CF0000}"/>
    <cellStyle name="Normal 38 5 2 7 2" xfId="53243" xr:uid="{00000000-0005-0000-0000-0000F4CF0000}"/>
    <cellStyle name="Normal 38 5 2 7 3" xfId="53244" xr:uid="{00000000-0005-0000-0000-0000F5CF0000}"/>
    <cellStyle name="Normal 38 5 2 8" xfId="53245" xr:uid="{00000000-0005-0000-0000-0000F6CF0000}"/>
    <cellStyle name="Normal 38 5 2 8 2" xfId="53246" xr:uid="{00000000-0005-0000-0000-0000F7CF0000}"/>
    <cellStyle name="Normal 38 5 2 8 3" xfId="53247" xr:uid="{00000000-0005-0000-0000-0000F8CF0000}"/>
    <cellStyle name="Normal 38 5 2 9" xfId="53248" xr:uid="{00000000-0005-0000-0000-0000F9CF0000}"/>
    <cellStyle name="Normal 38 5 2 9 2" xfId="53249" xr:uid="{00000000-0005-0000-0000-0000FACF0000}"/>
    <cellStyle name="Normal 38 5 2 9 3" xfId="53250" xr:uid="{00000000-0005-0000-0000-0000FBCF0000}"/>
    <cellStyle name="Normal 38 5 20" xfId="53251" xr:uid="{00000000-0005-0000-0000-0000FCCF0000}"/>
    <cellStyle name="Normal 38 5 21" xfId="53252" xr:uid="{00000000-0005-0000-0000-0000FDCF0000}"/>
    <cellStyle name="Normal 38 5 22" xfId="53253" xr:uid="{00000000-0005-0000-0000-0000FECF0000}"/>
    <cellStyle name="Normal 38 5 23" xfId="53254" xr:uid="{00000000-0005-0000-0000-0000FFCF0000}"/>
    <cellStyle name="Normal 38 5 24" xfId="53255" xr:uid="{00000000-0005-0000-0000-000000D00000}"/>
    <cellStyle name="Normal 38 5 25" xfId="53256" xr:uid="{00000000-0005-0000-0000-000001D00000}"/>
    <cellStyle name="Normal 38 5 26" xfId="53257" xr:uid="{00000000-0005-0000-0000-000002D00000}"/>
    <cellStyle name="Normal 38 5 27" xfId="53258" xr:uid="{00000000-0005-0000-0000-000003D00000}"/>
    <cellStyle name="Normal 38 5 28" xfId="53259" xr:uid="{00000000-0005-0000-0000-000004D00000}"/>
    <cellStyle name="Normal 38 5 3" xfId="53260" xr:uid="{00000000-0005-0000-0000-000005D00000}"/>
    <cellStyle name="Normal 38 5 3 2" xfId="53261" xr:uid="{00000000-0005-0000-0000-000006D00000}"/>
    <cellStyle name="Normal 38 5 3 3" xfId="53262" xr:uid="{00000000-0005-0000-0000-000007D00000}"/>
    <cellStyle name="Normal 38 5 4" xfId="53263" xr:uid="{00000000-0005-0000-0000-000008D00000}"/>
    <cellStyle name="Normal 38 5 4 2" xfId="53264" xr:uid="{00000000-0005-0000-0000-000009D00000}"/>
    <cellStyle name="Normal 38 5 4 3" xfId="53265" xr:uid="{00000000-0005-0000-0000-00000AD00000}"/>
    <cellStyle name="Normal 38 5 5" xfId="53266" xr:uid="{00000000-0005-0000-0000-00000BD00000}"/>
    <cellStyle name="Normal 38 5 5 2" xfId="53267" xr:uid="{00000000-0005-0000-0000-00000CD00000}"/>
    <cellStyle name="Normal 38 5 5 3" xfId="53268" xr:uid="{00000000-0005-0000-0000-00000DD00000}"/>
    <cellStyle name="Normal 38 5 6" xfId="53269" xr:uid="{00000000-0005-0000-0000-00000ED00000}"/>
    <cellStyle name="Normal 38 5 6 2" xfId="53270" xr:uid="{00000000-0005-0000-0000-00000FD00000}"/>
    <cellStyle name="Normal 38 5 6 3" xfId="53271" xr:uid="{00000000-0005-0000-0000-000010D00000}"/>
    <cellStyle name="Normal 38 5 7" xfId="53272" xr:uid="{00000000-0005-0000-0000-000011D00000}"/>
    <cellStyle name="Normal 38 5 7 2" xfId="53273" xr:uid="{00000000-0005-0000-0000-000012D00000}"/>
    <cellStyle name="Normal 38 5 7 3" xfId="53274" xr:uid="{00000000-0005-0000-0000-000013D00000}"/>
    <cellStyle name="Normal 38 5 8" xfId="53275" xr:uid="{00000000-0005-0000-0000-000014D00000}"/>
    <cellStyle name="Normal 38 5 8 2" xfId="53276" xr:uid="{00000000-0005-0000-0000-000015D00000}"/>
    <cellStyle name="Normal 38 5 8 3" xfId="53277" xr:uid="{00000000-0005-0000-0000-000016D00000}"/>
    <cellStyle name="Normal 38 5 9" xfId="53278" xr:uid="{00000000-0005-0000-0000-000017D00000}"/>
    <cellStyle name="Normal 38 5 9 2" xfId="53279" xr:uid="{00000000-0005-0000-0000-000018D00000}"/>
    <cellStyle name="Normal 38 5 9 3" xfId="53280" xr:uid="{00000000-0005-0000-0000-000019D00000}"/>
    <cellStyle name="Normal 38 6" xfId="53281" xr:uid="{00000000-0005-0000-0000-00001AD00000}"/>
    <cellStyle name="Normal 38 6 10" xfId="53282" xr:uid="{00000000-0005-0000-0000-00001BD00000}"/>
    <cellStyle name="Normal 38 6 10 2" xfId="53283" xr:uid="{00000000-0005-0000-0000-00001CD00000}"/>
    <cellStyle name="Normal 38 6 10 3" xfId="53284" xr:uid="{00000000-0005-0000-0000-00001DD00000}"/>
    <cellStyle name="Normal 38 6 11" xfId="53285" xr:uid="{00000000-0005-0000-0000-00001ED00000}"/>
    <cellStyle name="Normal 38 6 11 2" xfId="53286" xr:uid="{00000000-0005-0000-0000-00001FD00000}"/>
    <cellStyle name="Normal 38 6 11 3" xfId="53287" xr:uid="{00000000-0005-0000-0000-000020D00000}"/>
    <cellStyle name="Normal 38 6 12" xfId="53288" xr:uid="{00000000-0005-0000-0000-000021D00000}"/>
    <cellStyle name="Normal 38 6 12 2" xfId="53289" xr:uid="{00000000-0005-0000-0000-000022D00000}"/>
    <cellStyle name="Normal 38 6 12 3" xfId="53290" xr:uid="{00000000-0005-0000-0000-000023D00000}"/>
    <cellStyle name="Normal 38 6 13" xfId="53291" xr:uid="{00000000-0005-0000-0000-000024D00000}"/>
    <cellStyle name="Normal 38 6 13 2" xfId="53292" xr:uid="{00000000-0005-0000-0000-000025D00000}"/>
    <cellStyle name="Normal 38 6 13 3" xfId="53293" xr:uid="{00000000-0005-0000-0000-000026D00000}"/>
    <cellStyle name="Normal 38 6 14" xfId="53294" xr:uid="{00000000-0005-0000-0000-000027D00000}"/>
    <cellStyle name="Normal 38 6 14 2" xfId="53295" xr:uid="{00000000-0005-0000-0000-000028D00000}"/>
    <cellStyle name="Normal 38 6 14 3" xfId="53296" xr:uid="{00000000-0005-0000-0000-000029D00000}"/>
    <cellStyle name="Normal 38 6 15" xfId="53297" xr:uid="{00000000-0005-0000-0000-00002AD00000}"/>
    <cellStyle name="Normal 38 6 15 2" xfId="53298" xr:uid="{00000000-0005-0000-0000-00002BD00000}"/>
    <cellStyle name="Normal 38 6 15 3" xfId="53299" xr:uid="{00000000-0005-0000-0000-00002CD00000}"/>
    <cellStyle name="Normal 38 6 16" xfId="53300" xr:uid="{00000000-0005-0000-0000-00002DD00000}"/>
    <cellStyle name="Normal 38 6 17" xfId="53301" xr:uid="{00000000-0005-0000-0000-00002ED00000}"/>
    <cellStyle name="Normal 38 6 18" xfId="53302" xr:uid="{00000000-0005-0000-0000-00002FD00000}"/>
    <cellStyle name="Normal 38 6 19" xfId="53303" xr:uid="{00000000-0005-0000-0000-000030D00000}"/>
    <cellStyle name="Normal 38 6 2" xfId="53304" xr:uid="{00000000-0005-0000-0000-000031D00000}"/>
    <cellStyle name="Normal 38 6 2 10" xfId="53305" xr:uid="{00000000-0005-0000-0000-000032D00000}"/>
    <cellStyle name="Normal 38 6 2 10 2" xfId="53306" xr:uid="{00000000-0005-0000-0000-000033D00000}"/>
    <cellStyle name="Normal 38 6 2 10 3" xfId="53307" xr:uid="{00000000-0005-0000-0000-000034D00000}"/>
    <cellStyle name="Normal 38 6 2 11" xfId="53308" xr:uid="{00000000-0005-0000-0000-000035D00000}"/>
    <cellStyle name="Normal 38 6 2 11 2" xfId="53309" xr:uid="{00000000-0005-0000-0000-000036D00000}"/>
    <cellStyle name="Normal 38 6 2 11 3" xfId="53310" xr:uid="{00000000-0005-0000-0000-000037D00000}"/>
    <cellStyle name="Normal 38 6 2 12" xfId="53311" xr:uid="{00000000-0005-0000-0000-000038D00000}"/>
    <cellStyle name="Normal 38 6 2 12 2" xfId="53312" xr:uid="{00000000-0005-0000-0000-000039D00000}"/>
    <cellStyle name="Normal 38 6 2 12 3" xfId="53313" xr:uid="{00000000-0005-0000-0000-00003AD00000}"/>
    <cellStyle name="Normal 38 6 2 13" xfId="53314" xr:uid="{00000000-0005-0000-0000-00003BD00000}"/>
    <cellStyle name="Normal 38 6 2 13 2" xfId="53315" xr:uid="{00000000-0005-0000-0000-00003CD00000}"/>
    <cellStyle name="Normal 38 6 2 13 3" xfId="53316" xr:uid="{00000000-0005-0000-0000-00003DD00000}"/>
    <cellStyle name="Normal 38 6 2 14" xfId="53317" xr:uid="{00000000-0005-0000-0000-00003ED00000}"/>
    <cellStyle name="Normal 38 6 2 14 2" xfId="53318" xr:uid="{00000000-0005-0000-0000-00003FD00000}"/>
    <cellStyle name="Normal 38 6 2 14 3" xfId="53319" xr:uid="{00000000-0005-0000-0000-000040D00000}"/>
    <cellStyle name="Normal 38 6 2 15" xfId="53320" xr:uid="{00000000-0005-0000-0000-000041D00000}"/>
    <cellStyle name="Normal 38 6 2 16" xfId="53321" xr:uid="{00000000-0005-0000-0000-000042D00000}"/>
    <cellStyle name="Normal 38 6 2 2" xfId="53322" xr:uid="{00000000-0005-0000-0000-000043D00000}"/>
    <cellStyle name="Normal 38 6 2 2 2" xfId="53323" xr:uid="{00000000-0005-0000-0000-000044D00000}"/>
    <cellStyle name="Normal 38 6 2 2 3" xfId="53324" xr:uid="{00000000-0005-0000-0000-000045D00000}"/>
    <cellStyle name="Normal 38 6 2 3" xfId="53325" xr:uid="{00000000-0005-0000-0000-000046D00000}"/>
    <cellStyle name="Normal 38 6 2 3 2" xfId="53326" xr:uid="{00000000-0005-0000-0000-000047D00000}"/>
    <cellStyle name="Normal 38 6 2 3 3" xfId="53327" xr:uid="{00000000-0005-0000-0000-000048D00000}"/>
    <cellStyle name="Normal 38 6 2 4" xfId="53328" xr:uid="{00000000-0005-0000-0000-000049D00000}"/>
    <cellStyle name="Normal 38 6 2 4 2" xfId="53329" xr:uid="{00000000-0005-0000-0000-00004AD00000}"/>
    <cellStyle name="Normal 38 6 2 4 3" xfId="53330" xr:uid="{00000000-0005-0000-0000-00004BD00000}"/>
    <cellStyle name="Normal 38 6 2 5" xfId="53331" xr:uid="{00000000-0005-0000-0000-00004CD00000}"/>
    <cellStyle name="Normal 38 6 2 5 2" xfId="53332" xr:uid="{00000000-0005-0000-0000-00004DD00000}"/>
    <cellStyle name="Normal 38 6 2 5 3" xfId="53333" xr:uid="{00000000-0005-0000-0000-00004ED00000}"/>
    <cellStyle name="Normal 38 6 2 6" xfId="53334" xr:uid="{00000000-0005-0000-0000-00004FD00000}"/>
    <cellStyle name="Normal 38 6 2 6 2" xfId="53335" xr:uid="{00000000-0005-0000-0000-000050D00000}"/>
    <cellStyle name="Normal 38 6 2 6 3" xfId="53336" xr:uid="{00000000-0005-0000-0000-000051D00000}"/>
    <cellStyle name="Normal 38 6 2 7" xfId="53337" xr:uid="{00000000-0005-0000-0000-000052D00000}"/>
    <cellStyle name="Normal 38 6 2 7 2" xfId="53338" xr:uid="{00000000-0005-0000-0000-000053D00000}"/>
    <cellStyle name="Normal 38 6 2 7 3" xfId="53339" xr:uid="{00000000-0005-0000-0000-000054D00000}"/>
    <cellStyle name="Normal 38 6 2 8" xfId="53340" xr:uid="{00000000-0005-0000-0000-000055D00000}"/>
    <cellStyle name="Normal 38 6 2 8 2" xfId="53341" xr:uid="{00000000-0005-0000-0000-000056D00000}"/>
    <cellStyle name="Normal 38 6 2 8 3" xfId="53342" xr:uid="{00000000-0005-0000-0000-000057D00000}"/>
    <cellStyle name="Normal 38 6 2 9" xfId="53343" xr:uid="{00000000-0005-0000-0000-000058D00000}"/>
    <cellStyle name="Normal 38 6 2 9 2" xfId="53344" xr:uid="{00000000-0005-0000-0000-000059D00000}"/>
    <cellStyle name="Normal 38 6 2 9 3" xfId="53345" xr:uid="{00000000-0005-0000-0000-00005AD00000}"/>
    <cellStyle name="Normal 38 6 20" xfId="53346" xr:uid="{00000000-0005-0000-0000-00005BD00000}"/>
    <cellStyle name="Normal 38 6 21" xfId="53347" xr:uid="{00000000-0005-0000-0000-00005CD00000}"/>
    <cellStyle name="Normal 38 6 22" xfId="53348" xr:uid="{00000000-0005-0000-0000-00005DD00000}"/>
    <cellStyle name="Normal 38 6 23" xfId="53349" xr:uid="{00000000-0005-0000-0000-00005ED00000}"/>
    <cellStyle name="Normal 38 6 24" xfId="53350" xr:uid="{00000000-0005-0000-0000-00005FD00000}"/>
    <cellStyle name="Normal 38 6 25" xfId="53351" xr:uid="{00000000-0005-0000-0000-000060D00000}"/>
    <cellStyle name="Normal 38 6 26" xfId="53352" xr:uid="{00000000-0005-0000-0000-000061D00000}"/>
    <cellStyle name="Normal 38 6 27" xfId="53353" xr:uid="{00000000-0005-0000-0000-000062D00000}"/>
    <cellStyle name="Normal 38 6 28" xfId="53354" xr:uid="{00000000-0005-0000-0000-000063D00000}"/>
    <cellStyle name="Normal 38 6 3" xfId="53355" xr:uid="{00000000-0005-0000-0000-000064D00000}"/>
    <cellStyle name="Normal 38 6 3 2" xfId="53356" xr:uid="{00000000-0005-0000-0000-000065D00000}"/>
    <cellStyle name="Normal 38 6 3 3" xfId="53357" xr:uid="{00000000-0005-0000-0000-000066D00000}"/>
    <cellStyle name="Normal 38 6 4" xfId="53358" xr:uid="{00000000-0005-0000-0000-000067D00000}"/>
    <cellStyle name="Normal 38 6 4 2" xfId="53359" xr:uid="{00000000-0005-0000-0000-000068D00000}"/>
    <cellStyle name="Normal 38 6 4 3" xfId="53360" xr:uid="{00000000-0005-0000-0000-000069D00000}"/>
    <cellStyle name="Normal 38 6 5" xfId="53361" xr:uid="{00000000-0005-0000-0000-00006AD00000}"/>
    <cellStyle name="Normal 38 6 5 2" xfId="53362" xr:uid="{00000000-0005-0000-0000-00006BD00000}"/>
    <cellStyle name="Normal 38 6 5 3" xfId="53363" xr:uid="{00000000-0005-0000-0000-00006CD00000}"/>
    <cellStyle name="Normal 38 6 6" xfId="53364" xr:uid="{00000000-0005-0000-0000-00006DD00000}"/>
    <cellStyle name="Normal 38 6 6 2" xfId="53365" xr:uid="{00000000-0005-0000-0000-00006ED00000}"/>
    <cellStyle name="Normal 38 6 6 3" xfId="53366" xr:uid="{00000000-0005-0000-0000-00006FD00000}"/>
    <cellStyle name="Normal 38 6 7" xfId="53367" xr:uid="{00000000-0005-0000-0000-000070D00000}"/>
    <cellStyle name="Normal 38 6 7 2" xfId="53368" xr:uid="{00000000-0005-0000-0000-000071D00000}"/>
    <cellStyle name="Normal 38 6 7 3" xfId="53369" xr:uid="{00000000-0005-0000-0000-000072D00000}"/>
    <cellStyle name="Normal 38 6 8" xfId="53370" xr:uid="{00000000-0005-0000-0000-000073D00000}"/>
    <cellStyle name="Normal 38 6 8 2" xfId="53371" xr:uid="{00000000-0005-0000-0000-000074D00000}"/>
    <cellStyle name="Normal 38 6 8 3" xfId="53372" xr:uid="{00000000-0005-0000-0000-000075D00000}"/>
    <cellStyle name="Normal 38 6 9" xfId="53373" xr:uid="{00000000-0005-0000-0000-000076D00000}"/>
    <cellStyle name="Normal 38 6 9 2" xfId="53374" xr:uid="{00000000-0005-0000-0000-000077D00000}"/>
    <cellStyle name="Normal 38 6 9 3" xfId="53375" xr:uid="{00000000-0005-0000-0000-000078D00000}"/>
    <cellStyle name="Normal 38 7" xfId="53376" xr:uid="{00000000-0005-0000-0000-000079D00000}"/>
    <cellStyle name="Normal 38 7 10" xfId="53377" xr:uid="{00000000-0005-0000-0000-00007AD00000}"/>
    <cellStyle name="Normal 38 7 10 2" xfId="53378" xr:uid="{00000000-0005-0000-0000-00007BD00000}"/>
    <cellStyle name="Normal 38 7 10 3" xfId="53379" xr:uid="{00000000-0005-0000-0000-00007CD00000}"/>
    <cellStyle name="Normal 38 7 11" xfId="53380" xr:uid="{00000000-0005-0000-0000-00007DD00000}"/>
    <cellStyle name="Normal 38 7 11 2" xfId="53381" xr:uid="{00000000-0005-0000-0000-00007ED00000}"/>
    <cellStyle name="Normal 38 7 11 3" xfId="53382" xr:uid="{00000000-0005-0000-0000-00007FD00000}"/>
    <cellStyle name="Normal 38 7 12" xfId="53383" xr:uid="{00000000-0005-0000-0000-000080D00000}"/>
    <cellStyle name="Normal 38 7 12 2" xfId="53384" xr:uid="{00000000-0005-0000-0000-000081D00000}"/>
    <cellStyle name="Normal 38 7 12 3" xfId="53385" xr:uid="{00000000-0005-0000-0000-000082D00000}"/>
    <cellStyle name="Normal 38 7 13" xfId="53386" xr:uid="{00000000-0005-0000-0000-000083D00000}"/>
    <cellStyle name="Normal 38 7 13 2" xfId="53387" xr:uid="{00000000-0005-0000-0000-000084D00000}"/>
    <cellStyle name="Normal 38 7 13 3" xfId="53388" xr:uid="{00000000-0005-0000-0000-000085D00000}"/>
    <cellStyle name="Normal 38 7 14" xfId="53389" xr:uid="{00000000-0005-0000-0000-000086D00000}"/>
    <cellStyle name="Normal 38 7 14 2" xfId="53390" xr:uid="{00000000-0005-0000-0000-000087D00000}"/>
    <cellStyle name="Normal 38 7 14 3" xfId="53391" xr:uid="{00000000-0005-0000-0000-000088D00000}"/>
    <cellStyle name="Normal 38 7 15" xfId="53392" xr:uid="{00000000-0005-0000-0000-000089D00000}"/>
    <cellStyle name="Normal 38 7 16" xfId="53393" xr:uid="{00000000-0005-0000-0000-00008AD00000}"/>
    <cellStyle name="Normal 38 7 2" xfId="53394" xr:uid="{00000000-0005-0000-0000-00008BD00000}"/>
    <cellStyle name="Normal 38 7 2 2" xfId="53395" xr:uid="{00000000-0005-0000-0000-00008CD00000}"/>
    <cellStyle name="Normal 38 7 2 3" xfId="53396" xr:uid="{00000000-0005-0000-0000-00008DD00000}"/>
    <cellStyle name="Normal 38 7 3" xfId="53397" xr:uid="{00000000-0005-0000-0000-00008ED00000}"/>
    <cellStyle name="Normal 38 7 3 2" xfId="53398" xr:uid="{00000000-0005-0000-0000-00008FD00000}"/>
    <cellStyle name="Normal 38 7 3 3" xfId="53399" xr:uid="{00000000-0005-0000-0000-000090D00000}"/>
    <cellStyle name="Normal 38 7 4" xfId="53400" xr:uid="{00000000-0005-0000-0000-000091D00000}"/>
    <cellStyle name="Normal 38 7 4 2" xfId="53401" xr:uid="{00000000-0005-0000-0000-000092D00000}"/>
    <cellStyle name="Normal 38 7 4 3" xfId="53402" xr:uid="{00000000-0005-0000-0000-000093D00000}"/>
    <cellStyle name="Normal 38 7 5" xfId="53403" xr:uid="{00000000-0005-0000-0000-000094D00000}"/>
    <cellStyle name="Normal 38 7 5 2" xfId="53404" xr:uid="{00000000-0005-0000-0000-000095D00000}"/>
    <cellStyle name="Normal 38 7 5 3" xfId="53405" xr:uid="{00000000-0005-0000-0000-000096D00000}"/>
    <cellStyle name="Normal 38 7 6" xfId="53406" xr:uid="{00000000-0005-0000-0000-000097D00000}"/>
    <cellStyle name="Normal 38 7 6 2" xfId="53407" xr:uid="{00000000-0005-0000-0000-000098D00000}"/>
    <cellStyle name="Normal 38 7 6 3" xfId="53408" xr:uid="{00000000-0005-0000-0000-000099D00000}"/>
    <cellStyle name="Normal 38 7 7" xfId="53409" xr:uid="{00000000-0005-0000-0000-00009AD00000}"/>
    <cellStyle name="Normal 38 7 7 2" xfId="53410" xr:uid="{00000000-0005-0000-0000-00009BD00000}"/>
    <cellStyle name="Normal 38 7 7 3" xfId="53411" xr:uid="{00000000-0005-0000-0000-00009CD00000}"/>
    <cellStyle name="Normal 38 7 8" xfId="53412" xr:uid="{00000000-0005-0000-0000-00009DD00000}"/>
    <cellStyle name="Normal 38 7 8 2" xfId="53413" xr:uid="{00000000-0005-0000-0000-00009ED00000}"/>
    <cellStyle name="Normal 38 7 8 3" xfId="53414" xr:uid="{00000000-0005-0000-0000-00009FD00000}"/>
    <cellStyle name="Normal 38 7 9" xfId="53415" xr:uid="{00000000-0005-0000-0000-0000A0D00000}"/>
    <cellStyle name="Normal 38 7 9 2" xfId="53416" xr:uid="{00000000-0005-0000-0000-0000A1D00000}"/>
    <cellStyle name="Normal 38 7 9 3" xfId="53417" xr:uid="{00000000-0005-0000-0000-0000A2D00000}"/>
    <cellStyle name="Normal 38 8" xfId="53418" xr:uid="{00000000-0005-0000-0000-0000A3D00000}"/>
    <cellStyle name="Normal 38 8 10" xfId="53419" xr:uid="{00000000-0005-0000-0000-0000A4D00000}"/>
    <cellStyle name="Normal 38 8 10 2" xfId="53420" xr:uid="{00000000-0005-0000-0000-0000A5D00000}"/>
    <cellStyle name="Normal 38 8 10 3" xfId="53421" xr:uid="{00000000-0005-0000-0000-0000A6D00000}"/>
    <cellStyle name="Normal 38 8 11" xfId="53422" xr:uid="{00000000-0005-0000-0000-0000A7D00000}"/>
    <cellStyle name="Normal 38 8 11 2" xfId="53423" xr:uid="{00000000-0005-0000-0000-0000A8D00000}"/>
    <cellStyle name="Normal 38 8 11 3" xfId="53424" xr:uid="{00000000-0005-0000-0000-0000A9D00000}"/>
    <cellStyle name="Normal 38 8 12" xfId="53425" xr:uid="{00000000-0005-0000-0000-0000AAD00000}"/>
    <cellStyle name="Normal 38 8 12 2" xfId="53426" xr:uid="{00000000-0005-0000-0000-0000ABD00000}"/>
    <cellStyle name="Normal 38 8 12 3" xfId="53427" xr:uid="{00000000-0005-0000-0000-0000ACD00000}"/>
    <cellStyle name="Normal 38 8 13" xfId="53428" xr:uid="{00000000-0005-0000-0000-0000ADD00000}"/>
    <cellStyle name="Normal 38 8 13 2" xfId="53429" xr:uid="{00000000-0005-0000-0000-0000AED00000}"/>
    <cellStyle name="Normal 38 8 13 3" xfId="53430" xr:uid="{00000000-0005-0000-0000-0000AFD00000}"/>
    <cellStyle name="Normal 38 8 14" xfId="53431" xr:uid="{00000000-0005-0000-0000-0000B0D00000}"/>
    <cellStyle name="Normal 38 8 14 2" xfId="53432" xr:uid="{00000000-0005-0000-0000-0000B1D00000}"/>
    <cellStyle name="Normal 38 8 14 3" xfId="53433" xr:uid="{00000000-0005-0000-0000-0000B2D00000}"/>
    <cellStyle name="Normal 38 8 15" xfId="53434" xr:uid="{00000000-0005-0000-0000-0000B3D00000}"/>
    <cellStyle name="Normal 38 8 16" xfId="53435" xr:uid="{00000000-0005-0000-0000-0000B4D00000}"/>
    <cellStyle name="Normal 38 8 2" xfId="53436" xr:uid="{00000000-0005-0000-0000-0000B5D00000}"/>
    <cellStyle name="Normal 38 8 2 2" xfId="53437" xr:uid="{00000000-0005-0000-0000-0000B6D00000}"/>
    <cellStyle name="Normal 38 8 2 3" xfId="53438" xr:uid="{00000000-0005-0000-0000-0000B7D00000}"/>
    <cellStyle name="Normal 38 8 3" xfId="53439" xr:uid="{00000000-0005-0000-0000-0000B8D00000}"/>
    <cellStyle name="Normal 38 8 3 2" xfId="53440" xr:uid="{00000000-0005-0000-0000-0000B9D00000}"/>
    <cellStyle name="Normal 38 8 3 3" xfId="53441" xr:uid="{00000000-0005-0000-0000-0000BAD00000}"/>
    <cellStyle name="Normal 38 8 4" xfId="53442" xr:uid="{00000000-0005-0000-0000-0000BBD00000}"/>
    <cellStyle name="Normal 38 8 4 2" xfId="53443" xr:uid="{00000000-0005-0000-0000-0000BCD00000}"/>
    <cellStyle name="Normal 38 8 4 3" xfId="53444" xr:uid="{00000000-0005-0000-0000-0000BDD00000}"/>
    <cellStyle name="Normal 38 8 5" xfId="53445" xr:uid="{00000000-0005-0000-0000-0000BED00000}"/>
    <cellStyle name="Normal 38 8 5 2" xfId="53446" xr:uid="{00000000-0005-0000-0000-0000BFD00000}"/>
    <cellStyle name="Normal 38 8 5 3" xfId="53447" xr:uid="{00000000-0005-0000-0000-0000C0D00000}"/>
    <cellStyle name="Normal 38 8 6" xfId="53448" xr:uid="{00000000-0005-0000-0000-0000C1D00000}"/>
    <cellStyle name="Normal 38 8 6 2" xfId="53449" xr:uid="{00000000-0005-0000-0000-0000C2D00000}"/>
    <cellStyle name="Normal 38 8 6 3" xfId="53450" xr:uid="{00000000-0005-0000-0000-0000C3D00000}"/>
    <cellStyle name="Normal 38 8 7" xfId="53451" xr:uid="{00000000-0005-0000-0000-0000C4D00000}"/>
    <cellStyle name="Normal 38 8 7 2" xfId="53452" xr:uid="{00000000-0005-0000-0000-0000C5D00000}"/>
    <cellStyle name="Normal 38 8 7 3" xfId="53453" xr:uid="{00000000-0005-0000-0000-0000C6D00000}"/>
    <cellStyle name="Normal 38 8 8" xfId="53454" xr:uid="{00000000-0005-0000-0000-0000C7D00000}"/>
    <cellStyle name="Normal 38 8 8 2" xfId="53455" xr:uid="{00000000-0005-0000-0000-0000C8D00000}"/>
    <cellStyle name="Normal 38 8 8 3" xfId="53456" xr:uid="{00000000-0005-0000-0000-0000C9D00000}"/>
    <cellStyle name="Normal 38 8 9" xfId="53457" xr:uid="{00000000-0005-0000-0000-0000CAD00000}"/>
    <cellStyle name="Normal 38 8 9 2" xfId="53458" xr:uid="{00000000-0005-0000-0000-0000CBD00000}"/>
    <cellStyle name="Normal 38 8 9 3" xfId="53459" xr:uid="{00000000-0005-0000-0000-0000CCD00000}"/>
    <cellStyle name="Normal 38 9" xfId="53460" xr:uid="{00000000-0005-0000-0000-0000CDD00000}"/>
    <cellStyle name="Normal 38 9 10" xfId="53461" xr:uid="{00000000-0005-0000-0000-0000CED00000}"/>
    <cellStyle name="Normal 38 9 10 2" xfId="53462" xr:uid="{00000000-0005-0000-0000-0000CFD00000}"/>
    <cellStyle name="Normal 38 9 10 3" xfId="53463" xr:uid="{00000000-0005-0000-0000-0000D0D00000}"/>
    <cellStyle name="Normal 38 9 11" xfId="53464" xr:uid="{00000000-0005-0000-0000-0000D1D00000}"/>
    <cellStyle name="Normal 38 9 11 2" xfId="53465" xr:uid="{00000000-0005-0000-0000-0000D2D00000}"/>
    <cellStyle name="Normal 38 9 11 3" xfId="53466" xr:uid="{00000000-0005-0000-0000-0000D3D00000}"/>
    <cellStyle name="Normal 38 9 12" xfId="53467" xr:uid="{00000000-0005-0000-0000-0000D4D00000}"/>
    <cellStyle name="Normal 38 9 12 2" xfId="53468" xr:uid="{00000000-0005-0000-0000-0000D5D00000}"/>
    <cellStyle name="Normal 38 9 12 3" xfId="53469" xr:uid="{00000000-0005-0000-0000-0000D6D00000}"/>
    <cellStyle name="Normal 38 9 13" xfId="53470" xr:uid="{00000000-0005-0000-0000-0000D7D00000}"/>
    <cellStyle name="Normal 38 9 13 2" xfId="53471" xr:uid="{00000000-0005-0000-0000-0000D8D00000}"/>
    <cellStyle name="Normal 38 9 13 3" xfId="53472" xr:uid="{00000000-0005-0000-0000-0000D9D00000}"/>
    <cellStyle name="Normal 38 9 14" xfId="53473" xr:uid="{00000000-0005-0000-0000-0000DAD00000}"/>
    <cellStyle name="Normal 38 9 14 2" xfId="53474" xr:uid="{00000000-0005-0000-0000-0000DBD00000}"/>
    <cellStyle name="Normal 38 9 14 3" xfId="53475" xr:uid="{00000000-0005-0000-0000-0000DCD00000}"/>
    <cellStyle name="Normal 38 9 15" xfId="53476" xr:uid="{00000000-0005-0000-0000-0000DDD00000}"/>
    <cellStyle name="Normal 38 9 16" xfId="53477" xr:uid="{00000000-0005-0000-0000-0000DED00000}"/>
    <cellStyle name="Normal 38 9 2" xfId="53478" xr:uid="{00000000-0005-0000-0000-0000DFD00000}"/>
    <cellStyle name="Normal 38 9 2 2" xfId="53479" xr:uid="{00000000-0005-0000-0000-0000E0D00000}"/>
    <cellStyle name="Normal 38 9 2 3" xfId="53480" xr:uid="{00000000-0005-0000-0000-0000E1D00000}"/>
    <cellStyle name="Normal 38 9 3" xfId="53481" xr:uid="{00000000-0005-0000-0000-0000E2D00000}"/>
    <cellStyle name="Normal 38 9 3 2" xfId="53482" xr:uid="{00000000-0005-0000-0000-0000E3D00000}"/>
    <cellStyle name="Normal 38 9 3 3" xfId="53483" xr:uid="{00000000-0005-0000-0000-0000E4D00000}"/>
    <cellStyle name="Normal 38 9 4" xfId="53484" xr:uid="{00000000-0005-0000-0000-0000E5D00000}"/>
    <cellStyle name="Normal 38 9 4 2" xfId="53485" xr:uid="{00000000-0005-0000-0000-0000E6D00000}"/>
    <cellStyle name="Normal 38 9 4 3" xfId="53486" xr:uid="{00000000-0005-0000-0000-0000E7D00000}"/>
    <cellStyle name="Normal 38 9 5" xfId="53487" xr:uid="{00000000-0005-0000-0000-0000E8D00000}"/>
    <cellStyle name="Normal 38 9 5 2" xfId="53488" xr:uid="{00000000-0005-0000-0000-0000E9D00000}"/>
    <cellStyle name="Normal 38 9 5 3" xfId="53489" xr:uid="{00000000-0005-0000-0000-0000EAD00000}"/>
    <cellStyle name="Normal 38 9 6" xfId="53490" xr:uid="{00000000-0005-0000-0000-0000EBD00000}"/>
    <cellStyle name="Normal 38 9 6 2" xfId="53491" xr:uid="{00000000-0005-0000-0000-0000ECD00000}"/>
    <cellStyle name="Normal 38 9 6 3" xfId="53492" xr:uid="{00000000-0005-0000-0000-0000EDD00000}"/>
    <cellStyle name="Normal 38 9 7" xfId="53493" xr:uid="{00000000-0005-0000-0000-0000EED00000}"/>
    <cellStyle name="Normal 38 9 7 2" xfId="53494" xr:uid="{00000000-0005-0000-0000-0000EFD00000}"/>
    <cellStyle name="Normal 38 9 7 3" xfId="53495" xr:uid="{00000000-0005-0000-0000-0000F0D00000}"/>
    <cellStyle name="Normal 38 9 8" xfId="53496" xr:uid="{00000000-0005-0000-0000-0000F1D00000}"/>
    <cellStyle name="Normal 38 9 8 2" xfId="53497" xr:uid="{00000000-0005-0000-0000-0000F2D00000}"/>
    <cellStyle name="Normal 38 9 8 3" xfId="53498" xr:uid="{00000000-0005-0000-0000-0000F3D00000}"/>
    <cellStyle name="Normal 38 9 9" xfId="53499" xr:uid="{00000000-0005-0000-0000-0000F4D00000}"/>
    <cellStyle name="Normal 38 9 9 2" xfId="53500" xr:uid="{00000000-0005-0000-0000-0000F5D00000}"/>
    <cellStyle name="Normal 38 9 9 3" xfId="53501" xr:uid="{00000000-0005-0000-0000-0000F6D00000}"/>
    <cellStyle name="Normal 38_End-use Summary" xfId="53502" xr:uid="{00000000-0005-0000-0000-0000F7D00000}"/>
    <cellStyle name="Normal 39" xfId="53503" xr:uid="{00000000-0005-0000-0000-0000F8D00000}"/>
    <cellStyle name="Normal 39 10" xfId="53504" xr:uid="{00000000-0005-0000-0000-0000F9D00000}"/>
    <cellStyle name="Normal 39 10 10" xfId="53505" xr:uid="{00000000-0005-0000-0000-0000FAD00000}"/>
    <cellStyle name="Normal 39 10 10 2" xfId="53506" xr:uid="{00000000-0005-0000-0000-0000FBD00000}"/>
    <cellStyle name="Normal 39 10 10 3" xfId="53507" xr:uid="{00000000-0005-0000-0000-0000FCD00000}"/>
    <cellStyle name="Normal 39 10 11" xfId="53508" xr:uid="{00000000-0005-0000-0000-0000FDD00000}"/>
    <cellStyle name="Normal 39 10 11 2" xfId="53509" xr:uid="{00000000-0005-0000-0000-0000FED00000}"/>
    <cellStyle name="Normal 39 10 11 3" xfId="53510" xr:uid="{00000000-0005-0000-0000-0000FFD00000}"/>
    <cellStyle name="Normal 39 10 12" xfId="53511" xr:uid="{00000000-0005-0000-0000-000000D10000}"/>
    <cellStyle name="Normal 39 10 12 2" xfId="53512" xr:uid="{00000000-0005-0000-0000-000001D10000}"/>
    <cellStyle name="Normal 39 10 12 3" xfId="53513" xr:uid="{00000000-0005-0000-0000-000002D10000}"/>
    <cellStyle name="Normal 39 10 13" xfId="53514" xr:uid="{00000000-0005-0000-0000-000003D10000}"/>
    <cellStyle name="Normal 39 10 13 2" xfId="53515" xr:uid="{00000000-0005-0000-0000-000004D10000}"/>
    <cellStyle name="Normal 39 10 13 3" xfId="53516" xr:uid="{00000000-0005-0000-0000-000005D10000}"/>
    <cellStyle name="Normal 39 10 14" xfId="53517" xr:uid="{00000000-0005-0000-0000-000006D10000}"/>
    <cellStyle name="Normal 39 10 14 2" xfId="53518" xr:uid="{00000000-0005-0000-0000-000007D10000}"/>
    <cellStyle name="Normal 39 10 14 3" xfId="53519" xr:uid="{00000000-0005-0000-0000-000008D10000}"/>
    <cellStyle name="Normal 39 10 15" xfId="53520" xr:uid="{00000000-0005-0000-0000-000009D10000}"/>
    <cellStyle name="Normal 39 10 16" xfId="53521" xr:uid="{00000000-0005-0000-0000-00000AD10000}"/>
    <cellStyle name="Normal 39 10 2" xfId="53522" xr:uid="{00000000-0005-0000-0000-00000BD10000}"/>
    <cellStyle name="Normal 39 10 2 2" xfId="53523" xr:uid="{00000000-0005-0000-0000-00000CD10000}"/>
    <cellStyle name="Normal 39 10 2 3" xfId="53524" xr:uid="{00000000-0005-0000-0000-00000DD10000}"/>
    <cellStyle name="Normal 39 10 3" xfId="53525" xr:uid="{00000000-0005-0000-0000-00000ED10000}"/>
    <cellStyle name="Normal 39 10 3 2" xfId="53526" xr:uid="{00000000-0005-0000-0000-00000FD10000}"/>
    <cellStyle name="Normal 39 10 3 3" xfId="53527" xr:uid="{00000000-0005-0000-0000-000010D10000}"/>
    <cellStyle name="Normal 39 10 4" xfId="53528" xr:uid="{00000000-0005-0000-0000-000011D10000}"/>
    <cellStyle name="Normal 39 10 4 2" xfId="53529" xr:uid="{00000000-0005-0000-0000-000012D10000}"/>
    <cellStyle name="Normal 39 10 4 3" xfId="53530" xr:uid="{00000000-0005-0000-0000-000013D10000}"/>
    <cellStyle name="Normal 39 10 5" xfId="53531" xr:uid="{00000000-0005-0000-0000-000014D10000}"/>
    <cellStyle name="Normal 39 10 5 2" xfId="53532" xr:uid="{00000000-0005-0000-0000-000015D10000}"/>
    <cellStyle name="Normal 39 10 5 3" xfId="53533" xr:uid="{00000000-0005-0000-0000-000016D10000}"/>
    <cellStyle name="Normal 39 10 6" xfId="53534" xr:uid="{00000000-0005-0000-0000-000017D10000}"/>
    <cellStyle name="Normal 39 10 6 2" xfId="53535" xr:uid="{00000000-0005-0000-0000-000018D10000}"/>
    <cellStyle name="Normal 39 10 6 3" xfId="53536" xr:uid="{00000000-0005-0000-0000-000019D10000}"/>
    <cellStyle name="Normal 39 10 7" xfId="53537" xr:uid="{00000000-0005-0000-0000-00001AD10000}"/>
    <cellStyle name="Normal 39 10 7 2" xfId="53538" xr:uid="{00000000-0005-0000-0000-00001BD10000}"/>
    <cellStyle name="Normal 39 10 7 3" xfId="53539" xr:uid="{00000000-0005-0000-0000-00001CD10000}"/>
    <cellStyle name="Normal 39 10 8" xfId="53540" xr:uid="{00000000-0005-0000-0000-00001DD10000}"/>
    <cellStyle name="Normal 39 10 8 2" xfId="53541" xr:uid="{00000000-0005-0000-0000-00001ED10000}"/>
    <cellStyle name="Normal 39 10 8 3" xfId="53542" xr:uid="{00000000-0005-0000-0000-00001FD10000}"/>
    <cellStyle name="Normal 39 10 9" xfId="53543" xr:uid="{00000000-0005-0000-0000-000020D10000}"/>
    <cellStyle name="Normal 39 10 9 2" xfId="53544" xr:uid="{00000000-0005-0000-0000-000021D10000}"/>
    <cellStyle name="Normal 39 10 9 3" xfId="53545" xr:uid="{00000000-0005-0000-0000-000022D10000}"/>
    <cellStyle name="Normal 39 11" xfId="53546" xr:uid="{00000000-0005-0000-0000-000023D10000}"/>
    <cellStyle name="Normal 39 11 10" xfId="53547" xr:uid="{00000000-0005-0000-0000-000024D10000}"/>
    <cellStyle name="Normal 39 11 10 2" xfId="53548" xr:uid="{00000000-0005-0000-0000-000025D10000}"/>
    <cellStyle name="Normal 39 11 10 3" xfId="53549" xr:uid="{00000000-0005-0000-0000-000026D10000}"/>
    <cellStyle name="Normal 39 11 11" xfId="53550" xr:uid="{00000000-0005-0000-0000-000027D10000}"/>
    <cellStyle name="Normal 39 11 11 2" xfId="53551" xr:uid="{00000000-0005-0000-0000-000028D10000}"/>
    <cellStyle name="Normal 39 11 11 3" xfId="53552" xr:uid="{00000000-0005-0000-0000-000029D10000}"/>
    <cellStyle name="Normal 39 11 12" xfId="53553" xr:uid="{00000000-0005-0000-0000-00002AD10000}"/>
    <cellStyle name="Normal 39 11 12 2" xfId="53554" xr:uid="{00000000-0005-0000-0000-00002BD10000}"/>
    <cellStyle name="Normal 39 11 12 3" xfId="53555" xr:uid="{00000000-0005-0000-0000-00002CD10000}"/>
    <cellStyle name="Normal 39 11 13" xfId="53556" xr:uid="{00000000-0005-0000-0000-00002DD10000}"/>
    <cellStyle name="Normal 39 11 13 2" xfId="53557" xr:uid="{00000000-0005-0000-0000-00002ED10000}"/>
    <cellStyle name="Normal 39 11 13 3" xfId="53558" xr:uid="{00000000-0005-0000-0000-00002FD10000}"/>
    <cellStyle name="Normal 39 11 14" xfId="53559" xr:uid="{00000000-0005-0000-0000-000030D10000}"/>
    <cellStyle name="Normal 39 11 14 2" xfId="53560" xr:uid="{00000000-0005-0000-0000-000031D10000}"/>
    <cellStyle name="Normal 39 11 14 3" xfId="53561" xr:uid="{00000000-0005-0000-0000-000032D10000}"/>
    <cellStyle name="Normal 39 11 15" xfId="53562" xr:uid="{00000000-0005-0000-0000-000033D10000}"/>
    <cellStyle name="Normal 39 11 16" xfId="53563" xr:uid="{00000000-0005-0000-0000-000034D10000}"/>
    <cellStyle name="Normal 39 11 2" xfId="53564" xr:uid="{00000000-0005-0000-0000-000035D10000}"/>
    <cellStyle name="Normal 39 11 2 2" xfId="53565" xr:uid="{00000000-0005-0000-0000-000036D10000}"/>
    <cellStyle name="Normal 39 11 2 3" xfId="53566" xr:uid="{00000000-0005-0000-0000-000037D10000}"/>
    <cellStyle name="Normal 39 11 3" xfId="53567" xr:uid="{00000000-0005-0000-0000-000038D10000}"/>
    <cellStyle name="Normal 39 11 3 2" xfId="53568" xr:uid="{00000000-0005-0000-0000-000039D10000}"/>
    <cellStyle name="Normal 39 11 3 3" xfId="53569" xr:uid="{00000000-0005-0000-0000-00003AD10000}"/>
    <cellStyle name="Normal 39 11 4" xfId="53570" xr:uid="{00000000-0005-0000-0000-00003BD10000}"/>
    <cellStyle name="Normal 39 11 4 2" xfId="53571" xr:uid="{00000000-0005-0000-0000-00003CD10000}"/>
    <cellStyle name="Normal 39 11 4 3" xfId="53572" xr:uid="{00000000-0005-0000-0000-00003DD10000}"/>
    <cellStyle name="Normal 39 11 5" xfId="53573" xr:uid="{00000000-0005-0000-0000-00003ED10000}"/>
    <cellStyle name="Normal 39 11 5 2" xfId="53574" xr:uid="{00000000-0005-0000-0000-00003FD10000}"/>
    <cellStyle name="Normal 39 11 5 3" xfId="53575" xr:uid="{00000000-0005-0000-0000-000040D10000}"/>
    <cellStyle name="Normal 39 11 6" xfId="53576" xr:uid="{00000000-0005-0000-0000-000041D10000}"/>
    <cellStyle name="Normal 39 11 6 2" xfId="53577" xr:uid="{00000000-0005-0000-0000-000042D10000}"/>
    <cellStyle name="Normal 39 11 6 3" xfId="53578" xr:uid="{00000000-0005-0000-0000-000043D10000}"/>
    <cellStyle name="Normal 39 11 7" xfId="53579" xr:uid="{00000000-0005-0000-0000-000044D10000}"/>
    <cellStyle name="Normal 39 11 7 2" xfId="53580" xr:uid="{00000000-0005-0000-0000-000045D10000}"/>
    <cellStyle name="Normal 39 11 7 3" xfId="53581" xr:uid="{00000000-0005-0000-0000-000046D10000}"/>
    <cellStyle name="Normal 39 11 8" xfId="53582" xr:uid="{00000000-0005-0000-0000-000047D10000}"/>
    <cellStyle name="Normal 39 11 8 2" xfId="53583" xr:uid="{00000000-0005-0000-0000-000048D10000}"/>
    <cellStyle name="Normal 39 11 8 3" xfId="53584" xr:uid="{00000000-0005-0000-0000-000049D10000}"/>
    <cellStyle name="Normal 39 11 9" xfId="53585" xr:uid="{00000000-0005-0000-0000-00004AD10000}"/>
    <cellStyle name="Normal 39 11 9 2" xfId="53586" xr:uid="{00000000-0005-0000-0000-00004BD10000}"/>
    <cellStyle name="Normal 39 11 9 3" xfId="53587" xr:uid="{00000000-0005-0000-0000-00004CD10000}"/>
    <cellStyle name="Normal 39 12" xfId="53588" xr:uid="{00000000-0005-0000-0000-00004DD10000}"/>
    <cellStyle name="Normal 39 12 10" xfId="53589" xr:uid="{00000000-0005-0000-0000-00004ED10000}"/>
    <cellStyle name="Normal 39 12 10 2" xfId="53590" xr:uid="{00000000-0005-0000-0000-00004FD10000}"/>
    <cellStyle name="Normal 39 12 10 3" xfId="53591" xr:uid="{00000000-0005-0000-0000-000050D10000}"/>
    <cellStyle name="Normal 39 12 11" xfId="53592" xr:uid="{00000000-0005-0000-0000-000051D10000}"/>
    <cellStyle name="Normal 39 12 11 2" xfId="53593" xr:uid="{00000000-0005-0000-0000-000052D10000}"/>
    <cellStyle name="Normal 39 12 11 3" xfId="53594" xr:uid="{00000000-0005-0000-0000-000053D10000}"/>
    <cellStyle name="Normal 39 12 12" xfId="53595" xr:uid="{00000000-0005-0000-0000-000054D10000}"/>
    <cellStyle name="Normal 39 12 12 2" xfId="53596" xr:uid="{00000000-0005-0000-0000-000055D10000}"/>
    <cellStyle name="Normal 39 12 12 3" xfId="53597" xr:uid="{00000000-0005-0000-0000-000056D10000}"/>
    <cellStyle name="Normal 39 12 13" xfId="53598" xr:uid="{00000000-0005-0000-0000-000057D10000}"/>
    <cellStyle name="Normal 39 12 13 2" xfId="53599" xr:uid="{00000000-0005-0000-0000-000058D10000}"/>
    <cellStyle name="Normal 39 12 13 3" xfId="53600" xr:uid="{00000000-0005-0000-0000-000059D10000}"/>
    <cellStyle name="Normal 39 12 14" xfId="53601" xr:uid="{00000000-0005-0000-0000-00005AD10000}"/>
    <cellStyle name="Normal 39 12 14 2" xfId="53602" xr:uid="{00000000-0005-0000-0000-00005BD10000}"/>
    <cellStyle name="Normal 39 12 14 3" xfId="53603" xr:uid="{00000000-0005-0000-0000-00005CD10000}"/>
    <cellStyle name="Normal 39 12 15" xfId="53604" xr:uid="{00000000-0005-0000-0000-00005DD10000}"/>
    <cellStyle name="Normal 39 12 16" xfId="53605" xr:uid="{00000000-0005-0000-0000-00005ED10000}"/>
    <cellStyle name="Normal 39 12 2" xfId="53606" xr:uid="{00000000-0005-0000-0000-00005FD10000}"/>
    <cellStyle name="Normal 39 12 2 2" xfId="53607" xr:uid="{00000000-0005-0000-0000-000060D10000}"/>
    <cellStyle name="Normal 39 12 2 3" xfId="53608" xr:uid="{00000000-0005-0000-0000-000061D10000}"/>
    <cellStyle name="Normal 39 12 3" xfId="53609" xr:uid="{00000000-0005-0000-0000-000062D10000}"/>
    <cellStyle name="Normal 39 12 3 2" xfId="53610" xr:uid="{00000000-0005-0000-0000-000063D10000}"/>
    <cellStyle name="Normal 39 12 3 3" xfId="53611" xr:uid="{00000000-0005-0000-0000-000064D10000}"/>
    <cellStyle name="Normal 39 12 4" xfId="53612" xr:uid="{00000000-0005-0000-0000-000065D10000}"/>
    <cellStyle name="Normal 39 12 4 2" xfId="53613" xr:uid="{00000000-0005-0000-0000-000066D10000}"/>
    <cellStyle name="Normal 39 12 4 3" xfId="53614" xr:uid="{00000000-0005-0000-0000-000067D10000}"/>
    <cellStyle name="Normal 39 12 5" xfId="53615" xr:uid="{00000000-0005-0000-0000-000068D10000}"/>
    <cellStyle name="Normal 39 12 5 2" xfId="53616" xr:uid="{00000000-0005-0000-0000-000069D10000}"/>
    <cellStyle name="Normal 39 12 5 3" xfId="53617" xr:uid="{00000000-0005-0000-0000-00006AD10000}"/>
    <cellStyle name="Normal 39 12 6" xfId="53618" xr:uid="{00000000-0005-0000-0000-00006BD10000}"/>
    <cellStyle name="Normal 39 12 6 2" xfId="53619" xr:uid="{00000000-0005-0000-0000-00006CD10000}"/>
    <cellStyle name="Normal 39 12 6 3" xfId="53620" xr:uid="{00000000-0005-0000-0000-00006DD10000}"/>
    <cellStyle name="Normal 39 12 7" xfId="53621" xr:uid="{00000000-0005-0000-0000-00006ED10000}"/>
    <cellStyle name="Normal 39 12 7 2" xfId="53622" xr:uid="{00000000-0005-0000-0000-00006FD10000}"/>
    <cellStyle name="Normal 39 12 7 3" xfId="53623" xr:uid="{00000000-0005-0000-0000-000070D10000}"/>
    <cellStyle name="Normal 39 12 8" xfId="53624" xr:uid="{00000000-0005-0000-0000-000071D10000}"/>
    <cellStyle name="Normal 39 12 8 2" xfId="53625" xr:uid="{00000000-0005-0000-0000-000072D10000}"/>
    <cellStyle name="Normal 39 12 8 3" xfId="53626" xr:uid="{00000000-0005-0000-0000-000073D10000}"/>
    <cellStyle name="Normal 39 12 9" xfId="53627" xr:uid="{00000000-0005-0000-0000-000074D10000}"/>
    <cellStyle name="Normal 39 12 9 2" xfId="53628" xr:uid="{00000000-0005-0000-0000-000075D10000}"/>
    <cellStyle name="Normal 39 12 9 3" xfId="53629" xr:uid="{00000000-0005-0000-0000-000076D10000}"/>
    <cellStyle name="Normal 39 13" xfId="53630" xr:uid="{00000000-0005-0000-0000-000077D10000}"/>
    <cellStyle name="Normal 39 13 10" xfId="53631" xr:uid="{00000000-0005-0000-0000-000078D10000}"/>
    <cellStyle name="Normal 39 13 10 2" xfId="53632" xr:uid="{00000000-0005-0000-0000-000079D10000}"/>
    <cellStyle name="Normal 39 13 10 3" xfId="53633" xr:uid="{00000000-0005-0000-0000-00007AD10000}"/>
    <cellStyle name="Normal 39 13 11" xfId="53634" xr:uid="{00000000-0005-0000-0000-00007BD10000}"/>
    <cellStyle name="Normal 39 13 11 2" xfId="53635" xr:uid="{00000000-0005-0000-0000-00007CD10000}"/>
    <cellStyle name="Normal 39 13 11 3" xfId="53636" xr:uid="{00000000-0005-0000-0000-00007DD10000}"/>
    <cellStyle name="Normal 39 13 12" xfId="53637" xr:uid="{00000000-0005-0000-0000-00007ED10000}"/>
    <cellStyle name="Normal 39 13 12 2" xfId="53638" xr:uid="{00000000-0005-0000-0000-00007FD10000}"/>
    <cellStyle name="Normal 39 13 12 3" xfId="53639" xr:uid="{00000000-0005-0000-0000-000080D10000}"/>
    <cellStyle name="Normal 39 13 13" xfId="53640" xr:uid="{00000000-0005-0000-0000-000081D10000}"/>
    <cellStyle name="Normal 39 13 13 2" xfId="53641" xr:uid="{00000000-0005-0000-0000-000082D10000}"/>
    <cellStyle name="Normal 39 13 13 3" xfId="53642" xr:uid="{00000000-0005-0000-0000-000083D10000}"/>
    <cellStyle name="Normal 39 13 14" xfId="53643" xr:uid="{00000000-0005-0000-0000-000084D10000}"/>
    <cellStyle name="Normal 39 13 14 2" xfId="53644" xr:uid="{00000000-0005-0000-0000-000085D10000}"/>
    <cellStyle name="Normal 39 13 14 3" xfId="53645" xr:uid="{00000000-0005-0000-0000-000086D10000}"/>
    <cellStyle name="Normal 39 13 15" xfId="53646" xr:uid="{00000000-0005-0000-0000-000087D10000}"/>
    <cellStyle name="Normal 39 13 16" xfId="53647" xr:uid="{00000000-0005-0000-0000-000088D10000}"/>
    <cellStyle name="Normal 39 13 2" xfId="53648" xr:uid="{00000000-0005-0000-0000-000089D10000}"/>
    <cellStyle name="Normal 39 13 2 2" xfId="53649" xr:uid="{00000000-0005-0000-0000-00008AD10000}"/>
    <cellStyle name="Normal 39 13 2 3" xfId="53650" xr:uid="{00000000-0005-0000-0000-00008BD10000}"/>
    <cellStyle name="Normal 39 13 3" xfId="53651" xr:uid="{00000000-0005-0000-0000-00008CD10000}"/>
    <cellStyle name="Normal 39 13 3 2" xfId="53652" xr:uid="{00000000-0005-0000-0000-00008DD10000}"/>
    <cellStyle name="Normal 39 13 3 3" xfId="53653" xr:uid="{00000000-0005-0000-0000-00008ED10000}"/>
    <cellStyle name="Normal 39 13 4" xfId="53654" xr:uid="{00000000-0005-0000-0000-00008FD10000}"/>
    <cellStyle name="Normal 39 13 4 2" xfId="53655" xr:uid="{00000000-0005-0000-0000-000090D10000}"/>
    <cellStyle name="Normal 39 13 4 3" xfId="53656" xr:uid="{00000000-0005-0000-0000-000091D10000}"/>
    <cellStyle name="Normal 39 13 5" xfId="53657" xr:uid="{00000000-0005-0000-0000-000092D10000}"/>
    <cellStyle name="Normal 39 13 5 2" xfId="53658" xr:uid="{00000000-0005-0000-0000-000093D10000}"/>
    <cellStyle name="Normal 39 13 5 3" xfId="53659" xr:uid="{00000000-0005-0000-0000-000094D10000}"/>
    <cellStyle name="Normal 39 13 6" xfId="53660" xr:uid="{00000000-0005-0000-0000-000095D10000}"/>
    <cellStyle name="Normal 39 13 6 2" xfId="53661" xr:uid="{00000000-0005-0000-0000-000096D10000}"/>
    <cellStyle name="Normal 39 13 6 3" xfId="53662" xr:uid="{00000000-0005-0000-0000-000097D10000}"/>
    <cellStyle name="Normal 39 13 7" xfId="53663" xr:uid="{00000000-0005-0000-0000-000098D10000}"/>
    <cellStyle name="Normal 39 13 7 2" xfId="53664" xr:uid="{00000000-0005-0000-0000-000099D10000}"/>
    <cellStyle name="Normal 39 13 7 3" xfId="53665" xr:uid="{00000000-0005-0000-0000-00009AD10000}"/>
    <cellStyle name="Normal 39 13 8" xfId="53666" xr:uid="{00000000-0005-0000-0000-00009BD10000}"/>
    <cellStyle name="Normal 39 13 8 2" xfId="53667" xr:uid="{00000000-0005-0000-0000-00009CD10000}"/>
    <cellStyle name="Normal 39 13 8 3" xfId="53668" xr:uid="{00000000-0005-0000-0000-00009DD10000}"/>
    <cellStyle name="Normal 39 13 9" xfId="53669" xr:uid="{00000000-0005-0000-0000-00009ED10000}"/>
    <cellStyle name="Normal 39 13 9 2" xfId="53670" xr:uid="{00000000-0005-0000-0000-00009FD10000}"/>
    <cellStyle name="Normal 39 13 9 3" xfId="53671" xr:uid="{00000000-0005-0000-0000-0000A0D10000}"/>
    <cellStyle name="Normal 39 14" xfId="53672" xr:uid="{00000000-0005-0000-0000-0000A1D10000}"/>
    <cellStyle name="Normal 39 14 10" xfId="53673" xr:uid="{00000000-0005-0000-0000-0000A2D10000}"/>
    <cellStyle name="Normal 39 14 10 2" xfId="53674" xr:uid="{00000000-0005-0000-0000-0000A3D10000}"/>
    <cellStyle name="Normal 39 14 10 3" xfId="53675" xr:uid="{00000000-0005-0000-0000-0000A4D10000}"/>
    <cellStyle name="Normal 39 14 11" xfId="53676" xr:uid="{00000000-0005-0000-0000-0000A5D10000}"/>
    <cellStyle name="Normal 39 14 11 2" xfId="53677" xr:uid="{00000000-0005-0000-0000-0000A6D10000}"/>
    <cellStyle name="Normal 39 14 11 3" xfId="53678" xr:uid="{00000000-0005-0000-0000-0000A7D10000}"/>
    <cellStyle name="Normal 39 14 12" xfId="53679" xr:uid="{00000000-0005-0000-0000-0000A8D10000}"/>
    <cellStyle name="Normal 39 14 12 2" xfId="53680" xr:uid="{00000000-0005-0000-0000-0000A9D10000}"/>
    <cellStyle name="Normal 39 14 12 3" xfId="53681" xr:uid="{00000000-0005-0000-0000-0000AAD10000}"/>
    <cellStyle name="Normal 39 14 13" xfId="53682" xr:uid="{00000000-0005-0000-0000-0000ABD10000}"/>
    <cellStyle name="Normal 39 14 13 2" xfId="53683" xr:uid="{00000000-0005-0000-0000-0000ACD10000}"/>
    <cellStyle name="Normal 39 14 13 3" xfId="53684" xr:uid="{00000000-0005-0000-0000-0000ADD10000}"/>
    <cellStyle name="Normal 39 14 14" xfId="53685" xr:uid="{00000000-0005-0000-0000-0000AED10000}"/>
    <cellStyle name="Normal 39 14 14 2" xfId="53686" xr:uid="{00000000-0005-0000-0000-0000AFD10000}"/>
    <cellStyle name="Normal 39 14 14 3" xfId="53687" xr:uid="{00000000-0005-0000-0000-0000B0D10000}"/>
    <cellStyle name="Normal 39 14 15" xfId="53688" xr:uid="{00000000-0005-0000-0000-0000B1D10000}"/>
    <cellStyle name="Normal 39 14 16" xfId="53689" xr:uid="{00000000-0005-0000-0000-0000B2D10000}"/>
    <cellStyle name="Normal 39 14 2" xfId="53690" xr:uid="{00000000-0005-0000-0000-0000B3D10000}"/>
    <cellStyle name="Normal 39 14 2 2" xfId="53691" xr:uid="{00000000-0005-0000-0000-0000B4D10000}"/>
    <cellStyle name="Normal 39 14 2 3" xfId="53692" xr:uid="{00000000-0005-0000-0000-0000B5D10000}"/>
    <cellStyle name="Normal 39 14 3" xfId="53693" xr:uid="{00000000-0005-0000-0000-0000B6D10000}"/>
    <cellStyle name="Normal 39 14 3 2" xfId="53694" xr:uid="{00000000-0005-0000-0000-0000B7D10000}"/>
    <cellStyle name="Normal 39 14 3 3" xfId="53695" xr:uid="{00000000-0005-0000-0000-0000B8D10000}"/>
    <cellStyle name="Normal 39 14 4" xfId="53696" xr:uid="{00000000-0005-0000-0000-0000B9D10000}"/>
    <cellStyle name="Normal 39 14 4 2" xfId="53697" xr:uid="{00000000-0005-0000-0000-0000BAD10000}"/>
    <cellStyle name="Normal 39 14 4 3" xfId="53698" xr:uid="{00000000-0005-0000-0000-0000BBD10000}"/>
    <cellStyle name="Normal 39 14 5" xfId="53699" xr:uid="{00000000-0005-0000-0000-0000BCD10000}"/>
    <cellStyle name="Normal 39 14 5 2" xfId="53700" xr:uid="{00000000-0005-0000-0000-0000BDD10000}"/>
    <cellStyle name="Normal 39 14 5 3" xfId="53701" xr:uid="{00000000-0005-0000-0000-0000BED10000}"/>
    <cellStyle name="Normal 39 14 6" xfId="53702" xr:uid="{00000000-0005-0000-0000-0000BFD10000}"/>
    <cellStyle name="Normal 39 14 6 2" xfId="53703" xr:uid="{00000000-0005-0000-0000-0000C0D10000}"/>
    <cellStyle name="Normal 39 14 6 3" xfId="53704" xr:uid="{00000000-0005-0000-0000-0000C1D10000}"/>
    <cellStyle name="Normal 39 14 7" xfId="53705" xr:uid="{00000000-0005-0000-0000-0000C2D10000}"/>
    <cellStyle name="Normal 39 14 7 2" xfId="53706" xr:uid="{00000000-0005-0000-0000-0000C3D10000}"/>
    <cellStyle name="Normal 39 14 7 3" xfId="53707" xr:uid="{00000000-0005-0000-0000-0000C4D10000}"/>
    <cellStyle name="Normal 39 14 8" xfId="53708" xr:uid="{00000000-0005-0000-0000-0000C5D10000}"/>
    <cellStyle name="Normal 39 14 8 2" xfId="53709" xr:uid="{00000000-0005-0000-0000-0000C6D10000}"/>
    <cellStyle name="Normal 39 14 8 3" xfId="53710" xr:uid="{00000000-0005-0000-0000-0000C7D10000}"/>
    <cellStyle name="Normal 39 14 9" xfId="53711" xr:uid="{00000000-0005-0000-0000-0000C8D10000}"/>
    <cellStyle name="Normal 39 14 9 2" xfId="53712" xr:uid="{00000000-0005-0000-0000-0000C9D10000}"/>
    <cellStyle name="Normal 39 14 9 3" xfId="53713" xr:uid="{00000000-0005-0000-0000-0000CAD10000}"/>
    <cellStyle name="Normal 39 15" xfId="53714" xr:uid="{00000000-0005-0000-0000-0000CBD10000}"/>
    <cellStyle name="Normal 39 15 10" xfId="53715" xr:uid="{00000000-0005-0000-0000-0000CCD10000}"/>
    <cellStyle name="Normal 39 15 10 2" xfId="53716" xr:uid="{00000000-0005-0000-0000-0000CDD10000}"/>
    <cellStyle name="Normal 39 15 10 3" xfId="53717" xr:uid="{00000000-0005-0000-0000-0000CED10000}"/>
    <cellStyle name="Normal 39 15 11" xfId="53718" xr:uid="{00000000-0005-0000-0000-0000CFD10000}"/>
    <cellStyle name="Normal 39 15 11 2" xfId="53719" xr:uid="{00000000-0005-0000-0000-0000D0D10000}"/>
    <cellStyle name="Normal 39 15 11 3" xfId="53720" xr:uid="{00000000-0005-0000-0000-0000D1D10000}"/>
    <cellStyle name="Normal 39 15 12" xfId="53721" xr:uid="{00000000-0005-0000-0000-0000D2D10000}"/>
    <cellStyle name="Normal 39 15 12 2" xfId="53722" xr:uid="{00000000-0005-0000-0000-0000D3D10000}"/>
    <cellStyle name="Normal 39 15 12 3" xfId="53723" xr:uid="{00000000-0005-0000-0000-0000D4D10000}"/>
    <cellStyle name="Normal 39 15 13" xfId="53724" xr:uid="{00000000-0005-0000-0000-0000D5D10000}"/>
    <cellStyle name="Normal 39 15 13 2" xfId="53725" xr:uid="{00000000-0005-0000-0000-0000D6D10000}"/>
    <cellStyle name="Normal 39 15 13 3" xfId="53726" xr:uid="{00000000-0005-0000-0000-0000D7D10000}"/>
    <cellStyle name="Normal 39 15 14" xfId="53727" xr:uid="{00000000-0005-0000-0000-0000D8D10000}"/>
    <cellStyle name="Normal 39 15 14 2" xfId="53728" xr:uid="{00000000-0005-0000-0000-0000D9D10000}"/>
    <cellStyle name="Normal 39 15 14 3" xfId="53729" xr:uid="{00000000-0005-0000-0000-0000DAD10000}"/>
    <cellStyle name="Normal 39 15 15" xfId="53730" xr:uid="{00000000-0005-0000-0000-0000DBD10000}"/>
    <cellStyle name="Normal 39 15 16" xfId="53731" xr:uid="{00000000-0005-0000-0000-0000DCD10000}"/>
    <cellStyle name="Normal 39 15 2" xfId="53732" xr:uid="{00000000-0005-0000-0000-0000DDD10000}"/>
    <cellStyle name="Normal 39 15 2 2" xfId="53733" xr:uid="{00000000-0005-0000-0000-0000DED10000}"/>
    <cellStyle name="Normal 39 15 2 3" xfId="53734" xr:uid="{00000000-0005-0000-0000-0000DFD10000}"/>
    <cellStyle name="Normal 39 15 3" xfId="53735" xr:uid="{00000000-0005-0000-0000-0000E0D10000}"/>
    <cellStyle name="Normal 39 15 3 2" xfId="53736" xr:uid="{00000000-0005-0000-0000-0000E1D10000}"/>
    <cellStyle name="Normal 39 15 3 3" xfId="53737" xr:uid="{00000000-0005-0000-0000-0000E2D10000}"/>
    <cellStyle name="Normal 39 15 4" xfId="53738" xr:uid="{00000000-0005-0000-0000-0000E3D10000}"/>
    <cellStyle name="Normal 39 15 4 2" xfId="53739" xr:uid="{00000000-0005-0000-0000-0000E4D10000}"/>
    <cellStyle name="Normal 39 15 4 3" xfId="53740" xr:uid="{00000000-0005-0000-0000-0000E5D10000}"/>
    <cellStyle name="Normal 39 15 5" xfId="53741" xr:uid="{00000000-0005-0000-0000-0000E6D10000}"/>
    <cellStyle name="Normal 39 15 5 2" xfId="53742" xr:uid="{00000000-0005-0000-0000-0000E7D10000}"/>
    <cellStyle name="Normal 39 15 5 3" xfId="53743" xr:uid="{00000000-0005-0000-0000-0000E8D10000}"/>
    <cellStyle name="Normal 39 15 6" xfId="53744" xr:uid="{00000000-0005-0000-0000-0000E9D10000}"/>
    <cellStyle name="Normal 39 15 6 2" xfId="53745" xr:uid="{00000000-0005-0000-0000-0000EAD10000}"/>
    <cellStyle name="Normal 39 15 6 3" xfId="53746" xr:uid="{00000000-0005-0000-0000-0000EBD10000}"/>
    <cellStyle name="Normal 39 15 7" xfId="53747" xr:uid="{00000000-0005-0000-0000-0000ECD10000}"/>
    <cellStyle name="Normal 39 15 7 2" xfId="53748" xr:uid="{00000000-0005-0000-0000-0000EDD10000}"/>
    <cellStyle name="Normal 39 15 7 3" xfId="53749" xr:uid="{00000000-0005-0000-0000-0000EED10000}"/>
    <cellStyle name="Normal 39 15 8" xfId="53750" xr:uid="{00000000-0005-0000-0000-0000EFD10000}"/>
    <cellStyle name="Normal 39 15 8 2" xfId="53751" xr:uid="{00000000-0005-0000-0000-0000F0D10000}"/>
    <cellStyle name="Normal 39 15 8 3" xfId="53752" xr:uid="{00000000-0005-0000-0000-0000F1D10000}"/>
    <cellStyle name="Normal 39 15 9" xfId="53753" xr:uid="{00000000-0005-0000-0000-0000F2D10000}"/>
    <cellStyle name="Normal 39 15 9 2" xfId="53754" xr:uid="{00000000-0005-0000-0000-0000F3D10000}"/>
    <cellStyle name="Normal 39 15 9 3" xfId="53755" xr:uid="{00000000-0005-0000-0000-0000F4D10000}"/>
    <cellStyle name="Normal 39 16" xfId="53756" xr:uid="{00000000-0005-0000-0000-0000F5D10000}"/>
    <cellStyle name="Normal 39 16 10" xfId="53757" xr:uid="{00000000-0005-0000-0000-0000F6D10000}"/>
    <cellStyle name="Normal 39 16 10 2" xfId="53758" xr:uid="{00000000-0005-0000-0000-0000F7D10000}"/>
    <cellStyle name="Normal 39 16 10 3" xfId="53759" xr:uid="{00000000-0005-0000-0000-0000F8D10000}"/>
    <cellStyle name="Normal 39 16 11" xfId="53760" xr:uid="{00000000-0005-0000-0000-0000F9D10000}"/>
    <cellStyle name="Normal 39 16 11 2" xfId="53761" xr:uid="{00000000-0005-0000-0000-0000FAD10000}"/>
    <cellStyle name="Normal 39 16 11 3" xfId="53762" xr:uid="{00000000-0005-0000-0000-0000FBD10000}"/>
    <cellStyle name="Normal 39 16 12" xfId="53763" xr:uid="{00000000-0005-0000-0000-0000FCD10000}"/>
    <cellStyle name="Normal 39 16 12 2" xfId="53764" xr:uid="{00000000-0005-0000-0000-0000FDD10000}"/>
    <cellStyle name="Normal 39 16 12 3" xfId="53765" xr:uid="{00000000-0005-0000-0000-0000FED10000}"/>
    <cellStyle name="Normal 39 16 13" xfId="53766" xr:uid="{00000000-0005-0000-0000-0000FFD10000}"/>
    <cellStyle name="Normal 39 16 13 2" xfId="53767" xr:uid="{00000000-0005-0000-0000-000000D20000}"/>
    <cellStyle name="Normal 39 16 13 3" xfId="53768" xr:uid="{00000000-0005-0000-0000-000001D20000}"/>
    <cellStyle name="Normal 39 16 14" xfId="53769" xr:uid="{00000000-0005-0000-0000-000002D20000}"/>
    <cellStyle name="Normal 39 16 14 2" xfId="53770" xr:uid="{00000000-0005-0000-0000-000003D20000}"/>
    <cellStyle name="Normal 39 16 14 3" xfId="53771" xr:uid="{00000000-0005-0000-0000-000004D20000}"/>
    <cellStyle name="Normal 39 16 15" xfId="53772" xr:uid="{00000000-0005-0000-0000-000005D20000}"/>
    <cellStyle name="Normal 39 16 16" xfId="53773" xr:uid="{00000000-0005-0000-0000-000006D20000}"/>
    <cellStyle name="Normal 39 16 2" xfId="53774" xr:uid="{00000000-0005-0000-0000-000007D20000}"/>
    <cellStyle name="Normal 39 16 2 2" xfId="53775" xr:uid="{00000000-0005-0000-0000-000008D20000}"/>
    <cellStyle name="Normal 39 16 2 3" xfId="53776" xr:uid="{00000000-0005-0000-0000-000009D20000}"/>
    <cellStyle name="Normal 39 16 3" xfId="53777" xr:uid="{00000000-0005-0000-0000-00000AD20000}"/>
    <cellStyle name="Normal 39 16 3 2" xfId="53778" xr:uid="{00000000-0005-0000-0000-00000BD20000}"/>
    <cellStyle name="Normal 39 16 3 3" xfId="53779" xr:uid="{00000000-0005-0000-0000-00000CD20000}"/>
    <cellStyle name="Normal 39 16 4" xfId="53780" xr:uid="{00000000-0005-0000-0000-00000DD20000}"/>
    <cellStyle name="Normal 39 16 4 2" xfId="53781" xr:uid="{00000000-0005-0000-0000-00000ED20000}"/>
    <cellStyle name="Normal 39 16 4 3" xfId="53782" xr:uid="{00000000-0005-0000-0000-00000FD20000}"/>
    <cellStyle name="Normal 39 16 5" xfId="53783" xr:uid="{00000000-0005-0000-0000-000010D20000}"/>
    <cellStyle name="Normal 39 16 5 2" xfId="53784" xr:uid="{00000000-0005-0000-0000-000011D20000}"/>
    <cellStyle name="Normal 39 16 5 3" xfId="53785" xr:uid="{00000000-0005-0000-0000-000012D20000}"/>
    <cellStyle name="Normal 39 16 6" xfId="53786" xr:uid="{00000000-0005-0000-0000-000013D20000}"/>
    <cellStyle name="Normal 39 16 6 2" xfId="53787" xr:uid="{00000000-0005-0000-0000-000014D20000}"/>
    <cellStyle name="Normal 39 16 6 3" xfId="53788" xr:uid="{00000000-0005-0000-0000-000015D20000}"/>
    <cellStyle name="Normal 39 16 7" xfId="53789" xr:uid="{00000000-0005-0000-0000-000016D20000}"/>
    <cellStyle name="Normal 39 16 7 2" xfId="53790" xr:uid="{00000000-0005-0000-0000-000017D20000}"/>
    <cellStyle name="Normal 39 16 7 3" xfId="53791" xr:uid="{00000000-0005-0000-0000-000018D20000}"/>
    <cellStyle name="Normal 39 16 8" xfId="53792" xr:uid="{00000000-0005-0000-0000-000019D20000}"/>
    <cellStyle name="Normal 39 16 8 2" xfId="53793" xr:uid="{00000000-0005-0000-0000-00001AD20000}"/>
    <cellStyle name="Normal 39 16 8 3" xfId="53794" xr:uid="{00000000-0005-0000-0000-00001BD20000}"/>
    <cellStyle name="Normal 39 16 9" xfId="53795" xr:uid="{00000000-0005-0000-0000-00001CD20000}"/>
    <cellStyle name="Normal 39 16 9 2" xfId="53796" xr:uid="{00000000-0005-0000-0000-00001DD20000}"/>
    <cellStyle name="Normal 39 16 9 3" xfId="53797" xr:uid="{00000000-0005-0000-0000-00001ED20000}"/>
    <cellStyle name="Normal 39 17" xfId="53798" xr:uid="{00000000-0005-0000-0000-00001FD20000}"/>
    <cellStyle name="Normal 39 17 10" xfId="53799" xr:uid="{00000000-0005-0000-0000-000020D20000}"/>
    <cellStyle name="Normal 39 17 10 2" xfId="53800" xr:uid="{00000000-0005-0000-0000-000021D20000}"/>
    <cellStyle name="Normal 39 17 10 3" xfId="53801" xr:uid="{00000000-0005-0000-0000-000022D20000}"/>
    <cellStyle name="Normal 39 17 11" xfId="53802" xr:uid="{00000000-0005-0000-0000-000023D20000}"/>
    <cellStyle name="Normal 39 17 11 2" xfId="53803" xr:uid="{00000000-0005-0000-0000-000024D20000}"/>
    <cellStyle name="Normal 39 17 11 3" xfId="53804" xr:uid="{00000000-0005-0000-0000-000025D20000}"/>
    <cellStyle name="Normal 39 17 12" xfId="53805" xr:uid="{00000000-0005-0000-0000-000026D20000}"/>
    <cellStyle name="Normal 39 17 12 2" xfId="53806" xr:uid="{00000000-0005-0000-0000-000027D20000}"/>
    <cellStyle name="Normal 39 17 12 3" xfId="53807" xr:uid="{00000000-0005-0000-0000-000028D20000}"/>
    <cellStyle name="Normal 39 17 13" xfId="53808" xr:uid="{00000000-0005-0000-0000-000029D20000}"/>
    <cellStyle name="Normal 39 17 13 2" xfId="53809" xr:uid="{00000000-0005-0000-0000-00002AD20000}"/>
    <cellStyle name="Normal 39 17 13 3" xfId="53810" xr:uid="{00000000-0005-0000-0000-00002BD20000}"/>
    <cellStyle name="Normal 39 17 14" xfId="53811" xr:uid="{00000000-0005-0000-0000-00002CD20000}"/>
    <cellStyle name="Normal 39 17 14 2" xfId="53812" xr:uid="{00000000-0005-0000-0000-00002DD20000}"/>
    <cellStyle name="Normal 39 17 14 3" xfId="53813" xr:uid="{00000000-0005-0000-0000-00002ED20000}"/>
    <cellStyle name="Normal 39 17 15" xfId="53814" xr:uid="{00000000-0005-0000-0000-00002FD20000}"/>
    <cellStyle name="Normal 39 17 16" xfId="53815" xr:uid="{00000000-0005-0000-0000-000030D20000}"/>
    <cellStyle name="Normal 39 17 2" xfId="53816" xr:uid="{00000000-0005-0000-0000-000031D20000}"/>
    <cellStyle name="Normal 39 17 2 2" xfId="53817" xr:uid="{00000000-0005-0000-0000-000032D20000}"/>
    <cellStyle name="Normal 39 17 2 3" xfId="53818" xr:uid="{00000000-0005-0000-0000-000033D20000}"/>
    <cellStyle name="Normal 39 17 3" xfId="53819" xr:uid="{00000000-0005-0000-0000-000034D20000}"/>
    <cellStyle name="Normal 39 17 3 2" xfId="53820" xr:uid="{00000000-0005-0000-0000-000035D20000}"/>
    <cellStyle name="Normal 39 17 3 3" xfId="53821" xr:uid="{00000000-0005-0000-0000-000036D20000}"/>
    <cellStyle name="Normal 39 17 4" xfId="53822" xr:uid="{00000000-0005-0000-0000-000037D20000}"/>
    <cellStyle name="Normal 39 17 4 2" xfId="53823" xr:uid="{00000000-0005-0000-0000-000038D20000}"/>
    <cellStyle name="Normal 39 17 4 3" xfId="53824" xr:uid="{00000000-0005-0000-0000-000039D20000}"/>
    <cellStyle name="Normal 39 17 5" xfId="53825" xr:uid="{00000000-0005-0000-0000-00003AD20000}"/>
    <cellStyle name="Normal 39 17 5 2" xfId="53826" xr:uid="{00000000-0005-0000-0000-00003BD20000}"/>
    <cellStyle name="Normal 39 17 5 3" xfId="53827" xr:uid="{00000000-0005-0000-0000-00003CD20000}"/>
    <cellStyle name="Normal 39 17 6" xfId="53828" xr:uid="{00000000-0005-0000-0000-00003DD20000}"/>
    <cellStyle name="Normal 39 17 6 2" xfId="53829" xr:uid="{00000000-0005-0000-0000-00003ED20000}"/>
    <cellStyle name="Normal 39 17 6 3" xfId="53830" xr:uid="{00000000-0005-0000-0000-00003FD20000}"/>
    <cellStyle name="Normal 39 17 7" xfId="53831" xr:uid="{00000000-0005-0000-0000-000040D20000}"/>
    <cellStyle name="Normal 39 17 7 2" xfId="53832" xr:uid="{00000000-0005-0000-0000-000041D20000}"/>
    <cellStyle name="Normal 39 17 7 3" xfId="53833" xr:uid="{00000000-0005-0000-0000-000042D20000}"/>
    <cellStyle name="Normal 39 17 8" xfId="53834" xr:uid="{00000000-0005-0000-0000-000043D20000}"/>
    <cellStyle name="Normal 39 17 8 2" xfId="53835" xr:uid="{00000000-0005-0000-0000-000044D20000}"/>
    <cellStyle name="Normal 39 17 8 3" xfId="53836" xr:uid="{00000000-0005-0000-0000-000045D20000}"/>
    <cellStyle name="Normal 39 17 9" xfId="53837" xr:uid="{00000000-0005-0000-0000-000046D20000}"/>
    <cellStyle name="Normal 39 17 9 2" xfId="53838" xr:uid="{00000000-0005-0000-0000-000047D20000}"/>
    <cellStyle name="Normal 39 17 9 3" xfId="53839" xr:uid="{00000000-0005-0000-0000-000048D20000}"/>
    <cellStyle name="Normal 39 18" xfId="53840" xr:uid="{00000000-0005-0000-0000-000049D20000}"/>
    <cellStyle name="Normal 39 18 2" xfId="53841" xr:uid="{00000000-0005-0000-0000-00004AD20000}"/>
    <cellStyle name="Normal 39 18 3" xfId="53842" xr:uid="{00000000-0005-0000-0000-00004BD20000}"/>
    <cellStyle name="Normal 39 19" xfId="53843" xr:uid="{00000000-0005-0000-0000-00004CD20000}"/>
    <cellStyle name="Normal 39 19 2" xfId="53844" xr:uid="{00000000-0005-0000-0000-00004DD20000}"/>
    <cellStyle name="Normal 39 19 3" xfId="53845" xr:uid="{00000000-0005-0000-0000-00004ED20000}"/>
    <cellStyle name="Normal 39 2" xfId="53846" xr:uid="{00000000-0005-0000-0000-00004FD20000}"/>
    <cellStyle name="Normal 39 2 10" xfId="53847" xr:uid="{00000000-0005-0000-0000-000050D20000}"/>
    <cellStyle name="Normal 39 2 11" xfId="53848" xr:uid="{00000000-0005-0000-0000-000051D20000}"/>
    <cellStyle name="Normal 39 2 12" xfId="53849" xr:uid="{00000000-0005-0000-0000-000052D20000}"/>
    <cellStyle name="Normal 39 2 13" xfId="53850" xr:uid="{00000000-0005-0000-0000-000053D20000}"/>
    <cellStyle name="Normal 39 2 14" xfId="53851" xr:uid="{00000000-0005-0000-0000-000054D20000}"/>
    <cellStyle name="Normal 39 2 15" xfId="53852" xr:uid="{00000000-0005-0000-0000-000055D20000}"/>
    <cellStyle name="Normal 39 2 16" xfId="53853" xr:uid="{00000000-0005-0000-0000-000056D20000}"/>
    <cellStyle name="Normal 39 2 17" xfId="53854" xr:uid="{00000000-0005-0000-0000-000057D20000}"/>
    <cellStyle name="Normal 39 2 2" xfId="53855" xr:uid="{00000000-0005-0000-0000-000058D20000}"/>
    <cellStyle name="Normal 39 2 2 10" xfId="53856" xr:uid="{00000000-0005-0000-0000-000059D20000}"/>
    <cellStyle name="Normal 39 2 2 11" xfId="53857" xr:uid="{00000000-0005-0000-0000-00005AD20000}"/>
    <cellStyle name="Normal 39 2 2 12" xfId="53858" xr:uid="{00000000-0005-0000-0000-00005BD20000}"/>
    <cellStyle name="Normal 39 2 2 13" xfId="53859" xr:uid="{00000000-0005-0000-0000-00005CD20000}"/>
    <cellStyle name="Normal 39 2 2 14" xfId="53860" xr:uid="{00000000-0005-0000-0000-00005DD20000}"/>
    <cellStyle name="Normal 39 2 2 2" xfId="53861" xr:uid="{00000000-0005-0000-0000-00005ED20000}"/>
    <cellStyle name="Normal 39 2 2 2 2" xfId="53862" xr:uid="{00000000-0005-0000-0000-00005FD20000}"/>
    <cellStyle name="Normal 39 2 2 2 2 2" xfId="53863" xr:uid="{00000000-0005-0000-0000-000060D20000}"/>
    <cellStyle name="Normal 39 2 2 2 2 3" xfId="53864" xr:uid="{00000000-0005-0000-0000-000061D20000}"/>
    <cellStyle name="Normal 39 2 2 2 3" xfId="53865" xr:uid="{00000000-0005-0000-0000-000062D20000}"/>
    <cellStyle name="Normal 39 2 2 3" xfId="53866" xr:uid="{00000000-0005-0000-0000-000063D20000}"/>
    <cellStyle name="Normal 39 2 2 4" xfId="53867" xr:uid="{00000000-0005-0000-0000-000064D20000}"/>
    <cellStyle name="Normal 39 2 2 5" xfId="53868" xr:uid="{00000000-0005-0000-0000-000065D20000}"/>
    <cellStyle name="Normal 39 2 2 6" xfId="53869" xr:uid="{00000000-0005-0000-0000-000066D20000}"/>
    <cellStyle name="Normal 39 2 2 7" xfId="53870" xr:uid="{00000000-0005-0000-0000-000067D20000}"/>
    <cellStyle name="Normal 39 2 2 8" xfId="53871" xr:uid="{00000000-0005-0000-0000-000068D20000}"/>
    <cellStyle name="Normal 39 2 2 9" xfId="53872" xr:uid="{00000000-0005-0000-0000-000069D20000}"/>
    <cellStyle name="Normal 39 2 3" xfId="53873" xr:uid="{00000000-0005-0000-0000-00006AD20000}"/>
    <cellStyle name="Normal 39 2 4" xfId="53874" xr:uid="{00000000-0005-0000-0000-00006BD20000}"/>
    <cellStyle name="Normal 39 2 5" xfId="53875" xr:uid="{00000000-0005-0000-0000-00006CD20000}"/>
    <cellStyle name="Normal 39 2 6" xfId="53876" xr:uid="{00000000-0005-0000-0000-00006DD20000}"/>
    <cellStyle name="Normal 39 2 6 2" xfId="53877" xr:uid="{00000000-0005-0000-0000-00006ED20000}"/>
    <cellStyle name="Normal 39 2 6 2 2" xfId="53878" xr:uid="{00000000-0005-0000-0000-00006FD20000}"/>
    <cellStyle name="Normal 39 2 6 2 3" xfId="53879" xr:uid="{00000000-0005-0000-0000-000070D20000}"/>
    <cellStyle name="Normal 39 2 6 3" xfId="53880" xr:uid="{00000000-0005-0000-0000-000071D20000}"/>
    <cellStyle name="Normal 39 2 7" xfId="53881" xr:uid="{00000000-0005-0000-0000-000072D20000}"/>
    <cellStyle name="Normal 39 2 7 2" xfId="53882" xr:uid="{00000000-0005-0000-0000-000073D20000}"/>
    <cellStyle name="Normal 39 2 7 2 2" xfId="53883" xr:uid="{00000000-0005-0000-0000-000074D20000}"/>
    <cellStyle name="Normal 39 2 7 2 3" xfId="53884" xr:uid="{00000000-0005-0000-0000-000075D20000}"/>
    <cellStyle name="Normal 39 2 7 3" xfId="53885" xr:uid="{00000000-0005-0000-0000-000076D20000}"/>
    <cellStyle name="Normal 39 2 8" xfId="53886" xr:uid="{00000000-0005-0000-0000-000077D20000}"/>
    <cellStyle name="Normal 39 2 9" xfId="53887" xr:uid="{00000000-0005-0000-0000-000078D20000}"/>
    <cellStyle name="Normal 39 20" xfId="53888" xr:uid="{00000000-0005-0000-0000-000079D20000}"/>
    <cellStyle name="Normal 39 20 2" xfId="53889" xr:uid="{00000000-0005-0000-0000-00007AD20000}"/>
    <cellStyle name="Normal 39 20 3" xfId="53890" xr:uid="{00000000-0005-0000-0000-00007BD20000}"/>
    <cellStyle name="Normal 39 21" xfId="53891" xr:uid="{00000000-0005-0000-0000-00007CD20000}"/>
    <cellStyle name="Normal 39 21 2" xfId="53892" xr:uid="{00000000-0005-0000-0000-00007DD20000}"/>
    <cellStyle name="Normal 39 21 3" xfId="53893" xr:uid="{00000000-0005-0000-0000-00007ED20000}"/>
    <cellStyle name="Normal 39 22" xfId="53894" xr:uid="{00000000-0005-0000-0000-00007FD20000}"/>
    <cellStyle name="Normal 39 22 2" xfId="53895" xr:uid="{00000000-0005-0000-0000-000080D20000}"/>
    <cellStyle name="Normal 39 22 3" xfId="53896" xr:uid="{00000000-0005-0000-0000-000081D20000}"/>
    <cellStyle name="Normal 39 23" xfId="53897" xr:uid="{00000000-0005-0000-0000-000082D20000}"/>
    <cellStyle name="Normal 39 23 2" xfId="53898" xr:uid="{00000000-0005-0000-0000-000083D20000}"/>
    <cellStyle name="Normal 39 23 3" xfId="53899" xr:uid="{00000000-0005-0000-0000-000084D20000}"/>
    <cellStyle name="Normal 39 24" xfId="53900" xr:uid="{00000000-0005-0000-0000-000085D20000}"/>
    <cellStyle name="Normal 39 24 2" xfId="53901" xr:uid="{00000000-0005-0000-0000-000086D20000}"/>
    <cellStyle name="Normal 39 24 3" xfId="53902" xr:uid="{00000000-0005-0000-0000-000087D20000}"/>
    <cellStyle name="Normal 39 25" xfId="53903" xr:uid="{00000000-0005-0000-0000-000088D20000}"/>
    <cellStyle name="Normal 39 25 2" xfId="53904" xr:uid="{00000000-0005-0000-0000-000089D20000}"/>
    <cellStyle name="Normal 39 25 3" xfId="53905" xr:uid="{00000000-0005-0000-0000-00008AD20000}"/>
    <cellStyle name="Normal 39 26" xfId="53906" xr:uid="{00000000-0005-0000-0000-00008BD20000}"/>
    <cellStyle name="Normal 39 26 2" xfId="53907" xr:uid="{00000000-0005-0000-0000-00008CD20000}"/>
    <cellStyle name="Normal 39 26 3" xfId="53908" xr:uid="{00000000-0005-0000-0000-00008DD20000}"/>
    <cellStyle name="Normal 39 27" xfId="53909" xr:uid="{00000000-0005-0000-0000-00008ED20000}"/>
    <cellStyle name="Normal 39 27 2" xfId="53910" xr:uid="{00000000-0005-0000-0000-00008FD20000}"/>
    <cellStyle name="Normal 39 27 3" xfId="53911" xr:uid="{00000000-0005-0000-0000-000090D20000}"/>
    <cellStyle name="Normal 39 28" xfId="53912" xr:uid="{00000000-0005-0000-0000-000091D20000}"/>
    <cellStyle name="Normal 39 28 2" xfId="53913" xr:uid="{00000000-0005-0000-0000-000092D20000}"/>
    <cellStyle name="Normal 39 28 3" xfId="53914" xr:uid="{00000000-0005-0000-0000-000093D20000}"/>
    <cellStyle name="Normal 39 29" xfId="53915" xr:uid="{00000000-0005-0000-0000-000094D20000}"/>
    <cellStyle name="Normal 39 29 2" xfId="53916" xr:uid="{00000000-0005-0000-0000-000095D20000}"/>
    <cellStyle name="Normal 39 29 3" xfId="53917" xr:uid="{00000000-0005-0000-0000-000096D20000}"/>
    <cellStyle name="Normal 39 3" xfId="53918" xr:uid="{00000000-0005-0000-0000-000097D20000}"/>
    <cellStyle name="Normal 39 30" xfId="53919" xr:uid="{00000000-0005-0000-0000-000098D20000}"/>
    <cellStyle name="Normal 39 30 2" xfId="53920" xr:uid="{00000000-0005-0000-0000-000099D20000}"/>
    <cellStyle name="Normal 39 30 3" xfId="53921" xr:uid="{00000000-0005-0000-0000-00009AD20000}"/>
    <cellStyle name="Normal 39 31" xfId="53922" xr:uid="{00000000-0005-0000-0000-00009BD20000}"/>
    <cellStyle name="Normal 39 32" xfId="53923" xr:uid="{00000000-0005-0000-0000-00009CD20000}"/>
    <cellStyle name="Normal 39 33" xfId="53924" xr:uid="{00000000-0005-0000-0000-00009DD20000}"/>
    <cellStyle name="Normal 39 34" xfId="53925" xr:uid="{00000000-0005-0000-0000-00009ED20000}"/>
    <cellStyle name="Normal 39 35" xfId="53926" xr:uid="{00000000-0005-0000-0000-00009FD20000}"/>
    <cellStyle name="Normal 39 36" xfId="53927" xr:uid="{00000000-0005-0000-0000-0000A0D20000}"/>
    <cellStyle name="Normal 39 37" xfId="53928" xr:uid="{00000000-0005-0000-0000-0000A1D20000}"/>
    <cellStyle name="Normal 39 38" xfId="53929" xr:uid="{00000000-0005-0000-0000-0000A2D20000}"/>
    <cellStyle name="Normal 39 39" xfId="53930" xr:uid="{00000000-0005-0000-0000-0000A3D20000}"/>
    <cellStyle name="Normal 39 4" xfId="53931" xr:uid="{00000000-0005-0000-0000-0000A4D20000}"/>
    <cellStyle name="Normal 39 4 10" xfId="53932" xr:uid="{00000000-0005-0000-0000-0000A5D20000}"/>
    <cellStyle name="Normal 39 4 10 2" xfId="53933" xr:uid="{00000000-0005-0000-0000-0000A6D20000}"/>
    <cellStyle name="Normal 39 4 10 3" xfId="53934" xr:uid="{00000000-0005-0000-0000-0000A7D20000}"/>
    <cellStyle name="Normal 39 4 11" xfId="53935" xr:uid="{00000000-0005-0000-0000-0000A8D20000}"/>
    <cellStyle name="Normal 39 4 11 2" xfId="53936" xr:uid="{00000000-0005-0000-0000-0000A9D20000}"/>
    <cellStyle name="Normal 39 4 11 3" xfId="53937" xr:uid="{00000000-0005-0000-0000-0000AAD20000}"/>
    <cellStyle name="Normal 39 4 12" xfId="53938" xr:uid="{00000000-0005-0000-0000-0000ABD20000}"/>
    <cellStyle name="Normal 39 4 12 2" xfId="53939" xr:uid="{00000000-0005-0000-0000-0000ACD20000}"/>
    <cellStyle name="Normal 39 4 12 3" xfId="53940" xr:uid="{00000000-0005-0000-0000-0000ADD20000}"/>
    <cellStyle name="Normal 39 4 13" xfId="53941" xr:uid="{00000000-0005-0000-0000-0000AED20000}"/>
    <cellStyle name="Normal 39 4 13 2" xfId="53942" xr:uid="{00000000-0005-0000-0000-0000AFD20000}"/>
    <cellStyle name="Normal 39 4 13 3" xfId="53943" xr:uid="{00000000-0005-0000-0000-0000B0D20000}"/>
    <cellStyle name="Normal 39 4 14" xfId="53944" xr:uid="{00000000-0005-0000-0000-0000B1D20000}"/>
    <cellStyle name="Normal 39 4 14 2" xfId="53945" xr:uid="{00000000-0005-0000-0000-0000B2D20000}"/>
    <cellStyle name="Normal 39 4 14 3" xfId="53946" xr:uid="{00000000-0005-0000-0000-0000B3D20000}"/>
    <cellStyle name="Normal 39 4 15" xfId="53947" xr:uid="{00000000-0005-0000-0000-0000B4D20000}"/>
    <cellStyle name="Normal 39 4 15 2" xfId="53948" xr:uid="{00000000-0005-0000-0000-0000B5D20000}"/>
    <cellStyle name="Normal 39 4 15 3" xfId="53949" xr:uid="{00000000-0005-0000-0000-0000B6D20000}"/>
    <cellStyle name="Normal 39 4 16" xfId="53950" xr:uid="{00000000-0005-0000-0000-0000B7D20000}"/>
    <cellStyle name="Normal 39 4 17" xfId="53951" xr:uid="{00000000-0005-0000-0000-0000B8D20000}"/>
    <cellStyle name="Normal 39 4 18" xfId="53952" xr:uid="{00000000-0005-0000-0000-0000B9D20000}"/>
    <cellStyle name="Normal 39 4 19" xfId="53953" xr:uid="{00000000-0005-0000-0000-0000BAD20000}"/>
    <cellStyle name="Normal 39 4 2" xfId="53954" xr:uid="{00000000-0005-0000-0000-0000BBD20000}"/>
    <cellStyle name="Normal 39 4 2 10" xfId="53955" xr:uid="{00000000-0005-0000-0000-0000BCD20000}"/>
    <cellStyle name="Normal 39 4 2 10 2" xfId="53956" xr:uid="{00000000-0005-0000-0000-0000BDD20000}"/>
    <cellStyle name="Normal 39 4 2 10 3" xfId="53957" xr:uid="{00000000-0005-0000-0000-0000BED20000}"/>
    <cellStyle name="Normal 39 4 2 11" xfId="53958" xr:uid="{00000000-0005-0000-0000-0000BFD20000}"/>
    <cellStyle name="Normal 39 4 2 11 2" xfId="53959" xr:uid="{00000000-0005-0000-0000-0000C0D20000}"/>
    <cellStyle name="Normal 39 4 2 11 3" xfId="53960" xr:uid="{00000000-0005-0000-0000-0000C1D20000}"/>
    <cellStyle name="Normal 39 4 2 12" xfId="53961" xr:uid="{00000000-0005-0000-0000-0000C2D20000}"/>
    <cellStyle name="Normal 39 4 2 12 2" xfId="53962" xr:uid="{00000000-0005-0000-0000-0000C3D20000}"/>
    <cellStyle name="Normal 39 4 2 12 3" xfId="53963" xr:uid="{00000000-0005-0000-0000-0000C4D20000}"/>
    <cellStyle name="Normal 39 4 2 13" xfId="53964" xr:uid="{00000000-0005-0000-0000-0000C5D20000}"/>
    <cellStyle name="Normal 39 4 2 13 2" xfId="53965" xr:uid="{00000000-0005-0000-0000-0000C6D20000}"/>
    <cellStyle name="Normal 39 4 2 13 3" xfId="53966" xr:uid="{00000000-0005-0000-0000-0000C7D20000}"/>
    <cellStyle name="Normal 39 4 2 14" xfId="53967" xr:uid="{00000000-0005-0000-0000-0000C8D20000}"/>
    <cellStyle name="Normal 39 4 2 14 2" xfId="53968" xr:uid="{00000000-0005-0000-0000-0000C9D20000}"/>
    <cellStyle name="Normal 39 4 2 14 3" xfId="53969" xr:uid="{00000000-0005-0000-0000-0000CAD20000}"/>
    <cellStyle name="Normal 39 4 2 15" xfId="53970" xr:uid="{00000000-0005-0000-0000-0000CBD20000}"/>
    <cellStyle name="Normal 39 4 2 16" xfId="53971" xr:uid="{00000000-0005-0000-0000-0000CCD20000}"/>
    <cellStyle name="Normal 39 4 2 2" xfId="53972" xr:uid="{00000000-0005-0000-0000-0000CDD20000}"/>
    <cellStyle name="Normal 39 4 2 2 2" xfId="53973" xr:uid="{00000000-0005-0000-0000-0000CED20000}"/>
    <cellStyle name="Normal 39 4 2 2 3" xfId="53974" xr:uid="{00000000-0005-0000-0000-0000CFD20000}"/>
    <cellStyle name="Normal 39 4 2 3" xfId="53975" xr:uid="{00000000-0005-0000-0000-0000D0D20000}"/>
    <cellStyle name="Normal 39 4 2 3 2" xfId="53976" xr:uid="{00000000-0005-0000-0000-0000D1D20000}"/>
    <cellStyle name="Normal 39 4 2 3 3" xfId="53977" xr:uid="{00000000-0005-0000-0000-0000D2D20000}"/>
    <cellStyle name="Normal 39 4 2 4" xfId="53978" xr:uid="{00000000-0005-0000-0000-0000D3D20000}"/>
    <cellStyle name="Normal 39 4 2 4 2" xfId="53979" xr:uid="{00000000-0005-0000-0000-0000D4D20000}"/>
    <cellStyle name="Normal 39 4 2 4 3" xfId="53980" xr:uid="{00000000-0005-0000-0000-0000D5D20000}"/>
    <cellStyle name="Normal 39 4 2 5" xfId="53981" xr:uid="{00000000-0005-0000-0000-0000D6D20000}"/>
    <cellStyle name="Normal 39 4 2 5 2" xfId="53982" xr:uid="{00000000-0005-0000-0000-0000D7D20000}"/>
    <cellStyle name="Normal 39 4 2 5 3" xfId="53983" xr:uid="{00000000-0005-0000-0000-0000D8D20000}"/>
    <cellStyle name="Normal 39 4 2 6" xfId="53984" xr:uid="{00000000-0005-0000-0000-0000D9D20000}"/>
    <cellStyle name="Normal 39 4 2 6 2" xfId="53985" xr:uid="{00000000-0005-0000-0000-0000DAD20000}"/>
    <cellStyle name="Normal 39 4 2 6 3" xfId="53986" xr:uid="{00000000-0005-0000-0000-0000DBD20000}"/>
    <cellStyle name="Normal 39 4 2 7" xfId="53987" xr:uid="{00000000-0005-0000-0000-0000DCD20000}"/>
    <cellStyle name="Normal 39 4 2 7 2" xfId="53988" xr:uid="{00000000-0005-0000-0000-0000DDD20000}"/>
    <cellStyle name="Normal 39 4 2 7 3" xfId="53989" xr:uid="{00000000-0005-0000-0000-0000DED20000}"/>
    <cellStyle name="Normal 39 4 2 8" xfId="53990" xr:uid="{00000000-0005-0000-0000-0000DFD20000}"/>
    <cellStyle name="Normal 39 4 2 8 2" xfId="53991" xr:uid="{00000000-0005-0000-0000-0000E0D20000}"/>
    <cellStyle name="Normal 39 4 2 8 3" xfId="53992" xr:uid="{00000000-0005-0000-0000-0000E1D20000}"/>
    <cellStyle name="Normal 39 4 2 9" xfId="53993" xr:uid="{00000000-0005-0000-0000-0000E2D20000}"/>
    <cellStyle name="Normal 39 4 2 9 2" xfId="53994" xr:uid="{00000000-0005-0000-0000-0000E3D20000}"/>
    <cellStyle name="Normal 39 4 2 9 3" xfId="53995" xr:uid="{00000000-0005-0000-0000-0000E4D20000}"/>
    <cellStyle name="Normal 39 4 20" xfId="53996" xr:uid="{00000000-0005-0000-0000-0000E5D20000}"/>
    <cellStyle name="Normal 39 4 21" xfId="53997" xr:uid="{00000000-0005-0000-0000-0000E6D20000}"/>
    <cellStyle name="Normal 39 4 22" xfId="53998" xr:uid="{00000000-0005-0000-0000-0000E7D20000}"/>
    <cellStyle name="Normal 39 4 23" xfId="53999" xr:uid="{00000000-0005-0000-0000-0000E8D20000}"/>
    <cellStyle name="Normal 39 4 24" xfId="54000" xr:uid="{00000000-0005-0000-0000-0000E9D20000}"/>
    <cellStyle name="Normal 39 4 25" xfId="54001" xr:uid="{00000000-0005-0000-0000-0000EAD20000}"/>
    <cellStyle name="Normal 39 4 26" xfId="54002" xr:uid="{00000000-0005-0000-0000-0000EBD20000}"/>
    <cellStyle name="Normal 39 4 27" xfId="54003" xr:uid="{00000000-0005-0000-0000-0000ECD20000}"/>
    <cellStyle name="Normal 39 4 28" xfId="54004" xr:uid="{00000000-0005-0000-0000-0000EDD20000}"/>
    <cellStyle name="Normal 39 4 3" xfId="54005" xr:uid="{00000000-0005-0000-0000-0000EED20000}"/>
    <cellStyle name="Normal 39 4 3 2" xfId="54006" xr:uid="{00000000-0005-0000-0000-0000EFD20000}"/>
    <cellStyle name="Normal 39 4 3 3" xfId="54007" xr:uid="{00000000-0005-0000-0000-0000F0D20000}"/>
    <cellStyle name="Normal 39 4 4" xfId="54008" xr:uid="{00000000-0005-0000-0000-0000F1D20000}"/>
    <cellStyle name="Normal 39 4 4 2" xfId="54009" xr:uid="{00000000-0005-0000-0000-0000F2D20000}"/>
    <cellStyle name="Normal 39 4 4 3" xfId="54010" xr:uid="{00000000-0005-0000-0000-0000F3D20000}"/>
    <cellStyle name="Normal 39 4 5" xfId="54011" xr:uid="{00000000-0005-0000-0000-0000F4D20000}"/>
    <cellStyle name="Normal 39 4 5 2" xfId="54012" xr:uid="{00000000-0005-0000-0000-0000F5D20000}"/>
    <cellStyle name="Normal 39 4 5 3" xfId="54013" xr:uid="{00000000-0005-0000-0000-0000F6D20000}"/>
    <cellStyle name="Normal 39 4 6" xfId="54014" xr:uid="{00000000-0005-0000-0000-0000F7D20000}"/>
    <cellStyle name="Normal 39 4 6 2" xfId="54015" xr:uid="{00000000-0005-0000-0000-0000F8D20000}"/>
    <cellStyle name="Normal 39 4 6 3" xfId="54016" xr:uid="{00000000-0005-0000-0000-0000F9D20000}"/>
    <cellStyle name="Normal 39 4 7" xfId="54017" xr:uid="{00000000-0005-0000-0000-0000FAD20000}"/>
    <cellStyle name="Normal 39 4 7 2" xfId="54018" xr:uid="{00000000-0005-0000-0000-0000FBD20000}"/>
    <cellStyle name="Normal 39 4 7 3" xfId="54019" xr:uid="{00000000-0005-0000-0000-0000FCD20000}"/>
    <cellStyle name="Normal 39 4 8" xfId="54020" xr:uid="{00000000-0005-0000-0000-0000FDD20000}"/>
    <cellStyle name="Normal 39 4 8 2" xfId="54021" xr:uid="{00000000-0005-0000-0000-0000FED20000}"/>
    <cellStyle name="Normal 39 4 8 3" xfId="54022" xr:uid="{00000000-0005-0000-0000-0000FFD20000}"/>
    <cellStyle name="Normal 39 4 9" xfId="54023" xr:uid="{00000000-0005-0000-0000-000000D30000}"/>
    <cellStyle name="Normal 39 4 9 2" xfId="54024" xr:uid="{00000000-0005-0000-0000-000001D30000}"/>
    <cellStyle name="Normal 39 4 9 3" xfId="54025" xr:uid="{00000000-0005-0000-0000-000002D30000}"/>
    <cellStyle name="Normal 39 40" xfId="54026" xr:uid="{00000000-0005-0000-0000-000003D30000}"/>
    <cellStyle name="Normal 39 41" xfId="54027" xr:uid="{00000000-0005-0000-0000-000004D30000}"/>
    <cellStyle name="Normal 39 42" xfId="54028" xr:uid="{00000000-0005-0000-0000-000005D30000}"/>
    <cellStyle name="Normal 39 43" xfId="54029" xr:uid="{00000000-0005-0000-0000-000006D30000}"/>
    <cellStyle name="Normal 39 5" xfId="54030" xr:uid="{00000000-0005-0000-0000-000007D30000}"/>
    <cellStyle name="Normal 39 5 10" xfId="54031" xr:uid="{00000000-0005-0000-0000-000008D30000}"/>
    <cellStyle name="Normal 39 5 10 2" xfId="54032" xr:uid="{00000000-0005-0000-0000-000009D30000}"/>
    <cellStyle name="Normal 39 5 10 3" xfId="54033" xr:uid="{00000000-0005-0000-0000-00000AD30000}"/>
    <cellStyle name="Normal 39 5 11" xfId="54034" xr:uid="{00000000-0005-0000-0000-00000BD30000}"/>
    <cellStyle name="Normal 39 5 11 2" xfId="54035" xr:uid="{00000000-0005-0000-0000-00000CD30000}"/>
    <cellStyle name="Normal 39 5 11 3" xfId="54036" xr:uid="{00000000-0005-0000-0000-00000DD30000}"/>
    <cellStyle name="Normal 39 5 12" xfId="54037" xr:uid="{00000000-0005-0000-0000-00000ED30000}"/>
    <cellStyle name="Normal 39 5 12 2" xfId="54038" xr:uid="{00000000-0005-0000-0000-00000FD30000}"/>
    <cellStyle name="Normal 39 5 12 3" xfId="54039" xr:uid="{00000000-0005-0000-0000-000010D30000}"/>
    <cellStyle name="Normal 39 5 13" xfId="54040" xr:uid="{00000000-0005-0000-0000-000011D30000}"/>
    <cellStyle name="Normal 39 5 13 2" xfId="54041" xr:uid="{00000000-0005-0000-0000-000012D30000}"/>
    <cellStyle name="Normal 39 5 13 3" xfId="54042" xr:uid="{00000000-0005-0000-0000-000013D30000}"/>
    <cellStyle name="Normal 39 5 14" xfId="54043" xr:uid="{00000000-0005-0000-0000-000014D30000}"/>
    <cellStyle name="Normal 39 5 14 2" xfId="54044" xr:uid="{00000000-0005-0000-0000-000015D30000}"/>
    <cellStyle name="Normal 39 5 14 3" xfId="54045" xr:uid="{00000000-0005-0000-0000-000016D30000}"/>
    <cellStyle name="Normal 39 5 15" xfId="54046" xr:uid="{00000000-0005-0000-0000-000017D30000}"/>
    <cellStyle name="Normal 39 5 15 2" xfId="54047" xr:uid="{00000000-0005-0000-0000-000018D30000}"/>
    <cellStyle name="Normal 39 5 15 3" xfId="54048" xr:uid="{00000000-0005-0000-0000-000019D30000}"/>
    <cellStyle name="Normal 39 5 16" xfId="54049" xr:uid="{00000000-0005-0000-0000-00001AD30000}"/>
    <cellStyle name="Normal 39 5 17" xfId="54050" xr:uid="{00000000-0005-0000-0000-00001BD30000}"/>
    <cellStyle name="Normal 39 5 18" xfId="54051" xr:uid="{00000000-0005-0000-0000-00001CD30000}"/>
    <cellStyle name="Normal 39 5 19" xfId="54052" xr:uid="{00000000-0005-0000-0000-00001DD30000}"/>
    <cellStyle name="Normal 39 5 2" xfId="54053" xr:uid="{00000000-0005-0000-0000-00001ED30000}"/>
    <cellStyle name="Normal 39 5 2 10" xfId="54054" xr:uid="{00000000-0005-0000-0000-00001FD30000}"/>
    <cellStyle name="Normal 39 5 2 10 2" xfId="54055" xr:uid="{00000000-0005-0000-0000-000020D30000}"/>
    <cellStyle name="Normal 39 5 2 10 3" xfId="54056" xr:uid="{00000000-0005-0000-0000-000021D30000}"/>
    <cellStyle name="Normal 39 5 2 11" xfId="54057" xr:uid="{00000000-0005-0000-0000-000022D30000}"/>
    <cellStyle name="Normal 39 5 2 11 2" xfId="54058" xr:uid="{00000000-0005-0000-0000-000023D30000}"/>
    <cellStyle name="Normal 39 5 2 11 3" xfId="54059" xr:uid="{00000000-0005-0000-0000-000024D30000}"/>
    <cellStyle name="Normal 39 5 2 12" xfId="54060" xr:uid="{00000000-0005-0000-0000-000025D30000}"/>
    <cellStyle name="Normal 39 5 2 12 2" xfId="54061" xr:uid="{00000000-0005-0000-0000-000026D30000}"/>
    <cellStyle name="Normal 39 5 2 12 3" xfId="54062" xr:uid="{00000000-0005-0000-0000-000027D30000}"/>
    <cellStyle name="Normal 39 5 2 13" xfId="54063" xr:uid="{00000000-0005-0000-0000-000028D30000}"/>
    <cellStyle name="Normal 39 5 2 13 2" xfId="54064" xr:uid="{00000000-0005-0000-0000-000029D30000}"/>
    <cellStyle name="Normal 39 5 2 13 3" xfId="54065" xr:uid="{00000000-0005-0000-0000-00002AD30000}"/>
    <cellStyle name="Normal 39 5 2 14" xfId="54066" xr:uid="{00000000-0005-0000-0000-00002BD30000}"/>
    <cellStyle name="Normal 39 5 2 14 2" xfId="54067" xr:uid="{00000000-0005-0000-0000-00002CD30000}"/>
    <cellStyle name="Normal 39 5 2 14 3" xfId="54068" xr:uid="{00000000-0005-0000-0000-00002DD30000}"/>
    <cellStyle name="Normal 39 5 2 15" xfId="54069" xr:uid="{00000000-0005-0000-0000-00002ED30000}"/>
    <cellStyle name="Normal 39 5 2 16" xfId="54070" xr:uid="{00000000-0005-0000-0000-00002FD30000}"/>
    <cellStyle name="Normal 39 5 2 2" xfId="54071" xr:uid="{00000000-0005-0000-0000-000030D30000}"/>
    <cellStyle name="Normal 39 5 2 2 2" xfId="54072" xr:uid="{00000000-0005-0000-0000-000031D30000}"/>
    <cellStyle name="Normal 39 5 2 2 3" xfId="54073" xr:uid="{00000000-0005-0000-0000-000032D30000}"/>
    <cellStyle name="Normal 39 5 2 3" xfId="54074" xr:uid="{00000000-0005-0000-0000-000033D30000}"/>
    <cellStyle name="Normal 39 5 2 3 2" xfId="54075" xr:uid="{00000000-0005-0000-0000-000034D30000}"/>
    <cellStyle name="Normal 39 5 2 3 3" xfId="54076" xr:uid="{00000000-0005-0000-0000-000035D30000}"/>
    <cellStyle name="Normal 39 5 2 4" xfId="54077" xr:uid="{00000000-0005-0000-0000-000036D30000}"/>
    <cellStyle name="Normal 39 5 2 4 2" xfId="54078" xr:uid="{00000000-0005-0000-0000-000037D30000}"/>
    <cellStyle name="Normal 39 5 2 4 3" xfId="54079" xr:uid="{00000000-0005-0000-0000-000038D30000}"/>
    <cellStyle name="Normal 39 5 2 5" xfId="54080" xr:uid="{00000000-0005-0000-0000-000039D30000}"/>
    <cellStyle name="Normal 39 5 2 5 2" xfId="54081" xr:uid="{00000000-0005-0000-0000-00003AD30000}"/>
    <cellStyle name="Normal 39 5 2 5 3" xfId="54082" xr:uid="{00000000-0005-0000-0000-00003BD30000}"/>
    <cellStyle name="Normal 39 5 2 6" xfId="54083" xr:uid="{00000000-0005-0000-0000-00003CD30000}"/>
    <cellStyle name="Normal 39 5 2 6 2" xfId="54084" xr:uid="{00000000-0005-0000-0000-00003DD30000}"/>
    <cellStyle name="Normal 39 5 2 6 3" xfId="54085" xr:uid="{00000000-0005-0000-0000-00003ED30000}"/>
    <cellStyle name="Normal 39 5 2 7" xfId="54086" xr:uid="{00000000-0005-0000-0000-00003FD30000}"/>
    <cellStyle name="Normal 39 5 2 7 2" xfId="54087" xr:uid="{00000000-0005-0000-0000-000040D30000}"/>
    <cellStyle name="Normal 39 5 2 7 3" xfId="54088" xr:uid="{00000000-0005-0000-0000-000041D30000}"/>
    <cellStyle name="Normal 39 5 2 8" xfId="54089" xr:uid="{00000000-0005-0000-0000-000042D30000}"/>
    <cellStyle name="Normal 39 5 2 8 2" xfId="54090" xr:uid="{00000000-0005-0000-0000-000043D30000}"/>
    <cellStyle name="Normal 39 5 2 8 3" xfId="54091" xr:uid="{00000000-0005-0000-0000-000044D30000}"/>
    <cellStyle name="Normal 39 5 2 9" xfId="54092" xr:uid="{00000000-0005-0000-0000-000045D30000}"/>
    <cellStyle name="Normal 39 5 2 9 2" xfId="54093" xr:uid="{00000000-0005-0000-0000-000046D30000}"/>
    <cellStyle name="Normal 39 5 2 9 3" xfId="54094" xr:uid="{00000000-0005-0000-0000-000047D30000}"/>
    <cellStyle name="Normal 39 5 20" xfId="54095" xr:uid="{00000000-0005-0000-0000-000048D30000}"/>
    <cellStyle name="Normal 39 5 21" xfId="54096" xr:uid="{00000000-0005-0000-0000-000049D30000}"/>
    <cellStyle name="Normal 39 5 22" xfId="54097" xr:uid="{00000000-0005-0000-0000-00004AD30000}"/>
    <cellStyle name="Normal 39 5 23" xfId="54098" xr:uid="{00000000-0005-0000-0000-00004BD30000}"/>
    <cellStyle name="Normal 39 5 24" xfId="54099" xr:uid="{00000000-0005-0000-0000-00004CD30000}"/>
    <cellStyle name="Normal 39 5 25" xfId="54100" xr:uid="{00000000-0005-0000-0000-00004DD30000}"/>
    <cellStyle name="Normal 39 5 26" xfId="54101" xr:uid="{00000000-0005-0000-0000-00004ED30000}"/>
    <cellStyle name="Normal 39 5 27" xfId="54102" xr:uid="{00000000-0005-0000-0000-00004FD30000}"/>
    <cellStyle name="Normal 39 5 28" xfId="54103" xr:uid="{00000000-0005-0000-0000-000050D30000}"/>
    <cellStyle name="Normal 39 5 3" xfId="54104" xr:uid="{00000000-0005-0000-0000-000051D30000}"/>
    <cellStyle name="Normal 39 5 3 2" xfId="54105" xr:uid="{00000000-0005-0000-0000-000052D30000}"/>
    <cellStyle name="Normal 39 5 3 3" xfId="54106" xr:uid="{00000000-0005-0000-0000-000053D30000}"/>
    <cellStyle name="Normal 39 5 4" xfId="54107" xr:uid="{00000000-0005-0000-0000-000054D30000}"/>
    <cellStyle name="Normal 39 5 4 2" xfId="54108" xr:uid="{00000000-0005-0000-0000-000055D30000}"/>
    <cellStyle name="Normal 39 5 4 3" xfId="54109" xr:uid="{00000000-0005-0000-0000-000056D30000}"/>
    <cellStyle name="Normal 39 5 5" xfId="54110" xr:uid="{00000000-0005-0000-0000-000057D30000}"/>
    <cellStyle name="Normal 39 5 5 2" xfId="54111" xr:uid="{00000000-0005-0000-0000-000058D30000}"/>
    <cellStyle name="Normal 39 5 5 3" xfId="54112" xr:uid="{00000000-0005-0000-0000-000059D30000}"/>
    <cellStyle name="Normal 39 5 6" xfId="54113" xr:uid="{00000000-0005-0000-0000-00005AD30000}"/>
    <cellStyle name="Normal 39 5 6 2" xfId="54114" xr:uid="{00000000-0005-0000-0000-00005BD30000}"/>
    <cellStyle name="Normal 39 5 6 3" xfId="54115" xr:uid="{00000000-0005-0000-0000-00005CD30000}"/>
    <cellStyle name="Normal 39 5 7" xfId="54116" xr:uid="{00000000-0005-0000-0000-00005DD30000}"/>
    <cellStyle name="Normal 39 5 7 2" xfId="54117" xr:uid="{00000000-0005-0000-0000-00005ED30000}"/>
    <cellStyle name="Normal 39 5 7 3" xfId="54118" xr:uid="{00000000-0005-0000-0000-00005FD30000}"/>
    <cellStyle name="Normal 39 5 8" xfId="54119" xr:uid="{00000000-0005-0000-0000-000060D30000}"/>
    <cellStyle name="Normal 39 5 8 2" xfId="54120" xr:uid="{00000000-0005-0000-0000-000061D30000}"/>
    <cellStyle name="Normal 39 5 8 3" xfId="54121" xr:uid="{00000000-0005-0000-0000-000062D30000}"/>
    <cellStyle name="Normal 39 5 9" xfId="54122" xr:uid="{00000000-0005-0000-0000-000063D30000}"/>
    <cellStyle name="Normal 39 5 9 2" xfId="54123" xr:uid="{00000000-0005-0000-0000-000064D30000}"/>
    <cellStyle name="Normal 39 5 9 3" xfId="54124" xr:uid="{00000000-0005-0000-0000-000065D30000}"/>
    <cellStyle name="Normal 39 6" xfId="54125" xr:uid="{00000000-0005-0000-0000-000066D30000}"/>
    <cellStyle name="Normal 39 6 10" xfId="54126" xr:uid="{00000000-0005-0000-0000-000067D30000}"/>
    <cellStyle name="Normal 39 6 10 2" xfId="54127" xr:uid="{00000000-0005-0000-0000-000068D30000}"/>
    <cellStyle name="Normal 39 6 10 3" xfId="54128" xr:uid="{00000000-0005-0000-0000-000069D30000}"/>
    <cellStyle name="Normal 39 6 11" xfId="54129" xr:uid="{00000000-0005-0000-0000-00006AD30000}"/>
    <cellStyle name="Normal 39 6 11 2" xfId="54130" xr:uid="{00000000-0005-0000-0000-00006BD30000}"/>
    <cellStyle name="Normal 39 6 11 3" xfId="54131" xr:uid="{00000000-0005-0000-0000-00006CD30000}"/>
    <cellStyle name="Normal 39 6 12" xfId="54132" xr:uid="{00000000-0005-0000-0000-00006DD30000}"/>
    <cellStyle name="Normal 39 6 12 2" xfId="54133" xr:uid="{00000000-0005-0000-0000-00006ED30000}"/>
    <cellStyle name="Normal 39 6 12 3" xfId="54134" xr:uid="{00000000-0005-0000-0000-00006FD30000}"/>
    <cellStyle name="Normal 39 6 13" xfId="54135" xr:uid="{00000000-0005-0000-0000-000070D30000}"/>
    <cellStyle name="Normal 39 6 13 2" xfId="54136" xr:uid="{00000000-0005-0000-0000-000071D30000}"/>
    <cellStyle name="Normal 39 6 13 3" xfId="54137" xr:uid="{00000000-0005-0000-0000-000072D30000}"/>
    <cellStyle name="Normal 39 6 14" xfId="54138" xr:uid="{00000000-0005-0000-0000-000073D30000}"/>
    <cellStyle name="Normal 39 6 14 2" xfId="54139" xr:uid="{00000000-0005-0000-0000-000074D30000}"/>
    <cellStyle name="Normal 39 6 14 3" xfId="54140" xr:uid="{00000000-0005-0000-0000-000075D30000}"/>
    <cellStyle name="Normal 39 6 15" xfId="54141" xr:uid="{00000000-0005-0000-0000-000076D30000}"/>
    <cellStyle name="Normal 39 6 15 2" xfId="54142" xr:uid="{00000000-0005-0000-0000-000077D30000}"/>
    <cellStyle name="Normal 39 6 15 3" xfId="54143" xr:uid="{00000000-0005-0000-0000-000078D30000}"/>
    <cellStyle name="Normal 39 6 16" xfId="54144" xr:uid="{00000000-0005-0000-0000-000079D30000}"/>
    <cellStyle name="Normal 39 6 17" xfId="54145" xr:uid="{00000000-0005-0000-0000-00007AD30000}"/>
    <cellStyle name="Normal 39 6 18" xfId="54146" xr:uid="{00000000-0005-0000-0000-00007BD30000}"/>
    <cellStyle name="Normal 39 6 19" xfId="54147" xr:uid="{00000000-0005-0000-0000-00007CD30000}"/>
    <cellStyle name="Normal 39 6 2" xfId="54148" xr:uid="{00000000-0005-0000-0000-00007DD30000}"/>
    <cellStyle name="Normal 39 6 2 10" xfId="54149" xr:uid="{00000000-0005-0000-0000-00007ED30000}"/>
    <cellStyle name="Normal 39 6 2 10 2" xfId="54150" xr:uid="{00000000-0005-0000-0000-00007FD30000}"/>
    <cellStyle name="Normal 39 6 2 10 3" xfId="54151" xr:uid="{00000000-0005-0000-0000-000080D30000}"/>
    <cellStyle name="Normal 39 6 2 11" xfId="54152" xr:uid="{00000000-0005-0000-0000-000081D30000}"/>
    <cellStyle name="Normal 39 6 2 11 2" xfId="54153" xr:uid="{00000000-0005-0000-0000-000082D30000}"/>
    <cellStyle name="Normal 39 6 2 11 3" xfId="54154" xr:uid="{00000000-0005-0000-0000-000083D30000}"/>
    <cellStyle name="Normal 39 6 2 12" xfId="54155" xr:uid="{00000000-0005-0000-0000-000084D30000}"/>
    <cellStyle name="Normal 39 6 2 12 2" xfId="54156" xr:uid="{00000000-0005-0000-0000-000085D30000}"/>
    <cellStyle name="Normal 39 6 2 12 3" xfId="54157" xr:uid="{00000000-0005-0000-0000-000086D30000}"/>
    <cellStyle name="Normal 39 6 2 13" xfId="54158" xr:uid="{00000000-0005-0000-0000-000087D30000}"/>
    <cellStyle name="Normal 39 6 2 13 2" xfId="54159" xr:uid="{00000000-0005-0000-0000-000088D30000}"/>
    <cellStyle name="Normal 39 6 2 13 3" xfId="54160" xr:uid="{00000000-0005-0000-0000-000089D30000}"/>
    <cellStyle name="Normal 39 6 2 14" xfId="54161" xr:uid="{00000000-0005-0000-0000-00008AD30000}"/>
    <cellStyle name="Normal 39 6 2 14 2" xfId="54162" xr:uid="{00000000-0005-0000-0000-00008BD30000}"/>
    <cellStyle name="Normal 39 6 2 14 3" xfId="54163" xr:uid="{00000000-0005-0000-0000-00008CD30000}"/>
    <cellStyle name="Normal 39 6 2 15" xfId="54164" xr:uid="{00000000-0005-0000-0000-00008DD30000}"/>
    <cellStyle name="Normal 39 6 2 16" xfId="54165" xr:uid="{00000000-0005-0000-0000-00008ED30000}"/>
    <cellStyle name="Normal 39 6 2 2" xfId="54166" xr:uid="{00000000-0005-0000-0000-00008FD30000}"/>
    <cellStyle name="Normal 39 6 2 2 2" xfId="54167" xr:uid="{00000000-0005-0000-0000-000090D30000}"/>
    <cellStyle name="Normal 39 6 2 2 3" xfId="54168" xr:uid="{00000000-0005-0000-0000-000091D30000}"/>
    <cellStyle name="Normal 39 6 2 3" xfId="54169" xr:uid="{00000000-0005-0000-0000-000092D30000}"/>
    <cellStyle name="Normal 39 6 2 3 2" xfId="54170" xr:uid="{00000000-0005-0000-0000-000093D30000}"/>
    <cellStyle name="Normal 39 6 2 3 3" xfId="54171" xr:uid="{00000000-0005-0000-0000-000094D30000}"/>
    <cellStyle name="Normal 39 6 2 4" xfId="54172" xr:uid="{00000000-0005-0000-0000-000095D30000}"/>
    <cellStyle name="Normal 39 6 2 4 2" xfId="54173" xr:uid="{00000000-0005-0000-0000-000096D30000}"/>
    <cellStyle name="Normal 39 6 2 4 3" xfId="54174" xr:uid="{00000000-0005-0000-0000-000097D30000}"/>
    <cellStyle name="Normal 39 6 2 5" xfId="54175" xr:uid="{00000000-0005-0000-0000-000098D30000}"/>
    <cellStyle name="Normal 39 6 2 5 2" xfId="54176" xr:uid="{00000000-0005-0000-0000-000099D30000}"/>
    <cellStyle name="Normal 39 6 2 5 3" xfId="54177" xr:uid="{00000000-0005-0000-0000-00009AD30000}"/>
    <cellStyle name="Normal 39 6 2 6" xfId="54178" xr:uid="{00000000-0005-0000-0000-00009BD30000}"/>
    <cellStyle name="Normal 39 6 2 6 2" xfId="54179" xr:uid="{00000000-0005-0000-0000-00009CD30000}"/>
    <cellStyle name="Normal 39 6 2 6 3" xfId="54180" xr:uid="{00000000-0005-0000-0000-00009DD30000}"/>
    <cellStyle name="Normal 39 6 2 7" xfId="54181" xr:uid="{00000000-0005-0000-0000-00009ED30000}"/>
    <cellStyle name="Normal 39 6 2 7 2" xfId="54182" xr:uid="{00000000-0005-0000-0000-00009FD30000}"/>
    <cellStyle name="Normal 39 6 2 7 3" xfId="54183" xr:uid="{00000000-0005-0000-0000-0000A0D30000}"/>
    <cellStyle name="Normal 39 6 2 8" xfId="54184" xr:uid="{00000000-0005-0000-0000-0000A1D30000}"/>
    <cellStyle name="Normal 39 6 2 8 2" xfId="54185" xr:uid="{00000000-0005-0000-0000-0000A2D30000}"/>
    <cellStyle name="Normal 39 6 2 8 3" xfId="54186" xr:uid="{00000000-0005-0000-0000-0000A3D30000}"/>
    <cellStyle name="Normal 39 6 2 9" xfId="54187" xr:uid="{00000000-0005-0000-0000-0000A4D30000}"/>
    <cellStyle name="Normal 39 6 2 9 2" xfId="54188" xr:uid="{00000000-0005-0000-0000-0000A5D30000}"/>
    <cellStyle name="Normal 39 6 2 9 3" xfId="54189" xr:uid="{00000000-0005-0000-0000-0000A6D30000}"/>
    <cellStyle name="Normal 39 6 20" xfId="54190" xr:uid="{00000000-0005-0000-0000-0000A7D30000}"/>
    <cellStyle name="Normal 39 6 21" xfId="54191" xr:uid="{00000000-0005-0000-0000-0000A8D30000}"/>
    <cellStyle name="Normal 39 6 22" xfId="54192" xr:uid="{00000000-0005-0000-0000-0000A9D30000}"/>
    <cellStyle name="Normal 39 6 23" xfId="54193" xr:uid="{00000000-0005-0000-0000-0000AAD30000}"/>
    <cellStyle name="Normal 39 6 24" xfId="54194" xr:uid="{00000000-0005-0000-0000-0000ABD30000}"/>
    <cellStyle name="Normal 39 6 25" xfId="54195" xr:uid="{00000000-0005-0000-0000-0000ACD30000}"/>
    <cellStyle name="Normal 39 6 26" xfId="54196" xr:uid="{00000000-0005-0000-0000-0000ADD30000}"/>
    <cellStyle name="Normal 39 6 27" xfId="54197" xr:uid="{00000000-0005-0000-0000-0000AED30000}"/>
    <cellStyle name="Normal 39 6 28" xfId="54198" xr:uid="{00000000-0005-0000-0000-0000AFD30000}"/>
    <cellStyle name="Normal 39 6 3" xfId="54199" xr:uid="{00000000-0005-0000-0000-0000B0D30000}"/>
    <cellStyle name="Normal 39 6 3 2" xfId="54200" xr:uid="{00000000-0005-0000-0000-0000B1D30000}"/>
    <cellStyle name="Normal 39 6 3 3" xfId="54201" xr:uid="{00000000-0005-0000-0000-0000B2D30000}"/>
    <cellStyle name="Normal 39 6 4" xfId="54202" xr:uid="{00000000-0005-0000-0000-0000B3D30000}"/>
    <cellStyle name="Normal 39 6 4 2" xfId="54203" xr:uid="{00000000-0005-0000-0000-0000B4D30000}"/>
    <cellStyle name="Normal 39 6 4 3" xfId="54204" xr:uid="{00000000-0005-0000-0000-0000B5D30000}"/>
    <cellStyle name="Normal 39 6 5" xfId="54205" xr:uid="{00000000-0005-0000-0000-0000B6D30000}"/>
    <cellStyle name="Normal 39 6 5 2" xfId="54206" xr:uid="{00000000-0005-0000-0000-0000B7D30000}"/>
    <cellStyle name="Normal 39 6 5 3" xfId="54207" xr:uid="{00000000-0005-0000-0000-0000B8D30000}"/>
    <cellStyle name="Normal 39 6 6" xfId="54208" xr:uid="{00000000-0005-0000-0000-0000B9D30000}"/>
    <cellStyle name="Normal 39 6 6 2" xfId="54209" xr:uid="{00000000-0005-0000-0000-0000BAD30000}"/>
    <cellStyle name="Normal 39 6 6 3" xfId="54210" xr:uid="{00000000-0005-0000-0000-0000BBD30000}"/>
    <cellStyle name="Normal 39 6 7" xfId="54211" xr:uid="{00000000-0005-0000-0000-0000BCD30000}"/>
    <cellStyle name="Normal 39 6 7 2" xfId="54212" xr:uid="{00000000-0005-0000-0000-0000BDD30000}"/>
    <cellStyle name="Normal 39 6 7 3" xfId="54213" xr:uid="{00000000-0005-0000-0000-0000BED30000}"/>
    <cellStyle name="Normal 39 6 8" xfId="54214" xr:uid="{00000000-0005-0000-0000-0000BFD30000}"/>
    <cellStyle name="Normal 39 6 8 2" xfId="54215" xr:uid="{00000000-0005-0000-0000-0000C0D30000}"/>
    <cellStyle name="Normal 39 6 8 3" xfId="54216" xr:uid="{00000000-0005-0000-0000-0000C1D30000}"/>
    <cellStyle name="Normal 39 6 9" xfId="54217" xr:uid="{00000000-0005-0000-0000-0000C2D30000}"/>
    <cellStyle name="Normal 39 6 9 2" xfId="54218" xr:uid="{00000000-0005-0000-0000-0000C3D30000}"/>
    <cellStyle name="Normal 39 6 9 3" xfId="54219" xr:uid="{00000000-0005-0000-0000-0000C4D30000}"/>
    <cellStyle name="Normal 39 7" xfId="54220" xr:uid="{00000000-0005-0000-0000-0000C5D30000}"/>
    <cellStyle name="Normal 39 7 10" xfId="54221" xr:uid="{00000000-0005-0000-0000-0000C6D30000}"/>
    <cellStyle name="Normal 39 7 10 2" xfId="54222" xr:uid="{00000000-0005-0000-0000-0000C7D30000}"/>
    <cellStyle name="Normal 39 7 10 3" xfId="54223" xr:uid="{00000000-0005-0000-0000-0000C8D30000}"/>
    <cellStyle name="Normal 39 7 11" xfId="54224" xr:uid="{00000000-0005-0000-0000-0000C9D30000}"/>
    <cellStyle name="Normal 39 7 11 2" xfId="54225" xr:uid="{00000000-0005-0000-0000-0000CAD30000}"/>
    <cellStyle name="Normal 39 7 11 3" xfId="54226" xr:uid="{00000000-0005-0000-0000-0000CBD30000}"/>
    <cellStyle name="Normal 39 7 12" xfId="54227" xr:uid="{00000000-0005-0000-0000-0000CCD30000}"/>
    <cellStyle name="Normal 39 7 12 2" xfId="54228" xr:uid="{00000000-0005-0000-0000-0000CDD30000}"/>
    <cellStyle name="Normal 39 7 12 3" xfId="54229" xr:uid="{00000000-0005-0000-0000-0000CED30000}"/>
    <cellStyle name="Normal 39 7 13" xfId="54230" xr:uid="{00000000-0005-0000-0000-0000CFD30000}"/>
    <cellStyle name="Normal 39 7 13 2" xfId="54231" xr:uid="{00000000-0005-0000-0000-0000D0D30000}"/>
    <cellStyle name="Normal 39 7 13 3" xfId="54232" xr:uid="{00000000-0005-0000-0000-0000D1D30000}"/>
    <cellStyle name="Normal 39 7 14" xfId="54233" xr:uid="{00000000-0005-0000-0000-0000D2D30000}"/>
    <cellStyle name="Normal 39 7 14 2" xfId="54234" xr:uid="{00000000-0005-0000-0000-0000D3D30000}"/>
    <cellStyle name="Normal 39 7 14 3" xfId="54235" xr:uid="{00000000-0005-0000-0000-0000D4D30000}"/>
    <cellStyle name="Normal 39 7 15" xfId="54236" xr:uid="{00000000-0005-0000-0000-0000D5D30000}"/>
    <cellStyle name="Normal 39 7 16" xfId="54237" xr:uid="{00000000-0005-0000-0000-0000D6D30000}"/>
    <cellStyle name="Normal 39 7 2" xfId="54238" xr:uid="{00000000-0005-0000-0000-0000D7D30000}"/>
    <cellStyle name="Normal 39 7 2 2" xfId="54239" xr:uid="{00000000-0005-0000-0000-0000D8D30000}"/>
    <cellStyle name="Normal 39 7 2 3" xfId="54240" xr:uid="{00000000-0005-0000-0000-0000D9D30000}"/>
    <cellStyle name="Normal 39 7 3" xfId="54241" xr:uid="{00000000-0005-0000-0000-0000DAD30000}"/>
    <cellStyle name="Normal 39 7 3 2" xfId="54242" xr:uid="{00000000-0005-0000-0000-0000DBD30000}"/>
    <cellStyle name="Normal 39 7 3 3" xfId="54243" xr:uid="{00000000-0005-0000-0000-0000DCD30000}"/>
    <cellStyle name="Normal 39 7 4" xfId="54244" xr:uid="{00000000-0005-0000-0000-0000DDD30000}"/>
    <cellStyle name="Normal 39 7 4 2" xfId="54245" xr:uid="{00000000-0005-0000-0000-0000DED30000}"/>
    <cellStyle name="Normal 39 7 4 3" xfId="54246" xr:uid="{00000000-0005-0000-0000-0000DFD30000}"/>
    <cellStyle name="Normal 39 7 5" xfId="54247" xr:uid="{00000000-0005-0000-0000-0000E0D30000}"/>
    <cellStyle name="Normal 39 7 5 2" xfId="54248" xr:uid="{00000000-0005-0000-0000-0000E1D30000}"/>
    <cellStyle name="Normal 39 7 5 3" xfId="54249" xr:uid="{00000000-0005-0000-0000-0000E2D30000}"/>
    <cellStyle name="Normal 39 7 6" xfId="54250" xr:uid="{00000000-0005-0000-0000-0000E3D30000}"/>
    <cellStyle name="Normal 39 7 6 2" xfId="54251" xr:uid="{00000000-0005-0000-0000-0000E4D30000}"/>
    <cellStyle name="Normal 39 7 6 3" xfId="54252" xr:uid="{00000000-0005-0000-0000-0000E5D30000}"/>
    <cellStyle name="Normal 39 7 7" xfId="54253" xr:uid="{00000000-0005-0000-0000-0000E6D30000}"/>
    <cellStyle name="Normal 39 7 7 2" xfId="54254" xr:uid="{00000000-0005-0000-0000-0000E7D30000}"/>
    <cellStyle name="Normal 39 7 7 3" xfId="54255" xr:uid="{00000000-0005-0000-0000-0000E8D30000}"/>
    <cellStyle name="Normal 39 7 8" xfId="54256" xr:uid="{00000000-0005-0000-0000-0000E9D30000}"/>
    <cellStyle name="Normal 39 7 8 2" xfId="54257" xr:uid="{00000000-0005-0000-0000-0000EAD30000}"/>
    <cellStyle name="Normal 39 7 8 3" xfId="54258" xr:uid="{00000000-0005-0000-0000-0000EBD30000}"/>
    <cellStyle name="Normal 39 7 9" xfId="54259" xr:uid="{00000000-0005-0000-0000-0000ECD30000}"/>
    <cellStyle name="Normal 39 7 9 2" xfId="54260" xr:uid="{00000000-0005-0000-0000-0000EDD30000}"/>
    <cellStyle name="Normal 39 7 9 3" xfId="54261" xr:uid="{00000000-0005-0000-0000-0000EED30000}"/>
    <cellStyle name="Normal 39 8" xfId="54262" xr:uid="{00000000-0005-0000-0000-0000EFD30000}"/>
    <cellStyle name="Normal 39 8 10" xfId="54263" xr:uid="{00000000-0005-0000-0000-0000F0D30000}"/>
    <cellStyle name="Normal 39 8 10 2" xfId="54264" xr:uid="{00000000-0005-0000-0000-0000F1D30000}"/>
    <cellStyle name="Normal 39 8 10 3" xfId="54265" xr:uid="{00000000-0005-0000-0000-0000F2D30000}"/>
    <cellStyle name="Normal 39 8 11" xfId="54266" xr:uid="{00000000-0005-0000-0000-0000F3D30000}"/>
    <cellStyle name="Normal 39 8 11 2" xfId="54267" xr:uid="{00000000-0005-0000-0000-0000F4D30000}"/>
    <cellStyle name="Normal 39 8 11 3" xfId="54268" xr:uid="{00000000-0005-0000-0000-0000F5D30000}"/>
    <cellStyle name="Normal 39 8 12" xfId="54269" xr:uid="{00000000-0005-0000-0000-0000F6D30000}"/>
    <cellStyle name="Normal 39 8 12 2" xfId="54270" xr:uid="{00000000-0005-0000-0000-0000F7D30000}"/>
    <cellStyle name="Normal 39 8 12 3" xfId="54271" xr:uid="{00000000-0005-0000-0000-0000F8D30000}"/>
    <cellStyle name="Normal 39 8 13" xfId="54272" xr:uid="{00000000-0005-0000-0000-0000F9D30000}"/>
    <cellStyle name="Normal 39 8 13 2" xfId="54273" xr:uid="{00000000-0005-0000-0000-0000FAD30000}"/>
    <cellStyle name="Normal 39 8 13 3" xfId="54274" xr:uid="{00000000-0005-0000-0000-0000FBD30000}"/>
    <cellStyle name="Normal 39 8 14" xfId="54275" xr:uid="{00000000-0005-0000-0000-0000FCD30000}"/>
    <cellStyle name="Normal 39 8 14 2" xfId="54276" xr:uid="{00000000-0005-0000-0000-0000FDD30000}"/>
    <cellStyle name="Normal 39 8 14 3" xfId="54277" xr:uid="{00000000-0005-0000-0000-0000FED30000}"/>
    <cellStyle name="Normal 39 8 15" xfId="54278" xr:uid="{00000000-0005-0000-0000-0000FFD30000}"/>
    <cellStyle name="Normal 39 8 16" xfId="54279" xr:uid="{00000000-0005-0000-0000-000000D40000}"/>
    <cellStyle name="Normal 39 8 2" xfId="54280" xr:uid="{00000000-0005-0000-0000-000001D40000}"/>
    <cellStyle name="Normal 39 8 2 2" xfId="54281" xr:uid="{00000000-0005-0000-0000-000002D40000}"/>
    <cellStyle name="Normal 39 8 2 3" xfId="54282" xr:uid="{00000000-0005-0000-0000-000003D40000}"/>
    <cellStyle name="Normal 39 8 3" xfId="54283" xr:uid="{00000000-0005-0000-0000-000004D40000}"/>
    <cellStyle name="Normal 39 8 3 2" xfId="54284" xr:uid="{00000000-0005-0000-0000-000005D40000}"/>
    <cellStyle name="Normal 39 8 3 3" xfId="54285" xr:uid="{00000000-0005-0000-0000-000006D40000}"/>
    <cellStyle name="Normal 39 8 4" xfId="54286" xr:uid="{00000000-0005-0000-0000-000007D40000}"/>
    <cellStyle name="Normal 39 8 4 2" xfId="54287" xr:uid="{00000000-0005-0000-0000-000008D40000}"/>
    <cellStyle name="Normal 39 8 4 3" xfId="54288" xr:uid="{00000000-0005-0000-0000-000009D40000}"/>
    <cellStyle name="Normal 39 8 5" xfId="54289" xr:uid="{00000000-0005-0000-0000-00000AD40000}"/>
    <cellStyle name="Normal 39 8 5 2" xfId="54290" xr:uid="{00000000-0005-0000-0000-00000BD40000}"/>
    <cellStyle name="Normal 39 8 5 3" xfId="54291" xr:uid="{00000000-0005-0000-0000-00000CD40000}"/>
    <cellStyle name="Normal 39 8 6" xfId="54292" xr:uid="{00000000-0005-0000-0000-00000DD40000}"/>
    <cellStyle name="Normal 39 8 6 2" xfId="54293" xr:uid="{00000000-0005-0000-0000-00000ED40000}"/>
    <cellStyle name="Normal 39 8 6 3" xfId="54294" xr:uid="{00000000-0005-0000-0000-00000FD40000}"/>
    <cellStyle name="Normal 39 8 7" xfId="54295" xr:uid="{00000000-0005-0000-0000-000010D40000}"/>
    <cellStyle name="Normal 39 8 7 2" xfId="54296" xr:uid="{00000000-0005-0000-0000-000011D40000}"/>
    <cellStyle name="Normal 39 8 7 3" xfId="54297" xr:uid="{00000000-0005-0000-0000-000012D40000}"/>
    <cellStyle name="Normal 39 8 8" xfId="54298" xr:uid="{00000000-0005-0000-0000-000013D40000}"/>
    <cellStyle name="Normal 39 8 8 2" xfId="54299" xr:uid="{00000000-0005-0000-0000-000014D40000}"/>
    <cellStyle name="Normal 39 8 8 3" xfId="54300" xr:uid="{00000000-0005-0000-0000-000015D40000}"/>
    <cellStyle name="Normal 39 8 9" xfId="54301" xr:uid="{00000000-0005-0000-0000-000016D40000}"/>
    <cellStyle name="Normal 39 8 9 2" xfId="54302" xr:uid="{00000000-0005-0000-0000-000017D40000}"/>
    <cellStyle name="Normal 39 8 9 3" xfId="54303" xr:uid="{00000000-0005-0000-0000-000018D40000}"/>
    <cellStyle name="Normal 39 9" xfId="54304" xr:uid="{00000000-0005-0000-0000-000019D40000}"/>
    <cellStyle name="Normal 39 9 10" xfId="54305" xr:uid="{00000000-0005-0000-0000-00001AD40000}"/>
    <cellStyle name="Normal 39 9 10 2" xfId="54306" xr:uid="{00000000-0005-0000-0000-00001BD40000}"/>
    <cellStyle name="Normal 39 9 10 3" xfId="54307" xr:uid="{00000000-0005-0000-0000-00001CD40000}"/>
    <cellStyle name="Normal 39 9 11" xfId="54308" xr:uid="{00000000-0005-0000-0000-00001DD40000}"/>
    <cellStyle name="Normal 39 9 11 2" xfId="54309" xr:uid="{00000000-0005-0000-0000-00001ED40000}"/>
    <cellStyle name="Normal 39 9 11 3" xfId="54310" xr:uid="{00000000-0005-0000-0000-00001FD40000}"/>
    <cellStyle name="Normal 39 9 12" xfId="54311" xr:uid="{00000000-0005-0000-0000-000020D40000}"/>
    <cellStyle name="Normal 39 9 12 2" xfId="54312" xr:uid="{00000000-0005-0000-0000-000021D40000}"/>
    <cellStyle name="Normal 39 9 12 3" xfId="54313" xr:uid="{00000000-0005-0000-0000-000022D40000}"/>
    <cellStyle name="Normal 39 9 13" xfId="54314" xr:uid="{00000000-0005-0000-0000-000023D40000}"/>
    <cellStyle name="Normal 39 9 13 2" xfId="54315" xr:uid="{00000000-0005-0000-0000-000024D40000}"/>
    <cellStyle name="Normal 39 9 13 3" xfId="54316" xr:uid="{00000000-0005-0000-0000-000025D40000}"/>
    <cellStyle name="Normal 39 9 14" xfId="54317" xr:uid="{00000000-0005-0000-0000-000026D40000}"/>
    <cellStyle name="Normal 39 9 14 2" xfId="54318" xr:uid="{00000000-0005-0000-0000-000027D40000}"/>
    <cellStyle name="Normal 39 9 14 3" xfId="54319" xr:uid="{00000000-0005-0000-0000-000028D40000}"/>
    <cellStyle name="Normal 39 9 15" xfId="54320" xr:uid="{00000000-0005-0000-0000-000029D40000}"/>
    <cellStyle name="Normal 39 9 16" xfId="54321" xr:uid="{00000000-0005-0000-0000-00002AD40000}"/>
    <cellStyle name="Normal 39 9 2" xfId="54322" xr:uid="{00000000-0005-0000-0000-00002BD40000}"/>
    <cellStyle name="Normal 39 9 2 2" xfId="54323" xr:uid="{00000000-0005-0000-0000-00002CD40000}"/>
    <cellStyle name="Normal 39 9 2 3" xfId="54324" xr:uid="{00000000-0005-0000-0000-00002DD40000}"/>
    <cellStyle name="Normal 39 9 3" xfId="54325" xr:uid="{00000000-0005-0000-0000-00002ED40000}"/>
    <cellStyle name="Normal 39 9 3 2" xfId="54326" xr:uid="{00000000-0005-0000-0000-00002FD40000}"/>
    <cellStyle name="Normal 39 9 3 3" xfId="54327" xr:uid="{00000000-0005-0000-0000-000030D40000}"/>
    <cellStyle name="Normal 39 9 4" xfId="54328" xr:uid="{00000000-0005-0000-0000-000031D40000}"/>
    <cellStyle name="Normal 39 9 4 2" xfId="54329" xr:uid="{00000000-0005-0000-0000-000032D40000}"/>
    <cellStyle name="Normal 39 9 4 3" xfId="54330" xr:uid="{00000000-0005-0000-0000-000033D40000}"/>
    <cellStyle name="Normal 39 9 5" xfId="54331" xr:uid="{00000000-0005-0000-0000-000034D40000}"/>
    <cellStyle name="Normal 39 9 5 2" xfId="54332" xr:uid="{00000000-0005-0000-0000-000035D40000}"/>
    <cellStyle name="Normal 39 9 5 3" xfId="54333" xr:uid="{00000000-0005-0000-0000-000036D40000}"/>
    <cellStyle name="Normal 39 9 6" xfId="54334" xr:uid="{00000000-0005-0000-0000-000037D40000}"/>
    <cellStyle name="Normal 39 9 6 2" xfId="54335" xr:uid="{00000000-0005-0000-0000-000038D40000}"/>
    <cellStyle name="Normal 39 9 6 3" xfId="54336" xr:uid="{00000000-0005-0000-0000-000039D40000}"/>
    <cellStyle name="Normal 39 9 7" xfId="54337" xr:uid="{00000000-0005-0000-0000-00003AD40000}"/>
    <cellStyle name="Normal 39 9 7 2" xfId="54338" xr:uid="{00000000-0005-0000-0000-00003BD40000}"/>
    <cellStyle name="Normal 39 9 7 3" xfId="54339" xr:uid="{00000000-0005-0000-0000-00003CD40000}"/>
    <cellStyle name="Normal 39 9 8" xfId="54340" xr:uid="{00000000-0005-0000-0000-00003DD40000}"/>
    <cellStyle name="Normal 39 9 8 2" xfId="54341" xr:uid="{00000000-0005-0000-0000-00003ED40000}"/>
    <cellStyle name="Normal 39 9 8 3" xfId="54342" xr:uid="{00000000-0005-0000-0000-00003FD40000}"/>
    <cellStyle name="Normal 39 9 9" xfId="54343" xr:uid="{00000000-0005-0000-0000-000040D40000}"/>
    <cellStyle name="Normal 39 9 9 2" xfId="54344" xr:uid="{00000000-0005-0000-0000-000041D40000}"/>
    <cellStyle name="Normal 39 9 9 3" xfId="54345" xr:uid="{00000000-0005-0000-0000-000042D40000}"/>
    <cellStyle name="Normal 39_End-use Summary" xfId="54346" xr:uid="{00000000-0005-0000-0000-000043D40000}"/>
    <cellStyle name="Normal 4" xfId="29" xr:uid="{00000000-0005-0000-0000-000044D40000}"/>
    <cellStyle name="Normal 4 10" xfId="54348" xr:uid="{00000000-0005-0000-0000-000045D40000}"/>
    <cellStyle name="Normal 4 11" xfId="54349" xr:uid="{00000000-0005-0000-0000-000046D40000}"/>
    <cellStyle name="Normal 4 12" xfId="54350" xr:uid="{00000000-0005-0000-0000-000047D40000}"/>
    <cellStyle name="Normal 4 12 2" xfId="54351" xr:uid="{00000000-0005-0000-0000-000048D40000}"/>
    <cellStyle name="Normal 4 12 2 2" xfId="54352" xr:uid="{00000000-0005-0000-0000-000049D40000}"/>
    <cellStyle name="Normal 4 12 2 3" xfId="54353" xr:uid="{00000000-0005-0000-0000-00004AD40000}"/>
    <cellStyle name="Normal 4 12 3" xfId="54354" xr:uid="{00000000-0005-0000-0000-00004BD40000}"/>
    <cellStyle name="Normal 4 13" xfId="54355" xr:uid="{00000000-0005-0000-0000-00004CD40000}"/>
    <cellStyle name="Normal 4 13 2" xfId="54356" xr:uid="{00000000-0005-0000-0000-00004DD40000}"/>
    <cellStyle name="Normal 4 13 3" xfId="54357" xr:uid="{00000000-0005-0000-0000-00004ED40000}"/>
    <cellStyle name="Normal 4 14" xfId="54358" xr:uid="{00000000-0005-0000-0000-00004FD40000}"/>
    <cellStyle name="Normal 4 14 2" xfId="54359" xr:uid="{00000000-0005-0000-0000-000050D40000}"/>
    <cellStyle name="Normal 4 14 3" xfId="54360" xr:uid="{00000000-0005-0000-0000-000051D40000}"/>
    <cellStyle name="Normal 4 15" xfId="54361" xr:uid="{00000000-0005-0000-0000-000052D40000}"/>
    <cellStyle name="Normal 4 15 2" xfId="54362" xr:uid="{00000000-0005-0000-0000-000053D40000}"/>
    <cellStyle name="Normal 4 15 3" xfId="54363" xr:uid="{00000000-0005-0000-0000-000054D40000}"/>
    <cellStyle name="Normal 4 16" xfId="54364" xr:uid="{00000000-0005-0000-0000-000055D40000}"/>
    <cellStyle name="Normal 4 16 2" xfId="54365" xr:uid="{00000000-0005-0000-0000-000056D40000}"/>
    <cellStyle name="Normal 4 16 3" xfId="54366" xr:uid="{00000000-0005-0000-0000-000057D40000}"/>
    <cellStyle name="Normal 4 17" xfId="54367" xr:uid="{00000000-0005-0000-0000-000058D40000}"/>
    <cellStyle name="Normal 4 17 2" xfId="54368" xr:uid="{00000000-0005-0000-0000-000059D40000}"/>
    <cellStyle name="Normal 4 17 3" xfId="54369" xr:uid="{00000000-0005-0000-0000-00005AD40000}"/>
    <cellStyle name="Normal 4 18" xfId="54370" xr:uid="{00000000-0005-0000-0000-00005BD40000}"/>
    <cellStyle name="Normal 4 18 2" xfId="54371" xr:uid="{00000000-0005-0000-0000-00005CD40000}"/>
    <cellStyle name="Normal 4 18 3" xfId="54372" xr:uid="{00000000-0005-0000-0000-00005DD40000}"/>
    <cellStyle name="Normal 4 19" xfId="54373" xr:uid="{00000000-0005-0000-0000-00005ED40000}"/>
    <cellStyle name="Normal 4 19 2" xfId="54374" xr:uid="{00000000-0005-0000-0000-00005FD40000}"/>
    <cellStyle name="Normal 4 19 3" xfId="54375" xr:uid="{00000000-0005-0000-0000-000060D40000}"/>
    <cellStyle name="Normal 4 2" xfId="54376" xr:uid="{00000000-0005-0000-0000-000061D40000}"/>
    <cellStyle name="Normal 4 2 2" xfId="54377" xr:uid="{00000000-0005-0000-0000-000062D40000}"/>
    <cellStyle name="Normal 4 20" xfId="54378" xr:uid="{00000000-0005-0000-0000-000063D40000}"/>
    <cellStyle name="Normal 4 20 2" xfId="54379" xr:uid="{00000000-0005-0000-0000-000064D40000}"/>
    <cellStyle name="Normal 4 20 3" xfId="54380" xr:uid="{00000000-0005-0000-0000-000065D40000}"/>
    <cellStyle name="Normal 4 21" xfId="54381" xr:uid="{00000000-0005-0000-0000-000066D40000}"/>
    <cellStyle name="Normal 4 21 2" xfId="54382" xr:uid="{00000000-0005-0000-0000-000067D40000}"/>
    <cellStyle name="Normal 4 21 3" xfId="54383" xr:uid="{00000000-0005-0000-0000-000068D40000}"/>
    <cellStyle name="Normal 4 22" xfId="54384" xr:uid="{00000000-0005-0000-0000-000069D40000}"/>
    <cellStyle name="Normal 4 22 2" xfId="54385" xr:uid="{00000000-0005-0000-0000-00006AD40000}"/>
    <cellStyle name="Normal 4 22 3" xfId="54386" xr:uid="{00000000-0005-0000-0000-00006BD40000}"/>
    <cellStyle name="Normal 4 23" xfId="54387" xr:uid="{00000000-0005-0000-0000-00006CD40000}"/>
    <cellStyle name="Normal 4 24" xfId="54388" xr:uid="{00000000-0005-0000-0000-00006DD40000}"/>
    <cellStyle name="Normal 4 25" xfId="54347" xr:uid="{00000000-0005-0000-0000-00006ED40000}"/>
    <cellStyle name="Normal 4 3" xfId="54389" xr:uid="{00000000-0005-0000-0000-00006FD40000}"/>
    <cellStyle name="Normal 4 3 2" xfId="54390" xr:uid="{00000000-0005-0000-0000-000070D40000}"/>
    <cellStyle name="Normal 4 4" xfId="54391" xr:uid="{00000000-0005-0000-0000-000071D40000}"/>
    <cellStyle name="Normal 4 4 2" xfId="54392" xr:uid="{00000000-0005-0000-0000-000072D40000}"/>
    <cellStyle name="Normal 4 5" xfId="54393" xr:uid="{00000000-0005-0000-0000-000073D40000}"/>
    <cellStyle name="Normal 4 5 2" xfId="54394" xr:uid="{00000000-0005-0000-0000-000074D40000}"/>
    <cellStyle name="Normal 4 6" xfId="54395" xr:uid="{00000000-0005-0000-0000-000075D40000}"/>
    <cellStyle name="Normal 4 7" xfId="54396" xr:uid="{00000000-0005-0000-0000-000076D40000}"/>
    <cellStyle name="Normal 4 8" xfId="54397" xr:uid="{00000000-0005-0000-0000-000077D40000}"/>
    <cellStyle name="Normal 4 9" xfId="54398" xr:uid="{00000000-0005-0000-0000-000078D40000}"/>
    <cellStyle name="Normal 40" xfId="54399" xr:uid="{00000000-0005-0000-0000-000079D40000}"/>
    <cellStyle name="Normal 40 10" xfId="54400" xr:uid="{00000000-0005-0000-0000-00007AD40000}"/>
    <cellStyle name="Normal 40 10 10" xfId="54401" xr:uid="{00000000-0005-0000-0000-00007BD40000}"/>
    <cellStyle name="Normal 40 10 10 2" xfId="54402" xr:uid="{00000000-0005-0000-0000-00007CD40000}"/>
    <cellStyle name="Normal 40 10 10 3" xfId="54403" xr:uid="{00000000-0005-0000-0000-00007DD40000}"/>
    <cellStyle name="Normal 40 10 11" xfId="54404" xr:uid="{00000000-0005-0000-0000-00007ED40000}"/>
    <cellStyle name="Normal 40 10 11 2" xfId="54405" xr:uid="{00000000-0005-0000-0000-00007FD40000}"/>
    <cellStyle name="Normal 40 10 11 3" xfId="54406" xr:uid="{00000000-0005-0000-0000-000080D40000}"/>
    <cellStyle name="Normal 40 10 12" xfId="54407" xr:uid="{00000000-0005-0000-0000-000081D40000}"/>
    <cellStyle name="Normal 40 10 12 2" xfId="54408" xr:uid="{00000000-0005-0000-0000-000082D40000}"/>
    <cellStyle name="Normal 40 10 12 3" xfId="54409" xr:uid="{00000000-0005-0000-0000-000083D40000}"/>
    <cellStyle name="Normal 40 10 13" xfId="54410" xr:uid="{00000000-0005-0000-0000-000084D40000}"/>
    <cellStyle name="Normal 40 10 13 2" xfId="54411" xr:uid="{00000000-0005-0000-0000-000085D40000}"/>
    <cellStyle name="Normal 40 10 13 3" xfId="54412" xr:uid="{00000000-0005-0000-0000-000086D40000}"/>
    <cellStyle name="Normal 40 10 14" xfId="54413" xr:uid="{00000000-0005-0000-0000-000087D40000}"/>
    <cellStyle name="Normal 40 10 14 2" xfId="54414" xr:uid="{00000000-0005-0000-0000-000088D40000}"/>
    <cellStyle name="Normal 40 10 14 3" xfId="54415" xr:uid="{00000000-0005-0000-0000-000089D40000}"/>
    <cellStyle name="Normal 40 10 15" xfId="54416" xr:uid="{00000000-0005-0000-0000-00008AD40000}"/>
    <cellStyle name="Normal 40 10 16" xfId="54417" xr:uid="{00000000-0005-0000-0000-00008BD40000}"/>
    <cellStyle name="Normal 40 10 2" xfId="54418" xr:uid="{00000000-0005-0000-0000-00008CD40000}"/>
    <cellStyle name="Normal 40 10 2 2" xfId="54419" xr:uid="{00000000-0005-0000-0000-00008DD40000}"/>
    <cellStyle name="Normal 40 10 2 3" xfId="54420" xr:uid="{00000000-0005-0000-0000-00008ED40000}"/>
    <cellStyle name="Normal 40 10 3" xfId="54421" xr:uid="{00000000-0005-0000-0000-00008FD40000}"/>
    <cellStyle name="Normal 40 10 3 2" xfId="54422" xr:uid="{00000000-0005-0000-0000-000090D40000}"/>
    <cellStyle name="Normal 40 10 3 3" xfId="54423" xr:uid="{00000000-0005-0000-0000-000091D40000}"/>
    <cellStyle name="Normal 40 10 4" xfId="54424" xr:uid="{00000000-0005-0000-0000-000092D40000}"/>
    <cellStyle name="Normal 40 10 4 2" xfId="54425" xr:uid="{00000000-0005-0000-0000-000093D40000}"/>
    <cellStyle name="Normal 40 10 4 3" xfId="54426" xr:uid="{00000000-0005-0000-0000-000094D40000}"/>
    <cellStyle name="Normal 40 10 5" xfId="54427" xr:uid="{00000000-0005-0000-0000-000095D40000}"/>
    <cellStyle name="Normal 40 10 5 2" xfId="54428" xr:uid="{00000000-0005-0000-0000-000096D40000}"/>
    <cellStyle name="Normal 40 10 5 3" xfId="54429" xr:uid="{00000000-0005-0000-0000-000097D40000}"/>
    <cellStyle name="Normal 40 10 6" xfId="54430" xr:uid="{00000000-0005-0000-0000-000098D40000}"/>
    <cellStyle name="Normal 40 10 6 2" xfId="54431" xr:uid="{00000000-0005-0000-0000-000099D40000}"/>
    <cellStyle name="Normal 40 10 6 3" xfId="54432" xr:uid="{00000000-0005-0000-0000-00009AD40000}"/>
    <cellStyle name="Normal 40 10 7" xfId="54433" xr:uid="{00000000-0005-0000-0000-00009BD40000}"/>
    <cellStyle name="Normal 40 10 7 2" xfId="54434" xr:uid="{00000000-0005-0000-0000-00009CD40000}"/>
    <cellStyle name="Normal 40 10 7 3" xfId="54435" xr:uid="{00000000-0005-0000-0000-00009DD40000}"/>
    <cellStyle name="Normal 40 10 8" xfId="54436" xr:uid="{00000000-0005-0000-0000-00009ED40000}"/>
    <cellStyle name="Normal 40 10 8 2" xfId="54437" xr:uid="{00000000-0005-0000-0000-00009FD40000}"/>
    <cellStyle name="Normal 40 10 8 3" xfId="54438" xr:uid="{00000000-0005-0000-0000-0000A0D40000}"/>
    <cellStyle name="Normal 40 10 9" xfId="54439" xr:uid="{00000000-0005-0000-0000-0000A1D40000}"/>
    <cellStyle name="Normal 40 10 9 2" xfId="54440" xr:uid="{00000000-0005-0000-0000-0000A2D40000}"/>
    <cellStyle name="Normal 40 10 9 3" xfId="54441" xr:uid="{00000000-0005-0000-0000-0000A3D40000}"/>
    <cellStyle name="Normal 40 11" xfId="54442" xr:uid="{00000000-0005-0000-0000-0000A4D40000}"/>
    <cellStyle name="Normal 40 11 10" xfId="54443" xr:uid="{00000000-0005-0000-0000-0000A5D40000}"/>
    <cellStyle name="Normal 40 11 10 2" xfId="54444" xr:uid="{00000000-0005-0000-0000-0000A6D40000}"/>
    <cellStyle name="Normal 40 11 10 3" xfId="54445" xr:uid="{00000000-0005-0000-0000-0000A7D40000}"/>
    <cellStyle name="Normal 40 11 11" xfId="54446" xr:uid="{00000000-0005-0000-0000-0000A8D40000}"/>
    <cellStyle name="Normal 40 11 11 2" xfId="54447" xr:uid="{00000000-0005-0000-0000-0000A9D40000}"/>
    <cellStyle name="Normal 40 11 11 3" xfId="54448" xr:uid="{00000000-0005-0000-0000-0000AAD40000}"/>
    <cellStyle name="Normal 40 11 12" xfId="54449" xr:uid="{00000000-0005-0000-0000-0000ABD40000}"/>
    <cellStyle name="Normal 40 11 12 2" xfId="54450" xr:uid="{00000000-0005-0000-0000-0000ACD40000}"/>
    <cellStyle name="Normal 40 11 12 3" xfId="54451" xr:uid="{00000000-0005-0000-0000-0000ADD40000}"/>
    <cellStyle name="Normal 40 11 13" xfId="54452" xr:uid="{00000000-0005-0000-0000-0000AED40000}"/>
    <cellStyle name="Normal 40 11 13 2" xfId="54453" xr:uid="{00000000-0005-0000-0000-0000AFD40000}"/>
    <cellStyle name="Normal 40 11 13 3" xfId="54454" xr:uid="{00000000-0005-0000-0000-0000B0D40000}"/>
    <cellStyle name="Normal 40 11 14" xfId="54455" xr:uid="{00000000-0005-0000-0000-0000B1D40000}"/>
    <cellStyle name="Normal 40 11 14 2" xfId="54456" xr:uid="{00000000-0005-0000-0000-0000B2D40000}"/>
    <cellStyle name="Normal 40 11 14 3" xfId="54457" xr:uid="{00000000-0005-0000-0000-0000B3D40000}"/>
    <cellStyle name="Normal 40 11 15" xfId="54458" xr:uid="{00000000-0005-0000-0000-0000B4D40000}"/>
    <cellStyle name="Normal 40 11 16" xfId="54459" xr:uid="{00000000-0005-0000-0000-0000B5D40000}"/>
    <cellStyle name="Normal 40 11 2" xfId="54460" xr:uid="{00000000-0005-0000-0000-0000B6D40000}"/>
    <cellStyle name="Normal 40 11 2 2" xfId="54461" xr:uid="{00000000-0005-0000-0000-0000B7D40000}"/>
    <cellStyle name="Normal 40 11 2 3" xfId="54462" xr:uid="{00000000-0005-0000-0000-0000B8D40000}"/>
    <cellStyle name="Normal 40 11 3" xfId="54463" xr:uid="{00000000-0005-0000-0000-0000B9D40000}"/>
    <cellStyle name="Normal 40 11 3 2" xfId="54464" xr:uid="{00000000-0005-0000-0000-0000BAD40000}"/>
    <cellStyle name="Normal 40 11 3 3" xfId="54465" xr:uid="{00000000-0005-0000-0000-0000BBD40000}"/>
    <cellStyle name="Normal 40 11 4" xfId="54466" xr:uid="{00000000-0005-0000-0000-0000BCD40000}"/>
    <cellStyle name="Normal 40 11 4 2" xfId="54467" xr:uid="{00000000-0005-0000-0000-0000BDD40000}"/>
    <cellStyle name="Normal 40 11 4 3" xfId="54468" xr:uid="{00000000-0005-0000-0000-0000BED40000}"/>
    <cellStyle name="Normal 40 11 5" xfId="54469" xr:uid="{00000000-0005-0000-0000-0000BFD40000}"/>
    <cellStyle name="Normal 40 11 5 2" xfId="54470" xr:uid="{00000000-0005-0000-0000-0000C0D40000}"/>
    <cellStyle name="Normal 40 11 5 3" xfId="54471" xr:uid="{00000000-0005-0000-0000-0000C1D40000}"/>
    <cellStyle name="Normal 40 11 6" xfId="54472" xr:uid="{00000000-0005-0000-0000-0000C2D40000}"/>
    <cellStyle name="Normal 40 11 6 2" xfId="54473" xr:uid="{00000000-0005-0000-0000-0000C3D40000}"/>
    <cellStyle name="Normal 40 11 6 3" xfId="54474" xr:uid="{00000000-0005-0000-0000-0000C4D40000}"/>
    <cellStyle name="Normal 40 11 7" xfId="54475" xr:uid="{00000000-0005-0000-0000-0000C5D40000}"/>
    <cellStyle name="Normal 40 11 7 2" xfId="54476" xr:uid="{00000000-0005-0000-0000-0000C6D40000}"/>
    <cellStyle name="Normal 40 11 7 3" xfId="54477" xr:uid="{00000000-0005-0000-0000-0000C7D40000}"/>
    <cellStyle name="Normal 40 11 8" xfId="54478" xr:uid="{00000000-0005-0000-0000-0000C8D40000}"/>
    <cellStyle name="Normal 40 11 8 2" xfId="54479" xr:uid="{00000000-0005-0000-0000-0000C9D40000}"/>
    <cellStyle name="Normal 40 11 8 3" xfId="54480" xr:uid="{00000000-0005-0000-0000-0000CAD40000}"/>
    <cellStyle name="Normal 40 11 9" xfId="54481" xr:uid="{00000000-0005-0000-0000-0000CBD40000}"/>
    <cellStyle name="Normal 40 11 9 2" xfId="54482" xr:uid="{00000000-0005-0000-0000-0000CCD40000}"/>
    <cellStyle name="Normal 40 11 9 3" xfId="54483" xr:uid="{00000000-0005-0000-0000-0000CDD40000}"/>
    <cellStyle name="Normal 40 12" xfId="54484" xr:uid="{00000000-0005-0000-0000-0000CED40000}"/>
    <cellStyle name="Normal 40 12 10" xfId="54485" xr:uid="{00000000-0005-0000-0000-0000CFD40000}"/>
    <cellStyle name="Normal 40 12 10 2" xfId="54486" xr:uid="{00000000-0005-0000-0000-0000D0D40000}"/>
    <cellStyle name="Normal 40 12 10 3" xfId="54487" xr:uid="{00000000-0005-0000-0000-0000D1D40000}"/>
    <cellStyle name="Normal 40 12 11" xfId="54488" xr:uid="{00000000-0005-0000-0000-0000D2D40000}"/>
    <cellStyle name="Normal 40 12 11 2" xfId="54489" xr:uid="{00000000-0005-0000-0000-0000D3D40000}"/>
    <cellStyle name="Normal 40 12 11 3" xfId="54490" xr:uid="{00000000-0005-0000-0000-0000D4D40000}"/>
    <cellStyle name="Normal 40 12 12" xfId="54491" xr:uid="{00000000-0005-0000-0000-0000D5D40000}"/>
    <cellStyle name="Normal 40 12 12 2" xfId="54492" xr:uid="{00000000-0005-0000-0000-0000D6D40000}"/>
    <cellStyle name="Normal 40 12 12 3" xfId="54493" xr:uid="{00000000-0005-0000-0000-0000D7D40000}"/>
    <cellStyle name="Normal 40 12 13" xfId="54494" xr:uid="{00000000-0005-0000-0000-0000D8D40000}"/>
    <cellStyle name="Normal 40 12 13 2" xfId="54495" xr:uid="{00000000-0005-0000-0000-0000D9D40000}"/>
    <cellStyle name="Normal 40 12 13 3" xfId="54496" xr:uid="{00000000-0005-0000-0000-0000DAD40000}"/>
    <cellStyle name="Normal 40 12 14" xfId="54497" xr:uid="{00000000-0005-0000-0000-0000DBD40000}"/>
    <cellStyle name="Normal 40 12 14 2" xfId="54498" xr:uid="{00000000-0005-0000-0000-0000DCD40000}"/>
    <cellStyle name="Normal 40 12 14 3" xfId="54499" xr:uid="{00000000-0005-0000-0000-0000DDD40000}"/>
    <cellStyle name="Normal 40 12 15" xfId="54500" xr:uid="{00000000-0005-0000-0000-0000DED40000}"/>
    <cellStyle name="Normal 40 12 16" xfId="54501" xr:uid="{00000000-0005-0000-0000-0000DFD40000}"/>
    <cellStyle name="Normal 40 12 2" xfId="54502" xr:uid="{00000000-0005-0000-0000-0000E0D40000}"/>
    <cellStyle name="Normal 40 12 2 2" xfId="54503" xr:uid="{00000000-0005-0000-0000-0000E1D40000}"/>
    <cellStyle name="Normal 40 12 2 3" xfId="54504" xr:uid="{00000000-0005-0000-0000-0000E2D40000}"/>
    <cellStyle name="Normal 40 12 3" xfId="54505" xr:uid="{00000000-0005-0000-0000-0000E3D40000}"/>
    <cellStyle name="Normal 40 12 3 2" xfId="54506" xr:uid="{00000000-0005-0000-0000-0000E4D40000}"/>
    <cellStyle name="Normal 40 12 3 3" xfId="54507" xr:uid="{00000000-0005-0000-0000-0000E5D40000}"/>
    <cellStyle name="Normal 40 12 4" xfId="54508" xr:uid="{00000000-0005-0000-0000-0000E6D40000}"/>
    <cellStyle name="Normal 40 12 4 2" xfId="54509" xr:uid="{00000000-0005-0000-0000-0000E7D40000}"/>
    <cellStyle name="Normal 40 12 4 3" xfId="54510" xr:uid="{00000000-0005-0000-0000-0000E8D40000}"/>
    <cellStyle name="Normal 40 12 5" xfId="54511" xr:uid="{00000000-0005-0000-0000-0000E9D40000}"/>
    <cellStyle name="Normal 40 12 5 2" xfId="54512" xr:uid="{00000000-0005-0000-0000-0000EAD40000}"/>
    <cellStyle name="Normal 40 12 5 3" xfId="54513" xr:uid="{00000000-0005-0000-0000-0000EBD40000}"/>
    <cellStyle name="Normal 40 12 6" xfId="54514" xr:uid="{00000000-0005-0000-0000-0000ECD40000}"/>
    <cellStyle name="Normal 40 12 6 2" xfId="54515" xr:uid="{00000000-0005-0000-0000-0000EDD40000}"/>
    <cellStyle name="Normal 40 12 6 3" xfId="54516" xr:uid="{00000000-0005-0000-0000-0000EED40000}"/>
    <cellStyle name="Normal 40 12 7" xfId="54517" xr:uid="{00000000-0005-0000-0000-0000EFD40000}"/>
    <cellStyle name="Normal 40 12 7 2" xfId="54518" xr:uid="{00000000-0005-0000-0000-0000F0D40000}"/>
    <cellStyle name="Normal 40 12 7 3" xfId="54519" xr:uid="{00000000-0005-0000-0000-0000F1D40000}"/>
    <cellStyle name="Normal 40 12 8" xfId="54520" xr:uid="{00000000-0005-0000-0000-0000F2D40000}"/>
    <cellStyle name="Normal 40 12 8 2" xfId="54521" xr:uid="{00000000-0005-0000-0000-0000F3D40000}"/>
    <cellStyle name="Normal 40 12 8 3" xfId="54522" xr:uid="{00000000-0005-0000-0000-0000F4D40000}"/>
    <cellStyle name="Normal 40 12 9" xfId="54523" xr:uid="{00000000-0005-0000-0000-0000F5D40000}"/>
    <cellStyle name="Normal 40 12 9 2" xfId="54524" xr:uid="{00000000-0005-0000-0000-0000F6D40000}"/>
    <cellStyle name="Normal 40 12 9 3" xfId="54525" xr:uid="{00000000-0005-0000-0000-0000F7D40000}"/>
    <cellStyle name="Normal 40 13" xfId="54526" xr:uid="{00000000-0005-0000-0000-0000F8D40000}"/>
    <cellStyle name="Normal 40 13 10" xfId="54527" xr:uid="{00000000-0005-0000-0000-0000F9D40000}"/>
    <cellStyle name="Normal 40 13 10 2" xfId="54528" xr:uid="{00000000-0005-0000-0000-0000FAD40000}"/>
    <cellStyle name="Normal 40 13 10 3" xfId="54529" xr:uid="{00000000-0005-0000-0000-0000FBD40000}"/>
    <cellStyle name="Normal 40 13 11" xfId="54530" xr:uid="{00000000-0005-0000-0000-0000FCD40000}"/>
    <cellStyle name="Normal 40 13 11 2" xfId="54531" xr:uid="{00000000-0005-0000-0000-0000FDD40000}"/>
    <cellStyle name="Normal 40 13 11 3" xfId="54532" xr:uid="{00000000-0005-0000-0000-0000FED40000}"/>
    <cellStyle name="Normal 40 13 12" xfId="54533" xr:uid="{00000000-0005-0000-0000-0000FFD40000}"/>
    <cellStyle name="Normal 40 13 12 2" xfId="54534" xr:uid="{00000000-0005-0000-0000-000000D50000}"/>
    <cellStyle name="Normal 40 13 12 3" xfId="54535" xr:uid="{00000000-0005-0000-0000-000001D50000}"/>
    <cellStyle name="Normal 40 13 13" xfId="54536" xr:uid="{00000000-0005-0000-0000-000002D50000}"/>
    <cellStyle name="Normal 40 13 13 2" xfId="54537" xr:uid="{00000000-0005-0000-0000-000003D50000}"/>
    <cellStyle name="Normal 40 13 13 3" xfId="54538" xr:uid="{00000000-0005-0000-0000-000004D50000}"/>
    <cellStyle name="Normal 40 13 14" xfId="54539" xr:uid="{00000000-0005-0000-0000-000005D50000}"/>
    <cellStyle name="Normal 40 13 14 2" xfId="54540" xr:uid="{00000000-0005-0000-0000-000006D50000}"/>
    <cellStyle name="Normal 40 13 14 3" xfId="54541" xr:uid="{00000000-0005-0000-0000-000007D50000}"/>
    <cellStyle name="Normal 40 13 15" xfId="54542" xr:uid="{00000000-0005-0000-0000-000008D50000}"/>
    <cellStyle name="Normal 40 13 16" xfId="54543" xr:uid="{00000000-0005-0000-0000-000009D50000}"/>
    <cellStyle name="Normal 40 13 2" xfId="54544" xr:uid="{00000000-0005-0000-0000-00000AD50000}"/>
    <cellStyle name="Normal 40 13 2 2" xfId="54545" xr:uid="{00000000-0005-0000-0000-00000BD50000}"/>
    <cellStyle name="Normal 40 13 2 3" xfId="54546" xr:uid="{00000000-0005-0000-0000-00000CD50000}"/>
    <cellStyle name="Normal 40 13 3" xfId="54547" xr:uid="{00000000-0005-0000-0000-00000DD50000}"/>
    <cellStyle name="Normal 40 13 3 2" xfId="54548" xr:uid="{00000000-0005-0000-0000-00000ED50000}"/>
    <cellStyle name="Normal 40 13 3 3" xfId="54549" xr:uid="{00000000-0005-0000-0000-00000FD50000}"/>
    <cellStyle name="Normal 40 13 4" xfId="54550" xr:uid="{00000000-0005-0000-0000-000010D50000}"/>
    <cellStyle name="Normal 40 13 4 2" xfId="54551" xr:uid="{00000000-0005-0000-0000-000011D50000}"/>
    <cellStyle name="Normal 40 13 4 3" xfId="54552" xr:uid="{00000000-0005-0000-0000-000012D50000}"/>
    <cellStyle name="Normal 40 13 5" xfId="54553" xr:uid="{00000000-0005-0000-0000-000013D50000}"/>
    <cellStyle name="Normal 40 13 5 2" xfId="54554" xr:uid="{00000000-0005-0000-0000-000014D50000}"/>
    <cellStyle name="Normal 40 13 5 3" xfId="54555" xr:uid="{00000000-0005-0000-0000-000015D50000}"/>
    <cellStyle name="Normal 40 13 6" xfId="54556" xr:uid="{00000000-0005-0000-0000-000016D50000}"/>
    <cellStyle name="Normal 40 13 6 2" xfId="54557" xr:uid="{00000000-0005-0000-0000-000017D50000}"/>
    <cellStyle name="Normal 40 13 6 3" xfId="54558" xr:uid="{00000000-0005-0000-0000-000018D50000}"/>
    <cellStyle name="Normal 40 13 7" xfId="54559" xr:uid="{00000000-0005-0000-0000-000019D50000}"/>
    <cellStyle name="Normal 40 13 7 2" xfId="54560" xr:uid="{00000000-0005-0000-0000-00001AD50000}"/>
    <cellStyle name="Normal 40 13 7 3" xfId="54561" xr:uid="{00000000-0005-0000-0000-00001BD50000}"/>
    <cellStyle name="Normal 40 13 8" xfId="54562" xr:uid="{00000000-0005-0000-0000-00001CD50000}"/>
    <cellStyle name="Normal 40 13 8 2" xfId="54563" xr:uid="{00000000-0005-0000-0000-00001DD50000}"/>
    <cellStyle name="Normal 40 13 8 3" xfId="54564" xr:uid="{00000000-0005-0000-0000-00001ED50000}"/>
    <cellStyle name="Normal 40 13 9" xfId="54565" xr:uid="{00000000-0005-0000-0000-00001FD50000}"/>
    <cellStyle name="Normal 40 13 9 2" xfId="54566" xr:uid="{00000000-0005-0000-0000-000020D50000}"/>
    <cellStyle name="Normal 40 13 9 3" xfId="54567" xr:uid="{00000000-0005-0000-0000-000021D50000}"/>
    <cellStyle name="Normal 40 14" xfId="54568" xr:uid="{00000000-0005-0000-0000-000022D50000}"/>
    <cellStyle name="Normal 40 14 10" xfId="54569" xr:uid="{00000000-0005-0000-0000-000023D50000}"/>
    <cellStyle name="Normal 40 14 10 2" xfId="54570" xr:uid="{00000000-0005-0000-0000-000024D50000}"/>
    <cellStyle name="Normal 40 14 10 3" xfId="54571" xr:uid="{00000000-0005-0000-0000-000025D50000}"/>
    <cellStyle name="Normal 40 14 11" xfId="54572" xr:uid="{00000000-0005-0000-0000-000026D50000}"/>
    <cellStyle name="Normal 40 14 11 2" xfId="54573" xr:uid="{00000000-0005-0000-0000-000027D50000}"/>
    <cellStyle name="Normal 40 14 11 3" xfId="54574" xr:uid="{00000000-0005-0000-0000-000028D50000}"/>
    <cellStyle name="Normal 40 14 12" xfId="54575" xr:uid="{00000000-0005-0000-0000-000029D50000}"/>
    <cellStyle name="Normal 40 14 12 2" xfId="54576" xr:uid="{00000000-0005-0000-0000-00002AD50000}"/>
    <cellStyle name="Normal 40 14 12 3" xfId="54577" xr:uid="{00000000-0005-0000-0000-00002BD50000}"/>
    <cellStyle name="Normal 40 14 13" xfId="54578" xr:uid="{00000000-0005-0000-0000-00002CD50000}"/>
    <cellStyle name="Normal 40 14 13 2" xfId="54579" xr:uid="{00000000-0005-0000-0000-00002DD50000}"/>
    <cellStyle name="Normal 40 14 13 3" xfId="54580" xr:uid="{00000000-0005-0000-0000-00002ED50000}"/>
    <cellStyle name="Normal 40 14 14" xfId="54581" xr:uid="{00000000-0005-0000-0000-00002FD50000}"/>
    <cellStyle name="Normal 40 14 14 2" xfId="54582" xr:uid="{00000000-0005-0000-0000-000030D50000}"/>
    <cellStyle name="Normal 40 14 14 3" xfId="54583" xr:uid="{00000000-0005-0000-0000-000031D50000}"/>
    <cellStyle name="Normal 40 14 15" xfId="54584" xr:uid="{00000000-0005-0000-0000-000032D50000}"/>
    <cellStyle name="Normal 40 14 16" xfId="54585" xr:uid="{00000000-0005-0000-0000-000033D50000}"/>
    <cellStyle name="Normal 40 14 2" xfId="54586" xr:uid="{00000000-0005-0000-0000-000034D50000}"/>
    <cellStyle name="Normal 40 14 2 2" xfId="54587" xr:uid="{00000000-0005-0000-0000-000035D50000}"/>
    <cellStyle name="Normal 40 14 2 3" xfId="54588" xr:uid="{00000000-0005-0000-0000-000036D50000}"/>
    <cellStyle name="Normal 40 14 3" xfId="54589" xr:uid="{00000000-0005-0000-0000-000037D50000}"/>
    <cellStyle name="Normal 40 14 3 2" xfId="54590" xr:uid="{00000000-0005-0000-0000-000038D50000}"/>
    <cellStyle name="Normal 40 14 3 3" xfId="54591" xr:uid="{00000000-0005-0000-0000-000039D50000}"/>
    <cellStyle name="Normal 40 14 4" xfId="54592" xr:uid="{00000000-0005-0000-0000-00003AD50000}"/>
    <cellStyle name="Normal 40 14 4 2" xfId="54593" xr:uid="{00000000-0005-0000-0000-00003BD50000}"/>
    <cellStyle name="Normal 40 14 4 3" xfId="54594" xr:uid="{00000000-0005-0000-0000-00003CD50000}"/>
    <cellStyle name="Normal 40 14 5" xfId="54595" xr:uid="{00000000-0005-0000-0000-00003DD50000}"/>
    <cellStyle name="Normal 40 14 5 2" xfId="54596" xr:uid="{00000000-0005-0000-0000-00003ED50000}"/>
    <cellStyle name="Normal 40 14 5 3" xfId="54597" xr:uid="{00000000-0005-0000-0000-00003FD50000}"/>
    <cellStyle name="Normal 40 14 6" xfId="54598" xr:uid="{00000000-0005-0000-0000-000040D50000}"/>
    <cellStyle name="Normal 40 14 6 2" xfId="54599" xr:uid="{00000000-0005-0000-0000-000041D50000}"/>
    <cellStyle name="Normal 40 14 6 3" xfId="54600" xr:uid="{00000000-0005-0000-0000-000042D50000}"/>
    <cellStyle name="Normal 40 14 7" xfId="54601" xr:uid="{00000000-0005-0000-0000-000043D50000}"/>
    <cellStyle name="Normal 40 14 7 2" xfId="54602" xr:uid="{00000000-0005-0000-0000-000044D50000}"/>
    <cellStyle name="Normal 40 14 7 3" xfId="54603" xr:uid="{00000000-0005-0000-0000-000045D50000}"/>
    <cellStyle name="Normal 40 14 8" xfId="54604" xr:uid="{00000000-0005-0000-0000-000046D50000}"/>
    <cellStyle name="Normal 40 14 8 2" xfId="54605" xr:uid="{00000000-0005-0000-0000-000047D50000}"/>
    <cellStyle name="Normal 40 14 8 3" xfId="54606" xr:uid="{00000000-0005-0000-0000-000048D50000}"/>
    <cellStyle name="Normal 40 14 9" xfId="54607" xr:uid="{00000000-0005-0000-0000-000049D50000}"/>
    <cellStyle name="Normal 40 14 9 2" xfId="54608" xr:uid="{00000000-0005-0000-0000-00004AD50000}"/>
    <cellStyle name="Normal 40 14 9 3" xfId="54609" xr:uid="{00000000-0005-0000-0000-00004BD50000}"/>
    <cellStyle name="Normal 40 15" xfId="54610" xr:uid="{00000000-0005-0000-0000-00004CD50000}"/>
    <cellStyle name="Normal 40 15 10" xfId="54611" xr:uid="{00000000-0005-0000-0000-00004DD50000}"/>
    <cellStyle name="Normal 40 15 10 2" xfId="54612" xr:uid="{00000000-0005-0000-0000-00004ED50000}"/>
    <cellStyle name="Normal 40 15 10 3" xfId="54613" xr:uid="{00000000-0005-0000-0000-00004FD50000}"/>
    <cellStyle name="Normal 40 15 11" xfId="54614" xr:uid="{00000000-0005-0000-0000-000050D50000}"/>
    <cellStyle name="Normal 40 15 11 2" xfId="54615" xr:uid="{00000000-0005-0000-0000-000051D50000}"/>
    <cellStyle name="Normal 40 15 11 3" xfId="54616" xr:uid="{00000000-0005-0000-0000-000052D50000}"/>
    <cellStyle name="Normal 40 15 12" xfId="54617" xr:uid="{00000000-0005-0000-0000-000053D50000}"/>
    <cellStyle name="Normal 40 15 12 2" xfId="54618" xr:uid="{00000000-0005-0000-0000-000054D50000}"/>
    <cellStyle name="Normal 40 15 12 3" xfId="54619" xr:uid="{00000000-0005-0000-0000-000055D50000}"/>
    <cellStyle name="Normal 40 15 13" xfId="54620" xr:uid="{00000000-0005-0000-0000-000056D50000}"/>
    <cellStyle name="Normal 40 15 13 2" xfId="54621" xr:uid="{00000000-0005-0000-0000-000057D50000}"/>
    <cellStyle name="Normal 40 15 13 3" xfId="54622" xr:uid="{00000000-0005-0000-0000-000058D50000}"/>
    <cellStyle name="Normal 40 15 14" xfId="54623" xr:uid="{00000000-0005-0000-0000-000059D50000}"/>
    <cellStyle name="Normal 40 15 14 2" xfId="54624" xr:uid="{00000000-0005-0000-0000-00005AD50000}"/>
    <cellStyle name="Normal 40 15 14 3" xfId="54625" xr:uid="{00000000-0005-0000-0000-00005BD50000}"/>
    <cellStyle name="Normal 40 15 15" xfId="54626" xr:uid="{00000000-0005-0000-0000-00005CD50000}"/>
    <cellStyle name="Normal 40 15 16" xfId="54627" xr:uid="{00000000-0005-0000-0000-00005DD50000}"/>
    <cellStyle name="Normal 40 15 2" xfId="54628" xr:uid="{00000000-0005-0000-0000-00005ED50000}"/>
    <cellStyle name="Normal 40 15 2 2" xfId="54629" xr:uid="{00000000-0005-0000-0000-00005FD50000}"/>
    <cellStyle name="Normal 40 15 2 3" xfId="54630" xr:uid="{00000000-0005-0000-0000-000060D50000}"/>
    <cellStyle name="Normal 40 15 3" xfId="54631" xr:uid="{00000000-0005-0000-0000-000061D50000}"/>
    <cellStyle name="Normal 40 15 3 2" xfId="54632" xr:uid="{00000000-0005-0000-0000-000062D50000}"/>
    <cellStyle name="Normal 40 15 3 3" xfId="54633" xr:uid="{00000000-0005-0000-0000-000063D50000}"/>
    <cellStyle name="Normal 40 15 4" xfId="54634" xr:uid="{00000000-0005-0000-0000-000064D50000}"/>
    <cellStyle name="Normal 40 15 4 2" xfId="54635" xr:uid="{00000000-0005-0000-0000-000065D50000}"/>
    <cellStyle name="Normal 40 15 4 3" xfId="54636" xr:uid="{00000000-0005-0000-0000-000066D50000}"/>
    <cellStyle name="Normal 40 15 5" xfId="54637" xr:uid="{00000000-0005-0000-0000-000067D50000}"/>
    <cellStyle name="Normal 40 15 5 2" xfId="54638" xr:uid="{00000000-0005-0000-0000-000068D50000}"/>
    <cellStyle name="Normal 40 15 5 3" xfId="54639" xr:uid="{00000000-0005-0000-0000-000069D50000}"/>
    <cellStyle name="Normal 40 15 6" xfId="54640" xr:uid="{00000000-0005-0000-0000-00006AD50000}"/>
    <cellStyle name="Normal 40 15 6 2" xfId="54641" xr:uid="{00000000-0005-0000-0000-00006BD50000}"/>
    <cellStyle name="Normal 40 15 6 3" xfId="54642" xr:uid="{00000000-0005-0000-0000-00006CD50000}"/>
    <cellStyle name="Normal 40 15 7" xfId="54643" xr:uid="{00000000-0005-0000-0000-00006DD50000}"/>
    <cellStyle name="Normal 40 15 7 2" xfId="54644" xr:uid="{00000000-0005-0000-0000-00006ED50000}"/>
    <cellStyle name="Normal 40 15 7 3" xfId="54645" xr:uid="{00000000-0005-0000-0000-00006FD50000}"/>
    <cellStyle name="Normal 40 15 8" xfId="54646" xr:uid="{00000000-0005-0000-0000-000070D50000}"/>
    <cellStyle name="Normal 40 15 8 2" xfId="54647" xr:uid="{00000000-0005-0000-0000-000071D50000}"/>
    <cellStyle name="Normal 40 15 8 3" xfId="54648" xr:uid="{00000000-0005-0000-0000-000072D50000}"/>
    <cellStyle name="Normal 40 15 9" xfId="54649" xr:uid="{00000000-0005-0000-0000-000073D50000}"/>
    <cellStyle name="Normal 40 15 9 2" xfId="54650" xr:uid="{00000000-0005-0000-0000-000074D50000}"/>
    <cellStyle name="Normal 40 15 9 3" xfId="54651" xr:uid="{00000000-0005-0000-0000-000075D50000}"/>
    <cellStyle name="Normal 40 16" xfId="54652" xr:uid="{00000000-0005-0000-0000-000076D50000}"/>
    <cellStyle name="Normal 40 16 10" xfId="54653" xr:uid="{00000000-0005-0000-0000-000077D50000}"/>
    <cellStyle name="Normal 40 16 10 2" xfId="54654" xr:uid="{00000000-0005-0000-0000-000078D50000}"/>
    <cellStyle name="Normal 40 16 10 3" xfId="54655" xr:uid="{00000000-0005-0000-0000-000079D50000}"/>
    <cellStyle name="Normal 40 16 11" xfId="54656" xr:uid="{00000000-0005-0000-0000-00007AD50000}"/>
    <cellStyle name="Normal 40 16 11 2" xfId="54657" xr:uid="{00000000-0005-0000-0000-00007BD50000}"/>
    <cellStyle name="Normal 40 16 11 3" xfId="54658" xr:uid="{00000000-0005-0000-0000-00007CD50000}"/>
    <cellStyle name="Normal 40 16 12" xfId="54659" xr:uid="{00000000-0005-0000-0000-00007DD50000}"/>
    <cellStyle name="Normal 40 16 12 2" xfId="54660" xr:uid="{00000000-0005-0000-0000-00007ED50000}"/>
    <cellStyle name="Normal 40 16 12 3" xfId="54661" xr:uid="{00000000-0005-0000-0000-00007FD50000}"/>
    <cellStyle name="Normal 40 16 13" xfId="54662" xr:uid="{00000000-0005-0000-0000-000080D50000}"/>
    <cellStyle name="Normal 40 16 13 2" xfId="54663" xr:uid="{00000000-0005-0000-0000-000081D50000}"/>
    <cellStyle name="Normal 40 16 13 3" xfId="54664" xr:uid="{00000000-0005-0000-0000-000082D50000}"/>
    <cellStyle name="Normal 40 16 14" xfId="54665" xr:uid="{00000000-0005-0000-0000-000083D50000}"/>
    <cellStyle name="Normal 40 16 14 2" xfId="54666" xr:uid="{00000000-0005-0000-0000-000084D50000}"/>
    <cellStyle name="Normal 40 16 14 3" xfId="54667" xr:uid="{00000000-0005-0000-0000-000085D50000}"/>
    <cellStyle name="Normal 40 16 15" xfId="54668" xr:uid="{00000000-0005-0000-0000-000086D50000}"/>
    <cellStyle name="Normal 40 16 16" xfId="54669" xr:uid="{00000000-0005-0000-0000-000087D50000}"/>
    <cellStyle name="Normal 40 16 2" xfId="54670" xr:uid="{00000000-0005-0000-0000-000088D50000}"/>
    <cellStyle name="Normal 40 16 2 2" xfId="54671" xr:uid="{00000000-0005-0000-0000-000089D50000}"/>
    <cellStyle name="Normal 40 16 2 3" xfId="54672" xr:uid="{00000000-0005-0000-0000-00008AD50000}"/>
    <cellStyle name="Normal 40 16 3" xfId="54673" xr:uid="{00000000-0005-0000-0000-00008BD50000}"/>
    <cellStyle name="Normal 40 16 3 2" xfId="54674" xr:uid="{00000000-0005-0000-0000-00008CD50000}"/>
    <cellStyle name="Normal 40 16 3 3" xfId="54675" xr:uid="{00000000-0005-0000-0000-00008DD50000}"/>
    <cellStyle name="Normal 40 16 4" xfId="54676" xr:uid="{00000000-0005-0000-0000-00008ED50000}"/>
    <cellStyle name="Normal 40 16 4 2" xfId="54677" xr:uid="{00000000-0005-0000-0000-00008FD50000}"/>
    <cellStyle name="Normal 40 16 4 3" xfId="54678" xr:uid="{00000000-0005-0000-0000-000090D50000}"/>
    <cellStyle name="Normal 40 16 5" xfId="54679" xr:uid="{00000000-0005-0000-0000-000091D50000}"/>
    <cellStyle name="Normal 40 16 5 2" xfId="54680" xr:uid="{00000000-0005-0000-0000-000092D50000}"/>
    <cellStyle name="Normal 40 16 5 3" xfId="54681" xr:uid="{00000000-0005-0000-0000-000093D50000}"/>
    <cellStyle name="Normal 40 16 6" xfId="54682" xr:uid="{00000000-0005-0000-0000-000094D50000}"/>
    <cellStyle name="Normal 40 16 6 2" xfId="54683" xr:uid="{00000000-0005-0000-0000-000095D50000}"/>
    <cellStyle name="Normal 40 16 6 3" xfId="54684" xr:uid="{00000000-0005-0000-0000-000096D50000}"/>
    <cellStyle name="Normal 40 16 7" xfId="54685" xr:uid="{00000000-0005-0000-0000-000097D50000}"/>
    <cellStyle name="Normal 40 16 7 2" xfId="54686" xr:uid="{00000000-0005-0000-0000-000098D50000}"/>
    <cellStyle name="Normal 40 16 7 3" xfId="54687" xr:uid="{00000000-0005-0000-0000-000099D50000}"/>
    <cellStyle name="Normal 40 16 8" xfId="54688" xr:uid="{00000000-0005-0000-0000-00009AD50000}"/>
    <cellStyle name="Normal 40 16 8 2" xfId="54689" xr:uid="{00000000-0005-0000-0000-00009BD50000}"/>
    <cellStyle name="Normal 40 16 8 3" xfId="54690" xr:uid="{00000000-0005-0000-0000-00009CD50000}"/>
    <cellStyle name="Normal 40 16 9" xfId="54691" xr:uid="{00000000-0005-0000-0000-00009DD50000}"/>
    <cellStyle name="Normal 40 16 9 2" xfId="54692" xr:uid="{00000000-0005-0000-0000-00009ED50000}"/>
    <cellStyle name="Normal 40 16 9 3" xfId="54693" xr:uid="{00000000-0005-0000-0000-00009FD50000}"/>
    <cellStyle name="Normal 40 17" xfId="54694" xr:uid="{00000000-0005-0000-0000-0000A0D50000}"/>
    <cellStyle name="Normal 40 17 10" xfId="54695" xr:uid="{00000000-0005-0000-0000-0000A1D50000}"/>
    <cellStyle name="Normal 40 17 10 2" xfId="54696" xr:uid="{00000000-0005-0000-0000-0000A2D50000}"/>
    <cellStyle name="Normal 40 17 10 3" xfId="54697" xr:uid="{00000000-0005-0000-0000-0000A3D50000}"/>
    <cellStyle name="Normal 40 17 11" xfId="54698" xr:uid="{00000000-0005-0000-0000-0000A4D50000}"/>
    <cellStyle name="Normal 40 17 11 2" xfId="54699" xr:uid="{00000000-0005-0000-0000-0000A5D50000}"/>
    <cellStyle name="Normal 40 17 11 3" xfId="54700" xr:uid="{00000000-0005-0000-0000-0000A6D50000}"/>
    <cellStyle name="Normal 40 17 12" xfId="54701" xr:uid="{00000000-0005-0000-0000-0000A7D50000}"/>
    <cellStyle name="Normal 40 17 12 2" xfId="54702" xr:uid="{00000000-0005-0000-0000-0000A8D50000}"/>
    <cellStyle name="Normal 40 17 12 3" xfId="54703" xr:uid="{00000000-0005-0000-0000-0000A9D50000}"/>
    <cellStyle name="Normal 40 17 13" xfId="54704" xr:uid="{00000000-0005-0000-0000-0000AAD50000}"/>
    <cellStyle name="Normal 40 17 13 2" xfId="54705" xr:uid="{00000000-0005-0000-0000-0000ABD50000}"/>
    <cellStyle name="Normal 40 17 13 3" xfId="54706" xr:uid="{00000000-0005-0000-0000-0000ACD50000}"/>
    <cellStyle name="Normal 40 17 14" xfId="54707" xr:uid="{00000000-0005-0000-0000-0000ADD50000}"/>
    <cellStyle name="Normal 40 17 14 2" xfId="54708" xr:uid="{00000000-0005-0000-0000-0000AED50000}"/>
    <cellStyle name="Normal 40 17 14 3" xfId="54709" xr:uid="{00000000-0005-0000-0000-0000AFD50000}"/>
    <cellStyle name="Normal 40 17 15" xfId="54710" xr:uid="{00000000-0005-0000-0000-0000B0D50000}"/>
    <cellStyle name="Normal 40 17 16" xfId="54711" xr:uid="{00000000-0005-0000-0000-0000B1D50000}"/>
    <cellStyle name="Normal 40 17 2" xfId="54712" xr:uid="{00000000-0005-0000-0000-0000B2D50000}"/>
    <cellStyle name="Normal 40 17 2 2" xfId="54713" xr:uid="{00000000-0005-0000-0000-0000B3D50000}"/>
    <cellStyle name="Normal 40 17 2 3" xfId="54714" xr:uid="{00000000-0005-0000-0000-0000B4D50000}"/>
    <cellStyle name="Normal 40 17 3" xfId="54715" xr:uid="{00000000-0005-0000-0000-0000B5D50000}"/>
    <cellStyle name="Normal 40 17 3 2" xfId="54716" xr:uid="{00000000-0005-0000-0000-0000B6D50000}"/>
    <cellStyle name="Normal 40 17 3 3" xfId="54717" xr:uid="{00000000-0005-0000-0000-0000B7D50000}"/>
    <cellStyle name="Normal 40 17 4" xfId="54718" xr:uid="{00000000-0005-0000-0000-0000B8D50000}"/>
    <cellStyle name="Normal 40 17 4 2" xfId="54719" xr:uid="{00000000-0005-0000-0000-0000B9D50000}"/>
    <cellStyle name="Normal 40 17 4 3" xfId="54720" xr:uid="{00000000-0005-0000-0000-0000BAD50000}"/>
    <cellStyle name="Normal 40 17 5" xfId="54721" xr:uid="{00000000-0005-0000-0000-0000BBD50000}"/>
    <cellStyle name="Normal 40 17 5 2" xfId="54722" xr:uid="{00000000-0005-0000-0000-0000BCD50000}"/>
    <cellStyle name="Normal 40 17 5 3" xfId="54723" xr:uid="{00000000-0005-0000-0000-0000BDD50000}"/>
    <cellStyle name="Normal 40 17 6" xfId="54724" xr:uid="{00000000-0005-0000-0000-0000BED50000}"/>
    <cellStyle name="Normal 40 17 6 2" xfId="54725" xr:uid="{00000000-0005-0000-0000-0000BFD50000}"/>
    <cellStyle name="Normal 40 17 6 3" xfId="54726" xr:uid="{00000000-0005-0000-0000-0000C0D50000}"/>
    <cellStyle name="Normal 40 17 7" xfId="54727" xr:uid="{00000000-0005-0000-0000-0000C1D50000}"/>
    <cellStyle name="Normal 40 17 7 2" xfId="54728" xr:uid="{00000000-0005-0000-0000-0000C2D50000}"/>
    <cellStyle name="Normal 40 17 7 3" xfId="54729" xr:uid="{00000000-0005-0000-0000-0000C3D50000}"/>
    <cellStyle name="Normal 40 17 8" xfId="54730" xr:uid="{00000000-0005-0000-0000-0000C4D50000}"/>
    <cellStyle name="Normal 40 17 8 2" xfId="54731" xr:uid="{00000000-0005-0000-0000-0000C5D50000}"/>
    <cellStyle name="Normal 40 17 8 3" xfId="54732" xr:uid="{00000000-0005-0000-0000-0000C6D50000}"/>
    <cellStyle name="Normal 40 17 9" xfId="54733" xr:uid="{00000000-0005-0000-0000-0000C7D50000}"/>
    <cellStyle name="Normal 40 17 9 2" xfId="54734" xr:uid="{00000000-0005-0000-0000-0000C8D50000}"/>
    <cellStyle name="Normal 40 17 9 3" xfId="54735" xr:uid="{00000000-0005-0000-0000-0000C9D50000}"/>
    <cellStyle name="Normal 40 18" xfId="54736" xr:uid="{00000000-0005-0000-0000-0000CAD50000}"/>
    <cellStyle name="Normal 40 18 2" xfId="54737" xr:uid="{00000000-0005-0000-0000-0000CBD50000}"/>
    <cellStyle name="Normal 40 18 3" xfId="54738" xr:uid="{00000000-0005-0000-0000-0000CCD50000}"/>
    <cellStyle name="Normal 40 19" xfId="54739" xr:uid="{00000000-0005-0000-0000-0000CDD50000}"/>
    <cellStyle name="Normal 40 19 2" xfId="54740" xr:uid="{00000000-0005-0000-0000-0000CED50000}"/>
    <cellStyle name="Normal 40 19 3" xfId="54741" xr:uid="{00000000-0005-0000-0000-0000CFD50000}"/>
    <cellStyle name="Normal 40 2" xfId="54742" xr:uid="{00000000-0005-0000-0000-0000D0D50000}"/>
    <cellStyle name="Normal 40 2 10" xfId="54743" xr:uid="{00000000-0005-0000-0000-0000D1D50000}"/>
    <cellStyle name="Normal 40 2 11" xfId="54744" xr:uid="{00000000-0005-0000-0000-0000D2D50000}"/>
    <cellStyle name="Normal 40 2 12" xfId="54745" xr:uid="{00000000-0005-0000-0000-0000D3D50000}"/>
    <cellStyle name="Normal 40 2 13" xfId="54746" xr:uid="{00000000-0005-0000-0000-0000D4D50000}"/>
    <cellStyle name="Normal 40 2 14" xfId="54747" xr:uid="{00000000-0005-0000-0000-0000D5D50000}"/>
    <cellStyle name="Normal 40 2 15" xfId="54748" xr:uid="{00000000-0005-0000-0000-0000D6D50000}"/>
    <cellStyle name="Normal 40 2 16" xfId="54749" xr:uid="{00000000-0005-0000-0000-0000D7D50000}"/>
    <cellStyle name="Normal 40 2 17" xfId="54750" xr:uid="{00000000-0005-0000-0000-0000D8D50000}"/>
    <cellStyle name="Normal 40 2 2" xfId="54751" xr:uid="{00000000-0005-0000-0000-0000D9D50000}"/>
    <cellStyle name="Normal 40 2 2 10" xfId="54752" xr:uid="{00000000-0005-0000-0000-0000DAD50000}"/>
    <cellStyle name="Normal 40 2 2 11" xfId="54753" xr:uid="{00000000-0005-0000-0000-0000DBD50000}"/>
    <cellStyle name="Normal 40 2 2 12" xfId="54754" xr:uid="{00000000-0005-0000-0000-0000DCD50000}"/>
    <cellStyle name="Normal 40 2 2 13" xfId="54755" xr:uid="{00000000-0005-0000-0000-0000DDD50000}"/>
    <cellStyle name="Normal 40 2 2 14" xfId="54756" xr:uid="{00000000-0005-0000-0000-0000DED50000}"/>
    <cellStyle name="Normal 40 2 2 2" xfId="54757" xr:uid="{00000000-0005-0000-0000-0000DFD50000}"/>
    <cellStyle name="Normal 40 2 2 2 2" xfId="54758" xr:uid="{00000000-0005-0000-0000-0000E0D50000}"/>
    <cellStyle name="Normal 40 2 2 2 2 2" xfId="54759" xr:uid="{00000000-0005-0000-0000-0000E1D50000}"/>
    <cellStyle name="Normal 40 2 2 2 2 3" xfId="54760" xr:uid="{00000000-0005-0000-0000-0000E2D50000}"/>
    <cellStyle name="Normal 40 2 2 2 3" xfId="54761" xr:uid="{00000000-0005-0000-0000-0000E3D50000}"/>
    <cellStyle name="Normal 40 2 2 3" xfId="54762" xr:uid="{00000000-0005-0000-0000-0000E4D50000}"/>
    <cellStyle name="Normal 40 2 2 4" xfId="54763" xr:uid="{00000000-0005-0000-0000-0000E5D50000}"/>
    <cellStyle name="Normal 40 2 2 5" xfId="54764" xr:uid="{00000000-0005-0000-0000-0000E6D50000}"/>
    <cellStyle name="Normal 40 2 2 6" xfId="54765" xr:uid="{00000000-0005-0000-0000-0000E7D50000}"/>
    <cellStyle name="Normal 40 2 2 7" xfId="54766" xr:uid="{00000000-0005-0000-0000-0000E8D50000}"/>
    <cellStyle name="Normal 40 2 2 8" xfId="54767" xr:uid="{00000000-0005-0000-0000-0000E9D50000}"/>
    <cellStyle name="Normal 40 2 2 9" xfId="54768" xr:uid="{00000000-0005-0000-0000-0000EAD50000}"/>
    <cellStyle name="Normal 40 2 3" xfId="54769" xr:uid="{00000000-0005-0000-0000-0000EBD50000}"/>
    <cellStyle name="Normal 40 2 4" xfId="54770" xr:uid="{00000000-0005-0000-0000-0000ECD50000}"/>
    <cellStyle name="Normal 40 2 5" xfId="54771" xr:uid="{00000000-0005-0000-0000-0000EDD50000}"/>
    <cellStyle name="Normal 40 2 6" xfId="54772" xr:uid="{00000000-0005-0000-0000-0000EED50000}"/>
    <cellStyle name="Normal 40 2 6 2" xfId="54773" xr:uid="{00000000-0005-0000-0000-0000EFD50000}"/>
    <cellStyle name="Normal 40 2 6 2 2" xfId="54774" xr:uid="{00000000-0005-0000-0000-0000F0D50000}"/>
    <cellStyle name="Normal 40 2 6 2 3" xfId="54775" xr:uid="{00000000-0005-0000-0000-0000F1D50000}"/>
    <cellStyle name="Normal 40 2 6 3" xfId="54776" xr:uid="{00000000-0005-0000-0000-0000F2D50000}"/>
    <cellStyle name="Normal 40 2 7" xfId="54777" xr:uid="{00000000-0005-0000-0000-0000F3D50000}"/>
    <cellStyle name="Normal 40 2 7 2" xfId="54778" xr:uid="{00000000-0005-0000-0000-0000F4D50000}"/>
    <cellStyle name="Normal 40 2 7 2 2" xfId="54779" xr:uid="{00000000-0005-0000-0000-0000F5D50000}"/>
    <cellStyle name="Normal 40 2 7 2 3" xfId="54780" xr:uid="{00000000-0005-0000-0000-0000F6D50000}"/>
    <cellStyle name="Normal 40 2 7 3" xfId="54781" xr:uid="{00000000-0005-0000-0000-0000F7D50000}"/>
    <cellStyle name="Normal 40 2 8" xfId="54782" xr:uid="{00000000-0005-0000-0000-0000F8D50000}"/>
    <cellStyle name="Normal 40 2 9" xfId="54783" xr:uid="{00000000-0005-0000-0000-0000F9D50000}"/>
    <cellStyle name="Normal 40 20" xfId="54784" xr:uid="{00000000-0005-0000-0000-0000FAD50000}"/>
    <cellStyle name="Normal 40 20 2" xfId="54785" xr:uid="{00000000-0005-0000-0000-0000FBD50000}"/>
    <cellStyle name="Normal 40 20 3" xfId="54786" xr:uid="{00000000-0005-0000-0000-0000FCD50000}"/>
    <cellStyle name="Normal 40 21" xfId="54787" xr:uid="{00000000-0005-0000-0000-0000FDD50000}"/>
    <cellStyle name="Normal 40 21 2" xfId="54788" xr:uid="{00000000-0005-0000-0000-0000FED50000}"/>
    <cellStyle name="Normal 40 21 3" xfId="54789" xr:uid="{00000000-0005-0000-0000-0000FFD50000}"/>
    <cellStyle name="Normal 40 22" xfId="54790" xr:uid="{00000000-0005-0000-0000-000000D60000}"/>
    <cellStyle name="Normal 40 22 2" xfId="54791" xr:uid="{00000000-0005-0000-0000-000001D60000}"/>
    <cellStyle name="Normal 40 22 3" xfId="54792" xr:uid="{00000000-0005-0000-0000-000002D60000}"/>
    <cellStyle name="Normal 40 23" xfId="54793" xr:uid="{00000000-0005-0000-0000-000003D60000}"/>
    <cellStyle name="Normal 40 23 2" xfId="54794" xr:uid="{00000000-0005-0000-0000-000004D60000}"/>
    <cellStyle name="Normal 40 23 3" xfId="54795" xr:uid="{00000000-0005-0000-0000-000005D60000}"/>
    <cellStyle name="Normal 40 24" xfId="54796" xr:uid="{00000000-0005-0000-0000-000006D60000}"/>
    <cellStyle name="Normal 40 24 2" xfId="54797" xr:uid="{00000000-0005-0000-0000-000007D60000}"/>
    <cellStyle name="Normal 40 24 3" xfId="54798" xr:uid="{00000000-0005-0000-0000-000008D60000}"/>
    <cellStyle name="Normal 40 25" xfId="54799" xr:uid="{00000000-0005-0000-0000-000009D60000}"/>
    <cellStyle name="Normal 40 25 2" xfId="54800" xr:uid="{00000000-0005-0000-0000-00000AD60000}"/>
    <cellStyle name="Normal 40 25 3" xfId="54801" xr:uid="{00000000-0005-0000-0000-00000BD60000}"/>
    <cellStyle name="Normal 40 26" xfId="54802" xr:uid="{00000000-0005-0000-0000-00000CD60000}"/>
    <cellStyle name="Normal 40 26 2" xfId="54803" xr:uid="{00000000-0005-0000-0000-00000DD60000}"/>
    <cellStyle name="Normal 40 26 3" xfId="54804" xr:uid="{00000000-0005-0000-0000-00000ED60000}"/>
    <cellStyle name="Normal 40 27" xfId="54805" xr:uid="{00000000-0005-0000-0000-00000FD60000}"/>
    <cellStyle name="Normal 40 27 2" xfId="54806" xr:uid="{00000000-0005-0000-0000-000010D60000}"/>
    <cellStyle name="Normal 40 27 3" xfId="54807" xr:uid="{00000000-0005-0000-0000-000011D60000}"/>
    <cellStyle name="Normal 40 28" xfId="54808" xr:uid="{00000000-0005-0000-0000-000012D60000}"/>
    <cellStyle name="Normal 40 28 2" xfId="54809" xr:uid="{00000000-0005-0000-0000-000013D60000}"/>
    <cellStyle name="Normal 40 28 3" xfId="54810" xr:uid="{00000000-0005-0000-0000-000014D60000}"/>
    <cellStyle name="Normal 40 29" xfId="54811" xr:uid="{00000000-0005-0000-0000-000015D60000}"/>
    <cellStyle name="Normal 40 29 2" xfId="54812" xr:uid="{00000000-0005-0000-0000-000016D60000}"/>
    <cellStyle name="Normal 40 29 3" xfId="54813" xr:uid="{00000000-0005-0000-0000-000017D60000}"/>
    <cellStyle name="Normal 40 3" xfId="54814" xr:uid="{00000000-0005-0000-0000-000018D60000}"/>
    <cellStyle name="Normal 40 30" xfId="54815" xr:uid="{00000000-0005-0000-0000-000019D60000}"/>
    <cellStyle name="Normal 40 30 2" xfId="54816" xr:uid="{00000000-0005-0000-0000-00001AD60000}"/>
    <cellStyle name="Normal 40 30 3" xfId="54817" xr:uid="{00000000-0005-0000-0000-00001BD60000}"/>
    <cellStyle name="Normal 40 31" xfId="54818" xr:uid="{00000000-0005-0000-0000-00001CD60000}"/>
    <cellStyle name="Normal 40 32" xfId="54819" xr:uid="{00000000-0005-0000-0000-00001DD60000}"/>
    <cellStyle name="Normal 40 33" xfId="54820" xr:uid="{00000000-0005-0000-0000-00001ED60000}"/>
    <cellStyle name="Normal 40 34" xfId="54821" xr:uid="{00000000-0005-0000-0000-00001FD60000}"/>
    <cellStyle name="Normal 40 35" xfId="54822" xr:uid="{00000000-0005-0000-0000-000020D60000}"/>
    <cellStyle name="Normal 40 36" xfId="54823" xr:uid="{00000000-0005-0000-0000-000021D60000}"/>
    <cellStyle name="Normal 40 37" xfId="54824" xr:uid="{00000000-0005-0000-0000-000022D60000}"/>
    <cellStyle name="Normal 40 38" xfId="54825" xr:uid="{00000000-0005-0000-0000-000023D60000}"/>
    <cellStyle name="Normal 40 39" xfId="54826" xr:uid="{00000000-0005-0000-0000-000024D60000}"/>
    <cellStyle name="Normal 40 4" xfId="54827" xr:uid="{00000000-0005-0000-0000-000025D60000}"/>
    <cellStyle name="Normal 40 4 10" xfId="54828" xr:uid="{00000000-0005-0000-0000-000026D60000}"/>
    <cellStyle name="Normal 40 4 10 2" xfId="54829" xr:uid="{00000000-0005-0000-0000-000027D60000}"/>
    <cellStyle name="Normal 40 4 10 3" xfId="54830" xr:uid="{00000000-0005-0000-0000-000028D60000}"/>
    <cellStyle name="Normal 40 4 11" xfId="54831" xr:uid="{00000000-0005-0000-0000-000029D60000}"/>
    <cellStyle name="Normal 40 4 11 2" xfId="54832" xr:uid="{00000000-0005-0000-0000-00002AD60000}"/>
    <cellStyle name="Normal 40 4 11 3" xfId="54833" xr:uid="{00000000-0005-0000-0000-00002BD60000}"/>
    <cellStyle name="Normal 40 4 12" xfId="54834" xr:uid="{00000000-0005-0000-0000-00002CD60000}"/>
    <cellStyle name="Normal 40 4 12 2" xfId="54835" xr:uid="{00000000-0005-0000-0000-00002DD60000}"/>
    <cellStyle name="Normal 40 4 12 3" xfId="54836" xr:uid="{00000000-0005-0000-0000-00002ED60000}"/>
    <cellStyle name="Normal 40 4 13" xfId="54837" xr:uid="{00000000-0005-0000-0000-00002FD60000}"/>
    <cellStyle name="Normal 40 4 13 2" xfId="54838" xr:uid="{00000000-0005-0000-0000-000030D60000}"/>
    <cellStyle name="Normal 40 4 13 3" xfId="54839" xr:uid="{00000000-0005-0000-0000-000031D60000}"/>
    <cellStyle name="Normal 40 4 14" xfId="54840" xr:uid="{00000000-0005-0000-0000-000032D60000}"/>
    <cellStyle name="Normal 40 4 14 2" xfId="54841" xr:uid="{00000000-0005-0000-0000-000033D60000}"/>
    <cellStyle name="Normal 40 4 14 3" xfId="54842" xr:uid="{00000000-0005-0000-0000-000034D60000}"/>
    <cellStyle name="Normal 40 4 15" xfId="54843" xr:uid="{00000000-0005-0000-0000-000035D60000}"/>
    <cellStyle name="Normal 40 4 15 2" xfId="54844" xr:uid="{00000000-0005-0000-0000-000036D60000}"/>
    <cellStyle name="Normal 40 4 15 3" xfId="54845" xr:uid="{00000000-0005-0000-0000-000037D60000}"/>
    <cellStyle name="Normal 40 4 16" xfId="54846" xr:uid="{00000000-0005-0000-0000-000038D60000}"/>
    <cellStyle name="Normal 40 4 17" xfId="54847" xr:uid="{00000000-0005-0000-0000-000039D60000}"/>
    <cellStyle name="Normal 40 4 18" xfId="54848" xr:uid="{00000000-0005-0000-0000-00003AD60000}"/>
    <cellStyle name="Normal 40 4 19" xfId="54849" xr:uid="{00000000-0005-0000-0000-00003BD60000}"/>
    <cellStyle name="Normal 40 4 2" xfId="54850" xr:uid="{00000000-0005-0000-0000-00003CD60000}"/>
    <cellStyle name="Normal 40 4 2 10" xfId="54851" xr:uid="{00000000-0005-0000-0000-00003DD60000}"/>
    <cellStyle name="Normal 40 4 2 10 2" xfId="54852" xr:uid="{00000000-0005-0000-0000-00003ED60000}"/>
    <cellStyle name="Normal 40 4 2 10 3" xfId="54853" xr:uid="{00000000-0005-0000-0000-00003FD60000}"/>
    <cellStyle name="Normal 40 4 2 11" xfId="54854" xr:uid="{00000000-0005-0000-0000-000040D60000}"/>
    <cellStyle name="Normal 40 4 2 11 2" xfId="54855" xr:uid="{00000000-0005-0000-0000-000041D60000}"/>
    <cellStyle name="Normal 40 4 2 11 3" xfId="54856" xr:uid="{00000000-0005-0000-0000-000042D60000}"/>
    <cellStyle name="Normal 40 4 2 12" xfId="54857" xr:uid="{00000000-0005-0000-0000-000043D60000}"/>
    <cellStyle name="Normal 40 4 2 12 2" xfId="54858" xr:uid="{00000000-0005-0000-0000-000044D60000}"/>
    <cellStyle name="Normal 40 4 2 12 3" xfId="54859" xr:uid="{00000000-0005-0000-0000-000045D60000}"/>
    <cellStyle name="Normal 40 4 2 13" xfId="54860" xr:uid="{00000000-0005-0000-0000-000046D60000}"/>
    <cellStyle name="Normal 40 4 2 13 2" xfId="54861" xr:uid="{00000000-0005-0000-0000-000047D60000}"/>
    <cellStyle name="Normal 40 4 2 13 3" xfId="54862" xr:uid="{00000000-0005-0000-0000-000048D60000}"/>
    <cellStyle name="Normal 40 4 2 14" xfId="54863" xr:uid="{00000000-0005-0000-0000-000049D60000}"/>
    <cellStyle name="Normal 40 4 2 14 2" xfId="54864" xr:uid="{00000000-0005-0000-0000-00004AD60000}"/>
    <cellStyle name="Normal 40 4 2 14 3" xfId="54865" xr:uid="{00000000-0005-0000-0000-00004BD60000}"/>
    <cellStyle name="Normal 40 4 2 15" xfId="54866" xr:uid="{00000000-0005-0000-0000-00004CD60000}"/>
    <cellStyle name="Normal 40 4 2 16" xfId="54867" xr:uid="{00000000-0005-0000-0000-00004DD60000}"/>
    <cellStyle name="Normal 40 4 2 2" xfId="54868" xr:uid="{00000000-0005-0000-0000-00004ED60000}"/>
    <cellStyle name="Normal 40 4 2 2 2" xfId="54869" xr:uid="{00000000-0005-0000-0000-00004FD60000}"/>
    <cellStyle name="Normal 40 4 2 2 3" xfId="54870" xr:uid="{00000000-0005-0000-0000-000050D60000}"/>
    <cellStyle name="Normal 40 4 2 3" xfId="54871" xr:uid="{00000000-0005-0000-0000-000051D60000}"/>
    <cellStyle name="Normal 40 4 2 3 2" xfId="54872" xr:uid="{00000000-0005-0000-0000-000052D60000}"/>
    <cellStyle name="Normal 40 4 2 3 3" xfId="54873" xr:uid="{00000000-0005-0000-0000-000053D60000}"/>
    <cellStyle name="Normal 40 4 2 4" xfId="54874" xr:uid="{00000000-0005-0000-0000-000054D60000}"/>
    <cellStyle name="Normal 40 4 2 4 2" xfId="54875" xr:uid="{00000000-0005-0000-0000-000055D60000}"/>
    <cellStyle name="Normal 40 4 2 4 3" xfId="54876" xr:uid="{00000000-0005-0000-0000-000056D60000}"/>
    <cellStyle name="Normal 40 4 2 5" xfId="54877" xr:uid="{00000000-0005-0000-0000-000057D60000}"/>
    <cellStyle name="Normal 40 4 2 5 2" xfId="54878" xr:uid="{00000000-0005-0000-0000-000058D60000}"/>
    <cellStyle name="Normal 40 4 2 5 3" xfId="54879" xr:uid="{00000000-0005-0000-0000-000059D60000}"/>
    <cellStyle name="Normal 40 4 2 6" xfId="54880" xr:uid="{00000000-0005-0000-0000-00005AD60000}"/>
    <cellStyle name="Normal 40 4 2 6 2" xfId="54881" xr:uid="{00000000-0005-0000-0000-00005BD60000}"/>
    <cellStyle name="Normal 40 4 2 6 3" xfId="54882" xr:uid="{00000000-0005-0000-0000-00005CD60000}"/>
    <cellStyle name="Normal 40 4 2 7" xfId="54883" xr:uid="{00000000-0005-0000-0000-00005DD60000}"/>
    <cellStyle name="Normal 40 4 2 7 2" xfId="54884" xr:uid="{00000000-0005-0000-0000-00005ED60000}"/>
    <cellStyle name="Normal 40 4 2 7 3" xfId="54885" xr:uid="{00000000-0005-0000-0000-00005FD60000}"/>
    <cellStyle name="Normal 40 4 2 8" xfId="54886" xr:uid="{00000000-0005-0000-0000-000060D60000}"/>
    <cellStyle name="Normal 40 4 2 8 2" xfId="54887" xr:uid="{00000000-0005-0000-0000-000061D60000}"/>
    <cellStyle name="Normal 40 4 2 8 3" xfId="54888" xr:uid="{00000000-0005-0000-0000-000062D60000}"/>
    <cellStyle name="Normal 40 4 2 9" xfId="54889" xr:uid="{00000000-0005-0000-0000-000063D60000}"/>
    <cellStyle name="Normal 40 4 2 9 2" xfId="54890" xr:uid="{00000000-0005-0000-0000-000064D60000}"/>
    <cellStyle name="Normal 40 4 2 9 3" xfId="54891" xr:uid="{00000000-0005-0000-0000-000065D60000}"/>
    <cellStyle name="Normal 40 4 20" xfId="54892" xr:uid="{00000000-0005-0000-0000-000066D60000}"/>
    <cellStyle name="Normal 40 4 21" xfId="54893" xr:uid="{00000000-0005-0000-0000-000067D60000}"/>
    <cellStyle name="Normal 40 4 22" xfId="54894" xr:uid="{00000000-0005-0000-0000-000068D60000}"/>
    <cellStyle name="Normal 40 4 23" xfId="54895" xr:uid="{00000000-0005-0000-0000-000069D60000}"/>
    <cellStyle name="Normal 40 4 24" xfId="54896" xr:uid="{00000000-0005-0000-0000-00006AD60000}"/>
    <cellStyle name="Normal 40 4 25" xfId="54897" xr:uid="{00000000-0005-0000-0000-00006BD60000}"/>
    <cellStyle name="Normal 40 4 26" xfId="54898" xr:uid="{00000000-0005-0000-0000-00006CD60000}"/>
    <cellStyle name="Normal 40 4 27" xfId="54899" xr:uid="{00000000-0005-0000-0000-00006DD60000}"/>
    <cellStyle name="Normal 40 4 28" xfId="54900" xr:uid="{00000000-0005-0000-0000-00006ED60000}"/>
    <cellStyle name="Normal 40 4 3" xfId="54901" xr:uid="{00000000-0005-0000-0000-00006FD60000}"/>
    <cellStyle name="Normal 40 4 3 2" xfId="54902" xr:uid="{00000000-0005-0000-0000-000070D60000}"/>
    <cellStyle name="Normal 40 4 3 3" xfId="54903" xr:uid="{00000000-0005-0000-0000-000071D60000}"/>
    <cellStyle name="Normal 40 4 4" xfId="54904" xr:uid="{00000000-0005-0000-0000-000072D60000}"/>
    <cellStyle name="Normal 40 4 4 2" xfId="54905" xr:uid="{00000000-0005-0000-0000-000073D60000}"/>
    <cellStyle name="Normal 40 4 4 3" xfId="54906" xr:uid="{00000000-0005-0000-0000-000074D60000}"/>
    <cellStyle name="Normal 40 4 5" xfId="54907" xr:uid="{00000000-0005-0000-0000-000075D60000}"/>
    <cellStyle name="Normal 40 4 5 2" xfId="54908" xr:uid="{00000000-0005-0000-0000-000076D60000}"/>
    <cellStyle name="Normal 40 4 5 3" xfId="54909" xr:uid="{00000000-0005-0000-0000-000077D60000}"/>
    <cellStyle name="Normal 40 4 6" xfId="54910" xr:uid="{00000000-0005-0000-0000-000078D60000}"/>
    <cellStyle name="Normal 40 4 6 2" xfId="54911" xr:uid="{00000000-0005-0000-0000-000079D60000}"/>
    <cellStyle name="Normal 40 4 6 3" xfId="54912" xr:uid="{00000000-0005-0000-0000-00007AD60000}"/>
    <cellStyle name="Normal 40 4 7" xfId="54913" xr:uid="{00000000-0005-0000-0000-00007BD60000}"/>
    <cellStyle name="Normal 40 4 7 2" xfId="54914" xr:uid="{00000000-0005-0000-0000-00007CD60000}"/>
    <cellStyle name="Normal 40 4 7 3" xfId="54915" xr:uid="{00000000-0005-0000-0000-00007DD60000}"/>
    <cellStyle name="Normal 40 4 8" xfId="54916" xr:uid="{00000000-0005-0000-0000-00007ED60000}"/>
    <cellStyle name="Normal 40 4 8 2" xfId="54917" xr:uid="{00000000-0005-0000-0000-00007FD60000}"/>
    <cellStyle name="Normal 40 4 8 3" xfId="54918" xr:uid="{00000000-0005-0000-0000-000080D60000}"/>
    <cellStyle name="Normal 40 4 9" xfId="54919" xr:uid="{00000000-0005-0000-0000-000081D60000}"/>
    <cellStyle name="Normal 40 4 9 2" xfId="54920" xr:uid="{00000000-0005-0000-0000-000082D60000}"/>
    <cellStyle name="Normal 40 4 9 3" xfId="54921" xr:uid="{00000000-0005-0000-0000-000083D60000}"/>
    <cellStyle name="Normal 40 40" xfId="54922" xr:uid="{00000000-0005-0000-0000-000084D60000}"/>
    <cellStyle name="Normal 40 41" xfId="54923" xr:uid="{00000000-0005-0000-0000-000085D60000}"/>
    <cellStyle name="Normal 40 42" xfId="54924" xr:uid="{00000000-0005-0000-0000-000086D60000}"/>
    <cellStyle name="Normal 40 43" xfId="54925" xr:uid="{00000000-0005-0000-0000-000087D60000}"/>
    <cellStyle name="Normal 40 5" xfId="54926" xr:uid="{00000000-0005-0000-0000-000088D60000}"/>
    <cellStyle name="Normal 40 5 10" xfId="54927" xr:uid="{00000000-0005-0000-0000-000089D60000}"/>
    <cellStyle name="Normal 40 5 10 2" xfId="54928" xr:uid="{00000000-0005-0000-0000-00008AD60000}"/>
    <cellStyle name="Normal 40 5 10 3" xfId="54929" xr:uid="{00000000-0005-0000-0000-00008BD60000}"/>
    <cellStyle name="Normal 40 5 11" xfId="54930" xr:uid="{00000000-0005-0000-0000-00008CD60000}"/>
    <cellStyle name="Normal 40 5 11 2" xfId="54931" xr:uid="{00000000-0005-0000-0000-00008DD60000}"/>
    <cellStyle name="Normal 40 5 11 3" xfId="54932" xr:uid="{00000000-0005-0000-0000-00008ED60000}"/>
    <cellStyle name="Normal 40 5 12" xfId="54933" xr:uid="{00000000-0005-0000-0000-00008FD60000}"/>
    <cellStyle name="Normal 40 5 12 2" xfId="54934" xr:uid="{00000000-0005-0000-0000-000090D60000}"/>
    <cellStyle name="Normal 40 5 12 3" xfId="54935" xr:uid="{00000000-0005-0000-0000-000091D60000}"/>
    <cellStyle name="Normal 40 5 13" xfId="54936" xr:uid="{00000000-0005-0000-0000-000092D60000}"/>
    <cellStyle name="Normal 40 5 13 2" xfId="54937" xr:uid="{00000000-0005-0000-0000-000093D60000}"/>
    <cellStyle name="Normal 40 5 13 3" xfId="54938" xr:uid="{00000000-0005-0000-0000-000094D60000}"/>
    <cellStyle name="Normal 40 5 14" xfId="54939" xr:uid="{00000000-0005-0000-0000-000095D60000}"/>
    <cellStyle name="Normal 40 5 14 2" xfId="54940" xr:uid="{00000000-0005-0000-0000-000096D60000}"/>
    <cellStyle name="Normal 40 5 14 3" xfId="54941" xr:uid="{00000000-0005-0000-0000-000097D60000}"/>
    <cellStyle name="Normal 40 5 15" xfId="54942" xr:uid="{00000000-0005-0000-0000-000098D60000}"/>
    <cellStyle name="Normal 40 5 15 2" xfId="54943" xr:uid="{00000000-0005-0000-0000-000099D60000}"/>
    <cellStyle name="Normal 40 5 15 3" xfId="54944" xr:uid="{00000000-0005-0000-0000-00009AD60000}"/>
    <cellStyle name="Normal 40 5 16" xfId="54945" xr:uid="{00000000-0005-0000-0000-00009BD60000}"/>
    <cellStyle name="Normal 40 5 17" xfId="54946" xr:uid="{00000000-0005-0000-0000-00009CD60000}"/>
    <cellStyle name="Normal 40 5 18" xfId="54947" xr:uid="{00000000-0005-0000-0000-00009DD60000}"/>
    <cellStyle name="Normal 40 5 19" xfId="54948" xr:uid="{00000000-0005-0000-0000-00009ED60000}"/>
    <cellStyle name="Normal 40 5 2" xfId="54949" xr:uid="{00000000-0005-0000-0000-00009FD60000}"/>
    <cellStyle name="Normal 40 5 2 10" xfId="54950" xr:uid="{00000000-0005-0000-0000-0000A0D60000}"/>
    <cellStyle name="Normal 40 5 2 10 2" xfId="54951" xr:uid="{00000000-0005-0000-0000-0000A1D60000}"/>
    <cellStyle name="Normal 40 5 2 10 3" xfId="54952" xr:uid="{00000000-0005-0000-0000-0000A2D60000}"/>
    <cellStyle name="Normal 40 5 2 11" xfId="54953" xr:uid="{00000000-0005-0000-0000-0000A3D60000}"/>
    <cellStyle name="Normal 40 5 2 11 2" xfId="54954" xr:uid="{00000000-0005-0000-0000-0000A4D60000}"/>
    <cellStyle name="Normal 40 5 2 11 3" xfId="54955" xr:uid="{00000000-0005-0000-0000-0000A5D60000}"/>
    <cellStyle name="Normal 40 5 2 12" xfId="54956" xr:uid="{00000000-0005-0000-0000-0000A6D60000}"/>
    <cellStyle name="Normal 40 5 2 12 2" xfId="54957" xr:uid="{00000000-0005-0000-0000-0000A7D60000}"/>
    <cellStyle name="Normal 40 5 2 12 3" xfId="54958" xr:uid="{00000000-0005-0000-0000-0000A8D60000}"/>
    <cellStyle name="Normal 40 5 2 13" xfId="54959" xr:uid="{00000000-0005-0000-0000-0000A9D60000}"/>
    <cellStyle name="Normal 40 5 2 13 2" xfId="54960" xr:uid="{00000000-0005-0000-0000-0000AAD60000}"/>
    <cellStyle name="Normal 40 5 2 13 3" xfId="54961" xr:uid="{00000000-0005-0000-0000-0000ABD60000}"/>
    <cellStyle name="Normal 40 5 2 14" xfId="54962" xr:uid="{00000000-0005-0000-0000-0000ACD60000}"/>
    <cellStyle name="Normal 40 5 2 14 2" xfId="54963" xr:uid="{00000000-0005-0000-0000-0000ADD60000}"/>
    <cellStyle name="Normal 40 5 2 14 3" xfId="54964" xr:uid="{00000000-0005-0000-0000-0000AED60000}"/>
    <cellStyle name="Normal 40 5 2 15" xfId="54965" xr:uid="{00000000-0005-0000-0000-0000AFD60000}"/>
    <cellStyle name="Normal 40 5 2 16" xfId="54966" xr:uid="{00000000-0005-0000-0000-0000B0D60000}"/>
    <cellStyle name="Normal 40 5 2 2" xfId="54967" xr:uid="{00000000-0005-0000-0000-0000B1D60000}"/>
    <cellStyle name="Normal 40 5 2 2 2" xfId="54968" xr:uid="{00000000-0005-0000-0000-0000B2D60000}"/>
    <cellStyle name="Normal 40 5 2 2 3" xfId="54969" xr:uid="{00000000-0005-0000-0000-0000B3D60000}"/>
    <cellStyle name="Normal 40 5 2 3" xfId="54970" xr:uid="{00000000-0005-0000-0000-0000B4D60000}"/>
    <cellStyle name="Normal 40 5 2 3 2" xfId="54971" xr:uid="{00000000-0005-0000-0000-0000B5D60000}"/>
    <cellStyle name="Normal 40 5 2 3 3" xfId="54972" xr:uid="{00000000-0005-0000-0000-0000B6D60000}"/>
    <cellStyle name="Normal 40 5 2 4" xfId="54973" xr:uid="{00000000-0005-0000-0000-0000B7D60000}"/>
    <cellStyle name="Normal 40 5 2 4 2" xfId="54974" xr:uid="{00000000-0005-0000-0000-0000B8D60000}"/>
    <cellStyle name="Normal 40 5 2 4 3" xfId="54975" xr:uid="{00000000-0005-0000-0000-0000B9D60000}"/>
    <cellStyle name="Normal 40 5 2 5" xfId="54976" xr:uid="{00000000-0005-0000-0000-0000BAD60000}"/>
    <cellStyle name="Normal 40 5 2 5 2" xfId="54977" xr:uid="{00000000-0005-0000-0000-0000BBD60000}"/>
    <cellStyle name="Normal 40 5 2 5 3" xfId="54978" xr:uid="{00000000-0005-0000-0000-0000BCD60000}"/>
    <cellStyle name="Normal 40 5 2 6" xfId="54979" xr:uid="{00000000-0005-0000-0000-0000BDD60000}"/>
    <cellStyle name="Normal 40 5 2 6 2" xfId="54980" xr:uid="{00000000-0005-0000-0000-0000BED60000}"/>
    <cellStyle name="Normal 40 5 2 6 3" xfId="54981" xr:uid="{00000000-0005-0000-0000-0000BFD60000}"/>
    <cellStyle name="Normal 40 5 2 7" xfId="54982" xr:uid="{00000000-0005-0000-0000-0000C0D60000}"/>
    <cellStyle name="Normal 40 5 2 7 2" xfId="54983" xr:uid="{00000000-0005-0000-0000-0000C1D60000}"/>
    <cellStyle name="Normal 40 5 2 7 3" xfId="54984" xr:uid="{00000000-0005-0000-0000-0000C2D60000}"/>
    <cellStyle name="Normal 40 5 2 8" xfId="54985" xr:uid="{00000000-0005-0000-0000-0000C3D60000}"/>
    <cellStyle name="Normal 40 5 2 8 2" xfId="54986" xr:uid="{00000000-0005-0000-0000-0000C4D60000}"/>
    <cellStyle name="Normal 40 5 2 8 3" xfId="54987" xr:uid="{00000000-0005-0000-0000-0000C5D60000}"/>
    <cellStyle name="Normal 40 5 2 9" xfId="54988" xr:uid="{00000000-0005-0000-0000-0000C6D60000}"/>
    <cellStyle name="Normal 40 5 2 9 2" xfId="54989" xr:uid="{00000000-0005-0000-0000-0000C7D60000}"/>
    <cellStyle name="Normal 40 5 2 9 3" xfId="54990" xr:uid="{00000000-0005-0000-0000-0000C8D60000}"/>
    <cellStyle name="Normal 40 5 20" xfId="54991" xr:uid="{00000000-0005-0000-0000-0000C9D60000}"/>
    <cellStyle name="Normal 40 5 21" xfId="54992" xr:uid="{00000000-0005-0000-0000-0000CAD60000}"/>
    <cellStyle name="Normal 40 5 22" xfId="54993" xr:uid="{00000000-0005-0000-0000-0000CBD60000}"/>
    <cellStyle name="Normal 40 5 23" xfId="54994" xr:uid="{00000000-0005-0000-0000-0000CCD60000}"/>
    <cellStyle name="Normal 40 5 24" xfId="54995" xr:uid="{00000000-0005-0000-0000-0000CDD60000}"/>
    <cellStyle name="Normal 40 5 25" xfId="54996" xr:uid="{00000000-0005-0000-0000-0000CED60000}"/>
    <cellStyle name="Normal 40 5 26" xfId="54997" xr:uid="{00000000-0005-0000-0000-0000CFD60000}"/>
    <cellStyle name="Normal 40 5 27" xfId="54998" xr:uid="{00000000-0005-0000-0000-0000D0D60000}"/>
    <cellStyle name="Normal 40 5 28" xfId="54999" xr:uid="{00000000-0005-0000-0000-0000D1D60000}"/>
    <cellStyle name="Normal 40 5 3" xfId="55000" xr:uid="{00000000-0005-0000-0000-0000D2D60000}"/>
    <cellStyle name="Normal 40 5 3 2" xfId="55001" xr:uid="{00000000-0005-0000-0000-0000D3D60000}"/>
    <cellStyle name="Normal 40 5 3 3" xfId="55002" xr:uid="{00000000-0005-0000-0000-0000D4D60000}"/>
    <cellStyle name="Normal 40 5 4" xfId="55003" xr:uid="{00000000-0005-0000-0000-0000D5D60000}"/>
    <cellStyle name="Normal 40 5 4 2" xfId="55004" xr:uid="{00000000-0005-0000-0000-0000D6D60000}"/>
    <cellStyle name="Normal 40 5 4 3" xfId="55005" xr:uid="{00000000-0005-0000-0000-0000D7D60000}"/>
    <cellStyle name="Normal 40 5 5" xfId="55006" xr:uid="{00000000-0005-0000-0000-0000D8D60000}"/>
    <cellStyle name="Normal 40 5 5 2" xfId="55007" xr:uid="{00000000-0005-0000-0000-0000D9D60000}"/>
    <cellStyle name="Normal 40 5 5 3" xfId="55008" xr:uid="{00000000-0005-0000-0000-0000DAD60000}"/>
    <cellStyle name="Normal 40 5 6" xfId="55009" xr:uid="{00000000-0005-0000-0000-0000DBD60000}"/>
    <cellStyle name="Normal 40 5 6 2" xfId="55010" xr:uid="{00000000-0005-0000-0000-0000DCD60000}"/>
    <cellStyle name="Normal 40 5 6 3" xfId="55011" xr:uid="{00000000-0005-0000-0000-0000DDD60000}"/>
    <cellStyle name="Normal 40 5 7" xfId="55012" xr:uid="{00000000-0005-0000-0000-0000DED60000}"/>
    <cellStyle name="Normal 40 5 7 2" xfId="55013" xr:uid="{00000000-0005-0000-0000-0000DFD60000}"/>
    <cellStyle name="Normal 40 5 7 3" xfId="55014" xr:uid="{00000000-0005-0000-0000-0000E0D60000}"/>
    <cellStyle name="Normal 40 5 8" xfId="55015" xr:uid="{00000000-0005-0000-0000-0000E1D60000}"/>
    <cellStyle name="Normal 40 5 8 2" xfId="55016" xr:uid="{00000000-0005-0000-0000-0000E2D60000}"/>
    <cellStyle name="Normal 40 5 8 3" xfId="55017" xr:uid="{00000000-0005-0000-0000-0000E3D60000}"/>
    <cellStyle name="Normal 40 5 9" xfId="55018" xr:uid="{00000000-0005-0000-0000-0000E4D60000}"/>
    <cellStyle name="Normal 40 5 9 2" xfId="55019" xr:uid="{00000000-0005-0000-0000-0000E5D60000}"/>
    <cellStyle name="Normal 40 5 9 3" xfId="55020" xr:uid="{00000000-0005-0000-0000-0000E6D60000}"/>
    <cellStyle name="Normal 40 6" xfId="55021" xr:uid="{00000000-0005-0000-0000-0000E7D60000}"/>
    <cellStyle name="Normal 40 6 10" xfId="55022" xr:uid="{00000000-0005-0000-0000-0000E8D60000}"/>
    <cellStyle name="Normal 40 6 10 2" xfId="55023" xr:uid="{00000000-0005-0000-0000-0000E9D60000}"/>
    <cellStyle name="Normal 40 6 10 3" xfId="55024" xr:uid="{00000000-0005-0000-0000-0000EAD60000}"/>
    <cellStyle name="Normal 40 6 11" xfId="55025" xr:uid="{00000000-0005-0000-0000-0000EBD60000}"/>
    <cellStyle name="Normal 40 6 11 2" xfId="55026" xr:uid="{00000000-0005-0000-0000-0000ECD60000}"/>
    <cellStyle name="Normal 40 6 11 3" xfId="55027" xr:uid="{00000000-0005-0000-0000-0000EDD60000}"/>
    <cellStyle name="Normal 40 6 12" xfId="55028" xr:uid="{00000000-0005-0000-0000-0000EED60000}"/>
    <cellStyle name="Normal 40 6 12 2" xfId="55029" xr:uid="{00000000-0005-0000-0000-0000EFD60000}"/>
    <cellStyle name="Normal 40 6 12 3" xfId="55030" xr:uid="{00000000-0005-0000-0000-0000F0D60000}"/>
    <cellStyle name="Normal 40 6 13" xfId="55031" xr:uid="{00000000-0005-0000-0000-0000F1D60000}"/>
    <cellStyle name="Normal 40 6 13 2" xfId="55032" xr:uid="{00000000-0005-0000-0000-0000F2D60000}"/>
    <cellStyle name="Normal 40 6 13 3" xfId="55033" xr:uid="{00000000-0005-0000-0000-0000F3D60000}"/>
    <cellStyle name="Normal 40 6 14" xfId="55034" xr:uid="{00000000-0005-0000-0000-0000F4D60000}"/>
    <cellStyle name="Normal 40 6 14 2" xfId="55035" xr:uid="{00000000-0005-0000-0000-0000F5D60000}"/>
    <cellStyle name="Normal 40 6 14 3" xfId="55036" xr:uid="{00000000-0005-0000-0000-0000F6D60000}"/>
    <cellStyle name="Normal 40 6 15" xfId="55037" xr:uid="{00000000-0005-0000-0000-0000F7D60000}"/>
    <cellStyle name="Normal 40 6 15 2" xfId="55038" xr:uid="{00000000-0005-0000-0000-0000F8D60000}"/>
    <cellStyle name="Normal 40 6 15 3" xfId="55039" xr:uid="{00000000-0005-0000-0000-0000F9D60000}"/>
    <cellStyle name="Normal 40 6 16" xfId="55040" xr:uid="{00000000-0005-0000-0000-0000FAD60000}"/>
    <cellStyle name="Normal 40 6 17" xfId="55041" xr:uid="{00000000-0005-0000-0000-0000FBD60000}"/>
    <cellStyle name="Normal 40 6 18" xfId="55042" xr:uid="{00000000-0005-0000-0000-0000FCD60000}"/>
    <cellStyle name="Normal 40 6 19" xfId="55043" xr:uid="{00000000-0005-0000-0000-0000FDD60000}"/>
    <cellStyle name="Normal 40 6 2" xfId="55044" xr:uid="{00000000-0005-0000-0000-0000FED60000}"/>
    <cellStyle name="Normal 40 6 2 10" xfId="55045" xr:uid="{00000000-0005-0000-0000-0000FFD60000}"/>
    <cellStyle name="Normal 40 6 2 10 2" xfId="55046" xr:uid="{00000000-0005-0000-0000-000000D70000}"/>
    <cellStyle name="Normal 40 6 2 10 3" xfId="55047" xr:uid="{00000000-0005-0000-0000-000001D70000}"/>
    <cellStyle name="Normal 40 6 2 11" xfId="55048" xr:uid="{00000000-0005-0000-0000-000002D70000}"/>
    <cellStyle name="Normal 40 6 2 11 2" xfId="55049" xr:uid="{00000000-0005-0000-0000-000003D70000}"/>
    <cellStyle name="Normal 40 6 2 11 3" xfId="55050" xr:uid="{00000000-0005-0000-0000-000004D70000}"/>
    <cellStyle name="Normal 40 6 2 12" xfId="55051" xr:uid="{00000000-0005-0000-0000-000005D70000}"/>
    <cellStyle name="Normal 40 6 2 12 2" xfId="55052" xr:uid="{00000000-0005-0000-0000-000006D70000}"/>
    <cellStyle name="Normal 40 6 2 12 3" xfId="55053" xr:uid="{00000000-0005-0000-0000-000007D70000}"/>
    <cellStyle name="Normal 40 6 2 13" xfId="55054" xr:uid="{00000000-0005-0000-0000-000008D70000}"/>
    <cellStyle name="Normal 40 6 2 13 2" xfId="55055" xr:uid="{00000000-0005-0000-0000-000009D70000}"/>
    <cellStyle name="Normal 40 6 2 13 3" xfId="55056" xr:uid="{00000000-0005-0000-0000-00000AD70000}"/>
    <cellStyle name="Normal 40 6 2 14" xfId="55057" xr:uid="{00000000-0005-0000-0000-00000BD70000}"/>
    <cellStyle name="Normal 40 6 2 14 2" xfId="55058" xr:uid="{00000000-0005-0000-0000-00000CD70000}"/>
    <cellStyle name="Normal 40 6 2 14 3" xfId="55059" xr:uid="{00000000-0005-0000-0000-00000DD70000}"/>
    <cellStyle name="Normal 40 6 2 15" xfId="55060" xr:uid="{00000000-0005-0000-0000-00000ED70000}"/>
    <cellStyle name="Normal 40 6 2 16" xfId="55061" xr:uid="{00000000-0005-0000-0000-00000FD70000}"/>
    <cellStyle name="Normal 40 6 2 2" xfId="55062" xr:uid="{00000000-0005-0000-0000-000010D70000}"/>
    <cellStyle name="Normal 40 6 2 2 2" xfId="55063" xr:uid="{00000000-0005-0000-0000-000011D70000}"/>
    <cellStyle name="Normal 40 6 2 2 3" xfId="55064" xr:uid="{00000000-0005-0000-0000-000012D70000}"/>
    <cellStyle name="Normal 40 6 2 3" xfId="55065" xr:uid="{00000000-0005-0000-0000-000013D70000}"/>
    <cellStyle name="Normal 40 6 2 3 2" xfId="55066" xr:uid="{00000000-0005-0000-0000-000014D70000}"/>
    <cellStyle name="Normal 40 6 2 3 3" xfId="55067" xr:uid="{00000000-0005-0000-0000-000015D70000}"/>
    <cellStyle name="Normal 40 6 2 4" xfId="55068" xr:uid="{00000000-0005-0000-0000-000016D70000}"/>
    <cellStyle name="Normal 40 6 2 4 2" xfId="55069" xr:uid="{00000000-0005-0000-0000-000017D70000}"/>
    <cellStyle name="Normal 40 6 2 4 3" xfId="55070" xr:uid="{00000000-0005-0000-0000-000018D70000}"/>
    <cellStyle name="Normal 40 6 2 5" xfId="55071" xr:uid="{00000000-0005-0000-0000-000019D70000}"/>
    <cellStyle name="Normal 40 6 2 5 2" xfId="55072" xr:uid="{00000000-0005-0000-0000-00001AD70000}"/>
    <cellStyle name="Normal 40 6 2 5 3" xfId="55073" xr:uid="{00000000-0005-0000-0000-00001BD70000}"/>
    <cellStyle name="Normal 40 6 2 6" xfId="55074" xr:uid="{00000000-0005-0000-0000-00001CD70000}"/>
    <cellStyle name="Normal 40 6 2 6 2" xfId="55075" xr:uid="{00000000-0005-0000-0000-00001DD70000}"/>
    <cellStyle name="Normal 40 6 2 6 3" xfId="55076" xr:uid="{00000000-0005-0000-0000-00001ED70000}"/>
    <cellStyle name="Normal 40 6 2 7" xfId="55077" xr:uid="{00000000-0005-0000-0000-00001FD70000}"/>
    <cellStyle name="Normal 40 6 2 7 2" xfId="55078" xr:uid="{00000000-0005-0000-0000-000020D70000}"/>
    <cellStyle name="Normal 40 6 2 7 3" xfId="55079" xr:uid="{00000000-0005-0000-0000-000021D70000}"/>
    <cellStyle name="Normal 40 6 2 8" xfId="55080" xr:uid="{00000000-0005-0000-0000-000022D70000}"/>
    <cellStyle name="Normal 40 6 2 8 2" xfId="55081" xr:uid="{00000000-0005-0000-0000-000023D70000}"/>
    <cellStyle name="Normal 40 6 2 8 3" xfId="55082" xr:uid="{00000000-0005-0000-0000-000024D70000}"/>
    <cellStyle name="Normal 40 6 2 9" xfId="55083" xr:uid="{00000000-0005-0000-0000-000025D70000}"/>
    <cellStyle name="Normal 40 6 2 9 2" xfId="55084" xr:uid="{00000000-0005-0000-0000-000026D70000}"/>
    <cellStyle name="Normal 40 6 2 9 3" xfId="55085" xr:uid="{00000000-0005-0000-0000-000027D70000}"/>
    <cellStyle name="Normal 40 6 20" xfId="55086" xr:uid="{00000000-0005-0000-0000-000028D70000}"/>
    <cellStyle name="Normal 40 6 21" xfId="55087" xr:uid="{00000000-0005-0000-0000-000029D70000}"/>
    <cellStyle name="Normal 40 6 22" xfId="55088" xr:uid="{00000000-0005-0000-0000-00002AD70000}"/>
    <cellStyle name="Normal 40 6 23" xfId="55089" xr:uid="{00000000-0005-0000-0000-00002BD70000}"/>
    <cellStyle name="Normal 40 6 24" xfId="55090" xr:uid="{00000000-0005-0000-0000-00002CD70000}"/>
    <cellStyle name="Normal 40 6 25" xfId="55091" xr:uid="{00000000-0005-0000-0000-00002DD70000}"/>
    <cellStyle name="Normal 40 6 26" xfId="55092" xr:uid="{00000000-0005-0000-0000-00002ED70000}"/>
    <cellStyle name="Normal 40 6 27" xfId="55093" xr:uid="{00000000-0005-0000-0000-00002FD70000}"/>
    <cellStyle name="Normal 40 6 28" xfId="55094" xr:uid="{00000000-0005-0000-0000-000030D70000}"/>
    <cellStyle name="Normal 40 6 3" xfId="55095" xr:uid="{00000000-0005-0000-0000-000031D70000}"/>
    <cellStyle name="Normal 40 6 3 2" xfId="55096" xr:uid="{00000000-0005-0000-0000-000032D70000}"/>
    <cellStyle name="Normal 40 6 3 3" xfId="55097" xr:uid="{00000000-0005-0000-0000-000033D70000}"/>
    <cellStyle name="Normal 40 6 4" xfId="55098" xr:uid="{00000000-0005-0000-0000-000034D70000}"/>
    <cellStyle name="Normal 40 6 4 2" xfId="55099" xr:uid="{00000000-0005-0000-0000-000035D70000}"/>
    <cellStyle name="Normal 40 6 4 3" xfId="55100" xr:uid="{00000000-0005-0000-0000-000036D70000}"/>
    <cellStyle name="Normal 40 6 5" xfId="55101" xr:uid="{00000000-0005-0000-0000-000037D70000}"/>
    <cellStyle name="Normal 40 6 5 2" xfId="55102" xr:uid="{00000000-0005-0000-0000-000038D70000}"/>
    <cellStyle name="Normal 40 6 5 3" xfId="55103" xr:uid="{00000000-0005-0000-0000-000039D70000}"/>
    <cellStyle name="Normal 40 6 6" xfId="55104" xr:uid="{00000000-0005-0000-0000-00003AD70000}"/>
    <cellStyle name="Normal 40 6 6 2" xfId="55105" xr:uid="{00000000-0005-0000-0000-00003BD70000}"/>
    <cellStyle name="Normal 40 6 6 3" xfId="55106" xr:uid="{00000000-0005-0000-0000-00003CD70000}"/>
    <cellStyle name="Normal 40 6 7" xfId="55107" xr:uid="{00000000-0005-0000-0000-00003DD70000}"/>
    <cellStyle name="Normal 40 6 7 2" xfId="55108" xr:uid="{00000000-0005-0000-0000-00003ED70000}"/>
    <cellStyle name="Normal 40 6 7 3" xfId="55109" xr:uid="{00000000-0005-0000-0000-00003FD70000}"/>
    <cellStyle name="Normal 40 6 8" xfId="55110" xr:uid="{00000000-0005-0000-0000-000040D70000}"/>
    <cellStyle name="Normal 40 6 8 2" xfId="55111" xr:uid="{00000000-0005-0000-0000-000041D70000}"/>
    <cellStyle name="Normal 40 6 8 3" xfId="55112" xr:uid="{00000000-0005-0000-0000-000042D70000}"/>
    <cellStyle name="Normal 40 6 9" xfId="55113" xr:uid="{00000000-0005-0000-0000-000043D70000}"/>
    <cellStyle name="Normal 40 6 9 2" xfId="55114" xr:uid="{00000000-0005-0000-0000-000044D70000}"/>
    <cellStyle name="Normal 40 6 9 3" xfId="55115" xr:uid="{00000000-0005-0000-0000-000045D70000}"/>
    <cellStyle name="Normal 40 7" xfId="55116" xr:uid="{00000000-0005-0000-0000-000046D70000}"/>
    <cellStyle name="Normal 40 7 10" xfId="55117" xr:uid="{00000000-0005-0000-0000-000047D70000}"/>
    <cellStyle name="Normal 40 7 10 2" xfId="55118" xr:uid="{00000000-0005-0000-0000-000048D70000}"/>
    <cellStyle name="Normal 40 7 10 3" xfId="55119" xr:uid="{00000000-0005-0000-0000-000049D70000}"/>
    <cellStyle name="Normal 40 7 11" xfId="55120" xr:uid="{00000000-0005-0000-0000-00004AD70000}"/>
    <cellStyle name="Normal 40 7 11 2" xfId="55121" xr:uid="{00000000-0005-0000-0000-00004BD70000}"/>
    <cellStyle name="Normal 40 7 11 3" xfId="55122" xr:uid="{00000000-0005-0000-0000-00004CD70000}"/>
    <cellStyle name="Normal 40 7 12" xfId="55123" xr:uid="{00000000-0005-0000-0000-00004DD70000}"/>
    <cellStyle name="Normal 40 7 12 2" xfId="55124" xr:uid="{00000000-0005-0000-0000-00004ED70000}"/>
    <cellStyle name="Normal 40 7 12 3" xfId="55125" xr:uid="{00000000-0005-0000-0000-00004FD70000}"/>
    <cellStyle name="Normal 40 7 13" xfId="55126" xr:uid="{00000000-0005-0000-0000-000050D70000}"/>
    <cellStyle name="Normal 40 7 13 2" xfId="55127" xr:uid="{00000000-0005-0000-0000-000051D70000}"/>
    <cellStyle name="Normal 40 7 13 3" xfId="55128" xr:uid="{00000000-0005-0000-0000-000052D70000}"/>
    <cellStyle name="Normal 40 7 14" xfId="55129" xr:uid="{00000000-0005-0000-0000-000053D70000}"/>
    <cellStyle name="Normal 40 7 14 2" xfId="55130" xr:uid="{00000000-0005-0000-0000-000054D70000}"/>
    <cellStyle name="Normal 40 7 14 3" xfId="55131" xr:uid="{00000000-0005-0000-0000-000055D70000}"/>
    <cellStyle name="Normal 40 7 15" xfId="55132" xr:uid="{00000000-0005-0000-0000-000056D70000}"/>
    <cellStyle name="Normal 40 7 16" xfId="55133" xr:uid="{00000000-0005-0000-0000-000057D70000}"/>
    <cellStyle name="Normal 40 7 2" xfId="55134" xr:uid="{00000000-0005-0000-0000-000058D70000}"/>
    <cellStyle name="Normal 40 7 2 2" xfId="55135" xr:uid="{00000000-0005-0000-0000-000059D70000}"/>
    <cellStyle name="Normal 40 7 2 3" xfId="55136" xr:uid="{00000000-0005-0000-0000-00005AD70000}"/>
    <cellStyle name="Normal 40 7 3" xfId="55137" xr:uid="{00000000-0005-0000-0000-00005BD70000}"/>
    <cellStyle name="Normal 40 7 3 2" xfId="55138" xr:uid="{00000000-0005-0000-0000-00005CD70000}"/>
    <cellStyle name="Normal 40 7 3 3" xfId="55139" xr:uid="{00000000-0005-0000-0000-00005DD70000}"/>
    <cellStyle name="Normal 40 7 4" xfId="55140" xr:uid="{00000000-0005-0000-0000-00005ED70000}"/>
    <cellStyle name="Normal 40 7 4 2" xfId="55141" xr:uid="{00000000-0005-0000-0000-00005FD70000}"/>
    <cellStyle name="Normal 40 7 4 3" xfId="55142" xr:uid="{00000000-0005-0000-0000-000060D70000}"/>
    <cellStyle name="Normal 40 7 5" xfId="55143" xr:uid="{00000000-0005-0000-0000-000061D70000}"/>
    <cellStyle name="Normal 40 7 5 2" xfId="55144" xr:uid="{00000000-0005-0000-0000-000062D70000}"/>
    <cellStyle name="Normal 40 7 5 3" xfId="55145" xr:uid="{00000000-0005-0000-0000-000063D70000}"/>
    <cellStyle name="Normal 40 7 6" xfId="55146" xr:uid="{00000000-0005-0000-0000-000064D70000}"/>
    <cellStyle name="Normal 40 7 6 2" xfId="55147" xr:uid="{00000000-0005-0000-0000-000065D70000}"/>
    <cellStyle name="Normal 40 7 6 3" xfId="55148" xr:uid="{00000000-0005-0000-0000-000066D70000}"/>
    <cellStyle name="Normal 40 7 7" xfId="55149" xr:uid="{00000000-0005-0000-0000-000067D70000}"/>
    <cellStyle name="Normal 40 7 7 2" xfId="55150" xr:uid="{00000000-0005-0000-0000-000068D70000}"/>
    <cellStyle name="Normal 40 7 7 3" xfId="55151" xr:uid="{00000000-0005-0000-0000-000069D70000}"/>
    <cellStyle name="Normal 40 7 8" xfId="55152" xr:uid="{00000000-0005-0000-0000-00006AD70000}"/>
    <cellStyle name="Normal 40 7 8 2" xfId="55153" xr:uid="{00000000-0005-0000-0000-00006BD70000}"/>
    <cellStyle name="Normal 40 7 8 3" xfId="55154" xr:uid="{00000000-0005-0000-0000-00006CD70000}"/>
    <cellStyle name="Normal 40 7 9" xfId="55155" xr:uid="{00000000-0005-0000-0000-00006DD70000}"/>
    <cellStyle name="Normal 40 7 9 2" xfId="55156" xr:uid="{00000000-0005-0000-0000-00006ED70000}"/>
    <cellStyle name="Normal 40 7 9 3" xfId="55157" xr:uid="{00000000-0005-0000-0000-00006FD70000}"/>
    <cellStyle name="Normal 40 8" xfId="55158" xr:uid="{00000000-0005-0000-0000-000070D70000}"/>
    <cellStyle name="Normal 40 8 10" xfId="55159" xr:uid="{00000000-0005-0000-0000-000071D70000}"/>
    <cellStyle name="Normal 40 8 10 2" xfId="55160" xr:uid="{00000000-0005-0000-0000-000072D70000}"/>
    <cellStyle name="Normal 40 8 10 3" xfId="55161" xr:uid="{00000000-0005-0000-0000-000073D70000}"/>
    <cellStyle name="Normal 40 8 11" xfId="55162" xr:uid="{00000000-0005-0000-0000-000074D70000}"/>
    <cellStyle name="Normal 40 8 11 2" xfId="55163" xr:uid="{00000000-0005-0000-0000-000075D70000}"/>
    <cellStyle name="Normal 40 8 11 3" xfId="55164" xr:uid="{00000000-0005-0000-0000-000076D70000}"/>
    <cellStyle name="Normal 40 8 12" xfId="55165" xr:uid="{00000000-0005-0000-0000-000077D70000}"/>
    <cellStyle name="Normal 40 8 12 2" xfId="55166" xr:uid="{00000000-0005-0000-0000-000078D70000}"/>
    <cellStyle name="Normal 40 8 12 3" xfId="55167" xr:uid="{00000000-0005-0000-0000-000079D70000}"/>
    <cellStyle name="Normal 40 8 13" xfId="55168" xr:uid="{00000000-0005-0000-0000-00007AD70000}"/>
    <cellStyle name="Normal 40 8 13 2" xfId="55169" xr:uid="{00000000-0005-0000-0000-00007BD70000}"/>
    <cellStyle name="Normal 40 8 13 3" xfId="55170" xr:uid="{00000000-0005-0000-0000-00007CD70000}"/>
    <cellStyle name="Normal 40 8 14" xfId="55171" xr:uid="{00000000-0005-0000-0000-00007DD70000}"/>
    <cellStyle name="Normal 40 8 14 2" xfId="55172" xr:uid="{00000000-0005-0000-0000-00007ED70000}"/>
    <cellStyle name="Normal 40 8 14 3" xfId="55173" xr:uid="{00000000-0005-0000-0000-00007FD70000}"/>
    <cellStyle name="Normal 40 8 15" xfId="55174" xr:uid="{00000000-0005-0000-0000-000080D70000}"/>
    <cellStyle name="Normal 40 8 16" xfId="55175" xr:uid="{00000000-0005-0000-0000-000081D70000}"/>
    <cellStyle name="Normal 40 8 2" xfId="55176" xr:uid="{00000000-0005-0000-0000-000082D70000}"/>
    <cellStyle name="Normal 40 8 2 2" xfId="55177" xr:uid="{00000000-0005-0000-0000-000083D70000}"/>
    <cellStyle name="Normal 40 8 2 3" xfId="55178" xr:uid="{00000000-0005-0000-0000-000084D70000}"/>
    <cellStyle name="Normal 40 8 3" xfId="55179" xr:uid="{00000000-0005-0000-0000-000085D70000}"/>
    <cellStyle name="Normal 40 8 3 2" xfId="55180" xr:uid="{00000000-0005-0000-0000-000086D70000}"/>
    <cellStyle name="Normal 40 8 3 3" xfId="55181" xr:uid="{00000000-0005-0000-0000-000087D70000}"/>
    <cellStyle name="Normal 40 8 4" xfId="55182" xr:uid="{00000000-0005-0000-0000-000088D70000}"/>
    <cellStyle name="Normal 40 8 4 2" xfId="55183" xr:uid="{00000000-0005-0000-0000-000089D70000}"/>
    <cellStyle name="Normal 40 8 4 3" xfId="55184" xr:uid="{00000000-0005-0000-0000-00008AD70000}"/>
    <cellStyle name="Normal 40 8 5" xfId="55185" xr:uid="{00000000-0005-0000-0000-00008BD70000}"/>
    <cellStyle name="Normal 40 8 5 2" xfId="55186" xr:uid="{00000000-0005-0000-0000-00008CD70000}"/>
    <cellStyle name="Normal 40 8 5 3" xfId="55187" xr:uid="{00000000-0005-0000-0000-00008DD70000}"/>
    <cellStyle name="Normal 40 8 6" xfId="55188" xr:uid="{00000000-0005-0000-0000-00008ED70000}"/>
    <cellStyle name="Normal 40 8 6 2" xfId="55189" xr:uid="{00000000-0005-0000-0000-00008FD70000}"/>
    <cellStyle name="Normal 40 8 6 3" xfId="55190" xr:uid="{00000000-0005-0000-0000-000090D70000}"/>
    <cellStyle name="Normal 40 8 7" xfId="55191" xr:uid="{00000000-0005-0000-0000-000091D70000}"/>
    <cellStyle name="Normal 40 8 7 2" xfId="55192" xr:uid="{00000000-0005-0000-0000-000092D70000}"/>
    <cellStyle name="Normal 40 8 7 3" xfId="55193" xr:uid="{00000000-0005-0000-0000-000093D70000}"/>
    <cellStyle name="Normal 40 8 8" xfId="55194" xr:uid="{00000000-0005-0000-0000-000094D70000}"/>
    <cellStyle name="Normal 40 8 8 2" xfId="55195" xr:uid="{00000000-0005-0000-0000-000095D70000}"/>
    <cellStyle name="Normal 40 8 8 3" xfId="55196" xr:uid="{00000000-0005-0000-0000-000096D70000}"/>
    <cellStyle name="Normal 40 8 9" xfId="55197" xr:uid="{00000000-0005-0000-0000-000097D70000}"/>
    <cellStyle name="Normal 40 8 9 2" xfId="55198" xr:uid="{00000000-0005-0000-0000-000098D70000}"/>
    <cellStyle name="Normal 40 8 9 3" xfId="55199" xr:uid="{00000000-0005-0000-0000-000099D70000}"/>
    <cellStyle name="Normal 40 9" xfId="55200" xr:uid="{00000000-0005-0000-0000-00009AD70000}"/>
    <cellStyle name="Normal 40 9 10" xfId="55201" xr:uid="{00000000-0005-0000-0000-00009BD70000}"/>
    <cellStyle name="Normal 40 9 10 2" xfId="55202" xr:uid="{00000000-0005-0000-0000-00009CD70000}"/>
    <cellStyle name="Normal 40 9 10 3" xfId="55203" xr:uid="{00000000-0005-0000-0000-00009DD70000}"/>
    <cellStyle name="Normal 40 9 11" xfId="55204" xr:uid="{00000000-0005-0000-0000-00009ED70000}"/>
    <cellStyle name="Normal 40 9 11 2" xfId="55205" xr:uid="{00000000-0005-0000-0000-00009FD70000}"/>
    <cellStyle name="Normal 40 9 11 3" xfId="55206" xr:uid="{00000000-0005-0000-0000-0000A0D70000}"/>
    <cellStyle name="Normal 40 9 12" xfId="55207" xr:uid="{00000000-0005-0000-0000-0000A1D70000}"/>
    <cellStyle name="Normal 40 9 12 2" xfId="55208" xr:uid="{00000000-0005-0000-0000-0000A2D70000}"/>
    <cellStyle name="Normal 40 9 12 3" xfId="55209" xr:uid="{00000000-0005-0000-0000-0000A3D70000}"/>
    <cellStyle name="Normal 40 9 13" xfId="55210" xr:uid="{00000000-0005-0000-0000-0000A4D70000}"/>
    <cellStyle name="Normal 40 9 13 2" xfId="55211" xr:uid="{00000000-0005-0000-0000-0000A5D70000}"/>
    <cellStyle name="Normal 40 9 13 3" xfId="55212" xr:uid="{00000000-0005-0000-0000-0000A6D70000}"/>
    <cellStyle name="Normal 40 9 14" xfId="55213" xr:uid="{00000000-0005-0000-0000-0000A7D70000}"/>
    <cellStyle name="Normal 40 9 14 2" xfId="55214" xr:uid="{00000000-0005-0000-0000-0000A8D70000}"/>
    <cellStyle name="Normal 40 9 14 3" xfId="55215" xr:uid="{00000000-0005-0000-0000-0000A9D70000}"/>
    <cellStyle name="Normal 40 9 15" xfId="55216" xr:uid="{00000000-0005-0000-0000-0000AAD70000}"/>
    <cellStyle name="Normal 40 9 16" xfId="55217" xr:uid="{00000000-0005-0000-0000-0000ABD70000}"/>
    <cellStyle name="Normal 40 9 2" xfId="55218" xr:uid="{00000000-0005-0000-0000-0000ACD70000}"/>
    <cellStyle name="Normal 40 9 2 2" xfId="55219" xr:uid="{00000000-0005-0000-0000-0000ADD70000}"/>
    <cellStyle name="Normal 40 9 2 3" xfId="55220" xr:uid="{00000000-0005-0000-0000-0000AED70000}"/>
    <cellStyle name="Normal 40 9 3" xfId="55221" xr:uid="{00000000-0005-0000-0000-0000AFD70000}"/>
    <cellStyle name="Normal 40 9 3 2" xfId="55222" xr:uid="{00000000-0005-0000-0000-0000B0D70000}"/>
    <cellStyle name="Normal 40 9 3 3" xfId="55223" xr:uid="{00000000-0005-0000-0000-0000B1D70000}"/>
    <cellStyle name="Normal 40 9 4" xfId="55224" xr:uid="{00000000-0005-0000-0000-0000B2D70000}"/>
    <cellStyle name="Normal 40 9 4 2" xfId="55225" xr:uid="{00000000-0005-0000-0000-0000B3D70000}"/>
    <cellStyle name="Normal 40 9 4 3" xfId="55226" xr:uid="{00000000-0005-0000-0000-0000B4D70000}"/>
    <cellStyle name="Normal 40 9 5" xfId="55227" xr:uid="{00000000-0005-0000-0000-0000B5D70000}"/>
    <cellStyle name="Normal 40 9 5 2" xfId="55228" xr:uid="{00000000-0005-0000-0000-0000B6D70000}"/>
    <cellStyle name="Normal 40 9 5 3" xfId="55229" xr:uid="{00000000-0005-0000-0000-0000B7D70000}"/>
    <cellStyle name="Normal 40 9 6" xfId="55230" xr:uid="{00000000-0005-0000-0000-0000B8D70000}"/>
    <cellStyle name="Normal 40 9 6 2" xfId="55231" xr:uid="{00000000-0005-0000-0000-0000B9D70000}"/>
    <cellStyle name="Normal 40 9 6 3" xfId="55232" xr:uid="{00000000-0005-0000-0000-0000BAD70000}"/>
    <cellStyle name="Normal 40 9 7" xfId="55233" xr:uid="{00000000-0005-0000-0000-0000BBD70000}"/>
    <cellStyle name="Normal 40 9 7 2" xfId="55234" xr:uid="{00000000-0005-0000-0000-0000BCD70000}"/>
    <cellStyle name="Normal 40 9 7 3" xfId="55235" xr:uid="{00000000-0005-0000-0000-0000BDD70000}"/>
    <cellStyle name="Normal 40 9 8" xfId="55236" xr:uid="{00000000-0005-0000-0000-0000BED70000}"/>
    <cellStyle name="Normal 40 9 8 2" xfId="55237" xr:uid="{00000000-0005-0000-0000-0000BFD70000}"/>
    <cellStyle name="Normal 40 9 8 3" xfId="55238" xr:uid="{00000000-0005-0000-0000-0000C0D70000}"/>
    <cellStyle name="Normal 40 9 9" xfId="55239" xr:uid="{00000000-0005-0000-0000-0000C1D70000}"/>
    <cellStyle name="Normal 40 9 9 2" xfId="55240" xr:uid="{00000000-0005-0000-0000-0000C2D70000}"/>
    <cellStyle name="Normal 40 9 9 3" xfId="55241" xr:uid="{00000000-0005-0000-0000-0000C3D70000}"/>
    <cellStyle name="Normal 40_End-use Summary" xfId="55242" xr:uid="{00000000-0005-0000-0000-0000C4D70000}"/>
    <cellStyle name="Normal 41" xfId="55243" xr:uid="{00000000-0005-0000-0000-0000C5D70000}"/>
    <cellStyle name="Normal 41 2" xfId="55244" xr:uid="{00000000-0005-0000-0000-0000C6D70000}"/>
    <cellStyle name="Normal 41 3" xfId="55245" xr:uid="{00000000-0005-0000-0000-0000C7D70000}"/>
    <cellStyle name="Normal 42" xfId="55246" xr:uid="{00000000-0005-0000-0000-0000C8D70000}"/>
    <cellStyle name="Normal 43" xfId="55247" xr:uid="{00000000-0005-0000-0000-0000C9D70000}"/>
    <cellStyle name="Normal 43 2" xfId="55248" xr:uid="{00000000-0005-0000-0000-0000CAD70000}"/>
    <cellStyle name="Normal 43 3" xfId="55249" xr:uid="{00000000-0005-0000-0000-0000CBD70000}"/>
    <cellStyle name="Normal 43 4" xfId="55250" xr:uid="{00000000-0005-0000-0000-0000CCD70000}"/>
    <cellStyle name="Normal 43 5" xfId="55251" xr:uid="{00000000-0005-0000-0000-0000CDD70000}"/>
    <cellStyle name="Normal 44" xfId="55252" xr:uid="{00000000-0005-0000-0000-0000CED70000}"/>
    <cellStyle name="Normal 44 2" xfId="55253" xr:uid="{00000000-0005-0000-0000-0000CFD70000}"/>
    <cellStyle name="Normal 44 3" xfId="55254" xr:uid="{00000000-0005-0000-0000-0000D0D70000}"/>
    <cellStyle name="Normal 44 4" xfId="55255" xr:uid="{00000000-0005-0000-0000-0000D1D70000}"/>
    <cellStyle name="Normal 44 5" xfId="55256" xr:uid="{00000000-0005-0000-0000-0000D2D70000}"/>
    <cellStyle name="Normal 45" xfId="55257" xr:uid="{00000000-0005-0000-0000-0000D3D70000}"/>
    <cellStyle name="Normal 45 2" xfId="55258" xr:uid="{00000000-0005-0000-0000-0000D4D70000}"/>
    <cellStyle name="Normal 45 3" xfId="55259" xr:uid="{00000000-0005-0000-0000-0000D5D70000}"/>
    <cellStyle name="Normal 45 4" xfId="55260" xr:uid="{00000000-0005-0000-0000-0000D6D70000}"/>
    <cellStyle name="Normal 45 5" xfId="55261" xr:uid="{00000000-0005-0000-0000-0000D7D70000}"/>
    <cellStyle name="Normal 46" xfId="55262" xr:uid="{00000000-0005-0000-0000-0000D8D70000}"/>
    <cellStyle name="Normal 46 2" xfId="55263" xr:uid="{00000000-0005-0000-0000-0000D9D70000}"/>
    <cellStyle name="Normal 46 3" xfId="55264" xr:uid="{00000000-0005-0000-0000-0000DAD70000}"/>
    <cellStyle name="Normal 46 4" xfId="55265" xr:uid="{00000000-0005-0000-0000-0000DBD70000}"/>
    <cellStyle name="Normal 46 5" xfId="55266" xr:uid="{00000000-0005-0000-0000-0000DCD70000}"/>
    <cellStyle name="Normal 47" xfId="55267" xr:uid="{00000000-0005-0000-0000-0000DDD70000}"/>
    <cellStyle name="Normal 47 2" xfId="55268" xr:uid="{00000000-0005-0000-0000-0000DED70000}"/>
    <cellStyle name="Normal 47 3" xfId="55269" xr:uid="{00000000-0005-0000-0000-0000DFD70000}"/>
    <cellStyle name="Normal 47 4" xfId="55270" xr:uid="{00000000-0005-0000-0000-0000E0D70000}"/>
    <cellStyle name="Normal 47 5" xfId="55271" xr:uid="{00000000-0005-0000-0000-0000E1D70000}"/>
    <cellStyle name="Normal 48" xfId="55272" xr:uid="{00000000-0005-0000-0000-0000E2D70000}"/>
    <cellStyle name="Normal 48 2" xfId="55273" xr:uid="{00000000-0005-0000-0000-0000E3D70000}"/>
    <cellStyle name="Normal 48 3" xfId="55274" xr:uid="{00000000-0005-0000-0000-0000E4D70000}"/>
    <cellStyle name="Normal 48 4" xfId="55275" xr:uid="{00000000-0005-0000-0000-0000E5D70000}"/>
    <cellStyle name="Normal 48 5" xfId="55276" xr:uid="{00000000-0005-0000-0000-0000E6D70000}"/>
    <cellStyle name="Normal 49" xfId="55277" xr:uid="{00000000-0005-0000-0000-0000E7D70000}"/>
    <cellStyle name="Normal 49 2" xfId="55278" xr:uid="{00000000-0005-0000-0000-0000E8D70000}"/>
    <cellStyle name="Normal 49 3" xfId="55279" xr:uid="{00000000-0005-0000-0000-0000E9D70000}"/>
    <cellStyle name="Normal 49 4" xfId="55280" xr:uid="{00000000-0005-0000-0000-0000EAD70000}"/>
    <cellStyle name="Normal 49 5" xfId="55281" xr:uid="{00000000-0005-0000-0000-0000EBD70000}"/>
    <cellStyle name="Normal 5" xfId="10" xr:uid="{00000000-0005-0000-0000-0000ECD70000}"/>
    <cellStyle name="Normal 5 10" xfId="55283" xr:uid="{00000000-0005-0000-0000-0000EDD70000}"/>
    <cellStyle name="Normal 5 11" xfId="55284" xr:uid="{00000000-0005-0000-0000-0000EED70000}"/>
    <cellStyle name="Normal 5 12" xfId="55285" xr:uid="{00000000-0005-0000-0000-0000EFD70000}"/>
    <cellStyle name="Normal 5 13" xfId="55286" xr:uid="{00000000-0005-0000-0000-0000F0D70000}"/>
    <cellStyle name="Normal 5 14" xfId="55287" xr:uid="{00000000-0005-0000-0000-0000F1D70000}"/>
    <cellStyle name="Normal 5 15" xfId="55288" xr:uid="{00000000-0005-0000-0000-0000F2D70000}"/>
    <cellStyle name="Normal 5 15 2" xfId="55289" xr:uid="{00000000-0005-0000-0000-0000F3D70000}"/>
    <cellStyle name="Normal 5 15 2 2" xfId="55290" xr:uid="{00000000-0005-0000-0000-0000F4D70000}"/>
    <cellStyle name="Normal 5 15 2 3" xfId="55291" xr:uid="{00000000-0005-0000-0000-0000F5D70000}"/>
    <cellStyle name="Normal 5 15 3" xfId="55292" xr:uid="{00000000-0005-0000-0000-0000F6D70000}"/>
    <cellStyle name="Normal 5 15 4" xfId="55293" xr:uid="{00000000-0005-0000-0000-0000F7D70000}"/>
    <cellStyle name="Normal 5 16" xfId="55294" xr:uid="{00000000-0005-0000-0000-0000F8D70000}"/>
    <cellStyle name="Normal 5 17" xfId="55295" xr:uid="{00000000-0005-0000-0000-0000F9D70000}"/>
    <cellStyle name="Normal 5 18" xfId="55296" xr:uid="{00000000-0005-0000-0000-0000FAD70000}"/>
    <cellStyle name="Normal 5 19" xfId="55297" xr:uid="{00000000-0005-0000-0000-0000FBD70000}"/>
    <cellStyle name="Normal 5 2" xfId="55298" xr:uid="{00000000-0005-0000-0000-0000FCD70000}"/>
    <cellStyle name="Normal 5 2 10" xfId="55299" xr:uid="{00000000-0005-0000-0000-0000FDD70000}"/>
    <cellStyle name="Normal 5 2 11" xfId="55300" xr:uid="{00000000-0005-0000-0000-0000FED70000}"/>
    <cellStyle name="Normal 5 2 12" xfId="55301" xr:uid="{00000000-0005-0000-0000-0000FFD70000}"/>
    <cellStyle name="Normal 5 2 13" xfId="55302" xr:uid="{00000000-0005-0000-0000-000000D80000}"/>
    <cellStyle name="Normal 5 2 2" xfId="55303" xr:uid="{00000000-0005-0000-0000-000001D80000}"/>
    <cellStyle name="Normal 5 2 2 10" xfId="55304" xr:uid="{00000000-0005-0000-0000-000002D80000}"/>
    <cellStyle name="Normal 5 2 2 2" xfId="55305" xr:uid="{00000000-0005-0000-0000-000003D80000}"/>
    <cellStyle name="Normal 5 2 2 2 2" xfId="55306" xr:uid="{00000000-0005-0000-0000-000004D80000}"/>
    <cellStyle name="Normal 5 2 2 2 3" xfId="55307" xr:uid="{00000000-0005-0000-0000-000005D80000}"/>
    <cellStyle name="Normal 5 2 2 2 4" xfId="55308" xr:uid="{00000000-0005-0000-0000-000006D80000}"/>
    <cellStyle name="Normal 5 2 2 3" xfId="55309" xr:uid="{00000000-0005-0000-0000-000007D80000}"/>
    <cellStyle name="Normal 5 2 2 4" xfId="55310" xr:uid="{00000000-0005-0000-0000-000008D80000}"/>
    <cellStyle name="Normal 5 2 2 5" xfId="55311" xr:uid="{00000000-0005-0000-0000-000009D80000}"/>
    <cellStyle name="Normal 5 2 2 6" xfId="55312" xr:uid="{00000000-0005-0000-0000-00000AD80000}"/>
    <cellStyle name="Normal 5 2 2 7" xfId="55313" xr:uid="{00000000-0005-0000-0000-00000BD80000}"/>
    <cellStyle name="Normal 5 2 2 8" xfId="55314" xr:uid="{00000000-0005-0000-0000-00000CD80000}"/>
    <cellStyle name="Normal 5 2 2 9" xfId="55315" xr:uid="{00000000-0005-0000-0000-00000DD80000}"/>
    <cellStyle name="Normal 5 2 3" xfId="55316" xr:uid="{00000000-0005-0000-0000-00000ED80000}"/>
    <cellStyle name="Normal 5 2 4" xfId="55317" xr:uid="{00000000-0005-0000-0000-00000FD80000}"/>
    <cellStyle name="Normal 5 2 5" xfId="55318" xr:uid="{00000000-0005-0000-0000-000010D80000}"/>
    <cellStyle name="Normal 5 2 6" xfId="55319" xr:uid="{00000000-0005-0000-0000-000011D80000}"/>
    <cellStyle name="Normal 5 2 6 2" xfId="55320" xr:uid="{00000000-0005-0000-0000-000012D80000}"/>
    <cellStyle name="Normal 5 2 6 3" xfId="55321" xr:uid="{00000000-0005-0000-0000-000013D80000}"/>
    <cellStyle name="Normal 5 2 6 4" xfId="55322" xr:uid="{00000000-0005-0000-0000-000014D80000}"/>
    <cellStyle name="Normal 5 2 7" xfId="55323" xr:uid="{00000000-0005-0000-0000-000015D80000}"/>
    <cellStyle name="Normal 5 2 8" xfId="55324" xr:uid="{00000000-0005-0000-0000-000016D80000}"/>
    <cellStyle name="Normal 5 2 9" xfId="55325" xr:uid="{00000000-0005-0000-0000-000017D80000}"/>
    <cellStyle name="Normal 5 20" xfId="55326" xr:uid="{00000000-0005-0000-0000-000018D80000}"/>
    <cellStyle name="Normal 5 20 2" xfId="55327" xr:uid="{00000000-0005-0000-0000-000019D80000}"/>
    <cellStyle name="Normal 5 20 3" xfId="55328" xr:uid="{00000000-0005-0000-0000-00001AD80000}"/>
    <cellStyle name="Normal 5 21" xfId="55329" xr:uid="{00000000-0005-0000-0000-00001BD80000}"/>
    <cellStyle name="Normal 5 21 2" xfId="55330" xr:uid="{00000000-0005-0000-0000-00001CD80000}"/>
    <cellStyle name="Normal 5 21 3" xfId="55331" xr:uid="{00000000-0005-0000-0000-00001DD80000}"/>
    <cellStyle name="Normal 5 22" xfId="55332" xr:uid="{00000000-0005-0000-0000-00001ED80000}"/>
    <cellStyle name="Normal 5 22 2" xfId="55333" xr:uid="{00000000-0005-0000-0000-00001FD80000}"/>
    <cellStyle name="Normal 5 22 3" xfId="55334" xr:uid="{00000000-0005-0000-0000-000020D80000}"/>
    <cellStyle name="Normal 5 23" xfId="55335" xr:uid="{00000000-0005-0000-0000-000021D80000}"/>
    <cellStyle name="Normal 5 23 2" xfId="55336" xr:uid="{00000000-0005-0000-0000-000022D80000}"/>
    <cellStyle name="Normal 5 23 3" xfId="55337" xr:uid="{00000000-0005-0000-0000-000023D80000}"/>
    <cellStyle name="Normal 5 24" xfId="55338" xr:uid="{00000000-0005-0000-0000-000024D80000}"/>
    <cellStyle name="Normal 5 24 2" xfId="55339" xr:uid="{00000000-0005-0000-0000-000025D80000}"/>
    <cellStyle name="Normal 5 24 3" xfId="55340" xr:uid="{00000000-0005-0000-0000-000026D80000}"/>
    <cellStyle name="Normal 5 25" xfId="55341" xr:uid="{00000000-0005-0000-0000-000027D80000}"/>
    <cellStyle name="Normal 5 25 2" xfId="55342" xr:uid="{00000000-0005-0000-0000-000028D80000}"/>
    <cellStyle name="Normal 5 25 3" xfId="55343" xr:uid="{00000000-0005-0000-0000-000029D80000}"/>
    <cellStyle name="Normal 5 26" xfId="55344" xr:uid="{00000000-0005-0000-0000-00002AD80000}"/>
    <cellStyle name="Normal 5 26 2" xfId="55345" xr:uid="{00000000-0005-0000-0000-00002BD80000}"/>
    <cellStyle name="Normal 5 26 3" xfId="55346" xr:uid="{00000000-0005-0000-0000-00002CD80000}"/>
    <cellStyle name="Normal 5 27" xfId="55347" xr:uid="{00000000-0005-0000-0000-00002DD80000}"/>
    <cellStyle name="Normal 5 27 2" xfId="55348" xr:uid="{00000000-0005-0000-0000-00002ED80000}"/>
    <cellStyle name="Normal 5 27 3" xfId="55349" xr:uid="{00000000-0005-0000-0000-00002FD80000}"/>
    <cellStyle name="Normal 5 28" xfId="55350" xr:uid="{00000000-0005-0000-0000-000030D80000}"/>
    <cellStyle name="Normal 5 28 2" xfId="55351" xr:uid="{00000000-0005-0000-0000-000031D80000}"/>
    <cellStyle name="Normal 5 28 3" xfId="55352" xr:uid="{00000000-0005-0000-0000-000032D80000}"/>
    <cellStyle name="Normal 5 29" xfId="55353" xr:uid="{00000000-0005-0000-0000-000033D80000}"/>
    <cellStyle name="Normal 5 29 2" xfId="55354" xr:uid="{00000000-0005-0000-0000-000034D80000}"/>
    <cellStyle name="Normal 5 29 3" xfId="55355" xr:uid="{00000000-0005-0000-0000-000035D80000}"/>
    <cellStyle name="Normal 5 3" xfId="55356" xr:uid="{00000000-0005-0000-0000-000036D80000}"/>
    <cellStyle name="Normal 5 3 2" xfId="55357" xr:uid="{00000000-0005-0000-0000-000037D80000}"/>
    <cellStyle name="Normal 5 30" xfId="55358" xr:uid="{00000000-0005-0000-0000-000038D80000}"/>
    <cellStyle name="Normal 5 30 2" xfId="55359" xr:uid="{00000000-0005-0000-0000-000039D80000}"/>
    <cellStyle name="Normal 5 30 3" xfId="55360" xr:uid="{00000000-0005-0000-0000-00003AD80000}"/>
    <cellStyle name="Normal 5 31" xfId="55361" xr:uid="{00000000-0005-0000-0000-00003BD80000}"/>
    <cellStyle name="Normal 5 31 2" xfId="55362" xr:uid="{00000000-0005-0000-0000-00003CD80000}"/>
    <cellStyle name="Normal 5 31 3" xfId="55363" xr:uid="{00000000-0005-0000-0000-00003DD80000}"/>
    <cellStyle name="Normal 5 32" xfId="55364" xr:uid="{00000000-0005-0000-0000-00003ED80000}"/>
    <cellStyle name="Normal 5 32 2" xfId="55365" xr:uid="{00000000-0005-0000-0000-00003FD80000}"/>
    <cellStyle name="Normal 5 32 3" xfId="55366" xr:uid="{00000000-0005-0000-0000-000040D80000}"/>
    <cellStyle name="Normal 5 33" xfId="55367" xr:uid="{00000000-0005-0000-0000-000041D80000}"/>
    <cellStyle name="Normal 5 33 2" xfId="55368" xr:uid="{00000000-0005-0000-0000-000042D80000}"/>
    <cellStyle name="Normal 5 33 3" xfId="55369" xr:uid="{00000000-0005-0000-0000-000043D80000}"/>
    <cellStyle name="Normal 5 34" xfId="55370" xr:uid="{00000000-0005-0000-0000-000044D80000}"/>
    <cellStyle name="Normal 5 34 2" xfId="55371" xr:uid="{00000000-0005-0000-0000-000045D80000}"/>
    <cellStyle name="Normal 5 34 3" xfId="55372" xr:uid="{00000000-0005-0000-0000-000046D80000}"/>
    <cellStyle name="Normal 5 35" xfId="55373" xr:uid="{00000000-0005-0000-0000-000047D80000}"/>
    <cellStyle name="Normal 5 35 2" xfId="55374" xr:uid="{00000000-0005-0000-0000-000048D80000}"/>
    <cellStyle name="Normal 5 35 3" xfId="55375" xr:uid="{00000000-0005-0000-0000-000049D80000}"/>
    <cellStyle name="Normal 5 36" xfId="55376" xr:uid="{00000000-0005-0000-0000-00004AD80000}"/>
    <cellStyle name="Normal 5 36 2" xfId="55377" xr:uid="{00000000-0005-0000-0000-00004BD80000}"/>
    <cellStyle name="Normal 5 36 3" xfId="55378" xr:uid="{00000000-0005-0000-0000-00004CD80000}"/>
    <cellStyle name="Normal 5 37" xfId="55379" xr:uid="{00000000-0005-0000-0000-00004DD80000}"/>
    <cellStyle name="Normal 5 37 2" xfId="55380" xr:uid="{00000000-0005-0000-0000-00004ED80000}"/>
    <cellStyle name="Normal 5 37 3" xfId="55381" xr:uid="{00000000-0005-0000-0000-00004FD80000}"/>
    <cellStyle name="Normal 5 38" xfId="55382" xr:uid="{00000000-0005-0000-0000-000050D80000}"/>
    <cellStyle name="Normal 5 38 2" xfId="55383" xr:uid="{00000000-0005-0000-0000-000051D80000}"/>
    <cellStyle name="Normal 5 38 3" xfId="55384" xr:uid="{00000000-0005-0000-0000-000052D80000}"/>
    <cellStyle name="Normal 5 39" xfId="55385" xr:uid="{00000000-0005-0000-0000-000053D80000}"/>
    <cellStyle name="Normal 5 39 2" xfId="55386" xr:uid="{00000000-0005-0000-0000-000054D80000}"/>
    <cellStyle name="Normal 5 39 3" xfId="55387" xr:uid="{00000000-0005-0000-0000-000055D80000}"/>
    <cellStyle name="Normal 5 4" xfId="55388" xr:uid="{00000000-0005-0000-0000-000056D80000}"/>
    <cellStyle name="Normal 5 4 2" xfId="55389" xr:uid="{00000000-0005-0000-0000-000057D80000}"/>
    <cellStyle name="Normal 5 40" xfId="55390" xr:uid="{00000000-0005-0000-0000-000058D80000}"/>
    <cellStyle name="Normal 5 40 2" xfId="55391" xr:uid="{00000000-0005-0000-0000-000059D80000}"/>
    <cellStyle name="Normal 5 40 3" xfId="55392" xr:uid="{00000000-0005-0000-0000-00005AD80000}"/>
    <cellStyle name="Normal 5 41" xfId="55393" xr:uid="{00000000-0005-0000-0000-00005BD80000}"/>
    <cellStyle name="Normal 5 41 2" xfId="55394" xr:uid="{00000000-0005-0000-0000-00005CD80000}"/>
    <cellStyle name="Normal 5 41 3" xfId="55395" xr:uid="{00000000-0005-0000-0000-00005DD80000}"/>
    <cellStyle name="Normal 5 42" xfId="55396" xr:uid="{00000000-0005-0000-0000-00005ED80000}"/>
    <cellStyle name="Normal 5 42 2" xfId="55397" xr:uid="{00000000-0005-0000-0000-00005FD80000}"/>
    <cellStyle name="Normal 5 42 3" xfId="55398" xr:uid="{00000000-0005-0000-0000-000060D80000}"/>
    <cellStyle name="Normal 5 43" xfId="55399" xr:uid="{00000000-0005-0000-0000-000061D80000}"/>
    <cellStyle name="Normal 5 43 2" xfId="55400" xr:uid="{00000000-0005-0000-0000-000062D80000}"/>
    <cellStyle name="Normal 5 43 3" xfId="55401" xr:uid="{00000000-0005-0000-0000-000063D80000}"/>
    <cellStyle name="Normal 5 44" xfId="55402" xr:uid="{00000000-0005-0000-0000-000064D80000}"/>
    <cellStyle name="Normal 5 45" xfId="55403" xr:uid="{00000000-0005-0000-0000-000065D80000}"/>
    <cellStyle name="Normal 5 46" xfId="55282" xr:uid="{00000000-0005-0000-0000-000066D80000}"/>
    <cellStyle name="Normal 5 5" xfId="55404" xr:uid="{00000000-0005-0000-0000-000067D80000}"/>
    <cellStyle name="Normal 5 5 2" xfId="55405" xr:uid="{00000000-0005-0000-0000-000068D80000}"/>
    <cellStyle name="Normal 5 6" xfId="55406" xr:uid="{00000000-0005-0000-0000-000069D80000}"/>
    <cellStyle name="Normal 5 7" xfId="55407" xr:uid="{00000000-0005-0000-0000-00006AD80000}"/>
    <cellStyle name="Normal 5 8" xfId="55408" xr:uid="{00000000-0005-0000-0000-00006BD80000}"/>
    <cellStyle name="Normal 5 9" xfId="55409" xr:uid="{00000000-0005-0000-0000-00006CD80000}"/>
    <cellStyle name="Normal 50" xfId="55410" xr:uid="{00000000-0005-0000-0000-00006DD80000}"/>
    <cellStyle name="Normal 50 2" xfId="55411" xr:uid="{00000000-0005-0000-0000-00006ED80000}"/>
    <cellStyle name="Normal 50 3" xfId="55412" xr:uid="{00000000-0005-0000-0000-00006FD80000}"/>
    <cellStyle name="Normal 50 4" xfId="55413" xr:uid="{00000000-0005-0000-0000-000070D80000}"/>
    <cellStyle name="Normal 50 5" xfId="55414" xr:uid="{00000000-0005-0000-0000-000071D80000}"/>
    <cellStyle name="Normal 51" xfId="55415" xr:uid="{00000000-0005-0000-0000-000072D80000}"/>
    <cellStyle name="Normal 51 2" xfId="55416" xr:uid="{00000000-0005-0000-0000-000073D80000}"/>
    <cellStyle name="Normal 51 3" xfId="55417" xr:uid="{00000000-0005-0000-0000-000074D80000}"/>
    <cellStyle name="Normal 51 4" xfId="55418" xr:uid="{00000000-0005-0000-0000-000075D80000}"/>
    <cellStyle name="Normal 51 5" xfId="55419" xr:uid="{00000000-0005-0000-0000-000076D80000}"/>
    <cellStyle name="Normal 52" xfId="55420" xr:uid="{00000000-0005-0000-0000-000077D80000}"/>
    <cellStyle name="Normal 52 2" xfId="55421" xr:uid="{00000000-0005-0000-0000-000078D80000}"/>
    <cellStyle name="Normal 52 3" xfId="55422" xr:uid="{00000000-0005-0000-0000-000079D80000}"/>
    <cellStyle name="Normal 52 4" xfId="55423" xr:uid="{00000000-0005-0000-0000-00007AD80000}"/>
    <cellStyle name="Normal 52 5" xfId="55424" xr:uid="{00000000-0005-0000-0000-00007BD80000}"/>
    <cellStyle name="Normal 53" xfId="55425" xr:uid="{00000000-0005-0000-0000-00007CD80000}"/>
    <cellStyle name="Normal 54" xfId="55426" xr:uid="{00000000-0005-0000-0000-00007DD80000}"/>
    <cellStyle name="Normal 54 2" xfId="55427" xr:uid="{00000000-0005-0000-0000-00007ED80000}"/>
    <cellStyle name="Normal 54 3" xfId="55428" xr:uid="{00000000-0005-0000-0000-00007FD80000}"/>
    <cellStyle name="Normal 54 4" xfId="55429" xr:uid="{00000000-0005-0000-0000-000080D80000}"/>
    <cellStyle name="Normal 54 5" xfId="55430" xr:uid="{00000000-0005-0000-0000-000081D80000}"/>
    <cellStyle name="Normal 55" xfId="55431" xr:uid="{00000000-0005-0000-0000-000082D80000}"/>
    <cellStyle name="Normal 56" xfId="55432" xr:uid="{00000000-0005-0000-0000-000083D80000}"/>
    <cellStyle name="Normal 56 2" xfId="55433" xr:uid="{00000000-0005-0000-0000-000084D80000}"/>
    <cellStyle name="Normal 56 3" xfId="55434" xr:uid="{00000000-0005-0000-0000-000085D80000}"/>
    <cellStyle name="Normal 56 4" xfId="55435" xr:uid="{00000000-0005-0000-0000-000086D80000}"/>
    <cellStyle name="Normal 56 5" xfId="55436" xr:uid="{00000000-0005-0000-0000-000087D80000}"/>
    <cellStyle name="Normal 57" xfId="55437" xr:uid="{00000000-0005-0000-0000-000088D80000}"/>
    <cellStyle name="Normal 57 2" xfId="55438" xr:uid="{00000000-0005-0000-0000-000089D80000}"/>
    <cellStyle name="Normal 57 3" xfId="55439" xr:uid="{00000000-0005-0000-0000-00008AD80000}"/>
    <cellStyle name="Normal 57 4" xfId="55440" xr:uid="{00000000-0005-0000-0000-00008BD80000}"/>
    <cellStyle name="Normal 57 5" xfId="55441" xr:uid="{00000000-0005-0000-0000-00008CD80000}"/>
    <cellStyle name="Normal 58" xfId="55442" xr:uid="{00000000-0005-0000-0000-00008DD80000}"/>
    <cellStyle name="Normal 58 2" xfId="55443" xr:uid="{00000000-0005-0000-0000-00008ED80000}"/>
    <cellStyle name="Normal 58 3" xfId="55444" xr:uid="{00000000-0005-0000-0000-00008FD80000}"/>
    <cellStyle name="Normal 58 4" xfId="55445" xr:uid="{00000000-0005-0000-0000-000090D80000}"/>
    <cellStyle name="Normal 58 5" xfId="55446" xr:uid="{00000000-0005-0000-0000-000091D80000}"/>
    <cellStyle name="Normal 59" xfId="55447" xr:uid="{00000000-0005-0000-0000-000092D80000}"/>
    <cellStyle name="Normal 6" xfId="34" xr:uid="{00000000-0005-0000-0000-000093D80000}"/>
    <cellStyle name="Normal 6 10" xfId="55449" xr:uid="{00000000-0005-0000-0000-000094D80000}"/>
    <cellStyle name="Normal 6 11" xfId="55450" xr:uid="{00000000-0005-0000-0000-000095D80000}"/>
    <cellStyle name="Normal 6 12" xfId="55451" xr:uid="{00000000-0005-0000-0000-000096D80000}"/>
    <cellStyle name="Normal 6 13" xfId="55452" xr:uid="{00000000-0005-0000-0000-000097D80000}"/>
    <cellStyle name="Normal 6 14" xfId="55453" xr:uid="{00000000-0005-0000-0000-000098D80000}"/>
    <cellStyle name="Normal 6 15" xfId="55454" xr:uid="{00000000-0005-0000-0000-000099D80000}"/>
    <cellStyle name="Normal 6 16" xfId="55455" xr:uid="{00000000-0005-0000-0000-00009AD80000}"/>
    <cellStyle name="Normal 6 17" xfId="55456" xr:uid="{00000000-0005-0000-0000-00009BD80000}"/>
    <cellStyle name="Normal 6 17 2" xfId="55457" xr:uid="{00000000-0005-0000-0000-00009CD80000}"/>
    <cellStyle name="Normal 6 17 2 2" xfId="55458" xr:uid="{00000000-0005-0000-0000-00009DD80000}"/>
    <cellStyle name="Normal 6 17 2 3" xfId="55459" xr:uid="{00000000-0005-0000-0000-00009ED80000}"/>
    <cellStyle name="Normal 6 17 3" xfId="55460" xr:uid="{00000000-0005-0000-0000-00009FD80000}"/>
    <cellStyle name="Normal 6 18" xfId="55461" xr:uid="{00000000-0005-0000-0000-0000A0D80000}"/>
    <cellStyle name="Normal 6 18 2" xfId="55462" xr:uid="{00000000-0005-0000-0000-0000A1D80000}"/>
    <cellStyle name="Normal 6 18 3" xfId="55463" xr:uid="{00000000-0005-0000-0000-0000A2D80000}"/>
    <cellStyle name="Normal 6 19" xfId="55464" xr:uid="{00000000-0005-0000-0000-0000A3D80000}"/>
    <cellStyle name="Normal 6 19 2" xfId="55465" xr:uid="{00000000-0005-0000-0000-0000A4D80000}"/>
    <cellStyle name="Normal 6 19 3" xfId="55466" xr:uid="{00000000-0005-0000-0000-0000A5D80000}"/>
    <cellStyle name="Normal 6 2" xfId="55467" xr:uid="{00000000-0005-0000-0000-0000A6D80000}"/>
    <cellStyle name="Normal 6 2 10" xfId="55468" xr:uid="{00000000-0005-0000-0000-0000A7D80000}"/>
    <cellStyle name="Normal 6 2 11" xfId="55469" xr:uid="{00000000-0005-0000-0000-0000A8D80000}"/>
    <cellStyle name="Normal 6 2 12" xfId="55470" xr:uid="{00000000-0005-0000-0000-0000A9D80000}"/>
    <cellStyle name="Normal 6 2 13" xfId="55471" xr:uid="{00000000-0005-0000-0000-0000AAD80000}"/>
    <cellStyle name="Normal 6 2 2" xfId="55472" xr:uid="{00000000-0005-0000-0000-0000ABD80000}"/>
    <cellStyle name="Normal 6 2 2 10" xfId="55473" xr:uid="{00000000-0005-0000-0000-0000ACD80000}"/>
    <cellStyle name="Normal 6 2 2 2" xfId="55474" xr:uid="{00000000-0005-0000-0000-0000ADD80000}"/>
    <cellStyle name="Normal 6 2 2 2 2" xfId="55475" xr:uid="{00000000-0005-0000-0000-0000AED80000}"/>
    <cellStyle name="Normal 6 2 2 2 3" xfId="55476" xr:uid="{00000000-0005-0000-0000-0000AFD80000}"/>
    <cellStyle name="Normal 6 2 2 2 4" xfId="55477" xr:uid="{00000000-0005-0000-0000-0000B0D80000}"/>
    <cellStyle name="Normal 6 2 2 3" xfId="55478" xr:uid="{00000000-0005-0000-0000-0000B1D80000}"/>
    <cellStyle name="Normal 6 2 2 4" xfId="55479" xr:uid="{00000000-0005-0000-0000-0000B2D80000}"/>
    <cellStyle name="Normal 6 2 2 5" xfId="55480" xr:uid="{00000000-0005-0000-0000-0000B3D80000}"/>
    <cellStyle name="Normal 6 2 2 6" xfId="55481" xr:uid="{00000000-0005-0000-0000-0000B4D80000}"/>
    <cellStyle name="Normal 6 2 2 7" xfId="55482" xr:uid="{00000000-0005-0000-0000-0000B5D80000}"/>
    <cellStyle name="Normal 6 2 2 8" xfId="55483" xr:uid="{00000000-0005-0000-0000-0000B6D80000}"/>
    <cellStyle name="Normal 6 2 2 9" xfId="55484" xr:uid="{00000000-0005-0000-0000-0000B7D80000}"/>
    <cellStyle name="Normal 6 2 3" xfId="55485" xr:uid="{00000000-0005-0000-0000-0000B8D80000}"/>
    <cellStyle name="Normal 6 2 4" xfId="55486" xr:uid="{00000000-0005-0000-0000-0000B9D80000}"/>
    <cellStyle name="Normal 6 2 5" xfId="55487" xr:uid="{00000000-0005-0000-0000-0000BAD80000}"/>
    <cellStyle name="Normal 6 2 6" xfId="55488" xr:uid="{00000000-0005-0000-0000-0000BBD80000}"/>
    <cellStyle name="Normal 6 2 6 2" xfId="55489" xr:uid="{00000000-0005-0000-0000-0000BCD80000}"/>
    <cellStyle name="Normal 6 2 6 3" xfId="55490" xr:uid="{00000000-0005-0000-0000-0000BDD80000}"/>
    <cellStyle name="Normal 6 2 6 4" xfId="55491" xr:uid="{00000000-0005-0000-0000-0000BED80000}"/>
    <cellStyle name="Normal 6 2 7" xfId="55492" xr:uid="{00000000-0005-0000-0000-0000BFD80000}"/>
    <cellStyle name="Normal 6 2 8" xfId="55493" xr:uid="{00000000-0005-0000-0000-0000C0D80000}"/>
    <cellStyle name="Normal 6 2 9" xfId="55494" xr:uid="{00000000-0005-0000-0000-0000C1D80000}"/>
    <cellStyle name="Normal 6 20" xfId="55495" xr:uid="{00000000-0005-0000-0000-0000C2D80000}"/>
    <cellStyle name="Normal 6 20 2" xfId="55496" xr:uid="{00000000-0005-0000-0000-0000C3D80000}"/>
    <cellStyle name="Normal 6 20 3" xfId="55497" xr:uid="{00000000-0005-0000-0000-0000C4D80000}"/>
    <cellStyle name="Normal 6 21" xfId="55498" xr:uid="{00000000-0005-0000-0000-0000C5D80000}"/>
    <cellStyle name="Normal 6 21 2" xfId="55499" xr:uid="{00000000-0005-0000-0000-0000C6D80000}"/>
    <cellStyle name="Normal 6 21 3" xfId="55500" xr:uid="{00000000-0005-0000-0000-0000C7D80000}"/>
    <cellStyle name="Normal 6 22" xfId="55501" xr:uid="{00000000-0005-0000-0000-0000C8D80000}"/>
    <cellStyle name="Normal 6 22 2" xfId="55502" xr:uid="{00000000-0005-0000-0000-0000C9D80000}"/>
    <cellStyle name="Normal 6 22 3" xfId="55503" xr:uid="{00000000-0005-0000-0000-0000CAD80000}"/>
    <cellStyle name="Normal 6 23" xfId="55504" xr:uid="{00000000-0005-0000-0000-0000CBD80000}"/>
    <cellStyle name="Normal 6 23 2" xfId="55505" xr:uid="{00000000-0005-0000-0000-0000CCD80000}"/>
    <cellStyle name="Normal 6 23 3" xfId="55506" xr:uid="{00000000-0005-0000-0000-0000CDD80000}"/>
    <cellStyle name="Normal 6 24" xfId="55507" xr:uid="{00000000-0005-0000-0000-0000CED80000}"/>
    <cellStyle name="Normal 6 24 2" xfId="55508" xr:uid="{00000000-0005-0000-0000-0000CFD80000}"/>
    <cellStyle name="Normal 6 24 3" xfId="55509" xr:uid="{00000000-0005-0000-0000-0000D0D80000}"/>
    <cellStyle name="Normal 6 25" xfId="55510" xr:uid="{00000000-0005-0000-0000-0000D1D80000}"/>
    <cellStyle name="Normal 6 25 2" xfId="55511" xr:uid="{00000000-0005-0000-0000-0000D2D80000}"/>
    <cellStyle name="Normal 6 25 3" xfId="55512" xr:uid="{00000000-0005-0000-0000-0000D3D80000}"/>
    <cellStyle name="Normal 6 26" xfId="55513" xr:uid="{00000000-0005-0000-0000-0000D4D80000}"/>
    <cellStyle name="Normal 6 26 2" xfId="55514" xr:uid="{00000000-0005-0000-0000-0000D5D80000}"/>
    <cellStyle name="Normal 6 26 3" xfId="55515" xr:uid="{00000000-0005-0000-0000-0000D6D80000}"/>
    <cellStyle name="Normal 6 27" xfId="55516" xr:uid="{00000000-0005-0000-0000-0000D7D80000}"/>
    <cellStyle name="Normal 6 27 2" xfId="55517" xr:uid="{00000000-0005-0000-0000-0000D8D80000}"/>
    <cellStyle name="Normal 6 27 3" xfId="55518" xr:uid="{00000000-0005-0000-0000-0000D9D80000}"/>
    <cellStyle name="Normal 6 28" xfId="55519" xr:uid="{00000000-0005-0000-0000-0000DAD80000}"/>
    <cellStyle name="Normal 6 29" xfId="55520" xr:uid="{00000000-0005-0000-0000-0000DBD80000}"/>
    <cellStyle name="Normal 6 3" xfId="55521" xr:uid="{00000000-0005-0000-0000-0000DCD80000}"/>
    <cellStyle name="Normal 6 3 2" xfId="55522" xr:uid="{00000000-0005-0000-0000-0000DDD80000}"/>
    <cellStyle name="Normal 6 30" xfId="55448" xr:uid="{00000000-0005-0000-0000-0000DED80000}"/>
    <cellStyle name="Normal 6 4" xfId="55523" xr:uid="{00000000-0005-0000-0000-0000DFD80000}"/>
    <cellStyle name="Normal 6 4 2" xfId="55524" xr:uid="{00000000-0005-0000-0000-0000E0D80000}"/>
    <cellStyle name="Normal 6 5" xfId="55525" xr:uid="{00000000-0005-0000-0000-0000E1D80000}"/>
    <cellStyle name="Normal 6 5 2" xfId="55526" xr:uid="{00000000-0005-0000-0000-0000E2D80000}"/>
    <cellStyle name="Normal 6 6" xfId="55527" xr:uid="{00000000-0005-0000-0000-0000E3D80000}"/>
    <cellStyle name="Normal 6 7" xfId="55528" xr:uid="{00000000-0005-0000-0000-0000E4D80000}"/>
    <cellStyle name="Normal 6 8" xfId="55529" xr:uid="{00000000-0005-0000-0000-0000E5D80000}"/>
    <cellStyle name="Normal 6 9" xfId="55530" xr:uid="{00000000-0005-0000-0000-0000E6D80000}"/>
    <cellStyle name="Normal 60" xfId="55531" xr:uid="{00000000-0005-0000-0000-0000E7D80000}"/>
    <cellStyle name="Normal 61" xfId="55532" xr:uid="{00000000-0005-0000-0000-0000E8D80000}"/>
    <cellStyle name="Normal 62" xfId="55533" xr:uid="{00000000-0005-0000-0000-0000E9D80000}"/>
    <cellStyle name="Normal 63" xfId="55534" xr:uid="{00000000-0005-0000-0000-0000EAD80000}"/>
    <cellStyle name="Normal 64" xfId="55535" xr:uid="{00000000-0005-0000-0000-0000EBD80000}"/>
    <cellStyle name="Normal 64 2" xfId="55536" xr:uid="{00000000-0005-0000-0000-0000ECD80000}"/>
    <cellStyle name="Normal 64 3" xfId="55537" xr:uid="{00000000-0005-0000-0000-0000EDD80000}"/>
    <cellStyle name="Normal 64 4" xfId="55538" xr:uid="{00000000-0005-0000-0000-0000EED80000}"/>
    <cellStyle name="Normal 64 5" xfId="55539" xr:uid="{00000000-0005-0000-0000-0000EFD80000}"/>
    <cellStyle name="Normal 65" xfId="55540" xr:uid="{00000000-0005-0000-0000-0000F0D80000}"/>
    <cellStyle name="Normal 66" xfId="55541" xr:uid="{00000000-0005-0000-0000-0000F1D80000}"/>
    <cellStyle name="Normal 66 2" xfId="55542" xr:uid="{00000000-0005-0000-0000-0000F2D80000}"/>
    <cellStyle name="Normal 66 3" xfId="55543" xr:uid="{00000000-0005-0000-0000-0000F3D80000}"/>
    <cellStyle name="Normal 66 4" xfId="55544" xr:uid="{00000000-0005-0000-0000-0000F4D80000}"/>
    <cellStyle name="Normal 66 5" xfId="55545" xr:uid="{00000000-0005-0000-0000-0000F5D80000}"/>
    <cellStyle name="Normal 67" xfId="55546" xr:uid="{00000000-0005-0000-0000-0000F6D80000}"/>
    <cellStyle name="Normal 68" xfId="55547" xr:uid="{00000000-0005-0000-0000-0000F7D80000}"/>
    <cellStyle name="Normal 69" xfId="55548" xr:uid="{00000000-0005-0000-0000-0000F8D80000}"/>
    <cellStyle name="Normal 7" xfId="35" xr:uid="{00000000-0005-0000-0000-0000F9D80000}"/>
    <cellStyle name="Normal 7 10" xfId="55550" xr:uid="{00000000-0005-0000-0000-0000FAD80000}"/>
    <cellStyle name="Normal 7 11" xfId="55551" xr:uid="{00000000-0005-0000-0000-0000FBD80000}"/>
    <cellStyle name="Normal 7 11 2" xfId="55552" xr:uid="{00000000-0005-0000-0000-0000FCD80000}"/>
    <cellStyle name="Normal 7 11 2 2" xfId="55553" xr:uid="{00000000-0005-0000-0000-0000FDD80000}"/>
    <cellStyle name="Normal 7 11 2 3" xfId="55554" xr:uid="{00000000-0005-0000-0000-0000FED80000}"/>
    <cellStyle name="Normal 7 11 3" xfId="55555" xr:uid="{00000000-0005-0000-0000-0000FFD80000}"/>
    <cellStyle name="Normal 7 12" xfId="55556" xr:uid="{00000000-0005-0000-0000-000000D90000}"/>
    <cellStyle name="Normal 7 12 2" xfId="55557" xr:uid="{00000000-0005-0000-0000-000001D90000}"/>
    <cellStyle name="Normal 7 12 2 2" xfId="55558" xr:uid="{00000000-0005-0000-0000-000002D90000}"/>
    <cellStyle name="Normal 7 12 2 3" xfId="55559" xr:uid="{00000000-0005-0000-0000-000003D90000}"/>
    <cellStyle name="Normal 7 12 3" xfId="55560" xr:uid="{00000000-0005-0000-0000-000004D90000}"/>
    <cellStyle name="Normal 7 13" xfId="55561" xr:uid="{00000000-0005-0000-0000-000005D90000}"/>
    <cellStyle name="Normal 7 14" xfId="55562" xr:uid="{00000000-0005-0000-0000-000006D90000}"/>
    <cellStyle name="Normal 7 15" xfId="55563" xr:uid="{00000000-0005-0000-0000-000007D90000}"/>
    <cellStyle name="Normal 7 16" xfId="55564" xr:uid="{00000000-0005-0000-0000-000008D90000}"/>
    <cellStyle name="Normal 7 17" xfId="55565" xr:uid="{00000000-0005-0000-0000-000009D90000}"/>
    <cellStyle name="Normal 7 18" xfId="55566" xr:uid="{00000000-0005-0000-0000-00000AD90000}"/>
    <cellStyle name="Normal 7 19" xfId="55567" xr:uid="{00000000-0005-0000-0000-00000BD90000}"/>
    <cellStyle name="Normal 7 2" xfId="55568" xr:uid="{00000000-0005-0000-0000-00000CD90000}"/>
    <cellStyle name="Normal 7 20" xfId="55569" xr:uid="{00000000-0005-0000-0000-00000DD90000}"/>
    <cellStyle name="Normal 7 21" xfId="55570" xr:uid="{00000000-0005-0000-0000-00000ED90000}"/>
    <cellStyle name="Normal 7 22" xfId="55571" xr:uid="{00000000-0005-0000-0000-00000FD90000}"/>
    <cellStyle name="Normal 7 23" xfId="55572" xr:uid="{00000000-0005-0000-0000-000010D90000}"/>
    <cellStyle name="Normal 7 24" xfId="55549" xr:uid="{00000000-0005-0000-0000-000011D90000}"/>
    <cellStyle name="Normal 7 3" xfId="55573" xr:uid="{00000000-0005-0000-0000-000012D90000}"/>
    <cellStyle name="Normal 7 4" xfId="55574" xr:uid="{00000000-0005-0000-0000-000013D90000}"/>
    <cellStyle name="Normal 7 5" xfId="55575" xr:uid="{00000000-0005-0000-0000-000014D90000}"/>
    <cellStyle name="Normal 7 6" xfId="55576" xr:uid="{00000000-0005-0000-0000-000015D90000}"/>
    <cellStyle name="Normal 7 7" xfId="55577" xr:uid="{00000000-0005-0000-0000-000016D90000}"/>
    <cellStyle name="Normal 7 8" xfId="55578" xr:uid="{00000000-0005-0000-0000-000017D90000}"/>
    <cellStyle name="Normal 7 9" xfId="55579" xr:uid="{00000000-0005-0000-0000-000018D90000}"/>
    <cellStyle name="Normal 70" xfId="55580" xr:uid="{00000000-0005-0000-0000-000019D90000}"/>
    <cellStyle name="Normal 71" xfId="55581" xr:uid="{00000000-0005-0000-0000-00001AD90000}"/>
    <cellStyle name="Normal 72" xfId="55582" xr:uid="{00000000-0005-0000-0000-00001BD90000}"/>
    <cellStyle name="Normal 73" xfId="55583" xr:uid="{00000000-0005-0000-0000-00001CD90000}"/>
    <cellStyle name="Normal 74" xfId="55584" xr:uid="{00000000-0005-0000-0000-00001DD90000}"/>
    <cellStyle name="Normal 75" xfId="55585" xr:uid="{00000000-0005-0000-0000-00001ED90000}"/>
    <cellStyle name="Normal 76" xfId="55586" xr:uid="{00000000-0005-0000-0000-00001FD90000}"/>
    <cellStyle name="Normal 77" xfId="55587" xr:uid="{00000000-0005-0000-0000-000020D90000}"/>
    <cellStyle name="Normal 78" xfId="55588" xr:uid="{00000000-0005-0000-0000-000021D90000}"/>
    <cellStyle name="Normal 79" xfId="55589" xr:uid="{00000000-0005-0000-0000-000022D90000}"/>
    <cellStyle name="Normal 8" xfId="36" xr:uid="{00000000-0005-0000-0000-000023D90000}"/>
    <cellStyle name="Normal 8 10" xfId="55591" xr:uid="{00000000-0005-0000-0000-000024D90000}"/>
    <cellStyle name="Normal 8 11" xfId="55592" xr:uid="{00000000-0005-0000-0000-000025D90000}"/>
    <cellStyle name="Normal 8 12" xfId="55593" xr:uid="{00000000-0005-0000-0000-000026D90000}"/>
    <cellStyle name="Normal 8 13" xfId="55594" xr:uid="{00000000-0005-0000-0000-000027D90000}"/>
    <cellStyle name="Normal 8 14" xfId="55595" xr:uid="{00000000-0005-0000-0000-000028D90000}"/>
    <cellStyle name="Normal 8 15" xfId="55596" xr:uid="{00000000-0005-0000-0000-000029D90000}"/>
    <cellStyle name="Normal 8 16" xfId="55597" xr:uid="{00000000-0005-0000-0000-00002AD90000}"/>
    <cellStyle name="Normal 8 17" xfId="55590" xr:uid="{00000000-0005-0000-0000-00002BD90000}"/>
    <cellStyle name="Normal 8 2" xfId="55598" xr:uid="{00000000-0005-0000-0000-00002CD90000}"/>
    <cellStyle name="Normal 8 2 2" xfId="55599" xr:uid="{00000000-0005-0000-0000-00002DD90000}"/>
    <cellStyle name="Normal 8 2 3" xfId="55600" xr:uid="{00000000-0005-0000-0000-00002ED90000}"/>
    <cellStyle name="Normal 8 2 4" xfId="55601" xr:uid="{00000000-0005-0000-0000-00002FD90000}"/>
    <cellStyle name="Normal 8 2 5" xfId="55602" xr:uid="{00000000-0005-0000-0000-000030D90000}"/>
    <cellStyle name="Normal 8 3" xfId="55603" xr:uid="{00000000-0005-0000-0000-000031D90000}"/>
    <cellStyle name="Normal 8 3 2" xfId="55604" xr:uid="{00000000-0005-0000-0000-000032D90000}"/>
    <cellStyle name="Normal 8 4" xfId="55605" xr:uid="{00000000-0005-0000-0000-000033D90000}"/>
    <cellStyle name="Normal 8 4 2" xfId="55606" xr:uid="{00000000-0005-0000-0000-000034D90000}"/>
    <cellStyle name="Normal 8 5" xfId="55607" xr:uid="{00000000-0005-0000-0000-000035D90000}"/>
    <cellStyle name="Normal 8 5 2" xfId="55608" xr:uid="{00000000-0005-0000-0000-000036D90000}"/>
    <cellStyle name="Normal 8 6" xfId="55609" xr:uid="{00000000-0005-0000-0000-000037D90000}"/>
    <cellStyle name="Normal 8 7" xfId="55610" xr:uid="{00000000-0005-0000-0000-000038D90000}"/>
    <cellStyle name="Normal 8 8" xfId="55611" xr:uid="{00000000-0005-0000-0000-000039D90000}"/>
    <cellStyle name="Normal 8 9" xfId="55612" xr:uid="{00000000-0005-0000-0000-00003AD90000}"/>
    <cellStyle name="Normal 80" xfId="55613" xr:uid="{00000000-0005-0000-0000-00003BD90000}"/>
    <cellStyle name="Normal 81" xfId="55614" xr:uid="{00000000-0005-0000-0000-00003CD90000}"/>
    <cellStyle name="Normal 82" xfId="55615" xr:uid="{00000000-0005-0000-0000-00003DD90000}"/>
    <cellStyle name="Normal 83" xfId="55616" xr:uid="{00000000-0005-0000-0000-00003ED90000}"/>
    <cellStyle name="Normal 84" xfId="55617" xr:uid="{00000000-0005-0000-0000-00003FD90000}"/>
    <cellStyle name="Normal 85" xfId="55618" xr:uid="{00000000-0005-0000-0000-000040D90000}"/>
    <cellStyle name="Normal 86" xfId="55619" xr:uid="{00000000-0005-0000-0000-000041D90000}"/>
    <cellStyle name="Normal 87" xfId="55620" xr:uid="{00000000-0005-0000-0000-000042D90000}"/>
    <cellStyle name="Normal 88" xfId="55621" xr:uid="{00000000-0005-0000-0000-000043D90000}"/>
    <cellStyle name="Normal 89" xfId="55622" xr:uid="{00000000-0005-0000-0000-000044D90000}"/>
    <cellStyle name="Normal 9" xfId="38" xr:uid="{00000000-0005-0000-0000-000045D90000}"/>
    <cellStyle name="Normal 9 10" xfId="55624" xr:uid="{00000000-0005-0000-0000-000046D90000}"/>
    <cellStyle name="Normal 9 11" xfId="55625" xr:uid="{00000000-0005-0000-0000-000047D90000}"/>
    <cellStyle name="Normal 9 12" xfId="55626" xr:uid="{00000000-0005-0000-0000-000048D90000}"/>
    <cellStyle name="Normal 9 13" xfId="55627" xr:uid="{00000000-0005-0000-0000-000049D90000}"/>
    <cellStyle name="Normal 9 14" xfId="55628" xr:uid="{00000000-0005-0000-0000-00004AD90000}"/>
    <cellStyle name="Normal 9 15" xfId="55629" xr:uid="{00000000-0005-0000-0000-00004BD90000}"/>
    <cellStyle name="Normal 9 16" xfId="55630" xr:uid="{00000000-0005-0000-0000-00004CD90000}"/>
    <cellStyle name="Normal 9 17" xfId="55631" xr:uid="{00000000-0005-0000-0000-00004DD90000}"/>
    <cellStyle name="Normal 9 18" xfId="55632" xr:uid="{00000000-0005-0000-0000-00004ED90000}"/>
    <cellStyle name="Normal 9 19" xfId="55623" xr:uid="{00000000-0005-0000-0000-00004FD90000}"/>
    <cellStyle name="Normal 9 2" xfId="55633" xr:uid="{00000000-0005-0000-0000-000050D90000}"/>
    <cellStyle name="Normal 9 2 2" xfId="55634" xr:uid="{00000000-0005-0000-0000-000051D90000}"/>
    <cellStyle name="Normal 9 2 3" xfId="55635" xr:uid="{00000000-0005-0000-0000-000052D90000}"/>
    <cellStyle name="Normal 9 2 4" xfId="55636" xr:uid="{00000000-0005-0000-0000-000053D90000}"/>
    <cellStyle name="Normal 9 2 5" xfId="55637" xr:uid="{00000000-0005-0000-0000-000054D90000}"/>
    <cellStyle name="Normal 9 3" xfId="55638" xr:uid="{00000000-0005-0000-0000-000055D90000}"/>
    <cellStyle name="Normal 9 3 2" xfId="55639" xr:uid="{00000000-0005-0000-0000-000056D90000}"/>
    <cellStyle name="Normal 9 4" xfId="55640" xr:uid="{00000000-0005-0000-0000-000057D90000}"/>
    <cellStyle name="Normal 9 4 2" xfId="55641" xr:uid="{00000000-0005-0000-0000-000058D90000}"/>
    <cellStyle name="Normal 9 5" xfId="55642" xr:uid="{00000000-0005-0000-0000-000059D90000}"/>
    <cellStyle name="Normal 9 5 2" xfId="55643" xr:uid="{00000000-0005-0000-0000-00005AD90000}"/>
    <cellStyle name="Normal 9 6" xfId="55644" xr:uid="{00000000-0005-0000-0000-00005BD90000}"/>
    <cellStyle name="Normal 9 7" xfId="55645" xr:uid="{00000000-0005-0000-0000-00005CD90000}"/>
    <cellStyle name="Normal 9 8" xfId="55646" xr:uid="{00000000-0005-0000-0000-00005DD90000}"/>
    <cellStyle name="Normal 9 9" xfId="55647" xr:uid="{00000000-0005-0000-0000-00005ED90000}"/>
    <cellStyle name="Normal 90" xfId="55648" xr:uid="{00000000-0005-0000-0000-00005FD90000}"/>
    <cellStyle name="Normal 91" xfId="55649" xr:uid="{00000000-0005-0000-0000-000060D90000}"/>
    <cellStyle name="Normal 92" xfId="55650" xr:uid="{00000000-0005-0000-0000-000061D90000}"/>
    <cellStyle name="Normal 93" xfId="55651" xr:uid="{00000000-0005-0000-0000-000062D90000}"/>
    <cellStyle name="Normal 94" xfId="55652" xr:uid="{00000000-0005-0000-0000-000063D90000}"/>
    <cellStyle name="Normal 95" xfId="55653" xr:uid="{00000000-0005-0000-0000-000064D90000}"/>
    <cellStyle name="Normal 96" xfId="55654" xr:uid="{00000000-0005-0000-0000-000065D90000}"/>
    <cellStyle name="Normal 97" xfId="55655" xr:uid="{00000000-0005-0000-0000-000066D90000}"/>
    <cellStyle name="Normal 98" xfId="55656" xr:uid="{00000000-0005-0000-0000-000067D90000}"/>
    <cellStyle name="Normal 99" xfId="55657" xr:uid="{00000000-0005-0000-0000-000068D90000}"/>
    <cellStyle name="Note 10" xfId="55658" xr:uid="{00000000-0005-0000-0000-000069D90000}"/>
    <cellStyle name="Note 10 2" xfId="55659" xr:uid="{00000000-0005-0000-0000-00006AD90000}"/>
    <cellStyle name="Note 10 3" xfId="55660" xr:uid="{00000000-0005-0000-0000-00006BD90000}"/>
    <cellStyle name="Note 11" xfId="55661" xr:uid="{00000000-0005-0000-0000-00006CD90000}"/>
    <cellStyle name="Note 11 2" xfId="55662" xr:uid="{00000000-0005-0000-0000-00006DD90000}"/>
    <cellStyle name="Note 11 3" xfId="55663" xr:uid="{00000000-0005-0000-0000-00006ED90000}"/>
    <cellStyle name="Note 12" xfId="55664" xr:uid="{00000000-0005-0000-0000-00006FD90000}"/>
    <cellStyle name="Note 12 2" xfId="55665" xr:uid="{00000000-0005-0000-0000-000070D90000}"/>
    <cellStyle name="Note 12 3" xfId="55666" xr:uid="{00000000-0005-0000-0000-000071D90000}"/>
    <cellStyle name="Note 13" xfId="55667" xr:uid="{00000000-0005-0000-0000-000072D90000}"/>
    <cellStyle name="Note 13 2" xfId="55668" xr:uid="{00000000-0005-0000-0000-000073D90000}"/>
    <cellStyle name="Note 13 3" xfId="55669" xr:uid="{00000000-0005-0000-0000-000074D90000}"/>
    <cellStyle name="Note 14" xfId="55670" xr:uid="{00000000-0005-0000-0000-000075D90000}"/>
    <cellStyle name="Note 14 2" xfId="55671" xr:uid="{00000000-0005-0000-0000-000076D90000}"/>
    <cellStyle name="Note 14 3" xfId="55672" xr:uid="{00000000-0005-0000-0000-000077D90000}"/>
    <cellStyle name="Note 15" xfId="55673" xr:uid="{00000000-0005-0000-0000-000078D90000}"/>
    <cellStyle name="Note 15 2" xfId="55674" xr:uid="{00000000-0005-0000-0000-000079D90000}"/>
    <cellStyle name="Note 15 3" xfId="55675" xr:uid="{00000000-0005-0000-0000-00007AD90000}"/>
    <cellStyle name="Note 16" xfId="55676" xr:uid="{00000000-0005-0000-0000-00007BD90000}"/>
    <cellStyle name="Note 16 2" xfId="55677" xr:uid="{00000000-0005-0000-0000-00007CD90000}"/>
    <cellStyle name="Note 16 3" xfId="55678" xr:uid="{00000000-0005-0000-0000-00007DD90000}"/>
    <cellStyle name="Note 16 4" xfId="55679" xr:uid="{00000000-0005-0000-0000-00007ED90000}"/>
    <cellStyle name="Note 16 5" xfId="55680" xr:uid="{00000000-0005-0000-0000-00007FD90000}"/>
    <cellStyle name="Note 16 6" xfId="55681" xr:uid="{00000000-0005-0000-0000-000080D90000}"/>
    <cellStyle name="Note 16 7" xfId="55682" xr:uid="{00000000-0005-0000-0000-000081D90000}"/>
    <cellStyle name="Note 17" xfId="55683" xr:uid="{00000000-0005-0000-0000-000082D90000}"/>
    <cellStyle name="Note 18" xfId="55684" xr:uid="{00000000-0005-0000-0000-000083D90000}"/>
    <cellStyle name="Note 19" xfId="55685" xr:uid="{00000000-0005-0000-0000-000084D90000}"/>
    <cellStyle name="Note 2" xfId="55686" xr:uid="{00000000-0005-0000-0000-000085D90000}"/>
    <cellStyle name="Note 2 10" xfId="55687" xr:uid="{00000000-0005-0000-0000-000086D90000}"/>
    <cellStyle name="Note 2 11" xfId="55688" xr:uid="{00000000-0005-0000-0000-000087D90000}"/>
    <cellStyle name="Note 2 11 2" xfId="55689" xr:uid="{00000000-0005-0000-0000-000088D90000}"/>
    <cellStyle name="Note 2 11 2 2" xfId="55690" xr:uid="{00000000-0005-0000-0000-000089D90000}"/>
    <cellStyle name="Note 2 11 2 3" xfId="55691" xr:uid="{00000000-0005-0000-0000-00008AD90000}"/>
    <cellStyle name="Note 2 11 2 4" xfId="55692" xr:uid="{00000000-0005-0000-0000-00008BD90000}"/>
    <cellStyle name="Note 2 11 2 5" xfId="55693" xr:uid="{00000000-0005-0000-0000-00008CD90000}"/>
    <cellStyle name="Note 2 11 2 6" xfId="55694" xr:uid="{00000000-0005-0000-0000-00008DD90000}"/>
    <cellStyle name="Note 2 11 2 7" xfId="55695" xr:uid="{00000000-0005-0000-0000-00008ED90000}"/>
    <cellStyle name="Note 2 11 3" xfId="55696" xr:uid="{00000000-0005-0000-0000-00008FD90000}"/>
    <cellStyle name="Note 2 11 4" xfId="55697" xr:uid="{00000000-0005-0000-0000-000090D90000}"/>
    <cellStyle name="Note 2 11 5" xfId="55698" xr:uid="{00000000-0005-0000-0000-000091D90000}"/>
    <cellStyle name="Note 2 11 6" xfId="55699" xr:uid="{00000000-0005-0000-0000-000092D90000}"/>
    <cellStyle name="Note 2 11 7" xfId="55700" xr:uid="{00000000-0005-0000-0000-000093D90000}"/>
    <cellStyle name="Note 2 12" xfId="55701" xr:uid="{00000000-0005-0000-0000-000094D90000}"/>
    <cellStyle name="Note 2 13" xfId="55702" xr:uid="{00000000-0005-0000-0000-000095D90000}"/>
    <cellStyle name="Note 2 14" xfId="55703" xr:uid="{00000000-0005-0000-0000-000096D90000}"/>
    <cellStyle name="Note 2 15" xfId="55704" xr:uid="{00000000-0005-0000-0000-000097D90000}"/>
    <cellStyle name="Note 2 16" xfId="55705" xr:uid="{00000000-0005-0000-0000-000098D90000}"/>
    <cellStyle name="Note 2 17" xfId="55706" xr:uid="{00000000-0005-0000-0000-000099D90000}"/>
    <cellStyle name="Note 2 18" xfId="55707" xr:uid="{00000000-0005-0000-0000-00009AD90000}"/>
    <cellStyle name="Note 2 19" xfId="55708" xr:uid="{00000000-0005-0000-0000-00009BD90000}"/>
    <cellStyle name="Note 2 2" xfId="55709" xr:uid="{00000000-0005-0000-0000-00009CD90000}"/>
    <cellStyle name="Note 2 20" xfId="55710" xr:uid="{00000000-0005-0000-0000-00009DD90000}"/>
    <cellStyle name="Note 2 20 2" xfId="55711" xr:uid="{00000000-0005-0000-0000-00009ED90000}"/>
    <cellStyle name="Note 2 20 2 2" xfId="55712" xr:uid="{00000000-0005-0000-0000-00009FD90000}"/>
    <cellStyle name="Note 2 20 2 3" xfId="55713" xr:uid="{00000000-0005-0000-0000-0000A0D90000}"/>
    <cellStyle name="Note 2 20 3" xfId="55714" xr:uid="{00000000-0005-0000-0000-0000A1D90000}"/>
    <cellStyle name="Note 2 20 4" xfId="55715" xr:uid="{00000000-0005-0000-0000-0000A2D90000}"/>
    <cellStyle name="Note 2 21" xfId="55716" xr:uid="{00000000-0005-0000-0000-0000A3D90000}"/>
    <cellStyle name="Note 2 22" xfId="55717" xr:uid="{00000000-0005-0000-0000-0000A4D90000}"/>
    <cellStyle name="Note 2 23" xfId="55718" xr:uid="{00000000-0005-0000-0000-0000A5D90000}"/>
    <cellStyle name="Note 2 23 2" xfId="55719" xr:uid="{00000000-0005-0000-0000-0000A6D90000}"/>
    <cellStyle name="Note 2 23 3" xfId="55720" xr:uid="{00000000-0005-0000-0000-0000A7D90000}"/>
    <cellStyle name="Note 2 24" xfId="55721" xr:uid="{00000000-0005-0000-0000-0000A8D90000}"/>
    <cellStyle name="Note 2 24 2" xfId="55722" xr:uid="{00000000-0005-0000-0000-0000A9D90000}"/>
    <cellStyle name="Note 2 24 3" xfId="55723" xr:uid="{00000000-0005-0000-0000-0000AAD90000}"/>
    <cellStyle name="Note 2 25" xfId="55724" xr:uid="{00000000-0005-0000-0000-0000ABD90000}"/>
    <cellStyle name="Note 2 25 2" xfId="55725" xr:uid="{00000000-0005-0000-0000-0000ACD90000}"/>
    <cellStyle name="Note 2 25 3" xfId="55726" xr:uid="{00000000-0005-0000-0000-0000ADD90000}"/>
    <cellStyle name="Note 2 26" xfId="55727" xr:uid="{00000000-0005-0000-0000-0000AED90000}"/>
    <cellStyle name="Note 2 26 2" xfId="55728" xr:uid="{00000000-0005-0000-0000-0000AFD90000}"/>
    <cellStyle name="Note 2 26 3" xfId="55729" xr:uid="{00000000-0005-0000-0000-0000B0D90000}"/>
    <cellStyle name="Note 2 27" xfId="55730" xr:uid="{00000000-0005-0000-0000-0000B1D90000}"/>
    <cellStyle name="Note 2 28" xfId="55731" xr:uid="{00000000-0005-0000-0000-0000B2D90000}"/>
    <cellStyle name="Note 2 29" xfId="55732" xr:uid="{00000000-0005-0000-0000-0000B3D90000}"/>
    <cellStyle name="Note 2 3" xfId="55733" xr:uid="{00000000-0005-0000-0000-0000B4D90000}"/>
    <cellStyle name="Note 2 30" xfId="55734" xr:uid="{00000000-0005-0000-0000-0000B5D90000}"/>
    <cellStyle name="Note 2 31" xfId="55735" xr:uid="{00000000-0005-0000-0000-0000B6D90000}"/>
    <cellStyle name="Note 2 31 2" xfId="55736" xr:uid="{00000000-0005-0000-0000-0000B7D90000}"/>
    <cellStyle name="Note 2 31 2 2" xfId="55737" xr:uid="{00000000-0005-0000-0000-0000B8D90000}"/>
    <cellStyle name="Note 2 31 2 3" xfId="55738" xr:uid="{00000000-0005-0000-0000-0000B9D90000}"/>
    <cellStyle name="Note 2 31 3" xfId="55739" xr:uid="{00000000-0005-0000-0000-0000BAD90000}"/>
    <cellStyle name="Note 2 32" xfId="55740" xr:uid="{00000000-0005-0000-0000-0000BBD90000}"/>
    <cellStyle name="Note 2 33" xfId="55741" xr:uid="{00000000-0005-0000-0000-0000BCD90000}"/>
    <cellStyle name="Note 2 34" xfId="55742" xr:uid="{00000000-0005-0000-0000-0000BDD90000}"/>
    <cellStyle name="Note 2 35" xfId="55743" xr:uid="{00000000-0005-0000-0000-0000BED90000}"/>
    <cellStyle name="Note 2 36" xfId="55744" xr:uid="{00000000-0005-0000-0000-0000BFD90000}"/>
    <cellStyle name="Note 2 37" xfId="55745" xr:uid="{00000000-0005-0000-0000-0000C0D90000}"/>
    <cellStyle name="Note 2 38" xfId="55746" xr:uid="{00000000-0005-0000-0000-0000C1D90000}"/>
    <cellStyle name="Note 2 39" xfId="55747" xr:uid="{00000000-0005-0000-0000-0000C2D90000}"/>
    <cellStyle name="Note 2 4" xfId="55748" xr:uid="{00000000-0005-0000-0000-0000C3D90000}"/>
    <cellStyle name="Note 2 40" xfId="55749" xr:uid="{00000000-0005-0000-0000-0000C4D90000}"/>
    <cellStyle name="Note 2 41" xfId="55750" xr:uid="{00000000-0005-0000-0000-0000C5D90000}"/>
    <cellStyle name="Note 2 42" xfId="55751" xr:uid="{00000000-0005-0000-0000-0000C6D90000}"/>
    <cellStyle name="Note 2 43" xfId="55752" xr:uid="{00000000-0005-0000-0000-0000C7D90000}"/>
    <cellStyle name="Note 2 5" xfId="55753" xr:uid="{00000000-0005-0000-0000-0000C8D90000}"/>
    <cellStyle name="Note 2 6" xfId="55754" xr:uid="{00000000-0005-0000-0000-0000C9D90000}"/>
    <cellStyle name="Note 2 7" xfId="55755" xr:uid="{00000000-0005-0000-0000-0000CAD90000}"/>
    <cellStyle name="Note 2 8" xfId="55756" xr:uid="{00000000-0005-0000-0000-0000CBD90000}"/>
    <cellStyle name="Note 2 8 10" xfId="55757" xr:uid="{00000000-0005-0000-0000-0000CCD90000}"/>
    <cellStyle name="Note 2 8 11" xfId="55758" xr:uid="{00000000-0005-0000-0000-0000CDD90000}"/>
    <cellStyle name="Note 2 8 2" xfId="55759" xr:uid="{00000000-0005-0000-0000-0000CED90000}"/>
    <cellStyle name="Note 2 8 2 2" xfId="55760" xr:uid="{00000000-0005-0000-0000-0000CFD90000}"/>
    <cellStyle name="Note 2 8 2 3" xfId="55761" xr:uid="{00000000-0005-0000-0000-0000D0D90000}"/>
    <cellStyle name="Note 2 8 2 4" xfId="55762" xr:uid="{00000000-0005-0000-0000-0000D1D90000}"/>
    <cellStyle name="Note 2 8 2 5" xfId="55763" xr:uid="{00000000-0005-0000-0000-0000D2D90000}"/>
    <cellStyle name="Note 2 8 2 6" xfId="55764" xr:uid="{00000000-0005-0000-0000-0000D3D90000}"/>
    <cellStyle name="Note 2 8 2 7" xfId="55765" xr:uid="{00000000-0005-0000-0000-0000D4D90000}"/>
    <cellStyle name="Note 2 8 2 8" xfId="55766" xr:uid="{00000000-0005-0000-0000-0000D5D90000}"/>
    <cellStyle name="Note 2 8 2 9" xfId="55767" xr:uid="{00000000-0005-0000-0000-0000D6D90000}"/>
    <cellStyle name="Note 2 8 3" xfId="55768" xr:uid="{00000000-0005-0000-0000-0000D7D90000}"/>
    <cellStyle name="Note 2 8 4" xfId="55769" xr:uid="{00000000-0005-0000-0000-0000D8D90000}"/>
    <cellStyle name="Note 2 8 5" xfId="55770" xr:uid="{00000000-0005-0000-0000-0000D9D90000}"/>
    <cellStyle name="Note 2 8 5 2" xfId="55771" xr:uid="{00000000-0005-0000-0000-0000DAD90000}"/>
    <cellStyle name="Note 2 8 5 3" xfId="55772" xr:uid="{00000000-0005-0000-0000-0000DBD90000}"/>
    <cellStyle name="Note 2 8 6" xfId="55773" xr:uid="{00000000-0005-0000-0000-0000DCD90000}"/>
    <cellStyle name="Note 2 8 6 2" xfId="55774" xr:uid="{00000000-0005-0000-0000-0000DDD90000}"/>
    <cellStyle name="Note 2 8 6 3" xfId="55775" xr:uid="{00000000-0005-0000-0000-0000DED90000}"/>
    <cellStyle name="Note 2 8 7" xfId="55776" xr:uid="{00000000-0005-0000-0000-0000DFD90000}"/>
    <cellStyle name="Note 2 8 7 2" xfId="55777" xr:uid="{00000000-0005-0000-0000-0000E0D90000}"/>
    <cellStyle name="Note 2 8 7 3" xfId="55778" xr:uid="{00000000-0005-0000-0000-0000E1D90000}"/>
    <cellStyle name="Note 2 8 8" xfId="55779" xr:uid="{00000000-0005-0000-0000-0000E2D90000}"/>
    <cellStyle name="Note 2 8 8 2" xfId="55780" xr:uid="{00000000-0005-0000-0000-0000E3D90000}"/>
    <cellStyle name="Note 2 8 8 3" xfId="55781" xr:uid="{00000000-0005-0000-0000-0000E4D90000}"/>
    <cellStyle name="Note 2 8 9" xfId="55782" xr:uid="{00000000-0005-0000-0000-0000E5D90000}"/>
    <cellStyle name="Note 2 8 9 2" xfId="55783" xr:uid="{00000000-0005-0000-0000-0000E6D90000}"/>
    <cellStyle name="Note 2 8 9 3" xfId="55784" xr:uid="{00000000-0005-0000-0000-0000E7D90000}"/>
    <cellStyle name="Note 2 9" xfId="55785" xr:uid="{00000000-0005-0000-0000-0000E8D90000}"/>
    <cellStyle name="Note 20" xfId="55786" xr:uid="{00000000-0005-0000-0000-0000E9D90000}"/>
    <cellStyle name="Note 21" xfId="55787" xr:uid="{00000000-0005-0000-0000-0000EAD90000}"/>
    <cellStyle name="Note 22" xfId="55788" xr:uid="{00000000-0005-0000-0000-0000EBD90000}"/>
    <cellStyle name="Note 23" xfId="55789" xr:uid="{00000000-0005-0000-0000-0000ECD90000}"/>
    <cellStyle name="Note 24" xfId="55790" xr:uid="{00000000-0005-0000-0000-0000EDD90000}"/>
    <cellStyle name="Note 25" xfId="55791" xr:uid="{00000000-0005-0000-0000-0000EED90000}"/>
    <cellStyle name="Note 26" xfId="55792" xr:uid="{00000000-0005-0000-0000-0000EFD90000}"/>
    <cellStyle name="Note 27" xfId="55793" xr:uid="{00000000-0005-0000-0000-0000F0D90000}"/>
    <cellStyle name="Note 28" xfId="55794" xr:uid="{00000000-0005-0000-0000-0000F1D90000}"/>
    <cellStyle name="Note 29" xfId="55795" xr:uid="{00000000-0005-0000-0000-0000F2D90000}"/>
    <cellStyle name="Note 3" xfId="55796" xr:uid="{00000000-0005-0000-0000-0000F3D90000}"/>
    <cellStyle name="Note 3 2" xfId="55797" xr:uid="{00000000-0005-0000-0000-0000F4D90000}"/>
    <cellStyle name="Note 3 3" xfId="55798" xr:uid="{00000000-0005-0000-0000-0000F5D90000}"/>
    <cellStyle name="Note 3 4" xfId="55799" xr:uid="{00000000-0005-0000-0000-0000F6D90000}"/>
    <cellStyle name="Note 3 5" xfId="55800" xr:uid="{00000000-0005-0000-0000-0000F7D90000}"/>
    <cellStyle name="Note 3 6" xfId="55801" xr:uid="{00000000-0005-0000-0000-0000F8D90000}"/>
    <cellStyle name="Note 3 7" xfId="55802" xr:uid="{00000000-0005-0000-0000-0000F9D90000}"/>
    <cellStyle name="Note 30" xfId="55803" xr:uid="{00000000-0005-0000-0000-0000FAD90000}"/>
    <cellStyle name="Note 31" xfId="55804" xr:uid="{00000000-0005-0000-0000-0000FBD90000}"/>
    <cellStyle name="Note 32" xfId="55805" xr:uid="{00000000-0005-0000-0000-0000FCD90000}"/>
    <cellStyle name="Note 33" xfId="55806" xr:uid="{00000000-0005-0000-0000-0000FDD90000}"/>
    <cellStyle name="Note 34" xfId="55807" xr:uid="{00000000-0005-0000-0000-0000FED90000}"/>
    <cellStyle name="Note 35" xfId="55808" xr:uid="{00000000-0005-0000-0000-0000FFD90000}"/>
    <cellStyle name="Note 36" xfId="55809" xr:uid="{00000000-0005-0000-0000-000000DA0000}"/>
    <cellStyle name="Note 37" xfId="55810" xr:uid="{00000000-0005-0000-0000-000001DA0000}"/>
    <cellStyle name="Note 4" xfId="55811" xr:uid="{00000000-0005-0000-0000-000002DA0000}"/>
    <cellStyle name="Note 4 2" xfId="55812" xr:uid="{00000000-0005-0000-0000-000003DA0000}"/>
    <cellStyle name="Note 4 3" xfId="55813" xr:uid="{00000000-0005-0000-0000-000004DA0000}"/>
    <cellStyle name="Note 5" xfId="55814" xr:uid="{00000000-0005-0000-0000-000005DA0000}"/>
    <cellStyle name="Note 5 2" xfId="55815" xr:uid="{00000000-0005-0000-0000-000006DA0000}"/>
    <cellStyle name="Note 5 3" xfId="55816" xr:uid="{00000000-0005-0000-0000-000007DA0000}"/>
    <cellStyle name="Note 6" xfId="55817" xr:uid="{00000000-0005-0000-0000-000008DA0000}"/>
    <cellStyle name="Note 6 2" xfId="55818" xr:uid="{00000000-0005-0000-0000-000009DA0000}"/>
    <cellStyle name="Note 6 3" xfId="55819" xr:uid="{00000000-0005-0000-0000-00000ADA0000}"/>
    <cellStyle name="Note 7" xfId="55820" xr:uid="{00000000-0005-0000-0000-00000BDA0000}"/>
    <cellStyle name="Note 7 2" xfId="55821" xr:uid="{00000000-0005-0000-0000-00000CDA0000}"/>
    <cellStyle name="Note 7 3" xfId="55822" xr:uid="{00000000-0005-0000-0000-00000DDA0000}"/>
    <cellStyle name="Note 8" xfId="55823" xr:uid="{00000000-0005-0000-0000-00000EDA0000}"/>
    <cellStyle name="Note 8 2" xfId="55824" xr:uid="{00000000-0005-0000-0000-00000FDA0000}"/>
    <cellStyle name="Note 8 3" xfId="55825" xr:uid="{00000000-0005-0000-0000-000010DA0000}"/>
    <cellStyle name="Note 9" xfId="55826" xr:uid="{00000000-0005-0000-0000-000011DA0000}"/>
    <cellStyle name="Note 9 2" xfId="55827" xr:uid="{00000000-0005-0000-0000-000012DA0000}"/>
    <cellStyle name="Note 9 3" xfId="55828" xr:uid="{00000000-0005-0000-0000-000013DA0000}"/>
    <cellStyle name="Output 10" xfId="55829" xr:uid="{00000000-0005-0000-0000-000014DA0000}"/>
    <cellStyle name="Output 10 2" xfId="55830" xr:uid="{00000000-0005-0000-0000-000015DA0000}"/>
    <cellStyle name="Output 10 3" xfId="55831" xr:uid="{00000000-0005-0000-0000-000016DA0000}"/>
    <cellStyle name="Output 11" xfId="55832" xr:uid="{00000000-0005-0000-0000-000017DA0000}"/>
    <cellStyle name="Output 11 2" xfId="55833" xr:uid="{00000000-0005-0000-0000-000018DA0000}"/>
    <cellStyle name="Output 11 3" xfId="55834" xr:uid="{00000000-0005-0000-0000-000019DA0000}"/>
    <cellStyle name="Output 12" xfId="55835" xr:uid="{00000000-0005-0000-0000-00001ADA0000}"/>
    <cellStyle name="Output 12 2" xfId="55836" xr:uid="{00000000-0005-0000-0000-00001BDA0000}"/>
    <cellStyle name="Output 12 3" xfId="55837" xr:uid="{00000000-0005-0000-0000-00001CDA0000}"/>
    <cellStyle name="Output 13" xfId="55838" xr:uid="{00000000-0005-0000-0000-00001DDA0000}"/>
    <cellStyle name="Output 13 2" xfId="55839" xr:uid="{00000000-0005-0000-0000-00001EDA0000}"/>
    <cellStyle name="Output 13 3" xfId="55840" xr:uid="{00000000-0005-0000-0000-00001FDA0000}"/>
    <cellStyle name="Output 14" xfId="55841" xr:uid="{00000000-0005-0000-0000-000020DA0000}"/>
    <cellStyle name="Output 14 2" xfId="55842" xr:uid="{00000000-0005-0000-0000-000021DA0000}"/>
    <cellStyle name="Output 14 3" xfId="55843" xr:uid="{00000000-0005-0000-0000-000022DA0000}"/>
    <cellStyle name="Output 15" xfId="55844" xr:uid="{00000000-0005-0000-0000-000023DA0000}"/>
    <cellStyle name="Output 15 2" xfId="55845" xr:uid="{00000000-0005-0000-0000-000024DA0000}"/>
    <cellStyle name="Output 15 3" xfId="55846" xr:uid="{00000000-0005-0000-0000-000025DA0000}"/>
    <cellStyle name="Output 15 4" xfId="55847" xr:uid="{00000000-0005-0000-0000-000026DA0000}"/>
    <cellStyle name="Output 15 5" xfId="55848" xr:uid="{00000000-0005-0000-0000-000027DA0000}"/>
    <cellStyle name="Output 15 6" xfId="55849" xr:uid="{00000000-0005-0000-0000-000028DA0000}"/>
    <cellStyle name="Output 15 7" xfId="55850" xr:uid="{00000000-0005-0000-0000-000029DA0000}"/>
    <cellStyle name="Output 16" xfId="55851" xr:uid="{00000000-0005-0000-0000-00002ADA0000}"/>
    <cellStyle name="Output 17" xfId="55852" xr:uid="{00000000-0005-0000-0000-00002BDA0000}"/>
    <cellStyle name="Output 18" xfId="55853" xr:uid="{00000000-0005-0000-0000-00002CDA0000}"/>
    <cellStyle name="Output 19" xfId="55854" xr:uid="{00000000-0005-0000-0000-00002DDA0000}"/>
    <cellStyle name="Output 2" xfId="55855" xr:uid="{00000000-0005-0000-0000-00002EDA0000}"/>
    <cellStyle name="Output 2 10" xfId="55856" xr:uid="{00000000-0005-0000-0000-00002FDA0000}"/>
    <cellStyle name="Output 2 11" xfId="55857" xr:uid="{00000000-0005-0000-0000-000030DA0000}"/>
    <cellStyle name="Output 2 12" xfId="55858" xr:uid="{00000000-0005-0000-0000-000031DA0000}"/>
    <cellStyle name="Output 2 13" xfId="55859" xr:uid="{00000000-0005-0000-0000-000032DA0000}"/>
    <cellStyle name="Output 2 14" xfId="55860" xr:uid="{00000000-0005-0000-0000-000033DA0000}"/>
    <cellStyle name="Output 2 2" xfId="55861" xr:uid="{00000000-0005-0000-0000-000034DA0000}"/>
    <cellStyle name="Output 2 3" xfId="55862" xr:uid="{00000000-0005-0000-0000-000035DA0000}"/>
    <cellStyle name="Output 2 4" xfId="55863" xr:uid="{00000000-0005-0000-0000-000036DA0000}"/>
    <cellStyle name="Output 2 5" xfId="55864" xr:uid="{00000000-0005-0000-0000-000037DA0000}"/>
    <cellStyle name="Output 2 6" xfId="55865" xr:uid="{00000000-0005-0000-0000-000038DA0000}"/>
    <cellStyle name="Output 2 7" xfId="55866" xr:uid="{00000000-0005-0000-0000-000039DA0000}"/>
    <cellStyle name="Output 2 8" xfId="55867" xr:uid="{00000000-0005-0000-0000-00003ADA0000}"/>
    <cellStyle name="Output 2 9" xfId="55868" xr:uid="{00000000-0005-0000-0000-00003BDA0000}"/>
    <cellStyle name="Output 20" xfId="55869" xr:uid="{00000000-0005-0000-0000-00003CDA0000}"/>
    <cellStyle name="Output 21" xfId="55870" xr:uid="{00000000-0005-0000-0000-00003DDA0000}"/>
    <cellStyle name="Output 22" xfId="55871" xr:uid="{00000000-0005-0000-0000-00003EDA0000}"/>
    <cellStyle name="Output 23" xfId="55872" xr:uid="{00000000-0005-0000-0000-00003FDA0000}"/>
    <cellStyle name="Output 24" xfId="55873" xr:uid="{00000000-0005-0000-0000-000040DA0000}"/>
    <cellStyle name="Output 25" xfId="55874" xr:uid="{00000000-0005-0000-0000-000041DA0000}"/>
    <cellStyle name="Output 26" xfId="55875" xr:uid="{00000000-0005-0000-0000-000042DA0000}"/>
    <cellStyle name="Output 27" xfId="55876" xr:uid="{00000000-0005-0000-0000-000043DA0000}"/>
    <cellStyle name="Output 28" xfId="55877" xr:uid="{00000000-0005-0000-0000-000044DA0000}"/>
    <cellStyle name="Output 29" xfId="55878" xr:uid="{00000000-0005-0000-0000-000045DA0000}"/>
    <cellStyle name="Output 3" xfId="55879" xr:uid="{00000000-0005-0000-0000-000046DA0000}"/>
    <cellStyle name="Output 3 2" xfId="55880" xr:uid="{00000000-0005-0000-0000-000047DA0000}"/>
    <cellStyle name="Output 3 3" xfId="55881" xr:uid="{00000000-0005-0000-0000-000048DA0000}"/>
    <cellStyle name="Output 30" xfId="55882" xr:uid="{00000000-0005-0000-0000-000049DA0000}"/>
    <cellStyle name="Output 31" xfId="55883" xr:uid="{00000000-0005-0000-0000-00004ADA0000}"/>
    <cellStyle name="Output 32" xfId="55884" xr:uid="{00000000-0005-0000-0000-00004BDA0000}"/>
    <cellStyle name="Output 33" xfId="55885" xr:uid="{00000000-0005-0000-0000-00004CDA0000}"/>
    <cellStyle name="Output 34" xfId="55886" xr:uid="{00000000-0005-0000-0000-00004DDA0000}"/>
    <cellStyle name="Output 4" xfId="55887" xr:uid="{00000000-0005-0000-0000-00004EDA0000}"/>
    <cellStyle name="Output 4 2" xfId="55888" xr:uid="{00000000-0005-0000-0000-00004FDA0000}"/>
    <cellStyle name="Output 4 3" xfId="55889" xr:uid="{00000000-0005-0000-0000-000050DA0000}"/>
    <cellStyle name="Output 5" xfId="55890" xr:uid="{00000000-0005-0000-0000-000051DA0000}"/>
    <cellStyle name="Output 5 2" xfId="55891" xr:uid="{00000000-0005-0000-0000-000052DA0000}"/>
    <cellStyle name="Output 5 3" xfId="55892" xr:uid="{00000000-0005-0000-0000-000053DA0000}"/>
    <cellStyle name="Output 6" xfId="55893" xr:uid="{00000000-0005-0000-0000-000054DA0000}"/>
    <cellStyle name="Output 6 2" xfId="55894" xr:uid="{00000000-0005-0000-0000-000055DA0000}"/>
    <cellStyle name="Output 6 3" xfId="55895" xr:uid="{00000000-0005-0000-0000-000056DA0000}"/>
    <cellStyle name="Output 7" xfId="55896" xr:uid="{00000000-0005-0000-0000-000057DA0000}"/>
    <cellStyle name="Output 7 2" xfId="55897" xr:uid="{00000000-0005-0000-0000-000058DA0000}"/>
    <cellStyle name="Output 7 3" xfId="55898" xr:uid="{00000000-0005-0000-0000-000059DA0000}"/>
    <cellStyle name="Output 8" xfId="55899" xr:uid="{00000000-0005-0000-0000-00005ADA0000}"/>
    <cellStyle name="Output 8 2" xfId="55900" xr:uid="{00000000-0005-0000-0000-00005BDA0000}"/>
    <cellStyle name="Output 8 3" xfId="55901" xr:uid="{00000000-0005-0000-0000-00005CDA0000}"/>
    <cellStyle name="Output 9" xfId="55902" xr:uid="{00000000-0005-0000-0000-00005DDA0000}"/>
    <cellStyle name="Output 9 2" xfId="55903" xr:uid="{00000000-0005-0000-0000-00005EDA0000}"/>
    <cellStyle name="Output 9 3" xfId="55904" xr:uid="{00000000-0005-0000-0000-00005FDA0000}"/>
    <cellStyle name="Percent" xfId="6" builtinId="5"/>
    <cellStyle name="Percent 10" xfId="55905" xr:uid="{00000000-0005-0000-0000-000061DA0000}"/>
    <cellStyle name="Percent 10 10" xfId="55906" xr:uid="{00000000-0005-0000-0000-000062DA0000}"/>
    <cellStyle name="Percent 10 11" xfId="55907" xr:uid="{00000000-0005-0000-0000-000063DA0000}"/>
    <cellStyle name="Percent 10 2" xfId="55908" xr:uid="{00000000-0005-0000-0000-000064DA0000}"/>
    <cellStyle name="Percent 10 2 10" xfId="55909" xr:uid="{00000000-0005-0000-0000-000065DA0000}"/>
    <cellStyle name="Percent 10 2 11" xfId="55910" xr:uid="{00000000-0005-0000-0000-000066DA0000}"/>
    <cellStyle name="Percent 10 2 12" xfId="55911" xr:uid="{00000000-0005-0000-0000-000067DA0000}"/>
    <cellStyle name="Percent 10 2 13" xfId="55912" xr:uid="{00000000-0005-0000-0000-000068DA0000}"/>
    <cellStyle name="Percent 10 2 14" xfId="55913" xr:uid="{00000000-0005-0000-0000-000069DA0000}"/>
    <cellStyle name="Percent 10 2 15" xfId="55914" xr:uid="{00000000-0005-0000-0000-00006ADA0000}"/>
    <cellStyle name="Percent 10 2 16" xfId="55915" xr:uid="{00000000-0005-0000-0000-00006BDA0000}"/>
    <cellStyle name="Percent 10 2 17" xfId="55916" xr:uid="{00000000-0005-0000-0000-00006CDA0000}"/>
    <cellStyle name="Percent 10 2 18" xfId="55917" xr:uid="{00000000-0005-0000-0000-00006DDA0000}"/>
    <cellStyle name="Percent 10 2 2" xfId="55918" xr:uid="{00000000-0005-0000-0000-00006EDA0000}"/>
    <cellStyle name="Percent 10 2 2 2" xfId="55919" xr:uid="{00000000-0005-0000-0000-00006FDA0000}"/>
    <cellStyle name="Percent 10 2 2 2 2" xfId="55920" xr:uid="{00000000-0005-0000-0000-000070DA0000}"/>
    <cellStyle name="Percent 10 2 2 2 3" xfId="55921" xr:uid="{00000000-0005-0000-0000-000071DA0000}"/>
    <cellStyle name="Percent 10 2 2 3" xfId="55922" xr:uid="{00000000-0005-0000-0000-000072DA0000}"/>
    <cellStyle name="Percent 10 2 2 4" xfId="55923" xr:uid="{00000000-0005-0000-0000-000073DA0000}"/>
    <cellStyle name="Percent 10 2 3" xfId="55924" xr:uid="{00000000-0005-0000-0000-000074DA0000}"/>
    <cellStyle name="Percent 10 2 4" xfId="55925" xr:uid="{00000000-0005-0000-0000-000075DA0000}"/>
    <cellStyle name="Percent 10 2 5" xfId="55926" xr:uid="{00000000-0005-0000-0000-000076DA0000}"/>
    <cellStyle name="Percent 10 2 6" xfId="55927" xr:uid="{00000000-0005-0000-0000-000077DA0000}"/>
    <cellStyle name="Percent 10 2 6 2" xfId="55928" xr:uid="{00000000-0005-0000-0000-000078DA0000}"/>
    <cellStyle name="Percent 10 2 6 2 2" xfId="55929" xr:uid="{00000000-0005-0000-0000-000079DA0000}"/>
    <cellStyle name="Percent 10 2 6 2 3" xfId="55930" xr:uid="{00000000-0005-0000-0000-00007ADA0000}"/>
    <cellStyle name="Percent 10 2 6 3" xfId="55931" xr:uid="{00000000-0005-0000-0000-00007BDA0000}"/>
    <cellStyle name="Percent 10 2 7" xfId="55932" xr:uid="{00000000-0005-0000-0000-00007CDA0000}"/>
    <cellStyle name="Percent 10 2 8" xfId="55933" xr:uid="{00000000-0005-0000-0000-00007DDA0000}"/>
    <cellStyle name="Percent 10 2 9" xfId="55934" xr:uid="{00000000-0005-0000-0000-00007EDA0000}"/>
    <cellStyle name="Percent 10 3" xfId="55935" xr:uid="{00000000-0005-0000-0000-00007FDA0000}"/>
    <cellStyle name="Percent 10 4" xfId="55936" xr:uid="{00000000-0005-0000-0000-000080DA0000}"/>
    <cellStyle name="Percent 10 5" xfId="55937" xr:uid="{00000000-0005-0000-0000-000081DA0000}"/>
    <cellStyle name="Percent 10 6" xfId="55938" xr:uid="{00000000-0005-0000-0000-000082DA0000}"/>
    <cellStyle name="Percent 10 7" xfId="55939" xr:uid="{00000000-0005-0000-0000-000083DA0000}"/>
    <cellStyle name="Percent 10 8" xfId="55940" xr:uid="{00000000-0005-0000-0000-000084DA0000}"/>
    <cellStyle name="Percent 10 9" xfId="55941" xr:uid="{00000000-0005-0000-0000-000085DA0000}"/>
    <cellStyle name="Percent 101" xfId="55942" xr:uid="{00000000-0005-0000-0000-000086DA0000}"/>
    <cellStyle name="Percent 11" xfId="55943" xr:uid="{00000000-0005-0000-0000-000087DA0000}"/>
    <cellStyle name="Percent 11 2" xfId="55944" xr:uid="{00000000-0005-0000-0000-000088DA0000}"/>
    <cellStyle name="Percent 12" xfId="55945" xr:uid="{00000000-0005-0000-0000-000089DA0000}"/>
    <cellStyle name="Percent 12 2" xfId="55946" xr:uid="{00000000-0005-0000-0000-00008ADA0000}"/>
    <cellStyle name="Percent 13" xfId="55947" xr:uid="{00000000-0005-0000-0000-00008BDA0000}"/>
    <cellStyle name="Percent 13 2" xfId="55948" xr:uid="{00000000-0005-0000-0000-00008CDA0000}"/>
    <cellStyle name="Percent 14" xfId="55949" xr:uid="{00000000-0005-0000-0000-00008DDA0000}"/>
    <cellStyle name="Percent 14 2" xfId="55950" xr:uid="{00000000-0005-0000-0000-00008EDA0000}"/>
    <cellStyle name="Percent 15" xfId="55951" xr:uid="{00000000-0005-0000-0000-00008FDA0000}"/>
    <cellStyle name="Percent 15 2" xfId="55952" xr:uid="{00000000-0005-0000-0000-000090DA0000}"/>
    <cellStyle name="Percent 16" xfId="55953" xr:uid="{00000000-0005-0000-0000-000091DA0000}"/>
    <cellStyle name="Percent 16 2" xfId="55954" xr:uid="{00000000-0005-0000-0000-000092DA0000}"/>
    <cellStyle name="Percent 17" xfId="55955" xr:uid="{00000000-0005-0000-0000-000093DA0000}"/>
    <cellStyle name="Percent 17 2" xfId="55956" xr:uid="{00000000-0005-0000-0000-000094DA0000}"/>
    <cellStyle name="Percent 18" xfId="55957" xr:uid="{00000000-0005-0000-0000-000095DA0000}"/>
    <cellStyle name="Percent 18 2" xfId="55958" xr:uid="{00000000-0005-0000-0000-000096DA0000}"/>
    <cellStyle name="Percent 19" xfId="55959" xr:uid="{00000000-0005-0000-0000-000097DA0000}"/>
    <cellStyle name="Percent 19 2" xfId="55960" xr:uid="{00000000-0005-0000-0000-000098DA0000}"/>
    <cellStyle name="Percent 2" xfId="31" xr:uid="{00000000-0005-0000-0000-000099DA0000}"/>
    <cellStyle name="Percent 2 10" xfId="55962" xr:uid="{00000000-0005-0000-0000-00009ADA0000}"/>
    <cellStyle name="Percent 2 11" xfId="55963" xr:uid="{00000000-0005-0000-0000-00009BDA0000}"/>
    <cellStyle name="Percent 2 12" xfId="55964" xr:uid="{00000000-0005-0000-0000-00009CDA0000}"/>
    <cellStyle name="Percent 2 13" xfId="55965" xr:uid="{00000000-0005-0000-0000-00009DDA0000}"/>
    <cellStyle name="Percent 2 14" xfId="55966" xr:uid="{00000000-0005-0000-0000-00009EDA0000}"/>
    <cellStyle name="Percent 2 15" xfId="55967" xr:uid="{00000000-0005-0000-0000-00009FDA0000}"/>
    <cellStyle name="Percent 2 16" xfId="55968" xr:uid="{00000000-0005-0000-0000-0000A0DA0000}"/>
    <cellStyle name="Percent 2 17" xfId="55969" xr:uid="{00000000-0005-0000-0000-0000A1DA0000}"/>
    <cellStyle name="Percent 2 18" xfId="55970" xr:uid="{00000000-0005-0000-0000-0000A2DA0000}"/>
    <cellStyle name="Percent 2 19" xfId="55971" xr:uid="{00000000-0005-0000-0000-0000A3DA0000}"/>
    <cellStyle name="Percent 2 2" xfId="55972" xr:uid="{00000000-0005-0000-0000-0000A4DA0000}"/>
    <cellStyle name="Percent 2 2 10" xfId="55973" xr:uid="{00000000-0005-0000-0000-0000A5DA0000}"/>
    <cellStyle name="Percent 2 2 10 2" xfId="55974" xr:uid="{00000000-0005-0000-0000-0000A6DA0000}"/>
    <cellStyle name="Percent 2 2 10 3" xfId="55975" xr:uid="{00000000-0005-0000-0000-0000A7DA0000}"/>
    <cellStyle name="Percent 2 2 11" xfId="55976" xr:uid="{00000000-0005-0000-0000-0000A8DA0000}"/>
    <cellStyle name="Percent 2 2 11 2" xfId="55977" xr:uid="{00000000-0005-0000-0000-0000A9DA0000}"/>
    <cellStyle name="Percent 2 2 11 3" xfId="55978" xr:uid="{00000000-0005-0000-0000-0000AADA0000}"/>
    <cellStyle name="Percent 2 2 12" xfId="55979" xr:uid="{00000000-0005-0000-0000-0000ABDA0000}"/>
    <cellStyle name="Percent 2 2 12 2" xfId="55980" xr:uid="{00000000-0005-0000-0000-0000ACDA0000}"/>
    <cellStyle name="Percent 2 2 12 3" xfId="55981" xr:uid="{00000000-0005-0000-0000-0000ADDA0000}"/>
    <cellStyle name="Percent 2 2 13" xfId="55982" xr:uid="{00000000-0005-0000-0000-0000AEDA0000}"/>
    <cellStyle name="Percent 2 2 13 2" xfId="55983" xr:uid="{00000000-0005-0000-0000-0000AFDA0000}"/>
    <cellStyle name="Percent 2 2 13 3" xfId="55984" xr:uid="{00000000-0005-0000-0000-0000B0DA0000}"/>
    <cellStyle name="Percent 2 2 14" xfId="55985" xr:uid="{00000000-0005-0000-0000-0000B1DA0000}"/>
    <cellStyle name="Percent 2 2 14 2" xfId="55986" xr:uid="{00000000-0005-0000-0000-0000B2DA0000}"/>
    <cellStyle name="Percent 2 2 14 3" xfId="55987" xr:uid="{00000000-0005-0000-0000-0000B3DA0000}"/>
    <cellStyle name="Percent 2 2 15" xfId="55988" xr:uid="{00000000-0005-0000-0000-0000B4DA0000}"/>
    <cellStyle name="Percent 2 2 16" xfId="55989" xr:uid="{00000000-0005-0000-0000-0000B5DA0000}"/>
    <cellStyle name="Percent 2 2 17" xfId="55990" xr:uid="{00000000-0005-0000-0000-0000B6DA0000}"/>
    <cellStyle name="Percent 2 2 18" xfId="55991" xr:uid="{00000000-0005-0000-0000-0000B7DA0000}"/>
    <cellStyle name="Percent 2 2 19" xfId="55992" xr:uid="{00000000-0005-0000-0000-0000B8DA0000}"/>
    <cellStyle name="Percent 2 2 2" xfId="55993" xr:uid="{00000000-0005-0000-0000-0000B9DA0000}"/>
    <cellStyle name="Percent 2 2 2 10" xfId="55994" xr:uid="{00000000-0005-0000-0000-0000BADA0000}"/>
    <cellStyle name="Percent 2 2 2 2" xfId="55995" xr:uid="{00000000-0005-0000-0000-0000BBDA0000}"/>
    <cellStyle name="Percent 2 2 2 3" xfId="55996" xr:uid="{00000000-0005-0000-0000-0000BCDA0000}"/>
    <cellStyle name="Percent 2 2 2 4" xfId="55997" xr:uid="{00000000-0005-0000-0000-0000BDDA0000}"/>
    <cellStyle name="Percent 2 2 2 5" xfId="55998" xr:uid="{00000000-0005-0000-0000-0000BEDA0000}"/>
    <cellStyle name="Percent 2 2 2 6" xfId="55999" xr:uid="{00000000-0005-0000-0000-0000BFDA0000}"/>
    <cellStyle name="Percent 2 2 2 7" xfId="56000" xr:uid="{00000000-0005-0000-0000-0000C0DA0000}"/>
    <cellStyle name="Percent 2 2 2 8" xfId="56001" xr:uid="{00000000-0005-0000-0000-0000C1DA0000}"/>
    <cellStyle name="Percent 2 2 2 9" xfId="56002" xr:uid="{00000000-0005-0000-0000-0000C2DA0000}"/>
    <cellStyle name="Percent 2 2 20" xfId="56003" xr:uid="{00000000-0005-0000-0000-0000C3DA0000}"/>
    <cellStyle name="Percent 2 2 21" xfId="56004" xr:uid="{00000000-0005-0000-0000-0000C4DA0000}"/>
    <cellStyle name="Percent 2 2 22" xfId="56005" xr:uid="{00000000-0005-0000-0000-0000C5DA0000}"/>
    <cellStyle name="Percent 2 2 22 2" xfId="56006" xr:uid="{00000000-0005-0000-0000-0000C6DA0000}"/>
    <cellStyle name="Percent 2 2 22 2 2" xfId="56007" xr:uid="{00000000-0005-0000-0000-0000C7DA0000}"/>
    <cellStyle name="Percent 2 2 22 2 3" xfId="56008" xr:uid="{00000000-0005-0000-0000-0000C8DA0000}"/>
    <cellStyle name="Percent 2 2 22 3" xfId="56009" xr:uid="{00000000-0005-0000-0000-0000C9DA0000}"/>
    <cellStyle name="Percent 2 2 23" xfId="56010" xr:uid="{00000000-0005-0000-0000-0000CADA0000}"/>
    <cellStyle name="Percent 2 2 23 2" xfId="56011" xr:uid="{00000000-0005-0000-0000-0000CBDA0000}"/>
    <cellStyle name="Percent 2 2 23 2 2" xfId="56012" xr:uid="{00000000-0005-0000-0000-0000CCDA0000}"/>
    <cellStyle name="Percent 2 2 23 2 3" xfId="56013" xr:uid="{00000000-0005-0000-0000-0000CDDA0000}"/>
    <cellStyle name="Percent 2 2 23 3" xfId="56014" xr:uid="{00000000-0005-0000-0000-0000CEDA0000}"/>
    <cellStyle name="Percent 2 2 24" xfId="56015" xr:uid="{00000000-0005-0000-0000-0000CFDA0000}"/>
    <cellStyle name="Percent 2 2 25" xfId="56016" xr:uid="{00000000-0005-0000-0000-0000D0DA0000}"/>
    <cellStyle name="Percent 2 2 26" xfId="56017" xr:uid="{00000000-0005-0000-0000-0000D1DA0000}"/>
    <cellStyle name="Percent 2 2 27" xfId="56018" xr:uid="{00000000-0005-0000-0000-0000D2DA0000}"/>
    <cellStyle name="Percent 2 2 28" xfId="56019" xr:uid="{00000000-0005-0000-0000-0000D3DA0000}"/>
    <cellStyle name="Percent 2 2 29" xfId="56020" xr:uid="{00000000-0005-0000-0000-0000D4DA0000}"/>
    <cellStyle name="Percent 2 2 3" xfId="56021" xr:uid="{00000000-0005-0000-0000-0000D5DA0000}"/>
    <cellStyle name="Percent 2 2 3 2" xfId="56022" xr:uid="{00000000-0005-0000-0000-0000D6DA0000}"/>
    <cellStyle name="Percent 2 2 3 3" xfId="56023" xr:uid="{00000000-0005-0000-0000-0000D7DA0000}"/>
    <cellStyle name="Percent 2 2 30" xfId="56024" xr:uid="{00000000-0005-0000-0000-0000D8DA0000}"/>
    <cellStyle name="Percent 2 2 31" xfId="56025" xr:uid="{00000000-0005-0000-0000-0000D9DA0000}"/>
    <cellStyle name="Percent 2 2 32" xfId="56026" xr:uid="{00000000-0005-0000-0000-0000DADA0000}"/>
    <cellStyle name="Percent 2 2 33" xfId="56027" xr:uid="{00000000-0005-0000-0000-0000DBDA0000}"/>
    <cellStyle name="Percent 2 2 34" xfId="56028" xr:uid="{00000000-0005-0000-0000-0000DCDA0000}"/>
    <cellStyle name="Percent 2 2 4" xfId="56029" xr:uid="{00000000-0005-0000-0000-0000DDDA0000}"/>
    <cellStyle name="Percent 2 2 4 2" xfId="56030" xr:uid="{00000000-0005-0000-0000-0000DEDA0000}"/>
    <cellStyle name="Percent 2 2 4 3" xfId="56031" xr:uid="{00000000-0005-0000-0000-0000DFDA0000}"/>
    <cellStyle name="Percent 2 2 5" xfId="56032" xr:uid="{00000000-0005-0000-0000-0000E0DA0000}"/>
    <cellStyle name="Percent 2 2 5 2" xfId="56033" xr:uid="{00000000-0005-0000-0000-0000E1DA0000}"/>
    <cellStyle name="Percent 2 2 5 3" xfId="56034" xr:uid="{00000000-0005-0000-0000-0000E2DA0000}"/>
    <cellStyle name="Percent 2 2 6" xfId="56035" xr:uid="{00000000-0005-0000-0000-0000E3DA0000}"/>
    <cellStyle name="Percent 2 2 6 2" xfId="56036" xr:uid="{00000000-0005-0000-0000-0000E4DA0000}"/>
    <cellStyle name="Percent 2 2 6 3" xfId="56037" xr:uid="{00000000-0005-0000-0000-0000E5DA0000}"/>
    <cellStyle name="Percent 2 2 7" xfId="56038" xr:uid="{00000000-0005-0000-0000-0000E6DA0000}"/>
    <cellStyle name="Percent 2 2 7 2" xfId="56039" xr:uid="{00000000-0005-0000-0000-0000E7DA0000}"/>
    <cellStyle name="Percent 2 2 7 3" xfId="56040" xr:uid="{00000000-0005-0000-0000-0000E8DA0000}"/>
    <cellStyle name="Percent 2 2 8" xfId="56041" xr:uid="{00000000-0005-0000-0000-0000E9DA0000}"/>
    <cellStyle name="Percent 2 2 8 2" xfId="56042" xr:uid="{00000000-0005-0000-0000-0000EADA0000}"/>
    <cellStyle name="Percent 2 2 8 3" xfId="56043" xr:uid="{00000000-0005-0000-0000-0000EBDA0000}"/>
    <cellStyle name="Percent 2 2 9" xfId="56044" xr:uid="{00000000-0005-0000-0000-0000ECDA0000}"/>
    <cellStyle name="Percent 2 2 9 2" xfId="56045" xr:uid="{00000000-0005-0000-0000-0000EDDA0000}"/>
    <cellStyle name="Percent 2 2 9 3" xfId="56046" xr:uid="{00000000-0005-0000-0000-0000EEDA0000}"/>
    <cellStyle name="Percent 2 20" xfId="56047" xr:uid="{00000000-0005-0000-0000-0000EFDA0000}"/>
    <cellStyle name="Percent 2 21" xfId="56048" xr:uid="{00000000-0005-0000-0000-0000F0DA0000}"/>
    <cellStyle name="Percent 2 22" xfId="56049" xr:uid="{00000000-0005-0000-0000-0000F1DA0000}"/>
    <cellStyle name="Percent 2 23" xfId="56050" xr:uid="{00000000-0005-0000-0000-0000F2DA0000}"/>
    <cellStyle name="Percent 2 24" xfId="56051" xr:uid="{00000000-0005-0000-0000-0000F3DA0000}"/>
    <cellStyle name="Percent 2 25" xfId="56052" xr:uid="{00000000-0005-0000-0000-0000F4DA0000}"/>
    <cellStyle name="Percent 2 26" xfId="56053" xr:uid="{00000000-0005-0000-0000-0000F5DA0000}"/>
    <cellStyle name="Percent 2 27" xfId="56054" xr:uid="{00000000-0005-0000-0000-0000F6DA0000}"/>
    <cellStyle name="Percent 2 27 10" xfId="56055" xr:uid="{00000000-0005-0000-0000-0000F7DA0000}"/>
    <cellStyle name="Percent 2 27 11" xfId="56056" xr:uid="{00000000-0005-0000-0000-0000F8DA0000}"/>
    <cellStyle name="Percent 2 27 12" xfId="56057" xr:uid="{00000000-0005-0000-0000-0000F9DA0000}"/>
    <cellStyle name="Percent 2 27 13" xfId="56058" xr:uid="{00000000-0005-0000-0000-0000FADA0000}"/>
    <cellStyle name="Percent 2 27 14" xfId="56059" xr:uid="{00000000-0005-0000-0000-0000FBDA0000}"/>
    <cellStyle name="Percent 2 27 2" xfId="56060" xr:uid="{00000000-0005-0000-0000-0000FCDA0000}"/>
    <cellStyle name="Percent 2 27 2 2" xfId="56061" xr:uid="{00000000-0005-0000-0000-0000FDDA0000}"/>
    <cellStyle name="Percent 2 27 2 2 2" xfId="56062" xr:uid="{00000000-0005-0000-0000-0000FEDA0000}"/>
    <cellStyle name="Percent 2 27 2 2 3" xfId="56063" xr:uid="{00000000-0005-0000-0000-0000FFDA0000}"/>
    <cellStyle name="Percent 2 27 2 3" xfId="56064" xr:uid="{00000000-0005-0000-0000-000000DB0000}"/>
    <cellStyle name="Percent 2 27 3" xfId="56065" xr:uid="{00000000-0005-0000-0000-000001DB0000}"/>
    <cellStyle name="Percent 2 27 4" xfId="56066" xr:uid="{00000000-0005-0000-0000-000002DB0000}"/>
    <cellStyle name="Percent 2 27 5" xfId="56067" xr:uid="{00000000-0005-0000-0000-000003DB0000}"/>
    <cellStyle name="Percent 2 27 6" xfId="56068" xr:uid="{00000000-0005-0000-0000-000004DB0000}"/>
    <cellStyle name="Percent 2 27 7" xfId="56069" xr:uid="{00000000-0005-0000-0000-000005DB0000}"/>
    <cellStyle name="Percent 2 27 8" xfId="56070" xr:uid="{00000000-0005-0000-0000-000006DB0000}"/>
    <cellStyle name="Percent 2 27 9" xfId="56071" xr:uid="{00000000-0005-0000-0000-000007DB0000}"/>
    <cellStyle name="Percent 2 28" xfId="56072" xr:uid="{00000000-0005-0000-0000-000008DB0000}"/>
    <cellStyle name="Percent 2 28 2" xfId="56073" xr:uid="{00000000-0005-0000-0000-000009DB0000}"/>
    <cellStyle name="Percent 2 28 2 2" xfId="56074" xr:uid="{00000000-0005-0000-0000-00000ADB0000}"/>
    <cellStyle name="Percent 2 28 2 3" xfId="56075" xr:uid="{00000000-0005-0000-0000-00000BDB0000}"/>
    <cellStyle name="Percent 2 28 3" xfId="56076" xr:uid="{00000000-0005-0000-0000-00000CDB0000}"/>
    <cellStyle name="Percent 2 29" xfId="56077" xr:uid="{00000000-0005-0000-0000-00000DDB0000}"/>
    <cellStyle name="Percent 2 29 2" xfId="56078" xr:uid="{00000000-0005-0000-0000-00000EDB0000}"/>
    <cellStyle name="Percent 2 29 2 2" xfId="56079" xr:uid="{00000000-0005-0000-0000-00000FDB0000}"/>
    <cellStyle name="Percent 2 29 2 3" xfId="56080" xr:uid="{00000000-0005-0000-0000-000010DB0000}"/>
    <cellStyle name="Percent 2 29 3" xfId="56081" xr:uid="{00000000-0005-0000-0000-000011DB0000}"/>
    <cellStyle name="Percent 2 3" xfId="56082" xr:uid="{00000000-0005-0000-0000-000012DB0000}"/>
    <cellStyle name="Percent 2 3 10" xfId="56083" xr:uid="{00000000-0005-0000-0000-000013DB0000}"/>
    <cellStyle name="Percent 2 3 11" xfId="56084" xr:uid="{00000000-0005-0000-0000-000014DB0000}"/>
    <cellStyle name="Percent 2 3 11 2" xfId="56085" xr:uid="{00000000-0005-0000-0000-000015DB0000}"/>
    <cellStyle name="Percent 2 3 11 2 2" xfId="56086" xr:uid="{00000000-0005-0000-0000-000016DB0000}"/>
    <cellStyle name="Percent 2 3 11 2 3" xfId="56087" xr:uid="{00000000-0005-0000-0000-000017DB0000}"/>
    <cellStyle name="Percent 2 3 11 3" xfId="56088" xr:uid="{00000000-0005-0000-0000-000018DB0000}"/>
    <cellStyle name="Percent 2 3 12" xfId="56089" xr:uid="{00000000-0005-0000-0000-000019DB0000}"/>
    <cellStyle name="Percent 2 3 12 2" xfId="56090" xr:uid="{00000000-0005-0000-0000-00001ADB0000}"/>
    <cellStyle name="Percent 2 3 12 2 2" xfId="56091" xr:uid="{00000000-0005-0000-0000-00001BDB0000}"/>
    <cellStyle name="Percent 2 3 12 2 3" xfId="56092" xr:uid="{00000000-0005-0000-0000-00001CDB0000}"/>
    <cellStyle name="Percent 2 3 12 3" xfId="56093" xr:uid="{00000000-0005-0000-0000-00001DDB0000}"/>
    <cellStyle name="Percent 2 3 13" xfId="56094" xr:uid="{00000000-0005-0000-0000-00001EDB0000}"/>
    <cellStyle name="Percent 2 3 14" xfId="56095" xr:uid="{00000000-0005-0000-0000-00001FDB0000}"/>
    <cellStyle name="Percent 2 3 15" xfId="56096" xr:uid="{00000000-0005-0000-0000-000020DB0000}"/>
    <cellStyle name="Percent 2 3 16" xfId="56097" xr:uid="{00000000-0005-0000-0000-000021DB0000}"/>
    <cellStyle name="Percent 2 3 17" xfId="56098" xr:uid="{00000000-0005-0000-0000-000022DB0000}"/>
    <cellStyle name="Percent 2 3 18" xfId="56099" xr:uid="{00000000-0005-0000-0000-000023DB0000}"/>
    <cellStyle name="Percent 2 3 19" xfId="56100" xr:uid="{00000000-0005-0000-0000-000024DB0000}"/>
    <cellStyle name="Percent 2 3 2" xfId="56101" xr:uid="{00000000-0005-0000-0000-000025DB0000}"/>
    <cellStyle name="Percent 2 3 20" xfId="56102" xr:uid="{00000000-0005-0000-0000-000026DB0000}"/>
    <cellStyle name="Percent 2 3 21" xfId="56103" xr:uid="{00000000-0005-0000-0000-000027DB0000}"/>
    <cellStyle name="Percent 2 3 22" xfId="56104" xr:uid="{00000000-0005-0000-0000-000028DB0000}"/>
    <cellStyle name="Percent 2 3 23" xfId="56105" xr:uid="{00000000-0005-0000-0000-000029DB0000}"/>
    <cellStyle name="Percent 2 3 3" xfId="56106" xr:uid="{00000000-0005-0000-0000-00002ADB0000}"/>
    <cellStyle name="Percent 2 3 4" xfId="56107" xr:uid="{00000000-0005-0000-0000-00002BDB0000}"/>
    <cellStyle name="Percent 2 3 5" xfId="56108" xr:uid="{00000000-0005-0000-0000-00002CDB0000}"/>
    <cellStyle name="Percent 2 3 6" xfId="56109" xr:uid="{00000000-0005-0000-0000-00002DDB0000}"/>
    <cellStyle name="Percent 2 3 7" xfId="56110" xr:uid="{00000000-0005-0000-0000-00002EDB0000}"/>
    <cellStyle name="Percent 2 3 8" xfId="56111" xr:uid="{00000000-0005-0000-0000-00002FDB0000}"/>
    <cellStyle name="Percent 2 3 9" xfId="56112" xr:uid="{00000000-0005-0000-0000-000030DB0000}"/>
    <cellStyle name="Percent 2 30" xfId="56113" xr:uid="{00000000-0005-0000-0000-000031DB0000}"/>
    <cellStyle name="Percent 2 30 2" xfId="56114" xr:uid="{00000000-0005-0000-0000-000032DB0000}"/>
    <cellStyle name="Percent 2 30 3" xfId="56115" xr:uid="{00000000-0005-0000-0000-000033DB0000}"/>
    <cellStyle name="Percent 2 31" xfId="56116" xr:uid="{00000000-0005-0000-0000-000034DB0000}"/>
    <cellStyle name="Percent 2 31 2" xfId="56117" xr:uid="{00000000-0005-0000-0000-000035DB0000}"/>
    <cellStyle name="Percent 2 31 3" xfId="56118" xr:uid="{00000000-0005-0000-0000-000036DB0000}"/>
    <cellStyle name="Percent 2 32" xfId="56119" xr:uid="{00000000-0005-0000-0000-000037DB0000}"/>
    <cellStyle name="Percent 2 32 2" xfId="56120" xr:uid="{00000000-0005-0000-0000-000038DB0000}"/>
    <cellStyle name="Percent 2 32 3" xfId="56121" xr:uid="{00000000-0005-0000-0000-000039DB0000}"/>
    <cellStyle name="Percent 2 33" xfId="56122" xr:uid="{00000000-0005-0000-0000-00003ADB0000}"/>
    <cellStyle name="Percent 2 33 2" xfId="56123" xr:uid="{00000000-0005-0000-0000-00003BDB0000}"/>
    <cellStyle name="Percent 2 33 3" xfId="56124" xr:uid="{00000000-0005-0000-0000-00003CDB0000}"/>
    <cellStyle name="Percent 2 34" xfId="56125" xr:uid="{00000000-0005-0000-0000-00003DDB0000}"/>
    <cellStyle name="Percent 2 34 2" xfId="56126" xr:uid="{00000000-0005-0000-0000-00003EDB0000}"/>
    <cellStyle name="Percent 2 34 3" xfId="56127" xr:uid="{00000000-0005-0000-0000-00003FDB0000}"/>
    <cellStyle name="Percent 2 35" xfId="56128" xr:uid="{00000000-0005-0000-0000-000040DB0000}"/>
    <cellStyle name="Percent 2 35 2" xfId="56129" xr:uid="{00000000-0005-0000-0000-000041DB0000}"/>
    <cellStyle name="Percent 2 35 3" xfId="56130" xr:uid="{00000000-0005-0000-0000-000042DB0000}"/>
    <cellStyle name="Percent 2 36" xfId="56131" xr:uid="{00000000-0005-0000-0000-000043DB0000}"/>
    <cellStyle name="Percent 2 36 2" xfId="56132" xr:uid="{00000000-0005-0000-0000-000044DB0000}"/>
    <cellStyle name="Percent 2 36 3" xfId="56133" xr:uid="{00000000-0005-0000-0000-000045DB0000}"/>
    <cellStyle name="Percent 2 37" xfId="56134" xr:uid="{00000000-0005-0000-0000-000046DB0000}"/>
    <cellStyle name="Percent 2 37 2" xfId="56135" xr:uid="{00000000-0005-0000-0000-000047DB0000}"/>
    <cellStyle name="Percent 2 37 3" xfId="56136" xr:uid="{00000000-0005-0000-0000-000048DB0000}"/>
    <cellStyle name="Percent 2 38" xfId="56137" xr:uid="{00000000-0005-0000-0000-000049DB0000}"/>
    <cellStyle name="Percent 2 39" xfId="56138" xr:uid="{00000000-0005-0000-0000-00004ADB0000}"/>
    <cellStyle name="Percent 2 4" xfId="56139" xr:uid="{00000000-0005-0000-0000-00004BDB0000}"/>
    <cellStyle name="Percent 2 4 10" xfId="56140" xr:uid="{00000000-0005-0000-0000-00004CDB0000}"/>
    <cellStyle name="Percent 2 4 2" xfId="56141" xr:uid="{00000000-0005-0000-0000-00004DDB0000}"/>
    <cellStyle name="Percent 2 4 3" xfId="56142" xr:uid="{00000000-0005-0000-0000-00004EDB0000}"/>
    <cellStyle name="Percent 2 4 4" xfId="56143" xr:uid="{00000000-0005-0000-0000-00004FDB0000}"/>
    <cellStyle name="Percent 2 4 5" xfId="56144" xr:uid="{00000000-0005-0000-0000-000050DB0000}"/>
    <cellStyle name="Percent 2 4 6" xfId="56145" xr:uid="{00000000-0005-0000-0000-000051DB0000}"/>
    <cellStyle name="Percent 2 4 7" xfId="56146" xr:uid="{00000000-0005-0000-0000-000052DB0000}"/>
    <cellStyle name="Percent 2 4 8" xfId="56147" xr:uid="{00000000-0005-0000-0000-000053DB0000}"/>
    <cellStyle name="Percent 2 4 9" xfId="56148" xr:uid="{00000000-0005-0000-0000-000054DB0000}"/>
    <cellStyle name="Percent 2 40" xfId="55961" xr:uid="{00000000-0005-0000-0000-000055DB0000}"/>
    <cellStyle name="Percent 2 5" xfId="56149" xr:uid="{00000000-0005-0000-0000-000056DB0000}"/>
    <cellStyle name="Percent 2 5 10" xfId="56150" xr:uid="{00000000-0005-0000-0000-000057DB0000}"/>
    <cellStyle name="Percent 2 5 2" xfId="56151" xr:uid="{00000000-0005-0000-0000-000058DB0000}"/>
    <cellStyle name="Percent 2 5 3" xfId="56152" xr:uid="{00000000-0005-0000-0000-000059DB0000}"/>
    <cellStyle name="Percent 2 5 4" xfId="56153" xr:uid="{00000000-0005-0000-0000-00005ADB0000}"/>
    <cellStyle name="Percent 2 5 5" xfId="56154" xr:uid="{00000000-0005-0000-0000-00005BDB0000}"/>
    <cellStyle name="Percent 2 5 6" xfId="56155" xr:uid="{00000000-0005-0000-0000-00005CDB0000}"/>
    <cellStyle name="Percent 2 5 7" xfId="56156" xr:uid="{00000000-0005-0000-0000-00005DDB0000}"/>
    <cellStyle name="Percent 2 5 8" xfId="56157" xr:uid="{00000000-0005-0000-0000-00005EDB0000}"/>
    <cellStyle name="Percent 2 5 9" xfId="56158" xr:uid="{00000000-0005-0000-0000-00005FDB0000}"/>
    <cellStyle name="Percent 2 6" xfId="56159" xr:uid="{00000000-0005-0000-0000-000060DB0000}"/>
    <cellStyle name="Percent 2 6 10" xfId="56160" xr:uid="{00000000-0005-0000-0000-000061DB0000}"/>
    <cellStyle name="Percent 2 6 2" xfId="56161" xr:uid="{00000000-0005-0000-0000-000062DB0000}"/>
    <cellStyle name="Percent 2 6 3" xfId="56162" xr:uid="{00000000-0005-0000-0000-000063DB0000}"/>
    <cellStyle name="Percent 2 6 4" xfId="56163" xr:uid="{00000000-0005-0000-0000-000064DB0000}"/>
    <cellStyle name="Percent 2 6 5" xfId="56164" xr:uid="{00000000-0005-0000-0000-000065DB0000}"/>
    <cellStyle name="Percent 2 6 6" xfId="56165" xr:uid="{00000000-0005-0000-0000-000066DB0000}"/>
    <cellStyle name="Percent 2 6 7" xfId="56166" xr:uid="{00000000-0005-0000-0000-000067DB0000}"/>
    <cellStyle name="Percent 2 6 8" xfId="56167" xr:uid="{00000000-0005-0000-0000-000068DB0000}"/>
    <cellStyle name="Percent 2 6 9" xfId="56168" xr:uid="{00000000-0005-0000-0000-000069DB0000}"/>
    <cellStyle name="Percent 2 7" xfId="56169" xr:uid="{00000000-0005-0000-0000-00006ADB0000}"/>
    <cellStyle name="Percent 2 8" xfId="56170" xr:uid="{00000000-0005-0000-0000-00006BDB0000}"/>
    <cellStyle name="Percent 2 9" xfId="56171" xr:uid="{00000000-0005-0000-0000-00006CDB0000}"/>
    <cellStyle name="Percent 20" xfId="56172" xr:uid="{00000000-0005-0000-0000-00006DDB0000}"/>
    <cellStyle name="Percent 20 2" xfId="56173" xr:uid="{00000000-0005-0000-0000-00006EDB0000}"/>
    <cellStyle name="Percent 21" xfId="56174" xr:uid="{00000000-0005-0000-0000-00006FDB0000}"/>
    <cellStyle name="Percent 21 2" xfId="56175" xr:uid="{00000000-0005-0000-0000-000070DB0000}"/>
    <cellStyle name="Percent 22" xfId="56176" xr:uid="{00000000-0005-0000-0000-000071DB0000}"/>
    <cellStyle name="Percent 22 2" xfId="56177" xr:uid="{00000000-0005-0000-0000-000072DB0000}"/>
    <cellStyle name="Percent 23" xfId="56178" xr:uid="{00000000-0005-0000-0000-000073DB0000}"/>
    <cellStyle name="Percent 24" xfId="56179" xr:uid="{00000000-0005-0000-0000-000074DB0000}"/>
    <cellStyle name="Percent 25" xfId="56180" xr:uid="{00000000-0005-0000-0000-000075DB0000}"/>
    <cellStyle name="Percent 26" xfId="56181" xr:uid="{00000000-0005-0000-0000-000076DB0000}"/>
    <cellStyle name="Percent 27" xfId="56182" xr:uid="{00000000-0005-0000-0000-000077DB0000}"/>
    <cellStyle name="Percent 27 10" xfId="56183" xr:uid="{00000000-0005-0000-0000-000078DB0000}"/>
    <cellStyle name="Percent 27 11" xfId="56184" xr:uid="{00000000-0005-0000-0000-000079DB0000}"/>
    <cellStyle name="Percent 27 12" xfId="56185" xr:uid="{00000000-0005-0000-0000-00007ADB0000}"/>
    <cellStyle name="Percent 27 13" xfId="56186" xr:uid="{00000000-0005-0000-0000-00007BDB0000}"/>
    <cellStyle name="Percent 27 14" xfId="56187" xr:uid="{00000000-0005-0000-0000-00007CDB0000}"/>
    <cellStyle name="Percent 27 15" xfId="56188" xr:uid="{00000000-0005-0000-0000-00007DDB0000}"/>
    <cellStyle name="Percent 27 16" xfId="56189" xr:uid="{00000000-0005-0000-0000-00007EDB0000}"/>
    <cellStyle name="Percent 27 17" xfId="56190" xr:uid="{00000000-0005-0000-0000-00007FDB0000}"/>
    <cellStyle name="Percent 27 2" xfId="56191" xr:uid="{00000000-0005-0000-0000-000080DB0000}"/>
    <cellStyle name="Percent 27 2 10" xfId="56192" xr:uid="{00000000-0005-0000-0000-000081DB0000}"/>
    <cellStyle name="Percent 27 2 11" xfId="56193" xr:uid="{00000000-0005-0000-0000-000082DB0000}"/>
    <cellStyle name="Percent 27 2 12" xfId="56194" xr:uid="{00000000-0005-0000-0000-000083DB0000}"/>
    <cellStyle name="Percent 27 2 13" xfId="56195" xr:uid="{00000000-0005-0000-0000-000084DB0000}"/>
    <cellStyle name="Percent 27 2 14" xfId="56196" xr:uid="{00000000-0005-0000-0000-000085DB0000}"/>
    <cellStyle name="Percent 27 2 2" xfId="56197" xr:uid="{00000000-0005-0000-0000-000086DB0000}"/>
    <cellStyle name="Percent 27 2 2 2" xfId="56198" xr:uid="{00000000-0005-0000-0000-000087DB0000}"/>
    <cellStyle name="Percent 27 2 2 2 2" xfId="56199" xr:uid="{00000000-0005-0000-0000-000088DB0000}"/>
    <cellStyle name="Percent 27 2 2 2 3" xfId="56200" xr:uid="{00000000-0005-0000-0000-000089DB0000}"/>
    <cellStyle name="Percent 27 2 2 3" xfId="56201" xr:uid="{00000000-0005-0000-0000-00008ADB0000}"/>
    <cellStyle name="Percent 27 2 3" xfId="56202" xr:uid="{00000000-0005-0000-0000-00008BDB0000}"/>
    <cellStyle name="Percent 27 2 4" xfId="56203" xr:uid="{00000000-0005-0000-0000-00008CDB0000}"/>
    <cellStyle name="Percent 27 2 5" xfId="56204" xr:uid="{00000000-0005-0000-0000-00008DDB0000}"/>
    <cellStyle name="Percent 27 2 6" xfId="56205" xr:uid="{00000000-0005-0000-0000-00008EDB0000}"/>
    <cellStyle name="Percent 27 2 7" xfId="56206" xr:uid="{00000000-0005-0000-0000-00008FDB0000}"/>
    <cellStyle name="Percent 27 2 8" xfId="56207" xr:uid="{00000000-0005-0000-0000-000090DB0000}"/>
    <cellStyle name="Percent 27 2 9" xfId="56208" xr:uid="{00000000-0005-0000-0000-000091DB0000}"/>
    <cellStyle name="Percent 27 3" xfId="56209" xr:uid="{00000000-0005-0000-0000-000092DB0000}"/>
    <cellStyle name="Percent 27 4" xfId="56210" xr:uid="{00000000-0005-0000-0000-000093DB0000}"/>
    <cellStyle name="Percent 27 5" xfId="56211" xr:uid="{00000000-0005-0000-0000-000094DB0000}"/>
    <cellStyle name="Percent 27 6" xfId="56212" xr:uid="{00000000-0005-0000-0000-000095DB0000}"/>
    <cellStyle name="Percent 27 6 2" xfId="56213" xr:uid="{00000000-0005-0000-0000-000096DB0000}"/>
    <cellStyle name="Percent 27 6 2 2" xfId="56214" xr:uid="{00000000-0005-0000-0000-000097DB0000}"/>
    <cellStyle name="Percent 27 6 2 3" xfId="56215" xr:uid="{00000000-0005-0000-0000-000098DB0000}"/>
    <cellStyle name="Percent 27 6 3" xfId="56216" xr:uid="{00000000-0005-0000-0000-000099DB0000}"/>
    <cellStyle name="Percent 27 7" xfId="56217" xr:uid="{00000000-0005-0000-0000-00009ADB0000}"/>
    <cellStyle name="Percent 27 7 2" xfId="56218" xr:uid="{00000000-0005-0000-0000-00009BDB0000}"/>
    <cellStyle name="Percent 27 7 2 2" xfId="56219" xr:uid="{00000000-0005-0000-0000-00009CDB0000}"/>
    <cellStyle name="Percent 27 7 2 3" xfId="56220" xr:uid="{00000000-0005-0000-0000-00009DDB0000}"/>
    <cellStyle name="Percent 27 7 3" xfId="56221" xr:uid="{00000000-0005-0000-0000-00009EDB0000}"/>
    <cellStyle name="Percent 27 8" xfId="56222" xr:uid="{00000000-0005-0000-0000-00009FDB0000}"/>
    <cellStyle name="Percent 27 9" xfId="56223" xr:uid="{00000000-0005-0000-0000-0000A0DB0000}"/>
    <cellStyle name="Percent 28" xfId="56224" xr:uid="{00000000-0005-0000-0000-0000A1DB0000}"/>
    <cellStyle name="Percent 29" xfId="56225" xr:uid="{00000000-0005-0000-0000-0000A2DB0000}"/>
    <cellStyle name="Percent 3" xfId="3" xr:uid="{00000000-0005-0000-0000-0000A3DB0000}"/>
    <cellStyle name="Percent 3 10" xfId="56227" xr:uid="{00000000-0005-0000-0000-0000A4DB0000}"/>
    <cellStyle name="Percent 3 10 2" xfId="56228" xr:uid="{00000000-0005-0000-0000-0000A5DB0000}"/>
    <cellStyle name="Percent 3 10 3" xfId="56229" xr:uid="{00000000-0005-0000-0000-0000A6DB0000}"/>
    <cellStyle name="Percent 3 11" xfId="56230" xr:uid="{00000000-0005-0000-0000-0000A7DB0000}"/>
    <cellStyle name="Percent 3 11 2" xfId="56231" xr:uid="{00000000-0005-0000-0000-0000A8DB0000}"/>
    <cellStyle name="Percent 3 11 3" xfId="56232" xr:uid="{00000000-0005-0000-0000-0000A9DB0000}"/>
    <cellStyle name="Percent 3 12" xfId="56233" xr:uid="{00000000-0005-0000-0000-0000AADB0000}"/>
    <cellStyle name="Percent 3 12 2" xfId="56234" xr:uid="{00000000-0005-0000-0000-0000ABDB0000}"/>
    <cellStyle name="Percent 3 12 3" xfId="56235" xr:uid="{00000000-0005-0000-0000-0000ACDB0000}"/>
    <cellStyle name="Percent 3 13" xfId="56236" xr:uid="{00000000-0005-0000-0000-0000ADDB0000}"/>
    <cellStyle name="Percent 3 13 2" xfId="56237" xr:uid="{00000000-0005-0000-0000-0000AEDB0000}"/>
    <cellStyle name="Percent 3 13 3" xfId="56238" xr:uid="{00000000-0005-0000-0000-0000AFDB0000}"/>
    <cellStyle name="Percent 3 14" xfId="56239" xr:uid="{00000000-0005-0000-0000-0000B0DB0000}"/>
    <cellStyle name="Percent 3 14 2" xfId="56240" xr:uid="{00000000-0005-0000-0000-0000B1DB0000}"/>
    <cellStyle name="Percent 3 14 3" xfId="56241" xr:uid="{00000000-0005-0000-0000-0000B2DB0000}"/>
    <cellStyle name="Percent 3 15" xfId="56242" xr:uid="{00000000-0005-0000-0000-0000B3DB0000}"/>
    <cellStyle name="Percent 3 15 2" xfId="56243" xr:uid="{00000000-0005-0000-0000-0000B4DB0000}"/>
    <cellStyle name="Percent 3 15 3" xfId="56244" xr:uid="{00000000-0005-0000-0000-0000B5DB0000}"/>
    <cellStyle name="Percent 3 16" xfId="56245" xr:uid="{00000000-0005-0000-0000-0000B6DB0000}"/>
    <cellStyle name="Percent 3 16 2" xfId="56246" xr:uid="{00000000-0005-0000-0000-0000B7DB0000}"/>
    <cellStyle name="Percent 3 16 3" xfId="56247" xr:uid="{00000000-0005-0000-0000-0000B8DB0000}"/>
    <cellStyle name="Percent 3 17" xfId="56248" xr:uid="{00000000-0005-0000-0000-0000B9DB0000}"/>
    <cellStyle name="Percent 3 18" xfId="56249" xr:uid="{00000000-0005-0000-0000-0000BADB0000}"/>
    <cellStyle name="Percent 3 19" xfId="56226" xr:uid="{00000000-0005-0000-0000-0000BBDB0000}"/>
    <cellStyle name="Percent 3 2" xfId="32" xr:uid="{00000000-0005-0000-0000-0000BCDB0000}"/>
    <cellStyle name="Percent 3 2 2" xfId="56250" xr:uid="{00000000-0005-0000-0000-0000BDDB0000}"/>
    <cellStyle name="Percent 3 3" xfId="56251" xr:uid="{00000000-0005-0000-0000-0000BEDB0000}"/>
    <cellStyle name="Percent 3 3 2" xfId="56252" xr:uid="{00000000-0005-0000-0000-0000BFDB0000}"/>
    <cellStyle name="Percent 3 3 2 2" xfId="56253" xr:uid="{00000000-0005-0000-0000-0000C0DB0000}"/>
    <cellStyle name="Percent 3 3 2 3" xfId="56254" xr:uid="{00000000-0005-0000-0000-0000C1DB0000}"/>
    <cellStyle name="Percent 3 3 3" xfId="56255" xr:uid="{00000000-0005-0000-0000-0000C2DB0000}"/>
    <cellStyle name="Percent 3 3 4" xfId="56256" xr:uid="{00000000-0005-0000-0000-0000C3DB0000}"/>
    <cellStyle name="Percent 3 4" xfId="56257" xr:uid="{00000000-0005-0000-0000-0000C4DB0000}"/>
    <cellStyle name="Percent 3 5" xfId="56258" xr:uid="{00000000-0005-0000-0000-0000C5DB0000}"/>
    <cellStyle name="Percent 3 6" xfId="56259" xr:uid="{00000000-0005-0000-0000-0000C6DB0000}"/>
    <cellStyle name="Percent 3 6 2" xfId="56260" xr:uid="{00000000-0005-0000-0000-0000C7DB0000}"/>
    <cellStyle name="Percent 3 6 2 2" xfId="56261" xr:uid="{00000000-0005-0000-0000-0000C8DB0000}"/>
    <cellStyle name="Percent 3 6 2 3" xfId="56262" xr:uid="{00000000-0005-0000-0000-0000C9DB0000}"/>
    <cellStyle name="Percent 3 6 3" xfId="56263" xr:uid="{00000000-0005-0000-0000-0000CADB0000}"/>
    <cellStyle name="Percent 3 7" xfId="56264" xr:uid="{00000000-0005-0000-0000-0000CBDB0000}"/>
    <cellStyle name="Percent 3 7 2" xfId="56265" xr:uid="{00000000-0005-0000-0000-0000CCDB0000}"/>
    <cellStyle name="Percent 3 7 3" xfId="56266" xr:uid="{00000000-0005-0000-0000-0000CDDB0000}"/>
    <cellStyle name="Percent 3 8" xfId="56267" xr:uid="{00000000-0005-0000-0000-0000CEDB0000}"/>
    <cellStyle name="Percent 3 8 2" xfId="56268" xr:uid="{00000000-0005-0000-0000-0000CFDB0000}"/>
    <cellStyle name="Percent 3 8 3" xfId="56269" xr:uid="{00000000-0005-0000-0000-0000D0DB0000}"/>
    <cellStyle name="Percent 3 9" xfId="56270" xr:uid="{00000000-0005-0000-0000-0000D1DB0000}"/>
    <cellStyle name="Percent 3 9 2" xfId="56271" xr:uid="{00000000-0005-0000-0000-0000D2DB0000}"/>
    <cellStyle name="Percent 3 9 3" xfId="56272" xr:uid="{00000000-0005-0000-0000-0000D3DB0000}"/>
    <cellStyle name="Percent 30" xfId="56273" xr:uid="{00000000-0005-0000-0000-0000D4DB0000}"/>
    <cellStyle name="Percent 30 10" xfId="56274" xr:uid="{00000000-0005-0000-0000-0000D5DB0000}"/>
    <cellStyle name="Percent 30 11" xfId="56275" xr:uid="{00000000-0005-0000-0000-0000D6DB0000}"/>
    <cellStyle name="Percent 30 12" xfId="56276" xr:uid="{00000000-0005-0000-0000-0000D7DB0000}"/>
    <cellStyle name="Percent 30 13" xfId="56277" xr:uid="{00000000-0005-0000-0000-0000D8DB0000}"/>
    <cellStyle name="Percent 30 14" xfId="56278" xr:uid="{00000000-0005-0000-0000-0000D9DB0000}"/>
    <cellStyle name="Percent 30 15" xfId="56279" xr:uid="{00000000-0005-0000-0000-0000DADB0000}"/>
    <cellStyle name="Percent 30 16" xfId="56280" xr:uid="{00000000-0005-0000-0000-0000DBDB0000}"/>
    <cellStyle name="Percent 30 17" xfId="56281" xr:uid="{00000000-0005-0000-0000-0000DCDB0000}"/>
    <cellStyle name="Percent 30 2" xfId="56282" xr:uid="{00000000-0005-0000-0000-0000DDDB0000}"/>
    <cellStyle name="Percent 30 2 10" xfId="56283" xr:uid="{00000000-0005-0000-0000-0000DEDB0000}"/>
    <cellStyle name="Percent 30 2 11" xfId="56284" xr:uid="{00000000-0005-0000-0000-0000DFDB0000}"/>
    <cellStyle name="Percent 30 2 12" xfId="56285" xr:uid="{00000000-0005-0000-0000-0000E0DB0000}"/>
    <cellStyle name="Percent 30 2 13" xfId="56286" xr:uid="{00000000-0005-0000-0000-0000E1DB0000}"/>
    <cellStyle name="Percent 30 2 14" xfId="56287" xr:uid="{00000000-0005-0000-0000-0000E2DB0000}"/>
    <cellStyle name="Percent 30 2 2" xfId="56288" xr:uid="{00000000-0005-0000-0000-0000E3DB0000}"/>
    <cellStyle name="Percent 30 2 2 2" xfId="56289" xr:uid="{00000000-0005-0000-0000-0000E4DB0000}"/>
    <cellStyle name="Percent 30 2 2 2 2" xfId="56290" xr:uid="{00000000-0005-0000-0000-0000E5DB0000}"/>
    <cellStyle name="Percent 30 2 2 2 3" xfId="56291" xr:uid="{00000000-0005-0000-0000-0000E6DB0000}"/>
    <cellStyle name="Percent 30 2 2 3" xfId="56292" xr:uid="{00000000-0005-0000-0000-0000E7DB0000}"/>
    <cellStyle name="Percent 30 2 3" xfId="56293" xr:uid="{00000000-0005-0000-0000-0000E8DB0000}"/>
    <cellStyle name="Percent 30 2 4" xfId="56294" xr:uid="{00000000-0005-0000-0000-0000E9DB0000}"/>
    <cellStyle name="Percent 30 2 5" xfId="56295" xr:uid="{00000000-0005-0000-0000-0000EADB0000}"/>
    <cellStyle name="Percent 30 2 6" xfId="56296" xr:uid="{00000000-0005-0000-0000-0000EBDB0000}"/>
    <cellStyle name="Percent 30 2 7" xfId="56297" xr:uid="{00000000-0005-0000-0000-0000ECDB0000}"/>
    <cellStyle name="Percent 30 2 8" xfId="56298" xr:uid="{00000000-0005-0000-0000-0000EDDB0000}"/>
    <cellStyle name="Percent 30 2 9" xfId="56299" xr:uid="{00000000-0005-0000-0000-0000EEDB0000}"/>
    <cellStyle name="Percent 30 3" xfId="56300" xr:uid="{00000000-0005-0000-0000-0000EFDB0000}"/>
    <cellStyle name="Percent 30 4" xfId="56301" xr:uid="{00000000-0005-0000-0000-0000F0DB0000}"/>
    <cellStyle name="Percent 30 5" xfId="56302" xr:uid="{00000000-0005-0000-0000-0000F1DB0000}"/>
    <cellStyle name="Percent 30 6" xfId="56303" xr:uid="{00000000-0005-0000-0000-0000F2DB0000}"/>
    <cellStyle name="Percent 30 6 2" xfId="56304" xr:uid="{00000000-0005-0000-0000-0000F3DB0000}"/>
    <cellStyle name="Percent 30 6 2 2" xfId="56305" xr:uid="{00000000-0005-0000-0000-0000F4DB0000}"/>
    <cellStyle name="Percent 30 6 2 3" xfId="56306" xr:uid="{00000000-0005-0000-0000-0000F5DB0000}"/>
    <cellStyle name="Percent 30 6 3" xfId="56307" xr:uid="{00000000-0005-0000-0000-0000F6DB0000}"/>
    <cellStyle name="Percent 30 7" xfId="56308" xr:uid="{00000000-0005-0000-0000-0000F7DB0000}"/>
    <cellStyle name="Percent 30 7 2" xfId="56309" xr:uid="{00000000-0005-0000-0000-0000F8DB0000}"/>
    <cellStyle name="Percent 30 7 2 2" xfId="56310" xr:uid="{00000000-0005-0000-0000-0000F9DB0000}"/>
    <cellStyle name="Percent 30 7 2 3" xfId="56311" xr:uid="{00000000-0005-0000-0000-0000FADB0000}"/>
    <cellStyle name="Percent 30 7 3" xfId="56312" xr:uid="{00000000-0005-0000-0000-0000FBDB0000}"/>
    <cellStyle name="Percent 30 8" xfId="56313" xr:uid="{00000000-0005-0000-0000-0000FCDB0000}"/>
    <cellStyle name="Percent 30 9" xfId="56314" xr:uid="{00000000-0005-0000-0000-0000FDDB0000}"/>
    <cellStyle name="Percent 31" xfId="56315" xr:uid="{00000000-0005-0000-0000-0000FEDB0000}"/>
    <cellStyle name="Percent 32" xfId="56316" xr:uid="{00000000-0005-0000-0000-0000FFDB0000}"/>
    <cellStyle name="Percent 33" xfId="56317" xr:uid="{00000000-0005-0000-0000-000000DC0000}"/>
    <cellStyle name="Percent 34" xfId="56318" xr:uid="{00000000-0005-0000-0000-000001DC0000}"/>
    <cellStyle name="Percent 35" xfId="56319" xr:uid="{00000000-0005-0000-0000-000002DC0000}"/>
    <cellStyle name="Percent 36" xfId="56320" xr:uid="{00000000-0005-0000-0000-000003DC0000}"/>
    <cellStyle name="Percent 36 10" xfId="56321" xr:uid="{00000000-0005-0000-0000-000004DC0000}"/>
    <cellStyle name="Percent 36 11" xfId="56322" xr:uid="{00000000-0005-0000-0000-000005DC0000}"/>
    <cellStyle name="Percent 36 12" xfId="56323" xr:uid="{00000000-0005-0000-0000-000006DC0000}"/>
    <cellStyle name="Percent 36 13" xfId="56324" xr:uid="{00000000-0005-0000-0000-000007DC0000}"/>
    <cellStyle name="Percent 36 14" xfId="56325" xr:uid="{00000000-0005-0000-0000-000008DC0000}"/>
    <cellStyle name="Percent 36 15" xfId="56326" xr:uid="{00000000-0005-0000-0000-000009DC0000}"/>
    <cellStyle name="Percent 36 16" xfId="56327" xr:uid="{00000000-0005-0000-0000-00000ADC0000}"/>
    <cellStyle name="Percent 36 17" xfId="56328" xr:uid="{00000000-0005-0000-0000-00000BDC0000}"/>
    <cellStyle name="Percent 36 2" xfId="56329" xr:uid="{00000000-0005-0000-0000-00000CDC0000}"/>
    <cellStyle name="Percent 36 2 10" xfId="56330" xr:uid="{00000000-0005-0000-0000-00000DDC0000}"/>
    <cellStyle name="Percent 36 2 11" xfId="56331" xr:uid="{00000000-0005-0000-0000-00000EDC0000}"/>
    <cellStyle name="Percent 36 2 12" xfId="56332" xr:uid="{00000000-0005-0000-0000-00000FDC0000}"/>
    <cellStyle name="Percent 36 2 13" xfId="56333" xr:uid="{00000000-0005-0000-0000-000010DC0000}"/>
    <cellStyle name="Percent 36 2 14" xfId="56334" xr:uid="{00000000-0005-0000-0000-000011DC0000}"/>
    <cellStyle name="Percent 36 2 2" xfId="56335" xr:uid="{00000000-0005-0000-0000-000012DC0000}"/>
    <cellStyle name="Percent 36 2 2 2" xfId="56336" xr:uid="{00000000-0005-0000-0000-000013DC0000}"/>
    <cellStyle name="Percent 36 2 2 2 2" xfId="56337" xr:uid="{00000000-0005-0000-0000-000014DC0000}"/>
    <cellStyle name="Percent 36 2 2 2 3" xfId="56338" xr:uid="{00000000-0005-0000-0000-000015DC0000}"/>
    <cellStyle name="Percent 36 2 2 3" xfId="56339" xr:uid="{00000000-0005-0000-0000-000016DC0000}"/>
    <cellStyle name="Percent 36 2 3" xfId="56340" xr:uid="{00000000-0005-0000-0000-000017DC0000}"/>
    <cellStyle name="Percent 36 2 4" xfId="56341" xr:uid="{00000000-0005-0000-0000-000018DC0000}"/>
    <cellStyle name="Percent 36 2 5" xfId="56342" xr:uid="{00000000-0005-0000-0000-000019DC0000}"/>
    <cellStyle name="Percent 36 2 6" xfId="56343" xr:uid="{00000000-0005-0000-0000-00001ADC0000}"/>
    <cellStyle name="Percent 36 2 7" xfId="56344" xr:uid="{00000000-0005-0000-0000-00001BDC0000}"/>
    <cellStyle name="Percent 36 2 8" xfId="56345" xr:uid="{00000000-0005-0000-0000-00001CDC0000}"/>
    <cellStyle name="Percent 36 2 9" xfId="56346" xr:uid="{00000000-0005-0000-0000-00001DDC0000}"/>
    <cellStyle name="Percent 36 3" xfId="56347" xr:uid="{00000000-0005-0000-0000-00001EDC0000}"/>
    <cellStyle name="Percent 36 4" xfId="56348" xr:uid="{00000000-0005-0000-0000-00001FDC0000}"/>
    <cellStyle name="Percent 36 5" xfId="56349" xr:uid="{00000000-0005-0000-0000-000020DC0000}"/>
    <cellStyle name="Percent 36 6" xfId="56350" xr:uid="{00000000-0005-0000-0000-000021DC0000}"/>
    <cellStyle name="Percent 36 6 2" xfId="56351" xr:uid="{00000000-0005-0000-0000-000022DC0000}"/>
    <cellStyle name="Percent 36 6 2 2" xfId="56352" xr:uid="{00000000-0005-0000-0000-000023DC0000}"/>
    <cellStyle name="Percent 36 6 2 3" xfId="56353" xr:uid="{00000000-0005-0000-0000-000024DC0000}"/>
    <cellStyle name="Percent 36 6 3" xfId="56354" xr:uid="{00000000-0005-0000-0000-000025DC0000}"/>
    <cellStyle name="Percent 36 7" xfId="56355" xr:uid="{00000000-0005-0000-0000-000026DC0000}"/>
    <cellStyle name="Percent 36 7 2" xfId="56356" xr:uid="{00000000-0005-0000-0000-000027DC0000}"/>
    <cellStyle name="Percent 36 7 2 2" xfId="56357" xr:uid="{00000000-0005-0000-0000-000028DC0000}"/>
    <cellStyle name="Percent 36 7 2 3" xfId="56358" xr:uid="{00000000-0005-0000-0000-000029DC0000}"/>
    <cellStyle name="Percent 36 7 3" xfId="56359" xr:uid="{00000000-0005-0000-0000-00002ADC0000}"/>
    <cellStyle name="Percent 36 8" xfId="56360" xr:uid="{00000000-0005-0000-0000-00002BDC0000}"/>
    <cellStyle name="Percent 36 9" xfId="56361" xr:uid="{00000000-0005-0000-0000-00002CDC0000}"/>
    <cellStyle name="Percent 37" xfId="56362" xr:uid="{00000000-0005-0000-0000-00002DDC0000}"/>
    <cellStyle name="Percent 37 10" xfId="56363" xr:uid="{00000000-0005-0000-0000-00002EDC0000}"/>
    <cellStyle name="Percent 37 11" xfId="56364" xr:uid="{00000000-0005-0000-0000-00002FDC0000}"/>
    <cellStyle name="Percent 37 12" xfId="56365" xr:uid="{00000000-0005-0000-0000-000030DC0000}"/>
    <cellStyle name="Percent 37 13" xfId="56366" xr:uid="{00000000-0005-0000-0000-000031DC0000}"/>
    <cellStyle name="Percent 37 14" xfId="56367" xr:uid="{00000000-0005-0000-0000-000032DC0000}"/>
    <cellStyle name="Percent 37 15" xfId="56368" xr:uid="{00000000-0005-0000-0000-000033DC0000}"/>
    <cellStyle name="Percent 37 16" xfId="56369" xr:uid="{00000000-0005-0000-0000-000034DC0000}"/>
    <cellStyle name="Percent 37 17" xfId="56370" xr:uid="{00000000-0005-0000-0000-000035DC0000}"/>
    <cellStyle name="Percent 37 2" xfId="56371" xr:uid="{00000000-0005-0000-0000-000036DC0000}"/>
    <cellStyle name="Percent 37 2 10" xfId="56372" xr:uid="{00000000-0005-0000-0000-000037DC0000}"/>
    <cellStyle name="Percent 37 2 11" xfId="56373" xr:uid="{00000000-0005-0000-0000-000038DC0000}"/>
    <cellStyle name="Percent 37 2 12" xfId="56374" xr:uid="{00000000-0005-0000-0000-000039DC0000}"/>
    <cellStyle name="Percent 37 2 13" xfId="56375" xr:uid="{00000000-0005-0000-0000-00003ADC0000}"/>
    <cellStyle name="Percent 37 2 14" xfId="56376" xr:uid="{00000000-0005-0000-0000-00003BDC0000}"/>
    <cellStyle name="Percent 37 2 2" xfId="56377" xr:uid="{00000000-0005-0000-0000-00003CDC0000}"/>
    <cellStyle name="Percent 37 2 2 2" xfId="56378" xr:uid="{00000000-0005-0000-0000-00003DDC0000}"/>
    <cellStyle name="Percent 37 2 2 2 2" xfId="56379" xr:uid="{00000000-0005-0000-0000-00003EDC0000}"/>
    <cellStyle name="Percent 37 2 2 2 3" xfId="56380" xr:uid="{00000000-0005-0000-0000-00003FDC0000}"/>
    <cellStyle name="Percent 37 2 2 3" xfId="56381" xr:uid="{00000000-0005-0000-0000-000040DC0000}"/>
    <cellStyle name="Percent 37 2 3" xfId="56382" xr:uid="{00000000-0005-0000-0000-000041DC0000}"/>
    <cellStyle name="Percent 37 2 4" xfId="56383" xr:uid="{00000000-0005-0000-0000-000042DC0000}"/>
    <cellStyle name="Percent 37 2 5" xfId="56384" xr:uid="{00000000-0005-0000-0000-000043DC0000}"/>
    <cellStyle name="Percent 37 2 6" xfId="56385" xr:uid="{00000000-0005-0000-0000-000044DC0000}"/>
    <cellStyle name="Percent 37 2 7" xfId="56386" xr:uid="{00000000-0005-0000-0000-000045DC0000}"/>
    <cellStyle name="Percent 37 2 8" xfId="56387" xr:uid="{00000000-0005-0000-0000-000046DC0000}"/>
    <cellStyle name="Percent 37 2 9" xfId="56388" xr:uid="{00000000-0005-0000-0000-000047DC0000}"/>
    <cellStyle name="Percent 37 3" xfId="56389" xr:uid="{00000000-0005-0000-0000-000048DC0000}"/>
    <cellStyle name="Percent 37 4" xfId="56390" xr:uid="{00000000-0005-0000-0000-000049DC0000}"/>
    <cellStyle name="Percent 37 5" xfId="56391" xr:uid="{00000000-0005-0000-0000-00004ADC0000}"/>
    <cellStyle name="Percent 37 6" xfId="56392" xr:uid="{00000000-0005-0000-0000-00004BDC0000}"/>
    <cellStyle name="Percent 37 6 2" xfId="56393" xr:uid="{00000000-0005-0000-0000-00004CDC0000}"/>
    <cellStyle name="Percent 37 6 2 2" xfId="56394" xr:uid="{00000000-0005-0000-0000-00004DDC0000}"/>
    <cellStyle name="Percent 37 6 2 3" xfId="56395" xr:uid="{00000000-0005-0000-0000-00004EDC0000}"/>
    <cellStyle name="Percent 37 6 3" xfId="56396" xr:uid="{00000000-0005-0000-0000-00004FDC0000}"/>
    <cellStyle name="Percent 37 7" xfId="56397" xr:uid="{00000000-0005-0000-0000-000050DC0000}"/>
    <cellStyle name="Percent 37 7 2" xfId="56398" xr:uid="{00000000-0005-0000-0000-000051DC0000}"/>
    <cellStyle name="Percent 37 7 2 2" xfId="56399" xr:uid="{00000000-0005-0000-0000-000052DC0000}"/>
    <cellStyle name="Percent 37 7 2 3" xfId="56400" xr:uid="{00000000-0005-0000-0000-000053DC0000}"/>
    <cellStyle name="Percent 37 7 3" xfId="56401" xr:uid="{00000000-0005-0000-0000-000054DC0000}"/>
    <cellStyle name="Percent 37 8" xfId="56402" xr:uid="{00000000-0005-0000-0000-000055DC0000}"/>
    <cellStyle name="Percent 37 9" xfId="56403" xr:uid="{00000000-0005-0000-0000-000056DC0000}"/>
    <cellStyle name="Percent 38" xfId="56404" xr:uid="{00000000-0005-0000-0000-000057DC0000}"/>
    <cellStyle name="Percent 38 10" xfId="56405" xr:uid="{00000000-0005-0000-0000-000058DC0000}"/>
    <cellStyle name="Percent 38 11" xfId="56406" xr:uid="{00000000-0005-0000-0000-000059DC0000}"/>
    <cellStyle name="Percent 38 12" xfId="56407" xr:uid="{00000000-0005-0000-0000-00005ADC0000}"/>
    <cellStyle name="Percent 38 13" xfId="56408" xr:uid="{00000000-0005-0000-0000-00005BDC0000}"/>
    <cellStyle name="Percent 38 14" xfId="56409" xr:uid="{00000000-0005-0000-0000-00005CDC0000}"/>
    <cellStyle name="Percent 38 15" xfId="56410" xr:uid="{00000000-0005-0000-0000-00005DDC0000}"/>
    <cellStyle name="Percent 38 16" xfId="56411" xr:uid="{00000000-0005-0000-0000-00005EDC0000}"/>
    <cellStyle name="Percent 38 17" xfId="56412" xr:uid="{00000000-0005-0000-0000-00005FDC0000}"/>
    <cellStyle name="Percent 38 2" xfId="56413" xr:uid="{00000000-0005-0000-0000-000060DC0000}"/>
    <cellStyle name="Percent 38 2 10" xfId="56414" xr:uid="{00000000-0005-0000-0000-000061DC0000}"/>
    <cellStyle name="Percent 38 2 11" xfId="56415" xr:uid="{00000000-0005-0000-0000-000062DC0000}"/>
    <cellStyle name="Percent 38 2 12" xfId="56416" xr:uid="{00000000-0005-0000-0000-000063DC0000}"/>
    <cellStyle name="Percent 38 2 13" xfId="56417" xr:uid="{00000000-0005-0000-0000-000064DC0000}"/>
    <cellStyle name="Percent 38 2 14" xfId="56418" xr:uid="{00000000-0005-0000-0000-000065DC0000}"/>
    <cellStyle name="Percent 38 2 2" xfId="56419" xr:uid="{00000000-0005-0000-0000-000066DC0000}"/>
    <cellStyle name="Percent 38 2 2 2" xfId="56420" xr:uid="{00000000-0005-0000-0000-000067DC0000}"/>
    <cellStyle name="Percent 38 2 2 2 2" xfId="56421" xr:uid="{00000000-0005-0000-0000-000068DC0000}"/>
    <cellStyle name="Percent 38 2 2 2 3" xfId="56422" xr:uid="{00000000-0005-0000-0000-000069DC0000}"/>
    <cellStyle name="Percent 38 2 2 3" xfId="56423" xr:uid="{00000000-0005-0000-0000-00006ADC0000}"/>
    <cellStyle name="Percent 38 2 3" xfId="56424" xr:uid="{00000000-0005-0000-0000-00006BDC0000}"/>
    <cellStyle name="Percent 38 2 4" xfId="56425" xr:uid="{00000000-0005-0000-0000-00006CDC0000}"/>
    <cellStyle name="Percent 38 2 5" xfId="56426" xr:uid="{00000000-0005-0000-0000-00006DDC0000}"/>
    <cellStyle name="Percent 38 2 6" xfId="56427" xr:uid="{00000000-0005-0000-0000-00006EDC0000}"/>
    <cellStyle name="Percent 38 2 7" xfId="56428" xr:uid="{00000000-0005-0000-0000-00006FDC0000}"/>
    <cellStyle name="Percent 38 2 8" xfId="56429" xr:uid="{00000000-0005-0000-0000-000070DC0000}"/>
    <cellStyle name="Percent 38 2 9" xfId="56430" xr:uid="{00000000-0005-0000-0000-000071DC0000}"/>
    <cellStyle name="Percent 38 3" xfId="56431" xr:uid="{00000000-0005-0000-0000-000072DC0000}"/>
    <cellStyle name="Percent 38 4" xfId="56432" xr:uid="{00000000-0005-0000-0000-000073DC0000}"/>
    <cellStyle name="Percent 38 5" xfId="56433" xr:uid="{00000000-0005-0000-0000-000074DC0000}"/>
    <cellStyle name="Percent 38 6" xfId="56434" xr:uid="{00000000-0005-0000-0000-000075DC0000}"/>
    <cellStyle name="Percent 38 6 2" xfId="56435" xr:uid="{00000000-0005-0000-0000-000076DC0000}"/>
    <cellStyle name="Percent 38 6 2 2" xfId="56436" xr:uid="{00000000-0005-0000-0000-000077DC0000}"/>
    <cellStyle name="Percent 38 6 2 3" xfId="56437" xr:uid="{00000000-0005-0000-0000-000078DC0000}"/>
    <cellStyle name="Percent 38 6 3" xfId="56438" xr:uid="{00000000-0005-0000-0000-000079DC0000}"/>
    <cellStyle name="Percent 38 7" xfId="56439" xr:uid="{00000000-0005-0000-0000-00007ADC0000}"/>
    <cellStyle name="Percent 38 7 2" xfId="56440" xr:uid="{00000000-0005-0000-0000-00007BDC0000}"/>
    <cellStyle name="Percent 38 7 2 2" xfId="56441" xr:uid="{00000000-0005-0000-0000-00007CDC0000}"/>
    <cellStyle name="Percent 38 7 2 3" xfId="56442" xr:uid="{00000000-0005-0000-0000-00007DDC0000}"/>
    <cellStyle name="Percent 38 7 3" xfId="56443" xr:uid="{00000000-0005-0000-0000-00007EDC0000}"/>
    <cellStyle name="Percent 38 8" xfId="56444" xr:uid="{00000000-0005-0000-0000-00007FDC0000}"/>
    <cellStyle name="Percent 38 9" xfId="56445" xr:uid="{00000000-0005-0000-0000-000080DC0000}"/>
    <cellStyle name="Percent 39" xfId="56446" xr:uid="{00000000-0005-0000-0000-000081DC0000}"/>
    <cellStyle name="Percent 39 2" xfId="56447" xr:uid="{00000000-0005-0000-0000-000082DC0000}"/>
    <cellStyle name="Percent 39 2 2" xfId="56448" xr:uid="{00000000-0005-0000-0000-000083DC0000}"/>
    <cellStyle name="Percent 39 3" xfId="56449" xr:uid="{00000000-0005-0000-0000-000084DC0000}"/>
    <cellStyle name="Percent 39 3 2" xfId="56450" xr:uid="{00000000-0005-0000-0000-000085DC0000}"/>
    <cellStyle name="Percent 39 4" xfId="56451" xr:uid="{00000000-0005-0000-0000-000086DC0000}"/>
    <cellStyle name="Percent 39 4 2" xfId="56452" xr:uid="{00000000-0005-0000-0000-000087DC0000}"/>
    <cellStyle name="Percent 39 5" xfId="56453" xr:uid="{00000000-0005-0000-0000-000088DC0000}"/>
    <cellStyle name="Percent 39 5 2" xfId="56454" xr:uid="{00000000-0005-0000-0000-000089DC0000}"/>
    <cellStyle name="Percent 39 6" xfId="56455" xr:uid="{00000000-0005-0000-0000-00008ADC0000}"/>
    <cellStyle name="Percent 39 6 2" xfId="56456" xr:uid="{00000000-0005-0000-0000-00008BDC0000}"/>
    <cellStyle name="Percent 39 7" xfId="56457" xr:uid="{00000000-0005-0000-0000-00008CDC0000}"/>
    <cellStyle name="Percent 39 7 2" xfId="56458" xr:uid="{00000000-0005-0000-0000-00008DDC0000}"/>
    <cellStyle name="Percent 39 8" xfId="56459" xr:uid="{00000000-0005-0000-0000-00008EDC0000}"/>
    <cellStyle name="Percent 4" xfId="33" xr:uid="{00000000-0005-0000-0000-00008FDC0000}"/>
    <cellStyle name="Percent 4 10" xfId="56461" xr:uid="{00000000-0005-0000-0000-000090DC0000}"/>
    <cellStyle name="Percent 4 11" xfId="56462" xr:uid="{00000000-0005-0000-0000-000091DC0000}"/>
    <cellStyle name="Percent 4 12" xfId="56463" xr:uid="{00000000-0005-0000-0000-000092DC0000}"/>
    <cellStyle name="Percent 4 13" xfId="56464" xr:uid="{00000000-0005-0000-0000-000093DC0000}"/>
    <cellStyle name="Percent 4 14" xfId="56465" xr:uid="{00000000-0005-0000-0000-000094DC0000}"/>
    <cellStyle name="Percent 4 14 2" xfId="56466" xr:uid="{00000000-0005-0000-0000-000095DC0000}"/>
    <cellStyle name="Percent 4 14 2 2" xfId="56467" xr:uid="{00000000-0005-0000-0000-000096DC0000}"/>
    <cellStyle name="Percent 4 14 2 3" xfId="56468" xr:uid="{00000000-0005-0000-0000-000097DC0000}"/>
    <cellStyle name="Percent 4 14 3" xfId="56469" xr:uid="{00000000-0005-0000-0000-000098DC0000}"/>
    <cellStyle name="Percent 4 15" xfId="56470" xr:uid="{00000000-0005-0000-0000-000099DC0000}"/>
    <cellStyle name="Percent 4 16" xfId="56471" xr:uid="{00000000-0005-0000-0000-00009ADC0000}"/>
    <cellStyle name="Percent 4 17" xfId="56472" xr:uid="{00000000-0005-0000-0000-00009BDC0000}"/>
    <cellStyle name="Percent 4 18" xfId="56473" xr:uid="{00000000-0005-0000-0000-00009CDC0000}"/>
    <cellStyle name="Percent 4 19" xfId="56474" xr:uid="{00000000-0005-0000-0000-00009DDC0000}"/>
    <cellStyle name="Percent 4 2" xfId="56475" xr:uid="{00000000-0005-0000-0000-00009EDC0000}"/>
    <cellStyle name="Percent 4 2 10" xfId="56476" xr:uid="{00000000-0005-0000-0000-00009FDC0000}"/>
    <cellStyle name="Percent 4 2 2" xfId="56477" xr:uid="{00000000-0005-0000-0000-0000A0DC0000}"/>
    <cellStyle name="Percent 4 2 2 2" xfId="56478" xr:uid="{00000000-0005-0000-0000-0000A1DC0000}"/>
    <cellStyle name="Percent 4 2 2 3" xfId="56479" xr:uid="{00000000-0005-0000-0000-0000A2DC0000}"/>
    <cellStyle name="Percent 4 2 2 4" xfId="56480" xr:uid="{00000000-0005-0000-0000-0000A3DC0000}"/>
    <cellStyle name="Percent 4 2 3" xfId="56481" xr:uid="{00000000-0005-0000-0000-0000A4DC0000}"/>
    <cellStyle name="Percent 4 2 4" xfId="56482" xr:uid="{00000000-0005-0000-0000-0000A5DC0000}"/>
    <cellStyle name="Percent 4 2 5" xfId="56483" xr:uid="{00000000-0005-0000-0000-0000A6DC0000}"/>
    <cellStyle name="Percent 4 2 6" xfId="56484" xr:uid="{00000000-0005-0000-0000-0000A7DC0000}"/>
    <cellStyle name="Percent 4 2 7" xfId="56485" xr:uid="{00000000-0005-0000-0000-0000A8DC0000}"/>
    <cellStyle name="Percent 4 2 8" xfId="56486" xr:uid="{00000000-0005-0000-0000-0000A9DC0000}"/>
    <cellStyle name="Percent 4 2 9" xfId="56487" xr:uid="{00000000-0005-0000-0000-0000AADC0000}"/>
    <cellStyle name="Percent 4 20" xfId="56488" xr:uid="{00000000-0005-0000-0000-0000ABDC0000}"/>
    <cellStyle name="Percent 4 21" xfId="56489" xr:uid="{00000000-0005-0000-0000-0000ACDC0000}"/>
    <cellStyle name="Percent 4 22" xfId="56490" xr:uid="{00000000-0005-0000-0000-0000ADDC0000}"/>
    <cellStyle name="Percent 4 23" xfId="56491" xr:uid="{00000000-0005-0000-0000-0000AEDC0000}"/>
    <cellStyle name="Percent 4 24" xfId="56492" xr:uid="{00000000-0005-0000-0000-0000AFDC0000}"/>
    <cellStyle name="Percent 4 25" xfId="56493" xr:uid="{00000000-0005-0000-0000-0000B0DC0000}"/>
    <cellStyle name="Percent 4 26" xfId="56494" xr:uid="{00000000-0005-0000-0000-0000B1DC0000}"/>
    <cellStyle name="Percent 4 27" xfId="56460" xr:uid="{00000000-0005-0000-0000-0000B2DC0000}"/>
    <cellStyle name="Percent 4 3" xfId="56495" xr:uid="{00000000-0005-0000-0000-0000B3DC0000}"/>
    <cellStyle name="Percent 4 3 2" xfId="56496" xr:uid="{00000000-0005-0000-0000-0000B4DC0000}"/>
    <cellStyle name="Percent 4 3 2 2" xfId="56497" xr:uid="{00000000-0005-0000-0000-0000B5DC0000}"/>
    <cellStyle name="Percent 4 3 2 3" xfId="56498" xr:uid="{00000000-0005-0000-0000-0000B6DC0000}"/>
    <cellStyle name="Percent 4 3 3" xfId="56499" xr:uid="{00000000-0005-0000-0000-0000B7DC0000}"/>
    <cellStyle name="Percent 4 3 4" xfId="56500" xr:uid="{00000000-0005-0000-0000-0000B8DC0000}"/>
    <cellStyle name="Percent 4 4" xfId="56501" xr:uid="{00000000-0005-0000-0000-0000B9DC0000}"/>
    <cellStyle name="Percent 4 5" xfId="56502" xr:uid="{00000000-0005-0000-0000-0000BADC0000}"/>
    <cellStyle name="Percent 4 6" xfId="56503" xr:uid="{00000000-0005-0000-0000-0000BBDC0000}"/>
    <cellStyle name="Percent 4 6 2" xfId="56504" xr:uid="{00000000-0005-0000-0000-0000BCDC0000}"/>
    <cellStyle name="Percent 4 6 3" xfId="56505" xr:uid="{00000000-0005-0000-0000-0000BDDC0000}"/>
    <cellStyle name="Percent 4 6 4" xfId="56506" xr:uid="{00000000-0005-0000-0000-0000BEDC0000}"/>
    <cellStyle name="Percent 4 7" xfId="56507" xr:uid="{00000000-0005-0000-0000-0000BFDC0000}"/>
    <cellStyle name="Percent 4 8" xfId="56508" xr:uid="{00000000-0005-0000-0000-0000C0DC0000}"/>
    <cellStyle name="Percent 4 9" xfId="56509" xr:uid="{00000000-0005-0000-0000-0000C1DC0000}"/>
    <cellStyle name="Percent 40" xfId="56510" xr:uid="{00000000-0005-0000-0000-0000C2DC0000}"/>
    <cellStyle name="Percent 40 2" xfId="56511" xr:uid="{00000000-0005-0000-0000-0000C3DC0000}"/>
    <cellStyle name="Percent 40 2 2" xfId="56512" xr:uid="{00000000-0005-0000-0000-0000C4DC0000}"/>
    <cellStyle name="Percent 40 3" xfId="56513" xr:uid="{00000000-0005-0000-0000-0000C5DC0000}"/>
    <cellStyle name="Percent 40 3 2" xfId="56514" xr:uid="{00000000-0005-0000-0000-0000C6DC0000}"/>
    <cellStyle name="Percent 40 4" xfId="56515" xr:uid="{00000000-0005-0000-0000-0000C7DC0000}"/>
    <cellStyle name="Percent 40 4 2" xfId="56516" xr:uid="{00000000-0005-0000-0000-0000C8DC0000}"/>
    <cellStyle name="Percent 40 5" xfId="56517" xr:uid="{00000000-0005-0000-0000-0000C9DC0000}"/>
    <cellStyle name="Percent 40 5 2" xfId="56518" xr:uid="{00000000-0005-0000-0000-0000CADC0000}"/>
    <cellStyle name="Percent 40 6" xfId="56519" xr:uid="{00000000-0005-0000-0000-0000CBDC0000}"/>
    <cellStyle name="Percent 40 6 2" xfId="56520" xr:uid="{00000000-0005-0000-0000-0000CCDC0000}"/>
    <cellStyle name="Percent 40 7" xfId="56521" xr:uid="{00000000-0005-0000-0000-0000CDDC0000}"/>
    <cellStyle name="Percent 40 7 2" xfId="56522" xr:uid="{00000000-0005-0000-0000-0000CEDC0000}"/>
    <cellStyle name="Percent 40 8" xfId="56523" xr:uid="{00000000-0005-0000-0000-0000CFDC0000}"/>
    <cellStyle name="Percent 41" xfId="56524" xr:uid="{00000000-0005-0000-0000-0000D0DC0000}"/>
    <cellStyle name="Percent 41 2" xfId="56525" xr:uid="{00000000-0005-0000-0000-0000D1DC0000}"/>
    <cellStyle name="Percent 42" xfId="56526" xr:uid="{00000000-0005-0000-0000-0000D2DC0000}"/>
    <cellStyle name="Percent 42 2" xfId="56527" xr:uid="{00000000-0005-0000-0000-0000D3DC0000}"/>
    <cellStyle name="Percent 42 2 2" xfId="56528" xr:uid="{00000000-0005-0000-0000-0000D4DC0000}"/>
    <cellStyle name="Percent 42 3" xfId="56529" xr:uid="{00000000-0005-0000-0000-0000D5DC0000}"/>
    <cellStyle name="Percent 42 3 2" xfId="56530" xr:uid="{00000000-0005-0000-0000-0000D6DC0000}"/>
    <cellStyle name="Percent 42 4" xfId="56531" xr:uid="{00000000-0005-0000-0000-0000D7DC0000}"/>
    <cellStyle name="Percent 42 4 2" xfId="56532" xr:uid="{00000000-0005-0000-0000-0000D8DC0000}"/>
    <cellStyle name="Percent 42 5" xfId="56533" xr:uid="{00000000-0005-0000-0000-0000D9DC0000}"/>
    <cellStyle name="Percent 42 5 2" xfId="56534" xr:uid="{00000000-0005-0000-0000-0000DADC0000}"/>
    <cellStyle name="Percent 42 6" xfId="56535" xr:uid="{00000000-0005-0000-0000-0000DBDC0000}"/>
    <cellStyle name="Percent 42 6 2" xfId="56536" xr:uid="{00000000-0005-0000-0000-0000DCDC0000}"/>
    <cellStyle name="Percent 42 7" xfId="56537" xr:uid="{00000000-0005-0000-0000-0000DDDC0000}"/>
    <cellStyle name="Percent 42 7 2" xfId="56538" xr:uid="{00000000-0005-0000-0000-0000DEDC0000}"/>
    <cellStyle name="Percent 42 8" xfId="56539" xr:uid="{00000000-0005-0000-0000-0000DFDC0000}"/>
    <cellStyle name="Percent 43" xfId="56540" xr:uid="{00000000-0005-0000-0000-0000E0DC0000}"/>
    <cellStyle name="Percent 43 10" xfId="56541" xr:uid="{00000000-0005-0000-0000-0000E1DC0000}"/>
    <cellStyle name="Percent 43 2" xfId="56542" xr:uid="{00000000-0005-0000-0000-0000E2DC0000}"/>
    <cellStyle name="Percent 43 3" xfId="56543" xr:uid="{00000000-0005-0000-0000-0000E3DC0000}"/>
    <cellStyle name="Percent 43 4" xfId="56544" xr:uid="{00000000-0005-0000-0000-0000E4DC0000}"/>
    <cellStyle name="Percent 43 5" xfId="56545" xr:uid="{00000000-0005-0000-0000-0000E5DC0000}"/>
    <cellStyle name="Percent 43 6" xfId="56546" xr:uid="{00000000-0005-0000-0000-0000E6DC0000}"/>
    <cellStyle name="Percent 43 7" xfId="56547" xr:uid="{00000000-0005-0000-0000-0000E7DC0000}"/>
    <cellStyle name="Percent 43 8" xfId="56548" xr:uid="{00000000-0005-0000-0000-0000E8DC0000}"/>
    <cellStyle name="Percent 43 9" xfId="56549" xr:uid="{00000000-0005-0000-0000-0000E9DC0000}"/>
    <cellStyle name="Percent 44" xfId="56550" xr:uid="{00000000-0005-0000-0000-0000EADC0000}"/>
    <cellStyle name="Percent 44 10" xfId="56551" xr:uid="{00000000-0005-0000-0000-0000EBDC0000}"/>
    <cellStyle name="Percent 44 2" xfId="56552" xr:uid="{00000000-0005-0000-0000-0000ECDC0000}"/>
    <cellStyle name="Percent 44 3" xfId="56553" xr:uid="{00000000-0005-0000-0000-0000EDDC0000}"/>
    <cellStyle name="Percent 44 4" xfId="56554" xr:uid="{00000000-0005-0000-0000-0000EEDC0000}"/>
    <cellStyle name="Percent 44 5" xfId="56555" xr:uid="{00000000-0005-0000-0000-0000EFDC0000}"/>
    <cellStyle name="Percent 44 6" xfId="56556" xr:uid="{00000000-0005-0000-0000-0000F0DC0000}"/>
    <cellStyle name="Percent 44 7" xfId="56557" xr:uid="{00000000-0005-0000-0000-0000F1DC0000}"/>
    <cellStyle name="Percent 44 8" xfId="56558" xr:uid="{00000000-0005-0000-0000-0000F2DC0000}"/>
    <cellStyle name="Percent 44 9" xfId="56559" xr:uid="{00000000-0005-0000-0000-0000F3DC0000}"/>
    <cellStyle name="Percent 45" xfId="56560" xr:uid="{00000000-0005-0000-0000-0000F4DC0000}"/>
    <cellStyle name="Percent 45 10" xfId="56561" xr:uid="{00000000-0005-0000-0000-0000F5DC0000}"/>
    <cellStyle name="Percent 45 11" xfId="56562" xr:uid="{00000000-0005-0000-0000-0000F6DC0000}"/>
    <cellStyle name="Percent 45 12" xfId="56563" xr:uid="{00000000-0005-0000-0000-0000F7DC0000}"/>
    <cellStyle name="Percent 45 13" xfId="56564" xr:uid="{00000000-0005-0000-0000-0000F8DC0000}"/>
    <cellStyle name="Percent 45 2" xfId="56565" xr:uid="{00000000-0005-0000-0000-0000F9DC0000}"/>
    <cellStyle name="Percent 45 3" xfId="56566" xr:uid="{00000000-0005-0000-0000-0000FADC0000}"/>
    <cellStyle name="Percent 45 4" xfId="56567" xr:uid="{00000000-0005-0000-0000-0000FBDC0000}"/>
    <cellStyle name="Percent 45 5" xfId="56568" xr:uid="{00000000-0005-0000-0000-0000FCDC0000}"/>
    <cellStyle name="Percent 45 6" xfId="56569" xr:uid="{00000000-0005-0000-0000-0000FDDC0000}"/>
    <cellStyle name="Percent 45 7" xfId="56570" xr:uid="{00000000-0005-0000-0000-0000FEDC0000}"/>
    <cellStyle name="Percent 45 8" xfId="56571" xr:uid="{00000000-0005-0000-0000-0000FFDC0000}"/>
    <cellStyle name="Percent 45 9" xfId="56572" xr:uid="{00000000-0005-0000-0000-000000DD0000}"/>
    <cellStyle name="Percent 46" xfId="56573" xr:uid="{00000000-0005-0000-0000-000001DD0000}"/>
    <cellStyle name="Percent 46 10" xfId="56574" xr:uid="{00000000-0005-0000-0000-000002DD0000}"/>
    <cellStyle name="Percent 46 2" xfId="56575" xr:uid="{00000000-0005-0000-0000-000003DD0000}"/>
    <cellStyle name="Percent 46 3" xfId="56576" xr:uid="{00000000-0005-0000-0000-000004DD0000}"/>
    <cellStyle name="Percent 46 4" xfId="56577" xr:uid="{00000000-0005-0000-0000-000005DD0000}"/>
    <cellStyle name="Percent 46 5" xfId="56578" xr:uid="{00000000-0005-0000-0000-000006DD0000}"/>
    <cellStyle name="Percent 46 6" xfId="56579" xr:uid="{00000000-0005-0000-0000-000007DD0000}"/>
    <cellStyle name="Percent 46 7" xfId="56580" xr:uid="{00000000-0005-0000-0000-000008DD0000}"/>
    <cellStyle name="Percent 46 8" xfId="56581" xr:uid="{00000000-0005-0000-0000-000009DD0000}"/>
    <cellStyle name="Percent 46 9" xfId="56582" xr:uid="{00000000-0005-0000-0000-00000ADD0000}"/>
    <cellStyle name="Percent 47" xfId="56583" xr:uid="{00000000-0005-0000-0000-00000BDD0000}"/>
    <cellStyle name="Percent 47 10" xfId="56584" xr:uid="{00000000-0005-0000-0000-00000CDD0000}"/>
    <cellStyle name="Percent 47 11" xfId="56585" xr:uid="{00000000-0005-0000-0000-00000DDD0000}"/>
    <cellStyle name="Percent 47 12" xfId="56586" xr:uid="{00000000-0005-0000-0000-00000EDD0000}"/>
    <cellStyle name="Percent 47 13" xfId="56587" xr:uid="{00000000-0005-0000-0000-00000FDD0000}"/>
    <cellStyle name="Percent 47 2" xfId="56588" xr:uid="{00000000-0005-0000-0000-000010DD0000}"/>
    <cellStyle name="Percent 47 3" xfId="56589" xr:uid="{00000000-0005-0000-0000-000011DD0000}"/>
    <cellStyle name="Percent 47 4" xfId="56590" xr:uid="{00000000-0005-0000-0000-000012DD0000}"/>
    <cellStyle name="Percent 47 5" xfId="56591" xr:uid="{00000000-0005-0000-0000-000013DD0000}"/>
    <cellStyle name="Percent 47 6" xfId="56592" xr:uid="{00000000-0005-0000-0000-000014DD0000}"/>
    <cellStyle name="Percent 47 7" xfId="56593" xr:uid="{00000000-0005-0000-0000-000015DD0000}"/>
    <cellStyle name="Percent 47 8" xfId="56594" xr:uid="{00000000-0005-0000-0000-000016DD0000}"/>
    <cellStyle name="Percent 47 9" xfId="56595" xr:uid="{00000000-0005-0000-0000-000017DD0000}"/>
    <cellStyle name="Percent 48" xfId="56596" xr:uid="{00000000-0005-0000-0000-000018DD0000}"/>
    <cellStyle name="Percent 48 10" xfId="56597" xr:uid="{00000000-0005-0000-0000-000019DD0000}"/>
    <cellStyle name="Percent 48 2" xfId="56598" xr:uid="{00000000-0005-0000-0000-00001ADD0000}"/>
    <cellStyle name="Percent 48 3" xfId="56599" xr:uid="{00000000-0005-0000-0000-00001BDD0000}"/>
    <cellStyle name="Percent 48 4" xfId="56600" xr:uid="{00000000-0005-0000-0000-00001CDD0000}"/>
    <cellStyle name="Percent 48 5" xfId="56601" xr:uid="{00000000-0005-0000-0000-00001DDD0000}"/>
    <cellStyle name="Percent 48 6" xfId="56602" xr:uid="{00000000-0005-0000-0000-00001EDD0000}"/>
    <cellStyle name="Percent 48 7" xfId="56603" xr:uid="{00000000-0005-0000-0000-00001FDD0000}"/>
    <cellStyle name="Percent 48 8" xfId="56604" xr:uid="{00000000-0005-0000-0000-000020DD0000}"/>
    <cellStyle name="Percent 48 9" xfId="56605" xr:uid="{00000000-0005-0000-0000-000021DD0000}"/>
    <cellStyle name="Percent 49" xfId="56606" xr:uid="{00000000-0005-0000-0000-000022DD0000}"/>
    <cellStyle name="Percent 5" xfId="30" xr:uid="{00000000-0005-0000-0000-000023DD0000}"/>
    <cellStyle name="Percent 5 2" xfId="56608" xr:uid="{00000000-0005-0000-0000-000024DD0000}"/>
    <cellStyle name="Percent 5 3" xfId="56609" xr:uid="{00000000-0005-0000-0000-000025DD0000}"/>
    <cellStyle name="Percent 5 4" xfId="56610" xr:uid="{00000000-0005-0000-0000-000026DD0000}"/>
    <cellStyle name="Percent 5 5" xfId="56611" xr:uid="{00000000-0005-0000-0000-000027DD0000}"/>
    <cellStyle name="Percent 5 6" xfId="56607" xr:uid="{00000000-0005-0000-0000-000028DD0000}"/>
    <cellStyle name="Percent 51 2" xfId="56612" xr:uid="{00000000-0005-0000-0000-000029DD0000}"/>
    <cellStyle name="Percent 51 3" xfId="56613" xr:uid="{00000000-0005-0000-0000-00002ADD0000}"/>
    <cellStyle name="Percent 51 4" xfId="56614" xr:uid="{00000000-0005-0000-0000-00002BDD0000}"/>
    <cellStyle name="Percent 52 2" xfId="56615" xr:uid="{00000000-0005-0000-0000-00002CDD0000}"/>
    <cellStyle name="Percent 52 3" xfId="56616" xr:uid="{00000000-0005-0000-0000-00002DDD0000}"/>
    <cellStyle name="Percent 52 4" xfId="56617" xr:uid="{00000000-0005-0000-0000-00002EDD0000}"/>
    <cellStyle name="Percent 52 5" xfId="56618" xr:uid="{00000000-0005-0000-0000-00002FDD0000}"/>
    <cellStyle name="Percent 52 6" xfId="56619" xr:uid="{00000000-0005-0000-0000-000030DD0000}"/>
    <cellStyle name="Percent 52 7" xfId="56620" xr:uid="{00000000-0005-0000-0000-000031DD0000}"/>
    <cellStyle name="Percent 52 8" xfId="56621" xr:uid="{00000000-0005-0000-0000-000032DD0000}"/>
    <cellStyle name="Percent 54" xfId="56622" xr:uid="{00000000-0005-0000-0000-000033DD0000}"/>
    <cellStyle name="Percent 55" xfId="56623" xr:uid="{00000000-0005-0000-0000-000034DD0000}"/>
    <cellStyle name="Percent 55 2" xfId="56624" xr:uid="{00000000-0005-0000-0000-000035DD0000}"/>
    <cellStyle name="Percent 55 3" xfId="56625" xr:uid="{00000000-0005-0000-0000-000036DD0000}"/>
    <cellStyle name="Percent 57 2" xfId="56626" xr:uid="{00000000-0005-0000-0000-000037DD0000}"/>
    <cellStyle name="Percent 57 2 2" xfId="56627" xr:uid="{00000000-0005-0000-0000-000038DD0000}"/>
    <cellStyle name="Percent 57 2 3" xfId="56628" xr:uid="{00000000-0005-0000-0000-000039DD0000}"/>
    <cellStyle name="Percent 57 3" xfId="56629" xr:uid="{00000000-0005-0000-0000-00003ADD0000}"/>
    <cellStyle name="Percent 57 4" xfId="56630" xr:uid="{00000000-0005-0000-0000-00003BDD0000}"/>
    <cellStyle name="Percent 58 2" xfId="56631" xr:uid="{00000000-0005-0000-0000-00003CDD0000}"/>
    <cellStyle name="Percent 58 3" xfId="56632" xr:uid="{00000000-0005-0000-0000-00003DDD0000}"/>
    <cellStyle name="Percent 59 2" xfId="56633" xr:uid="{00000000-0005-0000-0000-00003EDD0000}"/>
    <cellStyle name="Percent 59 3" xfId="56634" xr:uid="{00000000-0005-0000-0000-00003FDD0000}"/>
    <cellStyle name="Percent 6" xfId="48" xr:uid="{00000000-0005-0000-0000-000040DD0000}"/>
    <cellStyle name="Percent 6 10" xfId="56636" xr:uid="{00000000-0005-0000-0000-000041DD0000}"/>
    <cellStyle name="Percent 6 11" xfId="56637" xr:uid="{00000000-0005-0000-0000-000042DD0000}"/>
    <cellStyle name="Percent 6 12" xfId="56638" xr:uid="{00000000-0005-0000-0000-000043DD0000}"/>
    <cellStyle name="Percent 6 13" xfId="56639" xr:uid="{00000000-0005-0000-0000-000044DD0000}"/>
    <cellStyle name="Percent 6 14" xfId="56640" xr:uid="{00000000-0005-0000-0000-000045DD0000}"/>
    <cellStyle name="Percent 6 15" xfId="56641" xr:uid="{00000000-0005-0000-0000-000046DD0000}"/>
    <cellStyle name="Percent 6 16" xfId="56642" xr:uid="{00000000-0005-0000-0000-000047DD0000}"/>
    <cellStyle name="Percent 6 17" xfId="56643" xr:uid="{00000000-0005-0000-0000-000048DD0000}"/>
    <cellStyle name="Percent 6 18" xfId="56644" xr:uid="{00000000-0005-0000-0000-000049DD0000}"/>
    <cellStyle name="Percent 6 19" xfId="56635" xr:uid="{00000000-0005-0000-0000-00004ADD0000}"/>
    <cellStyle name="Percent 6 2" xfId="56645" xr:uid="{00000000-0005-0000-0000-00004BDD0000}"/>
    <cellStyle name="Percent 6 3" xfId="56646" xr:uid="{00000000-0005-0000-0000-00004CDD0000}"/>
    <cellStyle name="Percent 6 3 2" xfId="56647" xr:uid="{00000000-0005-0000-0000-00004DDD0000}"/>
    <cellStyle name="Percent 6 3 2 2" xfId="56648" xr:uid="{00000000-0005-0000-0000-00004EDD0000}"/>
    <cellStyle name="Percent 6 3 2 3" xfId="56649" xr:uid="{00000000-0005-0000-0000-00004FDD0000}"/>
    <cellStyle name="Percent 6 3 3" xfId="56650" xr:uid="{00000000-0005-0000-0000-000050DD0000}"/>
    <cellStyle name="Percent 6 3 4" xfId="56651" xr:uid="{00000000-0005-0000-0000-000051DD0000}"/>
    <cellStyle name="Percent 6 4" xfId="56652" xr:uid="{00000000-0005-0000-0000-000052DD0000}"/>
    <cellStyle name="Percent 6 5" xfId="56653" xr:uid="{00000000-0005-0000-0000-000053DD0000}"/>
    <cellStyle name="Percent 6 6" xfId="56654" xr:uid="{00000000-0005-0000-0000-000054DD0000}"/>
    <cellStyle name="Percent 6 6 2" xfId="56655" xr:uid="{00000000-0005-0000-0000-000055DD0000}"/>
    <cellStyle name="Percent 6 6 2 2" xfId="56656" xr:uid="{00000000-0005-0000-0000-000056DD0000}"/>
    <cellStyle name="Percent 6 6 2 3" xfId="56657" xr:uid="{00000000-0005-0000-0000-000057DD0000}"/>
    <cellStyle name="Percent 6 6 3" xfId="56658" xr:uid="{00000000-0005-0000-0000-000058DD0000}"/>
    <cellStyle name="Percent 6 7" xfId="56659" xr:uid="{00000000-0005-0000-0000-000059DD0000}"/>
    <cellStyle name="Percent 6 8" xfId="56660" xr:uid="{00000000-0005-0000-0000-00005ADD0000}"/>
    <cellStyle name="Percent 6 9" xfId="56661" xr:uid="{00000000-0005-0000-0000-00005BDD0000}"/>
    <cellStyle name="Percent 60 2" xfId="56662" xr:uid="{00000000-0005-0000-0000-00005CDD0000}"/>
    <cellStyle name="Percent 60 3" xfId="56663" xr:uid="{00000000-0005-0000-0000-00005DDD0000}"/>
    <cellStyle name="Percent 61 2" xfId="56664" xr:uid="{00000000-0005-0000-0000-00005EDD0000}"/>
    <cellStyle name="Percent 61 3" xfId="56665" xr:uid="{00000000-0005-0000-0000-00005FDD0000}"/>
    <cellStyle name="Percent 62" xfId="56666" xr:uid="{00000000-0005-0000-0000-000060DD0000}"/>
    <cellStyle name="Percent 62 2" xfId="56667" xr:uid="{00000000-0005-0000-0000-000061DD0000}"/>
    <cellStyle name="Percent 62 3" xfId="56668" xr:uid="{00000000-0005-0000-0000-000062DD0000}"/>
    <cellStyle name="Percent 62 4" xfId="56669" xr:uid="{00000000-0005-0000-0000-000063DD0000}"/>
    <cellStyle name="Percent 62 5" xfId="56670" xr:uid="{00000000-0005-0000-0000-000064DD0000}"/>
    <cellStyle name="Percent 64" xfId="56671" xr:uid="{00000000-0005-0000-0000-000065DD0000}"/>
    <cellStyle name="Percent 64 2" xfId="56672" xr:uid="{00000000-0005-0000-0000-000066DD0000}"/>
    <cellStyle name="Percent 64 3" xfId="56673" xr:uid="{00000000-0005-0000-0000-000067DD0000}"/>
    <cellStyle name="Percent 64 4" xfId="56674" xr:uid="{00000000-0005-0000-0000-000068DD0000}"/>
    <cellStyle name="Percent 64 5" xfId="56675" xr:uid="{00000000-0005-0000-0000-000069DD0000}"/>
    <cellStyle name="Percent 68" xfId="56676" xr:uid="{00000000-0005-0000-0000-00006ADD0000}"/>
    <cellStyle name="Percent 7" xfId="56677" xr:uid="{00000000-0005-0000-0000-00006BDD0000}"/>
    <cellStyle name="Percent 7 10" xfId="56678" xr:uid="{00000000-0005-0000-0000-00006CDD0000}"/>
    <cellStyle name="Percent 7 11" xfId="56679" xr:uid="{00000000-0005-0000-0000-00006DDD0000}"/>
    <cellStyle name="Percent 7 12" xfId="56680" xr:uid="{00000000-0005-0000-0000-00006EDD0000}"/>
    <cellStyle name="Percent 7 12 2" xfId="56681" xr:uid="{00000000-0005-0000-0000-00006FDD0000}"/>
    <cellStyle name="Percent 7 12 2 2" xfId="56682" xr:uid="{00000000-0005-0000-0000-000070DD0000}"/>
    <cellStyle name="Percent 7 12 2 3" xfId="56683" xr:uid="{00000000-0005-0000-0000-000071DD0000}"/>
    <cellStyle name="Percent 7 12 3" xfId="56684" xr:uid="{00000000-0005-0000-0000-000072DD0000}"/>
    <cellStyle name="Percent 7 13" xfId="56685" xr:uid="{00000000-0005-0000-0000-000073DD0000}"/>
    <cellStyle name="Percent 7 14" xfId="56686" xr:uid="{00000000-0005-0000-0000-000074DD0000}"/>
    <cellStyle name="Percent 7 15" xfId="56687" xr:uid="{00000000-0005-0000-0000-000075DD0000}"/>
    <cellStyle name="Percent 7 16" xfId="56688" xr:uid="{00000000-0005-0000-0000-000076DD0000}"/>
    <cellStyle name="Percent 7 17" xfId="56689" xr:uid="{00000000-0005-0000-0000-000077DD0000}"/>
    <cellStyle name="Percent 7 18" xfId="56690" xr:uid="{00000000-0005-0000-0000-000078DD0000}"/>
    <cellStyle name="Percent 7 19" xfId="56691" xr:uid="{00000000-0005-0000-0000-000079DD0000}"/>
    <cellStyle name="Percent 7 2" xfId="56692" xr:uid="{00000000-0005-0000-0000-00007ADD0000}"/>
    <cellStyle name="Percent 7 2 10" xfId="56693" xr:uid="{00000000-0005-0000-0000-00007BDD0000}"/>
    <cellStyle name="Percent 7 2 2" xfId="56694" xr:uid="{00000000-0005-0000-0000-00007CDD0000}"/>
    <cellStyle name="Percent 7 2 3" xfId="56695" xr:uid="{00000000-0005-0000-0000-00007DDD0000}"/>
    <cellStyle name="Percent 7 2 4" xfId="56696" xr:uid="{00000000-0005-0000-0000-00007EDD0000}"/>
    <cellStyle name="Percent 7 2 5" xfId="56697" xr:uid="{00000000-0005-0000-0000-00007FDD0000}"/>
    <cellStyle name="Percent 7 2 6" xfId="56698" xr:uid="{00000000-0005-0000-0000-000080DD0000}"/>
    <cellStyle name="Percent 7 2 7" xfId="56699" xr:uid="{00000000-0005-0000-0000-000081DD0000}"/>
    <cellStyle name="Percent 7 2 8" xfId="56700" xr:uid="{00000000-0005-0000-0000-000082DD0000}"/>
    <cellStyle name="Percent 7 2 9" xfId="56701" xr:uid="{00000000-0005-0000-0000-000083DD0000}"/>
    <cellStyle name="Percent 7 20" xfId="56702" xr:uid="{00000000-0005-0000-0000-000084DD0000}"/>
    <cellStyle name="Percent 7 21" xfId="56703" xr:uid="{00000000-0005-0000-0000-000085DD0000}"/>
    <cellStyle name="Percent 7 22" xfId="56704" xr:uid="{00000000-0005-0000-0000-000086DD0000}"/>
    <cellStyle name="Percent 7 23" xfId="56705" xr:uid="{00000000-0005-0000-0000-000087DD0000}"/>
    <cellStyle name="Percent 7 24" xfId="56706" xr:uid="{00000000-0005-0000-0000-000088DD0000}"/>
    <cellStyle name="Percent 7 3" xfId="56707" xr:uid="{00000000-0005-0000-0000-000089DD0000}"/>
    <cellStyle name="Percent 7 3 10" xfId="56708" xr:uid="{00000000-0005-0000-0000-00008ADD0000}"/>
    <cellStyle name="Percent 7 3 2" xfId="56709" xr:uid="{00000000-0005-0000-0000-00008BDD0000}"/>
    <cellStyle name="Percent 7 3 3" xfId="56710" xr:uid="{00000000-0005-0000-0000-00008CDD0000}"/>
    <cellStyle name="Percent 7 3 4" xfId="56711" xr:uid="{00000000-0005-0000-0000-00008DDD0000}"/>
    <cellStyle name="Percent 7 3 5" xfId="56712" xr:uid="{00000000-0005-0000-0000-00008EDD0000}"/>
    <cellStyle name="Percent 7 3 6" xfId="56713" xr:uid="{00000000-0005-0000-0000-00008FDD0000}"/>
    <cellStyle name="Percent 7 3 7" xfId="56714" xr:uid="{00000000-0005-0000-0000-000090DD0000}"/>
    <cellStyle name="Percent 7 3 8" xfId="56715" xr:uid="{00000000-0005-0000-0000-000091DD0000}"/>
    <cellStyle name="Percent 7 3 9" xfId="56716" xr:uid="{00000000-0005-0000-0000-000092DD0000}"/>
    <cellStyle name="Percent 7 4" xfId="56717" xr:uid="{00000000-0005-0000-0000-000093DD0000}"/>
    <cellStyle name="Percent 7 4 10" xfId="56718" xr:uid="{00000000-0005-0000-0000-000094DD0000}"/>
    <cellStyle name="Percent 7 4 2" xfId="56719" xr:uid="{00000000-0005-0000-0000-000095DD0000}"/>
    <cellStyle name="Percent 7 4 3" xfId="56720" xr:uid="{00000000-0005-0000-0000-000096DD0000}"/>
    <cellStyle name="Percent 7 4 4" xfId="56721" xr:uid="{00000000-0005-0000-0000-000097DD0000}"/>
    <cellStyle name="Percent 7 4 5" xfId="56722" xr:uid="{00000000-0005-0000-0000-000098DD0000}"/>
    <cellStyle name="Percent 7 4 6" xfId="56723" xr:uid="{00000000-0005-0000-0000-000099DD0000}"/>
    <cellStyle name="Percent 7 4 7" xfId="56724" xr:uid="{00000000-0005-0000-0000-00009ADD0000}"/>
    <cellStyle name="Percent 7 4 8" xfId="56725" xr:uid="{00000000-0005-0000-0000-00009BDD0000}"/>
    <cellStyle name="Percent 7 4 9" xfId="56726" xr:uid="{00000000-0005-0000-0000-00009CDD0000}"/>
    <cellStyle name="Percent 7 5" xfId="56727" xr:uid="{00000000-0005-0000-0000-00009DDD0000}"/>
    <cellStyle name="Percent 7 5 10" xfId="56728" xr:uid="{00000000-0005-0000-0000-00009EDD0000}"/>
    <cellStyle name="Percent 7 5 2" xfId="56729" xr:uid="{00000000-0005-0000-0000-00009FDD0000}"/>
    <cellStyle name="Percent 7 5 3" xfId="56730" xr:uid="{00000000-0005-0000-0000-0000A0DD0000}"/>
    <cellStyle name="Percent 7 5 4" xfId="56731" xr:uid="{00000000-0005-0000-0000-0000A1DD0000}"/>
    <cellStyle name="Percent 7 5 5" xfId="56732" xr:uid="{00000000-0005-0000-0000-0000A2DD0000}"/>
    <cellStyle name="Percent 7 5 6" xfId="56733" xr:uid="{00000000-0005-0000-0000-0000A3DD0000}"/>
    <cellStyle name="Percent 7 5 7" xfId="56734" xr:uid="{00000000-0005-0000-0000-0000A4DD0000}"/>
    <cellStyle name="Percent 7 5 8" xfId="56735" xr:uid="{00000000-0005-0000-0000-0000A5DD0000}"/>
    <cellStyle name="Percent 7 5 9" xfId="56736" xr:uid="{00000000-0005-0000-0000-0000A6DD0000}"/>
    <cellStyle name="Percent 7 6" xfId="56737" xr:uid="{00000000-0005-0000-0000-0000A7DD0000}"/>
    <cellStyle name="Percent 7 6 10" xfId="56738" xr:uid="{00000000-0005-0000-0000-0000A8DD0000}"/>
    <cellStyle name="Percent 7 6 2" xfId="56739" xr:uid="{00000000-0005-0000-0000-0000A9DD0000}"/>
    <cellStyle name="Percent 7 6 3" xfId="56740" xr:uid="{00000000-0005-0000-0000-0000AADD0000}"/>
    <cellStyle name="Percent 7 6 4" xfId="56741" xr:uid="{00000000-0005-0000-0000-0000ABDD0000}"/>
    <cellStyle name="Percent 7 6 5" xfId="56742" xr:uid="{00000000-0005-0000-0000-0000ACDD0000}"/>
    <cellStyle name="Percent 7 6 6" xfId="56743" xr:uid="{00000000-0005-0000-0000-0000ADDD0000}"/>
    <cellStyle name="Percent 7 6 7" xfId="56744" xr:uid="{00000000-0005-0000-0000-0000AEDD0000}"/>
    <cellStyle name="Percent 7 6 8" xfId="56745" xr:uid="{00000000-0005-0000-0000-0000AFDD0000}"/>
    <cellStyle name="Percent 7 6 9" xfId="56746" xr:uid="{00000000-0005-0000-0000-0000B0DD0000}"/>
    <cellStyle name="Percent 7 7" xfId="56747" xr:uid="{00000000-0005-0000-0000-0000B1DD0000}"/>
    <cellStyle name="Percent 7 7 10" xfId="56748" xr:uid="{00000000-0005-0000-0000-0000B2DD0000}"/>
    <cellStyle name="Percent 7 7 2" xfId="56749" xr:uid="{00000000-0005-0000-0000-0000B3DD0000}"/>
    <cellStyle name="Percent 7 7 3" xfId="56750" xr:uid="{00000000-0005-0000-0000-0000B4DD0000}"/>
    <cellStyle name="Percent 7 7 4" xfId="56751" xr:uid="{00000000-0005-0000-0000-0000B5DD0000}"/>
    <cellStyle name="Percent 7 7 5" xfId="56752" xr:uid="{00000000-0005-0000-0000-0000B6DD0000}"/>
    <cellStyle name="Percent 7 7 6" xfId="56753" xr:uid="{00000000-0005-0000-0000-0000B7DD0000}"/>
    <cellStyle name="Percent 7 7 7" xfId="56754" xr:uid="{00000000-0005-0000-0000-0000B8DD0000}"/>
    <cellStyle name="Percent 7 7 8" xfId="56755" xr:uid="{00000000-0005-0000-0000-0000B9DD0000}"/>
    <cellStyle name="Percent 7 7 9" xfId="56756" xr:uid="{00000000-0005-0000-0000-0000BADD0000}"/>
    <cellStyle name="Percent 7 8" xfId="56757" xr:uid="{00000000-0005-0000-0000-0000BBDD0000}"/>
    <cellStyle name="Percent 7 9" xfId="56758" xr:uid="{00000000-0005-0000-0000-0000BCDD0000}"/>
    <cellStyle name="Percent 7 9 2" xfId="56759" xr:uid="{00000000-0005-0000-0000-0000BDDD0000}"/>
    <cellStyle name="Percent 7 9 2 2" xfId="56760" xr:uid="{00000000-0005-0000-0000-0000BEDD0000}"/>
    <cellStyle name="Percent 7 9 2 3" xfId="56761" xr:uid="{00000000-0005-0000-0000-0000BFDD0000}"/>
    <cellStyle name="Percent 7 9 3" xfId="56762" xr:uid="{00000000-0005-0000-0000-0000C0DD0000}"/>
    <cellStyle name="Percent 7 9 4" xfId="56763" xr:uid="{00000000-0005-0000-0000-0000C1DD0000}"/>
    <cellStyle name="Percent 70" xfId="56764" xr:uid="{00000000-0005-0000-0000-0000C2DD0000}"/>
    <cellStyle name="Percent 72" xfId="56765" xr:uid="{00000000-0005-0000-0000-0000C3DD0000}"/>
    <cellStyle name="Percent 78" xfId="56766" xr:uid="{00000000-0005-0000-0000-0000C4DD0000}"/>
    <cellStyle name="Percent 8" xfId="56767" xr:uid="{00000000-0005-0000-0000-0000C5DD0000}"/>
    <cellStyle name="Percent 8 10" xfId="56768" xr:uid="{00000000-0005-0000-0000-0000C6DD0000}"/>
    <cellStyle name="Percent 8 11" xfId="56769" xr:uid="{00000000-0005-0000-0000-0000C7DD0000}"/>
    <cellStyle name="Percent 8 2" xfId="56770" xr:uid="{00000000-0005-0000-0000-0000C8DD0000}"/>
    <cellStyle name="Percent 8 2 10" xfId="56771" xr:uid="{00000000-0005-0000-0000-0000C9DD0000}"/>
    <cellStyle name="Percent 8 2 2" xfId="56772" xr:uid="{00000000-0005-0000-0000-0000CADD0000}"/>
    <cellStyle name="Percent 8 2 3" xfId="56773" xr:uid="{00000000-0005-0000-0000-0000CBDD0000}"/>
    <cellStyle name="Percent 8 2 4" xfId="56774" xr:uid="{00000000-0005-0000-0000-0000CCDD0000}"/>
    <cellStyle name="Percent 8 2 5" xfId="56775" xr:uid="{00000000-0005-0000-0000-0000CDDD0000}"/>
    <cellStyle name="Percent 8 2 6" xfId="56776" xr:uid="{00000000-0005-0000-0000-0000CEDD0000}"/>
    <cellStyle name="Percent 8 2 7" xfId="56777" xr:uid="{00000000-0005-0000-0000-0000CFDD0000}"/>
    <cellStyle name="Percent 8 2 8" xfId="56778" xr:uid="{00000000-0005-0000-0000-0000D0DD0000}"/>
    <cellStyle name="Percent 8 2 9" xfId="56779" xr:uid="{00000000-0005-0000-0000-0000D1DD0000}"/>
    <cellStyle name="Percent 8 3" xfId="56780" xr:uid="{00000000-0005-0000-0000-0000D2DD0000}"/>
    <cellStyle name="Percent 8 3 10" xfId="56781" xr:uid="{00000000-0005-0000-0000-0000D3DD0000}"/>
    <cellStyle name="Percent 8 3 2" xfId="56782" xr:uid="{00000000-0005-0000-0000-0000D4DD0000}"/>
    <cellStyle name="Percent 8 3 3" xfId="56783" xr:uid="{00000000-0005-0000-0000-0000D5DD0000}"/>
    <cellStyle name="Percent 8 3 4" xfId="56784" xr:uid="{00000000-0005-0000-0000-0000D6DD0000}"/>
    <cellStyle name="Percent 8 3 5" xfId="56785" xr:uid="{00000000-0005-0000-0000-0000D7DD0000}"/>
    <cellStyle name="Percent 8 3 6" xfId="56786" xr:uid="{00000000-0005-0000-0000-0000D8DD0000}"/>
    <cellStyle name="Percent 8 3 7" xfId="56787" xr:uid="{00000000-0005-0000-0000-0000D9DD0000}"/>
    <cellStyle name="Percent 8 3 8" xfId="56788" xr:uid="{00000000-0005-0000-0000-0000DADD0000}"/>
    <cellStyle name="Percent 8 3 9" xfId="56789" xr:uid="{00000000-0005-0000-0000-0000DBDD0000}"/>
    <cellStyle name="Percent 8 4" xfId="56790" xr:uid="{00000000-0005-0000-0000-0000DCDD0000}"/>
    <cellStyle name="Percent 8 4 10" xfId="56791" xr:uid="{00000000-0005-0000-0000-0000DDDD0000}"/>
    <cellStyle name="Percent 8 4 2" xfId="56792" xr:uid="{00000000-0005-0000-0000-0000DEDD0000}"/>
    <cellStyle name="Percent 8 4 3" xfId="56793" xr:uid="{00000000-0005-0000-0000-0000DFDD0000}"/>
    <cellStyle name="Percent 8 4 4" xfId="56794" xr:uid="{00000000-0005-0000-0000-0000E0DD0000}"/>
    <cellStyle name="Percent 8 4 5" xfId="56795" xr:uid="{00000000-0005-0000-0000-0000E1DD0000}"/>
    <cellStyle name="Percent 8 4 6" xfId="56796" xr:uid="{00000000-0005-0000-0000-0000E2DD0000}"/>
    <cellStyle name="Percent 8 4 7" xfId="56797" xr:uid="{00000000-0005-0000-0000-0000E3DD0000}"/>
    <cellStyle name="Percent 8 4 8" xfId="56798" xr:uid="{00000000-0005-0000-0000-0000E4DD0000}"/>
    <cellStyle name="Percent 8 4 9" xfId="56799" xr:uid="{00000000-0005-0000-0000-0000E5DD0000}"/>
    <cellStyle name="Percent 8 5" xfId="56800" xr:uid="{00000000-0005-0000-0000-0000E6DD0000}"/>
    <cellStyle name="Percent 8 5 10" xfId="56801" xr:uid="{00000000-0005-0000-0000-0000E7DD0000}"/>
    <cellStyle name="Percent 8 5 2" xfId="56802" xr:uid="{00000000-0005-0000-0000-0000E8DD0000}"/>
    <cellStyle name="Percent 8 5 3" xfId="56803" xr:uid="{00000000-0005-0000-0000-0000E9DD0000}"/>
    <cellStyle name="Percent 8 5 4" xfId="56804" xr:uid="{00000000-0005-0000-0000-0000EADD0000}"/>
    <cellStyle name="Percent 8 5 5" xfId="56805" xr:uid="{00000000-0005-0000-0000-0000EBDD0000}"/>
    <cellStyle name="Percent 8 5 6" xfId="56806" xr:uid="{00000000-0005-0000-0000-0000ECDD0000}"/>
    <cellStyle name="Percent 8 5 7" xfId="56807" xr:uid="{00000000-0005-0000-0000-0000EDDD0000}"/>
    <cellStyle name="Percent 8 5 8" xfId="56808" xr:uid="{00000000-0005-0000-0000-0000EEDD0000}"/>
    <cellStyle name="Percent 8 5 9" xfId="56809" xr:uid="{00000000-0005-0000-0000-0000EFDD0000}"/>
    <cellStyle name="Percent 8 6" xfId="56810" xr:uid="{00000000-0005-0000-0000-0000F0DD0000}"/>
    <cellStyle name="Percent 8 6 10" xfId="56811" xr:uid="{00000000-0005-0000-0000-0000F1DD0000}"/>
    <cellStyle name="Percent 8 6 2" xfId="56812" xr:uid="{00000000-0005-0000-0000-0000F2DD0000}"/>
    <cellStyle name="Percent 8 6 3" xfId="56813" xr:uid="{00000000-0005-0000-0000-0000F3DD0000}"/>
    <cellStyle name="Percent 8 6 4" xfId="56814" xr:uid="{00000000-0005-0000-0000-0000F4DD0000}"/>
    <cellStyle name="Percent 8 6 5" xfId="56815" xr:uid="{00000000-0005-0000-0000-0000F5DD0000}"/>
    <cellStyle name="Percent 8 6 6" xfId="56816" xr:uid="{00000000-0005-0000-0000-0000F6DD0000}"/>
    <cellStyle name="Percent 8 6 7" xfId="56817" xr:uid="{00000000-0005-0000-0000-0000F7DD0000}"/>
    <cellStyle name="Percent 8 6 8" xfId="56818" xr:uid="{00000000-0005-0000-0000-0000F8DD0000}"/>
    <cellStyle name="Percent 8 6 9" xfId="56819" xr:uid="{00000000-0005-0000-0000-0000F9DD0000}"/>
    <cellStyle name="Percent 8 7" xfId="56820" xr:uid="{00000000-0005-0000-0000-0000FADD0000}"/>
    <cellStyle name="Percent 8 7 10" xfId="56821" xr:uid="{00000000-0005-0000-0000-0000FBDD0000}"/>
    <cellStyle name="Percent 8 7 2" xfId="56822" xr:uid="{00000000-0005-0000-0000-0000FCDD0000}"/>
    <cellStyle name="Percent 8 7 3" xfId="56823" xr:uid="{00000000-0005-0000-0000-0000FDDD0000}"/>
    <cellStyle name="Percent 8 7 4" xfId="56824" xr:uid="{00000000-0005-0000-0000-0000FEDD0000}"/>
    <cellStyle name="Percent 8 7 5" xfId="56825" xr:uid="{00000000-0005-0000-0000-0000FFDD0000}"/>
    <cellStyle name="Percent 8 7 6" xfId="56826" xr:uid="{00000000-0005-0000-0000-000000DE0000}"/>
    <cellStyle name="Percent 8 7 7" xfId="56827" xr:uid="{00000000-0005-0000-0000-000001DE0000}"/>
    <cellStyle name="Percent 8 7 8" xfId="56828" xr:uid="{00000000-0005-0000-0000-000002DE0000}"/>
    <cellStyle name="Percent 8 7 9" xfId="56829" xr:uid="{00000000-0005-0000-0000-000003DE0000}"/>
    <cellStyle name="Percent 8 8" xfId="56830" xr:uid="{00000000-0005-0000-0000-000004DE0000}"/>
    <cellStyle name="Percent 8 9" xfId="56831" xr:uid="{00000000-0005-0000-0000-000005DE0000}"/>
    <cellStyle name="Percent 80" xfId="56832" xr:uid="{00000000-0005-0000-0000-000006DE0000}"/>
    <cellStyle name="Percent 86" xfId="56833" xr:uid="{00000000-0005-0000-0000-000007DE0000}"/>
    <cellStyle name="Percent 87" xfId="56834" xr:uid="{00000000-0005-0000-0000-000008DE0000}"/>
    <cellStyle name="Percent 9" xfId="56835" xr:uid="{00000000-0005-0000-0000-000009DE0000}"/>
    <cellStyle name="Percent 9 2" xfId="56836" xr:uid="{00000000-0005-0000-0000-00000ADE0000}"/>
    <cellStyle name="Percent 9 3" xfId="56837" xr:uid="{00000000-0005-0000-0000-00000BDE0000}"/>
    <cellStyle name="Percent 9 4" xfId="56838" xr:uid="{00000000-0005-0000-0000-00000CDE0000}"/>
    <cellStyle name="Percent 9 5" xfId="56839" xr:uid="{00000000-0005-0000-0000-00000DDE0000}"/>
    <cellStyle name="Percent 94" xfId="56840" xr:uid="{00000000-0005-0000-0000-00000EDE0000}"/>
    <cellStyle name="Title 10" xfId="56841" xr:uid="{00000000-0005-0000-0000-00000FDE0000}"/>
    <cellStyle name="Title 10 2" xfId="56842" xr:uid="{00000000-0005-0000-0000-000010DE0000}"/>
    <cellStyle name="Title 10 3" xfId="56843" xr:uid="{00000000-0005-0000-0000-000011DE0000}"/>
    <cellStyle name="Title 11" xfId="56844" xr:uid="{00000000-0005-0000-0000-000012DE0000}"/>
    <cellStyle name="Title 11 2" xfId="56845" xr:uid="{00000000-0005-0000-0000-000013DE0000}"/>
    <cellStyle name="Title 11 3" xfId="56846" xr:uid="{00000000-0005-0000-0000-000014DE0000}"/>
    <cellStyle name="Title 12" xfId="56847" xr:uid="{00000000-0005-0000-0000-000015DE0000}"/>
    <cellStyle name="Title 12 2" xfId="56848" xr:uid="{00000000-0005-0000-0000-000016DE0000}"/>
    <cellStyle name="Title 12 3" xfId="56849" xr:uid="{00000000-0005-0000-0000-000017DE0000}"/>
    <cellStyle name="Title 13" xfId="56850" xr:uid="{00000000-0005-0000-0000-000018DE0000}"/>
    <cellStyle name="Title 13 2" xfId="56851" xr:uid="{00000000-0005-0000-0000-000019DE0000}"/>
    <cellStyle name="Title 13 3" xfId="56852" xr:uid="{00000000-0005-0000-0000-00001ADE0000}"/>
    <cellStyle name="Title 14" xfId="56853" xr:uid="{00000000-0005-0000-0000-00001BDE0000}"/>
    <cellStyle name="Title 14 2" xfId="56854" xr:uid="{00000000-0005-0000-0000-00001CDE0000}"/>
    <cellStyle name="Title 14 3" xfId="56855" xr:uid="{00000000-0005-0000-0000-00001DDE0000}"/>
    <cellStyle name="Title 15" xfId="56856" xr:uid="{00000000-0005-0000-0000-00001EDE0000}"/>
    <cellStyle name="Title 15 2" xfId="56857" xr:uid="{00000000-0005-0000-0000-00001FDE0000}"/>
    <cellStyle name="Title 15 3" xfId="56858" xr:uid="{00000000-0005-0000-0000-000020DE0000}"/>
    <cellStyle name="Title 15 4" xfId="56859" xr:uid="{00000000-0005-0000-0000-000021DE0000}"/>
    <cellStyle name="Title 15 5" xfId="56860" xr:uid="{00000000-0005-0000-0000-000022DE0000}"/>
    <cellStyle name="Title 15 6" xfId="56861" xr:uid="{00000000-0005-0000-0000-000023DE0000}"/>
    <cellStyle name="Title 15 7" xfId="56862" xr:uid="{00000000-0005-0000-0000-000024DE0000}"/>
    <cellStyle name="Title 16" xfId="56863" xr:uid="{00000000-0005-0000-0000-000025DE0000}"/>
    <cellStyle name="Title 17" xfId="56864" xr:uid="{00000000-0005-0000-0000-000026DE0000}"/>
    <cellStyle name="Title 18" xfId="56865" xr:uid="{00000000-0005-0000-0000-000027DE0000}"/>
    <cellStyle name="Title 19" xfId="56866" xr:uid="{00000000-0005-0000-0000-000028DE0000}"/>
    <cellStyle name="Title 2" xfId="56867" xr:uid="{00000000-0005-0000-0000-000029DE0000}"/>
    <cellStyle name="Title 2 10" xfId="56868" xr:uid="{00000000-0005-0000-0000-00002ADE0000}"/>
    <cellStyle name="Title 2 11" xfId="56869" xr:uid="{00000000-0005-0000-0000-00002BDE0000}"/>
    <cellStyle name="Title 2 12" xfId="56870" xr:uid="{00000000-0005-0000-0000-00002CDE0000}"/>
    <cellStyle name="Title 2 13" xfId="56871" xr:uid="{00000000-0005-0000-0000-00002DDE0000}"/>
    <cellStyle name="Title 2 14" xfId="56872" xr:uid="{00000000-0005-0000-0000-00002EDE0000}"/>
    <cellStyle name="Title 2 15" xfId="56873" xr:uid="{00000000-0005-0000-0000-00002FDE0000}"/>
    <cellStyle name="Title 2 16" xfId="56874" xr:uid="{00000000-0005-0000-0000-000030DE0000}"/>
    <cellStyle name="Title 2 17" xfId="56875" xr:uid="{00000000-0005-0000-0000-000031DE0000}"/>
    <cellStyle name="Title 2 18" xfId="56876" xr:uid="{00000000-0005-0000-0000-000032DE0000}"/>
    <cellStyle name="Title 2 19" xfId="56877" xr:uid="{00000000-0005-0000-0000-000033DE0000}"/>
    <cellStyle name="Title 2 2" xfId="56878" xr:uid="{00000000-0005-0000-0000-000034DE0000}"/>
    <cellStyle name="Title 2 20" xfId="56879" xr:uid="{00000000-0005-0000-0000-000035DE0000}"/>
    <cellStyle name="Title 2 21" xfId="56880" xr:uid="{00000000-0005-0000-0000-000036DE0000}"/>
    <cellStyle name="Title 2 3" xfId="56881" xr:uid="{00000000-0005-0000-0000-000037DE0000}"/>
    <cellStyle name="Title 2 4" xfId="56882" xr:uid="{00000000-0005-0000-0000-000038DE0000}"/>
    <cellStyle name="Title 2 5" xfId="56883" xr:uid="{00000000-0005-0000-0000-000039DE0000}"/>
    <cellStyle name="Title 2 6" xfId="56884" xr:uid="{00000000-0005-0000-0000-00003ADE0000}"/>
    <cellStyle name="Title 2 7" xfId="56885" xr:uid="{00000000-0005-0000-0000-00003BDE0000}"/>
    <cellStyle name="Title 2 8" xfId="56886" xr:uid="{00000000-0005-0000-0000-00003CDE0000}"/>
    <cellStyle name="Title 2 9" xfId="56887" xr:uid="{00000000-0005-0000-0000-00003DDE0000}"/>
    <cellStyle name="Title 20" xfId="56888" xr:uid="{00000000-0005-0000-0000-00003EDE0000}"/>
    <cellStyle name="Title 21" xfId="56889" xr:uid="{00000000-0005-0000-0000-00003FDE0000}"/>
    <cellStyle name="Title 22" xfId="56890" xr:uid="{00000000-0005-0000-0000-000040DE0000}"/>
    <cellStyle name="Title 23" xfId="56891" xr:uid="{00000000-0005-0000-0000-000041DE0000}"/>
    <cellStyle name="Title 24" xfId="56892" xr:uid="{00000000-0005-0000-0000-000042DE0000}"/>
    <cellStyle name="Title 25" xfId="56893" xr:uid="{00000000-0005-0000-0000-000043DE0000}"/>
    <cellStyle name="Title 26" xfId="56894" xr:uid="{00000000-0005-0000-0000-000044DE0000}"/>
    <cellStyle name="Title 27" xfId="56895" xr:uid="{00000000-0005-0000-0000-000045DE0000}"/>
    <cellStyle name="Title 28" xfId="56896" xr:uid="{00000000-0005-0000-0000-000046DE0000}"/>
    <cellStyle name="Title 29" xfId="56897" xr:uid="{00000000-0005-0000-0000-000047DE0000}"/>
    <cellStyle name="Title 3" xfId="56898" xr:uid="{00000000-0005-0000-0000-000048DE0000}"/>
    <cellStyle name="Title 3 2" xfId="56899" xr:uid="{00000000-0005-0000-0000-000049DE0000}"/>
    <cellStyle name="Title 3 3" xfId="56900" xr:uid="{00000000-0005-0000-0000-00004ADE0000}"/>
    <cellStyle name="Title 30" xfId="56901" xr:uid="{00000000-0005-0000-0000-00004BDE0000}"/>
    <cellStyle name="Title 31" xfId="56902" xr:uid="{00000000-0005-0000-0000-00004CDE0000}"/>
    <cellStyle name="Title 32" xfId="56903" xr:uid="{00000000-0005-0000-0000-00004DDE0000}"/>
    <cellStyle name="Title 33" xfId="56904" xr:uid="{00000000-0005-0000-0000-00004EDE0000}"/>
    <cellStyle name="Title 34" xfId="56905" xr:uid="{00000000-0005-0000-0000-00004FDE0000}"/>
    <cellStyle name="Title 4" xfId="56906" xr:uid="{00000000-0005-0000-0000-000050DE0000}"/>
    <cellStyle name="Title 4 2" xfId="56907" xr:uid="{00000000-0005-0000-0000-000051DE0000}"/>
    <cellStyle name="Title 4 3" xfId="56908" xr:uid="{00000000-0005-0000-0000-000052DE0000}"/>
    <cellStyle name="Title 5" xfId="56909" xr:uid="{00000000-0005-0000-0000-000053DE0000}"/>
    <cellStyle name="Title 5 2" xfId="56910" xr:uid="{00000000-0005-0000-0000-000054DE0000}"/>
    <cellStyle name="Title 5 3" xfId="56911" xr:uid="{00000000-0005-0000-0000-000055DE0000}"/>
    <cellStyle name="Title 6" xfId="56912" xr:uid="{00000000-0005-0000-0000-000056DE0000}"/>
    <cellStyle name="Title 6 2" xfId="56913" xr:uid="{00000000-0005-0000-0000-000057DE0000}"/>
    <cellStyle name="Title 6 3" xfId="56914" xr:uid="{00000000-0005-0000-0000-000058DE0000}"/>
    <cellStyle name="Title 7" xfId="56915" xr:uid="{00000000-0005-0000-0000-000059DE0000}"/>
    <cellStyle name="Title 7 2" xfId="56916" xr:uid="{00000000-0005-0000-0000-00005ADE0000}"/>
    <cellStyle name="Title 7 3" xfId="56917" xr:uid="{00000000-0005-0000-0000-00005BDE0000}"/>
    <cellStyle name="Title 8" xfId="56918" xr:uid="{00000000-0005-0000-0000-00005CDE0000}"/>
    <cellStyle name="Title 8 2" xfId="56919" xr:uid="{00000000-0005-0000-0000-00005DDE0000}"/>
    <cellStyle name="Title 8 3" xfId="56920" xr:uid="{00000000-0005-0000-0000-00005EDE0000}"/>
    <cellStyle name="Title 9" xfId="56921" xr:uid="{00000000-0005-0000-0000-00005FDE0000}"/>
    <cellStyle name="Title 9 2" xfId="56922" xr:uid="{00000000-0005-0000-0000-000060DE0000}"/>
    <cellStyle name="Title 9 3" xfId="56923" xr:uid="{00000000-0005-0000-0000-000061DE0000}"/>
    <cellStyle name="Total 10" xfId="56924" xr:uid="{00000000-0005-0000-0000-000062DE0000}"/>
    <cellStyle name="Total 10 2" xfId="56925" xr:uid="{00000000-0005-0000-0000-000063DE0000}"/>
    <cellStyle name="Total 10 3" xfId="56926" xr:uid="{00000000-0005-0000-0000-000064DE0000}"/>
    <cellStyle name="Total 11" xfId="56927" xr:uid="{00000000-0005-0000-0000-000065DE0000}"/>
    <cellStyle name="Total 11 2" xfId="56928" xr:uid="{00000000-0005-0000-0000-000066DE0000}"/>
    <cellStyle name="Total 11 3" xfId="56929" xr:uid="{00000000-0005-0000-0000-000067DE0000}"/>
    <cellStyle name="Total 12" xfId="56930" xr:uid="{00000000-0005-0000-0000-000068DE0000}"/>
    <cellStyle name="Total 12 2" xfId="56931" xr:uid="{00000000-0005-0000-0000-000069DE0000}"/>
    <cellStyle name="Total 12 3" xfId="56932" xr:uid="{00000000-0005-0000-0000-00006ADE0000}"/>
    <cellStyle name="Total 13" xfId="56933" xr:uid="{00000000-0005-0000-0000-00006BDE0000}"/>
    <cellStyle name="Total 13 2" xfId="56934" xr:uid="{00000000-0005-0000-0000-00006CDE0000}"/>
    <cellStyle name="Total 13 3" xfId="56935" xr:uid="{00000000-0005-0000-0000-00006DDE0000}"/>
    <cellStyle name="Total 14" xfId="56936" xr:uid="{00000000-0005-0000-0000-00006EDE0000}"/>
    <cellStyle name="Total 14 2" xfId="56937" xr:uid="{00000000-0005-0000-0000-00006FDE0000}"/>
    <cellStyle name="Total 14 3" xfId="56938" xr:uid="{00000000-0005-0000-0000-000070DE0000}"/>
    <cellStyle name="Total 15" xfId="56939" xr:uid="{00000000-0005-0000-0000-000071DE0000}"/>
    <cellStyle name="Total 15 2" xfId="56940" xr:uid="{00000000-0005-0000-0000-000072DE0000}"/>
    <cellStyle name="Total 15 3" xfId="56941" xr:uid="{00000000-0005-0000-0000-000073DE0000}"/>
    <cellStyle name="Total 15 4" xfId="56942" xr:uid="{00000000-0005-0000-0000-000074DE0000}"/>
    <cellStyle name="Total 15 5" xfId="56943" xr:uid="{00000000-0005-0000-0000-000075DE0000}"/>
    <cellStyle name="Total 15 6" xfId="56944" xr:uid="{00000000-0005-0000-0000-000076DE0000}"/>
    <cellStyle name="Total 15 7" xfId="56945" xr:uid="{00000000-0005-0000-0000-000077DE0000}"/>
    <cellStyle name="Total 16" xfId="56946" xr:uid="{00000000-0005-0000-0000-000078DE0000}"/>
    <cellStyle name="Total 17" xfId="56947" xr:uid="{00000000-0005-0000-0000-000079DE0000}"/>
    <cellStyle name="Total 18" xfId="56948" xr:uid="{00000000-0005-0000-0000-00007ADE0000}"/>
    <cellStyle name="Total 19" xfId="56949" xr:uid="{00000000-0005-0000-0000-00007BDE0000}"/>
    <cellStyle name="Total 2" xfId="56950" xr:uid="{00000000-0005-0000-0000-00007CDE0000}"/>
    <cellStyle name="Total 2 10" xfId="56951" xr:uid="{00000000-0005-0000-0000-00007DDE0000}"/>
    <cellStyle name="Total 2 11" xfId="56952" xr:uid="{00000000-0005-0000-0000-00007EDE0000}"/>
    <cellStyle name="Total 2 12" xfId="56953" xr:uid="{00000000-0005-0000-0000-00007FDE0000}"/>
    <cellStyle name="Total 2 13" xfId="56954" xr:uid="{00000000-0005-0000-0000-000080DE0000}"/>
    <cellStyle name="Total 2 14" xfId="56955" xr:uid="{00000000-0005-0000-0000-000081DE0000}"/>
    <cellStyle name="Total 2 2" xfId="56956" xr:uid="{00000000-0005-0000-0000-000082DE0000}"/>
    <cellStyle name="Total 2 3" xfId="56957" xr:uid="{00000000-0005-0000-0000-000083DE0000}"/>
    <cellStyle name="Total 2 4" xfId="56958" xr:uid="{00000000-0005-0000-0000-000084DE0000}"/>
    <cellStyle name="Total 2 5" xfId="56959" xr:uid="{00000000-0005-0000-0000-000085DE0000}"/>
    <cellStyle name="Total 2 6" xfId="56960" xr:uid="{00000000-0005-0000-0000-000086DE0000}"/>
    <cellStyle name="Total 2 7" xfId="56961" xr:uid="{00000000-0005-0000-0000-000087DE0000}"/>
    <cellStyle name="Total 2 8" xfId="56962" xr:uid="{00000000-0005-0000-0000-000088DE0000}"/>
    <cellStyle name="Total 2 9" xfId="56963" xr:uid="{00000000-0005-0000-0000-000089DE0000}"/>
    <cellStyle name="Total 20" xfId="56964" xr:uid="{00000000-0005-0000-0000-00008ADE0000}"/>
    <cellStyle name="Total 21" xfId="56965" xr:uid="{00000000-0005-0000-0000-00008BDE0000}"/>
    <cellStyle name="Total 22" xfId="56966" xr:uid="{00000000-0005-0000-0000-00008CDE0000}"/>
    <cellStyle name="Total 23" xfId="56967" xr:uid="{00000000-0005-0000-0000-00008DDE0000}"/>
    <cellStyle name="Total 24" xfId="56968" xr:uid="{00000000-0005-0000-0000-00008EDE0000}"/>
    <cellStyle name="Total 25" xfId="56969" xr:uid="{00000000-0005-0000-0000-00008FDE0000}"/>
    <cellStyle name="Total 26" xfId="56970" xr:uid="{00000000-0005-0000-0000-000090DE0000}"/>
    <cellStyle name="Total 27" xfId="56971" xr:uid="{00000000-0005-0000-0000-000091DE0000}"/>
    <cellStyle name="Total 28" xfId="56972" xr:uid="{00000000-0005-0000-0000-000092DE0000}"/>
    <cellStyle name="Total 29" xfId="56973" xr:uid="{00000000-0005-0000-0000-000093DE0000}"/>
    <cellStyle name="Total 3" xfId="56974" xr:uid="{00000000-0005-0000-0000-000094DE0000}"/>
    <cellStyle name="Total 3 2" xfId="56975" xr:uid="{00000000-0005-0000-0000-000095DE0000}"/>
    <cellStyle name="Total 3 3" xfId="56976" xr:uid="{00000000-0005-0000-0000-000096DE0000}"/>
    <cellStyle name="Total 30" xfId="56977" xr:uid="{00000000-0005-0000-0000-000097DE0000}"/>
    <cellStyle name="Total 31" xfId="56978" xr:uid="{00000000-0005-0000-0000-000098DE0000}"/>
    <cellStyle name="Total 32" xfId="56979" xr:uid="{00000000-0005-0000-0000-000099DE0000}"/>
    <cellStyle name="Total 33" xfId="56980" xr:uid="{00000000-0005-0000-0000-00009ADE0000}"/>
    <cellStyle name="Total 34" xfId="56981" xr:uid="{00000000-0005-0000-0000-00009BDE0000}"/>
    <cellStyle name="Total 4" xfId="56982" xr:uid="{00000000-0005-0000-0000-00009CDE0000}"/>
    <cellStyle name="Total 4 2" xfId="56983" xr:uid="{00000000-0005-0000-0000-00009DDE0000}"/>
    <cellStyle name="Total 4 3" xfId="56984" xr:uid="{00000000-0005-0000-0000-00009EDE0000}"/>
    <cellStyle name="Total 5" xfId="56985" xr:uid="{00000000-0005-0000-0000-00009FDE0000}"/>
    <cellStyle name="Total 5 2" xfId="56986" xr:uid="{00000000-0005-0000-0000-0000A0DE0000}"/>
    <cellStyle name="Total 5 3" xfId="56987" xr:uid="{00000000-0005-0000-0000-0000A1DE0000}"/>
    <cellStyle name="Total 6" xfId="56988" xr:uid="{00000000-0005-0000-0000-0000A2DE0000}"/>
    <cellStyle name="Total 6 2" xfId="56989" xr:uid="{00000000-0005-0000-0000-0000A3DE0000}"/>
    <cellStyle name="Total 6 3" xfId="56990" xr:uid="{00000000-0005-0000-0000-0000A4DE0000}"/>
    <cellStyle name="Total 7" xfId="56991" xr:uid="{00000000-0005-0000-0000-0000A5DE0000}"/>
    <cellStyle name="Total 7 2" xfId="56992" xr:uid="{00000000-0005-0000-0000-0000A6DE0000}"/>
    <cellStyle name="Total 7 3" xfId="56993" xr:uid="{00000000-0005-0000-0000-0000A7DE0000}"/>
    <cellStyle name="Total 8" xfId="56994" xr:uid="{00000000-0005-0000-0000-0000A8DE0000}"/>
    <cellStyle name="Total 8 2" xfId="56995" xr:uid="{00000000-0005-0000-0000-0000A9DE0000}"/>
    <cellStyle name="Total 8 3" xfId="56996" xr:uid="{00000000-0005-0000-0000-0000AADE0000}"/>
    <cellStyle name="Total 9" xfId="56997" xr:uid="{00000000-0005-0000-0000-0000ABDE0000}"/>
    <cellStyle name="Total 9 2" xfId="56998" xr:uid="{00000000-0005-0000-0000-0000ACDE0000}"/>
    <cellStyle name="Total 9 3" xfId="56999" xr:uid="{00000000-0005-0000-0000-0000ADDE0000}"/>
    <cellStyle name="Warning Text 10" xfId="57000" xr:uid="{00000000-0005-0000-0000-0000AEDE0000}"/>
    <cellStyle name="Warning Text 10 2" xfId="57001" xr:uid="{00000000-0005-0000-0000-0000AFDE0000}"/>
    <cellStyle name="Warning Text 10 3" xfId="57002" xr:uid="{00000000-0005-0000-0000-0000B0DE0000}"/>
    <cellStyle name="Warning Text 11" xfId="57003" xr:uid="{00000000-0005-0000-0000-0000B1DE0000}"/>
    <cellStyle name="Warning Text 11 2" xfId="57004" xr:uid="{00000000-0005-0000-0000-0000B2DE0000}"/>
    <cellStyle name="Warning Text 11 3" xfId="57005" xr:uid="{00000000-0005-0000-0000-0000B3DE0000}"/>
    <cellStyle name="Warning Text 12" xfId="57006" xr:uid="{00000000-0005-0000-0000-0000B4DE0000}"/>
    <cellStyle name="Warning Text 12 2" xfId="57007" xr:uid="{00000000-0005-0000-0000-0000B5DE0000}"/>
    <cellStyle name="Warning Text 12 3" xfId="57008" xr:uid="{00000000-0005-0000-0000-0000B6DE0000}"/>
    <cellStyle name="Warning Text 13" xfId="57009" xr:uid="{00000000-0005-0000-0000-0000B7DE0000}"/>
    <cellStyle name="Warning Text 13 2" xfId="57010" xr:uid="{00000000-0005-0000-0000-0000B8DE0000}"/>
    <cellStyle name="Warning Text 13 3" xfId="57011" xr:uid="{00000000-0005-0000-0000-0000B9DE0000}"/>
    <cellStyle name="Warning Text 14" xfId="57012" xr:uid="{00000000-0005-0000-0000-0000BADE0000}"/>
    <cellStyle name="Warning Text 14 2" xfId="57013" xr:uid="{00000000-0005-0000-0000-0000BBDE0000}"/>
    <cellStyle name="Warning Text 14 3" xfId="57014" xr:uid="{00000000-0005-0000-0000-0000BCDE0000}"/>
    <cellStyle name="Warning Text 15" xfId="57015" xr:uid="{00000000-0005-0000-0000-0000BDDE0000}"/>
    <cellStyle name="Warning Text 15 2" xfId="57016" xr:uid="{00000000-0005-0000-0000-0000BEDE0000}"/>
    <cellStyle name="Warning Text 15 3" xfId="57017" xr:uid="{00000000-0005-0000-0000-0000BFDE0000}"/>
    <cellStyle name="Warning Text 15 4" xfId="57018" xr:uid="{00000000-0005-0000-0000-0000C0DE0000}"/>
    <cellStyle name="Warning Text 15 5" xfId="57019" xr:uid="{00000000-0005-0000-0000-0000C1DE0000}"/>
    <cellStyle name="Warning Text 15 6" xfId="57020" xr:uid="{00000000-0005-0000-0000-0000C2DE0000}"/>
    <cellStyle name="Warning Text 15 7" xfId="57021" xr:uid="{00000000-0005-0000-0000-0000C3DE0000}"/>
    <cellStyle name="Warning Text 16" xfId="57022" xr:uid="{00000000-0005-0000-0000-0000C4DE0000}"/>
    <cellStyle name="Warning Text 17" xfId="57023" xr:uid="{00000000-0005-0000-0000-0000C5DE0000}"/>
    <cellStyle name="Warning Text 18" xfId="57024" xr:uid="{00000000-0005-0000-0000-0000C6DE0000}"/>
    <cellStyle name="Warning Text 19" xfId="57025" xr:uid="{00000000-0005-0000-0000-0000C7DE0000}"/>
    <cellStyle name="Warning Text 2" xfId="57026" xr:uid="{00000000-0005-0000-0000-0000C8DE0000}"/>
    <cellStyle name="Warning Text 2 10" xfId="57027" xr:uid="{00000000-0005-0000-0000-0000C9DE0000}"/>
    <cellStyle name="Warning Text 2 11" xfId="57028" xr:uid="{00000000-0005-0000-0000-0000CADE0000}"/>
    <cellStyle name="Warning Text 2 12" xfId="57029" xr:uid="{00000000-0005-0000-0000-0000CBDE0000}"/>
    <cellStyle name="Warning Text 2 13" xfId="57030" xr:uid="{00000000-0005-0000-0000-0000CCDE0000}"/>
    <cellStyle name="Warning Text 2 14" xfId="57031" xr:uid="{00000000-0005-0000-0000-0000CDDE0000}"/>
    <cellStyle name="Warning Text 2 2" xfId="57032" xr:uid="{00000000-0005-0000-0000-0000CEDE0000}"/>
    <cellStyle name="Warning Text 2 3" xfId="57033" xr:uid="{00000000-0005-0000-0000-0000CFDE0000}"/>
    <cellStyle name="Warning Text 2 4" xfId="57034" xr:uid="{00000000-0005-0000-0000-0000D0DE0000}"/>
    <cellStyle name="Warning Text 2 5" xfId="57035" xr:uid="{00000000-0005-0000-0000-0000D1DE0000}"/>
    <cellStyle name="Warning Text 2 6" xfId="57036" xr:uid="{00000000-0005-0000-0000-0000D2DE0000}"/>
    <cellStyle name="Warning Text 2 7" xfId="57037" xr:uid="{00000000-0005-0000-0000-0000D3DE0000}"/>
    <cellStyle name="Warning Text 2 8" xfId="57038" xr:uid="{00000000-0005-0000-0000-0000D4DE0000}"/>
    <cellStyle name="Warning Text 2 9" xfId="57039" xr:uid="{00000000-0005-0000-0000-0000D5DE0000}"/>
    <cellStyle name="Warning Text 20" xfId="57040" xr:uid="{00000000-0005-0000-0000-0000D6DE0000}"/>
    <cellStyle name="Warning Text 21" xfId="57041" xr:uid="{00000000-0005-0000-0000-0000D7DE0000}"/>
    <cellStyle name="Warning Text 22" xfId="57042" xr:uid="{00000000-0005-0000-0000-0000D8DE0000}"/>
    <cellStyle name="Warning Text 23" xfId="57043" xr:uid="{00000000-0005-0000-0000-0000D9DE0000}"/>
    <cellStyle name="Warning Text 24" xfId="57044" xr:uid="{00000000-0005-0000-0000-0000DADE0000}"/>
    <cellStyle name="Warning Text 25" xfId="57045" xr:uid="{00000000-0005-0000-0000-0000DBDE0000}"/>
    <cellStyle name="Warning Text 26" xfId="57046" xr:uid="{00000000-0005-0000-0000-0000DCDE0000}"/>
    <cellStyle name="Warning Text 27" xfId="57047" xr:uid="{00000000-0005-0000-0000-0000DDDE0000}"/>
    <cellStyle name="Warning Text 28" xfId="57048" xr:uid="{00000000-0005-0000-0000-0000DEDE0000}"/>
    <cellStyle name="Warning Text 29" xfId="57049" xr:uid="{00000000-0005-0000-0000-0000DFDE0000}"/>
    <cellStyle name="Warning Text 3" xfId="57050" xr:uid="{00000000-0005-0000-0000-0000E0DE0000}"/>
    <cellStyle name="Warning Text 3 2" xfId="57051" xr:uid="{00000000-0005-0000-0000-0000E1DE0000}"/>
    <cellStyle name="Warning Text 3 3" xfId="57052" xr:uid="{00000000-0005-0000-0000-0000E2DE0000}"/>
    <cellStyle name="Warning Text 30" xfId="57053" xr:uid="{00000000-0005-0000-0000-0000E3DE0000}"/>
    <cellStyle name="Warning Text 31" xfId="57054" xr:uid="{00000000-0005-0000-0000-0000E4DE0000}"/>
    <cellStyle name="Warning Text 32" xfId="57055" xr:uid="{00000000-0005-0000-0000-0000E5DE0000}"/>
    <cellStyle name="Warning Text 33" xfId="57056" xr:uid="{00000000-0005-0000-0000-0000E6DE0000}"/>
    <cellStyle name="Warning Text 34" xfId="57057" xr:uid="{00000000-0005-0000-0000-0000E7DE0000}"/>
    <cellStyle name="Warning Text 4" xfId="57058" xr:uid="{00000000-0005-0000-0000-0000E8DE0000}"/>
    <cellStyle name="Warning Text 4 2" xfId="57059" xr:uid="{00000000-0005-0000-0000-0000E9DE0000}"/>
    <cellStyle name="Warning Text 4 3" xfId="57060" xr:uid="{00000000-0005-0000-0000-0000EADE0000}"/>
    <cellStyle name="Warning Text 5" xfId="57061" xr:uid="{00000000-0005-0000-0000-0000EBDE0000}"/>
    <cellStyle name="Warning Text 5 2" xfId="57062" xr:uid="{00000000-0005-0000-0000-0000ECDE0000}"/>
    <cellStyle name="Warning Text 5 3" xfId="57063" xr:uid="{00000000-0005-0000-0000-0000EDDE0000}"/>
    <cellStyle name="Warning Text 6" xfId="57064" xr:uid="{00000000-0005-0000-0000-0000EEDE0000}"/>
    <cellStyle name="Warning Text 6 2" xfId="57065" xr:uid="{00000000-0005-0000-0000-0000EFDE0000}"/>
    <cellStyle name="Warning Text 6 3" xfId="57066" xr:uid="{00000000-0005-0000-0000-0000F0DE0000}"/>
    <cellStyle name="Warning Text 7" xfId="57067" xr:uid="{00000000-0005-0000-0000-0000F1DE0000}"/>
    <cellStyle name="Warning Text 7 2" xfId="57068" xr:uid="{00000000-0005-0000-0000-0000F2DE0000}"/>
    <cellStyle name="Warning Text 7 3" xfId="57069" xr:uid="{00000000-0005-0000-0000-0000F3DE0000}"/>
    <cellStyle name="Warning Text 8" xfId="57070" xr:uid="{00000000-0005-0000-0000-0000F4DE0000}"/>
    <cellStyle name="Warning Text 8 2" xfId="57071" xr:uid="{00000000-0005-0000-0000-0000F5DE0000}"/>
    <cellStyle name="Warning Text 8 3" xfId="57072" xr:uid="{00000000-0005-0000-0000-0000F6DE0000}"/>
    <cellStyle name="Warning Text 9" xfId="57073" xr:uid="{00000000-0005-0000-0000-0000F7DE0000}"/>
    <cellStyle name="Warning Text 9 2" xfId="57074" xr:uid="{00000000-0005-0000-0000-0000F8DE0000}"/>
    <cellStyle name="Warning Text 9 3" xfId="57075" xr:uid="{00000000-0005-0000-0000-0000F9DE0000}"/>
  </cellStyles>
  <dxfs count="836">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rgb="FFFF0000"/>
      </font>
    </dxf>
    <dxf>
      <font>
        <color theme="5"/>
      </font>
    </dxf>
    <dxf>
      <font>
        <color rgb="FFFF0000"/>
      </font>
    </dxf>
    <dxf>
      <font>
        <color theme="5"/>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u val="none"/>
        <color auto="1"/>
      </font>
      <numFmt numFmtId="19" formatCode="m/d/yyyy"/>
    </dxf>
    <dxf>
      <fill>
        <patternFill>
          <bgColor theme="5" tint="0.59996337778862885"/>
        </patternFill>
      </fill>
    </dxf>
    <dxf>
      <font>
        <color rgb="FFEBEBED"/>
      </font>
    </dxf>
    <dxf>
      <font>
        <b/>
        <i val="0"/>
        <strike val="0"/>
        <u val="none"/>
        <color auto="1"/>
      </font>
      <numFmt numFmtId="0" formatCode="Genera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ont>
        <b/>
        <i val="0"/>
        <strike val="0"/>
        <u val="none"/>
        <color auto="1"/>
      </font>
      <numFmt numFmtId="19" formatCode="m/d/yyyy"/>
      <fill>
        <patternFill>
          <bgColor rgb="FFEBEBED"/>
        </patternFill>
      </fill>
    </dxf>
    <dxf>
      <fill>
        <patternFill>
          <bgColor theme="5" tint="0.59996337778862885"/>
        </patternFill>
      </fill>
    </dxf>
    <dxf>
      <fill>
        <patternFill>
          <bgColor theme="5" tint="0.59996337778862885"/>
        </patternFill>
      </fill>
    </dxf>
    <dxf>
      <font>
        <b/>
        <i val="0"/>
        <strike val="0"/>
        <u val="none"/>
        <color auto="1"/>
      </font>
      <numFmt numFmtId="19" formatCode="m/d/yyyy"/>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theme="0"/>
      </font>
      <border>
        <left/>
        <right/>
        <top/>
        <bottom/>
        <vertical/>
        <horizontal/>
      </border>
    </dxf>
    <dxf>
      <font>
        <color theme="0"/>
      </font>
      <border>
        <left/>
        <right/>
        <top/>
        <bottom/>
        <vertical/>
        <horizontal/>
      </border>
    </dxf>
    <dxf>
      <font>
        <color theme="0"/>
      </font>
    </dxf>
    <dxf>
      <font>
        <color rgb="FFC41230"/>
      </font>
    </dxf>
    <dxf>
      <font>
        <color rgb="FF92D050"/>
      </font>
    </dxf>
    <dxf>
      <font>
        <color rgb="FFF7941E"/>
      </font>
    </dxf>
    <dxf>
      <font>
        <color theme="0"/>
      </font>
      <border>
        <left/>
        <right/>
        <top/>
        <bottom/>
        <vertical/>
        <horizontal/>
      </border>
    </dxf>
    <dxf>
      <font>
        <color theme="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rgb="FFFF0000"/>
      </font>
    </dxf>
    <dxf>
      <fill>
        <patternFill>
          <bgColor theme="5"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rgb="FFFF0000"/>
      </font>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ill>
        <patternFill>
          <bgColor theme="9"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numFmt numFmtId="173" formatCode="###\ &quot;W&quot;"/>
      <fill>
        <patternFill>
          <bgColor theme="9" tint="0.79998168889431442"/>
        </patternFill>
      </fill>
    </dxf>
    <dxf>
      <numFmt numFmtId="187" formatCode="####.#\ \W"/>
    </dxf>
    <dxf>
      <fill>
        <patternFill>
          <bgColor theme="7" tint="0.59996337778862885"/>
        </patternFill>
      </fill>
    </dxf>
    <dxf>
      <numFmt numFmtId="173" formatCode="###\ &quot;W&quot;"/>
      <fill>
        <patternFill>
          <bgColor theme="9" tint="0.79998168889431442"/>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79998168889431442"/>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ill>
        <patternFill>
          <bgColor theme="9" tint="0.79998168889431442"/>
        </patternFill>
      </fill>
    </dxf>
    <dxf>
      <numFmt numFmtId="187" formatCode="####.#\ \W"/>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11"/>
        <color theme="1"/>
        <name val="Calibri"/>
        <scheme val="minor"/>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numFmt numFmtId="2" formatCode="0.00"/>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9"/>
        <color theme="1"/>
        <name val="Calibri"/>
        <scheme val="none"/>
      </font>
      <numFmt numFmtId="1" formatCode="0"/>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numFmt numFmtId="30" formatCode="@"/>
    </dxf>
    <dxf>
      <font>
        <strike val="0"/>
        <outline val="0"/>
        <shadow val="0"/>
        <u val="none"/>
        <vertAlign val="baseline"/>
        <sz val="10"/>
        <color theme="1"/>
        <name val="Calibri"/>
        <scheme val="minor"/>
      </font>
    </dxf>
    <dxf>
      <font>
        <b/>
        <i val="0"/>
        <strike val="0"/>
        <condense val="0"/>
        <extend val="0"/>
        <outline val="0"/>
        <shadow val="0"/>
        <u val="none"/>
        <vertAlign val="baseline"/>
        <sz val="11"/>
        <color theme="1"/>
        <name val="Arial"/>
        <scheme val="none"/>
      </font>
      <alignment horizontal="general" vertical="bottom" textRotation="0" wrapText="1" indent="0" justifyLastLine="0" shrinkToFit="0" readingOrder="0"/>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numFmt numFmtId="30" formatCode="@"/>
    </dxf>
    <dxf>
      <font>
        <strike val="0"/>
        <outline val="0"/>
        <shadow val="0"/>
        <u val="none"/>
        <vertAlign val="baseline"/>
        <sz val="10"/>
        <color theme="1"/>
        <name val="Calibri"/>
        <scheme val="minor"/>
      </font>
    </dxf>
    <dxf>
      <font>
        <b/>
        <i val="0"/>
        <strike val="0"/>
        <condense val="0"/>
        <extend val="0"/>
        <outline val="0"/>
        <shadow val="0"/>
        <u val="none"/>
        <vertAlign val="baseline"/>
        <sz val="11"/>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179" formatCode="#,##0.000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4" formatCode="#,##0.00"/>
      <fill>
        <patternFill patternType="solid">
          <fgColor theme="0" tint="-0.14999847407452621"/>
          <bgColor theme="0" tint="-0.14999847407452621"/>
        </patternFill>
      </fill>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auto="1"/>
        <name val="Calibri"/>
        <family val="2"/>
        <scheme val="min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0"/>
        <name val="Calibri"/>
        <family val="2"/>
        <scheme val="minor"/>
      </font>
      <numFmt numFmtId="0" formatCode="General"/>
      <fill>
        <patternFill patternType="solid">
          <fgColor theme="1"/>
          <bgColor theme="1"/>
        </patternFill>
      </fill>
      <alignment horizontal="general" vertical="center" textRotation="0" wrapText="1" indent="0" justifyLastLine="0" shrinkToFit="0" readingOrder="0"/>
    </dxf>
    <dxf>
      <border outline="0">
        <top style="thin">
          <color theme="1"/>
        </top>
      </border>
    </dxf>
    <dxf>
      <border outline="0">
        <top style="thin">
          <color theme="6" tint="0.39997558519241921"/>
        </top>
        <bottom style="thin">
          <color theme="1"/>
        </bottom>
      </border>
    </dxf>
    <dxf>
      <border outline="0">
        <bottom style="thin">
          <color theme="6" tint="0.39997558519241921"/>
        </bottom>
      </border>
    </dxf>
    <dxf>
      <font>
        <b/>
        <i val="0"/>
        <strike val="0"/>
        <condense val="0"/>
        <extend val="0"/>
        <outline val="0"/>
        <shadow val="0"/>
        <u val="none"/>
        <vertAlign val="baseline"/>
        <sz val="11"/>
        <color theme="0"/>
        <name val="Calibri"/>
        <family val="2"/>
        <scheme val="minor"/>
      </font>
      <numFmt numFmtId="0" formatCode="General"/>
      <fill>
        <patternFill patternType="solid">
          <fgColor theme="6"/>
          <bgColor theme="6"/>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border outline="0">
        <top style="thin">
          <color theme="6" tint="0.39997558519241921"/>
        </top>
      </border>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border outline="0">
        <bottom style="thin">
          <color theme="6" tint="0.39997558519241921"/>
        </bottom>
      </border>
    </dxf>
    <dxf>
      <font>
        <b/>
        <i val="0"/>
        <strike val="0"/>
        <condense val="0"/>
        <extend val="0"/>
        <outline val="0"/>
        <shadow val="0"/>
        <u val="none"/>
        <vertAlign val="baseline"/>
        <sz val="11"/>
        <color theme="0"/>
        <name val="Calibri"/>
        <family val="2"/>
        <scheme val="minor"/>
      </font>
      <numFmt numFmtId="0" formatCode="General"/>
      <fill>
        <patternFill patternType="solid">
          <fgColor theme="6"/>
          <bgColor theme="6"/>
        </patternFill>
      </fill>
      <alignment horizontal="general" vertical="bottom" textRotation="0" wrapText="1" indent="0" justifyLastLine="0" shrinkToFit="0" readingOrder="0"/>
    </dxf>
    <dxf>
      <alignment horizontal="left" vertical="bottom" textRotation="0" wrapText="0" indent="0" justifyLastLine="0" shrinkToFit="0" readingOrder="0"/>
    </dxf>
    <dxf>
      <numFmt numFmtId="0" formatCode="General"/>
    </dxf>
    <dxf>
      <border outline="0">
        <left style="thin">
          <color theme="5" tint="0.39997558519241921"/>
        </left>
        <right style="thin">
          <color theme="5" tint="0.39997558519241921"/>
        </right>
        <top style="thin">
          <color theme="5" tint="0.39997558519241921"/>
        </top>
        <bottom style="thin">
          <color theme="5" tint="0.39997558519241921"/>
        </bottom>
      </border>
    </dxf>
    <dxf>
      <border outline="0">
        <bottom style="thin">
          <color theme="5" tint="0.39997558519241921"/>
        </bottom>
      </border>
    </dxf>
    <dxf>
      <font>
        <b/>
        <i val="0"/>
        <strike val="0"/>
        <condense val="0"/>
        <extend val="0"/>
        <outline val="0"/>
        <shadow val="0"/>
        <u val="none"/>
        <vertAlign val="baseline"/>
        <sz val="11"/>
        <color theme="0"/>
        <name val="Calibri"/>
        <family val="2"/>
        <scheme val="minor"/>
      </font>
      <numFmt numFmtId="0" formatCode="General"/>
      <fill>
        <patternFill patternType="solid">
          <fgColor theme="5"/>
          <bgColor theme="5"/>
        </patternFill>
      </fill>
      <alignment horizontal="general" vertical="bottom" textRotation="0" wrapText="1"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9" formatCode="0.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9" formatCode="0.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9" formatCode="m/d/yyyy"/>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border outline="0">
        <top style="thin">
          <color theme="1"/>
        </top>
      </border>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border outline="0">
        <bottom style="thin">
          <color theme="1"/>
        </bottom>
      </border>
    </dxf>
    <dxf>
      <font>
        <b val="0"/>
        <i val="0"/>
        <strike val="0"/>
        <condense val="0"/>
        <extend val="0"/>
        <outline val="0"/>
        <shadow val="0"/>
        <u val="none"/>
        <vertAlign val="baseline"/>
        <sz val="11"/>
        <color auto="1"/>
        <name val="Calibri"/>
        <family val="2"/>
        <scheme val="minor"/>
      </font>
      <numFmt numFmtId="0" formatCode="General"/>
      <fill>
        <patternFill patternType="solid">
          <fgColor theme="1"/>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9" formatCode="0.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79" formatCode="#,##0.0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9" formatCode="m/d/yyyy"/>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9" formatCode="0.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79" formatCode="#,##0.0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9" formatCode="m/d/yyyy"/>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left" vertical="center" textRotation="0" indent="0" justifyLastLine="0" shrinkToFit="0" readingOrder="0"/>
    </dxf>
    <dxf>
      <border outline="0">
        <top style="thin">
          <color theme="7" tint="0.39997558519241921"/>
        </top>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general" vertical="center" textRotation="0" indent="0" justifyLastLine="0" shrinkToFit="0" readingOrder="0"/>
    </dxf>
    <dxf>
      <border outline="0">
        <bottom style="thin">
          <color theme="7" tint="0.39997558519241921"/>
        </bottom>
      </border>
    </dxf>
    <dxf>
      <font>
        <b/>
        <i val="0"/>
        <strike val="0"/>
        <condense val="0"/>
        <extend val="0"/>
        <outline val="0"/>
        <shadow val="0"/>
        <u val="none"/>
        <vertAlign val="baseline"/>
        <sz val="11"/>
        <color theme="0"/>
        <name val="Calibri"/>
        <scheme val="minor"/>
      </font>
      <numFmt numFmtId="0" formatCode="General"/>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border outline="0">
        <top style="thin">
          <color theme="7" tint="0.39997558519241921"/>
        </top>
      </border>
    </dxf>
    <dxf>
      <border outline="0">
        <left style="thin">
          <color theme="7" tint="0.39997558519241921"/>
        </lef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dxf>
    <dxf>
      <border outline="0">
        <bottom style="thin">
          <color theme="7" tint="0.39997558519241921"/>
        </bottom>
      </border>
    </dxf>
    <dxf>
      <font>
        <b/>
        <i val="0"/>
        <strike val="0"/>
        <condense val="0"/>
        <extend val="0"/>
        <outline val="0"/>
        <shadow val="0"/>
        <u val="none"/>
        <vertAlign val="baseline"/>
        <sz val="11"/>
        <color theme="0"/>
        <name val="Calibri"/>
        <scheme val="minor"/>
      </font>
      <numFmt numFmtId="0" formatCode="General"/>
      <fill>
        <patternFill patternType="solid">
          <fgColor theme="7"/>
          <bgColor theme="7"/>
        </patternFill>
      </fill>
      <alignment horizontal="general" vertical="bottom" textRotation="0" wrapText="1"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name val="Calibri"/>
        <scheme val="minor"/>
      </font>
      <numFmt numFmtId="2" formatCode="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169" formatCode="0.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19" formatCode="m/d/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181" formatCode="_(* #,##0_);_(* \(#,##0\);_(* &quot;-&quot;??_);_(@_)"/>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left" vertical="bottom" textRotation="0" indent="0" justifyLastLine="0" shrinkToFit="0" readingOrder="0"/>
    </dxf>
    <dxf>
      <border outline="0">
        <top style="thin">
          <color theme="7" tint="0.39997558519241921"/>
        </top>
      </border>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textRotation="0" indent="0" justifyLastLine="0" shrinkToFit="0" readingOrder="0"/>
    </dxf>
    <dxf>
      <border outline="0">
        <bottom style="thin">
          <color theme="7" tint="0.39997558519241921"/>
        </bottom>
      </border>
    </dxf>
    <dxf>
      <font>
        <b/>
        <i val="0"/>
        <strike val="0"/>
        <condense val="0"/>
        <extend val="0"/>
        <outline val="0"/>
        <shadow val="0"/>
        <u val="none"/>
        <vertAlign val="baseline"/>
        <sz val="11"/>
        <color theme="0"/>
        <name val="Calibri"/>
        <scheme val="minor"/>
      </font>
      <numFmt numFmtId="0" formatCode="General"/>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border outline="0">
        <top style="thin">
          <color theme="7" tint="0.39997558519241921"/>
        </top>
      </border>
    </dxf>
    <dxf>
      <border outline="0">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dxf>
    <dxf>
      <border outline="0">
        <bottom style="thin">
          <color theme="7" tint="0.39997558519241921"/>
        </bottom>
      </border>
    </dxf>
    <dxf>
      <font>
        <b/>
        <i val="0"/>
        <strike val="0"/>
        <condense val="0"/>
        <extend val="0"/>
        <outline val="0"/>
        <shadow val="0"/>
        <u val="none"/>
        <vertAlign val="baseline"/>
        <sz val="11"/>
        <color theme="0"/>
        <name val="Calibri"/>
        <scheme val="minor"/>
      </font>
      <numFmt numFmtId="0" formatCode="General"/>
      <fill>
        <patternFill patternType="none">
          <fgColor indexed="64"/>
          <bgColor auto="1"/>
        </patternFill>
      </fill>
      <alignment horizontal="general" vertical="bottom" textRotation="0" wrapText="1"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numFmt numFmtId="4" formatCode="#,##0.00"/>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169" formatCode="0.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179" formatCode="#,##0.0000"/>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19" formatCode="m/d/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 formatCode="#,##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b val="0"/>
        <strike val="0"/>
        <outline val="0"/>
        <shadow val="0"/>
        <u val="none"/>
        <vertAlign val="baseline"/>
        <sz val="1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169" formatCode="0.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19" formatCode="m/d/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b val="0"/>
        <strike val="0"/>
        <outline val="0"/>
        <shadow val="0"/>
        <u val="none"/>
        <vertAlign val="baseline"/>
        <sz val="11"/>
        <color theme="1"/>
        <name val="Calibri"/>
        <family val="2"/>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 formatCode="#,##0"/>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name val="Calibri"/>
        <scheme val="minor"/>
      </font>
      <numFmt numFmtId="4" formatCode="#,##0.00"/>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169" formatCode="0.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179" formatCode="#,##0.0000"/>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name val="Calibri"/>
        <scheme val="minor"/>
      </font>
      <numFmt numFmtId="19" formatCode="m/d/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 formatCode="#,##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b val="0"/>
        <strike val="0"/>
        <outline val="0"/>
        <shadow val="0"/>
        <u val="none"/>
        <vertAlign val="baseline"/>
        <sz val="1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b val="0"/>
        <i val="0"/>
        <strike val="0"/>
        <condense val="0"/>
        <extend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169" formatCode="0.000"/>
      <alignment horizontal="general" vertical="bottom"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4" formatCode="#,##0.00"/>
      <alignment horizontal="general" vertical="bottom" textRotation="0" wrapText="0" indent="0" justifyLastLine="0" shrinkToFit="0" readingOrder="0"/>
    </dxf>
    <dxf>
      <font>
        <strike val="0"/>
        <outline val="0"/>
        <shadow val="0"/>
        <u val="none"/>
        <vertAlign val="baseline"/>
        <sz val="11"/>
        <color auto="1"/>
        <name val="Calibri"/>
        <scheme val="minor"/>
      </font>
      <numFmt numFmtId="4" formatCode="#,##0.00"/>
      <alignment horizontal="general" vertical="bottom" textRotation="0" wrapText="0" indent="0" justifyLastLine="0" shrinkToFit="0" readingOrder="0"/>
    </dxf>
    <dxf>
      <font>
        <strike val="0"/>
        <outline val="0"/>
        <shadow val="0"/>
        <u val="none"/>
        <vertAlign val="baseline"/>
        <sz val="11"/>
        <color auto="1"/>
        <name val="Calibri"/>
        <scheme val="minor"/>
      </font>
      <alignment horizontal="left" vertical="center" textRotation="0" wrapText="0" indent="0" justifyLastLine="0" shrinkToFit="0" readingOrder="0"/>
    </dxf>
    <dxf>
      <font>
        <strike val="0"/>
        <outline val="0"/>
        <shadow val="0"/>
        <u val="none"/>
        <vertAlign val="baseline"/>
        <sz val="11"/>
        <color auto="1"/>
        <name val="Calibri"/>
        <scheme val="minor"/>
      </font>
      <numFmt numFmtId="19" formatCode="m/d/yyyy"/>
      <alignment horizontal="general" vertical="bottom"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wrapText="0" indent="0" justifyLastLine="0" shrinkToFit="0" readingOrder="0"/>
    </dxf>
    <dxf>
      <font>
        <strike val="0"/>
        <outline val="0"/>
        <shadow val="0"/>
        <u val="none"/>
        <vertAlign val="baseline"/>
        <sz val="11"/>
        <color auto="1"/>
        <name val="Calibri"/>
        <scheme val="minor"/>
      </font>
      <numFmt numFmtId="30" formatCode="@"/>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left" vertical="center" textRotation="0" wrapText="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wrapText="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30" formatCode="@"/>
      <alignment horizontal="general" vertical="bottom" textRotation="0" indent="0" justifyLastLine="0" shrinkToFit="0" readingOrder="0"/>
    </dxf>
    <dxf>
      <font>
        <strike val="0"/>
        <outline val="0"/>
        <shadow val="0"/>
        <u val="none"/>
        <vertAlign val="baseline"/>
        <sz val="11"/>
        <color auto="1"/>
        <name val="Calibri"/>
        <scheme val="minor"/>
      </font>
      <numFmt numFmtId="1" formatCode="0"/>
      <alignment horizontal="left" vertical="bottom"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b/>
        <i val="0"/>
        <strike val="0"/>
        <condense val="0"/>
        <extend val="0"/>
        <outline val="0"/>
        <shadow val="0"/>
        <u val="none"/>
        <vertAlign val="baseline"/>
        <sz val="11"/>
        <color auto="1"/>
        <name val="Calibri"/>
        <scheme val="minor"/>
      </font>
      <alignment horizontal="general" vertical="bottom" textRotation="0" wrapText="1" indent="0" justifyLastLine="0" shrinkToFit="0" readingOrder="0"/>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181" formatCode="_(* #,##0_);_(* \(#,##0\);_(* &quot;-&quot;??_);_(@_)"/>
    </dxf>
    <dxf>
      <numFmt numFmtId="2" formatCode="0.00"/>
    </dxf>
    <dxf>
      <alignment horizontal="general" vertical="bottom" textRotation="0" wrapText="1" indent="0" justifyLastLine="0" shrinkToFit="0" readingOrder="0"/>
    </dxf>
    <dxf>
      <fill>
        <patternFill patternType="solid">
          <fgColor indexed="64"/>
          <bgColor theme="7" tint="0.39997558519241921"/>
        </patternFill>
      </fill>
    </dxf>
    <dxf>
      <fill>
        <patternFill patternType="solid">
          <fgColor indexed="64"/>
          <bgColor theme="7" tint="0.39997558519241921"/>
        </patternFill>
      </fill>
    </dxf>
    <dxf>
      <fill>
        <patternFill patternType="solid">
          <fgColor indexed="64"/>
          <bgColor theme="7" tint="0.39997558519241921"/>
        </patternFill>
      </fill>
    </dxf>
    <dxf>
      <alignment horizontal="general" vertical="bottom" textRotation="0" wrapText="1" indent="0" justifyLastLine="0" shrinkToFit="0" readingOrder="0"/>
      <protection locked="1" hidden="0"/>
    </dxf>
    <dxf>
      <numFmt numFmtId="180" formatCode="0.0000000000"/>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2" formatCode="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s>
  <tableStyles count="0" defaultTableStyle="TableStyleMedium2" defaultPivotStyle="PivotStyleLight16"/>
  <colors>
    <mruColors>
      <color rgb="FF54BCEB"/>
      <color rgb="FFFFDD00"/>
      <color rgb="FF00334E"/>
      <color rgb="FFAFAFB1"/>
      <color rgb="FFD0D0D2"/>
      <color rgb="FFF7941E"/>
      <color rgb="FF807F83"/>
      <color rgb="FFB7E3F7"/>
      <color rgb="FF8BD1F1"/>
      <color rgb="FF1A9D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ctrlProps/ctrlProp1.xml><?xml version="1.0" encoding="utf-8"?>
<formControlPr xmlns="http://schemas.microsoft.com/office/spreadsheetml/2009/9/main" objectType="CheckBox" fmlaLink="$AU$18" lockText="1" noThreeD="1"/>
</file>

<file path=xl/ctrlProps/ctrlProp10.xml><?xml version="1.0" encoding="utf-8"?>
<formControlPr xmlns="http://schemas.microsoft.com/office/spreadsheetml/2009/9/main" objectType="CheckBox" fmlaLink="$AU$27" lockText="1" noThreeD="1"/>
</file>

<file path=xl/ctrlProps/ctrlProp11.xml><?xml version="1.0" encoding="utf-8"?>
<formControlPr xmlns="http://schemas.microsoft.com/office/spreadsheetml/2009/9/main" objectType="CheckBox" fmlaLink="$AU$28" lockText="1" noThreeD="1"/>
</file>

<file path=xl/ctrlProps/ctrlProp12.xml><?xml version="1.0" encoding="utf-8"?>
<formControlPr xmlns="http://schemas.microsoft.com/office/spreadsheetml/2009/9/main" objectType="CheckBox" fmlaLink="TEMPLATE!$C$169"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AU$19"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AU$20" lockText="1" noThreeD="1"/>
</file>

<file path=xl/ctrlProps/ctrlProp4.xml><?xml version="1.0" encoding="utf-8"?>
<formControlPr xmlns="http://schemas.microsoft.com/office/spreadsheetml/2009/9/main" objectType="CheckBox" fmlaLink="$AU$21" lockText="1" noThreeD="1"/>
</file>

<file path=xl/ctrlProps/ctrlProp5.xml><?xml version="1.0" encoding="utf-8"?>
<formControlPr xmlns="http://schemas.microsoft.com/office/spreadsheetml/2009/9/main" objectType="CheckBox" fmlaLink="$AU$22" lockText="1" noThreeD="1"/>
</file>

<file path=xl/ctrlProps/ctrlProp6.xml><?xml version="1.0" encoding="utf-8"?>
<formControlPr xmlns="http://schemas.microsoft.com/office/spreadsheetml/2009/9/main" objectType="CheckBox" fmlaLink="$AU$23" lockText="1" noThreeD="1"/>
</file>

<file path=xl/ctrlProps/ctrlProp7.xml><?xml version="1.0" encoding="utf-8"?>
<formControlPr xmlns="http://schemas.microsoft.com/office/spreadsheetml/2009/9/main" objectType="CheckBox" fmlaLink="$AU$24" lockText="1" noThreeD="1"/>
</file>

<file path=xl/ctrlProps/ctrlProp8.xml><?xml version="1.0" encoding="utf-8"?>
<formControlPr xmlns="http://schemas.microsoft.com/office/spreadsheetml/2009/9/main" objectType="CheckBox" fmlaLink="$AU$25" lockText="1" noThreeD="1"/>
</file>

<file path=xl/ctrlProps/ctrlProp9.xml><?xml version="1.0" encoding="utf-8"?>
<formControlPr xmlns="http://schemas.microsoft.com/office/spreadsheetml/2009/9/main" objectType="CheckBox" fmlaLink="$AU$26" lockText="1" noThreeD="1"/>
</file>

<file path=xl/drawings/_rels/drawing1.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5'!A1"/><Relationship Id="rId3" Type="http://schemas.openxmlformats.org/officeDocument/2006/relationships/hyperlink" Target="#'M01-S07'!A1"/><Relationship Id="rId7" Type="http://schemas.openxmlformats.org/officeDocument/2006/relationships/hyperlink" Target="#'M03-S01'!A1"/><Relationship Id="rId12" Type="http://schemas.openxmlformats.org/officeDocument/2006/relationships/hyperlink" Target="#'M01-S04'!A1"/><Relationship Id="rId2" Type="http://schemas.openxmlformats.org/officeDocument/2006/relationships/hyperlink" Target="#'M01-S06'!A1"/><Relationship Id="rId16" Type="http://schemas.openxmlformats.org/officeDocument/2006/relationships/hyperlink" Target="https://www.nipsco.com/docs/default-source/efficiency-docs/nipsco-incentive-application.xlsx" TargetMode="External"/><Relationship Id="rId1" Type="http://schemas.openxmlformats.org/officeDocument/2006/relationships/hyperlink" Target="#'M01-S01'!A1"/><Relationship Id="rId6" Type="http://schemas.openxmlformats.org/officeDocument/2006/relationships/hyperlink" Target="#'M02-S01'!A1"/><Relationship Id="rId11" Type="http://schemas.openxmlformats.org/officeDocument/2006/relationships/hyperlink" Target="#'M01-S03'!A1"/><Relationship Id="rId5" Type="http://schemas.openxmlformats.org/officeDocument/2006/relationships/hyperlink" Target="#'M01-S02'!C6"/><Relationship Id="rId15" Type="http://schemas.openxmlformats.org/officeDocument/2006/relationships/image" Target="../media/image2.jpeg"/><Relationship Id="rId10" Type="http://schemas.openxmlformats.org/officeDocument/2006/relationships/hyperlink" Target="#'M01-S02'!A1"/><Relationship Id="rId4" Type="http://schemas.openxmlformats.org/officeDocument/2006/relationships/hyperlink" Target="#'M01-S08'!A1"/><Relationship Id="rId9" Type="http://schemas.openxmlformats.org/officeDocument/2006/relationships/hyperlink" Target="#'M05-S01'!A1"/><Relationship Id="rId14"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hyperlink" Target="#'M03-S06'!A1"/><Relationship Id="rId13" Type="http://schemas.openxmlformats.org/officeDocument/2006/relationships/hyperlink" Target="#'M04-S01'!A1"/><Relationship Id="rId3" Type="http://schemas.openxmlformats.org/officeDocument/2006/relationships/hyperlink" Target="#'M03-S03'!A1"/><Relationship Id="rId7" Type="http://schemas.openxmlformats.org/officeDocument/2006/relationships/hyperlink" Target="#'M03-S09'!C16"/><Relationship Id="rId12" Type="http://schemas.openxmlformats.org/officeDocument/2006/relationships/hyperlink" Target="#'M02-S01'!A1"/><Relationship Id="rId2" Type="http://schemas.openxmlformats.org/officeDocument/2006/relationships/hyperlink" Target="#'M03-S02'!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8'!C16"/><Relationship Id="rId11" Type="http://schemas.openxmlformats.org/officeDocument/2006/relationships/hyperlink" Target="#'M01-S01'!A1"/><Relationship Id="rId5" Type="http://schemas.openxmlformats.org/officeDocument/2006/relationships/hyperlink" Target="#'M03-S05'!A1"/><Relationship Id="rId15" Type="http://schemas.openxmlformats.org/officeDocument/2006/relationships/hyperlink" Target="#'M02-S04'!J13"/><Relationship Id="rId10" Type="http://schemas.openxmlformats.org/officeDocument/2006/relationships/hyperlink" Target="#'M03-S02'!C16"/><Relationship Id="rId4" Type="http://schemas.openxmlformats.org/officeDocument/2006/relationships/hyperlink" Target="#'M03-S04'!A1"/><Relationship Id="rId9" Type="http://schemas.openxmlformats.org/officeDocument/2006/relationships/hyperlink" Target="#'M03-S07'!A1"/><Relationship Id="rId14" Type="http://schemas.openxmlformats.org/officeDocument/2006/relationships/hyperlink" Target="#'M05-S01'!A1"/></Relationships>
</file>

<file path=xl/drawings/_rels/drawing11.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5-S01'!A1"/><Relationship Id="rId3" Type="http://schemas.openxmlformats.org/officeDocument/2006/relationships/hyperlink" Target="#'M03-S04'!A1"/><Relationship Id="rId7" Type="http://schemas.openxmlformats.org/officeDocument/2006/relationships/hyperlink" Target="#'M03-S06'!A1"/><Relationship Id="rId12" Type="http://schemas.openxmlformats.org/officeDocument/2006/relationships/hyperlink" Target="#'M04-S01'!A1"/><Relationship Id="rId2" Type="http://schemas.openxmlformats.org/officeDocument/2006/relationships/hyperlink" Target="#'M03-S03'!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2-S01'!A1"/><Relationship Id="rId5" Type="http://schemas.openxmlformats.org/officeDocument/2006/relationships/hyperlink" Target="#'M03-S08'!C16"/><Relationship Id="rId15" Type="http://schemas.openxmlformats.org/officeDocument/2006/relationships/hyperlink" Target="#'M03-S01'!C16"/><Relationship Id="rId10" Type="http://schemas.openxmlformats.org/officeDocument/2006/relationships/hyperlink" Target="#'M01-S01'!A1"/><Relationship Id="rId4" Type="http://schemas.openxmlformats.org/officeDocument/2006/relationships/hyperlink" Target="#'M03-S05'!A1"/><Relationship Id="rId9" Type="http://schemas.openxmlformats.org/officeDocument/2006/relationships/hyperlink" Target="#'M03-S03'!C16"/><Relationship Id="rId14" Type="http://schemas.openxmlformats.org/officeDocument/2006/relationships/hyperlink" Target="#'M03-S02'!A1"/></Relationships>
</file>

<file path=xl/drawings/_rels/drawing12.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5-S01'!A1"/><Relationship Id="rId3" Type="http://schemas.openxmlformats.org/officeDocument/2006/relationships/hyperlink" Target="#'M03-S04'!A1"/><Relationship Id="rId7" Type="http://schemas.openxmlformats.org/officeDocument/2006/relationships/hyperlink" Target="#'M03-S06'!A1"/><Relationship Id="rId12" Type="http://schemas.openxmlformats.org/officeDocument/2006/relationships/hyperlink" Target="#'M04-S01'!A1"/><Relationship Id="rId2" Type="http://schemas.openxmlformats.org/officeDocument/2006/relationships/hyperlink" Target="#'M03-S02'!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2-S01'!A1"/><Relationship Id="rId5" Type="http://schemas.openxmlformats.org/officeDocument/2006/relationships/hyperlink" Target="#'M03-S08'!C16"/><Relationship Id="rId15" Type="http://schemas.openxmlformats.org/officeDocument/2006/relationships/hyperlink" Target="#'M03-S02'!C16"/><Relationship Id="rId10" Type="http://schemas.openxmlformats.org/officeDocument/2006/relationships/hyperlink" Target="#'M01-S01'!A1"/><Relationship Id="rId4" Type="http://schemas.openxmlformats.org/officeDocument/2006/relationships/hyperlink" Target="#'M03-S05'!A1"/><Relationship Id="rId9" Type="http://schemas.openxmlformats.org/officeDocument/2006/relationships/hyperlink" Target="#'M03-S04'!C16"/><Relationship Id="rId14" Type="http://schemas.openxmlformats.org/officeDocument/2006/relationships/hyperlink" Target="#'M03-S03'!A1"/></Relationships>
</file>

<file path=xl/drawings/_rels/drawing13.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3-S04'!A1"/><Relationship Id="rId3" Type="http://schemas.openxmlformats.org/officeDocument/2006/relationships/hyperlink" Target="#'M03-S03'!A1"/><Relationship Id="rId7" Type="http://schemas.openxmlformats.org/officeDocument/2006/relationships/hyperlink" Target="#'M03-S06'!A1"/><Relationship Id="rId12" Type="http://schemas.openxmlformats.org/officeDocument/2006/relationships/hyperlink" Target="#'M05-S01'!A1"/><Relationship Id="rId2" Type="http://schemas.openxmlformats.org/officeDocument/2006/relationships/hyperlink" Target="#'M03-S02'!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4-S01'!A1"/><Relationship Id="rId5" Type="http://schemas.openxmlformats.org/officeDocument/2006/relationships/hyperlink" Target="#'M03-S08'!C16"/><Relationship Id="rId15" Type="http://schemas.openxmlformats.org/officeDocument/2006/relationships/hyperlink" Target="#'M03-S05'!C16"/><Relationship Id="rId10" Type="http://schemas.openxmlformats.org/officeDocument/2006/relationships/hyperlink" Target="#'M02-S01'!A1"/><Relationship Id="rId4" Type="http://schemas.openxmlformats.org/officeDocument/2006/relationships/hyperlink" Target="#'M03-S05'!A1"/><Relationship Id="rId9" Type="http://schemas.openxmlformats.org/officeDocument/2006/relationships/hyperlink" Target="#'M01-S01'!A1"/><Relationship Id="rId14" Type="http://schemas.openxmlformats.org/officeDocument/2006/relationships/hyperlink" Target="#'M03-S03'!C16"/></Relationships>
</file>

<file path=xl/drawings/_rels/drawing14.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3-S05'!A1"/><Relationship Id="rId3" Type="http://schemas.openxmlformats.org/officeDocument/2006/relationships/hyperlink" Target="#'M03-S03'!A1"/><Relationship Id="rId7" Type="http://schemas.openxmlformats.org/officeDocument/2006/relationships/hyperlink" Target="#'M03-S06'!A1"/><Relationship Id="rId12" Type="http://schemas.openxmlformats.org/officeDocument/2006/relationships/hyperlink" Target="#'M05-S01'!A1"/><Relationship Id="rId2" Type="http://schemas.openxmlformats.org/officeDocument/2006/relationships/hyperlink" Target="#'M03-S02'!A1"/><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4-S01'!A1"/><Relationship Id="rId5" Type="http://schemas.openxmlformats.org/officeDocument/2006/relationships/hyperlink" Target="#'M03-S08'!C16"/><Relationship Id="rId15" Type="http://schemas.openxmlformats.org/officeDocument/2006/relationships/image" Target="../media/image1.png"/><Relationship Id="rId10" Type="http://schemas.openxmlformats.org/officeDocument/2006/relationships/hyperlink" Target="#'M02-S01'!A1"/><Relationship Id="rId4" Type="http://schemas.openxmlformats.org/officeDocument/2006/relationships/hyperlink" Target="#'M03-S04'!A1"/><Relationship Id="rId9" Type="http://schemas.openxmlformats.org/officeDocument/2006/relationships/hyperlink" Target="#'M01-S01'!A1"/><Relationship Id="rId14" Type="http://schemas.openxmlformats.org/officeDocument/2006/relationships/hyperlink" Target="#'M03-S04'!C16"/></Relationships>
</file>

<file path=xl/drawings/_rels/drawing15.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3-S05'!C16"/><Relationship Id="rId3" Type="http://schemas.openxmlformats.org/officeDocument/2006/relationships/hyperlink" Target="#'M03-S03'!A1"/><Relationship Id="rId7" Type="http://schemas.openxmlformats.org/officeDocument/2006/relationships/hyperlink" Target="#'M03-S06'!A1"/><Relationship Id="rId12" Type="http://schemas.openxmlformats.org/officeDocument/2006/relationships/hyperlink" Target="#'M05-S01'!A1"/><Relationship Id="rId2" Type="http://schemas.openxmlformats.org/officeDocument/2006/relationships/hyperlink" Target="#'M03-S02'!A1"/><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4-S01'!A1"/><Relationship Id="rId5" Type="http://schemas.openxmlformats.org/officeDocument/2006/relationships/hyperlink" Target="#'M03-S05'!A1"/><Relationship Id="rId15" Type="http://schemas.openxmlformats.org/officeDocument/2006/relationships/hyperlink" Target="#'M03-S08'!C16"/><Relationship Id="rId10" Type="http://schemas.openxmlformats.org/officeDocument/2006/relationships/hyperlink" Target="#'M02-S01'!A1"/><Relationship Id="rId4" Type="http://schemas.openxmlformats.org/officeDocument/2006/relationships/hyperlink" Target="#'M03-S04'!A1"/><Relationship Id="rId9" Type="http://schemas.openxmlformats.org/officeDocument/2006/relationships/hyperlink" Target="#'M01-S01'!A1"/><Relationship Id="rId14"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image" Target="../media/image17.png"/><Relationship Id="rId3" Type="http://schemas.openxmlformats.org/officeDocument/2006/relationships/hyperlink" Target="#'M03-S03'!A1"/><Relationship Id="rId7" Type="http://schemas.openxmlformats.org/officeDocument/2006/relationships/hyperlink" Target="#'M03-S06'!A1"/><Relationship Id="rId12" Type="http://schemas.openxmlformats.org/officeDocument/2006/relationships/hyperlink" Target="#'M05-S01'!A1"/><Relationship Id="rId2" Type="http://schemas.openxmlformats.org/officeDocument/2006/relationships/hyperlink" Target="#'M03-S02'!A1"/><Relationship Id="rId1" Type="http://schemas.openxmlformats.org/officeDocument/2006/relationships/hyperlink" Target="#'M03-S01'!A1"/><Relationship Id="rId6" Type="http://schemas.openxmlformats.org/officeDocument/2006/relationships/hyperlink" Target="#'M03-S08'!C16"/><Relationship Id="rId11" Type="http://schemas.openxmlformats.org/officeDocument/2006/relationships/hyperlink" Target="#'M04-S01'!A1"/><Relationship Id="rId5" Type="http://schemas.openxmlformats.org/officeDocument/2006/relationships/hyperlink" Target="#'M03-S05'!A1"/><Relationship Id="rId15" Type="http://schemas.openxmlformats.org/officeDocument/2006/relationships/hyperlink" Target="#'M03-S06'!C16"/><Relationship Id="rId10" Type="http://schemas.openxmlformats.org/officeDocument/2006/relationships/hyperlink" Target="#'M02-S01'!A1"/><Relationship Id="rId4" Type="http://schemas.openxmlformats.org/officeDocument/2006/relationships/hyperlink" Target="#'M03-S04'!A1"/><Relationship Id="rId9" Type="http://schemas.openxmlformats.org/officeDocument/2006/relationships/hyperlink" Target="#'M01-S01'!A1"/><Relationship Id="rId14" Type="http://schemas.openxmlformats.org/officeDocument/2006/relationships/hyperlink" Target="#'M03-S09'!C16"/></Relationships>
</file>

<file path=xl/drawings/_rels/drawing17.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5-S01'!A1"/><Relationship Id="rId3" Type="http://schemas.openxmlformats.org/officeDocument/2006/relationships/hyperlink" Target="#'M03-S03'!A1"/><Relationship Id="rId7" Type="http://schemas.openxmlformats.org/officeDocument/2006/relationships/hyperlink" Target="#'M03-S09'!C16"/><Relationship Id="rId12" Type="http://schemas.openxmlformats.org/officeDocument/2006/relationships/hyperlink" Target="#'M04-S01'!A1"/><Relationship Id="rId2" Type="http://schemas.openxmlformats.org/officeDocument/2006/relationships/hyperlink" Target="#'M03-S02'!A1"/><Relationship Id="rId1" Type="http://schemas.openxmlformats.org/officeDocument/2006/relationships/hyperlink" Target="#'M03-S01'!A1"/><Relationship Id="rId6" Type="http://schemas.openxmlformats.org/officeDocument/2006/relationships/hyperlink" Target="#'M03-S08'!C16"/><Relationship Id="rId11" Type="http://schemas.openxmlformats.org/officeDocument/2006/relationships/hyperlink" Target="#'M02-S01'!A1"/><Relationship Id="rId5" Type="http://schemas.openxmlformats.org/officeDocument/2006/relationships/hyperlink" Target="#'M03-S05'!A1"/><Relationship Id="rId15" Type="http://schemas.openxmlformats.org/officeDocument/2006/relationships/image" Target="../media/image1.png"/><Relationship Id="rId10" Type="http://schemas.openxmlformats.org/officeDocument/2006/relationships/hyperlink" Target="#'M01-S01'!A1"/><Relationship Id="rId4" Type="http://schemas.openxmlformats.org/officeDocument/2006/relationships/hyperlink" Target="#'M03-S04'!A1"/><Relationship Id="rId9" Type="http://schemas.openxmlformats.org/officeDocument/2006/relationships/hyperlink" Target="#'M03-S07'!C16"/><Relationship Id="rId14" Type="http://schemas.openxmlformats.org/officeDocument/2006/relationships/hyperlink" Target="#'M03-S06'!C16"/></Relationships>
</file>

<file path=xl/drawings/_rels/drawing18.xml.rels><?xml version="1.0" encoding="UTF-8" standalone="yes"?>
<Relationships xmlns="http://schemas.openxmlformats.org/package/2006/relationships"><Relationship Id="rId8" Type="http://schemas.openxmlformats.org/officeDocument/2006/relationships/hyperlink" Target="#'M03-S06'!A1"/><Relationship Id="rId13" Type="http://schemas.openxmlformats.org/officeDocument/2006/relationships/hyperlink" Target="#'M04-S01'!A1"/><Relationship Id="rId3" Type="http://schemas.openxmlformats.org/officeDocument/2006/relationships/hyperlink" Target="#'M03-S03'!A1"/><Relationship Id="rId7" Type="http://schemas.openxmlformats.org/officeDocument/2006/relationships/hyperlink" Target="#'M03-S09'!C16"/><Relationship Id="rId12" Type="http://schemas.openxmlformats.org/officeDocument/2006/relationships/hyperlink" Target="#'M02-S01'!A1"/><Relationship Id="rId2" Type="http://schemas.openxmlformats.org/officeDocument/2006/relationships/hyperlink" Target="#'M03-S02'!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8'!C16"/><Relationship Id="rId11" Type="http://schemas.openxmlformats.org/officeDocument/2006/relationships/hyperlink" Target="#'M01-S01'!A1"/><Relationship Id="rId5" Type="http://schemas.openxmlformats.org/officeDocument/2006/relationships/hyperlink" Target="#'M03-S05'!A1"/><Relationship Id="rId15" Type="http://schemas.openxmlformats.org/officeDocument/2006/relationships/hyperlink" Target="#'M03-S06'!C16"/><Relationship Id="rId10" Type="http://schemas.openxmlformats.org/officeDocument/2006/relationships/hyperlink" Target="#'M04-S01'!C16"/><Relationship Id="rId4" Type="http://schemas.openxmlformats.org/officeDocument/2006/relationships/hyperlink" Target="#'M03-S04'!A1"/><Relationship Id="rId9" Type="http://schemas.openxmlformats.org/officeDocument/2006/relationships/hyperlink" Target="#'M03-S07'!A1"/><Relationship Id="rId14" Type="http://schemas.openxmlformats.org/officeDocument/2006/relationships/hyperlink" Target="#'M05-S01'!A1"/></Relationships>
</file>

<file path=xl/drawings/_rels/drawing19.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4-S02'!A1"/><Relationship Id="rId3" Type="http://schemas.openxmlformats.org/officeDocument/2006/relationships/hyperlink" Target="#'M04-S07'!A1"/><Relationship Id="rId7" Type="http://schemas.openxmlformats.org/officeDocument/2006/relationships/hyperlink" Target="#'M04-S02'!C16"/><Relationship Id="rId12" Type="http://schemas.openxmlformats.org/officeDocument/2006/relationships/hyperlink" Target="#'M03-S07'!C16"/><Relationship Id="rId2" Type="http://schemas.openxmlformats.org/officeDocument/2006/relationships/hyperlink" Target="#'M04-S08'!A1"/><Relationship Id="rId1" Type="http://schemas.openxmlformats.org/officeDocument/2006/relationships/hyperlink" Target="#'M04-S01'!A1"/><Relationship Id="rId6" Type="http://schemas.openxmlformats.org/officeDocument/2006/relationships/hyperlink" Target="#'M04-S04'!A1"/><Relationship Id="rId11" Type="http://schemas.openxmlformats.org/officeDocument/2006/relationships/hyperlink" Target="#'M05-S01'!A1"/><Relationship Id="rId5" Type="http://schemas.openxmlformats.org/officeDocument/2006/relationships/hyperlink" Target="#'M04-S05'!A1"/><Relationship Id="rId15" Type="http://schemas.openxmlformats.org/officeDocument/2006/relationships/image" Target="../media/image1.png"/><Relationship Id="rId10" Type="http://schemas.openxmlformats.org/officeDocument/2006/relationships/hyperlink" Target="#'M03-S01'!A1"/><Relationship Id="rId4" Type="http://schemas.openxmlformats.org/officeDocument/2006/relationships/hyperlink" Target="#'M04-S06'!A1"/><Relationship Id="rId9" Type="http://schemas.openxmlformats.org/officeDocument/2006/relationships/hyperlink" Target="#'M02-S01'!A1"/><Relationship Id="rId14" Type="http://schemas.openxmlformats.org/officeDocument/2006/relationships/hyperlink" Target="#'M04-S03'!A1"/></Relationships>
</file>

<file path=xl/drawings/_rels/drawing2.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image" Target="../media/image3.png"/><Relationship Id="rId3" Type="http://schemas.openxmlformats.org/officeDocument/2006/relationships/hyperlink" Target="#'M01-S07'!A1"/><Relationship Id="rId7" Type="http://schemas.openxmlformats.org/officeDocument/2006/relationships/hyperlink" Target="#'M04-S01'!A1"/><Relationship Id="rId12" Type="http://schemas.openxmlformats.org/officeDocument/2006/relationships/hyperlink" Target="#'M01-S05'!A1"/><Relationship Id="rId17" Type="http://schemas.openxmlformats.org/officeDocument/2006/relationships/hyperlink" Target="https://www.nipsco.com/save-energy" TargetMode="External"/><Relationship Id="rId2" Type="http://schemas.openxmlformats.org/officeDocument/2006/relationships/hyperlink" Target="#'M01-S06'!A1"/><Relationship Id="rId16" Type="http://schemas.openxmlformats.org/officeDocument/2006/relationships/hyperlink" Target="#'M01-S03'!C6"/><Relationship Id="rId1" Type="http://schemas.openxmlformats.org/officeDocument/2006/relationships/hyperlink" Target="#'M01-S01'!A1"/><Relationship Id="rId6" Type="http://schemas.openxmlformats.org/officeDocument/2006/relationships/hyperlink" Target="#'M03-S01'!A1"/><Relationship Id="rId11" Type="http://schemas.openxmlformats.org/officeDocument/2006/relationships/hyperlink" Target="#'M01-S04'!A1"/><Relationship Id="rId5" Type="http://schemas.openxmlformats.org/officeDocument/2006/relationships/hyperlink" Target="#'M02-S01'!A1"/><Relationship Id="rId15" Type="http://schemas.openxmlformats.org/officeDocument/2006/relationships/hyperlink" Target="#'M01-S01'!C6"/><Relationship Id="rId10" Type="http://schemas.openxmlformats.org/officeDocument/2006/relationships/hyperlink" Target="#'M01-S03'!A1"/><Relationship Id="rId4" Type="http://schemas.openxmlformats.org/officeDocument/2006/relationships/hyperlink" Target="#'M01-S08'!A1"/><Relationship Id="rId9" Type="http://schemas.openxmlformats.org/officeDocument/2006/relationships/hyperlink" Target="#'M01-S02'!A1"/><Relationship Id="rId14"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7-S01'!A1"/><Relationship Id="rId18" Type="http://schemas.openxmlformats.org/officeDocument/2006/relationships/image" Target="../media/image1.png"/><Relationship Id="rId3" Type="http://schemas.openxmlformats.org/officeDocument/2006/relationships/hyperlink" Target="#'M04-S06'!A1"/><Relationship Id="rId7" Type="http://schemas.openxmlformats.org/officeDocument/2006/relationships/hyperlink" Target="#'M04-S03'!C16"/><Relationship Id="rId12" Type="http://schemas.openxmlformats.org/officeDocument/2006/relationships/hyperlink" Target="#'M06-S01'!A1"/><Relationship Id="rId17" Type="http://schemas.openxmlformats.org/officeDocument/2006/relationships/hyperlink" Target="#'M04-S09'!D6"/><Relationship Id="rId2" Type="http://schemas.openxmlformats.org/officeDocument/2006/relationships/hyperlink" Target="#'M04-S05'!A1"/><Relationship Id="rId16" Type="http://schemas.openxmlformats.org/officeDocument/2006/relationships/hyperlink" Target="#'M04-S01'!C16"/><Relationship Id="rId1" Type="http://schemas.openxmlformats.org/officeDocument/2006/relationships/hyperlink" Target="#'M04-S01'!A1"/><Relationship Id="rId6" Type="http://schemas.openxmlformats.org/officeDocument/2006/relationships/hyperlink" Target="#'M04-S04'!A1"/><Relationship Id="rId11" Type="http://schemas.openxmlformats.org/officeDocument/2006/relationships/hyperlink" Target="#'M05-S01'!A1"/><Relationship Id="rId5" Type="http://schemas.openxmlformats.org/officeDocument/2006/relationships/hyperlink" Target="#'M04-S08'!A1"/><Relationship Id="rId15" Type="http://schemas.openxmlformats.org/officeDocument/2006/relationships/hyperlink" Target="#'M04-S03'!A1"/><Relationship Id="rId10" Type="http://schemas.openxmlformats.org/officeDocument/2006/relationships/hyperlink" Target="#'M03-S01'!A1"/><Relationship Id="rId4" Type="http://schemas.openxmlformats.org/officeDocument/2006/relationships/hyperlink" Target="#'M04-S07'!A1"/><Relationship Id="rId9" Type="http://schemas.openxmlformats.org/officeDocument/2006/relationships/hyperlink" Target="#'M02-S01'!A1"/><Relationship Id="rId14" Type="http://schemas.openxmlformats.org/officeDocument/2006/relationships/hyperlink" Target="#'M04-S02'!C16"/></Relationships>
</file>

<file path=xl/drawings/_rels/drawing21.xml.rels><?xml version="1.0" encoding="UTF-8" standalone="yes"?>
<Relationships xmlns="http://schemas.openxmlformats.org/package/2006/relationships"><Relationship Id="rId1" Type="http://schemas.openxmlformats.org/officeDocument/2006/relationships/hyperlink" Target="#'M04-S02'!C16"/></Relationships>
</file>

<file path=xl/drawings/_rels/drawing22.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4-S03'!C16"/><Relationship Id="rId3" Type="http://schemas.openxmlformats.org/officeDocument/2006/relationships/hyperlink" Target="#'M04-S06'!A1"/><Relationship Id="rId7" Type="http://schemas.openxmlformats.org/officeDocument/2006/relationships/hyperlink" Target="#'M04-S04'!C16"/><Relationship Id="rId12" Type="http://schemas.openxmlformats.org/officeDocument/2006/relationships/hyperlink" Target="#'M04-S02'!A1"/><Relationship Id="rId2" Type="http://schemas.openxmlformats.org/officeDocument/2006/relationships/hyperlink" Target="#'M04-S05'!A1"/><Relationship Id="rId1" Type="http://schemas.openxmlformats.org/officeDocument/2006/relationships/hyperlink" Target="#'M04-S01'!A1"/><Relationship Id="rId6" Type="http://schemas.openxmlformats.org/officeDocument/2006/relationships/hyperlink" Target="#'M04-S04'!A1"/><Relationship Id="rId11" Type="http://schemas.openxmlformats.org/officeDocument/2006/relationships/hyperlink" Target="#'M05-S01'!A1"/><Relationship Id="rId5" Type="http://schemas.openxmlformats.org/officeDocument/2006/relationships/hyperlink" Target="#'M04-S08'!A1"/><Relationship Id="rId15" Type="http://schemas.openxmlformats.org/officeDocument/2006/relationships/image" Target="../media/image1.png"/><Relationship Id="rId10" Type="http://schemas.openxmlformats.org/officeDocument/2006/relationships/hyperlink" Target="#'M03-S01'!A1"/><Relationship Id="rId4" Type="http://schemas.openxmlformats.org/officeDocument/2006/relationships/hyperlink" Target="#'M04-S07'!A1"/><Relationship Id="rId9" Type="http://schemas.openxmlformats.org/officeDocument/2006/relationships/hyperlink" Target="#'M02-S01'!A1"/><Relationship Id="rId14" Type="http://schemas.openxmlformats.org/officeDocument/2006/relationships/hyperlink" Target="#'M04-S02'!C16"/></Relationships>
</file>

<file path=xl/drawings/_rels/drawing23.xml.rels><?xml version="1.0" encoding="UTF-8" standalone="yes"?>
<Relationships xmlns="http://schemas.openxmlformats.org/package/2006/relationships"><Relationship Id="rId8" Type="http://schemas.openxmlformats.org/officeDocument/2006/relationships/hyperlink" Target="#'M02-S01'!A1"/><Relationship Id="rId13" Type="http://schemas.openxmlformats.org/officeDocument/2006/relationships/hyperlink" Target="#'M04-S03'!A1"/><Relationship Id="rId3" Type="http://schemas.openxmlformats.org/officeDocument/2006/relationships/hyperlink" Target="#'M04-S06'!A1"/><Relationship Id="rId7" Type="http://schemas.openxmlformats.org/officeDocument/2006/relationships/hyperlink" Target="#'M01-S01'!A1"/><Relationship Id="rId12" Type="http://schemas.openxmlformats.org/officeDocument/2006/relationships/hyperlink" Target="#'M04-S03'!C16"/><Relationship Id="rId2" Type="http://schemas.openxmlformats.org/officeDocument/2006/relationships/hyperlink" Target="#'M04-S07'!A1"/><Relationship Id="rId1" Type="http://schemas.openxmlformats.org/officeDocument/2006/relationships/hyperlink" Target="#'M04-S08'!A1"/><Relationship Id="rId6" Type="http://schemas.openxmlformats.org/officeDocument/2006/relationships/hyperlink" Target="#'M05-S01'!C6"/><Relationship Id="rId11" Type="http://schemas.openxmlformats.org/officeDocument/2006/relationships/hyperlink" Target="#'M04-S02'!A1"/><Relationship Id="rId5" Type="http://schemas.openxmlformats.org/officeDocument/2006/relationships/hyperlink" Target="#'M04-S01'!A1"/><Relationship Id="rId15" Type="http://schemas.openxmlformats.org/officeDocument/2006/relationships/image" Target="../media/image1.png"/><Relationship Id="rId10" Type="http://schemas.openxmlformats.org/officeDocument/2006/relationships/hyperlink" Target="#'M05-S01'!A1"/><Relationship Id="rId4" Type="http://schemas.openxmlformats.org/officeDocument/2006/relationships/hyperlink" Target="#'M04-S05'!A1"/><Relationship Id="rId9" Type="http://schemas.openxmlformats.org/officeDocument/2006/relationships/hyperlink" Target="#'M03-S01'!A1"/><Relationship Id="rId14" Type="http://schemas.openxmlformats.org/officeDocument/2006/relationships/hyperlink" Target="#'M04-S04'!A1"/></Relationships>
</file>

<file path=xl/drawings/_rels/drawing24.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hyperlink" Target="#'M05-S02'!A1"/><Relationship Id="rId18" Type="http://schemas.openxmlformats.org/officeDocument/2006/relationships/image" Target="../media/image21.jpeg"/><Relationship Id="rId3" Type="http://schemas.openxmlformats.org/officeDocument/2006/relationships/hyperlink" Target="#'M05-S06'!A1"/><Relationship Id="rId21" Type="http://schemas.openxmlformats.org/officeDocument/2006/relationships/image" Target="../media/image24.jpg"/><Relationship Id="rId7" Type="http://schemas.openxmlformats.org/officeDocument/2006/relationships/hyperlink" Target="#'M04-S01'!A1"/><Relationship Id="rId12" Type="http://schemas.openxmlformats.org/officeDocument/2006/relationships/hyperlink" Target="#'M05-S02'!C6"/><Relationship Id="rId17" Type="http://schemas.openxmlformats.org/officeDocument/2006/relationships/image" Target="../media/image20.jpeg"/><Relationship Id="rId2" Type="http://schemas.openxmlformats.org/officeDocument/2006/relationships/hyperlink" Target="#'M05-S05'!A1"/><Relationship Id="rId16" Type="http://schemas.openxmlformats.org/officeDocument/2006/relationships/image" Target="../media/image19.jpeg"/><Relationship Id="rId20" Type="http://schemas.openxmlformats.org/officeDocument/2006/relationships/image" Target="../media/image23.png"/><Relationship Id="rId1" Type="http://schemas.openxmlformats.org/officeDocument/2006/relationships/hyperlink" Target="#'M05-S04'!A1"/><Relationship Id="rId6" Type="http://schemas.openxmlformats.org/officeDocument/2006/relationships/hyperlink" Target="#'M03-S01'!A1"/><Relationship Id="rId11" Type="http://schemas.openxmlformats.org/officeDocument/2006/relationships/hyperlink" Target="#'M05-S08'!A1"/><Relationship Id="rId5" Type="http://schemas.openxmlformats.org/officeDocument/2006/relationships/hyperlink" Target="#'M02-S01'!A1"/><Relationship Id="rId15" Type="http://schemas.openxmlformats.org/officeDocument/2006/relationships/image" Target="../media/image16.png"/><Relationship Id="rId10" Type="http://schemas.openxmlformats.org/officeDocument/2006/relationships/hyperlink" Target="#'M05-S03'!A1"/><Relationship Id="rId19" Type="http://schemas.openxmlformats.org/officeDocument/2006/relationships/image" Target="../media/image22.jpeg"/><Relationship Id="rId4" Type="http://schemas.openxmlformats.org/officeDocument/2006/relationships/hyperlink" Target="#'M01-S01'!A1"/><Relationship Id="rId9" Type="http://schemas.openxmlformats.org/officeDocument/2006/relationships/hyperlink" Target="#'M05-S07'!A1"/><Relationship Id="rId14" Type="http://schemas.openxmlformats.org/officeDocument/2006/relationships/hyperlink" Target="#'M04-S04'!A1"/><Relationship Id="rId22" Type="http://schemas.openxmlformats.org/officeDocument/2006/relationships/image" Target="../media/image25.png"/></Relationships>
</file>

<file path=xl/drawings/_rels/drawing25.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hyperlink" Target="mailto:NIPSCO.Savings@TRCcompanies.com" TargetMode="External"/><Relationship Id="rId18" Type="http://schemas.openxmlformats.org/officeDocument/2006/relationships/image" Target="../media/image1.png"/><Relationship Id="rId3" Type="http://schemas.openxmlformats.org/officeDocument/2006/relationships/hyperlink" Target="#'M05-S06'!A1"/><Relationship Id="rId7" Type="http://schemas.openxmlformats.org/officeDocument/2006/relationships/hyperlink" Target="#'M04-S01'!A1"/><Relationship Id="rId12" Type="http://schemas.openxmlformats.org/officeDocument/2006/relationships/hyperlink" Target="#'M05-S02'!A1"/><Relationship Id="rId17" Type="http://schemas.openxmlformats.org/officeDocument/2006/relationships/hyperlink" Target="#'M05-S02'!R31"/><Relationship Id="rId2" Type="http://schemas.openxmlformats.org/officeDocument/2006/relationships/hyperlink" Target="#'M05-S05'!A1"/><Relationship Id="rId16" Type="http://schemas.openxmlformats.org/officeDocument/2006/relationships/hyperlink" Target="#'M02-S04'!A1"/><Relationship Id="rId1" Type="http://schemas.openxmlformats.org/officeDocument/2006/relationships/hyperlink" Target="#'M05-S04'!A1"/><Relationship Id="rId6" Type="http://schemas.openxmlformats.org/officeDocument/2006/relationships/hyperlink" Target="#'M03-S01'!A1"/><Relationship Id="rId11" Type="http://schemas.openxmlformats.org/officeDocument/2006/relationships/hyperlink" Target="#'M05-S03'!A1"/><Relationship Id="rId5" Type="http://schemas.openxmlformats.org/officeDocument/2006/relationships/hyperlink" Target="#'M02-S01'!A1"/><Relationship Id="rId15" Type="http://schemas.openxmlformats.org/officeDocument/2006/relationships/hyperlink" Target="#'M02-S03'!A1"/><Relationship Id="rId10" Type="http://schemas.openxmlformats.org/officeDocument/2006/relationships/hyperlink" Target="#'M05-S08'!A1"/><Relationship Id="rId4" Type="http://schemas.openxmlformats.org/officeDocument/2006/relationships/hyperlink" Target="#'M01-S01'!A1"/><Relationship Id="rId9" Type="http://schemas.openxmlformats.org/officeDocument/2006/relationships/hyperlink" Target="#'M05-S07'!A1"/><Relationship Id="rId14" Type="http://schemas.openxmlformats.org/officeDocument/2006/relationships/hyperlink" Target="#'M02-S02'!A1"/></Relationships>
</file>

<file path=xl/drawings/_rels/drawing26.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image" Target="../media/image26.png"/><Relationship Id="rId3" Type="http://schemas.openxmlformats.org/officeDocument/2006/relationships/hyperlink" Target="#'M05-S07'!A1"/><Relationship Id="rId7" Type="http://schemas.openxmlformats.org/officeDocument/2006/relationships/hyperlink" Target="#'M03-S01'!A1"/><Relationship Id="rId12" Type="http://schemas.openxmlformats.org/officeDocument/2006/relationships/image" Target="../media/image1.png"/><Relationship Id="rId2" Type="http://schemas.openxmlformats.org/officeDocument/2006/relationships/hyperlink" Target="#'M05-S06'!A1"/><Relationship Id="rId1" Type="http://schemas.openxmlformats.org/officeDocument/2006/relationships/hyperlink" Target="#'M05-S05'!A1"/><Relationship Id="rId6" Type="http://schemas.openxmlformats.org/officeDocument/2006/relationships/hyperlink" Target="#'M02-S01'!A1"/><Relationship Id="rId11" Type="http://schemas.openxmlformats.org/officeDocument/2006/relationships/hyperlink" Target="#'M05-S02'!A1"/><Relationship Id="rId5" Type="http://schemas.openxmlformats.org/officeDocument/2006/relationships/hyperlink" Target="#'M01-S01'!A1"/><Relationship Id="rId15" Type="http://schemas.openxmlformats.org/officeDocument/2006/relationships/hyperlink" Target="#'M05-S04'!A1"/><Relationship Id="rId10" Type="http://schemas.openxmlformats.org/officeDocument/2006/relationships/hyperlink" Target="#'M05-S08'!A1"/><Relationship Id="rId4" Type="http://schemas.openxmlformats.org/officeDocument/2006/relationships/hyperlink" Target="#'M05-S01'!A1"/><Relationship Id="rId9" Type="http://schemas.openxmlformats.org/officeDocument/2006/relationships/hyperlink" Target="#'M05-S03'!A1"/><Relationship Id="rId14" Type="http://schemas.openxmlformats.org/officeDocument/2006/relationships/image" Target="../media/image27.png"/></Relationships>
</file>

<file path=xl/drawings/_rels/drawing27.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ailto:NIPSCO.Savings@TRCcompanies.com" TargetMode="External"/><Relationship Id="rId18" Type="http://schemas.openxmlformats.org/officeDocument/2006/relationships/image" Target="../media/image29.png"/><Relationship Id="rId3" Type="http://schemas.openxmlformats.org/officeDocument/2006/relationships/hyperlink" Target="#'M05-S07'!A1"/><Relationship Id="rId7" Type="http://schemas.openxmlformats.org/officeDocument/2006/relationships/hyperlink" Target="#'M03-S01'!A1"/><Relationship Id="rId12" Type="http://schemas.openxmlformats.org/officeDocument/2006/relationships/hyperlink" Target="#'M05-S05'!A1"/><Relationship Id="rId17" Type="http://schemas.openxmlformats.org/officeDocument/2006/relationships/image" Target="../media/image28.png"/><Relationship Id="rId2" Type="http://schemas.openxmlformats.org/officeDocument/2006/relationships/hyperlink" Target="#'M05-S06'!A1"/><Relationship Id="rId16" Type="http://schemas.openxmlformats.org/officeDocument/2006/relationships/image" Target="../media/image1.png"/><Relationship Id="rId1" Type="http://schemas.openxmlformats.org/officeDocument/2006/relationships/hyperlink" Target="#'M05-S04'!A1"/><Relationship Id="rId6" Type="http://schemas.openxmlformats.org/officeDocument/2006/relationships/hyperlink" Target="#'M02-S01'!A1"/><Relationship Id="rId11" Type="http://schemas.openxmlformats.org/officeDocument/2006/relationships/hyperlink" Target="#'M05-S02'!A1"/><Relationship Id="rId5" Type="http://schemas.openxmlformats.org/officeDocument/2006/relationships/hyperlink" Target="#'M01-S01'!A1"/><Relationship Id="rId15" Type="http://schemas.openxmlformats.org/officeDocument/2006/relationships/hyperlink" Target="#M05S05F01"/><Relationship Id="rId10" Type="http://schemas.openxmlformats.org/officeDocument/2006/relationships/hyperlink" Target="#'M05-S08'!A1"/><Relationship Id="rId4" Type="http://schemas.openxmlformats.org/officeDocument/2006/relationships/hyperlink" Target="#'M05-S01'!A1"/><Relationship Id="rId9" Type="http://schemas.openxmlformats.org/officeDocument/2006/relationships/hyperlink" Target="#'M05-S03'!A1"/><Relationship Id="rId14" Type="http://schemas.openxmlformats.org/officeDocument/2006/relationships/hyperlink" Target="#'M02-S04'!A1"/></Relationships>
</file>

<file path=xl/drawings/_rels/drawing28.xml.rels><?xml version="1.0" encoding="UTF-8" standalone="yes"?>
<Relationships xmlns="http://schemas.openxmlformats.org/package/2006/relationships"><Relationship Id="rId8" Type="http://schemas.openxmlformats.org/officeDocument/2006/relationships/hyperlink" Target="#'M05-S03'!A1"/><Relationship Id="rId13" Type="http://schemas.openxmlformats.org/officeDocument/2006/relationships/image" Target="../media/image30.jpeg"/><Relationship Id="rId3" Type="http://schemas.openxmlformats.org/officeDocument/2006/relationships/hyperlink" Target="#'M05-S01'!A1"/><Relationship Id="rId7" Type="http://schemas.openxmlformats.org/officeDocument/2006/relationships/hyperlink" Target="#'M04-S01'!A1"/><Relationship Id="rId12" Type="http://schemas.openxmlformats.org/officeDocument/2006/relationships/hyperlink" Target="#'M05-S06'!A1"/><Relationship Id="rId2" Type="http://schemas.openxmlformats.org/officeDocument/2006/relationships/hyperlink" Target="#'M05-S05'!A1"/><Relationship Id="rId1" Type="http://schemas.openxmlformats.org/officeDocument/2006/relationships/hyperlink" Target="#'M05-S04'!A1"/><Relationship Id="rId6" Type="http://schemas.openxmlformats.org/officeDocument/2006/relationships/hyperlink" Target="#'M03-S01'!A1"/><Relationship Id="rId11" Type="http://schemas.openxmlformats.org/officeDocument/2006/relationships/hyperlink" Target="#'M05-S02'!A1"/><Relationship Id="rId5" Type="http://schemas.openxmlformats.org/officeDocument/2006/relationships/hyperlink" Target="#'M02-S01'!A1"/><Relationship Id="rId10" Type="http://schemas.openxmlformats.org/officeDocument/2006/relationships/hyperlink" Target="#'M05-S07'!A1"/><Relationship Id="rId4" Type="http://schemas.openxmlformats.org/officeDocument/2006/relationships/hyperlink" Target="#'M01-S01'!A1"/><Relationship Id="rId9" Type="http://schemas.openxmlformats.org/officeDocument/2006/relationships/hyperlink" Target="#'M05-S08'!A1"/></Relationships>
</file>

<file path=xl/drawings/_rels/drawing29.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image" Target="../media/image1.png"/><Relationship Id="rId3" Type="http://schemas.openxmlformats.org/officeDocument/2006/relationships/hyperlink" Target="#'M05-S06'!A1"/><Relationship Id="rId7" Type="http://schemas.openxmlformats.org/officeDocument/2006/relationships/hyperlink" Target="#'M03-S01'!A1"/><Relationship Id="rId12" Type="http://schemas.openxmlformats.org/officeDocument/2006/relationships/hyperlink" Target="#'M05-S07'!A1"/><Relationship Id="rId2" Type="http://schemas.openxmlformats.org/officeDocument/2006/relationships/hyperlink" Target="#'M05-S05'!A1"/><Relationship Id="rId1" Type="http://schemas.openxmlformats.org/officeDocument/2006/relationships/hyperlink" Target="#'M05-S04'!A1"/><Relationship Id="rId6" Type="http://schemas.openxmlformats.org/officeDocument/2006/relationships/hyperlink" Target="#'M02-S01'!A1"/><Relationship Id="rId11" Type="http://schemas.openxmlformats.org/officeDocument/2006/relationships/hyperlink" Target="#'M05-S02'!A1"/><Relationship Id="rId5" Type="http://schemas.openxmlformats.org/officeDocument/2006/relationships/hyperlink" Target="#'M01-S01'!A1"/><Relationship Id="rId10" Type="http://schemas.openxmlformats.org/officeDocument/2006/relationships/hyperlink" Target="#'M05-S08'!A1"/><Relationship Id="rId4" Type="http://schemas.openxmlformats.org/officeDocument/2006/relationships/hyperlink" Target="#'M05-S01'!A1"/><Relationship Id="rId9" Type="http://schemas.openxmlformats.org/officeDocument/2006/relationships/hyperlink" Target="#'M05-S03'!A1"/></Relationships>
</file>

<file path=xl/drawings/_rels/drawing3.xml.rels><?xml version="1.0" encoding="UTF-8" standalone="yes"?>
<Relationships xmlns="http://schemas.openxmlformats.org/package/2006/relationships"><Relationship Id="rId13" Type="http://schemas.openxmlformats.org/officeDocument/2006/relationships/hyperlink" Target="#'M01-S05'!A1"/><Relationship Id="rId18" Type="http://schemas.openxmlformats.org/officeDocument/2006/relationships/hyperlink" Target="https://www.nipsco.com/save-energy/business/business-energy-tips" TargetMode="External"/><Relationship Id="rId26" Type="http://schemas.openxmlformats.org/officeDocument/2006/relationships/hyperlink" Target="https://www.nipsco.com/save-energy/business" TargetMode="External"/><Relationship Id="rId3" Type="http://schemas.openxmlformats.org/officeDocument/2006/relationships/hyperlink" Target="#'M01-S07'!A1"/><Relationship Id="rId21" Type="http://schemas.openxmlformats.org/officeDocument/2006/relationships/image" Target="../media/image7.jpeg"/><Relationship Id="rId34" Type="http://schemas.openxmlformats.org/officeDocument/2006/relationships/hyperlink" Target="https://www.nipsco.com/save-energy/business/custom-electric-incentives" TargetMode="External"/><Relationship Id="rId7" Type="http://schemas.openxmlformats.org/officeDocument/2006/relationships/hyperlink" Target="#'M02-S01'!A1"/><Relationship Id="rId12" Type="http://schemas.openxmlformats.org/officeDocument/2006/relationships/hyperlink" Target="#'M01-S04'!A1"/><Relationship Id="rId17" Type="http://schemas.openxmlformats.org/officeDocument/2006/relationships/image" Target="../media/image5.jpeg"/><Relationship Id="rId25" Type="http://schemas.openxmlformats.org/officeDocument/2006/relationships/image" Target="../media/image9.jpeg"/><Relationship Id="rId33" Type="http://schemas.openxmlformats.org/officeDocument/2006/relationships/image" Target="../media/image13.jpeg"/><Relationship Id="rId2" Type="http://schemas.openxmlformats.org/officeDocument/2006/relationships/hyperlink" Target="#'M01-S06'!A1"/><Relationship Id="rId16" Type="http://schemas.openxmlformats.org/officeDocument/2006/relationships/hyperlink" Target="https://www.nipsco.com/about-us/news-room" TargetMode="External"/><Relationship Id="rId20" Type="http://schemas.openxmlformats.org/officeDocument/2006/relationships/hyperlink" Target="https://www.nipsco.com/save-energy/business/small-business-direct-install-program" TargetMode="External"/><Relationship Id="rId29" Type="http://schemas.openxmlformats.org/officeDocument/2006/relationships/image" Target="../media/image11.jpeg"/><Relationship Id="rId1" Type="http://schemas.openxmlformats.org/officeDocument/2006/relationships/hyperlink" Target="#'M05-S01'!A1"/><Relationship Id="rId6" Type="http://schemas.openxmlformats.org/officeDocument/2006/relationships/hyperlink" Target="#'M01-S04'!C6"/><Relationship Id="rId11" Type="http://schemas.openxmlformats.org/officeDocument/2006/relationships/hyperlink" Target="#'M01-S03'!A1"/><Relationship Id="rId24" Type="http://schemas.openxmlformats.org/officeDocument/2006/relationships/hyperlink" Target="https://www.nipsco.com/save-energy/business/prescriptive-gas-incentives" TargetMode="External"/><Relationship Id="rId32" Type="http://schemas.openxmlformats.org/officeDocument/2006/relationships/hyperlink" Target="https://www.nipsco.com/save-energy/business/new-construction-incentive-program" TargetMode="External"/><Relationship Id="rId5" Type="http://schemas.openxmlformats.org/officeDocument/2006/relationships/hyperlink" Target="#'M01-S01'!A1"/><Relationship Id="rId15" Type="http://schemas.openxmlformats.org/officeDocument/2006/relationships/image" Target="../media/image1.png"/><Relationship Id="rId23" Type="http://schemas.openxmlformats.org/officeDocument/2006/relationships/image" Target="../media/image8.jpeg"/><Relationship Id="rId28" Type="http://schemas.openxmlformats.org/officeDocument/2006/relationships/hyperlink" Target="http://www.energystar.gov/buildings/facility-owners-and-managers/small-biz" TargetMode="External"/><Relationship Id="rId10" Type="http://schemas.openxmlformats.org/officeDocument/2006/relationships/hyperlink" Target="#'M01-S02'!A1"/><Relationship Id="rId19" Type="http://schemas.openxmlformats.org/officeDocument/2006/relationships/image" Target="../media/image6.jpeg"/><Relationship Id="rId31" Type="http://schemas.openxmlformats.org/officeDocument/2006/relationships/image" Target="../media/image12.jpeg"/><Relationship Id="rId4" Type="http://schemas.openxmlformats.org/officeDocument/2006/relationships/hyperlink" Target="#'M01-S08'!A1"/><Relationship Id="rId9" Type="http://schemas.openxmlformats.org/officeDocument/2006/relationships/hyperlink" Target="#'M04-S01'!A1"/><Relationship Id="rId14" Type="http://schemas.openxmlformats.org/officeDocument/2006/relationships/hyperlink" Target="#'M01-S02'!C6"/><Relationship Id="rId22" Type="http://schemas.openxmlformats.org/officeDocument/2006/relationships/hyperlink" Target="https://www.designlights.org/qpl" TargetMode="External"/><Relationship Id="rId27" Type="http://schemas.openxmlformats.org/officeDocument/2006/relationships/image" Target="../media/image10.jpeg"/><Relationship Id="rId30" Type="http://schemas.openxmlformats.org/officeDocument/2006/relationships/hyperlink" Target="https://www.directlinkeservices.com/nisource/portal/ni" TargetMode="External"/><Relationship Id="rId35" Type="http://schemas.openxmlformats.org/officeDocument/2006/relationships/image" Target="../media/image14.jpeg"/><Relationship Id="rId8" Type="http://schemas.openxmlformats.org/officeDocument/2006/relationships/hyperlink" Target="#'M03-S01'!A1"/></Relationships>
</file>

<file path=xl/drawings/_rels/drawing4.xml.rels><?xml version="1.0" encoding="UTF-8" standalone="yes"?>
<Relationships xmlns="http://schemas.openxmlformats.org/package/2006/relationships"><Relationship Id="rId8" Type="http://schemas.openxmlformats.org/officeDocument/2006/relationships/hyperlink" Target="#'M02-S01'!A1"/><Relationship Id="rId13" Type="http://schemas.openxmlformats.org/officeDocument/2006/relationships/hyperlink" Target="#'M01-S03'!A1"/><Relationship Id="rId3" Type="http://schemas.openxmlformats.org/officeDocument/2006/relationships/hyperlink" Target="#'M01-S06'!A1"/><Relationship Id="rId7" Type="http://schemas.openxmlformats.org/officeDocument/2006/relationships/hyperlink" Target="#'M01-S05'!F19"/><Relationship Id="rId12" Type="http://schemas.openxmlformats.org/officeDocument/2006/relationships/hyperlink" Target="#'M01-S02'!A1"/><Relationship Id="rId17" Type="http://schemas.openxmlformats.org/officeDocument/2006/relationships/image" Target="../media/image16.png"/><Relationship Id="rId2" Type="http://schemas.openxmlformats.org/officeDocument/2006/relationships/hyperlink" Target="https://www.nipsco.com/save-energy/business/prescriptive-gas-incentives" TargetMode="External"/><Relationship Id="rId16" Type="http://schemas.openxmlformats.org/officeDocument/2006/relationships/hyperlink" Target="#'M01-S03'!C6"/><Relationship Id="rId1" Type="http://schemas.openxmlformats.org/officeDocument/2006/relationships/image" Target="../media/image15.jpeg"/><Relationship Id="rId6" Type="http://schemas.openxmlformats.org/officeDocument/2006/relationships/hyperlink" Target="#'M01-S01'!A1"/><Relationship Id="rId11" Type="http://schemas.openxmlformats.org/officeDocument/2006/relationships/hyperlink" Target="#'M05-S01'!A1"/><Relationship Id="rId5" Type="http://schemas.openxmlformats.org/officeDocument/2006/relationships/hyperlink" Target="#'M01-S08'!A1"/><Relationship Id="rId15" Type="http://schemas.openxmlformats.org/officeDocument/2006/relationships/hyperlink" Target="#'M01-S05'!A1"/><Relationship Id="rId10" Type="http://schemas.openxmlformats.org/officeDocument/2006/relationships/hyperlink" Target="#'M04-S01'!A1"/><Relationship Id="rId4" Type="http://schemas.openxmlformats.org/officeDocument/2006/relationships/hyperlink" Target="#'M01-S07'!A1"/><Relationship Id="rId9" Type="http://schemas.openxmlformats.org/officeDocument/2006/relationships/hyperlink" Target="#'M03-S01'!A1"/><Relationship Id="rId14" Type="http://schemas.openxmlformats.org/officeDocument/2006/relationships/hyperlink" Target="#'M01-S04'!A1"/></Relationships>
</file>

<file path=xl/drawings/_rels/drawing5.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5'!A1"/><Relationship Id="rId3" Type="http://schemas.openxmlformats.org/officeDocument/2006/relationships/hyperlink" Target="#'M01-S08'!A1"/><Relationship Id="rId7" Type="http://schemas.openxmlformats.org/officeDocument/2006/relationships/hyperlink" Target="#'M03-S01'!A1"/><Relationship Id="rId12" Type="http://schemas.openxmlformats.org/officeDocument/2006/relationships/hyperlink" Target="#'M01-S04'!A1"/><Relationship Id="rId2" Type="http://schemas.openxmlformats.org/officeDocument/2006/relationships/hyperlink" Target="#'M01-S07'!A1"/><Relationship Id="rId1" Type="http://schemas.openxmlformats.org/officeDocument/2006/relationships/hyperlink" Target="#'M01-S06'!A1"/><Relationship Id="rId6" Type="http://schemas.openxmlformats.org/officeDocument/2006/relationships/hyperlink" Target="#'M02-S01'!A1"/><Relationship Id="rId11" Type="http://schemas.openxmlformats.org/officeDocument/2006/relationships/hyperlink" Target="#'M01-S03'!A1"/><Relationship Id="rId5" Type="http://schemas.openxmlformats.org/officeDocument/2006/relationships/hyperlink" Target="#'M02-S01'!C6"/><Relationship Id="rId15" Type="http://schemas.openxmlformats.org/officeDocument/2006/relationships/image" Target="../media/image1.png"/><Relationship Id="rId10" Type="http://schemas.openxmlformats.org/officeDocument/2006/relationships/hyperlink" Target="#'M01-S02'!A1"/><Relationship Id="rId4" Type="http://schemas.openxmlformats.org/officeDocument/2006/relationships/hyperlink" Target="#'M01-S01'!A1"/><Relationship Id="rId9" Type="http://schemas.openxmlformats.org/officeDocument/2006/relationships/hyperlink" Target="#'M05-S01'!A1"/><Relationship Id="rId14" Type="http://schemas.openxmlformats.org/officeDocument/2006/relationships/hyperlink" Target="#'M01-S04'!C6"/></Relationships>
</file>

<file path=xl/drawings/_rels/drawing6.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image" Target="../media/image17.png"/><Relationship Id="rId3" Type="http://schemas.openxmlformats.org/officeDocument/2006/relationships/hyperlink" Target="#'M02-S07'!A1"/><Relationship Id="rId7" Type="http://schemas.openxmlformats.org/officeDocument/2006/relationships/hyperlink" Target="#'M03-S01'!A1"/><Relationship Id="rId12" Type="http://schemas.openxmlformats.org/officeDocument/2006/relationships/hyperlink" Target="#'M02-S04'!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1-S01'!A1"/><Relationship Id="rId11" Type="http://schemas.openxmlformats.org/officeDocument/2006/relationships/hyperlink" Target="#'M02-S03'!A1"/><Relationship Id="rId5" Type="http://schemas.openxmlformats.org/officeDocument/2006/relationships/hyperlink" Target="#'M02-S01'!A1"/><Relationship Id="rId15" Type="http://schemas.openxmlformats.org/officeDocument/2006/relationships/hyperlink" Target="#'M02-S02'!C15"/><Relationship Id="rId10" Type="http://schemas.openxmlformats.org/officeDocument/2006/relationships/hyperlink" Target="#'M02-S02'!A1"/><Relationship Id="rId4" Type="http://schemas.openxmlformats.org/officeDocument/2006/relationships/hyperlink" Target="#'M02-S08'!A1"/><Relationship Id="rId9" Type="http://schemas.openxmlformats.org/officeDocument/2006/relationships/hyperlink" Target="#'M05-S01'!A1"/><Relationship Id="rId14" Type="http://schemas.openxmlformats.org/officeDocument/2006/relationships/hyperlink" Target="#'M01-S05'!C6"/></Relationships>
</file>

<file path=xl/drawings/_rels/drawing7.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2-S04'!A1"/><Relationship Id="rId3" Type="http://schemas.openxmlformats.org/officeDocument/2006/relationships/hyperlink" Target="#'M02-S07'!A1"/><Relationship Id="rId7" Type="http://schemas.openxmlformats.org/officeDocument/2006/relationships/hyperlink" Target="#'M01-S01'!A1"/><Relationship Id="rId12" Type="http://schemas.openxmlformats.org/officeDocument/2006/relationships/hyperlink" Target="#'M02-S03'!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2-S03'!C14"/><Relationship Id="rId11" Type="http://schemas.openxmlformats.org/officeDocument/2006/relationships/hyperlink" Target="#'M02-S02'!A1"/><Relationship Id="rId5" Type="http://schemas.openxmlformats.org/officeDocument/2006/relationships/hyperlink" Target="#'M02-S01'!A1"/><Relationship Id="rId15" Type="http://schemas.openxmlformats.org/officeDocument/2006/relationships/image" Target="../media/image18.png"/><Relationship Id="rId10" Type="http://schemas.openxmlformats.org/officeDocument/2006/relationships/hyperlink" Target="#'M05-S01'!A1"/><Relationship Id="rId4" Type="http://schemas.openxmlformats.org/officeDocument/2006/relationships/hyperlink" Target="#'M02-S08'!A1"/><Relationship Id="rId9" Type="http://schemas.openxmlformats.org/officeDocument/2006/relationships/hyperlink" Target="#'M04-S01'!A1"/><Relationship Id="rId14" Type="http://schemas.openxmlformats.org/officeDocument/2006/relationships/hyperlink" Target="#'M02-S01'!C6"/></Relationships>
</file>

<file path=xl/drawings/_rels/drawing8.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2-S04'!A1"/><Relationship Id="rId3" Type="http://schemas.openxmlformats.org/officeDocument/2006/relationships/hyperlink" Target="#'M02-S07'!A1"/><Relationship Id="rId7" Type="http://schemas.openxmlformats.org/officeDocument/2006/relationships/hyperlink" Target="#'M01-S01'!A1"/><Relationship Id="rId12" Type="http://schemas.openxmlformats.org/officeDocument/2006/relationships/hyperlink" Target="#'M02-S03'!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2-S04'!J13"/><Relationship Id="rId11" Type="http://schemas.openxmlformats.org/officeDocument/2006/relationships/hyperlink" Target="#'M02-S02'!A1"/><Relationship Id="rId5" Type="http://schemas.openxmlformats.org/officeDocument/2006/relationships/hyperlink" Target="#'M02-S01'!A1"/><Relationship Id="rId15" Type="http://schemas.openxmlformats.org/officeDocument/2006/relationships/image" Target="../media/image1.png"/><Relationship Id="rId10" Type="http://schemas.openxmlformats.org/officeDocument/2006/relationships/hyperlink" Target="#'M05-S01'!A1"/><Relationship Id="rId4" Type="http://schemas.openxmlformats.org/officeDocument/2006/relationships/hyperlink" Target="#'M02-S08'!A1"/><Relationship Id="rId9" Type="http://schemas.openxmlformats.org/officeDocument/2006/relationships/hyperlink" Target="#'M04-S01'!A1"/><Relationship Id="rId14" Type="http://schemas.openxmlformats.org/officeDocument/2006/relationships/hyperlink" Target="#'M02-S02'!C15"/></Relationships>
</file>

<file path=xl/drawings/_rels/drawing9.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2-S04'!A1"/><Relationship Id="rId3" Type="http://schemas.openxmlformats.org/officeDocument/2006/relationships/hyperlink" Target="#'M02-S06'!A1"/><Relationship Id="rId7" Type="http://schemas.openxmlformats.org/officeDocument/2006/relationships/hyperlink" Target="#'M01-S01'!A1"/><Relationship Id="rId12" Type="http://schemas.openxmlformats.org/officeDocument/2006/relationships/hyperlink" Target="#'M02-S03'!A1"/><Relationship Id="rId2" Type="http://schemas.openxmlformats.org/officeDocument/2006/relationships/hyperlink" Target="#'M02-S05'!A1"/><Relationship Id="rId1" Type="http://schemas.openxmlformats.org/officeDocument/2006/relationships/hyperlink" Target="#'M02-S01'!A1"/><Relationship Id="rId6" Type="http://schemas.openxmlformats.org/officeDocument/2006/relationships/hyperlink" Target="#'M03-S01'!C16"/><Relationship Id="rId11" Type="http://schemas.openxmlformats.org/officeDocument/2006/relationships/hyperlink" Target="#'M02-S02'!A1"/><Relationship Id="rId5" Type="http://schemas.openxmlformats.org/officeDocument/2006/relationships/hyperlink" Target="#'M02-S08'!A1"/><Relationship Id="rId15" Type="http://schemas.openxmlformats.org/officeDocument/2006/relationships/image" Target="../media/image1.png"/><Relationship Id="rId10" Type="http://schemas.openxmlformats.org/officeDocument/2006/relationships/hyperlink" Target="#'M05-S01'!A1"/><Relationship Id="rId4" Type="http://schemas.openxmlformats.org/officeDocument/2006/relationships/hyperlink" Target="#'M02-S07'!A1"/><Relationship Id="rId9" Type="http://schemas.openxmlformats.org/officeDocument/2006/relationships/hyperlink" Target="#'M04-S01'!A1"/><Relationship Id="rId14" Type="http://schemas.openxmlformats.org/officeDocument/2006/relationships/hyperlink" Target="#'M02-S03'!C14"/></Relationships>
</file>

<file path=xl/drawings/drawing1.xml><?xml version="1.0" encoding="utf-8"?>
<xdr:wsDr xmlns:xdr="http://schemas.openxmlformats.org/drawingml/2006/spreadsheetDrawing" xmlns:a="http://schemas.openxmlformats.org/drawingml/2006/main">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1" tooltip=" "/>
          <a:extLst>
            <a:ext uri="{FF2B5EF4-FFF2-40B4-BE49-F238E27FC236}">
              <a16:creationId xmlns:a16="http://schemas.microsoft.com/office/drawing/2014/main" id="{00000000-0008-0000-0800-000003000000}"/>
            </a:ext>
          </a:extLst>
        </xdr:cNvPr>
        <xdr:cNvSpPr/>
      </xdr:nvSpPr>
      <xdr:spPr>
        <a:xfrm>
          <a:off x="2203283" y="333376"/>
          <a:ext cx="1571168"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marL="0" indent="0" algn="ctr"/>
          <a:fld id="{D6F2F067-2676-4601-ABCE-75BD5137E3D5}" type="TxLink">
            <a:rPr lang="en-US" sz="1100" b="0" i="0" u="none" strike="noStrike">
              <a:solidFill>
                <a:srgbClr val="FFFFFF">
                  <a:lumMod val="100000"/>
                </a:srgbClr>
              </a:solidFill>
              <a:latin typeface="Arial" panose="020B0604020202020204" pitchFamily="34" charset="0"/>
              <a:ea typeface="+mn-ea"/>
              <a:cs typeface="Arial" panose="020B0604020202020204" pitchFamily="34" charset="0"/>
            </a:rPr>
            <a:pPr marL="0" indent="0" algn="ctr"/>
            <a:t>START</a:t>
          </a:fld>
          <a:endParaRPr lang="en-US" sz="1100" b="0" i="0" u="none" strike="noStrike">
            <a:solidFill>
              <a:srgbClr val="FFFFFF">
                <a:lumMod val="100000"/>
              </a:srgbClr>
            </a:solidFill>
            <a:latin typeface="Arial" panose="020B0604020202020204" pitchFamily="34" charset="0"/>
            <a:ea typeface="+mn-ea"/>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2"/>
          <a:extLst>
            <a:ext uri="{FF2B5EF4-FFF2-40B4-BE49-F238E27FC236}">
              <a16:creationId xmlns:a16="http://schemas.microsoft.com/office/drawing/2014/main" id="{00000000-0008-0000-08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3"/>
          <a:extLst>
            <a:ext uri="{FF2B5EF4-FFF2-40B4-BE49-F238E27FC236}">
              <a16:creationId xmlns:a16="http://schemas.microsoft.com/office/drawing/2014/main" id="{00000000-0008-0000-08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4"/>
          <a:extLst>
            <a:ext uri="{FF2B5EF4-FFF2-40B4-BE49-F238E27FC236}">
              <a16:creationId xmlns:a16="http://schemas.microsoft.com/office/drawing/2014/main" id="{00000000-0008-0000-08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11206</xdr:colOff>
      <xdr:row>7</xdr:row>
      <xdr:rowOff>0</xdr:rowOff>
    </xdr:to>
    <xdr:sp macro="" textlink="">
      <xdr:nvSpPr>
        <xdr:cNvPr id="10" name="TOPRIBBON">
          <a:extLst>
            <a:ext uri="{FF2B5EF4-FFF2-40B4-BE49-F238E27FC236}">
              <a16:creationId xmlns:a16="http://schemas.microsoft.com/office/drawing/2014/main" id="{00000000-0008-0000-0800-00000A000000}"/>
            </a:ext>
          </a:extLst>
        </xdr:cNvPr>
        <xdr:cNvSpPr/>
      </xdr:nvSpPr>
      <xdr:spPr>
        <a:xfrm>
          <a:off x="313765" y="806825"/>
          <a:ext cx="13514294" cy="605116"/>
        </a:xfrm>
        <a:prstGeom prst="round2SameRect">
          <a:avLst/>
        </a:prstGeom>
        <a:solidFill>
          <a:srgbClr val="A6A5AA"/>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tooltip=" "/>
          <a:extLst>
            <a:ext uri="{FF2B5EF4-FFF2-40B4-BE49-F238E27FC236}">
              <a16:creationId xmlns:a16="http://schemas.microsoft.com/office/drawing/2014/main" id="{00000000-0008-0000-08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effectLst/>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1913</xdr:colOff>
      <xdr:row>1</xdr:row>
      <xdr:rowOff>0</xdr:rowOff>
    </xdr:from>
    <xdr:to>
      <xdr:col>17</xdr:col>
      <xdr:colOff>1913</xdr:colOff>
      <xdr:row>4</xdr:row>
      <xdr:rowOff>0</xdr:rowOff>
    </xdr:to>
    <xdr:sp macro="" textlink="MAIN2">
      <xdr:nvSpPr>
        <xdr:cNvPr id="4" name="MENU2">
          <a:hlinkClick xmlns:r="http://schemas.openxmlformats.org/officeDocument/2006/relationships" r:id="rId6" tooltip=" "/>
          <a:extLst>
            <a:ext uri="{FF2B5EF4-FFF2-40B4-BE49-F238E27FC236}">
              <a16:creationId xmlns:a16="http://schemas.microsoft.com/office/drawing/2014/main" id="{00000000-0008-0000-0800-000004000000}"/>
            </a:ext>
          </a:extLst>
        </xdr:cNvPr>
        <xdr:cNvSpPr/>
      </xdr:nvSpPr>
      <xdr:spPr>
        <a:xfrm>
          <a:off x="3767089"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1275</xdr:colOff>
      <xdr:row>1</xdr:row>
      <xdr:rowOff>0</xdr:rowOff>
    </xdr:from>
    <xdr:to>
      <xdr:col>22</xdr:col>
      <xdr:colOff>1275</xdr:colOff>
      <xdr:row>4</xdr:row>
      <xdr:rowOff>0</xdr:rowOff>
    </xdr:to>
    <xdr:sp macro="" textlink="MAIN3">
      <xdr:nvSpPr>
        <xdr:cNvPr id="5" name="MENU3">
          <a:hlinkClick xmlns:r="http://schemas.openxmlformats.org/officeDocument/2006/relationships" r:id="rId7" tooltip=" "/>
          <a:extLst>
            <a:ext uri="{FF2B5EF4-FFF2-40B4-BE49-F238E27FC236}">
              <a16:creationId xmlns:a16="http://schemas.microsoft.com/office/drawing/2014/main" id="{00000000-0008-0000-0800-000005000000}"/>
            </a:ext>
          </a:extLst>
        </xdr:cNvPr>
        <xdr:cNvSpPr/>
      </xdr:nvSpPr>
      <xdr:spPr>
        <a:xfrm>
          <a:off x="5335275"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637</xdr:colOff>
      <xdr:row>1</xdr:row>
      <xdr:rowOff>0</xdr:rowOff>
    </xdr:from>
    <xdr:to>
      <xdr:col>27</xdr:col>
      <xdr:colOff>637</xdr:colOff>
      <xdr:row>4</xdr:row>
      <xdr:rowOff>0</xdr:rowOff>
    </xdr:to>
    <xdr:sp macro="" textlink="MAIN4">
      <xdr:nvSpPr>
        <xdr:cNvPr id="6" name="MENU4">
          <a:hlinkClick xmlns:r="http://schemas.openxmlformats.org/officeDocument/2006/relationships" r:id="rId8" tooltip=" "/>
          <a:extLst>
            <a:ext uri="{FF2B5EF4-FFF2-40B4-BE49-F238E27FC236}">
              <a16:creationId xmlns:a16="http://schemas.microsoft.com/office/drawing/2014/main" id="{00000000-0008-0000-0800-000006000000}"/>
            </a:ext>
          </a:extLst>
        </xdr:cNvPr>
        <xdr:cNvSpPr/>
      </xdr:nvSpPr>
      <xdr:spPr>
        <a:xfrm>
          <a:off x="6903461"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9" tooltip=" "/>
          <a:extLst>
            <a:ext uri="{FF2B5EF4-FFF2-40B4-BE49-F238E27FC236}">
              <a16:creationId xmlns:a16="http://schemas.microsoft.com/office/drawing/2014/main" id="{00000000-0008-0000-08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32</xdr:col>
      <xdr:colOff>92512</xdr:colOff>
      <xdr:row>1</xdr:row>
      <xdr:rowOff>15297</xdr:rowOff>
    </xdr:from>
    <xdr:to>
      <xdr:col>37</xdr:col>
      <xdr:colOff>92513</xdr:colOff>
      <xdr:row>4</xdr:row>
      <xdr:rowOff>15297</xdr:rowOff>
    </xdr:to>
    <xdr:sp macro="" textlink="MAIN6">
      <xdr:nvSpPr>
        <xdr:cNvPr id="8" name="MENU6">
          <a:extLst>
            <a:ext uri="{FF2B5EF4-FFF2-40B4-BE49-F238E27FC236}">
              <a16:creationId xmlns:a16="http://schemas.microsoft.com/office/drawing/2014/main" id="{00000000-0008-0000-0800-000008000000}"/>
            </a:ext>
          </a:extLst>
        </xdr:cNvPr>
        <xdr:cNvSpPr/>
      </xdr:nvSpPr>
      <xdr:spPr>
        <a:xfrm>
          <a:off x="10132983" y="217003"/>
          <a:ext cx="1568824" cy="605118"/>
        </a:xfrm>
        <a:prstGeom prst="round2SameRect">
          <a:avLst/>
        </a:prstGeom>
        <a:noFill/>
        <a:ln w="25400">
          <a:noFill/>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editAs="absolute">
    <xdr:from>
      <xdr:col>37</xdr:col>
      <xdr:colOff>2866</xdr:colOff>
      <xdr:row>1</xdr:row>
      <xdr:rowOff>4090</xdr:rowOff>
    </xdr:from>
    <xdr:to>
      <xdr:col>42</xdr:col>
      <xdr:colOff>2866</xdr:colOff>
      <xdr:row>4</xdr:row>
      <xdr:rowOff>4090</xdr:rowOff>
    </xdr:to>
    <xdr:sp macro="" textlink="MAIN7">
      <xdr:nvSpPr>
        <xdr:cNvPr id="9" name="MENU7">
          <a:extLst>
            <a:ext uri="{FF2B5EF4-FFF2-40B4-BE49-F238E27FC236}">
              <a16:creationId xmlns:a16="http://schemas.microsoft.com/office/drawing/2014/main" id="{00000000-0008-0000-0800-000009000000}"/>
            </a:ext>
          </a:extLst>
        </xdr:cNvPr>
        <xdr:cNvSpPr/>
      </xdr:nvSpPr>
      <xdr:spPr>
        <a:xfrm>
          <a:off x="11612160" y="205796"/>
          <a:ext cx="1568824" cy="605118"/>
        </a:xfrm>
        <a:prstGeom prst="round2SameRect">
          <a:avLst/>
        </a:prstGeom>
        <a:noFill/>
        <a:ln w="25400" cap="flat" cmpd="sng" algn="ctr">
          <a:noFill/>
          <a:prstDash val="solid"/>
          <a:miter lim="800000"/>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50800</xdr:rowOff>
    </xdr:from>
    <xdr:to>
      <xdr:col>7</xdr:col>
      <xdr:colOff>457</xdr:colOff>
      <xdr:row>7</xdr:row>
      <xdr:rowOff>48602</xdr:rowOff>
    </xdr:to>
    <xdr:sp macro="" textlink="M1S1">
      <xdr:nvSpPr>
        <xdr:cNvPr id="11" name="SUBMENU1">
          <a:hlinkClick xmlns:r="http://schemas.openxmlformats.org/officeDocument/2006/relationships" r:id="rId1" tooltip=" "/>
          <a:extLst>
            <a:ext uri="{FF2B5EF4-FFF2-40B4-BE49-F238E27FC236}">
              <a16:creationId xmlns:a16="http://schemas.microsoft.com/office/drawing/2014/main" id="{00000000-0008-0000-0800-00000B000000}"/>
            </a:ext>
          </a:extLst>
        </xdr:cNvPr>
        <xdr:cNvSpPr/>
      </xdr:nvSpPr>
      <xdr:spPr>
        <a:xfrm>
          <a:off x="630249" y="1059329"/>
          <a:ext cx="1566561" cy="401214"/>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75590B8-5031-4E33-8C48-A03FAAA6E80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b="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981</xdr:colOff>
      <xdr:row>4</xdr:row>
      <xdr:rowOff>200705</xdr:rowOff>
    </xdr:from>
    <xdr:to>
      <xdr:col>12</xdr:col>
      <xdr:colOff>980</xdr:colOff>
      <xdr:row>7</xdr:row>
      <xdr:rowOff>0</xdr:rowOff>
    </xdr:to>
    <xdr:sp macro="" textlink="M1S2">
      <xdr:nvSpPr>
        <xdr:cNvPr id="12" name="SUBMENU2">
          <a:hlinkClick xmlns:r="http://schemas.openxmlformats.org/officeDocument/2006/relationships" r:id="rId10" tooltip=" "/>
          <a:extLst>
            <a:ext uri="{FF2B5EF4-FFF2-40B4-BE49-F238E27FC236}">
              <a16:creationId xmlns:a16="http://schemas.microsoft.com/office/drawing/2014/main" id="{00000000-0008-0000-0800-00000C000000}"/>
            </a:ext>
          </a:extLst>
        </xdr:cNvPr>
        <xdr:cNvSpPr/>
      </xdr:nvSpPr>
      <xdr:spPr>
        <a:xfrm>
          <a:off x="2197334"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1504</xdr:colOff>
      <xdr:row>4</xdr:row>
      <xdr:rowOff>200705</xdr:rowOff>
    </xdr:from>
    <xdr:to>
      <xdr:col>17</xdr:col>
      <xdr:colOff>1503</xdr:colOff>
      <xdr:row>7</xdr:row>
      <xdr:rowOff>0</xdr:rowOff>
    </xdr:to>
    <xdr:sp macro="" textlink="M1S3">
      <xdr:nvSpPr>
        <xdr:cNvPr id="13" name="SUBMENU3">
          <a:hlinkClick xmlns:r="http://schemas.openxmlformats.org/officeDocument/2006/relationships" r:id="rId11" tooltip=" "/>
          <a:extLst>
            <a:ext uri="{FF2B5EF4-FFF2-40B4-BE49-F238E27FC236}">
              <a16:creationId xmlns:a16="http://schemas.microsoft.com/office/drawing/2014/main" id="{00000000-0008-0000-0800-00000D000000}"/>
            </a:ext>
          </a:extLst>
        </xdr:cNvPr>
        <xdr:cNvSpPr/>
      </xdr:nvSpPr>
      <xdr:spPr>
        <a:xfrm>
          <a:off x="3766680"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2027</xdr:colOff>
      <xdr:row>4</xdr:row>
      <xdr:rowOff>200705</xdr:rowOff>
    </xdr:from>
    <xdr:to>
      <xdr:col>22</xdr:col>
      <xdr:colOff>2026</xdr:colOff>
      <xdr:row>7</xdr:row>
      <xdr:rowOff>0</xdr:rowOff>
    </xdr:to>
    <xdr:sp macro="" textlink="M1S4">
      <xdr:nvSpPr>
        <xdr:cNvPr id="14" name="SUBMENU4">
          <a:hlinkClick xmlns:r="http://schemas.openxmlformats.org/officeDocument/2006/relationships" r:id="rId12" tooltip=" "/>
          <a:extLst>
            <a:ext uri="{FF2B5EF4-FFF2-40B4-BE49-F238E27FC236}">
              <a16:creationId xmlns:a16="http://schemas.microsoft.com/office/drawing/2014/main" id="{00000000-0008-0000-0800-00000E000000}"/>
            </a:ext>
          </a:extLst>
        </xdr:cNvPr>
        <xdr:cNvSpPr/>
      </xdr:nvSpPr>
      <xdr:spPr>
        <a:xfrm>
          <a:off x="5336027"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3" tooltip=" "/>
          <a:extLst>
            <a:ext uri="{FF2B5EF4-FFF2-40B4-BE49-F238E27FC236}">
              <a16:creationId xmlns:a16="http://schemas.microsoft.com/office/drawing/2014/main" id="{00000000-0008-0000-08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559</xdr:colOff>
      <xdr:row>7</xdr:row>
      <xdr:rowOff>22410</xdr:rowOff>
    </xdr:from>
    <xdr:to>
      <xdr:col>44</xdr:col>
      <xdr:colOff>1</xdr:colOff>
      <xdr:row>82</xdr:row>
      <xdr:rowOff>0</xdr:rowOff>
    </xdr:to>
    <xdr:sp macro="" textlink="">
      <xdr:nvSpPr>
        <xdr:cNvPr id="19" name="BORDER">
          <a:extLst>
            <a:ext uri="{FF2B5EF4-FFF2-40B4-BE49-F238E27FC236}">
              <a16:creationId xmlns:a16="http://schemas.microsoft.com/office/drawing/2014/main" id="{00000000-0008-0000-0800-000013000000}"/>
            </a:ext>
          </a:extLst>
        </xdr:cNvPr>
        <xdr:cNvSpPr/>
      </xdr:nvSpPr>
      <xdr:spPr>
        <a:xfrm>
          <a:off x="314324" y="1434351"/>
          <a:ext cx="13502530" cy="7239002"/>
        </a:xfrm>
        <a:prstGeom prst="frame">
          <a:avLst>
            <a:gd name="adj1" fmla="val 0"/>
          </a:avLst>
        </a:prstGeom>
        <a:solidFill>
          <a:srgbClr val="54BCEB"/>
        </a:solidFill>
        <a:ln w="12700" cap="flat" cmpd="sng" algn="ctr">
          <a:solidFill>
            <a:srgbClr val="00334E"/>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800-000015000000}"/>
            </a:ext>
          </a:extLst>
        </xdr:cNvPr>
        <xdr:cNvSpPr/>
      </xdr:nvSpPr>
      <xdr:spPr>
        <a:xfrm>
          <a:off x="313765" y="1411941"/>
          <a:ext cx="13503088" cy="201706"/>
        </a:xfrm>
        <a:prstGeom prst="rect">
          <a:avLst/>
        </a:prstGeom>
        <a:solidFill>
          <a:srgbClr val="00334E"/>
        </a:solidFill>
        <a:ln>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37</xdr:col>
      <xdr:colOff>257736</xdr:colOff>
      <xdr:row>0</xdr:row>
      <xdr:rowOff>179295</xdr:rowOff>
    </xdr:from>
    <xdr:to>
      <xdr:col>42</xdr:col>
      <xdr:colOff>257735</xdr:colOff>
      <xdr:row>3</xdr:row>
      <xdr:rowOff>179295</xdr:rowOff>
    </xdr:to>
    <xdr:sp macro="" textlink="MAIN7">
      <xdr:nvSpPr>
        <xdr:cNvPr id="89" name="MENU7">
          <a:extLst>
            <a:ext uri="{FF2B5EF4-FFF2-40B4-BE49-F238E27FC236}">
              <a16:creationId xmlns:a16="http://schemas.microsoft.com/office/drawing/2014/main" id="{00000000-0008-0000-0800-000059000000}"/>
            </a:ext>
          </a:extLst>
        </xdr:cNvPr>
        <xdr:cNvSpPr/>
      </xdr:nvSpPr>
      <xdr:spPr>
        <a:xfrm>
          <a:off x="11867030" y="179295"/>
          <a:ext cx="1568823" cy="605118"/>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 </a:t>
          </a:fld>
          <a:endParaRPr lang="en-US" sz="1100">
            <a:no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87" name="LOGO">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editAs="oneCell">
    <xdr:from>
      <xdr:col>2</xdr:col>
      <xdr:colOff>195133</xdr:colOff>
      <xdr:row>12</xdr:row>
      <xdr:rowOff>148265</xdr:rowOff>
    </xdr:from>
    <xdr:to>
      <xdr:col>42</xdr:col>
      <xdr:colOff>83492</xdr:colOff>
      <xdr:row>80</xdr:row>
      <xdr:rowOff>156883</xdr:rowOff>
    </xdr:to>
    <xdr:pic>
      <xdr:nvPicPr>
        <xdr:cNvPr id="27" name="Picture 26">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822662" y="2568736"/>
          <a:ext cx="12438948" cy="5858088"/>
        </a:xfrm>
        <a:prstGeom prst="rect">
          <a:avLst/>
        </a:prstGeom>
      </xdr:spPr>
    </xdr:pic>
    <xdr:clientData/>
  </xdr:twoCellAnchor>
  <xdr:twoCellAnchor>
    <xdr:from>
      <xdr:col>20</xdr:col>
      <xdr:colOff>100853</xdr:colOff>
      <xdr:row>9</xdr:row>
      <xdr:rowOff>0</xdr:rowOff>
    </xdr:from>
    <xdr:to>
      <xdr:col>29</xdr:col>
      <xdr:colOff>302559</xdr:colOff>
      <xdr:row>9</xdr:row>
      <xdr:rowOff>190500</xdr:rowOff>
    </xdr:to>
    <xdr:sp macro="" textlink="">
      <xdr:nvSpPr>
        <xdr:cNvPr id="20" name="Rectangle 19">
          <a:hlinkClick xmlns:r="http://schemas.openxmlformats.org/officeDocument/2006/relationships" r:id="rId16"/>
          <a:extLst>
            <a:ext uri="{FF2B5EF4-FFF2-40B4-BE49-F238E27FC236}">
              <a16:creationId xmlns:a16="http://schemas.microsoft.com/office/drawing/2014/main" id="{00000000-0008-0000-0800-000014000000}"/>
            </a:ext>
          </a:extLst>
        </xdr:cNvPr>
        <xdr:cNvSpPr/>
      </xdr:nvSpPr>
      <xdr:spPr>
        <a:xfrm>
          <a:off x="6376147" y="1815353"/>
          <a:ext cx="3025588"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Prescriptive Measures Input"/>
          <a:extLst>
            <a:ext uri="{FF2B5EF4-FFF2-40B4-BE49-F238E27FC236}">
              <a16:creationId xmlns:a16="http://schemas.microsoft.com/office/drawing/2014/main" id="{00000000-0008-0000-1100-000005000000}"/>
            </a:ext>
          </a:extLst>
        </xdr:cNvPr>
        <xdr:cNvSpPr/>
      </xdr:nvSpPr>
      <xdr:spPr>
        <a:xfrm>
          <a:off x="5334000" y="335056"/>
          <a:ext cx="1568824" cy="605118"/>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1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6</xdr:col>
      <xdr:colOff>157263</xdr:colOff>
      <xdr:row>5</xdr:row>
      <xdr:rowOff>10206</xdr:rowOff>
    </xdr:from>
    <xdr:to>
      <xdr:col>10</xdr:col>
      <xdr:colOff>273804</xdr:colOff>
      <xdr:row>7</xdr:row>
      <xdr:rowOff>11206</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100-00000C000000}"/>
            </a:ext>
          </a:extLst>
        </xdr:cNvPr>
        <xdr:cNvSpPr/>
      </xdr:nvSpPr>
      <xdr:spPr>
        <a:xfrm>
          <a:off x="2039851" y="1018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302861</xdr:colOff>
      <xdr:row>5</xdr:row>
      <xdr:rowOff>10206</xdr:rowOff>
    </xdr:from>
    <xdr:to>
      <xdr:col>15</xdr:col>
      <xdr:colOff>105637</xdr:colOff>
      <xdr:row>7</xdr:row>
      <xdr:rowOff>11206</xdr:rowOff>
    </xdr:to>
    <xdr:sp macro="" textlink="M3S3">
      <xdr:nvSpPr>
        <xdr:cNvPr id="13" name="SUBMENU3">
          <a:hlinkClick xmlns:r="http://schemas.openxmlformats.org/officeDocument/2006/relationships" r:id="rId3" tooltip=" "/>
          <a:extLst>
            <a:ext uri="{FF2B5EF4-FFF2-40B4-BE49-F238E27FC236}">
              <a16:creationId xmlns:a16="http://schemas.microsoft.com/office/drawing/2014/main" id="{00000000-0008-0000-1100-00000D000000}"/>
            </a:ext>
          </a:extLst>
        </xdr:cNvPr>
        <xdr:cNvSpPr/>
      </xdr:nvSpPr>
      <xdr:spPr>
        <a:xfrm>
          <a:off x="3440508" y="1018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134695</xdr:colOff>
      <xdr:row>5</xdr:row>
      <xdr:rowOff>10206</xdr:rowOff>
    </xdr:from>
    <xdr:to>
      <xdr:col>19</xdr:col>
      <xdr:colOff>251237</xdr:colOff>
      <xdr:row>7</xdr:row>
      <xdr:rowOff>11206</xdr:rowOff>
    </xdr:to>
    <xdr:sp macro="" textlink="M3S4">
      <xdr:nvSpPr>
        <xdr:cNvPr id="14" name="SUBMENU4">
          <a:hlinkClick xmlns:r="http://schemas.openxmlformats.org/officeDocument/2006/relationships" r:id="rId4" tooltip=" "/>
          <a:extLst>
            <a:ext uri="{FF2B5EF4-FFF2-40B4-BE49-F238E27FC236}">
              <a16:creationId xmlns:a16="http://schemas.microsoft.com/office/drawing/2014/main" id="{00000000-0008-0000-1100-00000E000000}"/>
            </a:ext>
          </a:extLst>
        </xdr:cNvPr>
        <xdr:cNvSpPr/>
      </xdr:nvSpPr>
      <xdr:spPr>
        <a:xfrm>
          <a:off x="4841166" y="1018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280298</xdr:colOff>
      <xdr:row>5</xdr:row>
      <xdr:rowOff>10206</xdr:rowOff>
    </xdr:from>
    <xdr:to>
      <xdr:col>24</xdr:col>
      <xdr:colOff>83074</xdr:colOff>
      <xdr:row>7</xdr:row>
      <xdr:rowOff>11206</xdr:rowOff>
    </xdr:to>
    <xdr:sp macro="" textlink="M3S5">
      <xdr:nvSpPr>
        <xdr:cNvPr id="15" name="SUBMENU5">
          <a:hlinkClick xmlns:r="http://schemas.openxmlformats.org/officeDocument/2006/relationships" r:id="rId5" tooltip=" "/>
          <a:extLst>
            <a:ext uri="{FF2B5EF4-FFF2-40B4-BE49-F238E27FC236}">
              <a16:creationId xmlns:a16="http://schemas.microsoft.com/office/drawing/2014/main" id="{00000000-0008-0000-1100-00000F000000}"/>
            </a:ext>
          </a:extLst>
        </xdr:cNvPr>
        <xdr:cNvSpPr/>
      </xdr:nvSpPr>
      <xdr:spPr>
        <a:xfrm>
          <a:off x="6241827" y="1018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107728</xdr:colOff>
      <xdr:row>5</xdr:row>
      <xdr:rowOff>5724</xdr:rowOff>
    </xdr:from>
    <xdr:to>
      <xdr:col>28</xdr:col>
      <xdr:colOff>224269</xdr:colOff>
      <xdr:row>7</xdr:row>
      <xdr:rowOff>6724</xdr:rowOff>
    </xdr:to>
    <xdr:sp macro="" textlink="M3S8">
      <xdr:nvSpPr>
        <xdr:cNvPr id="23" name="SUBMENU5">
          <a:hlinkClick xmlns:r="http://schemas.openxmlformats.org/officeDocument/2006/relationships" r:id="rId6" tooltip=" "/>
          <a:extLst>
            <a:ext uri="{FF2B5EF4-FFF2-40B4-BE49-F238E27FC236}">
              <a16:creationId xmlns:a16="http://schemas.microsoft.com/office/drawing/2014/main" id="{00000000-0008-0000-1100-000017000000}"/>
            </a:ext>
          </a:extLst>
        </xdr:cNvPr>
        <xdr:cNvSpPr/>
      </xdr:nvSpPr>
      <xdr:spPr>
        <a:xfrm>
          <a:off x="7638081" y="1014253"/>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246529</xdr:colOff>
      <xdr:row>5</xdr:row>
      <xdr:rowOff>0</xdr:rowOff>
    </xdr:from>
    <xdr:to>
      <xdr:col>33</xdr:col>
      <xdr:colOff>49306</xdr:colOff>
      <xdr:row>6</xdr:row>
      <xdr:rowOff>201026</xdr:rowOff>
    </xdr:to>
    <xdr:sp macro="" textlink="M3S9">
      <xdr:nvSpPr>
        <xdr:cNvPr id="24" name="SUBMENU5">
          <a:hlinkClick xmlns:r="http://schemas.openxmlformats.org/officeDocument/2006/relationships" r:id="rId7" tooltip=" "/>
          <a:extLst>
            <a:ext uri="{FF2B5EF4-FFF2-40B4-BE49-F238E27FC236}">
              <a16:creationId xmlns:a16="http://schemas.microsoft.com/office/drawing/2014/main" id="{00000000-0008-0000-1100-000018000000}"/>
            </a:ext>
          </a:extLst>
        </xdr:cNvPr>
        <xdr:cNvSpPr/>
      </xdr:nvSpPr>
      <xdr:spPr>
        <a:xfrm>
          <a:off x="9031941" y="100852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33</xdr:col>
      <xdr:colOff>56113</xdr:colOff>
      <xdr:row>5</xdr:row>
      <xdr:rowOff>10206</xdr:rowOff>
    </xdr:from>
    <xdr:to>
      <xdr:col>37</xdr:col>
      <xdr:colOff>44638</xdr:colOff>
      <xdr:row>7</xdr:row>
      <xdr:rowOff>11206</xdr:rowOff>
    </xdr:to>
    <xdr:sp macro="" textlink="M3S6">
      <xdr:nvSpPr>
        <xdr:cNvPr id="16" name="SUBMENU6">
          <a:hlinkClick xmlns:r="http://schemas.openxmlformats.org/officeDocument/2006/relationships" r:id="rId8" tooltip=" "/>
          <a:extLst>
            <a:ext uri="{FF2B5EF4-FFF2-40B4-BE49-F238E27FC236}">
              <a16:creationId xmlns:a16="http://schemas.microsoft.com/office/drawing/2014/main" id="{00000000-0008-0000-1100-000010000000}"/>
            </a:ext>
          </a:extLst>
        </xdr:cNvPr>
        <xdr:cNvSpPr/>
      </xdr:nvSpPr>
      <xdr:spPr>
        <a:xfrm>
          <a:off x="10410348" y="1018735"/>
          <a:ext cx="1243584" cy="404412"/>
        </a:xfrm>
        <a:prstGeom prst="round2SameRect">
          <a:avLst/>
        </a:prstGeom>
        <a:solidFill>
          <a:srgbClr val="54BCEB"/>
        </a:solidFill>
        <a:ln w="28575">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70103</xdr:colOff>
      <xdr:row>5</xdr:row>
      <xdr:rowOff>10206</xdr:rowOff>
    </xdr:from>
    <xdr:to>
      <xdr:col>41</xdr:col>
      <xdr:colOff>58628</xdr:colOff>
      <xdr:row>7</xdr:row>
      <xdr:rowOff>11206</xdr:rowOff>
    </xdr:to>
    <xdr:sp macro="" textlink="M3S7">
      <xdr:nvSpPr>
        <xdr:cNvPr id="17" name="SUBMENU7">
          <a:hlinkClick xmlns:r="http://schemas.openxmlformats.org/officeDocument/2006/relationships" r:id="rId9" tooltip=" "/>
          <a:extLst>
            <a:ext uri="{FF2B5EF4-FFF2-40B4-BE49-F238E27FC236}">
              <a16:creationId xmlns:a16="http://schemas.microsoft.com/office/drawing/2014/main" id="{00000000-0008-0000-1100-000011000000}"/>
            </a:ext>
          </a:extLst>
        </xdr:cNvPr>
        <xdr:cNvSpPr/>
      </xdr:nvSpPr>
      <xdr:spPr>
        <a:xfrm>
          <a:off x="11679397" y="1018735"/>
          <a:ext cx="1243584" cy="404412"/>
        </a:xfrm>
        <a:prstGeom prst="round2SameRect">
          <a:avLst/>
        </a:prstGeom>
        <a:solidFill>
          <a:srgbClr val="54BCEB"/>
        </a:solidFill>
        <a:ln w="28575">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3632</xdr:colOff>
      <xdr:row>11</xdr:row>
      <xdr:rowOff>1046</xdr:rowOff>
    </xdr:to>
    <xdr:sp macro="" textlink="">
      <xdr:nvSpPr>
        <xdr:cNvPr id="2" name="NEXT">
          <a:hlinkClick xmlns:r="http://schemas.openxmlformats.org/officeDocument/2006/relationships" r:id="rId10" tooltip=" "/>
          <a:extLst>
            <a:ext uri="{FF2B5EF4-FFF2-40B4-BE49-F238E27FC236}">
              <a16:creationId xmlns:a16="http://schemas.microsoft.com/office/drawing/2014/main" id="{00000000-0008-0000-11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11" tooltip=" "/>
          <a:extLst>
            <a:ext uri="{FF2B5EF4-FFF2-40B4-BE49-F238E27FC236}">
              <a16:creationId xmlns:a16="http://schemas.microsoft.com/office/drawing/2014/main" id="{00000000-0008-0000-11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2" tooltip=" "/>
          <a:extLst>
            <a:ext uri="{FF2B5EF4-FFF2-40B4-BE49-F238E27FC236}">
              <a16:creationId xmlns:a16="http://schemas.microsoft.com/office/drawing/2014/main" id="{00000000-0008-0000-11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3" tooltip=" "/>
          <a:extLst>
            <a:ext uri="{FF2B5EF4-FFF2-40B4-BE49-F238E27FC236}">
              <a16:creationId xmlns:a16="http://schemas.microsoft.com/office/drawing/2014/main" id="{00000000-0008-0000-11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4" tooltip=" "/>
          <a:extLst>
            <a:ext uri="{FF2B5EF4-FFF2-40B4-BE49-F238E27FC236}">
              <a16:creationId xmlns:a16="http://schemas.microsoft.com/office/drawing/2014/main" id="{00000000-0008-0000-11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1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1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50800</xdr:rowOff>
    </xdr:from>
    <xdr:to>
      <xdr:col>6</xdr:col>
      <xdr:colOff>119261</xdr:colOff>
      <xdr:row>7</xdr:row>
      <xdr:rowOff>48602</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100-00000B000000}"/>
            </a:ext>
          </a:extLst>
        </xdr:cNvPr>
        <xdr:cNvSpPr/>
      </xdr:nvSpPr>
      <xdr:spPr>
        <a:xfrm>
          <a:off x="630249" y="1059329"/>
          <a:ext cx="1371600" cy="401214"/>
        </a:xfrm>
        <a:prstGeom prst="round2SameRect">
          <a:avLst/>
        </a:prstGeom>
        <a:solidFill>
          <a:srgbClr val="00334E"/>
        </a:solidFill>
        <a:ln w="28575">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155200</xdr:rowOff>
    </xdr:from>
    <xdr:to>
      <xdr:col>44</xdr:col>
      <xdr:colOff>0</xdr:colOff>
      <xdr:row>45</xdr:row>
      <xdr:rowOff>0</xdr:rowOff>
    </xdr:to>
    <xdr:sp macro="" textlink="">
      <xdr:nvSpPr>
        <xdr:cNvPr id="19" name="BORDER">
          <a:extLst>
            <a:ext uri="{FF2B5EF4-FFF2-40B4-BE49-F238E27FC236}">
              <a16:creationId xmlns:a16="http://schemas.microsoft.com/office/drawing/2014/main" id="{00000000-0008-0000-1100-000013000000}"/>
            </a:ext>
          </a:extLst>
        </xdr:cNvPr>
        <xdr:cNvSpPr/>
      </xdr:nvSpPr>
      <xdr:spPr>
        <a:xfrm>
          <a:off x="314323" y="1567141"/>
          <a:ext cx="13491324" cy="7509624"/>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5" tooltip=" "/>
          <a:extLst>
            <a:ext uri="{FF2B5EF4-FFF2-40B4-BE49-F238E27FC236}">
              <a16:creationId xmlns:a16="http://schemas.microsoft.com/office/drawing/2014/main" id="{00000000-0008-0000-11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5" name="LOGO">
          <a:extLst>
            <a:ext uri="{FF2B5EF4-FFF2-40B4-BE49-F238E27FC236}">
              <a16:creationId xmlns:a16="http://schemas.microsoft.com/office/drawing/2014/main" id="{00000000-0008-0000-1100-00001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1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2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200-00000B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271489</xdr:colOff>
      <xdr:row>4</xdr:row>
      <xdr:rowOff>200705</xdr:rowOff>
    </xdr:from>
    <xdr:to>
      <xdr:col>15</xdr:col>
      <xdr:colOff>74265</xdr:colOff>
      <xdr:row>7</xdr:row>
      <xdr:rowOff>0</xdr:rowOff>
    </xdr:to>
    <xdr:sp macro="" textlink="M3S3">
      <xdr:nvSpPr>
        <xdr:cNvPr id="13" name="SUBMENU3">
          <a:hlinkClick xmlns:r="http://schemas.openxmlformats.org/officeDocument/2006/relationships" r:id="rId2" tooltip=" "/>
          <a:extLst>
            <a:ext uri="{FF2B5EF4-FFF2-40B4-BE49-F238E27FC236}">
              <a16:creationId xmlns:a16="http://schemas.microsoft.com/office/drawing/2014/main" id="{00000000-0008-0000-1200-00000D000000}"/>
            </a:ext>
          </a:extLst>
        </xdr:cNvPr>
        <xdr:cNvSpPr/>
      </xdr:nvSpPr>
      <xdr:spPr>
        <a:xfrm>
          <a:off x="3409136"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92194</xdr:colOff>
      <xdr:row>4</xdr:row>
      <xdr:rowOff>200705</xdr:rowOff>
    </xdr:from>
    <xdr:to>
      <xdr:col>19</xdr:col>
      <xdr:colOff>208736</xdr:colOff>
      <xdr:row>7</xdr:row>
      <xdr:rowOff>0</xdr:rowOff>
    </xdr:to>
    <xdr:sp macro="" textlink="M3S4">
      <xdr:nvSpPr>
        <xdr:cNvPr id="14" name="SUBMENU4">
          <a:hlinkClick xmlns:r="http://schemas.openxmlformats.org/officeDocument/2006/relationships" r:id="rId3" tooltip=" "/>
          <a:extLst>
            <a:ext uri="{FF2B5EF4-FFF2-40B4-BE49-F238E27FC236}">
              <a16:creationId xmlns:a16="http://schemas.microsoft.com/office/drawing/2014/main" id="{00000000-0008-0000-1200-00000E000000}"/>
            </a:ext>
          </a:extLst>
        </xdr:cNvPr>
        <xdr:cNvSpPr/>
      </xdr:nvSpPr>
      <xdr:spPr>
        <a:xfrm>
          <a:off x="4798665"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226663</xdr:colOff>
      <xdr:row>4</xdr:row>
      <xdr:rowOff>200705</xdr:rowOff>
    </xdr:from>
    <xdr:to>
      <xdr:col>24</xdr:col>
      <xdr:colOff>29439</xdr:colOff>
      <xdr:row>7</xdr:row>
      <xdr:rowOff>0</xdr:rowOff>
    </xdr:to>
    <xdr:sp macro="" textlink="M3S5">
      <xdr:nvSpPr>
        <xdr:cNvPr id="15" name="SUBMENU5">
          <a:hlinkClick xmlns:r="http://schemas.openxmlformats.org/officeDocument/2006/relationships" r:id="rId4" tooltip=" "/>
          <a:extLst>
            <a:ext uri="{FF2B5EF4-FFF2-40B4-BE49-F238E27FC236}">
              <a16:creationId xmlns:a16="http://schemas.microsoft.com/office/drawing/2014/main" id="{00000000-0008-0000-1200-00000F000000}"/>
            </a:ext>
          </a:extLst>
        </xdr:cNvPr>
        <xdr:cNvSpPr/>
      </xdr:nvSpPr>
      <xdr:spPr>
        <a:xfrm>
          <a:off x="6188192"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56028</xdr:colOff>
      <xdr:row>5</xdr:row>
      <xdr:rowOff>11206</xdr:rowOff>
    </xdr:from>
    <xdr:to>
      <xdr:col>28</xdr:col>
      <xdr:colOff>172569</xdr:colOff>
      <xdr:row>7</xdr:row>
      <xdr:rowOff>12206</xdr:rowOff>
    </xdr:to>
    <xdr:sp macro="" textlink="M3S8">
      <xdr:nvSpPr>
        <xdr:cNvPr id="23" name="SUBMENU5">
          <a:hlinkClick xmlns:r="http://schemas.openxmlformats.org/officeDocument/2006/relationships" r:id="rId5" tooltip=" "/>
          <a:extLst>
            <a:ext uri="{FF2B5EF4-FFF2-40B4-BE49-F238E27FC236}">
              <a16:creationId xmlns:a16="http://schemas.microsoft.com/office/drawing/2014/main" id="{00000000-0008-0000-1200-000017000000}"/>
            </a:ext>
          </a:extLst>
        </xdr:cNvPr>
        <xdr:cNvSpPr/>
      </xdr:nvSpPr>
      <xdr:spPr>
        <a:xfrm>
          <a:off x="7586381" y="1019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190499</xdr:colOff>
      <xdr:row>4</xdr:row>
      <xdr:rowOff>190500</xdr:rowOff>
    </xdr:from>
    <xdr:to>
      <xdr:col>32</xdr:col>
      <xdr:colOff>307040</xdr:colOff>
      <xdr:row>6</xdr:row>
      <xdr:rowOff>189821</xdr:rowOff>
    </xdr:to>
    <xdr:sp macro="" textlink="M3S9">
      <xdr:nvSpPr>
        <xdr:cNvPr id="25" name="SUBMENU5">
          <a:hlinkClick xmlns:r="http://schemas.openxmlformats.org/officeDocument/2006/relationships" r:id="rId6" tooltip=" "/>
          <a:extLst>
            <a:ext uri="{FF2B5EF4-FFF2-40B4-BE49-F238E27FC236}">
              <a16:creationId xmlns:a16="http://schemas.microsoft.com/office/drawing/2014/main" id="{00000000-0008-0000-1200-000019000000}"/>
            </a:ext>
          </a:extLst>
        </xdr:cNvPr>
        <xdr:cNvSpPr/>
      </xdr:nvSpPr>
      <xdr:spPr>
        <a:xfrm>
          <a:off x="8975911" y="997324"/>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33</xdr:col>
      <xdr:colOff>0</xdr:colOff>
      <xdr:row>4</xdr:row>
      <xdr:rowOff>200705</xdr:rowOff>
    </xdr:from>
    <xdr:to>
      <xdr:col>36</xdr:col>
      <xdr:colOff>302290</xdr:colOff>
      <xdr:row>7</xdr:row>
      <xdr:rowOff>0</xdr:rowOff>
    </xdr:to>
    <xdr:sp macro="" textlink="M3S6">
      <xdr:nvSpPr>
        <xdr:cNvPr id="16" name="SUBMENU6">
          <a:hlinkClick xmlns:r="http://schemas.openxmlformats.org/officeDocument/2006/relationships" r:id="rId7" tooltip=" "/>
          <a:extLst>
            <a:ext uri="{FF2B5EF4-FFF2-40B4-BE49-F238E27FC236}">
              <a16:creationId xmlns:a16="http://schemas.microsoft.com/office/drawing/2014/main" id="{00000000-0008-0000-1200-000010000000}"/>
            </a:ext>
          </a:extLst>
        </xdr:cNvPr>
        <xdr:cNvSpPr/>
      </xdr:nvSpPr>
      <xdr:spPr>
        <a:xfrm>
          <a:off x="10354235"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2863</xdr:colOff>
      <xdr:row>4</xdr:row>
      <xdr:rowOff>200705</xdr:rowOff>
    </xdr:from>
    <xdr:to>
      <xdr:col>40</xdr:col>
      <xdr:colOff>305153</xdr:colOff>
      <xdr:row>7</xdr:row>
      <xdr:rowOff>0</xdr:rowOff>
    </xdr:to>
    <xdr:sp macro="" textlink="M3S7">
      <xdr:nvSpPr>
        <xdr:cNvPr id="17" name="SUBMENU7">
          <a:hlinkClick xmlns:r="http://schemas.openxmlformats.org/officeDocument/2006/relationships" r:id="rId8" tooltip=" "/>
          <a:extLst>
            <a:ext uri="{FF2B5EF4-FFF2-40B4-BE49-F238E27FC236}">
              <a16:creationId xmlns:a16="http://schemas.microsoft.com/office/drawing/2014/main" id="{00000000-0008-0000-1200-000011000000}"/>
            </a:ext>
          </a:extLst>
        </xdr:cNvPr>
        <xdr:cNvSpPr/>
      </xdr:nvSpPr>
      <xdr:spPr>
        <a:xfrm>
          <a:off x="11612157"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 "/>
          <a:extLst>
            <a:ext uri="{FF2B5EF4-FFF2-40B4-BE49-F238E27FC236}">
              <a16:creationId xmlns:a16="http://schemas.microsoft.com/office/drawing/2014/main" id="{00000000-0008-0000-1200-000005000000}"/>
            </a:ext>
          </a:extLst>
        </xdr:cNvPr>
        <xdr:cNvSpPr/>
      </xdr:nvSpPr>
      <xdr:spPr>
        <a:xfrm>
          <a:off x="5343525" y="333375"/>
          <a:ext cx="1571625" cy="600075"/>
        </a:xfrm>
        <a:prstGeom prst="round2SameRect">
          <a:avLst/>
        </a:prstGeom>
        <a:solidFill>
          <a:srgbClr val="A6A5AA"/>
        </a:solidFill>
        <a:ln w="12700">
          <a:solidFill>
            <a:srgbClr val="A6A5AA"/>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22963</xdr:colOff>
      <xdr:row>11</xdr:row>
      <xdr:rowOff>1046</xdr:rowOff>
    </xdr:to>
    <xdr:sp macro="" textlink="">
      <xdr:nvSpPr>
        <xdr:cNvPr id="2" name="NEXT">
          <a:hlinkClick xmlns:r="http://schemas.openxmlformats.org/officeDocument/2006/relationships" r:id="rId9" tooltip=" "/>
          <a:extLst>
            <a:ext uri="{FF2B5EF4-FFF2-40B4-BE49-F238E27FC236}">
              <a16:creationId xmlns:a16="http://schemas.microsoft.com/office/drawing/2014/main" id="{00000000-0008-0000-12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10" tooltip=" "/>
          <a:extLst>
            <a:ext uri="{FF2B5EF4-FFF2-40B4-BE49-F238E27FC236}">
              <a16:creationId xmlns:a16="http://schemas.microsoft.com/office/drawing/2014/main" id="{00000000-0008-0000-1200-000003000000}"/>
            </a:ext>
          </a:extLst>
        </xdr:cNvPr>
        <xdr:cNvSpPr/>
      </xdr:nvSpPr>
      <xdr:spPr>
        <a:xfrm>
          <a:off x="2200732" y="200025"/>
          <a:ext cx="1571168" cy="600075"/>
        </a:xfrm>
        <a:prstGeom prst="round2SameRect">
          <a:avLst/>
        </a:prstGeom>
        <a:solidFill>
          <a:srgbClr val="00334E"/>
        </a:solidFill>
        <a:ln w="12700">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1" tooltip=" "/>
          <a:extLst>
            <a:ext uri="{FF2B5EF4-FFF2-40B4-BE49-F238E27FC236}">
              <a16:creationId xmlns:a16="http://schemas.microsoft.com/office/drawing/2014/main" id="{00000000-0008-0000-1200-000004000000}"/>
            </a:ext>
          </a:extLst>
        </xdr:cNvPr>
        <xdr:cNvSpPr/>
      </xdr:nvSpPr>
      <xdr:spPr>
        <a:xfrm>
          <a:off x="3771900" y="200025"/>
          <a:ext cx="1571625" cy="600075"/>
        </a:xfrm>
        <a:prstGeom prst="round2SameRect">
          <a:avLst/>
        </a:prstGeom>
        <a:solidFill>
          <a:srgbClr val="00334E"/>
        </a:solidFill>
        <a:ln w="12700">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2" tooltip=" "/>
          <a:extLst>
            <a:ext uri="{FF2B5EF4-FFF2-40B4-BE49-F238E27FC236}">
              <a16:creationId xmlns:a16="http://schemas.microsoft.com/office/drawing/2014/main" id="{00000000-0008-0000-1200-000006000000}"/>
            </a:ext>
          </a:extLst>
        </xdr:cNvPr>
        <xdr:cNvSpPr/>
      </xdr:nvSpPr>
      <xdr:spPr>
        <a:xfrm>
          <a:off x="6915150" y="200025"/>
          <a:ext cx="1571625" cy="600075"/>
        </a:xfrm>
        <a:prstGeom prst="round2SameRect">
          <a:avLst/>
        </a:prstGeom>
        <a:solidFill>
          <a:srgbClr val="00334E"/>
        </a:solidFill>
        <a:ln w="12700">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3" tooltip=" "/>
          <a:extLst>
            <a:ext uri="{FF2B5EF4-FFF2-40B4-BE49-F238E27FC236}">
              <a16:creationId xmlns:a16="http://schemas.microsoft.com/office/drawing/2014/main" id="{00000000-0008-0000-1200-000007000000}"/>
            </a:ext>
          </a:extLst>
        </xdr:cNvPr>
        <xdr:cNvSpPr/>
      </xdr:nvSpPr>
      <xdr:spPr>
        <a:xfrm>
          <a:off x="8486775" y="200025"/>
          <a:ext cx="1571625" cy="600075"/>
        </a:xfrm>
        <a:prstGeom prst="round2SameRect">
          <a:avLst/>
        </a:prstGeom>
        <a:solidFill>
          <a:srgbClr val="00334E"/>
        </a:solidFill>
        <a:ln w="12700">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2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2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6</xdr:col>
      <xdr:colOff>137020</xdr:colOff>
      <xdr:row>5</xdr:row>
      <xdr:rowOff>51480</xdr:rowOff>
    </xdr:from>
    <xdr:to>
      <xdr:col>10</xdr:col>
      <xdr:colOff>253561</xdr:colOff>
      <xdr:row>7</xdr:row>
      <xdr:rowOff>50800</xdr:rowOff>
    </xdr:to>
    <xdr:sp macro="" textlink="M3S2">
      <xdr:nvSpPr>
        <xdr:cNvPr id="12" name="SUBMENU2">
          <a:hlinkClick xmlns:r="http://schemas.openxmlformats.org/officeDocument/2006/relationships" r:id="rId14" tooltip=" "/>
          <a:extLst>
            <a:ext uri="{FF2B5EF4-FFF2-40B4-BE49-F238E27FC236}">
              <a16:creationId xmlns:a16="http://schemas.microsoft.com/office/drawing/2014/main" id="{00000000-0008-0000-1200-00000C000000}"/>
            </a:ext>
          </a:extLst>
        </xdr:cNvPr>
        <xdr:cNvSpPr/>
      </xdr:nvSpPr>
      <xdr:spPr>
        <a:xfrm>
          <a:off x="2019608" y="1060009"/>
          <a:ext cx="1371600"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200023</xdr:rowOff>
    </xdr:from>
    <xdr:to>
      <xdr:col>44</xdr:col>
      <xdr:colOff>0</xdr:colOff>
      <xdr:row>34</xdr:row>
      <xdr:rowOff>201705</xdr:rowOff>
    </xdr:to>
    <xdr:sp macro="" textlink="">
      <xdr:nvSpPr>
        <xdr:cNvPr id="19" name="BORDER">
          <a:extLst>
            <a:ext uri="{FF2B5EF4-FFF2-40B4-BE49-F238E27FC236}">
              <a16:creationId xmlns:a16="http://schemas.microsoft.com/office/drawing/2014/main" id="{00000000-0008-0000-1200-000013000000}"/>
            </a:ext>
          </a:extLst>
        </xdr:cNvPr>
        <xdr:cNvSpPr/>
      </xdr:nvSpPr>
      <xdr:spPr>
        <a:xfrm>
          <a:off x="314323" y="1611964"/>
          <a:ext cx="13491324" cy="5447741"/>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10</xdr:row>
      <xdr:rowOff>184423</xdr:rowOff>
    </xdr:to>
    <xdr:sp macro="" textlink="">
      <xdr:nvSpPr>
        <xdr:cNvPr id="20" name="BACK">
          <a:hlinkClick xmlns:r="http://schemas.openxmlformats.org/officeDocument/2006/relationships" r:id="rId15" tooltip=" "/>
          <a:extLst>
            <a:ext uri="{FF2B5EF4-FFF2-40B4-BE49-F238E27FC236}">
              <a16:creationId xmlns:a16="http://schemas.microsoft.com/office/drawing/2014/main" id="{00000000-0008-0000-12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4" name="LOGO">
          <a:extLst>
            <a:ext uri="{FF2B5EF4-FFF2-40B4-BE49-F238E27FC236}">
              <a16:creationId xmlns:a16="http://schemas.microsoft.com/office/drawing/2014/main" id="{00000000-0008-0000-1200-00001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2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 "/>
          <a:extLst>
            <a:ext uri="{FF2B5EF4-FFF2-40B4-BE49-F238E27FC236}">
              <a16:creationId xmlns:a16="http://schemas.microsoft.com/office/drawing/2014/main" id="{00000000-0008-0000-1300-000005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3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300-00000B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137020</xdr:colOff>
      <xdr:row>5</xdr:row>
      <xdr:rowOff>680</xdr:rowOff>
    </xdr:from>
    <xdr:to>
      <xdr:col>10</xdr:col>
      <xdr:colOff>253561</xdr:colOff>
      <xdr:row>7</xdr:row>
      <xdr:rowOff>0</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300-00000C000000}"/>
            </a:ext>
          </a:extLst>
        </xdr:cNvPr>
        <xdr:cNvSpPr/>
      </xdr:nvSpPr>
      <xdr:spPr>
        <a:xfrm>
          <a:off x="2019608" y="100920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103398</xdr:colOff>
      <xdr:row>5</xdr:row>
      <xdr:rowOff>680</xdr:rowOff>
    </xdr:from>
    <xdr:to>
      <xdr:col>19</xdr:col>
      <xdr:colOff>219940</xdr:colOff>
      <xdr:row>7</xdr:row>
      <xdr:rowOff>0</xdr:rowOff>
    </xdr:to>
    <xdr:sp macro="" textlink="M3S4">
      <xdr:nvSpPr>
        <xdr:cNvPr id="14" name="SUBMENU4">
          <a:hlinkClick xmlns:r="http://schemas.openxmlformats.org/officeDocument/2006/relationships" r:id="rId3" tooltip=" "/>
          <a:extLst>
            <a:ext uri="{FF2B5EF4-FFF2-40B4-BE49-F238E27FC236}">
              <a16:creationId xmlns:a16="http://schemas.microsoft.com/office/drawing/2014/main" id="{00000000-0008-0000-1300-00000E000000}"/>
            </a:ext>
          </a:extLst>
        </xdr:cNvPr>
        <xdr:cNvSpPr/>
      </xdr:nvSpPr>
      <xdr:spPr>
        <a:xfrm>
          <a:off x="4809869" y="100920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237871</xdr:colOff>
      <xdr:row>5</xdr:row>
      <xdr:rowOff>680</xdr:rowOff>
    </xdr:from>
    <xdr:to>
      <xdr:col>24</xdr:col>
      <xdr:colOff>40647</xdr:colOff>
      <xdr:row>7</xdr:row>
      <xdr:rowOff>0</xdr:rowOff>
    </xdr:to>
    <xdr:sp macro="" textlink="M3S5">
      <xdr:nvSpPr>
        <xdr:cNvPr id="15" name="SUBMENU5">
          <a:hlinkClick xmlns:r="http://schemas.openxmlformats.org/officeDocument/2006/relationships" r:id="rId4" tooltip=" "/>
          <a:extLst>
            <a:ext uri="{FF2B5EF4-FFF2-40B4-BE49-F238E27FC236}">
              <a16:creationId xmlns:a16="http://schemas.microsoft.com/office/drawing/2014/main" id="{00000000-0008-0000-1300-00000F000000}"/>
            </a:ext>
          </a:extLst>
        </xdr:cNvPr>
        <xdr:cNvSpPr/>
      </xdr:nvSpPr>
      <xdr:spPr>
        <a:xfrm>
          <a:off x="6199400" y="100920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67233</xdr:colOff>
      <xdr:row>5</xdr:row>
      <xdr:rowOff>11206</xdr:rowOff>
    </xdr:from>
    <xdr:to>
      <xdr:col>28</xdr:col>
      <xdr:colOff>183774</xdr:colOff>
      <xdr:row>7</xdr:row>
      <xdr:rowOff>12206</xdr:rowOff>
    </xdr:to>
    <xdr:sp macro="" textlink="M3S8">
      <xdr:nvSpPr>
        <xdr:cNvPr id="23" name="SUBMENU5">
          <a:hlinkClick xmlns:r="http://schemas.openxmlformats.org/officeDocument/2006/relationships" r:id="rId5" tooltip=" "/>
          <a:extLst>
            <a:ext uri="{FF2B5EF4-FFF2-40B4-BE49-F238E27FC236}">
              <a16:creationId xmlns:a16="http://schemas.microsoft.com/office/drawing/2014/main" id="{00000000-0008-0000-1300-000017000000}"/>
            </a:ext>
          </a:extLst>
        </xdr:cNvPr>
        <xdr:cNvSpPr/>
      </xdr:nvSpPr>
      <xdr:spPr>
        <a:xfrm>
          <a:off x="7597586" y="1019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201705</xdr:colOff>
      <xdr:row>5</xdr:row>
      <xdr:rowOff>1</xdr:rowOff>
    </xdr:from>
    <xdr:to>
      <xdr:col>33</xdr:col>
      <xdr:colOff>4482</xdr:colOff>
      <xdr:row>6</xdr:row>
      <xdr:rowOff>201027</xdr:rowOff>
    </xdr:to>
    <xdr:sp macro="" textlink="M3S9">
      <xdr:nvSpPr>
        <xdr:cNvPr id="25" name="SUBMENU5">
          <a:hlinkClick xmlns:r="http://schemas.openxmlformats.org/officeDocument/2006/relationships" r:id="rId6" tooltip=" "/>
          <a:extLst>
            <a:ext uri="{FF2B5EF4-FFF2-40B4-BE49-F238E27FC236}">
              <a16:creationId xmlns:a16="http://schemas.microsoft.com/office/drawing/2014/main" id="{00000000-0008-0000-1300-000019000000}"/>
            </a:ext>
          </a:extLst>
        </xdr:cNvPr>
        <xdr:cNvSpPr/>
      </xdr:nvSpPr>
      <xdr:spPr>
        <a:xfrm>
          <a:off x="8987117" y="1008530"/>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33</xdr:col>
      <xdr:colOff>11208</xdr:colOff>
      <xdr:row>5</xdr:row>
      <xdr:rowOff>680</xdr:rowOff>
    </xdr:from>
    <xdr:to>
      <xdr:col>36</xdr:col>
      <xdr:colOff>313498</xdr:colOff>
      <xdr:row>7</xdr:row>
      <xdr:rowOff>0</xdr:rowOff>
    </xdr:to>
    <xdr:sp macro="" textlink="M3S6">
      <xdr:nvSpPr>
        <xdr:cNvPr id="16" name="SUBMENU6">
          <a:hlinkClick xmlns:r="http://schemas.openxmlformats.org/officeDocument/2006/relationships" r:id="rId7" tooltip=" "/>
          <a:extLst>
            <a:ext uri="{FF2B5EF4-FFF2-40B4-BE49-F238E27FC236}">
              <a16:creationId xmlns:a16="http://schemas.microsoft.com/office/drawing/2014/main" id="{00000000-0008-0000-1300-000010000000}"/>
            </a:ext>
          </a:extLst>
        </xdr:cNvPr>
        <xdr:cNvSpPr/>
      </xdr:nvSpPr>
      <xdr:spPr>
        <a:xfrm>
          <a:off x="10365443" y="1009209"/>
          <a:ext cx="12435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14070</xdr:colOff>
      <xdr:row>5</xdr:row>
      <xdr:rowOff>680</xdr:rowOff>
    </xdr:from>
    <xdr:to>
      <xdr:col>41</xdr:col>
      <xdr:colOff>2595</xdr:colOff>
      <xdr:row>7</xdr:row>
      <xdr:rowOff>0</xdr:rowOff>
    </xdr:to>
    <xdr:sp macro="" textlink="M3S7">
      <xdr:nvSpPr>
        <xdr:cNvPr id="17" name="SUBMENU7">
          <a:hlinkClick xmlns:r="http://schemas.openxmlformats.org/officeDocument/2006/relationships" r:id="rId8" tooltip=" "/>
          <a:extLst>
            <a:ext uri="{FF2B5EF4-FFF2-40B4-BE49-F238E27FC236}">
              <a16:creationId xmlns:a16="http://schemas.microsoft.com/office/drawing/2014/main" id="{00000000-0008-0000-1300-000011000000}"/>
            </a:ext>
          </a:extLst>
        </xdr:cNvPr>
        <xdr:cNvSpPr/>
      </xdr:nvSpPr>
      <xdr:spPr>
        <a:xfrm>
          <a:off x="11623364" y="1009209"/>
          <a:ext cx="12435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9" tooltip=" "/>
          <a:extLst>
            <a:ext uri="{FF2B5EF4-FFF2-40B4-BE49-F238E27FC236}">
              <a16:creationId xmlns:a16="http://schemas.microsoft.com/office/drawing/2014/main" id="{00000000-0008-0000-13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10" tooltip=" "/>
          <a:extLst>
            <a:ext uri="{FF2B5EF4-FFF2-40B4-BE49-F238E27FC236}">
              <a16:creationId xmlns:a16="http://schemas.microsoft.com/office/drawing/2014/main" id="{00000000-0008-0000-13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1" tooltip=" "/>
          <a:extLst>
            <a:ext uri="{FF2B5EF4-FFF2-40B4-BE49-F238E27FC236}">
              <a16:creationId xmlns:a16="http://schemas.microsoft.com/office/drawing/2014/main" id="{00000000-0008-0000-13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2" tooltip=" "/>
          <a:extLst>
            <a:ext uri="{FF2B5EF4-FFF2-40B4-BE49-F238E27FC236}">
              <a16:creationId xmlns:a16="http://schemas.microsoft.com/office/drawing/2014/main" id="{00000000-0008-0000-13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3" tooltip=" "/>
          <a:extLst>
            <a:ext uri="{FF2B5EF4-FFF2-40B4-BE49-F238E27FC236}">
              <a16:creationId xmlns:a16="http://schemas.microsoft.com/office/drawing/2014/main" id="{00000000-0008-0000-13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3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3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10</xdr:col>
      <xdr:colOff>282695</xdr:colOff>
      <xdr:row>5</xdr:row>
      <xdr:rowOff>51480</xdr:rowOff>
    </xdr:from>
    <xdr:to>
      <xdr:col>15</xdr:col>
      <xdr:colOff>85471</xdr:colOff>
      <xdr:row>7</xdr:row>
      <xdr:rowOff>50800</xdr:rowOff>
    </xdr:to>
    <xdr:sp macro="" textlink="M3S3">
      <xdr:nvSpPr>
        <xdr:cNvPr id="13" name="SUBMENU3">
          <a:hlinkClick xmlns:r="http://schemas.openxmlformats.org/officeDocument/2006/relationships" r:id="rId14" tooltip="HVAC (Electric)"/>
          <a:extLst>
            <a:ext uri="{FF2B5EF4-FFF2-40B4-BE49-F238E27FC236}">
              <a16:creationId xmlns:a16="http://schemas.microsoft.com/office/drawing/2014/main" id="{00000000-0008-0000-1300-00000D000000}"/>
            </a:ext>
          </a:extLst>
        </xdr:cNvPr>
        <xdr:cNvSpPr/>
      </xdr:nvSpPr>
      <xdr:spPr>
        <a:xfrm>
          <a:off x="3420342" y="1060009"/>
          <a:ext cx="1371600"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1</xdr:colOff>
      <xdr:row>7</xdr:row>
      <xdr:rowOff>200023</xdr:rowOff>
    </xdr:from>
    <xdr:to>
      <xdr:col>44</xdr:col>
      <xdr:colOff>1</xdr:colOff>
      <xdr:row>199</xdr:row>
      <xdr:rowOff>11206</xdr:rowOff>
    </xdr:to>
    <xdr:sp macro="" textlink="">
      <xdr:nvSpPr>
        <xdr:cNvPr id="19" name="BORDER">
          <a:extLst>
            <a:ext uri="{FF2B5EF4-FFF2-40B4-BE49-F238E27FC236}">
              <a16:creationId xmlns:a16="http://schemas.microsoft.com/office/drawing/2014/main" id="{00000000-0008-0000-1300-000013000000}"/>
            </a:ext>
          </a:extLst>
        </xdr:cNvPr>
        <xdr:cNvSpPr/>
      </xdr:nvSpPr>
      <xdr:spPr>
        <a:xfrm>
          <a:off x="313766" y="1611964"/>
          <a:ext cx="13491882" cy="5458948"/>
        </a:xfrm>
        <a:prstGeom prst="frame">
          <a:avLst>
            <a:gd name="adj1" fmla="val 0"/>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5" tooltip=" "/>
          <a:extLst>
            <a:ext uri="{FF2B5EF4-FFF2-40B4-BE49-F238E27FC236}">
              <a16:creationId xmlns:a16="http://schemas.microsoft.com/office/drawing/2014/main" id="{00000000-0008-0000-13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4" name="LOGO">
          <a:extLst>
            <a:ext uri="{FF2B5EF4-FFF2-40B4-BE49-F238E27FC236}">
              <a16:creationId xmlns:a16="http://schemas.microsoft.com/office/drawing/2014/main" id="{00000000-0008-0000-1300-00001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3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 "/>
          <a:extLst>
            <a:ext uri="{FF2B5EF4-FFF2-40B4-BE49-F238E27FC236}">
              <a16:creationId xmlns:a16="http://schemas.microsoft.com/office/drawing/2014/main" id="{00000000-0008-0000-1400-000005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4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400-00000B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137020</xdr:colOff>
      <xdr:row>4</xdr:row>
      <xdr:rowOff>200705</xdr:rowOff>
    </xdr:from>
    <xdr:to>
      <xdr:col>10</xdr:col>
      <xdr:colOff>253561</xdr:colOff>
      <xdr:row>7</xdr:row>
      <xdr:rowOff>0</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400-00000C000000}"/>
            </a:ext>
          </a:extLst>
        </xdr:cNvPr>
        <xdr:cNvSpPr/>
      </xdr:nvSpPr>
      <xdr:spPr>
        <a:xfrm>
          <a:off x="2019608"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271488</xdr:colOff>
      <xdr:row>4</xdr:row>
      <xdr:rowOff>200705</xdr:rowOff>
    </xdr:from>
    <xdr:to>
      <xdr:col>15</xdr:col>
      <xdr:colOff>74264</xdr:colOff>
      <xdr:row>7</xdr:row>
      <xdr:rowOff>0</xdr:rowOff>
    </xdr:to>
    <xdr:sp macro="" textlink="M3S3">
      <xdr:nvSpPr>
        <xdr:cNvPr id="13" name="SUBMENU3">
          <a:hlinkClick xmlns:r="http://schemas.openxmlformats.org/officeDocument/2006/relationships" r:id="rId3" tooltip=" "/>
          <a:extLst>
            <a:ext uri="{FF2B5EF4-FFF2-40B4-BE49-F238E27FC236}">
              <a16:creationId xmlns:a16="http://schemas.microsoft.com/office/drawing/2014/main" id="{00000000-0008-0000-1400-00000D000000}"/>
            </a:ext>
          </a:extLst>
        </xdr:cNvPr>
        <xdr:cNvSpPr/>
      </xdr:nvSpPr>
      <xdr:spPr>
        <a:xfrm>
          <a:off x="3409135"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237870</xdr:colOff>
      <xdr:row>4</xdr:row>
      <xdr:rowOff>200705</xdr:rowOff>
    </xdr:from>
    <xdr:to>
      <xdr:col>24</xdr:col>
      <xdr:colOff>40646</xdr:colOff>
      <xdr:row>7</xdr:row>
      <xdr:rowOff>0</xdr:rowOff>
    </xdr:to>
    <xdr:sp macro="" textlink="M3S5">
      <xdr:nvSpPr>
        <xdr:cNvPr id="15" name="SUBMENU5">
          <a:hlinkClick xmlns:r="http://schemas.openxmlformats.org/officeDocument/2006/relationships" r:id="rId4" tooltip=" "/>
          <a:extLst>
            <a:ext uri="{FF2B5EF4-FFF2-40B4-BE49-F238E27FC236}">
              <a16:creationId xmlns:a16="http://schemas.microsoft.com/office/drawing/2014/main" id="{00000000-0008-0000-1400-00000F000000}"/>
            </a:ext>
          </a:extLst>
        </xdr:cNvPr>
        <xdr:cNvSpPr/>
      </xdr:nvSpPr>
      <xdr:spPr>
        <a:xfrm>
          <a:off x="6199399"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67232</xdr:colOff>
      <xdr:row>5</xdr:row>
      <xdr:rowOff>2</xdr:rowOff>
    </xdr:from>
    <xdr:to>
      <xdr:col>28</xdr:col>
      <xdr:colOff>183773</xdr:colOff>
      <xdr:row>7</xdr:row>
      <xdr:rowOff>1002</xdr:rowOff>
    </xdr:to>
    <xdr:sp macro="" textlink="M3S8">
      <xdr:nvSpPr>
        <xdr:cNvPr id="24" name="SUBMENU5">
          <a:hlinkClick xmlns:r="http://schemas.openxmlformats.org/officeDocument/2006/relationships" r:id="rId5" tooltip=" "/>
          <a:extLst>
            <a:ext uri="{FF2B5EF4-FFF2-40B4-BE49-F238E27FC236}">
              <a16:creationId xmlns:a16="http://schemas.microsoft.com/office/drawing/2014/main" id="{00000000-0008-0000-1400-000018000000}"/>
            </a:ext>
          </a:extLst>
        </xdr:cNvPr>
        <xdr:cNvSpPr/>
      </xdr:nvSpPr>
      <xdr:spPr>
        <a:xfrm>
          <a:off x="7597585" y="1008531"/>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190500</xdr:colOff>
      <xdr:row>4</xdr:row>
      <xdr:rowOff>190500</xdr:rowOff>
    </xdr:from>
    <xdr:to>
      <xdr:col>32</xdr:col>
      <xdr:colOff>307041</xdr:colOff>
      <xdr:row>6</xdr:row>
      <xdr:rowOff>189821</xdr:rowOff>
    </xdr:to>
    <xdr:sp macro="" textlink="M3S9">
      <xdr:nvSpPr>
        <xdr:cNvPr id="26" name="SUBMENU5">
          <a:hlinkClick xmlns:r="http://schemas.openxmlformats.org/officeDocument/2006/relationships" r:id="rId6" tooltip=" "/>
          <a:extLst>
            <a:ext uri="{FF2B5EF4-FFF2-40B4-BE49-F238E27FC236}">
              <a16:creationId xmlns:a16="http://schemas.microsoft.com/office/drawing/2014/main" id="{00000000-0008-0000-1400-00001A000000}"/>
            </a:ext>
          </a:extLst>
        </xdr:cNvPr>
        <xdr:cNvSpPr/>
      </xdr:nvSpPr>
      <xdr:spPr>
        <a:xfrm>
          <a:off x="8975912" y="997324"/>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33</xdr:col>
      <xdr:colOff>5</xdr:colOff>
      <xdr:row>4</xdr:row>
      <xdr:rowOff>189499</xdr:rowOff>
    </xdr:from>
    <xdr:to>
      <xdr:col>36</xdr:col>
      <xdr:colOff>302295</xdr:colOff>
      <xdr:row>6</xdr:row>
      <xdr:rowOff>190500</xdr:rowOff>
    </xdr:to>
    <xdr:sp macro="" textlink="M3S6">
      <xdr:nvSpPr>
        <xdr:cNvPr id="16" name="SUBMENU6">
          <a:hlinkClick xmlns:r="http://schemas.openxmlformats.org/officeDocument/2006/relationships" r:id="rId7" tooltip=" "/>
          <a:extLst>
            <a:ext uri="{FF2B5EF4-FFF2-40B4-BE49-F238E27FC236}">
              <a16:creationId xmlns:a16="http://schemas.microsoft.com/office/drawing/2014/main" id="{00000000-0008-0000-1400-000010000000}"/>
            </a:ext>
          </a:extLst>
        </xdr:cNvPr>
        <xdr:cNvSpPr/>
      </xdr:nvSpPr>
      <xdr:spPr>
        <a:xfrm>
          <a:off x="10354240" y="996323"/>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2865</xdr:colOff>
      <xdr:row>4</xdr:row>
      <xdr:rowOff>189499</xdr:rowOff>
    </xdr:from>
    <xdr:to>
      <xdr:col>40</xdr:col>
      <xdr:colOff>305155</xdr:colOff>
      <xdr:row>6</xdr:row>
      <xdr:rowOff>190500</xdr:rowOff>
    </xdr:to>
    <xdr:sp macro="" textlink="M3S7">
      <xdr:nvSpPr>
        <xdr:cNvPr id="17" name="SUBMENU7">
          <a:hlinkClick xmlns:r="http://schemas.openxmlformats.org/officeDocument/2006/relationships" r:id="rId8" tooltip=" "/>
          <a:extLst>
            <a:ext uri="{FF2B5EF4-FFF2-40B4-BE49-F238E27FC236}">
              <a16:creationId xmlns:a16="http://schemas.microsoft.com/office/drawing/2014/main" id="{00000000-0008-0000-1400-000011000000}"/>
            </a:ext>
          </a:extLst>
        </xdr:cNvPr>
        <xdr:cNvSpPr/>
      </xdr:nvSpPr>
      <xdr:spPr>
        <a:xfrm>
          <a:off x="11612159" y="996323"/>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9" tooltip=" "/>
          <a:extLst>
            <a:ext uri="{FF2B5EF4-FFF2-40B4-BE49-F238E27FC236}">
              <a16:creationId xmlns:a16="http://schemas.microsoft.com/office/drawing/2014/main" id="{00000000-0008-0000-14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0" tooltip=" "/>
          <a:extLst>
            <a:ext uri="{FF2B5EF4-FFF2-40B4-BE49-F238E27FC236}">
              <a16:creationId xmlns:a16="http://schemas.microsoft.com/office/drawing/2014/main" id="{00000000-0008-0000-14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1" tooltip=" "/>
          <a:extLst>
            <a:ext uri="{FF2B5EF4-FFF2-40B4-BE49-F238E27FC236}">
              <a16:creationId xmlns:a16="http://schemas.microsoft.com/office/drawing/2014/main" id="{00000000-0008-0000-14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2" tooltip=" "/>
          <a:extLst>
            <a:ext uri="{FF2B5EF4-FFF2-40B4-BE49-F238E27FC236}">
              <a16:creationId xmlns:a16="http://schemas.microsoft.com/office/drawing/2014/main" id="{00000000-0008-0000-14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4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37</xdr:col>
      <xdr:colOff>559</xdr:colOff>
      <xdr:row>1</xdr:row>
      <xdr:rowOff>0</xdr:rowOff>
    </xdr:from>
    <xdr:to>
      <xdr:col>42</xdr:col>
      <xdr:colOff>559</xdr:colOff>
      <xdr:row>4</xdr:row>
      <xdr:rowOff>0</xdr:rowOff>
    </xdr:to>
    <xdr:sp macro="" textlink="MAIN7">
      <xdr:nvSpPr>
        <xdr:cNvPr id="9" name="MENU7">
          <a:extLst>
            <a:ext uri="{FF2B5EF4-FFF2-40B4-BE49-F238E27FC236}">
              <a16:creationId xmlns:a16="http://schemas.microsoft.com/office/drawing/2014/main" id="{00000000-0008-0000-1400-000009000000}"/>
            </a:ext>
          </a:extLst>
        </xdr:cNvPr>
        <xdr:cNvSpPr/>
      </xdr:nvSpPr>
      <xdr:spPr>
        <a:xfrm>
          <a:off x="11609853" y="201706"/>
          <a:ext cx="1568824" cy="605118"/>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15</xdr:col>
      <xdr:colOff>103400</xdr:colOff>
      <xdr:row>5</xdr:row>
      <xdr:rowOff>51480</xdr:rowOff>
    </xdr:from>
    <xdr:to>
      <xdr:col>19</xdr:col>
      <xdr:colOff>219942</xdr:colOff>
      <xdr:row>7</xdr:row>
      <xdr:rowOff>50800</xdr:rowOff>
    </xdr:to>
    <xdr:sp macro="" textlink="M3S4">
      <xdr:nvSpPr>
        <xdr:cNvPr id="14" name="SUBMENU4">
          <a:hlinkClick xmlns:r="http://schemas.openxmlformats.org/officeDocument/2006/relationships" r:id="rId13" tooltip=" "/>
          <a:extLst>
            <a:ext uri="{FF2B5EF4-FFF2-40B4-BE49-F238E27FC236}">
              <a16:creationId xmlns:a16="http://schemas.microsoft.com/office/drawing/2014/main" id="{00000000-0008-0000-1400-00000E000000}"/>
            </a:ext>
          </a:extLst>
        </xdr:cNvPr>
        <xdr:cNvSpPr/>
      </xdr:nvSpPr>
      <xdr:spPr>
        <a:xfrm>
          <a:off x="4809871" y="1060009"/>
          <a:ext cx="1371600"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4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0</xdr:colOff>
      <xdr:row>9</xdr:row>
      <xdr:rowOff>0</xdr:rowOff>
    </xdr:from>
    <xdr:to>
      <xdr:col>3</xdr:col>
      <xdr:colOff>312005</xdr:colOff>
      <xdr:row>11</xdr:row>
      <xdr:rowOff>1681</xdr:rowOff>
    </xdr:to>
    <xdr:sp macro="" textlink="">
      <xdr:nvSpPr>
        <xdr:cNvPr id="25" name="BACK">
          <a:hlinkClick xmlns:r="http://schemas.openxmlformats.org/officeDocument/2006/relationships" r:id="rId14" tooltip=" "/>
          <a:extLst>
            <a:ext uri="{FF2B5EF4-FFF2-40B4-BE49-F238E27FC236}">
              <a16:creationId xmlns:a16="http://schemas.microsoft.com/office/drawing/2014/main" id="{00000000-0008-0000-1400-000019000000}"/>
            </a:ext>
          </a:extLst>
        </xdr:cNvPr>
        <xdr:cNvSpPr>
          <a:spLocks noChangeAspect="1"/>
        </xdr:cNvSpPr>
      </xdr:nvSpPr>
      <xdr:spPr>
        <a:xfrm>
          <a:off x="627529" y="1815353"/>
          <a:ext cx="625770" cy="405093"/>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41</xdr:col>
      <xdr:colOff>0</xdr:colOff>
      <xdr:row>9</xdr:row>
      <xdr:rowOff>0</xdr:rowOff>
    </xdr:from>
    <xdr:to>
      <xdr:col>42</xdr:col>
      <xdr:colOff>313195</xdr:colOff>
      <xdr:row>11</xdr:row>
      <xdr:rowOff>1680</xdr:rowOff>
    </xdr:to>
    <xdr:sp macro="" textlink="">
      <xdr:nvSpPr>
        <xdr:cNvPr id="27" name="NEXT">
          <a:hlinkClick xmlns:r="http://schemas.openxmlformats.org/officeDocument/2006/relationships" r:id="rId15" tooltip=" "/>
          <a:extLst>
            <a:ext uri="{FF2B5EF4-FFF2-40B4-BE49-F238E27FC236}">
              <a16:creationId xmlns:a16="http://schemas.microsoft.com/office/drawing/2014/main" id="{00000000-0008-0000-1400-00001B000000}"/>
            </a:ext>
          </a:extLst>
        </xdr:cNvPr>
        <xdr:cNvSpPr>
          <a:spLocks noChangeAspect="1"/>
        </xdr:cNvSpPr>
      </xdr:nvSpPr>
      <xdr:spPr>
        <a:xfrm>
          <a:off x="12864353" y="1815353"/>
          <a:ext cx="626960" cy="403411"/>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33" name="LOGO">
          <a:extLst>
            <a:ext uri="{FF2B5EF4-FFF2-40B4-BE49-F238E27FC236}">
              <a16:creationId xmlns:a16="http://schemas.microsoft.com/office/drawing/2014/main" id="{00000000-0008-0000-1400-00002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4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 "/>
          <a:extLst>
            <a:ext uri="{FF2B5EF4-FFF2-40B4-BE49-F238E27FC236}">
              <a16:creationId xmlns:a16="http://schemas.microsoft.com/office/drawing/2014/main" id="{00000000-0008-0000-1500-000005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5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500-00000B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134851</xdr:colOff>
      <xdr:row>4</xdr:row>
      <xdr:rowOff>200705</xdr:rowOff>
    </xdr:from>
    <xdr:to>
      <xdr:col>10</xdr:col>
      <xdr:colOff>251392</xdr:colOff>
      <xdr:row>7</xdr:row>
      <xdr:rowOff>0</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500-00000C000000}"/>
            </a:ext>
          </a:extLst>
        </xdr:cNvPr>
        <xdr:cNvSpPr/>
      </xdr:nvSpPr>
      <xdr:spPr>
        <a:xfrm>
          <a:off x="2017439"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258037</xdr:colOff>
      <xdr:row>4</xdr:row>
      <xdr:rowOff>200705</xdr:rowOff>
    </xdr:from>
    <xdr:to>
      <xdr:col>15</xdr:col>
      <xdr:colOff>60813</xdr:colOff>
      <xdr:row>7</xdr:row>
      <xdr:rowOff>0</xdr:rowOff>
    </xdr:to>
    <xdr:sp macro="" textlink="M3S3">
      <xdr:nvSpPr>
        <xdr:cNvPr id="13" name="SUBMENU3">
          <a:hlinkClick xmlns:r="http://schemas.openxmlformats.org/officeDocument/2006/relationships" r:id="rId3" tooltip=" "/>
          <a:extLst>
            <a:ext uri="{FF2B5EF4-FFF2-40B4-BE49-F238E27FC236}">
              <a16:creationId xmlns:a16="http://schemas.microsoft.com/office/drawing/2014/main" id="{00000000-0008-0000-1500-00000D000000}"/>
            </a:ext>
          </a:extLst>
        </xdr:cNvPr>
        <xdr:cNvSpPr/>
      </xdr:nvSpPr>
      <xdr:spPr>
        <a:xfrm>
          <a:off x="3395684"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67462</xdr:colOff>
      <xdr:row>4</xdr:row>
      <xdr:rowOff>200705</xdr:rowOff>
    </xdr:from>
    <xdr:to>
      <xdr:col>19</xdr:col>
      <xdr:colOff>184004</xdr:colOff>
      <xdr:row>7</xdr:row>
      <xdr:rowOff>0</xdr:rowOff>
    </xdr:to>
    <xdr:sp macro="" textlink="M3S4">
      <xdr:nvSpPr>
        <xdr:cNvPr id="14" name="SUBMENU4">
          <a:hlinkClick xmlns:r="http://schemas.openxmlformats.org/officeDocument/2006/relationships" r:id="rId4" tooltip=" "/>
          <a:extLst>
            <a:ext uri="{FF2B5EF4-FFF2-40B4-BE49-F238E27FC236}">
              <a16:creationId xmlns:a16="http://schemas.microsoft.com/office/drawing/2014/main" id="{00000000-0008-0000-1500-00000E000000}"/>
            </a:ext>
          </a:extLst>
        </xdr:cNvPr>
        <xdr:cNvSpPr/>
      </xdr:nvSpPr>
      <xdr:spPr>
        <a:xfrm>
          <a:off x="4773933"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11203</xdr:colOff>
      <xdr:row>5</xdr:row>
      <xdr:rowOff>11206</xdr:rowOff>
    </xdr:from>
    <xdr:to>
      <xdr:col>28</xdr:col>
      <xdr:colOff>127744</xdr:colOff>
      <xdr:row>7</xdr:row>
      <xdr:rowOff>12206</xdr:rowOff>
    </xdr:to>
    <xdr:sp macro="" textlink="M3S8">
      <xdr:nvSpPr>
        <xdr:cNvPr id="24" name="SUBMENU5">
          <a:hlinkClick xmlns:r="http://schemas.openxmlformats.org/officeDocument/2006/relationships" r:id="rId5" tooltip=" "/>
          <a:extLst>
            <a:ext uri="{FF2B5EF4-FFF2-40B4-BE49-F238E27FC236}">
              <a16:creationId xmlns:a16="http://schemas.microsoft.com/office/drawing/2014/main" id="{00000000-0008-0000-1500-000018000000}"/>
            </a:ext>
          </a:extLst>
        </xdr:cNvPr>
        <xdr:cNvSpPr/>
      </xdr:nvSpPr>
      <xdr:spPr>
        <a:xfrm>
          <a:off x="7541556" y="1019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145676</xdr:colOff>
      <xdr:row>5</xdr:row>
      <xdr:rowOff>0</xdr:rowOff>
    </xdr:from>
    <xdr:to>
      <xdr:col>32</xdr:col>
      <xdr:colOff>262217</xdr:colOff>
      <xdr:row>6</xdr:row>
      <xdr:rowOff>201026</xdr:rowOff>
    </xdr:to>
    <xdr:sp macro="" textlink="M3S9">
      <xdr:nvSpPr>
        <xdr:cNvPr id="25" name="SUBMENU5">
          <a:hlinkClick xmlns:r="http://schemas.openxmlformats.org/officeDocument/2006/relationships" r:id="rId6" tooltip=" "/>
          <a:extLst>
            <a:ext uri="{FF2B5EF4-FFF2-40B4-BE49-F238E27FC236}">
              <a16:creationId xmlns:a16="http://schemas.microsoft.com/office/drawing/2014/main" id="{00000000-0008-0000-1500-000019000000}"/>
            </a:ext>
          </a:extLst>
        </xdr:cNvPr>
        <xdr:cNvSpPr/>
      </xdr:nvSpPr>
      <xdr:spPr>
        <a:xfrm>
          <a:off x="8931088" y="100852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269020</xdr:colOff>
      <xdr:row>4</xdr:row>
      <xdr:rowOff>200705</xdr:rowOff>
    </xdr:from>
    <xdr:to>
      <xdr:col>36</xdr:col>
      <xdr:colOff>257546</xdr:colOff>
      <xdr:row>7</xdr:row>
      <xdr:rowOff>0</xdr:rowOff>
    </xdr:to>
    <xdr:sp macro="" textlink="M3S6">
      <xdr:nvSpPr>
        <xdr:cNvPr id="16" name="SUBMENU6">
          <a:hlinkClick xmlns:r="http://schemas.openxmlformats.org/officeDocument/2006/relationships" r:id="rId7" tooltip=" "/>
          <a:extLst>
            <a:ext uri="{FF2B5EF4-FFF2-40B4-BE49-F238E27FC236}">
              <a16:creationId xmlns:a16="http://schemas.microsoft.com/office/drawing/2014/main" id="{00000000-0008-0000-1500-000010000000}"/>
            </a:ext>
          </a:extLst>
        </xdr:cNvPr>
        <xdr:cNvSpPr/>
      </xdr:nvSpPr>
      <xdr:spPr>
        <a:xfrm>
          <a:off x="10309491"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36</xdr:col>
      <xdr:colOff>271806</xdr:colOff>
      <xdr:row>4</xdr:row>
      <xdr:rowOff>200705</xdr:rowOff>
    </xdr:from>
    <xdr:to>
      <xdr:col>40</xdr:col>
      <xdr:colOff>260331</xdr:colOff>
      <xdr:row>7</xdr:row>
      <xdr:rowOff>0</xdr:rowOff>
    </xdr:to>
    <xdr:sp macro="" textlink="M3S7">
      <xdr:nvSpPr>
        <xdr:cNvPr id="17" name="SUBMENU7">
          <a:hlinkClick xmlns:r="http://schemas.openxmlformats.org/officeDocument/2006/relationships" r:id="rId8" tooltip=" "/>
          <a:extLst>
            <a:ext uri="{FF2B5EF4-FFF2-40B4-BE49-F238E27FC236}">
              <a16:creationId xmlns:a16="http://schemas.microsoft.com/office/drawing/2014/main" id="{00000000-0008-0000-1500-000011000000}"/>
            </a:ext>
          </a:extLst>
        </xdr:cNvPr>
        <xdr:cNvSpPr/>
      </xdr:nvSpPr>
      <xdr:spPr>
        <a:xfrm>
          <a:off x="11567335"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tooltip=" "/>
          <a:extLst>
            <a:ext uri="{FF2B5EF4-FFF2-40B4-BE49-F238E27FC236}">
              <a16:creationId xmlns:a16="http://schemas.microsoft.com/office/drawing/2014/main" id="{00000000-0008-0000-15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9" tooltip=" "/>
          <a:extLst>
            <a:ext uri="{FF2B5EF4-FFF2-40B4-BE49-F238E27FC236}">
              <a16:creationId xmlns:a16="http://schemas.microsoft.com/office/drawing/2014/main" id="{00000000-0008-0000-15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0" tooltip=" "/>
          <a:extLst>
            <a:ext uri="{FF2B5EF4-FFF2-40B4-BE49-F238E27FC236}">
              <a16:creationId xmlns:a16="http://schemas.microsoft.com/office/drawing/2014/main" id="{00000000-0008-0000-15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1" tooltip=" "/>
          <a:extLst>
            <a:ext uri="{FF2B5EF4-FFF2-40B4-BE49-F238E27FC236}">
              <a16:creationId xmlns:a16="http://schemas.microsoft.com/office/drawing/2014/main" id="{00000000-0008-0000-15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2" tooltip=" "/>
          <a:extLst>
            <a:ext uri="{FF2B5EF4-FFF2-40B4-BE49-F238E27FC236}">
              <a16:creationId xmlns:a16="http://schemas.microsoft.com/office/drawing/2014/main" id="{00000000-0008-0000-15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5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5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19</xdr:col>
      <xdr:colOff>190651</xdr:colOff>
      <xdr:row>5</xdr:row>
      <xdr:rowOff>51480</xdr:rowOff>
    </xdr:from>
    <xdr:to>
      <xdr:col>23</xdr:col>
      <xdr:colOff>307192</xdr:colOff>
      <xdr:row>7</xdr:row>
      <xdr:rowOff>50800</xdr:rowOff>
    </xdr:to>
    <xdr:sp macro="" textlink="M3S5">
      <xdr:nvSpPr>
        <xdr:cNvPr id="15" name="SUBMENU5">
          <a:hlinkClick xmlns:r="http://schemas.openxmlformats.org/officeDocument/2006/relationships" r:id="rId13" tooltip=" "/>
          <a:extLst>
            <a:ext uri="{FF2B5EF4-FFF2-40B4-BE49-F238E27FC236}">
              <a16:creationId xmlns:a16="http://schemas.microsoft.com/office/drawing/2014/main" id="{00000000-0008-0000-1500-00000F000000}"/>
            </a:ext>
          </a:extLst>
        </xdr:cNvPr>
        <xdr:cNvSpPr/>
      </xdr:nvSpPr>
      <xdr:spPr>
        <a:xfrm>
          <a:off x="6152180" y="1060009"/>
          <a:ext cx="1371600"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188818</xdr:rowOff>
    </xdr:from>
    <xdr:to>
      <xdr:col>44</xdr:col>
      <xdr:colOff>0</xdr:colOff>
      <xdr:row>199</xdr:row>
      <xdr:rowOff>11206</xdr:rowOff>
    </xdr:to>
    <xdr:sp macro="" textlink="">
      <xdr:nvSpPr>
        <xdr:cNvPr id="19" name="BORDER">
          <a:extLst>
            <a:ext uri="{FF2B5EF4-FFF2-40B4-BE49-F238E27FC236}">
              <a16:creationId xmlns:a16="http://schemas.microsoft.com/office/drawing/2014/main" id="{00000000-0008-0000-1500-000013000000}"/>
            </a:ext>
          </a:extLst>
        </xdr:cNvPr>
        <xdr:cNvSpPr/>
      </xdr:nvSpPr>
      <xdr:spPr>
        <a:xfrm>
          <a:off x="314323" y="1600759"/>
          <a:ext cx="13491324" cy="38549918"/>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15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3" name="LOGO">
          <a:extLst>
            <a:ext uri="{FF2B5EF4-FFF2-40B4-BE49-F238E27FC236}">
              <a16:creationId xmlns:a16="http://schemas.microsoft.com/office/drawing/2014/main" id="{00000000-0008-0000-1500-00001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5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3" name="MENU3">
          <a:hlinkClick xmlns:r="http://schemas.openxmlformats.org/officeDocument/2006/relationships" r:id="rId1" tooltip=" "/>
          <a:extLst>
            <a:ext uri="{FF2B5EF4-FFF2-40B4-BE49-F238E27FC236}">
              <a16:creationId xmlns:a16="http://schemas.microsoft.com/office/drawing/2014/main" id="{00000000-0008-0000-1600-000003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4" name="TOPRIBBON">
          <a:extLst>
            <a:ext uri="{FF2B5EF4-FFF2-40B4-BE49-F238E27FC236}">
              <a16:creationId xmlns:a16="http://schemas.microsoft.com/office/drawing/2014/main" id="{00000000-0008-0000-1600-000004000000}"/>
            </a:ext>
          </a:extLst>
        </xdr:cNvPr>
        <xdr:cNvSpPr/>
      </xdr:nvSpPr>
      <xdr:spPr>
        <a:xfrm>
          <a:off x="314325" y="800101"/>
          <a:ext cx="13529781" cy="600074"/>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4" name="SUBMENU1">
          <a:hlinkClick xmlns:r="http://schemas.openxmlformats.org/officeDocument/2006/relationships" r:id="rId1" tooltip=" "/>
          <a:extLst>
            <a:ext uri="{FF2B5EF4-FFF2-40B4-BE49-F238E27FC236}">
              <a16:creationId xmlns:a16="http://schemas.microsoft.com/office/drawing/2014/main" id="{00000000-0008-0000-1600-00000E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131115</xdr:colOff>
      <xdr:row>4</xdr:row>
      <xdr:rowOff>200705</xdr:rowOff>
    </xdr:from>
    <xdr:to>
      <xdr:col>10</xdr:col>
      <xdr:colOff>247656</xdr:colOff>
      <xdr:row>7</xdr:row>
      <xdr:rowOff>0</xdr:rowOff>
    </xdr:to>
    <xdr:sp macro="" textlink="M3S2">
      <xdr:nvSpPr>
        <xdr:cNvPr id="15" name="SUBMENU2">
          <a:hlinkClick xmlns:r="http://schemas.openxmlformats.org/officeDocument/2006/relationships" r:id="rId2" tooltip=" "/>
          <a:extLst>
            <a:ext uri="{FF2B5EF4-FFF2-40B4-BE49-F238E27FC236}">
              <a16:creationId xmlns:a16="http://schemas.microsoft.com/office/drawing/2014/main" id="{00000000-0008-0000-1600-00000F000000}"/>
            </a:ext>
          </a:extLst>
        </xdr:cNvPr>
        <xdr:cNvSpPr/>
      </xdr:nvSpPr>
      <xdr:spPr>
        <a:xfrm>
          <a:off x="2013703"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261771</xdr:colOff>
      <xdr:row>4</xdr:row>
      <xdr:rowOff>200705</xdr:rowOff>
    </xdr:from>
    <xdr:to>
      <xdr:col>15</xdr:col>
      <xdr:colOff>64547</xdr:colOff>
      <xdr:row>7</xdr:row>
      <xdr:rowOff>0</xdr:rowOff>
    </xdr:to>
    <xdr:sp macro="" textlink="M3S3">
      <xdr:nvSpPr>
        <xdr:cNvPr id="16" name="SUBMENU3">
          <a:hlinkClick xmlns:r="http://schemas.openxmlformats.org/officeDocument/2006/relationships" r:id="rId3" tooltip=" "/>
          <a:extLst>
            <a:ext uri="{FF2B5EF4-FFF2-40B4-BE49-F238E27FC236}">
              <a16:creationId xmlns:a16="http://schemas.microsoft.com/office/drawing/2014/main" id="{00000000-0008-0000-1600-000010000000}"/>
            </a:ext>
          </a:extLst>
        </xdr:cNvPr>
        <xdr:cNvSpPr/>
      </xdr:nvSpPr>
      <xdr:spPr>
        <a:xfrm>
          <a:off x="3399418"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78666</xdr:colOff>
      <xdr:row>4</xdr:row>
      <xdr:rowOff>200705</xdr:rowOff>
    </xdr:from>
    <xdr:to>
      <xdr:col>19</xdr:col>
      <xdr:colOff>195208</xdr:colOff>
      <xdr:row>7</xdr:row>
      <xdr:rowOff>0</xdr:rowOff>
    </xdr:to>
    <xdr:sp macro="" textlink="M3S4">
      <xdr:nvSpPr>
        <xdr:cNvPr id="17" name="SUBMENU4">
          <a:hlinkClick xmlns:r="http://schemas.openxmlformats.org/officeDocument/2006/relationships" r:id="rId4" tooltip=" "/>
          <a:extLst>
            <a:ext uri="{FF2B5EF4-FFF2-40B4-BE49-F238E27FC236}">
              <a16:creationId xmlns:a16="http://schemas.microsoft.com/office/drawing/2014/main" id="{00000000-0008-0000-1600-000011000000}"/>
            </a:ext>
          </a:extLst>
        </xdr:cNvPr>
        <xdr:cNvSpPr/>
      </xdr:nvSpPr>
      <xdr:spPr>
        <a:xfrm>
          <a:off x="4785137"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EC4D1991-C1D9-486E-95EB-30A9469B742C}"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Refrigeration</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198118</xdr:colOff>
      <xdr:row>4</xdr:row>
      <xdr:rowOff>197155</xdr:rowOff>
    </xdr:from>
    <xdr:to>
      <xdr:col>24</xdr:col>
      <xdr:colOff>894</xdr:colOff>
      <xdr:row>6</xdr:row>
      <xdr:rowOff>196476</xdr:rowOff>
    </xdr:to>
    <xdr:sp macro="" textlink="M3S5">
      <xdr:nvSpPr>
        <xdr:cNvPr id="18" name="SUBMENU5">
          <a:hlinkClick xmlns:r="http://schemas.openxmlformats.org/officeDocument/2006/relationships" r:id="rId5" tooltip=" "/>
          <a:extLst>
            <a:ext uri="{FF2B5EF4-FFF2-40B4-BE49-F238E27FC236}">
              <a16:creationId xmlns:a16="http://schemas.microsoft.com/office/drawing/2014/main" id="{00000000-0008-0000-1600-000012000000}"/>
            </a:ext>
          </a:extLst>
        </xdr:cNvPr>
        <xdr:cNvSpPr/>
      </xdr:nvSpPr>
      <xdr:spPr>
        <a:xfrm>
          <a:off x="6159647" y="100397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52BFCEF9-4B05-45FB-B7B3-9621E37C07CC}"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Commercial Cooking (Elec/Gas)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137609</xdr:colOff>
      <xdr:row>5</xdr:row>
      <xdr:rowOff>2174</xdr:rowOff>
    </xdr:from>
    <xdr:to>
      <xdr:col>32</xdr:col>
      <xdr:colOff>254150</xdr:colOff>
      <xdr:row>7</xdr:row>
      <xdr:rowOff>1494</xdr:rowOff>
    </xdr:to>
    <xdr:sp macro="" textlink="M3S9">
      <xdr:nvSpPr>
        <xdr:cNvPr id="25" name="SUBMENU5">
          <a:hlinkClick xmlns:r="http://schemas.openxmlformats.org/officeDocument/2006/relationships" r:id="rId6" tooltip=" "/>
          <a:extLst>
            <a:ext uri="{FF2B5EF4-FFF2-40B4-BE49-F238E27FC236}">
              <a16:creationId xmlns:a16="http://schemas.microsoft.com/office/drawing/2014/main" id="{00000000-0008-0000-1600-000019000000}"/>
            </a:ext>
          </a:extLst>
        </xdr:cNvPr>
        <xdr:cNvSpPr/>
      </xdr:nvSpPr>
      <xdr:spPr>
        <a:xfrm>
          <a:off x="8923021" y="1010703"/>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272757</xdr:colOff>
      <xdr:row>4</xdr:row>
      <xdr:rowOff>200705</xdr:rowOff>
    </xdr:from>
    <xdr:to>
      <xdr:col>36</xdr:col>
      <xdr:colOff>261283</xdr:colOff>
      <xdr:row>7</xdr:row>
      <xdr:rowOff>0</xdr:rowOff>
    </xdr:to>
    <xdr:sp macro="" textlink="M3S6">
      <xdr:nvSpPr>
        <xdr:cNvPr id="5" name="SUBMENU6">
          <a:hlinkClick xmlns:r="http://schemas.openxmlformats.org/officeDocument/2006/relationships" r:id="rId7" tooltip=" "/>
          <a:extLst>
            <a:ext uri="{FF2B5EF4-FFF2-40B4-BE49-F238E27FC236}">
              <a16:creationId xmlns:a16="http://schemas.microsoft.com/office/drawing/2014/main" id="{00000000-0008-0000-1600-000005000000}"/>
            </a:ext>
          </a:extLst>
        </xdr:cNvPr>
        <xdr:cNvSpPr/>
      </xdr:nvSpPr>
      <xdr:spPr>
        <a:xfrm>
          <a:off x="10313228"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36</xdr:col>
      <xdr:colOff>280149</xdr:colOff>
      <xdr:row>5</xdr:row>
      <xdr:rowOff>1</xdr:rowOff>
    </xdr:from>
    <xdr:to>
      <xdr:col>40</xdr:col>
      <xdr:colOff>268674</xdr:colOff>
      <xdr:row>7</xdr:row>
      <xdr:rowOff>1001</xdr:rowOff>
    </xdr:to>
    <xdr:sp macro="" textlink="M3S7">
      <xdr:nvSpPr>
        <xdr:cNvPr id="24" name="SUBMENU7">
          <a:hlinkClick xmlns:r="http://schemas.openxmlformats.org/officeDocument/2006/relationships" r:id="rId8" tooltip=" "/>
          <a:extLst>
            <a:ext uri="{FF2B5EF4-FFF2-40B4-BE49-F238E27FC236}">
              <a16:creationId xmlns:a16="http://schemas.microsoft.com/office/drawing/2014/main" id="{00000000-0008-0000-1600-000018000000}"/>
            </a:ext>
          </a:extLst>
        </xdr:cNvPr>
        <xdr:cNvSpPr/>
      </xdr:nvSpPr>
      <xdr:spPr>
        <a:xfrm>
          <a:off x="11575678" y="1008530"/>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Water Heating / Others (Gas)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22963</xdr:colOff>
      <xdr:row>11</xdr:row>
      <xdr:rowOff>1046</xdr:rowOff>
    </xdr:to>
    <xdr:sp macro="" textlink="">
      <xdr:nvSpPr>
        <xdr:cNvPr id="7" name="NEXT">
          <a:hlinkClick xmlns:r="http://schemas.openxmlformats.org/officeDocument/2006/relationships" r:id="rId6" tooltip=" "/>
          <a:extLst>
            <a:ext uri="{FF2B5EF4-FFF2-40B4-BE49-F238E27FC236}">
              <a16:creationId xmlns:a16="http://schemas.microsoft.com/office/drawing/2014/main" id="{00000000-0008-0000-1600-000007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8" name="MENU1">
          <a:hlinkClick xmlns:r="http://schemas.openxmlformats.org/officeDocument/2006/relationships" r:id="rId9" tooltip=" "/>
          <a:extLst>
            <a:ext uri="{FF2B5EF4-FFF2-40B4-BE49-F238E27FC236}">
              <a16:creationId xmlns:a16="http://schemas.microsoft.com/office/drawing/2014/main" id="{00000000-0008-0000-1600-000008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9" name="MENU2">
          <a:hlinkClick xmlns:r="http://schemas.openxmlformats.org/officeDocument/2006/relationships" r:id="rId10" tooltip=" "/>
          <a:extLst>
            <a:ext uri="{FF2B5EF4-FFF2-40B4-BE49-F238E27FC236}">
              <a16:creationId xmlns:a16="http://schemas.microsoft.com/office/drawing/2014/main" id="{00000000-0008-0000-1600-000009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10" name="MENU4">
          <a:hlinkClick xmlns:r="http://schemas.openxmlformats.org/officeDocument/2006/relationships" r:id="rId11" tooltip=" "/>
          <a:extLst>
            <a:ext uri="{FF2B5EF4-FFF2-40B4-BE49-F238E27FC236}">
              <a16:creationId xmlns:a16="http://schemas.microsoft.com/office/drawing/2014/main" id="{00000000-0008-0000-1600-00000A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11" name="MENU5">
          <a:hlinkClick xmlns:r="http://schemas.openxmlformats.org/officeDocument/2006/relationships" r:id="rId12" tooltip=" "/>
          <a:extLst>
            <a:ext uri="{FF2B5EF4-FFF2-40B4-BE49-F238E27FC236}">
              <a16:creationId xmlns:a16="http://schemas.microsoft.com/office/drawing/2014/main" id="{00000000-0008-0000-1600-00000B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12" name="MENU6">
          <a:extLst>
            <a:ext uri="{FF2B5EF4-FFF2-40B4-BE49-F238E27FC236}">
              <a16:creationId xmlns:a16="http://schemas.microsoft.com/office/drawing/2014/main" id="{00000000-0008-0000-1600-00000C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3" name="MENU7">
          <a:extLst>
            <a:ext uri="{FF2B5EF4-FFF2-40B4-BE49-F238E27FC236}">
              <a16:creationId xmlns:a16="http://schemas.microsoft.com/office/drawing/2014/main" id="{00000000-0008-0000-1600-00000D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11206</xdr:rowOff>
    </xdr:to>
    <xdr:sp macro="" textlink="">
      <xdr:nvSpPr>
        <xdr:cNvPr id="19" name="BORDER">
          <a:extLst>
            <a:ext uri="{FF2B5EF4-FFF2-40B4-BE49-F238E27FC236}">
              <a16:creationId xmlns:a16="http://schemas.microsoft.com/office/drawing/2014/main" id="{00000000-0008-0000-1600-000013000000}"/>
            </a:ext>
          </a:extLst>
        </xdr:cNvPr>
        <xdr:cNvSpPr/>
      </xdr:nvSpPr>
      <xdr:spPr>
        <a:xfrm>
          <a:off x="314323" y="1611965"/>
          <a:ext cx="13491324" cy="4652123"/>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10</xdr:row>
      <xdr:rowOff>184423</xdr:rowOff>
    </xdr:to>
    <xdr:sp macro="" textlink="">
      <xdr:nvSpPr>
        <xdr:cNvPr id="20" name="BACK">
          <a:hlinkClick xmlns:r="http://schemas.openxmlformats.org/officeDocument/2006/relationships" r:id="rId13" tooltip=" "/>
          <a:extLst>
            <a:ext uri="{FF2B5EF4-FFF2-40B4-BE49-F238E27FC236}">
              <a16:creationId xmlns:a16="http://schemas.microsoft.com/office/drawing/2014/main" id="{00000000-0008-0000-16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1" name="LOGO">
          <a:extLst>
            <a:ext uri="{FF2B5EF4-FFF2-40B4-BE49-F238E27FC236}">
              <a16:creationId xmlns:a16="http://schemas.microsoft.com/office/drawing/2014/main" id="{00000000-0008-0000-1600-00001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2" name="BOTTOMRIBBON">
          <a:extLst>
            <a:ext uri="{FF2B5EF4-FFF2-40B4-BE49-F238E27FC236}">
              <a16:creationId xmlns:a16="http://schemas.microsoft.com/office/drawing/2014/main" id="{00000000-0008-0000-1600-000016000000}"/>
            </a:ext>
          </a:extLst>
        </xdr:cNvPr>
        <xdr:cNvSpPr/>
      </xdr:nvSpPr>
      <xdr:spPr>
        <a:xfrm>
          <a:off x="314325" y="1400175"/>
          <a:ext cx="13529781" cy="200025"/>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24</xdr:col>
      <xdr:colOff>11197</xdr:colOff>
      <xdr:row>5</xdr:row>
      <xdr:rowOff>56031</xdr:rowOff>
    </xdr:from>
    <xdr:to>
      <xdr:col>28</xdr:col>
      <xdr:colOff>127738</xdr:colOff>
      <xdr:row>7</xdr:row>
      <xdr:rowOff>55351</xdr:rowOff>
    </xdr:to>
    <xdr:sp macro="" textlink="M3S8">
      <xdr:nvSpPr>
        <xdr:cNvPr id="26" name="SUBMENU3">
          <a:hlinkClick xmlns:r="http://schemas.openxmlformats.org/officeDocument/2006/relationships" r:id="rId15" tooltip=" "/>
          <a:extLst>
            <a:ext uri="{FF2B5EF4-FFF2-40B4-BE49-F238E27FC236}">
              <a16:creationId xmlns:a16="http://schemas.microsoft.com/office/drawing/2014/main" id="{00000000-0008-0000-1600-00001A000000}"/>
            </a:ext>
          </a:extLst>
        </xdr:cNvPr>
        <xdr:cNvSpPr/>
      </xdr:nvSpPr>
      <xdr:spPr>
        <a:xfrm>
          <a:off x="7541550" y="1064560"/>
          <a:ext cx="1371600"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E541064-8193-4680-BB18-F1FA2C66ADA7}" type="TxLink">
            <a:rPr lang="en-US" sz="1100" b="0" i="0" u="none" strike="noStrike">
              <a:solidFill>
                <a:schemeClr val="bg1"/>
              </a:solidFill>
              <a:latin typeface="Arial" panose="020B0604020202020204" pitchFamily="34" charset="0"/>
              <a:cs typeface="Arial" panose="020B0604020202020204" pitchFamily="34" charset="0"/>
            </a:rPr>
            <a:pPr algn="ctr"/>
            <a:t>Misc / Compressed Air / VFDs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2" name="MENU3">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4" name="TOPRIBBON">
          <a:extLst>
            <a:ext uri="{FF2B5EF4-FFF2-40B4-BE49-F238E27FC236}">
              <a16:creationId xmlns:a16="http://schemas.microsoft.com/office/drawing/2014/main" id="{00000000-0008-0000-1700-000004000000}"/>
            </a:ext>
          </a:extLst>
        </xdr:cNvPr>
        <xdr:cNvSpPr/>
      </xdr:nvSpPr>
      <xdr:spPr>
        <a:xfrm>
          <a:off x="314325" y="800101"/>
          <a:ext cx="13529781" cy="600074"/>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11206</xdr:colOff>
      <xdr:row>4</xdr:row>
      <xdr:rowOff>179294</xdr:rowOff>
    </xdr:from>
    <xdr:to>
      <xdr:col>6</xdr:col>
      <xdr:colOff>127747</xdr:colOff>
      <xdr:row>7</xdr:row>
      <xdr:rowOff>7327</xdr:rowOff>
    </xdr:to>
    <xdr:sp macro="" textlink="M3S1">
      <xdr:nvSpPr>
        <xdr:cNvPr id="25" name="SUBMENU1">
          <a:hlinkClick xmlns:r="http://schemas.openxmlformats.org/officeDocument/2006/relationships" r:id="rId1" tooltip=" "/>
          <a:extLst>
            <a:ext uri="{FF2B5EF4-FFF2-40B4-BE49-F238E27FC236}">
              <a16:creationId xmlns:a16="http://schemas.microsoft.com/office/drawing/2014/main" id="{00000000-0008-0000-1700-000019000000}"/>
            </a:ext>
          </a:extLst>
        </xdr:cNvPr>
        <xdr:cNvSpPr/>
      </xdr:nvSpPr>
      <xdr:spPr>
        <a:xfrm>
          <a:off x="638735" y="963706"/>
          <a:ext cx="1371600" cy="399533"/>
        </a:xfrm>
        <a:prstGeom prst="round2SameRect">
          <a:avLst/>
        </a:prstGeom>
        <a:solidFill>
          <a:srgbClr val="1A9DD8"/>
        </a:solidFill>
        <a:ln w="12700" cap="flat" cmpd="sng" algn="ctr">
          <a:solidFill>
            <a:srgbClr val="1A9DD8"/>
          </a:solidFill>
          <a:prstDash val="solid"/>
          <a:miter lim="800000"/>
        </a:ln>
        <a:effectLst>
          <a:outerShdw blurRad="50800" dist="12700" dir="16200000" rotWithShape="0">
            <a:prstClr val="black">
              <a:alpha val="40000"/>
            </a:prstClr>
          </a:outerShdw>
        </a:effectLst>
      </xdr:spPr>
      <xdr:txBody>
        <a:bodyPr vertOverflow="overflow" horzOverflow="overflow" lIns="0" tIns="0" rIns="0" bIns="45720" rtlCol="0" anchor="t"/>
        <a:lstStyle/>
        <a:p>
          <a:pPr marL="0" marR="0" lvl="0" indent="0" algn="ctr" defTabSz="914400" eaLnBrk="1" fontAlgn="auto" latinLnBrk="0" hangingPunct="1">
            <a:lnSpc>
              <a:spcPct val="100000"/>
            </a:lnSpc>
            <a:spcBef>
              <a:spcPts val="0"/>
            </a:spcBef>
            <a:spcAft>
              <a:spcPts val="0"/>
            </a:spcAft>
            <a:buClrTx/>
            <a:buSzTx/>
            <a:buFontTx/>
            <a:buNone/>
            <a:tabLst/>
            <a:defRPr/>
          </a:pPr>
          <a:fld id="{ADF56A7A-CB83-4152-B95A-120E0363F7FB}" type="TxLink">
            <a:rPr kumimoji="0" lang="en-US" sz="1100" b="0" i="0" u="none" strike="noStrike" kern="0" cap="none" spc="0" normalizeH="0" baseline="0" noProof="0">
              <a:ln>
                <a:noFill/>
              </a:ln>
              <a:solidFill>
                <a:srgbClr val="FFFFFF"/>
              </a:solidFill>
              <a:effectLst/>
              <a:uLnTx/>
              <a:uFillTx/>
              <a:latin typeface="Arial" panose="020B0604020202020204" pitchFamily="34" charset="0"/>
              <a:ea typeface="+mn-ea"/>
              <a:cs typeface="Arial" panose="020B0604020202020204" pitchFamily="34" charset="0"/>
            </a:rPr>
            <a:pPr marL="0" marR="0" lvl="0" indent="0" algn="ctr" defTabSz="914400" eaLnBrk="1" fontAlgn="auto" latinLnBrk="0" hangingPunct="1">
              <a:lnSpc>
                <a:spcPct val="100000"/>
              </a:lnSpc>
              <a:spcBef>
                <a:spcPts val="0"/>
              </a:spcBef>
              <a:spcAft>
                <a:spcPts val="0"/>
              </a:spcAft>
              <a:buClrTx/>
              <a:buSzTx/>
              <a:buFontTx/>
              <a:buNone/>
              <a:tabLst/>
              <a:defRPr/>
            </a:pPr>
            <a:t>Lighting</a:t>
          </a:fld>
          <a:endParaRPr kumimoji="0" lang="en-US" sz="1100" b="0" i="0" u="none" strike="noStrike" kern="0" cap="none" spc="0" normalizeH="0" baseline="0" noProof="0">
            <a:ln>
              <a:noFill/>
            </a:ln>
            <a:solidFill>
              <a:srgbClr val="FFFFFF"/>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6</xdr:col>
      <xdr:colOff>146057</xdr:colOff>
      <xdr:row>5</xdr:row>
      <xdr:rowOff>10206</xdr:rowOff>
    </xdr:from>
    <xdr:to>
      <xdr:col>10</xdr:col>
      <xdr:colOff>262598</xdr:colOff>
      <xdr:row>7</xdr:row>
      <xdr:rowOff>11206</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700-00000C000000}"/>
            </a:ext>
          </a:extLst>
        </xdr:cNvPr>
        <xdr:cNvSpPr/>
      </xdr:nvSpPr>
      <xdr:spPr>
        <a:xfrm>
          <a:off x="2028645" y="985118"/>
          <a:ext cx="1371600" cy="382000"/>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291662</xdr:colOff>
      <xdr:row>5</xdr:row>
      <xdr:rowOff>10206</xdr:rowOff>
    </xdr:from>
    <xdr:to>
      <xdr:col>15</xdr:col>
      <xdr:colOff>94438</xdr:colOff>
      <xdr:row>7</xdr:row>
      <xdr:rowOff>11206</xdr:rowOff>
    </xdr:to>
    <xdr:sp macro="" textlink="M3S3">
      <xdr:nvSpPr>
        <xdr:cNvPr id="13" name="SUBMENU3">
          <a:hlinkClick xmlns:r="http://schemas.openxmlformats.org/officeDocument/2006/relationships" r:id="rId3" tooltip=" "/>
          <a:extLst>
            <a:ext uri="{FF2B5EF4-FFF2-40B4-BE49-F238E27FC236}">
              <a16:creationId xmlns:a16="http://schemas.microsoft.com/office/drawing/2014/main" id="{00000000-0008-0000-1700-00000D000000}"/>
            </a:ext>
          </a:extLst>
        </xdr:cNvPr>
        <xdr:cNvSpPr/>
      </xdr:nvSpPr>
      <xdr:spPr>
        <a:xfrm>
          <a:off x="3429309" y="985118"/>
          <a:ext cx="1371600" cy="382000"/>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123491</xdr:colOff>
      <xdr:row>5</xdr:row>
      <xdr:rowOff>10206</xdr:rowOff>
    </xdr:from>
    <xdr:to>
      <xdr:col>19</xdr:col>
      <xdr:colOff>240033</xdr:colOff>
      <xdr:row>7</xdr:row>
      <xdr:rowOff>11206</xdr:rowOff>
    </xdr:to>
    <xdr:sp macro="" textlink="M3S4">
      <xdr:nvSpPr>
        <xdr:cNvPr id="14" name="SUBMENU4">
          <a:hlinkClick xmlns:r="http://schemas.openxmlformats.org/officeDocument/2006/relationships" r:id="rId4" tooltip=" "/>
          <a:extLst>
            <a:ext uri="{FF2B5EF4-FFF2-40B4-BE49-F238E27FC236}">
              <a16:creationId xmlns:a16="http://schemas.microsoft.com/office/drawing/2014/main" id="{00000000-0008-0000-1700-00000E000000}"/>
            </a:ext>
          </a:extLst>
        </xdr:cNvPr>
        <xdr:cNvSpPr/>
      </xdr:nvSpPr>
      <xdr:spPr>
        <a:xfrm>
          <a:off x="4829962" y="985118"/>
          <a:ext cx="1371600" cy="382000"/>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273409</xdr:colOff>
      <xdr:row>5</xdr:row>
      <xdr:rowOff>10206</xdr:rowOff>
    </xdr:from>
    <xdr:to>
      <xdr:col>24</xdr:col>
      <xdr:colOff>76185</xdr:colOff>
      <xdr:row>7</xdr:row>
      <xdr:rowOff>11206</xdr:rowOff>
    </xdr:to>
    <xdr:sp macro="" textlink="M3S5">
      <xdr:nvSpPr>
        <xdr:cNvPr id="15" name="SUBMENU5">
          <a:hlinkClick xmlns:r="http://schemas.openxmlformats.org/officeDocument/2006/relationships" r:id="rId5" tooltip=" "/>
          <a:extLst>
            <a:ext uri="{FF2B5EF4-FFF2-40B4-BE49-F238E27FC236}">
              <a16:creationId xmlns:a16="http://schemas.microsoft.com/office/drawing/2014/main" id="{00000000-0008-0000-1700-00000F000000}"/>
            </a:ext>
          </a:extLst>
        </xdr:cNvPr>
        <xdr:cNvSpPr/>
      </xdr:nvSpPr>
      <xdr:spPr>
        <a:xfrm>
          <a:off x="6259505" y="984687"/>
          <a:ext cx="1378065" cy="382000"/>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106000</xdr:colOff>
      <xdr:row>5</xdr:row>
      <xdr:rowOff>5724</xdr:rowOff>
    </xdr:from>
    <xdr:to>
      <xdr:col>28</xdr:col>
      <xdr:colOff>222542</xdr:colOff>
      <xdr:row>7</xdr:row>
      <xdr:rowOff>6724</xdr:rowOff>
    </xdr:to>
    <xdr:sp macro="" textlink="M3S8">
      <xdr:nvSpPr>
        <xdr:cNvPr id="19" name="SUBMENU5">
          <a:hlinkClick xmlns:r="http://schemas.openxmlformats.org/officeDocument/2006/relationships" r:id="rId6" tooltip=" "/>
          <a:extLst>
            <a:ext uri="{FF2B5EF4-FFF2-40B4-BE49-F238E27FC236}">
              <a16:creationId xmlns:a16="http://schemas.microsoft.com/office/drawing/2014/main" id="{00000000-0008-0000-1700-000013000000}"/>
            </a:ext>
          </a:extLst>
        </xdr:cNvPr>
        <xdr:cNvSpPr/>
      </xdr:nvSpPr>
      <xdr:spPr>
        <a:xfrm>
          <a:off x="7667385" y="980205"/>
          <a:ext cx="1376772" cy="382000"/>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33</xdr:col>
      <xdr:colOff>89298</xdr:colOff>
      <xdr:row>5</xdr:row>
      <xdr:rowOff>10206</xdr:rowOff>
    </xdr:from>
    <xdr:to>
      <xdr:col>37</xdr:col>
      <xdr:colOff>77823</xdr:colOff>
      <xdr:row>7</xdr:row>
      <xdr:rowOff>11206</xdr:rowOff>
    </xdr:to>
    <xdr:sp macro="" textlink="M3S6">
      <xdr:nvSpPr>
        <xdr:cNvPr id="17" name="SUBMENU6">
          <a:hlinkClick xmlns:r="http://schemas.openxmlformats.org/officeDocument/2006/relationships" r:id="rId7" tooltip=" "/>
          <a:extLst>
            <a:ext uri="{FF2B5EF4-FFF2-40B4-BE49-F238E27FC236}">
              <a16:creationId xmlns:a16="http://schemas.microsoft.com/office/drawing/2014/main" id="{00000000-0008-0000-1700-000011000000}"/>
            </a:ext>
          </a:extLst>
        </xdr:cNvPr>
        <xdr:cNvSpPr/>
      </xdr:nvSpPr>
      <xdr:spPr>
        <a:xfrm>
          <a:off x="10486202" y="984687"/>
          <a:ext cx="1248756" cy="382000"/>
        </a:xfrm>
        <a:prstGeom prst="round2SameRect">
          <a:avLst/>
        </a:prstGeom>
        <a:solidFill>
          <a:srgbClr val="54BCEB"/>
        </a:solidFill>
        <a:ln w="28575">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107168</xdr:colOff>
      <xdr:row>5</xdr:row>
      <xdr:rowOff>10206</xdr:rowOff>
    </xdr:from>
    <xdr:to>
      <xdr:col>41</xdr:col>
      <xdr:colOff>95693</xdr:colOff>
      <xdr:row>7</xdr:row>
      <xdr:rowOff>11206</xdr:rowOff>
    </xdr:to>
    <xdr:sp macro="" textlink="M3S7">
      <xdr:nvSpPr>
        <xdr:cNvPr id="18" name="SUBMENU7">
          <a:hlinkClick xmlns:r="http://schemas.openxmlformats.org/officeDocument/2006/relationships" r:id="rId8" tooltip=" "/>
          <a:extLst>
            <a:ext uri="{FF2B5EF4-FFF2-40B4-BE49-F238E27FC236}">
              <a16:creationId xmlns:a16="http://schemas.microsoft.com/office/drawing/2014/main" id="{00000000-0008-0000-1700-000012000000}"/>
            </a:ext>
          </a:extLst>
        </xdr:cNvPr>
        <xdr:cNvSpPr/>
      </xdr:nvSpPr>
      <xdr:spPr>
        <a:xfrm>
          <a:off x="11716462" y="985118"/>
          <a:ext cx="1243584" cy="382000"/>
        </a:xfrm>
        <a:prstGeom prst="round2SameRect">
          <a:avLst/>
        </a:prstGeom>
        <a:solidFill>
          <a:srgbClr val="54BCEB"/>
        </a:solidFill>
        <a:ln w="28575">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5" name="MENU1">
          <a:hlinkClick xmlns:r="http://schemas.openxmlformats.org/officeDocument/2006/relationships" r:id="rId9" tooltip=" "/>
          <a:extLst>
            <a:ext uri="{FF2B5EF4-FFF2-40B4-BE49-F238E27FC236}">
              <a16:creationId xmlns:a16="http://schemas.microsoft.com/office/drawing/2014/main" id="{00000000-0008-0000-1700-000005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6" name="MENU2">
          <a:hlinkClick xmlns:r="http://schemas.openxmlformats.org/officeDocument/2006/relationships" r:id="rId10" tooltip=" "/>
          <a:extLst>
            <a:ext uri="{FF2B5EF4-FFF2-40B4-BE49-F238E27FC236}">
              <a16:creationId xmlns:a16="http://schemas.microsoft.com/office/drawing/2014/main" id="{00000000-0008-0000-1700-000006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7" name="MENU4">
          <a:hlinkClick xmlns:r="http://schemas.openxmlformats.org/officeDocument/2006/relationships" r:id="rId11" tooltip=" "/>
          <a:extLst>
            <a:ext uri="{FF2B5EF4-FFF2-40B4-BE49-F238E27FC236}">
              <a16:creationId xmlns:a16="http://schemas.microsoft.com/office/drawing/2014/main" id="{00000000-0008-0000-1700-000007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8" name="MENU5">
          <a:hlinkClick xmlns:r="http://schemas.openxmlformats.org/officeDocument/2006/relationships" r:id="rId12" tooltip=" "/>
          <a:extLst>
            <a:ext uri="{FF2B5EF4-FFF2-40B4-BE49-F238E27FC236}">
              <a16:creationId xmlns:a16="http://schemas.microsoft.com/office/drawing/2014/main" id="{00000000-0008-0000-1700-000008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9" name="MENU6">
          <a:extLst>
            <a:ext uri="{FF2B5EF4-FFF2-40B4-BE49-F238E27FC236}">
              <a16:creationId xmlns:a16="http://schemas.microsoft.com/office/drawing/2014/main" id="{00000000-0008-0000-1700-000009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0" name="MENU7">
          <a:extLst>
            <a:ext uri="{FF2B5EF4-FFF2-40B4-BE49-F238E27FC236}">
              <a16:creationId xmlns:a16="http://schemas.microsoft.com/office/drawing/2014/main" id="{00000000-0008-0000-1700-00000A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editAs="oneCell">
    <xdr:from>
      <xdr:col>2</xdr:col>
      <xdr:colOff>80771</xdr:colOff>
      <xdr:row>0</xdr:row>
      <xdr:rowOff>156884</xdr:rowOff>
    </xdr:from>
    <xdr:to>
      <xdr:col>5</xdr:col>
      <xdr:colOff>45759</xdr:colOff>
      <xdr:row>3</xdr:row>
      <xdr:rowOff>24177</xdr:rowOff>
    </xdr:to>
    <xdr:pic>
      <xdr:nvPicPr>
        <xdr:cNvPr id="16" name="LOGO">
          <a:extLst>
            <a:ext uri="{FF2B5EF4-FFF2-40B4-BE49-F238E27FC236}">
              <a16:creationId xmlns:a16="http://schemas.microsoft.com/office/drawing/2014/main" id="{00000000-0008-0000-1700-00001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08300" y="156884"/>
          <a:ext cx="906283" cy="46120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0" name="BOTTOMRIBBON">
          <a:extLst>
            <a:ext uri="{FF2B5EF4-FFF2-40B4-BE49-F238E27FC236}">
              <a16:creationId xmlns:a16="http://schemas.microsoft.com/office/drawing/2014/main" id="{00000000-0008-0000-1700-000014000000}"/>
            </a:ext>
          </a:extLst>
        </xdr:cNvPr>
        <xdr:cNvSpPr/>
      </xdr:nvSpPr>
      <xdr:spPr>
        <a:xfrm>
          <a:off x="314325" y="1400175"/>
          <a:ext cx="13529781" cy="200025"/>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28</xdr:col>
      <xdr:colOff>258129</xdr:colOff>
      <xdr:row>5</xdr:row>
      <xdr:rowOff>57523</xdr:rowOff>
    </xdr:from>
    <xdr:to>
      <xdr:col>33</xdr:col>
      <xdr:colOff>59612</xdr:colOff>
      <xdr:row>7</xdr:row>
      <xdr:rowOff>55325</xdr:rowOff>
    </xdr:to>
    <xdr:sp macro="" textlink="M3S9">
      <xdr:nvSpPr>
        <xdr:cNvPr id="22" name="SUBMENU1">
          <a:hlinkClick xmlns:r="http://schemas.openxmlformats.org/officeDocument/2006/relationships" r:id="rId14" tooltip=" "/>
          <a:extLst>
            <a:ext uri="{FF2B5EF4-FFF2-40B4-BE49-F238E27FC236}">
              <a16:creationId xmlns:a16="http://schemas.microsoft.com/office/drawing/2014/main" id="{00000000-0008-0000-1700-000016000000}"/>
            </a:ext>
          </a:extLst>
        </xdr:cNvPr>
        <xdr:cNvSpPr/>
      </xdr:nvSpPr>
      <xdr:spPr>
        <a:xfrm>
          <a:off x="9079744" y="1032004"/>
          <a:ext cx="1376772" cy="378802"/>
        </a:xfrm>
        <a:prstGeom prst="round2SameRect">
          <a:avLst/>
        </a:prstGeom>
        <a:solidFill>
          <a:srgbClr val="00334E"/>
        </a:solidFill>
        <a:ln w="28575">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9C4B8B-188D-4359-BD78-A8A357644415}" type="TxLink">
            <a:rPr lang="en-US" sz="1100" b="0" i="0" u="none" strike="noStrike">
              <a:solidFill>
                <a:schemeClr val="bg1"/>
              </a:solidFill>
              <a:latin typeface="Arial" panose="020B0604020202020204" pitchFamily="34" charset="0"/>
              <a:cs typeface="Arial" panose="020B0604020202020204" pitchFamily="34" charset="0"/>
            </a:rPr>
            <a:pPr algn="ctr"/>
            <a:t>Agriculture (Elec/Gas)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559</xdr:colOff>
      <xdr:row>7</xdr:row>
      <xdr:rowOff>161925</xdr:rowOff>
    </xdr:from>
    <xdr:to>
      <xdr:col>44</xdr:col>
      <xdr:colOff>559</xdr:colOff>
      <xdr:row>199</xdr:row>
      <xdr:rowOff>11206</xdr:rowOff>
    </xdr:to>
    <xdr:sp macro="" textlink="">
      <xdr:nvSpPr>
        <xdr:cNvPr id="26" name="BORDER">
          <a:extLst>
            <a:ext uri="{FF2B5EF4-FFF2-40B4-BE49-F238E27FC236}">
              <a16:creationId xmlns:a16="http://schemas.microsoft.com/office/drawing/2014/main" id="{00000000-0008-0000-1700-00001A000000}"/>
            </a:ext>
          </a:extLst>
        </xdr:cNvPr>
        <xdr:cNvSpPr/>
      </xdr:nvSpPr>
      <xdr:spPr>
        <a:xfrm>
          <a:off x="314324" y="1517837"/>
          <a:ext cx="13491882" cy="10943104"/>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40</xdr:col>
      <xdr:colOff>302559</xdr:colOff>
      <xdr:row>8</xdr:row>
      <xdr:rowOff>179293</xdr:rowOff>
    </xdr:from>
    <xdr:to>
      <xdr:col>43</xdr:col>
      <xdr:colOff>11757</xdr:colOff>
      <xdr:row>10</xdr:row>
      <xdr:rowOff>201704</xdr:rowOff>
    </xdr:to>
    <xdr:sp macro="" textlink="">
      <xdr:nvSpPr>
        <xdr:cNvPr id="28" name="NEXT">
          <a:hlinkClick xmlns:r="http://schemas.openxmlformats.org/officeDocument/2006/relationships" r:id="rId15" tooltip=" "/>
          <a:extLst>
            <a:ext uri="{FF2B5EF4-FFF2-40B4-BE49-F238E27FC236}">
              <a16:creationId xmlns:a16="http://schemas.microsoft.com/office/drawing/2014/main" id="{00000000-0008-0000-1700-00001C000000}"/>
            </a:ext>
          </a:extLst>
        </xdr:cNvPr>
        <xdr:cNvSpPr>
          <a:spLocks noChangeAspect="1"/>
        </xdr:cNvSpPr>
      </xdr:nvSpPr>
      <xdr:spPr>
        <a:xfrm>
          <a:off x="12853147" y="1725705"/>
          <a:ext cx="626960" cy="403411"/>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2</xdr:col>
      <xdr:colOff>23533</xdr:colOff>
      <xdr:row>8</xdr:row>
      <xdr:rowOff>179294</xdr:rowOff>
    </xdr:from>
    <xdr:to>
      <xdr:col>4</xdr:col>
      <xdr:colOff>20652</xdr:colOff>
      <xdr:row>10</xdr:row>
      <xdr:rowOff>198344</xdr:rowOff>
    </xdr:to>
    <xdr:sp macro="" textlink="">
      <xdr:nvSpPr>
        <xdr:cNvPr id="29" name="BACK">
          <a:hlinkClick xmlns:r="http://schemas.openxmlformats.org/officeDocument/2006/relationships" r:id="rId6" tooltip=" "/>
          <a:extLst>
            <a:ext uri="{FF2B5EF4-FFF2-40B4-BE49-F238E27FC236}">
              <a16:creationId xmlns:a16="http://schemas.microsoft.com/office/drawing/2014/main" id="{00000000-0008-0000-1700-00001D000000}"/>
            </a:ext>
          </a:extLst>
        </xdr:cNvPr>
        <xdr:cNvSpPr>
          <a:spLocks noChangeAspect="1"/>
        </xdr:cNvSpPr>
      </xdr:nvSpPr>
      <xdr:spPr>
        <a:xfrm>
          <a:off x="649941" y="1725706"/>
          <a:ext cx="625770" cy="403412"/>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 "/>
          <a:extLst>
            <a:ext uri="{FF2B5EF4-FFF2-40B4-BE49-F238E27FC236}">
              <a16:creationId xmlns:a16="http://schemas.microsoft.com/office/drawing/2014/main" id="{00000000-0008-0000-1800-000005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8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800-00000B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6</xdr:col>
      <xdr:colOff>134851</xdr:colOff>
      <xdr:row>4</xdr:row>
      <xdr:rowOff>200705</xdr:rowOff>
    </xdr:from>
    <xdr:to>
      <xdr:col>10</xdr:col>
      <xdr:colOff>251392</xdr:colOff>
      <xdr:row>7</xdr:row>
      <xdr:rowOff>0</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800-00000C000000}"/>
            </a:ext>
          </a:extLst>
        </xdr:cNvPr>
        <xdr:cNvSpPr/>
      </xdr:nvSpPr>
      <xdr:spPr>
        <a:xfrm>
          <a:off x="2017439"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10</xdr:col>
      <xdr:colOff>258037</xdr:colOff>
      <xdr:row>4</xdr:row>
      <xdr:rowOff>200705</xdr:rowOff>
    </xdr:from>
    <xdr:to>
      <xdr:col>15</xdr:col>
      <xdr:colOff>60813</xdr:colOff>
      <xdr:row>7</xdr:row>
      <xdr:rowOff>0</xdr:rowOff>
    </xdr:to>
    <xdr:sp macro="" textlink="M3S3">
      <xdr:nvSpPr>
        <xdr:cNvPr id="13" name="SUBMENU3">
          <a:hlinkClick xmlns:r="http://schemas.openxmlformats.org/officeDocument/2006/relationships" r:id="rId3" tooltip=" "/>
          <a:extLst>
            <a:ext uri="{FF2B5EF4-FFF2-40B4-BE49-F238E27FC236}">
              <a16:creationId xmlns:a16="http://schemas.microsoft.com/office/drawing/2014/main" id="{00000000-0008-0000-1800-00000D000000}"/>
            </a:ext>
          </a:extLst>
        </xdr:cNvPr>
        <xdr:cNvSpPr/>
      </xdr:nvSpPr>
      <xdr:spPr>
        <a:xfrm>
          <a:off x="3395684"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 (Electric)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67463</xdr:colOff>
      <xdr:row>4</xdr:row>
      <xdr:rowOff>200705</xdr:rowOff>
    </xdr:from>
    <xdr:to>
      <xdr:col>19</xdr:col>
      <xdr:colOff>184005</xdr:colOff>
      <xdr:row>7</xdr:row>
      <xdr:rowOff>0</xdr:rowOff>
    </xdr:to>
    <xdr:sp macro="" textlink="M3S4">
      <xdr:nvSpPr>
        <xdr:cNvPr id="14" name="SUBMENU4">
          <a:hlinkClick xmlns:r="http://schemas.openxmlformats.org/officeDocument/2006/relationships" r:id="rId4" tooltip=" "/>
          <a:extLst>
            <a:ext uri="{FF2B5EF4-FFF2-40B4-BE49-F238E27FC236}">
              <a16:creationId xmlns:a16="http://schemas.microsoft.com/office/drawing/2014/main" id="{00000000-0008-0000-1800-00000E000000}"/>
            </a:ext>
          </a:extLst>
        </xdr:cNvPr>
        <xdr:cNvSpPr/>
      </xdr:nvSpPr>
      <xdr:spPr>
        <a:xfrm>
          <a:off x="4773934"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19</xdr:col>
      <xdr:colOff>190648</xdr:colOff>
      <xdr:row>4</xdr:row>
      <xdr:rowOff>200705</xdr:rowOff>
    </xdr:from>
    <xdr:to>
      <xdr:col>23</xdr:col>
      <xdr:colOff>307189</xdr:colOff>
      <xdr:row>7</xdr:row>
      <xdr:rowOff>0</xdr:rowOff>
    </xdr:to>
    <xdr:sp macro="" textlink="M3S5">
      <xdr:nvSpPr>
        <xdr:cNvPr id="15" name="SUBMENU5">
          <a:hlinkClick xmlns:r="http://schemas.openxmlformats.org/officeDocument/2006/relationships" r:id="rId5" tooltip=" "/>
          <a:extLst>
            <a:ext uri="{FF2B5EF4-FFF2-40B4-BE49-F238E27FC236}">
              <a16:creationId xmlns:a16="http://schemas.microsoft.com/office/drawing/2014/main" id="{00000000-0008-0000-1800-00000F000000}"/>
            </a:ext>
          </a:extLst>
        </xdr:cNvPr>
        <xdr:cNvSpPr/>
      </xdr:nvSpPr>
      <xdr:spPr>
        <a:xfrm>
          <a:off x="6152177"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(Elec/Gas)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24</xdr:col>
      <xdr:colOff>11283</xdr:colOff>
      <xdr:row>4</xdr:row>
      <xdr:rowOff>197156</xdr:rowOff>
    </xdr:from>
    <xdr:to>
      <xdr:col>28</xdr:col>
      <xdr:colOff>127824</xdr:colOff>
      <xdr:row>6</xdr:row>
      <xdr:rowOff>198157</xdr:rowOff>
    </xdr:to>
    <xdr:sp macro="" textlink="M3S8">
      <xdr:nvSpPr>
        <xdr:cNvPr id="23" name="SUBMENU5">
          <a:hlinkClick xmlns:r="http://schemas.openxmlformats.org/officeDocument/2006/relationships" r:id="rId6" tooltip=" "/>
          <a:extLst>
            <a:ext uri="{FF2B5EF4-FFF2-40B4-BE49-F238E27FC236}">
              <a16:creationId xmlns:a16="http://schemas.microsoft.com/office/drawing/2014/main" id="{00000000-0008-0000-1800-000017000000}"/>
            </a:ext>
          </a:extLst>
        </xdr:cNvPr>
        <xdr:cNvSpPr/>
      </xdr:nvSpPr>
      <xdr:spPr>
        <a:xfrm>
          <a:off x="7541636" y="1003980"/>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145676</xdr:colOff>
      <xdr:row>4</xdr:row>
      <xdr:rowOff>190500</xdr:rowOff>
    </xdr:from>
    <xdr:to>
      <xdr:col>32</xdr:col>
      <xdr:colOff>262217</xdr:colOff>
      <xdr:row>6</xdr:row>
      <xdr:rowOff>189821</xdr:rowOff>
    </xdr:to>
    <xdr:sp macro="" textlink="M3S9">
      <xdr:nvSpPr>
        <xdr:cNvPr id="24" name="SUBMENU5">
          <a:hlinkClick xmlns:r="http://schemas.openxmlformats.org/officeDocument/2006/relationships" r:id="rId7" tooltip=" "/>
          <a:extLst>
            <a:ext uri="{FF2B5EF4-FFF2-40B4-BE49-F238E27FC236}">
              <a16:creationId xmlns:a16="http://schemas.microsoft.com/office/drawing/2014/main" id="{00000000-0008-0000-1800-000018000000}"/>
            </a:ext>
          </a:extLst>
        </xdr:cNvPr>
        <xdr:cNvSpPr/>
      </xdr:nvSpPr>
      <xdr:spPr>
        <a:xfrm>
          <a:off x="8931088" y="997324"/>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36</xdr:col>
      <xdr:colOff>271807</xdr:colOff>
      <xdr:row>4</xdr:row>
      <xdr:rowOff>200705</xdr:rowOff>
    </xdr:from>
    <xdr:to>
      <xdr:col>40</xdr:col>
      <xdr:colOff>260332</xdr:colOff>
      <xdr:row>7</xdr:row>
      <xdr:rowOff>0</xdr:rowOff>
    </xdr:to>
    <xdr:sp macro="" textlink="M3S7">
      <xdr:nvSpPr>
        <xdr:cNvPr id="17" name="SUBMENU7">
          <a:hlinkClick xmlns:r="http://schemas.openxmlformats.org/officeDocument/2006/relationships" r:id="rId8" tooltip=" "/>
          <a:extLst>
            <a:ext uri="{FF2B5EF4-FFF2-40B4-BE49-F238E27FC236}">
              <a16:creationId xmlns:a16="http://schemas.microsoft.com/office/drawing/2014/main" id="{00000000-0008-0000-1800-000011000000}"/>
            </a:ext>
          </a:extLst>
        </xdr:cNvPr>
        <xdr:cNvSpPr/>
      </xdr:nvSpPr>
      <xdr:spPr>
        <a:xfrm>
          <a:off x="11567336"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Water Heating / Others (Gas)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9" tooltip=" "/>
          <a:extLst>
            <a:ext uri="{FF2B5EF4-FFF2-40B4-BE49-F238E27FC236}">
              <a16:creationId xmlns:a16="http://schemas.microsoft.com/office/drawing/2014/main" id="{00000000-0008-0000-18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10" tooltip=" "/>
          <a:extLst>
            <a:ext uri="{FF2B5EF4-FFF2-40B4-BE49-F238E27FC236}">
              <a16:creationId xmlns:a16="http://schemas.microsoft.com/office/drawing/2014/main" id="{00000000-0008-0000-18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1" tooltip=" "/>
          <a:extLst>
            <a:ext uri="{FF2B5EF4-FFF2-40B4-BE49-F238E27FC236}">
              <a16:creationId xmlns:a16="http://schemas.microsoft.com/office/drawing/2014/main" id="{00000000-0008-0000-18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2" tooltip=" "/>
          <a:extLst>
            <a:ext uri="{FF2B5EF4-FFF2-40B4-BE49-F238E27FC236}">
              <a16:creationId xmlns:a16="http://schemas.microsoft.com/office/drawing/2014/main" id="{00000000-0008-0000-18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3" tooltip=" "/>
          <a:extLst>
            <a:ext uri="{FF2B5EF4-FFF2-40B4-BE49-F238E27FC236}">
              <a16:creationId xmlns:a16="http://schemas.microsoft.com/office/drawing/2014/main" id="{00000000-0008-0000-18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8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8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32</xdr:col>
      <xdr:colOff>269023</xdr:colOff>
      <xdr:row>5</xdr:row>
      <xdr:rowOff>51480</xdr:rowOff>
    </xdr:from>
    <xdr:to>
      <xdr:col>36</xdr:col>
      <xdr:colOff>257549</xdr:colOff>
      <xdr:row>7</xdr:row>
      <xdr:rowOff>50800</xdr:rowOff>
    </xdr:to>
    <xdr:sp macro="" textlink="M3S6">
      <xdr:nvSpPr>
        <xdr:cNvPr id="16" name="SUBMENU6">
          <a:hlinkClick xmlns:r="http://schemas.openxmlformats.org/officeDocument/2006/relationships" r:id="rId14" tooltip=" "/>
          <a:extLst>
            <a:ext uri="{FF2B5EF4-FFF2-40B4-BE49-F238E27FC236}">
              <a16:creationId xmlns:a16="http://schemas.microsoft.com/office/drawing/2014/main" id="{00000000-0008-0000-1800-000010000000}"/>
            </a:ext>
          </a:extLst>
        </xdr:cNvPr>
        <xdr:cNvSpPr/>
      </xdr:nvSpPr>
      <xdr:spPr>
        <a:xfrm>
          <a:off x="10309494" y="1060009"/>
          <a:ext cx="1243584"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 
(Gas)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11206</xdr:colOff>
      <xdr:row>199</xdr:row>
      <xdr:rowOff>44823</xdr:rowOff>
    </xdr:to>
    <xdr:sp macro="" textlink="">
      <xdr:nvSpPr>
        <xdr:cNvPr id="19" name="BORDER">
          <a:extLst>
            <a:ext uri="{FF2B5EF4-FFF2-40B4-BE49-F238E27FC236}">
              <a16:creationId xmlns:a16="http://schemas.microsoft.com/office/drawing/2014/main" id="{00000000-0008-0000-1800-000013000000}"/>
            </a:ext>
          </a:extLst>
        </xdr:cNvPr>
        <xdr:cNvSpPr/>
      </xdr:nvSpPr>
      <xdr:spPr>
        <a:xfrm>
          <a:off x="314323" y="1611965"/>
          <a:ext cx="13502530" cy="5492564"/>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7" tooltip=" "/>
          <a:extLst>
            <a:ext uri="{FF2B5EF4-FFF2-40B4-BE49-F238E27FC236}">
              <a16:creationId xmlns:a16="http://schemas.microsoft.com/office/drawing/2014/main" id="{00000000-0008-0000-18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2" name="LOGO">
          <a:extLst>
            <a:ext uri="{FF2B5EF4-FFF2-40B4-BE49-F238E27FC236}">
              <a16:creationId xmlns:a16="http://schemas.microsoft.com/office/drawing/2014/main" id="{00000000-0008-0000-1800-00001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8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8" name="MENU3">
          <a:hlinkClick xmlns:r="http://schemas.openxmlformats.org/officeDocument/2006/relationships" r:id="rId1" tooltip=" "/>
          <a:extLst>
            <a:ext uri="{FF2B5EF4-FFF2-40B4-BE49-F238E27FC236}">
              <a16:creationId xmlns:a16="http://schemas.microsoft.com/office/drawing/2014/main" id="{00000000-0008-0000-1900-000008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3" name="TOPRIBBON">
          <a:extLst>
            <a:ext uri="{FF2B5EF4-FFF2-40B4-BE49-F238E27FC236}">
              <a16:creationId xmlns:a16="http://schemas.microsoft.com/office/drawing/2014/main" id="{00000000-0008-0000-1900-00000D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4" name="SUBMENU1">
          <a:hlinkClick xmlns:r="http://schemas.openxmlformats.org/officeDocument/2006/relationships" r:id="rId1" tooltip=" "/>
          <a:extLst>
            <a:ext uri="{FF2B5EF4-FFF2-40B4-BE49-F238E27FC236}">
              <a16:creationId xmlns:a16="http://schemas.microsoft.com/office/drawing/2014/main" id="{00000000-0008-0000-1900-00000E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131115</xdr:colOff>
      <xdr:row>4</xdr:row>
      <xdr:rowOff>200705</xdr:rowOff>
    </xdr:from>
    <xdr:to>
      <xdr:col>10</xdr:col>
      <xdr:colOff>247656</xdr:colOff>
      <xdr:row>7</xdr:row>
      <xdr:rowOff>0</xdr:rowOff>
    </xdr:to>
    <xdr:sp macro="" textlink="M3S2">
      <xdr:nvSpPr>
        <xdr:cNvPr id="15" name="SUBMENU2">
          <a:hlinkClick xmlns:r="http://schemas.openxmlformats.org/officeDocument/2006/relationships" r:id="rId2" tooltip=" "/>
          <a:extLst>
            <a:ext uri="{FF2B5EF4-FFF2-40B4-BE49-F238E27FC236}">
              <a16:creationId xmlns:a16="http://schemas.microsoft.com/office/drawing/2014/main" id="{00000000-0008-0000-1900-00000F000000}"/>
            </a:ext>
          </a:extLst>
        </xdr:cNvPr>
        <xdr:cNvSpPr/>
      </xdr:nvSpPr>
      <xdr:spPr>
        <a:xfrm>
          <a:off x="2013703"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261771</xdr:colOff>
      <xdr:row>4</xdr:row>
      <xdr:rowOff>200705</xdr:rowOff>
    </xdr:from>
    <xdr:to>
      <xdr:col>15</xdr:col>
      <xdr:colOff>64547</xdr:colOff>
      <xdr:row>7</xdr:row>
      <xdr:rowOff>0</xdr:rowOff>
    </xdr:to>
    <xdr:sp macro="" textlink="M3S3">
      <xdr:nvSpPr>
        <xdr:cNvPr id="16" name="SUBMENU3">
          <a:hlinkClick xmlns:r="http://schemas.openxmlformats.org/officeDocument/2006/relationships" r:id="rId3" tooltip=" "/>
          <a:extLst>
            <a:ext uri="{FF2B5EF4-FFF2-40B4-BE49-F238E27FC236}">
              <a16:creationId xmlns:a16="http://schemas.microsoft.com/office/drawing/2014/main" id="{00000000-0008-0000-1900-000010000000}"/>
            </a:ext>
          </a:extLst>
        </xdr:cNvPr>
        <xdr:cNvSpPr/>
      </xdr:nvSpPr>
      <xdr:spPr>
        <a:xfrm>
          <a:off x="3399418"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78665</xdr:colOff>
      <xdr:row>4</xdr:row>
      <xdr:rowOff>200705</xdr:rowOff>
    </xdr:from>
    <xdr:to>
      <xdr:col>19</xdr:col>
      <xdr:colOff>195207</xdr:colOff>
      <xdr:row>7</xdr:row>
      <xdr:rowOff>0</xdr:rowOff>
    </xdr:to>
    <xdr:sp macro="" textlink="M3S4">
      <xdr:nvSpPr>
        <xdr:cNvPr id="17" name="SUBMENU4">
          <a:hlinkClick xmlns:r="http://schemas.openxmlformats.org/officeDocument/2006/relationships" r:id="rId4" tooltip=" "/>
          <a:extLst>
            <a:ext uri="{FF2B5EF4-FFF2-40B4-BE49-F238E27FC236}">
              <a16:creationId xmlns:a16="http://schemas.microsoft.com/office/drawing/2014/main" id="{00000000-0008-0000-1900-000011000000}"/>
            </a:ext>
          </a:extLst>
        </xdr:cNvPr>
        <xdr:cNvSpPr/>
      </xdr:nvSpPr>
      <xdr:spPr>
        <a:xfrm>
          <a:off x="4785136"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EC4D1991-C1D9-486E-95EB-30A9469B742C}"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Refrigeration</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198121</xdr:colOff>
      <xdr:row>4</xdr:row>
      <xdr:rowOff>197155</xdr:rowOff>
    </xdr:from>
    <xdr:to>
      <xdr:col>24</xdr:col>
      <xdr:colOff>897</xdr:colOff>
      <xdr:row>6</xdr:row>
      <xdr:rowOff>196476</xdr:rowOff>
    </xdr:to>
    <xdr:sp macro="" textlink="M3S5">
      <xdr:nvSpPr>
        <xdr:cNvPr id="18" name="SUBMENU5">
          <a:hlinkClick xmlns:r="http://schemas.openxmlformats.org/officeDocument/2006/relationships" r:id="rId5" tooltip=" "/>
          <a:extLst>
            <a:ext uri="{FF2B5EF4-FFF2-40B4-BE49-F238E27FC236}">
              <a16:creationId xmlns:a16="http://schemas.microsoft.com/office/drawing/2014/main" id="{00000000-0008-0000-1900-000012000000}"/>
            </a:ext>
          </a:extLst>
        </xdr:cNvPr>
        <xdr:cNvSpPr/>
      </xdr:nvSpPr>
      <xdr:spPr>
        <a:xfrm>
          <a:off x="6159650" y="100397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52BFCEF9-4B05-45FB-B7B3-9621E37C07CC}"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Commercial Cooking (Elec/Gas)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24</xdr:col>
      <xdr:colOff>22408</xdr:colOff>
      <xdr:row>5</xdr:row>
      <xdr:rowOff>11206</xdr:rowOff>
    </xdr:from>
    <xdr:to>
      <xdr:col>28</xdr:col>
      <xdr:colOff>138949</xdr:colOff>
      <xdr:row>7</xdr:row>
      <xdr:rowOff>12206</xdr:rowOff>
    </xdr:to>
    <xdr:sp macro="" textlink="M3S8">
      <xdr:nvSpPr>
        <xdr:cNvPr id="24" name="SUBMENU5">
          <a:hlinkClick xmlns:r="http://schemas.openxmlformats.org/officeDocument/2006/relationships" r:id="rId6" tooltip=" "/>
          <a:extLst>
            <a:ext uri="{FF2B5EF4-FFF2-40B4-BE49-F238E27FC236}">
              <a16:creationId xmlns:a16="http://schemas.microsoft.com/office/drawing/2014/main" id="{00000000-0008-0000-1900-000018000000}"/>
            </a:ext>
          </a:extLst>
        </xdr:cNvPr>
        <xdr:cNvSpPr/>
      </xdr:nvSpPr>
      <xdr:spPr>
        <a:xfrm>
          <a:off x="7552761" y="1019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156877</xdr:colOff>
      <xdr:row>5</xdr:row>
      <xdr:rowOff>1</xdr:rowOff>
    </xdr:from>
    <xdr:to>
      <xdr:col>32</xdr:col>
      <xdr:colOff>273418</xdr:colOff>
      <xdr:row>6</xdr:row>
      <xdr:rowOff>201027</xdr:rowOff>
    </xdr:to>
    <xdr:sp macro="" textlink="M3S9">
      <xdr:nvSpPr>
        <xdr:cNvPr id="25" name="SUBMENU5">
          <a:hlinkClick xmlns:r="http://schemas.openxmlformats.org/officeDocument/2006/relationships" r:id="rId7" tooltip=" "/>
          <a:extLst>
            <a:ext uri="{FF2B5EF4-FFF2-40B4-BE49-F238E27FC236}">
              <a16:creationId xmlns:a16="http://schemas.microsoft.com/office/drawing/2014/main" id="{00000000-0008-0000-1900-000019000000}"/>
            </a:ext>
          </a:extLst>
        </xdr:cNvPr>
        <xdr:cNvSpPr/>
      </xdr:nvSpPr>
      <xdr:spPr>
        <a:xfrm>
          <a:off x="8942289" y="1008530"/>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283958</xdr:colOff>
      <xdr:row>4</xdr:row>
      <xdr:rowOff>200705</xdr:rowOff>
    </xdr:from>
    <xdr:to>
      <xdr:col>36</xdr:col>
      <xdr:colOff>272484</xdr:colOff>
      <xdr:row>7</xdr:row>
      <xdr:rowOff>0</xdr:rowOff>
    </xdr:to>
    <xdr:sp macro="" textlink="M3S6">
      <xdr:nvSpPr>
        <xdr:cNvPr id="2" name="SUBMENU6">
          <a:hlinkClick xmlns:r="http://schemas.openxmlformats.org/officeDocument/2006/relationships" r:id="rId8" tooltip=" "/>
          <a:extLst>
            <a:ext uri="{FF2B5EF4-FFF2-40B4-BE49-F238E27FC236}">
              <a16:creationId xmlns:a16="http://schemas.microsoft.com/office/drawing/2014/main" id="{00000000-0008-0000-1900-000002000000}"/>
            </a:ext>
          </a:extLst>
        </xdr:cNvPr>
        <xdr:cNvSpPr/>
      </xdr:nvSpPr>
      <xdr:spPr>
        <a:xfrm>
          <a:off x="10324429"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36</xdr:col>
      <xdr:colOff>283013</xdr:colOff>
      <xdr:row>5</xdr:row>
      <xdr:rowOff>66236</xdr:rowOff>
    </xdr:from>
    <xdr:to>
      <xdr:col>40</xdr:col>
      <xdr:colOff>271538</xdr:colOff>
      <xdr:row>7</xdr:row>
      <xdr:rowOff>67236</xdr:rowOff>
    </xdr:to>
    <xdr:sp macro="" textlink="M3S7">
      <xdr:nvSpPr>
        <xdr:cNvPr id="3" name="SUBMENU7">
          <a:hlinkClick xmlns:r="http://schemas.openxmlformats.org/officeDocument/2006/relationships" r:id="rId9" tooltip=" "/>
          <a:extLst>
            <a:ext uri="{FF2B5EF4-FFF2-40B4-BE49-F238E27FC236}">
              <a16:creationId xmlns:a16="http://schemas.microsoft.com/office/drawing/2014/main" id="{00000000-0008-0000-1900-000003000000}"/>
            </a:ext>
          </a:extLst>
        </xdr:cNvPr>
        <xdr:cNvSpPr/>
      </xdr:nvSpPr>
      <xdr:spPr>
        <a:xfrm>
          <a:off x="11578542" y="1074765"/>
          <a:ext cx="1243584" cy="40441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AD35455E-CC2D-4E9E-B2E9-FD62637F0D2F}"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Water Heating / Others (Gas)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5" name="NEXT">
          <a:hlinkClick xmlns:r="http://schemas.openxmlformats.org/officeDocument/2006/relationships" r:id="rId10" tooltip=" "/>
          <a:extLst>
            <a:ext uri="{FF2B5EF4-FFF2-40B4-BE49-F238E27FC236}">
              <a16:creationId xmlns:a16="http://schemas.microsoft.com/office/drawing/2014/main" id="{00000000-0008-0000-1900-000005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6" name="MENU1">
          <a:hlinkClick xmlns:r="http://schemas.openxmlformats.org/officeDocument/2006/relationships" r:id="rId11" tooltip=" "/>
          <a:extLst>
            <a:ext uri="{FF2B5EF4-FFF2-40B4-BE49-F238E27FC236}">
              <a16:creationId xmlns:a16="http://schemas.microsoft.com/office/drawing/2014/main" id="{00000000-0008-0000-1900-000006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7" name="MENU2">
          <a:hlinkClick xmlns:r="http://schemas.openxmlformats.org/officeDocument/2006/relationships" r:id="rId12" tooltip=" "/>
          <a:extLst>
            <a:ext uri="{FF2B5EF4-FFF2-40B4-BE49-F238E27FC236}">
              <a16:creationId xmlns:a16="http://schemas.microsoft.com/office/drawing/2014/main" id="{00000000-0008-0000-1900-000007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9" name="MENU4">
          <a:hlinkClick xmlns:r="http://schemas.openxmlformats.org/officeDocument/2006/relationships" r:id="rId13" tooltip=" "/>
          <a:extLst>
            <a:ext uri="{FF2B5EF4-FFF2-40B4-BE49-F238E27FC236}">
              <a16:creationId xmlns:a16="http://schemas.microsoft.com/office/drawing/2014/main" id="{00000000-0008-0000-1900-000009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10" name="MENU5">
          <a:hlinkClick xmlns:r="http://schemas.openxmlformats.org/officeDocument/2006/relationships" r:id="rId14" tooltip=" "/>
          <a:extLst>
            <a:ext uri="{FF2B5EF4-FFF2-40B4-BE49-F238E27FC236}">
              <a16:creationId xmlns:a16="http://schemas.microsoft.com/office/drawing/2014/main" id="{00000000-0008-0000-1900-00000A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11" name="MENU6">
          <a:extLst>
            <a:ext uri="{FF2B5EF4-FFF2-40B4-BE49-F238E27FC236}">
              <a16:creationId xmlns:a16="http://schemas.microsoft.com/office/drawing/2014/main" id="{00000000-0008-0000-1900-00000B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2" name="MENU7">
          <a:extLst>
            <a:ext uri="{FF2B5EF4-FFF2-40B4-BE49-F238E27FC236}">
              <a16:creationId xmlns:a16="http://schemas.microsoft.com/office/drawing/2014/main" id="{00000000-0008-0000-1900-00000C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11206</xdr:rowOff>
    </xdr:to>
    <xdr:sp macro="" textlink="">
      <xdr:nvSpPr>
        <xdr:cNvPr id="19" name="BORDER">
          <a:extLst>
            <a:ext uri="{FF2B5EF4-FFF2-40B4-BE49-F238E27FC236}">
              <a16:creationId xmlns:a16="http://schemas.microsoft.com/office/drawing/2014/main" id="{00000000-0008-0000-1900-000013000000}"/>
            </a:ext>
          </a:extLst>
        </xdr:cNvPr>
        <xdr:cNvSpPr/>
      </xdr:nvSpPr>
      <xdr:spPr>
        <a:xfrm>
          <a:off x="314323" y="1611965"/>
          <a:ext cx="13491324" cy="5458947"/>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5" tooltip=" "/>
          <a:extLst>
            <a:ext uri="{FF2B5EF4-FFF2-40B4-BE49-F238E27FC236}">
              <a16:creationId xmlns:a16="http://schemas.microsoft.com/office/drawing/2014/main" id="{00000000-0008-0000-19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3" name="LOGO">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9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1" tooltip=" "/>
          <a:extLst>
            <a:ext uri="{FF2B5EF4-FFF2-40B4-BE49-F238E27FC236}">
              <a16:creationId xmlns:a16="http://schemas.microsoft.com/office/drawing/2014/main" id="{00000000-0008-0000-1A00-000006000000}"/>
            </a:ext>
          </a:extLst>
        </xdr:cNvPr>
        <xdr:cNvSpPr/>
      </xdr:nvSpPr>
      <xdr:spPr>
        <a:xfrm>
          <a:off x="691515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2"/>
          <a:extLst>
            <a:ext uri="{FF2B5EF4-FFF2-40B4-BE49-F238E27FC236}">
              <a16:creationId xmlns:a16="http://schemas.microsoft.com/office/drawing/2014/main" id="{00000000-0008-0000-1A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3"/>
          <a:extLst>
            <a:ext uri="{FF2B5EF4-FFF2-40B4-BE49-F238E27FC236}">
              <a16:creationId xmlns:a16="http://schemas.microsoft.com/office/drawing/2014/main" id="{00000000-0008-0000-1A00-000011000000}"/>
            </a:ext>
          </a:extLst>
        </xdr:cNvPr>
        <xdr:cNvSpPr/>
      </xdr:nvSpPr>
      <xdr:spPr>
        <a:xfrm>
          <a:off x="10061265" y="1000805"/>
          <a:ext cx="157148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4"/>
          <a:extLst>
            <a:ext uri="{FF2B5EF4-FFF2-40B4-BE49-F238E27FC236}">
              <a16:creationId xmlns:a16="http://schemas.microsoft.com/office/drawing/2014/main" id="{00000000-0008-0000-1A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25</xdr:col>
      <xdr:colOff>80993</xdr:colOff>
      <xdr:row>4</xdr:row>
      <xdr:rowOff>189499</xdr:rowOff>
    </xdr:from>
    <xdr:to>
      <xdr:col>30</xdr:col>
      <xdr:colOff>80991</xdr:colOff>
      <xdr:row>6</xdr:row>
      <xdr:rowOff>190500</xdr:rowOff>
    </xdr:to>
    <xdr:sp macro="" textlink="M4S5">
      <xdr:nvSpPr>
        <xdr:cNvPr id="15" name="SUBMENU5">
          <a:hlinkClick xmlns:r="http://schemas.openxmlformats.org/officeDocument/2006/relationships" r:id="rId5"/>
          <a:extLst>
            <a:ext uri="{FF2B5EF4-FFF2-40B4-BE49-F238E27FC236}">
              <a16:creationId xmlns:a16="http://schemas.microsoft.com/office/drawing/2014/main" id="{00000000-0008-0000-1A00-00000F000000}"/>
            </a:ext>
          </a:extLst>
        </xdr:cNvPr>
        <xdr:cNvSpPr/>
      </xdr:nvSpPr>
      <xdr:spPr>
        <a:xfrm>
          <a:off x="7925111" y="996323"/>
          <a:ext cx="1568821"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A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18</xdr:col>
      <xdr:colOff>293904</xdr:colOff>
      <xdr:row>5</xdr:row>
      <xdr:rowOff>680</xdr:rowOff>
    </xdr:from>
    <xdr:to>
      <xdr:col>25</xdr:col>
      <xdr:colOff>257735</xdr:colOff>
      <xdr:row>7</xdr:row>
      <xdr:rowOff>0</xdr:rowOff>
    </xdr:to>
    <xdr:sp macro="" textlink="M4S4">
      <xdr:nvSpPr>
        <xdr:cNvPr id="14" name="SUBMENU4">
          <a:hlinkClick xmlns:r="http://schemas.openxmlformats.org/officeDocument/2006/relationships" r:id="rId6" tooltip=" "/>
          <a:extLst>
            <a:ext uri="{FF2B5EF4-FFF2-40B4-BE49-F238E27FC236}">
              <a16:creationId xmlns:a16="http://schemas.microsoft.com/office/drawing/2014/main" id="{00000000-0008-0000-1A00-00000E000000}"/>
            </a:ext>
          </a:extLst>
        </xdr:cNvPr>
        <xdr:cNvSpPr/>
      </xdr:nvSpPr>
      <xdr:spPr>
        <a:xfrm>
          <a:off x="5941669" y="1009209"/>
          <a:ext cx="21601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rgbClr val="FFFFFF"/>
              </a:solidFill>
              <a:latin typeface="Arial" panose="020B0604020202020204" pitchFamily="34" charset="0"/>
              <a:cs typeface="Arial" panose="020B0604020202020204" pitchFamily="34" charset="0"/>
            </a:rPr>
            <a:pPr algn="ctr"/>
            <a:t>Custom / RCx / New Construction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7" tooltip=" "/>
          <a:extLst>
            <a:ext uri="{FF2B5EF4-FFF2-40B4-BE49-F238E27FC236}">
              <a16:creationId xmlns:a16="http://schemas.microsoft.com/office/drawing/2014/main" id="{00000000-0008-0000-1A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8" tooltip=" "/>
          <a:extLst>
            <a:ext uri="{FF2B5EF4-FFF2-40B4-BE49-F238E27FC236}">
              <a16:creationId xmlns:a16="http://schemas.microsoft.com/office/drawing/2014/main" id="{00000000-0008-0000-1A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9" tooltip=" "/>
          <a:extLst>
            <a:ext uri="{FF2B5EF4-FFF2-40B4-BE49-F238E27FC236}">
              <a16:creationId xmlns:a16="http://schemas.microsoft.com/office/drawing/2014/main" id="{00000000-0008-0000-1A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10" tooltip=" "/>
          <a:extLst>
            <a:ext uri="{FF2B5EF4-FFF2-40B4-BE49-F238E27FC236}">
              <a16:creationId xmlns:a16="http://schemas.microsoft.com/office/drawing/2014/main" id="{00000000-0008-0000-1A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tooltip=" "/>
          <a:extLst>
            <a:ext uri="{FF2B5EF4-FFF2-40B4-BE49-F238E27FC236}">
              <a16:creationId xmlns:a16="http://schemas.microsoft.com/office/drawing/2014/main" id="{00000000-0008-0000-1A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A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A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557</xdr:colOff>
      <xdr:row>7</xdr:row>
      <xdr:rowOff>200024</xdr:rowOff>
    </xdr:from>
    <xdr:to>
      <xdr:col>43</xdr:col>
      <xdr:colOff>313764</xdr:colOff>
      <xdr:row>65</xdr:row>
      <xdr:rowOff>0</xdr:rowOff>
    </xdr:to>
    <xdr:sp macro="" textlink="">
      <xdr:nvSpPr>
        <xdr:cNvPr id="19" name="BORDER">
          <a:extLst>
            <a:ext uri="{FF2B5EF4-FFF2-40B4-BE49-F238E27FC236}">
              <a16:creationId xmlns:a16="http://schemas.microsoft.com/office/drawing/2014/main" id="{00000000-0008-0000-1A00-000013000000}"/>
            </a:ext>
          </a:extLst>
        </xdr:cNvPr>
        <xdr:cNvSpPr/>
      </xdr:nvSpPr>
      <xdr:spPr>
        <a:xfrm>
          <a:off x="314322" y="1611965"/>
          <a:ext cx="13491324" cy="11498917"/>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2" tooltip=" "/>
          <a:extLst>
            <a:ext uri="{FF2B5EF4-FFF2-40B4-BE49-F238E27FC236}">
              <a16:creationId xmlns:a16="http://schemas.microsoft.com/office/drawing/2014/main" id="{00000000-0008-0000-1A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xdr:col>
      <xdr:colOff>2720</xdr:colOff>
      <xdr:row>5</xdr:row>
      <xdr:rowOff>73212</xdr:rowOff>
    </xdr:from>
    <xdr:to>
      <xdr:col>7</xdr:col>
      <xdr:colOff>457</xdr:colOff>
      <xdr:row>7</xdr:row>
      <xdr:rowOff>71014</xdr:rowOff>
    </xdr:to>
    <xdr:sp macro="" textlink="M4S1">
      <xdr:nvSpPr>
        <xdr:cNvPr id="11" name="SUBMENU1">
          <a:hlinkClick xmlns:r="http://schemas.openxmlformats.org/officeDocument/2006/relationships" r:id="rId1" tooltip=" "/>
          <a:extLst>
            <a:ext uri="{FF2B5EF4-FFF2-40B4-BE49-F238E27FC236}">
              <a16:creationId xmlns:a16="http://schemas.microsoft.com/office/drawing/2014/main" id="{00000000-0008-0000-1A00-00000B000000}"/>
            </a:ext>
          </a:extLst>
        </xdr:cNvPr>
        <xdr:cNvSpPr/>
      </xdr:nvSpPr>
      <xdr:spPr>
        <a:xfrm>
          <a:off x="630249" y="1081741"/>
          <a:ext cx="1566561" cy="401214"/>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rgbClr val="FFFFFF"/>
              </a:solidFill>
              <a:latin typeface="Arial" panose="020B0604020202020204" pitchFamily="34" charset="0"/>
              <a:cs typeface="Arial" panose="020B0604020202020204" pitchFamily="34" charset="0"/>
            </a:rPr>
            <a:pPr algn="ctr"/>
            <a:t>Custom 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7325</xdr:colOff>
      <xdr:row>5</xdr:row>
      <xdr:rowOff>680</xdr:rowOff>
    </xdr:from>
    <xdr:to>
      <xdr:col>12</xdr:col>
      <xdr:colOff>4774</xdr:colOff>
      <xdr:row>7</xdr:row>
      <xdr:rowOff>0</xdr:rowOff>
    </xdr:to>
    <xdr:sp macro="" textlink="M4S2">
      <xdr:nvSpPr>
        <xdr:cNvPr id="12" name="SUBMENU2">
          <a:hlinkClick xmlns:r="http://schemas.openxmlformats.org/officeDocument/2006/relationships" r:id="rId13" tooltip=" "/>
          <a:extLst>
            <a:ext uri="{FF2B5EF4-FFF2-40B4-BE49-F238E27FC236}">
              <a16:creationId xmlns:a16="http://schemas.microsoft.com/office/drawing/2014/main" id="{00000000-0008-0000-1A00-00000C000000}"/>
            </a:ext>
          </a:extLst>
        </xdr:cNvPr>
        <xdr:cNvSpPr/>
      </xdr:nvSpPr>
      <xdr:spPr>
        <a:xfrm>
          <a:off x="2203678" y="1009209"/>
          <a:ext cx="1566272"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rgbClr val="FFFFFF"/>
              </a:solidFill>
              <a:latin typeface="Arial" panose="020B0604020202020204" pitchFamily="34" charset="0"/>
              <a:cs typeface="Arial" panose="020B0604020202020204" pitchFamily="34" charset="0"/>
            </a:rPr>
            <a:pPr algn="ctr"/>
            <a:t>New Construction 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11642</xdr:colOff>
      <xdr:row>4</xdr:row>
      <xdr:rowOff>200705</xdr:rowOff>
    </xdr:from>
    <xdr:to>
      <xdr:col>18</xdr:col>
      <xdr:colOff>287037</xdr:colOff>
      <xdr:row>7</xdr:row>
      <xdr:rowOff>0</xdr:rowOff>
    </xdr:to>
    <xdr:sp macro="" textlink="M4S3">
      <xdr:nvSpPr>
        <xdr:cNvPr id="13" name="SUBMENU3">
          <a:hlinkClick xmlns:r="http://schemas.openxmlformats.org/officeDocument/2006/relationships" r:id="rId14" tooltip=" "/>
          <a:extLst>
            <a:ext uri="{FF2B5EF4-FFF2-40B4-BE49-F238E27FC236}">
              <a16:creationId xmlns:a16="http://schemas.microsoft.com/office/drawing/2014/main" id="{00000000-0008-0000-1A00-00000D000000}"/>
            </a:ext>
          </a:extLst>
        </xdr:cNvPr>
        <xdr:cNvSpPr/>
      </xdr:nvSpPr>
      <xdr:spPr>
        <a:xfrm>
          <a:off x="3776818" y="1007529"/>
          <a:ext cx="2157984"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rgbClr val="FFFFFF"/>
              </a:solidFill>
              <a:latin typeface="Arial" panose="020B0604020202020204" pitchFamily="34" charset="0"/>
              <a:cs typeface="Arial" panose="020B0604020202020204" pitchFamily="34" charset="0"/>
            </a:rPr>
            <a:pPr algn="ctr"/>
            <a:t>Custom / RCx / New Construction
 Non-Lighting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A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23" name="LOGO">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3008</xdr:colOff>
      <xdr:row>1</xdr:row>
      <xdr:rowOff>133351</xdr:rowOff>
    </xdr:from>
    <xdr:to>
      <xdr:col>12</xdr:col>
      <xdr:colOff>2551</xdr:colOff>
      <xdr:row>4</xdr:row>
      <xdr:rowOff>133351</xdr:rowOff>
    </xdr:to>
    <xdr:sp macro="" textlink="MAIN1">
      <xdr:nvSpPr>
        <xdr:cNvPr id="2" name="MENU1">
          <a:hlinkClick xmlns:r="http://schemas.openxmlformats.org/officeDocument/2006/relationships" r:id="rId1" tooltip=" "/>
          <a:extLst>
            <a:ext uri="{FF2B5EF4-FFF2-40B4-BE49-F238E27FC236}">
              <a16:creationId xmlns:a16="http://schemas.microsoft.com/office/drawing/2014/main" id="{00000000-0008-0000-0900-000002000000}"/>
            </a:ext>
          </a:extLst>
        </xdr:cNvPr>
        <xdr:cNvSpPr/>
      </xdr:nvSpPr>
      <xdr:spPr>
        <a:xfrm>
          <a:off x="2203283" y="333376"/>
          <a:ext cx="1571168"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marL="0" indent="0" algn="ctr"/>
          <a:fld id="{D6F2F067-2676-4601-ABCE-75BD5137E3D5}" type="TxLink">
            <a:rPr lang="en-US" sz="1100" b="0" i="0" u="none" strike="noStrike">
              <a:solidFill>
                <a:srgbClr val="FFFFFF">
                  <a:lumMod val="100000"/>
                </a:srgbClr>
              </a:solidFill>
              <a:latin typeface="Arial" panose="020B0604020202020204" pitchFamily="34" charset="0"/>
              <a:ea typeface="+mn-ea"/>
              <a:cs typeface="Arial" panose="020B0604020202020204" pitchFamily="34" charset="0"/>
            </a:rPr>
            <a:pPr marL="0" indent="0" algn="ctr"/>
            <a:t>START</a:t>
          </a:fld>
          <a:endParaRPr lang="en-US" sz="1100" b="0" i="0" u="none" strike="noStrike">
            <a:solidFill>
              <a:srgbClr val="FFFFFF">
                <a:lumMod val="100000"/>
              </a:srgbClr>
            </a:solidFill>
            <a:latin typeface="Arial" panose="020B0604020202020204" pitchFamily="34" charset="0"/>
            <a:ea typeface="+mn-ea"/>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3" name="SUBMENU6">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4" name="SUBMENU7">
          <a:hlinkClick xmlns:r="http://schemas.openxmlformats.org/officeDocument/2006/relationships" r:id="rId3"/>
          <a:extLst>
            <a:ext uri="{FF2B5EF4-FFF2-40B4-BE49-F238E27FC236}">
              <a16:creationId xmlns:a16="http://schemas.microsoft.com/office/drawing/2014/main" id="{00000000-0008-0000-0900-000004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5" name="SUBMENU8">
          <a:hlinkClick xmlns:r="http://schemas.openxmlformats.org/officeDocument/2006/relationships" r:id="rId4"/>
          <a:extLst>
            <a:ext uri="{FF2B5EF4-FFF2-40B4-BE49-F238E27FC236}">
              <a16:creationId xmlns:a16="http://schemas.microsoft.com/office/drawing/2014/main" id="{00000000-0008-0000-0900-000005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11206</xdr:colOff>
      <xdr:row>7</xdr:row>
      <xdr:rowOff>0</xdr:rowOff>
    </xdr:to>
    <xdr:sp macro="" textlink="">
      <xdr:nvSpPr>
        <xdr:cNvPr id="6" name="TOPRIBBON">
          <a:extLst>
            <a:ext uri="{FF2B5EF4-FFF2-40B4-BE49-F238E27FC236}">
              <a16:creationId xmlns:a16="http://schemas.microsoft.com/office/drawing/2014/main" id="{00000000-0008-0000-0900-000006000000}"/>
            </a:ext>
          </a:extLst>
        </xdr:cNvPr>
        <xdr:cNvSpPr/>
      </xdr:nvSpPr>
      <xdr:spPr>
        <a:xfrm>
          <a:off x="314325" y="800101"/>
          <a:ext cx="13536706" cy="600074"/>
        </a:xfrm>
        <a:prstGeom prst="round2SameRect">
          <a:avLst/>
        </a:prstGeom>
        <a:solidFill>
          <a:srgbClr val="A6A5AA"/>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marL="0" indent="0" algn="l"/>
          <a:endParaRPr lang="en-US" sz="1100">
            <a:solidFill>
              <a:schemeClr val="lt1"/>
            </a:solidFill>
            <a:latin typeface="+mn-lt"/>
            <a:ea typeface="+mn-ea"/>
            <a:cs typeface="+mn-cs"/>
          </a:endParaRPr>
        </a:p>
      </xdr:txBody>
    </xdr:sp>
    <xdr:clientData/>
  </xdr:twoCellAnchor>
  <xdr:twoCellAnchor>
    <xdr:from>
      <xdr:col>12</xdr:col>
      <xdr:colOff>1913</xdr:colOff>
      <xdr:row>1</xdr:row>
      <xdr:rowOff>0</xdr:rowOff>
    </xdr:from>
    <xdr:to>
      <xdr:col>17</xdr:col>
      <xdr:colOff>1913</xdr:colOff>
      <xdr:row>4</xdr:row>
      <xdr:rowOff>0</xdr:rowOff>
    </xdr:to>
    <xdr:sp macro="" textlink="MAIN2">
      <xdr:nvSpPr>
        <xdr:cNvPr id="7" name="MENU2">
          <a:hlinkClick xmlns:r="http://schemas.openxmlformats.org/officeDocument/2006/relationships" r:id="rId5" tooltip=" "/>
          <a:extLst>
            <a:ext uri="{FF2B5EF4-FFF2-40B4-BE49-F238E27FC236}">
              <a16:creationId xmlns:a16="http://schemas.microsoft.com/office/drawing/2014/main" id="{00000000-0008-0000-0900-000007000000}"/>
            </a:ext>
          </a:extLst>
        </xdr:cNvPr>
        <xdr:cNvSpPr/>
      </xdr:nvSpPr>
      <xdr:spPr>
        <a:xfrm>
          <a:off x="3773813"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1275</xdr:colOff>
      <xdr:row>1</xdr:row>
      <xdr:rowOff>0</xdr:rowOff>
    </xdr:from>
    <xdr:to>
      <xdr:col>22</xdr:col>
      <xdr:colOff>1275</xdr:colOff>
      <xdr:row>4</xdr:row>
      <xdr:rowOff>0</xdr:rowOff>
    </xdr:to>
    <xdr:sp macro="" textlink="MAIN3">
      <xdr:nvSpPr>
        <xdr:cNvPr id="8" name="MENU3">
          <a:hlinkClick xmlns:r="http://schemas.openxmlformats.org/officeDocument/2006/relationships" r:id="rId6" tooltip=" "/>
          <a:extLst>
            <a:ext uri="{FF2B5EF4-FFF2-40B4-BE49-F238E27FC236}">
              <a16:creationId xmlns:a16="http://schemas.microsoft.com/office/drawing/2014/main" id="{00000000-0008-0000-0900-000008000000}"/>
            </a:ext>
          </a:extLst>
        </xdr:cNvPr>
        <xdr:cNvSpPr/>
      </xdr:nvSpPr>
      <xdr:spPr>
        <a:xfrm>
          <a:off x="534480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637</xdr:colOff>
      <xdr:row>1</xdr:row>
      <xdr:rowOff>0</xdr:rowOff>
    </xdr:from>
    <xdr:to>
      <xdr:col>27</xdr:col>
      <xdr:colOff>637</xdr:colOff>
      <xdr:row>4</xdr:row>
      <xdr:rowOff>0</xdr:rowOff>
    </xdr:to>
    <xdr:sp macro="" textlink="MAIN4">
      <xdr:nvSpPr>
        <xdr:cNvPr id="9" name="MENU4">
          <a:hlinkClick xmlns:r="http://schemas.openxmlformats.org/officeDocument/2006/relationships" r:id="rId7" tooltip=" "/>
          <a:extLst>
            <a:ext uri="{FF2B5EF4-FFF2-40B4-BE49-F238E27FC236}">
              <a16:creationId xmlns:a16="http://schemas.microsoft.com/office/drawing/2014/main" id="{00000000-0008-0000-0900-000009000000}"/>
            </a:ext>
          </a:extLst>
        </xdr:cNvPr>
        <xdr:cNvSpPr/>
      </xdr:nvSpPr>
      <xdr:spPr>
        <a:xfrm>
          <a:off x="6915787"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10" name="MENU5">
          <a:hlinkClick xmlns:r="http://schemas.openxmlformats.org/officeDocument/2006/relationships" r:id="rId8" tooltip=" "/>
          <a:extLst>
            <a:ext uri="{FF2B5EF4-FFF2-40B4-BE49-F238E27FC236}">
              <a16:creationId xmlns:a16="http://schemas.microsoft.com/office/drawing/2014/main" id="{00000000-0008-0000-0900-00000A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5976</xdr:rowOff>
    </xdr:from>
    <xdr:to>
      <xdr:col>7</xdr:col>
      <xdr:colOff>457</xdr:colOff>
      <xdr:row>7</xdr:row>
      <xdr:rowOff>3778</xdr:rowOff>
    </xdr:to>
    <xdr:sp macro="" textlink="M1S1">
      <xdr:nvSpPr>
        <xdr:cNvPr id="11" name="SUBMENU1">
          <a:hlinkClick xmlns:r="http://schemas.openxmlformats.org/officeDocument/2006/relationships" r:id="rId1" tooltip=" "/>
          <a:extLst>
            <a:ext uri="{FF2B5EF4-FFF2-40B4-BE49-F238E27FC236}">
              <a16:creationId xmlns:a16="http://schemas.microsoft.com/office/drawing/2014/main" id="{00000000-0008-0000-0900-00000B000000}"/>
            </a:ext>
          </a:extLst>
        </xdr:cNvPr>
        <xdr:cNvSpPr/>
      </xdr:nvSpPr>
      <xdr:spPr>
        <a:xfrm>
          <a:off x="630249" y="1014505"/>
          <a:ext cx="1566561" cy="401214"/>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75590B8-5031-4E33-8C48-A03FAAA6E80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b="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981</xdr:colOff>
      <xdr:row>5</xdr:row>
      <xdr:rowOff>43824</xdr:rowOff>
    </xdr:from>
    <xdr:to>
      <xdr:col>12</xdr:col>
      <xdr:colOff>980</xdr:colOff>
      <xdr:row>7</xdr:row>
      <xdr:rowOff>44824</xdr:rowOff>
    </xdr:to>
    <xdr:sp macro="" textlink="M1S2">
      <xdr:nvSpPr>
        <xdr:cNvPr id="12" name="SUBMENU2">
          <a:hlinkClick xmlns:r="http://schemas.openxmlformats.org/officeDocument/2006/relationships" r:id="rId9" tooltip=" "/>
          <a:extLst>
            <a:ext uri="{FF2B5EF4-FFF2-40B4-BE49-F238E27FC236}">
              <a16:creationId xmlns:a16="http://schemas.microsoft.com/office/drawing/2014/main" id="{00000000-0008-0000-0900-00000C000000}"/>
            </a:ext>
          </a:extLst>
        </xdr:cNvPr>
        <xdr:cNvSpPr/>
      </xdr:nvSpPr>
      <xdr:spPr>
        <a:xfrm>
          <a:off x="2197334" y="1052353"/>
          <a:ext cx="1568822" cy="40441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1504</xdr:colOff>
      <xdr:row>4</xdr:row>
      <xdr:rowOff>200705</xdr:rowOff>
    </xdr:from>
    <xdr:to>
      <xdr:col>17</xdr:col>
      <xdr:colOff>1503</xdr:colOff>
      <xdr:row>7</xdr:row>
      <xdr:rowOff>0</xdr:rowOff>
    </xdr:to>
    <xdr:sp macro="" textlink="M1S3">
      <xdr:nvSpPr>
        <xdr:cNvPr id="13" name="SUBMENU3">
          <a:hlinkClick xmlns:r="http://schemas.openxmlformats.org/officeDocument/2006/relationships" r:id="rId10" tooltip=" "/>
          <a:extLst>
            <a:ext uri="{FF2B5EF4-FFF2-40B4-BE49-F238E27FC236}">
              <a16:creationId xmlns:a16="http://schemas.microsoft.com/office/drawing/2014/main" id="{00000000-0008-0000-0900-00000D000000}"/>
            </a:ext>
          </a:extLst>
        </xdr:cNvPr>
        <xdr:cNvSpPr/>
      </xdr:nvSpPr>
      <xdr:spPr>
        <a:xfrm>
          <a:off x="3773404"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2027</xdr:colOff>
      <xdr:row>4</xdr:row>
      <xdr:rowOff>200705</xdr:rowOff>
    </xdr:from>
    <xdr:to>
      <xdr:col>22</xdr:col>
      <xdr:colOff>2026</xdr:colOff>
      <xdr:row>7</xdr:row>
      <xdr:rowOff>0</xdr:rowOff>
    </xdr:to>
    <xdr:sp macro="" textlink="M1S4">
      <xdr:nvSpPr>
        <xdr:cNvPr id="14" name="SUBMENU4">
          <a:hlinkClick xmlns:r="http://schemas.openxmlformats.org/officeDocument/2006/relationships" r:id="rId11" tooltip=" "/>
          <a:extLst>
            <a:ext uri="{FF2B5EF4-FFF2-40B4-BE49-F238E27FC236}">
              <a16:creationId xmlns:a16="http://schemas.microsoft.com/office/drawing/2014/main" id="{00000000-0008-0000-0900-00000E000000}"/>
            </a:ext>
          </a:extLst>
        </xdr:cNvPr>
        <xdr:cNvSpPr/>
      </xdr:nvSpPr>
      <xdr:spPr>
        <a:xfrm>
          <a:off x="5345552"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2" tooltip=" "/>
          <a:extLst>
            <a:ext uri="{FF2B5EF4-FFF2-40B4-BE49-F238E27FC236}">
              <a16:creationId xmlns:a16="http://schemas.microsoft.com/office/drawing/2014/main" id="{00000000-0008-0000-09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16" name="BOTTOMRIBBON">
          <a:extLst>
            <a:ext uri="{FF2B5EF4-FFF2-40B4-BE49-F238E27FC236}">
              <a16:creationId xmlns:a16="http://schemas.microsoft.com/office/drawing/2014/main" id="{00000000-0008-0000-0900-000010000000}"/>
            </a:ext>
          </a:extLst>
        </xdr:cNvPr>
        <xdr:cNvSpPr/>
      </xdr:nvSpPr>
      <xdr:spPr>
        <a:xfrm>
          <a:off x="314325" y="1400175"/>
          <a:ext cx="13525500" cy="200025"/>
        </a:xfrm>
        <a:prstGeom prst="rect">
          <a:avLst/>
        </a:prstGeom>
        <a:solidFill>
          <a:srgbClr val="00334E"/>
        </a:solidFill>
        <a:ln>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37</xdr:col>
      <xdr:colOff>257736</xdr:colOff>
      <xdr:row>0</xdr:row>
      <xdr:rowOff>179295</xdr:rowOff>
    </xdr:from>
    <xdr:to>
      <xdr:col>42</xdr:col>
      <xdr:colOff>257735</xdr:colOff>
      <xdr:row>3</xdr:row>
      <xdr:rowOff>179295</xdr:rowOff>
    </xdr:to>
    <xdr:sp macro="" textlink="MAIN7">
      <xdr:nvSpPr>
        <xdr:cNvPr id="17" name="MENU7">
          <a:extLst>
            <a:ext uri="{FF2B5EF4-FFF2-40B4-BE49-F238E27FC236}">
              <a16:creationId xmlns:a16="http://schemas.microsoft.com/office/drawing/2014/main" id="{00000000-0008-0000-0900-000011000000}"/>
            </a:ext>
          </a:extLst>
        </xdr:cNvPr>
        <xdr:cNvSpPr/>
      </xdr:nvSpPr>
      <xdr:spPr>
        <a:xfrm>
          <a:off x="11887761" y="179295"/>
          <a:ext cx="1571624"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 </a:t>
          </a:fld>
          <a:endParaRPr lang="en-US" sz="1100">
            <a:noFill/>
          </a:endParaRPr>
        </a:p>
      </xdr:txBody>
    </xdr:sp>
    <xdr:clientData/>
  </xdr:twoCellAnchor>
  <xdr:twoCellAnchor editAs="oneCell">
    <xdr:from>
      <xdr:col>2</xdr:col>
      <xdr:colOff>69761</xdr:colOff>
      <xdr:row>0</xdr:row>
      <xdr:rowOff>156884</xdr:rowOff>
    </xdr:from>
    <xdr:to>
      <xdr:col>5</xdr:col>
      <xdr:colOff>56770</xdr:colOff>
      <xdr:row>3</xdr:row>
      <xdr:rowOff>24177</xdr:rowOff>
    </xdr:to>
    <xdr:pic>
      <xdr:nvPicPr>
        <xdr:cNvPr id="18" name="LOGO">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697290" y="156884"/>
          <a:ext cx="928304" cy="472411"/>
        </a:xfrm>
        <a:prstGeom prst="rect">
          <a:avLst/>
        </a:prstGeom>
      </xdr:spPr>
    </xdr:pic>
    <xdr:clientData/>
  </xdr:twoCellAnchor>
  <xdr:twoCellAnchor>
    <xdr:from>
      <xdr:col>1</xdr:col>
      <xdr:colOff>0</xdr:colOff>
      <xdr:row>7</xdr:row>
      <xdr:rowOff>201704</xdr:rowOff>
    </xdr:from>
    <xdr:to>
      <xdr:col>44</xdr:col>
      <xdr:colOff>0</xdr:colOff>
      <xdr:row>199</xdr:row>
      <xdr:rowOff>33617</xdr:rowOff>
    </xdr:to>
    <xdr:sp macro="" textlink="">
      <xdr:nvSpPr>
        <xdr:cNvPr id="19" name="BORDER">
          <a:extLst>
            <a:ext uri="{FF2B5EF4-FFF2-40B4-BE49-F238E27FC236}">
              <a16:creationId xmlns:a16="http://schemas.microsoft.com/office/drawing/2014/main" id="{00000000-0008-0000-0900-000013000000}"/>
            </a:ext>
          </a:extLst>
        </xdr:cNvPr>
        <xdr:cNvSpPr/>
      </xdr:nvSpPr>
      <xdr:spPr>
        <a:xfrm>
          <a:off x="313765" y="1613645"/>
          <a:ext cx="13491882" cy="36419119"/>
        </a:xfrm>
        <a:prstGeom prst="frame">
          <a:avLst>
            <a:gd name="adj1" fmla="val 0"/>
          </a:avLst>
        </a:prstGeom>
        <a:solidFill>
          <a:srgbClr val="54BCEB"/>
        </a:solidFill>
        <a:ln w="12700" cap="flat" cmpd="sng" algn="ctr">
          <a:solidFill>
            <a:srgbClr val="00334E"/>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3</xdr:col>
      <xdr:colOff>312177</xdr:colOff>
      <xdr:row>11</xdr:row>
      <xdr:rowOff>15578</xdr:rowOff>
    </xdr:from>
    <xdr:to>
      <xdr:col>40</xdr:col>
      <xdr:colOff>292937</xdr:colOff>
      <xdr:row>75</xdr:row>
      <xdr:rowOff>89908</xdr:rowOff>
    </xdr:to>
    <xdr:pic>
      <xdr:nvPicPr>
        <xdr:cNvPr id="20" name="Picture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253471" y="2200725"/>
          <a:ext cx="11590054" cy="12266330"/>
        </a:xfrm>
        <a:prstGeom prst="rect">
          <a:avLst/>
        </a:prstGeom>
      </xdr:spPr>
    </xdr:pic>
    <xdr:clientData/>
  </xdr:twoCellAnchor>
  <xdr:twoCellAnchor editAs="oneCell">
    <xdr:from>
      <xdr:col>2</xdr:col>
      <xdr:colOff>2720</xdr:colOff>
      <xdr:row>8</xdr:row>
      <xdr:rowOff>201232</xdr:rowOff>
    </xdr:from>
    <xdr:to>
      <xdr:col>4</xdr:col>
      <xdr:colOff>960</xdr:colOff>
      <xdr:row>11</xdr:row>
      <xdr:rowOff>20257</xdr:rowOff>
    </xdr:to>
    <xdr:sp macro="" textlink="">
      <xdr:nvSpPr>
        <xdr:cNvPr id="21" name="BACK">
          <a:hlinkClick xmlns:r="http://schemas.openxmlformats.org/officeDocument/2006/relationships" r:id="rId15" tooltip=" "/>
          <a:extLst>
            <a:ext uri="{FF2B5EF4-FFF2-40B4-BE49-F238E27FC236}">
              <a16:creationId xmlns:a16="http://schemas.microsoft.com/office/drawing/2014/main" id="{00000000-0008-0000-0900-000015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41</xdr:col>
      <xdr:colOff>0</xdr:colOff>
      <xdr:row>9</xdr:row>
      <xdr:rowOff>1047</xdr:rowOff>
    </xdr:from>
    <xdr:to>
      <xdr:col>42</xdr:col>
      <xdr:colOff>313195</xdr:colOff>
      <xdr:row>11</xdr:row>
      <xdr:rowOff>20096</xdr:rowOff>
    </xdr:to>
    <xdr:sp macro="" textlink="">
      <xdr:nvSpPr>
        <xdr:cNvPr id="22" name="NEXT">
          <a:hlinkClick xmlns:r="http://schemas.openxmlformats.org/officeDocument/2006/relationships" r:id="rId16" tooltip=" "/>
          <a:extLst>
            <a:ext uri="{FF2B5EF4-FFF2-40B4-BE49-F238E27FC236}">
              <a16:creationId xmlns:a16="http://schemas.microsoft.com/office/drawing/2014/main" id="{00000000-0008-0000-0900-000016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22</xdr:col>
      <xdr:colOff>56029</xdr:colOff>
      <xdr:row>69</xdr:row>
      <xdr:rowOff>145677</xdr:rowOff>
    </xdr:from>
    <xdr:to>
      <xdr:col>33</xdr:col>
      <xdr:colOff>11206</xdr:colOff>
      <xdr:row>73</xdr:row>
      <xdr:rowOff>33618</xdr:rowOff>
    </xdr:to>
    <xdr:sp macro="" textlink="">
      <xdr:nvSpPr>
        <xdr:cNvPr id="23" name="Rectangle 22">
          <a:hlinkClick xmlns:r="http://schemas.openxmlformats.org/officeDocument/2006/relationships" r:id="rId17"/>
          <a:extLst>
            <a:ext uri="{FF2B5EF4-FFF2-40B4-BE49-F238E27FC236}">
              <a16:creationId xmlns:a16="http://schemas.microsoft.com/office/drawing/2014/main" id="{00000000-0008-0000-0900-000017000000}"/>
            </a:ext>
          </a:extLst>
        </xdr:cNvPr>
        <xdr:cNvSpPr/>
      </xdr:nvSpPr>
      <xdr:spPr>
        <a:xfrm>
          <a:off x="6958853" y="13379824"/>
          <a:ext cx="3406588" cy="6499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11206</xdr:colOff>
      <xdr:row>27</xdr:row>
      <xdr:rowOff>0</xdr:rowOff>
    </xdr:from>
    <xdr:to>
      <xdr:col>11</xdr:col>
      <xdr:colOff>89647</xdr:colOff>
      <xdr:row>27</xdr:row>
      <xdr:rowOff>145677</xdr:rowOff>
    </xdr:to>
    <xdr:sp macro="" textlink="">
      <xdr:nvSpPr>
        <xdr:cNvPr id="24" name="Rectangle 23">
          <a:hlinkClick xmlns:r="http://schemas.openxmlformats.org/officeDocument/2006/relationships" r:id="rId11"/>
          <a:extLst>
            <a:ext uri="{FF2B5EF4-FFF2-40B4-BE49-F238E27FC236}">
              <a16:creationId xmlns:a16="http://schemas.microsoft.com/office/drawing/2014/main" id="{00000000-0008-0000-0900-000018000000}"/>
            </a:ext>
          </a:extLst>
        </xdr:cNvPr>
        <xdr:cNvSpPr/>
      </xdr:nvSpPr>
      <xdr:spPr>
        <a:xfrm>
          <a:off x="3148853" y="5233147"/>
          <a:ext cx="392206" cy="1456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1" tooltip=" "/>
          <a:extLst>
            <a:ext uri="{FF2B5EF4-FFF2-40B4-BE49-F238E27FC236}">
              <a16:creationId xmlns:a16="http://schemas.microsoft.com/office/drawing/2014/main" id="{00000000-0008-0000-1B00-000006000000}"/>
            </a:ext>
          </a:extLst>
        </xdr:cNvPr>
        <xdr:cNvSpPr/>
      </xdr:nvSpPr>
      <xdr:spPr>
        <a:xfrm>
          <a:off x="691515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24</xdr:col>
      <xdr:colOff>237875</xdr:colOff>
      <xdr:row>5</xdr:row>
      <xdr:rowOff>10205</xdr:rowOff>
    </xdr:from>
    <xdr:to>
      <xdr:col>29</xdr:col>
      <xdr:colOff>237873</xdr:colOff>
      <xdr:row>7</xdr:row>
      <xdr:rowOff>11205</xdr:rowOff>
    </xdr:to>
    <xdr:sp macro="" textlink="M4S5">
      <xdr:nvSpPr>
        <xdr:cNvPr id="15" name="SUBMENU5">
          <a:hlinkClick xmlns:r="http://schemas.openxmlformats.org/officeDocument/2006/relationships" r:id="rId2"/>
          <a:extLst>
            <a:ext uri="{FF2B5EF4-FFF2-40B4-BE49-F238E27FC236}">
              <a16:creationId xmlns:a16="http://schemas.microsoft.com/office/drawing/2014/main" id="{00000000-0008-0000-1B00-00000F000000}"/>
            </a:ext>
          </a:extLst>
        </xdr:cNvPr>
        <xdr:cNvSpPr/>
      </xdr:nvSpPr>
      <xdr:spPr>
        <a:xfrm>
          <a:off x="7768228" y="1018734"/>
          <a:ext cx="1568821" cy="404412"/>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3"/>
          <a:extLst>
            <a:ext uri="{FF2B5EF4-FFF2-40B4-BE49-F238E27FC236}">
              <a16:creationId xmlns:a16="http://schemas.microsoft.com/office/drawing/2014/main" id="{00000000-0008-0000-1B00-000010000000}"/>
            </a:ext>
          </a:extLst>
        </xdr:cNvPr>
        <xdr:cNvSpPr/>
      </xdr:nvSpPr>
      <xdr:spPr>
        <a:xfrm>
          <a:off x="8486775" y="1000805"/>
          <a:ext cx="157449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4"/>
          <a:extLst>
            <a:ext uri="{FF2B5EF4-FFF2-40B4-BE49-F238E27FC236}">
              <a16:creationId xmlns:a16="http://schemas.microsoft.com/office/drawing/2014/main" id="{00000000-0008-0000-1B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5"/>
          <a:extLst>
            <a:ext uri="{FF2B5EF4-FFF2-40B4-BE49-F238E27FC236}">
              <a16:creationId xmlns:a16="http://schemas.microsoft.com/office/drawing/2014/main" id="{00000000-0008-0000-1B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1</xdr:colOff>
      <xdr:row>4</xdr:row>
      <xdr:rowOff>1</xdr:rowOff>
    </xdr:from>
    <xdr:to>
      <xdr:col>44</xdr:col>
      <xdr:colOff>11207</xdr:colOff>
      <xdr:row>7</xdr:row>
      <xdr:rowOff>0</xdr:rowOff>
    </xdr:to>
    <xdr:sp macro="" textlink="">
      <xdr:nvSpPr>
        <xdr:cNvPr id="10" name="TOPRIBBON">
          <a:extLst>
            <a:ext uri="{FF2B5EF4-FFF2-40B4-BE49-F238E27FC236}">
              <a16:creationId xmlns:a16="http://schemas.microsoft.com/office/drawing/2014/main" id="{00000000-0008-0000-1B00-00000A000000}"/>
            </a:ext>
          </a:extLst>
        </xdr:cNvPr>
        <xdr:cNvSpPr/>
      </xdr:nvSpPr>
      <xdr:spPr>
        <a:xfrm>
          <a:off x="313766" y="806825"/>
          <a:ext cx="135030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19</xdr:col>
      <xdr:colOff>2551</xdr:colOff>
      <xdr:row>5</xdr:row>
      <xdr:rowOff>10206</xdr:rowOff>
    </xdr:from>
    <xdr:to>
      <xdr:col>25</xdr:col>
      <xdr:colOff>277946</xdr:colOff>
      <xdr:row>7</xdr:row>
      <xdr:rowOff>11206</xdr:rowOff>
    </xdr:to>
    <xdr:sp macro="" textlink="M4S4">
      <xdr:nvSpPr>
        <xdr:cNvPr id="14" name="SUBMENU4">
          <a:hlinkClick xmlns:r="http://schemas.openxmlformats.org/officeDocument/2006/relationships" r:id="rId6" tooltip=" "/>
          <a:extLst>
            <a:ext uri="{FF2B5EF4-FFF2-40B4-BE49-F238E27FC236}">
              <a16:creationId xmlns:a16="http://schemas.microsoft.com/office/drawing/2014/main" id="{00000000-0008-0000-1B00-00000E000000}"/>
            </a:ext>
          </a:extLst>
        </xdr:cNvPr>
        <xdr:cNvSpPr/>
      </xdr:nvSpPr>
      <xdr:spPr>
        <a:xfrm>
          <a:off x="5964080" y="1018735"/>
          <a:ext cx="21579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rgbClr val="FFFFFF"/>
              </a:solidFill>
              <a:latin typeface="Arial" panose="020B0604020202020204" pitchFamily="34" charset="0"/>
              <a:cs typeface="Arial" panose="020B0604020202020204" pitchFamily="34" charset="0"/>
            </a:rPr>
            <a:pPr algn="ctr"/>
            <a:t>Custom / RCx / New Construction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40</xdr:col>
      <xdr:colOff>302559</xdr:colOff>
      <xdr:row>9</xdr:row>
      <xdr:rowOff>1047</xdr:rowOff>
    </xdr:from>
    <xdr:to>
      <xdr:col>42</xdr:col>
      <xdr:colOff>280138</xdr:colOff>
      <xdr:row>11</xdr:row>
      <xdr:rowOff>19536</xdr:rowOff>
    </xdr:to>
    <xdr:sp macro="" textlink="">
      <xdr:nvSpPr>
        <xdr:cNvPr id="2" name="NEXT">
          <a:hlinkClick xmlns:r="http://schemas.openxmlformats.org/officeDocument/2006/relationships" r:id="rId7" tooltip=" "/>
          <a:extLst>
            <a:ext uri="{FF2B5EF4-FFF2-40B4-BE49-F238E27FC236}">
              <a16:creationId xmlns:a16="http://schemas.microsoft.com/office/drawing/2014/main" id="{00000000-0008-0000-1B00-000002000000}"/>
            </a:ext>
          </a:extLst>
        </xdr:cNvPr>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8" tooltip=" "/>
          <a:extLst>
            <a:ext uri="{FF2B5EF4-FFF2-40B4-BE49-F238E27FC236}">
              <a16:creationId xmlns:a16="http://schemas.microsoft.com/office/drawing/2014/main" id="{00000000-0008-0000-1B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9" tooltip=" "/>
          <a:extLst>
            <a:ext uri="{FF2B5EF4-FFF2-40B4-BE49-F238E27FC236}">
              <a16:creationId xmlns:a16="http://schemas.microsoft.com/office/drawing/2014/main" id="{00000000-0008-0000-1B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10" tooltip=" "/>
          <a:extLst>
            <a:ext uri="{FF2B5EF4-FFF2-40B4-BE49-F238E27FC236}">
              <a16:creationId xmlns:a16="http://schemas.microsoft.com/office/drawing/2014/main" id="{00000000-0008-0000-1B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tooltip=" "/>
          <a:extLst>
            <a:ext uri="{FF2B5EF4-FFF2-40B4-BE49-F238E27FC236}">
              <a16:creationId xmlns:a16="http://schemas.microsoft.com/office/drawing/2014/main" id="{00000000-0008-0000-1B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hlinkClick xmlns:r="http://schemas.openxmlformats.org/officeDocument/2006/relationships" r:id="rId12"/>
          <a:extLst>
            <a:ext uri="{FF2B5EF4-FFF2-40B4-BE49-F238E27FC236}">
              <a16:creationId xmlns:a16="http://schemas.microsoft.com/office/drawing/2014/main" id="{00000000-0008-0000-1B00-000008000000}"/>
            </a:ext>
          </a:extLst>
        </xdr:cNvPr>
        <xdr:cNvSpPr/>
      </xdr:nvSpPr>
      <xdr:spPr>
        <a:xfrm>
          <a:off x="10058400" y="200025"/>
          <a:ext cx="1571626"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13"/>
          <a:extLst>
            <a:ext uri="{FF2B5EF4-FFF2-40B4-BE49-F238E27FC236}">
              <a16:creationId xmlns:a16="http://schemas.microsoft.com/office/drawing/2014/main" id="{00000000-0008-0000-1B00-000009000000}"/>
            </a:ext>
          </a:extLst>
        </xdr:cNvPr>
        <xdr:cNvSpPr/>
      </xdr:nvSpPr>
      <xdr:spPr>
        <a:xfrm>
          <a:off x="11630024" y="200025"/>
          <a:ext cx="1571625" cy="600075"/>
        </a:xfrm>
        <a:prstGeom prst="round2SameRect">
          <a:avLst/>
        </a:prstGeom>
        <a:noFill/>
        <a:ln w="12700" cap="flat" cmpd="sng" algn="ctr">
          <a:noFill/>
          <a:prstDash val="solid"/>
          <a:miter lim="800000"/>
        </a:ln>
        <a:effectLst/>
        <a:extLs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1" tooltip=" "/>
          <a:extLst>
            <a:ext uri="{FF2B5EF4-FFF2-40B4-BE49-F238E27FC236}">
              <a16:creationId xmlns:a16="http://schemas.microsoft.com/office/drawing/2014/main" id="{00000000-0008-0000-1B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rgbClr val="FFFFFF"/>
              </a:solidFill>
              <a:latin typeface="Arial" panose="020B0604020202020204" pitchFamily="34" charset="0"/>
              <a:cs typeface="Arial" panose="020B0604020202020204" pitchFamily="34" charset="0"/>
            </a:rPr>
            <a:pPr algn="ctr"/>
            <a:t>Custom 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13945</xdr:colOff>
      <xdr:row>5</xdr:row>
      <xdr:rowOff>66236</xdr:rowOff>
    </xdr:from>
    <xdr:to>
      <xdr:col>12</xdr:col>
      <xdr:colOff>13944</xdr:colOff>
      <xdr:row>7</xdr:row>
      <xdr:rowOff>67236</xdr:rowOff>
    </xdr:to>
    <xdr:sp macro="" textlink="M4S2">
      <xdr:nvSpPr>
        <xdr:cNvPr id="12" name="SUBMENU2">
          <a:hlinkClick xmlns:r="http://schemas.openxmlformats.org/officeDocument/2006/relationships" r:id="rId14" tooltip=" "/>
          <a:extLst>
            <a:ext uri="{FF2B5EF4-FFF2-40B4-BE49-F238E27FC236}">
              <a16:creationId xmlns:a16="http://schemas.microsoft.com/office/drawing/2014/main" id="{00000000-0008-0000-1B00-00000C000000}"/>
            </a:ext>
          </a:extLst>
        </xdr:cNvPr>
        <xdr:cNvSpPr/>
      </xdr:nvSpPr>
      <xdr:spPr>
        <a:xfrm>
          <a:off x="2221504" y="1074765"/>
          <a:ext cx="1568822" cy="40441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5D0A4E02-9E12-41C2-BD00-10CC6F027B75}"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New Construction Lighting</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12</xdr:col>
      <xdr:colOff>27432</xdr:colOff>
      <xdr:row>5</xdr:row>
      <xdr:rowOff>4788</xdr:rowOff>
    </xdr:from>
    <xdr:to>
      <xdr:col>18</xdr:col>
      <xdr:colOff>302827</xdr:colOff>
      <xdr:row>7</xdr:row>
      <xdr:rowOff>4108</xdr:rowOff>
    </xdr:to>
    <xdr:sp macro="" textlink="M4S3">
      <xdr:nvSpPr>
        <xdr:cNvPr id="13" name="SUBMENU3">
          <a:hlinkClick xmlns:r="http://schemas.openxmlformats.org/officeDocument/2006/relationships" r:id="rId15" tooltip=" "/>
          <a:extLst>
            <a:ext uri="{FF2B5EF4-FFF2-40B4-BE49-F238E27FC236}">
              <a16:creationId xmlns:a16="http://schemas.microsoft.com/office/drawing/2014/main" id="{00000000-0008-0000-1B00-00000D000000}"/>
            </a:ext>
          </a:extLst>
        </xdr:cNvPr>
        <xdr:cNvSpPr/>
      </xdr:nvSpPr>
      <xdr:spPr>
        <a:xfrm>
          <a:off x="3803814" y="1013317"/>
          <a:ext cx="21579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DC8E2C81-AACE-4DC5-9683-990BF5B93E88}"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Custom / RCx / New Construction
 Non-Lighting (Electric)</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7</xdr:row>
      <xdr:rowOff>0</xdr:rowOff>
    </xdr:from>
    <xdr:to>
      <xdr:col>44</xdr:col>
      <xdr:colOff>11206</xdr:colOff>
      <xdr:row>8</xdr:row>
      <xdr:rowOff>0</xdr:rowOff>
    </xdr:to>
    <xdr:sp macro="" textlink="">
      <xdr:nvSpPr>
        <xdr:cNvPr id="21" name="BOTTOMRIBBON">
          <a:extLst>
            <a:ext uri="{FF2B5EF4-FFF2-40B4-BE49-F238E27FC236}">
              <a16:creationId xmlns:a16="http://schemas.microsoft.com/office/drawing/2014/main" id="{00000000-0008-0000-1B00-000015000000}"/>
            </a:ext>
          </a:extLst>
        </xdr:cNvPr>
        <xdr:cNvSpPr/>
      </xdr:nvSpPr>
      <xdr:spPr>
        <a:xfrm>
          <a:off x="313765" y="1411941"/>
          <a:ext cx="135030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1</xdr:col>
      <xdr:colOff>558</xdr:colOff>
      <xdr:row>7</xdr:row>
      <xdr:rowOff>200023</xdr:rowOff>
    </xdr:from>
    <xdr:to>
      <xdr:col>44</xdr:col>
      <xdr:colOff>0</xdr:colOff>
      <xdr:row>35</xdr:row>
      <xdr:rowOff>0</xdr:rowOff>
    </xdr:to>
    <xdr:sp macro="" textlink="">
      <xdr:nvSpPr>
        <xdr:cNvPr id="19" name="BORDER">
          <a:extLst>
            <a:ext uri="{FF2B5EF4-FFF2-40B4-BE49-F238E27FC236}">
              <a16:creationId xmlns:a16="http://schemas.microsoft.com/office/drawing/2014/main" id="{00000000-0008-0000-1B00-000013000000}"/>
            </a:ext>
          </a:extLst>
        </xdr:cNvPr>
        <xdr:cNvSpPr/>
      </xdr:nvSpPr>
      <xdr:spPr>
        <a:xfrm>
          <a:off x="314323" y="1611964"/>
          <a:ext cx="13491324" cy="5447742"/>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149</xdr:rowOff>
    </xdr:from>
    <xdr:to>
      <xdr:col>4</xdr:col>
      <xdr:colOff>960</xdr:colOff>
      <xdr:row>11</xdr:row>
      <xdr:rowOff>148</xdr:rowOff>
    </xdr:to>
    <xdr:sp macro="" textlink="">
      <xdr:nvSpPr>
        <xdr:cNvPr id="20" name="BACK">
          <a:hlinkClick xmlns:r="http://schemas.openxmlformats.org/officeDocument/2006/relationships" r:id="rId16" tooltip=" "/>
          <a:extLst>
            <a:ext uri="{FF2B5EF4-FFF2-40B4-BE49-F238E27FC236}">
              <a16:creationId xmlns:a16="http://schemas.microsoft.com/office/drawing/2014/main" id="{00000000-0008-0000-1B00-000014000000}"/>
            </a:ext>
          </a:extLst>
        </xdr:cNvPr>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13</xdr:col>
      <xdr:colOff>268940</xdr:colOff>
      <xdr:row>29</xdr:row>
      <xdr:rowOff>100852</xdr:rowOff>
    </xdr:from>
    <xdr:to>
      <xdr:col>31</xdr:col>
      <xdr:colOff>280147</xdr:colOff>
      <xdr:row>32</xdr:row>
      <xdr:rowOff>168088</xdr:rowOff>
    </xdr:to>
    <xdr:sp macro="" textlink="">
      <xdr:nvSpPr>
        <xdr:cNvPr id="24" name="Rounded Rectangle 23">
          <a:hlinkClick xmlns:r="http://schemas.openxmlformats.org/officeDocument/2006/relationships" r:id="rId17" tooltip=" "/>
          <a:extLst>
            <a:ext uri="{FF2B5EF4-FFF2-40B4-BE49-F238E27FC236}">
              <a16:creationId xmlns:a16="http://schemas.microsoft.com/office/drawing/2014/main" id="{00000000-0008-0000-1B00-000018000000}"/>
            </a:ext>
          </a:extLst>
        </xdr:cNvPr>
        <xdr:cNvSpPr/>
      </xdr:nvSpPr>
      <xdr:spPr>
        <a:xfrm>
          <a:off x="4359087" y="5950323"/>
          <a:ext cx="5658972" cy="672353"/>
        </a:xfrm>
        <a:prstGeom prst="roundRect">
          <a:avLst/>
        </a:prstGeom>
        <a:solidFill>
          <a:schemeClr val="accent2"/>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Step</a:t>
          </a:r>
          <a:r>
            <a:rPr lang="en-US" sz="2000" b="1" baseline="0"/>
            <a:t> 1: </a:t>
          </a:r>
          <a:r>
            <a:rPr lang="en-US" sz="2000" b="1"/>
            <a:t>Click to Add</a:t>
          </a:r>
          <a:r>
            <a:rPr lang="en-US" sz="2000" b="1" baseline="0"/>
            <a:t> </a:t>
          </a:r>
          <a:r>
            <a:rPr lang="en-US" sz="2000" b="1"/>
            <a:t>Lighting Schedule</a:t>
          </a:r>
        </a:p>
      </xdr:txBody>
    </xdr:sp>
    <xdr:clientData/>
  </xdr:twoCellAnchor>
  <xdr:twoCellAnchor editAs="oneCell">
    <xdr:from>
      <xdr:col>2</xdr:col>
      <xdr:colOff>103130</xdr:colOff>
      <xdr:row>0</xdr:row>
      <xdr:rowOff>156884</xdr:rowOff>
    </xdr:from>
    <xdr:to>
      <xdr:col>5</xdr:col>
      <xdr:colOff>19480</xdr:colOff>
      <xdr:row>2</xdr:row>
      <xdr:rowOff>195627</xdr:rowOff>
    </xdr:to>
    <xdr:pic>
      <xdr:nvPicPr>
        <xdr:cNvPr id="26" name="LOGO">
          <a:extLst>
            <a:ext uri="{FF2B5EF4-FFF2-40B4-BE49-F238E27FC236}">
              <a16:creationId xmlns:a16="http://schemas.microsoft.com/office/drawing/2014/main" id="{00000000-0008-0000-1B00-00001A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730659" y="156884"/>
          <a:ext cx="868850" cy="44215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25</xdr:col>
      <xdr:colOff>11205</xdr:colOff>
      <xdr:row>1</xdr:row>
      <xdr:rowOff>44824</xdr:rowOff>
    </xdr:from>
    <xdr:to>
      <xdr:col>25</xdr:col>
      <xdr:colOff>582705</xdr:colOff>
      <xdr:row>2</xdr:row>
      <xdr:rowOff>166221</xdr:rowOff>
    </xdr:to>
    <xdr:sp macro="" textlink="">
      <xdr:nvSpPr>
        <xdr:cNvPr id="4" name="NEXT">
          <a:hlinkClick xmlns:r="http://schemas.openxmlformats.org/officeDocument/2006/relationships" r:id="rId1"/>
          <a:extLst>
            <a:ext uri="{FF2B5EF4-FFF2-40B4-BE49-F238E27FC236}">
              <a16:creationId xmlns:a16="http://schemas.microsoft.com/office/drawing/2014/main" id="{00000000-0008-0000-1C00-000004000000}"/>
            </a:ext>
          </a:extLst>
        </xdr:cNvPr>
        <xdr:cNvSpPr/>
      </xdr:nvSpPr>
      <xdr:spPr>
        <a:xfrm>
          <a:off x="15464117" y="268942"/>
          <a:ext cx="571500" cy="345514"/>
        </a:xfrm>
        <a:prstGeom prst="rightArrow">
          <a:avLst/>
        </a:prstGeom>
        <a:solidFill>
          <a:srgbClr val="898D8D"/>
        </a:solidFill>
        <a:ln>
          <a:solidFill>
            <a:srgbClr val="898D8D"/>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1" tooltip=" "/>
          <a:extLst>
            <a:ext uri="{FF2B5EF4-FFF2-40B4-BE49-F238E27FC236}">
              <a16:creationId xmlns:a16="http://schemas.microsoft.com/office/drawing/2014/main" id="{00000000-0008-0000-1D00-000006000000}"/>
            </a:ext>
          </a:extLst>
        </xdr:cNvPr>
        <xdr:cNvSpPr/>
      </xdr:nvSpPr>
      <xdr:spPr>
        <a:xfrm>
          <a:off x="691515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13757</xdr:colOff>
      <xdr:row>4</xdr:row>
      <xdr:rowOff>200705</xdr:rowOff>
    </xdr:from>
    <xdr:to>
      <xdr:col>30</xdr:col>
      <xdr:colOff>13755</xdr:colOff>
      <xdr:row>7</xdr:row>
      <xdr:rowOff>0</xdr:rowOff>
    </xdr:to>
    <xdr:sp macro="" textlink="M4S5">
      <xdr:nvSpPr>
        <xdr:cNvPr id="15" name="SUBMENU5">
          <a:hlinkClick xmlns:r="http://schemas.openxmlformats.org/officeDocument/2006/relationships" r:id="rId2"/>
          <a:extLst>
            <a:ext uri="{FF2B5EF4-FFF2-40B4-BE49-F238E27FC236}">
              <a16:creationId xmlns:a16="http://schemas.microsoft.com/office/drawing/2014/main" id="{00000000-0008-0000-1D00-00000F000000}"/>
            </a:ext>
          </a:extLst>
        </xdr:cNvPr>
        <xdr:cNvSpPr/>
      </xdr:nvSpPr>
      <xdr:spPr>
        <a:xfrm>
          <a:off x="7857875" y="1007529"/>
          <a:ext cx="1568821"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3"/>
          <a:extLst>
            <a:ext uri="{FF2B5EF4-FFF2-40B4-BE49-F238E27FC236}">
              <a16:creationId xmlns:a16="http://schemas.microsoft.com/office/drawing/2014/main" id="{00000000-0008-0000-1D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4"/>
          <a:extLst>
            <a:ext uri="{FF2B5EF4-FFF2-40B4-BE49-F238E27FC236}">
              <a16:creationId xmlns:a16="http://schemas.microsoft.com/office/drawing/2014/main" id="{00000000-0008-0000-1D00-000011000000}"/>
            </a:ext>
          </a:extLst>
        </xdr:cNvPr>
        <xdr:cNvSpPr/>
      </xdr:nvSpPr>
      <xdr:spPr>
        <a:xfrm>
          <a:off x="10061265" y="1000805"/>
          <a:ext cx="157148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5"/>
          <a:extLst>
            <a:ext uri="{FF2B5EF4-FFF2-40B4-BE49-F238E27FC236}">
              <a16:creationId xmlns:a16="http://schemas.microsoft.com/office/drawing/2014/main" id="{00000000-0008-0000-1D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D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18</xdr:col>
      <xdr:colOff>305108</xdr:colOff>
      <xdr:row>5</xdr:row>
      <xdr:rowOff>680</xdr:rowOff>
    </xdr:from>
    <xdr:to>
      <xdr:col>25</xdr:col>
      <xdr:colOff>266739</xdr:colOff>
      <xdr:row>7</xdr:row>
      <xdr:rowOff>0</xdr:rowOff>
    </xdr:to>
    <xdr:sp macro="" textlink="M4S4">
      <xdr:nvSpPr>
        <xdr:cNvPr id="14" name="SUBMENU4">
          <a:hlinkClick xmlns:r="http://schemas.openxmlformats.org/officeDocument/2006/relationships" r:id="rId6" tooltip=" "/>
          <a:extLst>
            <a:ext uri="{FF2B5EF4-FFF2-40B4-BE49-F238E27FC236}">
              <a16:creationId xmlns:a16="http://schemas.microsoft.com/office/drawing/2014/main" id="{00000000-0008-0000-1D00-00000E000000}"/>
            </a:ext>
          </a:extLst>
        </xdr:cNvPr>
        <xdr:cNvSpPr/>
      </xdr:nvSpPr>
      <xdr:spPr>
        <a:xfrm>
          <a:off x="5952873" y="1009209"/>
          <a:ext cx="21579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rgbClr val="FFFFFF"/>
              </a:solidFill>
              <a:latin typeface="Arial" panose="020B0604020202020204" pitchFamily="34" charset="0"/>
              <a:cs typeface="Arial" panose="020B0604020202020204" pitchFamily="34" charset="0"/>
            </a:rPr>
            <a:pPr algn="ctr"/>
            <a:t>Custom / RCx / New Construction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24324</xdr:colOff>
      <xdr:row>11</xdr:row>
      <xdr:rowOff>1046</xdr:rowOff>
    </xdr:to>
    <xdr:sp macro="" textlink="">
      <xdr:nvSpPr>
        <xdr:cNvPr id="2" name="NEXT">
          <a:hlinkClick xmlns:r="http://schemas.openxmlformats.org/officeDocument/2006/relationships" r:id="rId7" tooltip=" "/>
          <a:extLst>
            <a:ext uri="{FF2B5EF4-FFF2-40B4-BE49-F238E27FC236}">
              <a16:creationId xmlns:a16="http://schemas.microsoft.com/office/drawing/2014/main" id="{00000000-0008-0000-1D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8" tooltip=" "/>
          <a:extLst>
            <a:ext uri="{FF2B5EF4-FFF2-40B4-BE49-F238E27FC236}">
              <a16:creationId xmlns:a16="http://schemas.microsoft.com/office/drawing/2014/main" id="{00000000-0008-0000-1D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9" tooltip=" "/>
          <a:extLst>
            <a:ext uri="{FF2B5EF4-FFF2-40B4-BE49-F238E27FC236}">
              <a16:creationId xmlns:a16="http://schemas.microsoft.com/office/drawing/2014/main" id="{00000000-0008-0000-1D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10" tooltip=" "/>
          <a:extLst>
            <a:ext uri="{FF2B5EF4-FFF2-40B4-BE49-F238E27FC236}">
              <a16:creationId xmlns:a16="http://schemas.microsoft.com/office/drawing/2014/main" id="{00000000-0008-0000-1D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tooltip=" "/>
          <a:extLst>
            <a:ext uri="{FF2B5EF4-FFF2-40B4-BE49-F238E27FC236}">
              <a16:creationId xmlns:a16="http://schemas.microsoft.com/office/drawing/2014/main" id="{00000000-0008-0000-1D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D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D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1" tooltip=" "/>
          <a:extLst>
            <a:ext uri="{FF2B5EF4-FFF2-40B4-BE49-F238E27FC236}">
              <a16:creationId xmlns:a16="http://schemas.microsoft.com/office/drawing/2014/main" id="{00000000-0008-0000-1D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rgbClr val="FFFFFF"/>
              </a:solidFill>
              <a:latin typeface="Arial" panose="020B0604020202020204" pitchFamily="34" charset="0"/>
              <a:cs typeface="Arial" panose="020B0604020202020204" pitchFamily="34" charset="0"/>
            </a:rPr>
            <a:pPr algn="ctr"/>
            <a:t>Custom 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11059</xdr:colOff>
      <xdr:row>4</xdr:row>
      <xdr:rowOff>197155</xdr:rowOff>
    </xdr:from>
    <xdr:to>
      <xdr:col>12</xdr:col>
      <xdr:colOff>8509</xdr:colOff>
      <xdr:row>6</xdr:row>
      <xdr:rowOff>196476</xdr:rowOff>
    </xdr:to>
    <xdr:sp macro="" textlink="M4S2">
      <xdr:nvSpPr>
        <xdr:cNvPr id="12" name="SUBMENU2">
          <a:hlinkClick xmlns:r="http://schemas.openxmlformats.org/officeDocument/2006/relationships" r:id="rId12" tooltip=" "/>
          <a:extLst>
            <a:ext uri="{FF2B5EF4-FFF2-40B4-BE49-F238E27FC236}">
              <a16:creationId xmlns:a16="http://schemas.microsoft.com/office/drawing/2014/main" id="{00000000-0008-0000-1D00-00000C000000}"/>
            </a:ext>
          </a:extLst>
        </xdr:cNvPr>
        <xdr:cNvSpPr/>
      </xdr:nvSpPr>
      <xdr:spPr>
        <a:xfrm>
          <a:off x="2207412" y="1003979"/>
          <a:ext cx="1566273"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5D0A4E02-9E12-41C2-BD00-10CC6F027B75}"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New Construction Lighting</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12</xdr:col>
      <xdr:colOff>19111</xdr:colOff>
      <xdr:row>5</xdr:row>
      <xdr:rowOff>55030</xdr:rowOff>
    </xdr:from>
    <xdr:to>
      <xdr:col>18</xdr:col>
      <xdr:colOff>294506</xdr:colOff>
      <xdr:row>7</xdr:row>
      <xdr:rowOff>56030</xdr:rowOff>
    </xdr:to>
    <xdr:sp macro="" textlink="M4S3">
      <xdr:nvSpPr>
        <xdr:cNvPr id="13" name="SUBMENU3">
          <a:hlinkClick xmlns:r="http://schemas.openxmlformats.org/officeDocument/2006/relationships" r:id="rId13" tooltip=" "/>
          <a:extLst>
            <a:ext uri="{FF2B5EF4-FFF2-40B4-BE49-F238E27FC236}">
              <a16:creationId xmlns:a16="http://schemas.microsoft.com/office/drawing/2014/main" id="{00000000-0008-0000-1D00-00000D000000}"/>
            </a:ext>
          </a:extLst>
        </xdr:cNvPr>
        <xdr:cNvSpPr/>
      </xdr:nvSpPr>
      <xdr:spPr>
        <a:xfrm>
          <a:off x="3784287" y="1063559"/>
          <a:ext cx="2157984" cy="40441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DC8E2C81-AACE-4DC5-9683-990BF5B93E88}"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Custom / RCx / New Construction
 Non-Lighting (Electric)</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35</xdr:row>
      <xdr:rowOff>0</xdr:rowOff>
    </xdr:to>
    <xdr:sp macro="" textlink="">
      <xdr:nvSpPr>
        <xdr:cNvPr id="19" name="BORDER">
          <a:extLst>
            <a:ext uri="{FF2B5EF4-FFF2-40B4-BE49-F238E27FC236}">
              <a16:creationId xmlns:a16="http://schemas.microsoft.com/office/drawing/2014/main" id="{00000000-0008-0000-1D00-000013000000}"/>
            </a:ext>
          </a:extLst>
        </xdr:cNvPr>
        <xdr:cNvSpPr/>
      </xdr:nvSpPr>
      <xdr:spPr>
        <a:xfrm>
          <a:off x="314323" y="1611965"/>
          <a:ext cx="13491324" cy="5447741"/>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149</xdr:rowOff>
    </xdr:from>
    <xdr:to>
      <xdr:col>4</xdr:col>
      <xdr:colOff>960</xdr:colOff>
      <xdr:row>10</xdr:row>
      <xdr:rowOff>184423</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1D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D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24" name="LOGO">
          <a:extLst>
            <a:ext uri="{FF2B5EF4-FFF2-40B4-BE49-F238E27FC236}">
              <a16:creationId xmlns:a16="http://schemas.microsoft.com/office/drawing/2014/main" id="{00000000-0008-0000-1D00-00001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37</xdr:col>
      <xdr:colOff>2720</xdr:colOff>
      <xdr:row>4</xdr:row>
      <xdr:rowOff>189499</xdr:rowOff>
    </xdr:from>
    <xdr:to>
      <xdr:col>42</xdr:col>
      <xdr:colOff>0</xdr:colOff>
      <xdr:row>6</xdr:row>
      <xdr:rowOff>190500</xdr:rowOff>
    </xdr:to>
    <xdr:sp macro="" textlink="M4S8">
      <xdr:nvSpPr>
        <xdr:cNvPr id="18" name="SUBMENU8">
          <a:hlinkClick xmlns:r="http://schemas.openxmlformats.org/officeDocument/2006/relationships" r:id="rId1"/>
          <a:extLst>
            <a:ext uri="{FF2B5EF4-FFF2-40B4-BE49-F238E27FC236}">
              <a16:creationId xmlns:a16="http://schemas.microsoft.com/office/drawing/2014/main" id="{00000000-0008-0000-1E00-000012000000}"/>
            </a:ext>
          </a:extLst>
        </xdr:cNvPr>
        <xdr:cNvSpPr/>
      </xdr:nvSpPr>
      <xdr:spPr>
        <a:xfrm>
          <a:off x="11612014" y="996323"/>
          <a:ext cx="1566104"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 </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189499</xdr:rowOff>
    </xdr:from>
    <xdr:to>
      <xdr:col>37</xdr:col>
      <xdr:colOff>2720</xdr:colOff>
      <xdr:row>6</xdr:row>
      <xdr:rowOff>190500</xdr:rowOff>
    </xdr:to>
    <xdr:sp macro="" textlink="M4S7">
      <xdr:nvSpPr>
        <xdr:cNvPr id="17" name="SUBMENU7">
          <a:hlinkClick xmlns:r="http://schemas.openxmlformats.org/officeDocument/2006/relationships" r:id="rId2"/>
          <a:extLst>
            <a:ext uri="{FF2B5EF4-FFF2-40B4-BE49-F238E27FC236}">
              <a16:creationId xmlns:a16="http://schemas.microsoft.com/office/drawing/2014/main" id="{00000000-0008-0000-1E00-000011000000}"/>
            </a:ext>
          </a:extLst>
        </xdr:cNvPr>
        <xdr:cNvSpPr/>
      </xdr:nvSpPr>
      <xdr:spPr>
        <a:xfrm>
          <a:off x="10043336" y="996323"/>
          <a:ext cx="1568678"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 </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189499</xdr:rowOff>
    </xdr:from>
    <xdr:to>
      <xdr:col>32</xdr:col>
      <xdr:colOff>2865</xdr:colOff>
      <xdr:row>6</xdr:row>
      <xdr:rowOff>190500</xdr:rowOff>
    </xdr:to>
    <xdr:sp macro="" textlink="M4S6">
      <xdr:nvSpPr>
        <xdr:cNvPr id="16" name="SUBMENU6">
          <a:hlinkClick xmlns:r="http://schemas.openxmlformats.org/officeDocument/2006/relationships" r:id="rId3"/>
          <a:extLst>
            <a:ext uri="{FF2B5EF4-FFF2-40B4-BE49-F238E27FC236}">
              <a16:creationId xmlns:a16="http://schemas.microsoft.com/office/drawing/2014/main" id="{00000000-0008-0000-1E00-000010000000}"/>
            </a:ext>
          </a:extLst>
        </xdr:cNvPr>
        <xdr:cNvSpPr/>
      </xdr:nvSpPr>
      <xdr:spPr>
        <a:xfrm>
          <a:off x="8471647" y="996323"/>
          <a:ext cx="1571689"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 </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25</xdr:col>
      <xdr:colOff>268941</xdr:colOff>
      <xdr:row>4</xdr:row>
      <xdr:rowOff>189499</xdr:rowOff>
    </xdr:from>
    <xdr:to>
      <xdr:col>30</xdr:col>
      <xdr:colOff>201706</xdr:colOff>
      <xdr:row>6</xdr:row>
      <xdr:rowOff>190500</xdr:rowOff>
    </xdr:to>
    <xdr:sp macro="" textlink="M4S5">
      <xdr:nvSpPr>
        <xdr:cNvPr id="15" name="SUBMENU5">
          <a:hlinkClick xmlns:r="http://schemas.openxmlformats.org/officeDocument/2006/relationships" r:id="rId4"/>
          <a:extLst>
            <a:ext uri="{FF2B5EF4-FFF2-40B4-BE49-F238E27FC236}">
              <a16:creationId xmlns:a16="http://schemas.microsoft.com/office/drawing/2014/main" id="{00000000-0008-0000-1E00-00000F000000}"/>
            </a:ext>
          </a:extLst>
        </xdr:cNvPr>
        <xdr:cNvSpPr/>
      </xdr:nvSpPr>
      <xdr:spPr>
        <a:xfrm>
          <a:off x="8113059" y="996323"/>
          <a:ext cx="1501588"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 </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5" tooltip=" "/>
          <a:extLst>
            <a:ext uri="{FF2B5EF4-FFF2-40B4-BE49-F238E27FC236}">
              <a16:creationId xmlns:a16="http://schemas.microsoft.com/office/drawing/2014/main" id="{00000000-0008-0000-1E00-000006000000}"/>
            </a:ext>
          </a:extLst>
        </xdr:cNvPr>
        <xdr:cNvSpPr/>
      </xdr:nvSpPr>
      <xdr:spPr>
        <a:xfrm>
          <a:off x="691515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E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6" tooltip=" "/>
          <a:extLst>
            <a:ext uri="{FF2B5EF4-FFF2-40B4-BE49-F238E27FC236}">
              <a16:creationId xmlns:a16="http://schemas.microsoft.com/office/drawing/2014/main" id="{00000000-0008-0000-1E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tooltip=" "/>
          <a:extLst>
            <a:ext uri="{FF2B5EF4-FFF2-40B4-BE49-F238E27FC236}">
              <a16:creationId xmlns:a16="http://schemas.microsoft.com/office/drawing/2014/main" id="{00000000-0008-0000-1E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8" tooltip=" "/>
          <a:extLst>
            <a:ext uri="{FF2B5EF4-FFF2-40B4-BE49-F238E27FC236}">
              <a16:creationId xmlns:a16="http://schemas.microsoft.com/office/drawing/2014/main" id="{00000000-0008-0000-1E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9" tooltip=" "/>
          <a:extLst>
            <a:ext uri="{FF2B5EF4-FFF2-40B4-BE49-F238E27FC236}">
              <a16:creationId xmlns:a16="http://schemas.microsoft.com/office/drawing/2014/main" id="{00000000-0008-0000-1E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tooltip=" "/>
          <a:extLst>
            <a:ext uri="{FF2B5EF4-FFF2-40B4-BE49-F238E27FC236}">
              <a16:creationId xmlns:a16="http://schemas.microsoft.com/office/drawing/2014/main" id="{00000000-0008-0000-1E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E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E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tooltip=" "/>
          <a:extLst>
            <a:ext uri="{FF2B5EF4-FFF2-40B4-BE49-F238E27FC236}">
              <a16:creationId xmlns:a16="http://schemas.microsoft.com/office/drawing/2014/main" id="{00000000-0008-0000-1E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6474</xdr:colOff>
      <xdr:row>5</xdr:row>
      <xdr:rowOff>680</xdr:rowOff>
    </xdr:from>
    <xdr:to>
      <xdr:col>12</xdr:col>
      <xdr:colOff>6474</xdr:colOff>
      <xdr:row>7</xdr:row>
      <xdr:rowOff>0</xdr:rowOff>
    </xdr:to>
    <xdr:sp macro="" textlink="M4S2">
      <xdr:nvSpPr>
        <xdr:cNvPr id="12" name="SUBMENU2">
          <a:hlinkClick xmlns:r="http://schemas.openxmlformats.org/officeDocument/2006/relationships" r:id="rId11" tooltip=" "/>
          <a:extLst>
            <a:ext uri="{FF2B5EF4-FFF2-40B4-BE49-F238E27FC236}">
              <a16:creationId xmlns:a16="http://schemas.microsoft.com/office/drawing/2014/main" id="{00000000-0008-0000-1E00-00000C000000}"/>
            </a:ext>
          </a:extLst>
        </xdr:cNvPr>
        <xdr:cNvSpPr/>
      </xdr:nvSpPr>
      <xdr:spPr>
        <a:xfrm>
          <a:off x="2202827" y="1009209"/>
          <a:ext cx="1568823"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Construction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35</xdr:row>
      <xdr:rowOff>0</xdr:rowOff>
    </xdr:to>
    <xdr:sp macro="" textlink="">
      <xdr:nvSpPr>
        <xdr:cNvPr id="19" name="BORDER">
          <a:extLst>
            <a:ext uri="{FF2B5EF4-FFF2-40B4-BE49-F238E27FC236}">
              <a16:creationId xmlns:a16="http://schemas.microsoft.com/office/drawing/2014/main" id="{00000000-0008-0000-1E00-000013000000}"/>
            </a:ext>
          </a:extLst>
        </xdr:cNvPr>
        <xdr:cNvSpPr/>
      </xdr:nvSpPr>
      <xdr:spPr>
        <a:xfrm>
          <a:off x="314323" y="1611965"/>
          <a:ext cx="13491324" cy="5447741"/>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2" tooltip=" "/>
          <a:extLst>
            <a:ext uri="{FF2B5EF4-FFF2-40B4-BE49-F238E27FC236}">
              <a16:creationId xmlns:a16="http://schemas.microsoft.com/office/drawing/2014/main" id="{00000000-0008-0000-1E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12491</xdr:colOff>
      <xdr:row>4</xdr:row>
      <xdr:rowOff>200705</xdr:rowOff>
    </xdr:from>
    <xdr:to>
      <xdr:col>18</xdr:col>
      <xdr:colOff>287886</xdr:colOff>
      <xdr:row>7</xdr:row>
      <xdr:rowOff>0</xdr:rowOff>
    </xdr:to>
    <xdr:sp macro="" textlink="M4S3">
      <xdr:nvSpPr>
        <xdr:cNvPr id="13" name="SUBMENU3">
          <a:hlinkClick xmlns:r="http://schemas.openxmlformats.org/officeDocument/2006/relationships" r:id="rId13" tooltip=" "/>
          <a:extLst>
            <a:ext uri="{FF2B5EF4-FFF2-40B4-BE49-F238E27FC236}">
              <a16:creationId xmlns:a16="http://schemas.microsoft.com/office/drawing/2014/main" id="{00000000-0008-0000-1E00-00000D000000}"/>
            </a:ext>
          </a:extLst>
        </xdr:cNvPr>
        <xdr:cNvSpPr/>
      </xdr:nvSpPr>
      <xdr:spPr>
        <a:xfrm>
          <a:off x="3777667" y="1007529"/>
          <a:ext cx="21579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 RCx / New Construction
 Non-Lighting (Electric)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18</xdr:col>
      <xdr:colOff>293904</xdr:colOff>
      <xdr:row>5</xdr:row>
      <xdr:rowOff>51481</xdr:rowOff>
    </xdr:from>
    <xdr:to>
      <xdr:col>25</xdr:col>
      <xdr:colOff>255535</xdr:colOff>
      <xdr:row>7</xdr:row>
      <xdr:rowOff>50801</xdr:rowOff>
    </xdr:to>
    <xdr:sp macro="" textlink="M4S4">
      <xdr:nvSpPr>
        <xdr:cNvPr id="14" name="SUBMENU4">
          <a:hlinkClick xmlns:r="http://schemas.openxmlformats.org/officeDocument/2006/relationships" r:id="rId14" tooltip=" "/>
          <a:extLst>
            <a:ext uri="{FF2B5EF4-FFF2-40B4-BE49-F238E27FC236}">
              <a16:creationId xmlns:a16="http://schemas.microsoft.com/office/drawing/2014/main" id="{00000000-0008-0000-1E00-00000E000000}"/>
            </a:ext>
          </a:extLst>
        </xdr:cNvPr>
        <xdr:cNvSpPr/>
      </xdr:nvSpPr>
      <xdr:spPr>
        <a:xfrm>
          <a:off x="5941669" y="1060010"/>
          <a:ext cx="2157984"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1050F369-33A9-41B8-BB9C-848C113C5B15}"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Custom / RCx / New Construction
 (Gas)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E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24" name="LOGO">
          <a:extLst>
            <a:ext uri="{FF2B5EF4-FFF2-40B4-BE49-F238E27FC236}">
              <a16:creationId xmlns:a16="http://schemas.microsoft.com/office/drawing/2014/main" id="{00000000-0008-0000-1E00-00001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a:extLst>
            <a:ext uri="{FF2B5EF4-FFF2-40B4-BE49-F238E27FC236}">
              <a16:creationId xmlns:a16="http://schemas.microsoft.com/office/drawing/2014/main" id="{00000000-0008-0000-1F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2"/>
          <a:extLst>
            <a:ext uri="{FF2B5EF4-FFF2-40B4-BE49-F238E27FC236}">
              <a16:creationId xmlns:a16="http://schemas.microsoft.com/office/drawing/2014/main" id="{00000000-0008-0000-1F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a:extLst>
            <a:ext uri="{FF2B5EF4-FFF2-40B4-BE49-F238E27FC236}">
              <a16:creationId xmlns:a16="http://schemas.microsoft.com/office/drawing/2014/main" id="{00000000-0008-0000-1F00-000010000000}"/>
            </a:ext>
          </a:extLst>
        </xdr:cNvPr>
        <xdr:cNvSpPr/>
      </xdr:nvSpPr>
      <xdr:spPr>
        <a:xfrm>
          <a:off x="8486775" y="1000805"/>
          <a:ext cx="1574490"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tooltip=" "/>
          <a:extLst>
            <a:ext uri="{FF2B5EF4-FFF2-40B4-BE49-F238E27FC236}">
              <a16:creationId xmlns:a16="http://schemas.microsoft.com/office/drawing/2014/main" id="{00000000-0008-0000-1F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tooltip=" "/>
          <a:extLst>
            <a:ext uri="{FF2B5EF4-FFF2-40B4-BE49-F238E27FC236}">
              <a16:creationId xmlns:a16="http://schemas.microsoft.com/office/drawing/2014/main" id="{00000000-0008-0000-1F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6" tooltip=" "/>
          <a:extLst>
            <a:ext uri="{FF2B5EF4-FFF2-40B4-BE49-F238E27FC236}">
              <a16:creationId xmlns:a16="http://schemas.microsoft.com/office/drawing/2014/main" id="{00000000-0008-0000-1F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tooltip=" "/>
          <a:extLst>
            <a:ext uri="{FF2B5EF4-FFF2-40B4-BE49-F238E27FC236}">
              <a16:creationId xmlns:a16="http://schemas.microsoft.com/office/drawing/2014/main" id="{00000000-0008-0000-1F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8" tooltip=" "/>
          <a:extLst>
            <a:ext uri="{FF2B5EF4-FFF2-40B4-BE49-F238E27FC236}">
              <a16:creationId xmlns:a16="http://schemas.microsoft.com/office/drawing/2014/main" id="{00000000-0008-0000-1F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9"/>
          <a:extLst>
            <a:ext uri="{FF2B5EF4-FFF2-40B4-BE49-F238E27FC236}">
              <a16:creationId xmlns:a16="http://schemas.microsoft.com/office/drawing/2014/main" id="{00000000-0008-0000-1F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F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10"/>
          <a:extLst>
            <a:ext uri="{FF2B5EF4-FFF2-40B4-BE49-F238E27FC236}">
              <a16:creationId xmlns:a16="http://schemas.microsoft.com/office/drawing/2014/main" id="{00000000-0008-0000-1F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1"/>
          <a:extLst>
            <a:ext uri="{FF2B5EF4-FFF2-40B4-BE49-F238E27FC236}">
              <a16:creationId xmlns:a16="http://schemas.microsoft.com/office/drawing/2014/main" id="{00000000-0008-0000-1F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12" tooltip=" "/>
          <a:extLst>
            <a:ext uri="{FF2B5EF4-FFF2-40B4-BE49-F238E27FC236}">
              <a16:creationId xmlns:a16="http://schemas.microsoft.com/office/drawing/2014/main" id="{00000000-0008-0000-1F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F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F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50800</xdr:rowOff>
    </xdr:from>
    <xdr:to>
      <xdr:col>7</xdr:col>
      <xdr:colOff>457</xdr:colOff>
      <xdr:row>7</xdr:row>
      <xdr:rowOff>48602</xdr:rowOff>
    </xdr:to>
    <xdr:sp macro="" textlink="M5S1">
      <xdr:nvSpPr>
        <xdr:cNvPr id="11" name="SUBMENU1">
          <a:hlinkClick xmlns:r="http://schemas.openxmlformats.org/officeDocument/2006/relationships" r:id="rId8" tooltip=" "/>
          <a:extLst>
            <a:ext uri="{FF2B5EF4-FFF2-40B4-BE49-F238E27FC236}">
              <a16:creationId xmlns:a16="http://schemas.microsoft.com/office/drawing/2014/main" id="{00000000-0008-0000-1F00-00000B000000}"/>
            </a:ext>
          </a:extLst>
        </xdr:cNvPr>
        <xdr:cNvSpPr/>
      </xdr:nvSpPr>
      <xdr:spPr>
        <a:xfrm>
          <a:off x="631370" y="1050925"/>
          <a:ext cx="1569362" cy="39785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3" tooltip=" "/>
          <a:extLst>
            <a:ext uri="{FF2B5EF4-FFF2-40B4-BE49-F238E27FC236}">
              <a16:creationId xmlns:a16="http://schemas.microsoft.com/office/drawing/2014/main" id="{00000000-0008-0000-1F00-00000C000000}"/>
            </a:ext>
          </a:extLst>
        </xdr:cNvPr>
        <xdr:cNvSpPr/>
      </xdr:nvSpPr>
      <xdr:spPr>
        <a:xfrm>
          <a:off x="220282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F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1F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91840</xdr:colOff>
      <xdr:row>0</xdr:row>
      <xdr:rowOff>156884</xdr:rowOff>
    </xdr:from>
    <xdr:to>
      <xdr:col>5</xdr:col>
      <xdr:colOff>41415</xdr:colOff>
      <xdr:row>3</xdr:row>
      <xdr:rowOff>5127</xdr:rowOff>
    </xdr:to>
    <xdr:pic>
      <xdr:nvPicPr>
        <xdr:cNvPr id="27" name="LOGO">
          <a:extLst>
            <a:ext uri="{FF2B5EF4-FFF2-40B4-BE49-F238E27FC236}">
              <a16:creationId xmlns:a16="http://schemas.microsoft.com/office/drawing/2014/main" id="{00000000-0008-0000-1F00-00001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19369" y="156884"/>
          <a:ext cx="890870" cy="453361"/>
        </a:xfrm>
        <a:prstGeom prst="rect">
          <a:avLst/>
        </a:prstGeom>
      </xdr:spPr>
    </xdr:pic>
    <xdr:clientData/>
  </xdr:twoCellAnchor>
  <xdr:twoCellAnchor editAs="oneCell">
    <xdr:from>
      <xdr:col>18</xdr:col>
      <xdr:colOff>68020</xdr:colOff>
      <xdr:row>59</xdr:row>
      <xdr:rowOff>109362</xdr:rowOff>
    </xdr:from>
    <xdr:to>
      <xdr:col>20</xdr:col>
      <xdr:colOff>261879</xdr:colOff>
      <xdr:row>63</xdr:row>
      <xdr:rowOff>56654</xdr:rowOff>
    </xdr:to>
    <xdr:pic>
      <xdr:nvPicPr>
        <xdr:cNvPr id="29" name="Picture 28">
          <a:extLst>
            <a:ext uri="{FF2B5EF4-FFF2-40B4-BE49-F238E27FC236}">
              <a16:creationId xmlns:a16="http://schemas.microsoft.com/office/drawing/2014/main" id="{00000000-0008-0000-1F00-00001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5640145" y="12087050"/>
          <a:ext cx="812984" cy="756917"/>
        </a:xfrm>
        <a:prstGeom prst="rect">
          <a:avLst/>
        </a:prstGeom>
      </xdr:spPr>
    </xdr:pic>
    <xdr:clientData/>
  </xdr:twoCellAnchor>
  <xdr:twoCellAnchor editAs="oneCell">
    <xdr:from>
      <xdr:col>27</xdr:col>
      <xdr:colOff>213210</xdr:colOff>
      <xdr:row>59</xdr:row>
      <xdr:rowOff>160906</xdr:rowOff>
    </xdr:from>
    <xdr:to>
      <xdr:col>29</xdr:col>
      <xdr:colOff>297656</xdr:colOff>
      <xdr:row>63</xdr:row>
      <xdr:rowOff>6331</xdr:rowOff>
    </xdr:to>
    <xdr:pic>
      <xdr:nvPicPr>
        <xdr:cNvPr id="30" name="Picture 29">
          <a:extLst>
            <a:ext uri="{FF2B5EF4-FFF2-40B4-BE49-F238E27FC236}">
              <a16:creationId xmlns:a16="http://schemas.microsoft.com/office/drawing/2014/main" id="{00000000-0008-0000-1F00-00001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8571398" y="12138594"/>
          <a:ext cx="703571" cy="655050"/>
        </a:xfrm>
        <a:prstGeom prst="rect">
          <a:avLst/>
        </a:prstGeom>
      </xdr:spPr>
    </xdr:pic>
    <xdr:clientData/>
  </xdr:twoCellAnchor>
  <xdr:twoCellAnchor>
    <xdr:from>
      <xdr:col>9</xdr:col>
      <xdr:colOff>17076</xdr:colOff>
      <xdr:row>16</xdr:row>
      <xdr:rowOff>187188</xdr:rowOff>
    </xdr:from>
    <xdr:to>
      <xdr:col>27</xdr:col>
      <xdr:colOff>307925</xdr:colOff>
      <xdr:row>17</xdr:row>
      <xdr:rowOff>14094</xdr:rowOff>
    </xdr:to>
    <xdr:sp macro="" textlink="">
      <xdr:nvSpPr>
        <xdr:cNvPr id="31" name="Rectangle 30">
          <a:extLst>
            <a:ext uri="{FF2B5EF4-FFF2-40B4-BE49-F238E27FC236}">
              <a16:creationId xmlns:a16="http://schemas.microsoft.com/office/drawing/2014/main" id="{00000000-0008-0000-1F00-00001F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17076</xdr:colOff>
      <xdr:row>16</xdr:row>
      <xdr:rowOff>187188</xdr:rowOff>
    </xdr:from>
    <xdr:to>
      <xdr:col>27</xdr:col>
      <xdr:colOff>307925</xdr:colOff>
      <xdr:row>17</xdr:row>
      <xdr:rowOff>14094</xdr:rowOff>
    </xdr:to>
    <xdr:sp macro="" textlink="">
      <xdr:nvSpPr>
        <xdr:cNvPr id="39" name="Rectangle 38">
          <a:extLst>
            <a:ext uri="{FF2B5EF4-FFF2-40B4-BE49-F238E27FC236}">
              <a16:creationId xmlns:a16="http://schemas.microsoft.com/office/drawing/2014/main" id="{00000000-0008-0000-1F00-000027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17076</xdr:colOff>
      <xdr:row>16</xdr:row>
      <xdr:rowOff>187188</xdr:rowOff>
    </xdr:from>
    <xdr:to>
      <xdr:col>27</xdr:col>
      <xdr:colOff>307925</xdr:colOff>
      <xdr:row>17</xdr:row>
      <xdr:rowOff>14094</xdr:rowOff>
    </xdr:to>
    <xdr:sp macro="" textlink="">
      <xdr:nvSpPr>
        <xdr:cNvPr id="46" name="Rectangle 45">
          <a:extLst>
            <a:ext uri="{FF2B5EF4-FFF2-40B4-BE49-F238E27FC236}">
              <a16:creationId xmlns:a16="http://schemas.microsoft.com/office/drawing/2014/main" id="{00000000-0008-0000-1F00-00002E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218739</xdr:colOff>
      <xdr:row>59</xdr:row>
      <xdr:rowOff>193303</xdr:rowOff>
    </xdr:from>
    <xdr:to>
      <xdr:col>11</xdr:col>
      <xdr:colOff>297656</xdr:colOff>
      <xdr:row>63</xdr:row>
      <xdr:rowOff>33579</xdr:rowOff>
    </xdr:to>
    <xdr:pic>
      <xdr:nvPicPr>
        <xdr:cNvPr id="51" name="Picture 50">
          <a:extLst>
            <a:ext uri="{FF2B5EF4-FFF2-40B4-BE49-F238E27FC236}">
              <a16:creationId xmlns:a16="http://schemas.microsoft.com/office/drawing/2014/main" id="{00000000-0008-0000-1F00-00003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3004802" y="12170991"/>
          <a:ext cx="698042" cy="649901"/>
        </a:xfrm>
        <a:prstGeom prst="rect">
          <a:avLst/>
        </a:prstGeom>
      </xdr:spPr>
    </xdr:pic>
    <xdr:clientData/>
  </xdr:twoCellAnchor>
  <xdr:twoCellAnchor>
    <xdr:from>
      <xdr:col>9</xdr:col>
      <xdr:colOff>17076</xdr:colOff>
      <xdr:row>16</xdr:row>
      <xdr:rowOff>187188</xdr:rowOff>
    </xdr:from>
    <xdr:to>
      <xdr:col>27</xdr:col>
      <xdr:colOff>307925</xdr:colOff>
      <xdr:row>17</xdr:row>
      <xdr:rowOff>14094</xdr:rowOff>
    </xdr:to>
    <xdr:sp macro="" textlink="">
      <xdr:nvSpPr>
        <xdr:cNvPr id="54" name="Rectangle 53">
          <a:extLst>
            <a:ext uri="{FF2B5EF4-FFF2-40B4-BE49-F238E27FC236}">
              <a16:creationId xmlns:a16="http://schemas.microsoft.com/office/drawing/2014/main" id="{00000000-0008-0000-1F00-000036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23</xdr:col>
      <xdr:colOff>33748</xdr:colOff>
      <xdr:row>50</xdr:row>
      <xdr:rowOff>40821</xdr:rowOff>
    </xdr:from>
    <xdr:to>
      <xdr:col>32</xdr:col>
      <xdr:colOff>181414</xdr:colOff>
      <xdr:row>56</xdr:row>
      <xdr:rowOff>129211</xdr:rowOff>
    </xdr:to>
    <xdr:pic>
      <xdr:nvPicPr>
        <xdr:cNvPr id="55" name="Picture 54">
          <a:extLst>
            <a:ext uri="{FF2B5EF4-FFF2-40B4-BE49-F238E27FC236}">
              <a16:creationId xmlns:a16="http://schemas.microsoft.com/office/drawing/2014/main" id="{00000000-0008-0000-1F00-000037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7153686" y="10196852"/>
          <a:ext cx="2933728" cy="1302828"/>
        </a:xfrm>
        <a:prstGeom prst="rect">
          <a:avLst/>
        </a:prstGeom>
      </xdr:spPr>
    </xdr:pic>
    <xdr:clientData/>
  </xdr:twoCellAnchor>
  <xdr:twoCellAnchor editAs="oneCell">
    <xdr:from>
      <xdr:col>32</xdr:col>
      <xdr:colOff>182125</xdr:colOff>
      <xdr:row>73</xdr:row>
      <xdr:rowOff>80127</xdr:rowOff>
    </xdr:from>
    <xdr:to>
      <xdr:col>35</xdr:col>
      <xdr:colOff>145299</xdr:colOff>
      <xdr:row>74</xdr:row>
      <xdr:rowOff>143402</xdr:rowOff>
    </xdr:to>
    <xdr:pic>
      <xdr:nvPicPr>
        <xdr:cNvPr id="56" name="Picture 55">
          <a:extLst>
            <a:ext uri="{FF2B5EF4-FFF2-40B4-BE49-F238E27FC236}">
              <a16:creationId xmlns:a16="http://schemas.microsoft.com/office/drawing/2014/main" id="{00000000-0008-0000-1F00-00003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240525" y="14720052"/>
          <a:ext cx="906149" cy="263300"/>
        </a:xfrm>
        <a:prstGeom prst="rect">
          <a:avLst/>
        </a:prstGeom>
      </xdr:spPr>
    </xdr:pic>
    <xdr:clientData/>
  </xdr:twoCellAnchor>
  <xdr:twoCellAnchor editAs="oneCell">
    <xdr:from>
      <xdr:col>16</xdr:col>
      <xdr:colOff>118454</xdr:colOff>
      <xdr:row>32</xdr:row>
      <xdr:rowOff>157091</xdr:rowOff>
    </xdr:from>
    <xdr:to>
      <xdr:col>20</xdr:col>
      <xdr:colOff>227532</xdr:colOff>
      <xdr:row>39</xdr:row>
      <xdr:rowOff>34833</xdr:rowOff>
    </xdr:to>
    <xdr:pic>
      <xdr:nvPicPr>
        <xdr:cNvPr id="57" name="Picture 56">
          <a:extLst>
            <a:ext uri="{FF2B5EF4-FFF2-40B4-BE49-F238E27FC236}">
              <a16:creationId xmlns:a16="http://schemas.microsoft.com/office/drawing/2014/main" id="{00000000-0008-0000-1F00-000039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a:xfrm>
          <a:off x="5071454" y="6634091"/>
          <a:ext cx="1347328" cy="1294586"/>
        </a:xfrm>
        <a:prstGeom prst="rect">
          <a:avLst/>
        </a:prstGeom>
      </xdr:spPr>
    </xdr:pic>
    <xdr:clientData/>
  </xdr:twoCellAnchor>
  <xdr:twoCellAnchor editAs="oneCell">
    <xdr:from>
      <xdr:col>29</xdr:col>
      <xdr:colOff>100858</xdr:colOff>
      <xdr:row>13</xdr:row>
      <xdr:rowOff>22412</xdr:rowOff>
    </xdr:from>
    <xdr:to>
      <xdr:col>35</xdr:col>
      <xdr:colOff>140587</xdr:colOff>
      <xdr:row>16</xdr:row>
      <xdr:rowOff>18267</xdr:rowOff>
    </xdr:to>
    <xdr:pic>
      <xdr:nvPicPr>
        <xdr:cNvPr id="58" name="Picture 57">
          <a:extLst>
            <a:ext uri="{FF2B5EF4-FFF2-40B4-BE49-F238E27FC236}">
              <a16:creationId xmlns:a16="http://schemas.microsoft.com/office/drawing/2014/main" id="{00000000-0008-0000-1F00-00003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216283" y="2622737"/>
          <a:ext cx="1925679" cy="595930"/>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F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a:extLst>
            <a:ext uri="{FF2B5EF4-FFF2-40B4-BE49-F238E27FC236}">
              <a16:creationId xmlns:a16="http://schemas.microsoft.com/office/drawing/2014/main" id="{00000000-0008-0000-20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2"/>
          <a:extLst>
            <a:ext uri="{FF2B5EF4-FFF2-40B4-BE49-F238E27FC236}">
              <a16:creationId xmlns:a16="http://schemas.microsoft.com/office/drawing/2014/main" id="{00000000-0008-0000-20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a:extLst>
            <a:ext uri="{FF2B5EF4-FFF2-40B4-BE49-F238E27FC236}">
              <a16:creationId xmlns:a16="http://schemas.microsoft.com/office/drawing/2014/main" id="{00000000-0008-0000-2000-000010000000}"/>
            </a:ext>
          </a:extLst>
        </xdr:cNvPr>
        <xdr:cNvSpPr/>
      </xdr:nvSpPr>
      <xdr:spPr>
        <a:xfrm>
          <a:off x="8486775" y="1000805"/>
          <a:ext cx="157449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tooltip=" "/>
          <a:extLst>
            <a:ext uri="{FF2B5EF4-FFF2-40B4-BE49-F238E27FC236}">
              <a16:creationId xmlns:a16="http://schemas.microsoft.com/office/drawing/2014/main" id="{00000000-0008-0000-20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tooltip=" "/>
          <a:extLst>
            <a:ext uri="{FF2B5EF4-FFF2-40B4-BE49-F238E27FC236}">
              <a16:creationId xmlns:a16="http://schemas.microsoft.com/office/drawing/2014/main" id="{00000000-0008-0000-20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6" tooltip=" "/>
          <a:extLst>
            <a:ext uri="{FF2B5EF4-FFF2-40B4-BE49-F238E27FC236}">
              <a16:creationId xmlns:a16="http://schemas.microsoft.com/office/drawing/2014/main" id="{00000000-0008-0000-20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tooltip=" "/>
          <a:extLst>
            <a:ext uri="{FF2B5EF4-FFF2-40B4-BE49-F238E27FC236}">
              <a16:creationId xmlns:a16="http://schemas.microsoft.com/office/drawing/2014/main" id="{00000000-0008-0000-20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8" tooltip=" "/>
          <a:extLst>
            <a:ext uri="{FF2B5EF4-FFF2-40B4-BE49-F238E27FC236}">
              <a16:creationId xmlns:a16="http://schemas.microsoft.com/office/drawing/2014/main" id="{00000000-0008-0000-20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9"/>
          <a:extLst>
            <a:ext uri="{FF2B5EF4-FFF2-40B4-BE49-F238E27FC236}">
              <a16:creationId xmlns:a16="http://schemas.microsoft.com/office/drawing/2014/main" id="{00000000-0008-0000-20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0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0"/>
          <a:extLst>
            <a:ext uri="{FF2B5EF4-FFF2-40B4-BE49-F238E27FC236}">
              <a16:creationId xmlns:a16="http://schemas.microsoft.com/office/drawing/2014/main" id="{00000000-0008-0000-20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11"/>
          <a:extLst>
            <a:ext uri="{FF2B5EF4-FFF2-40B4-BE49-F238E27FC236}">
              <a16:creationId xmlns:a16="http://schemas.microsoft.com/office/drawing/2014/main" id="{00000000-0008-0000-2000-00000D000000}"/>
            </a:ext>
          </a:extLst>
        </xdr:cNvPr>
        <xdr:cNvSpPr/>
      </xdr:nvSpPr>
      <xdr:spPr>
        <a:xfrm>
          <a:off x="3774451" y="1000805"/>
          <a:ext cx="1571624" cy="399370"/>
        </a:xfrm>
        <a:prstGeom prst="round2SameRect">
          <a:avLst/>
        </a:prstGeom>
        <a:noFill/>
        <a:ln w="12700">
          <a:no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0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0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8" tooltip=" "/>
          <a:extLst>
            <a:ext uri="{FF2B5EF4-FFF2-40B4-BE49-F238E27FC236}">
              <a16:creationId xmlns:a16="http://schemas.microsoft.com/office/drawing/2014/main" id="{00000000-0008-0000-20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5S2">
      <xdr:nvSpPr>
        <xdr:cNvPr id="12" name="SUBMENU2">
          <a:hlinkClick xmlns:r="http://schemas.openxmlformats.org/officeDocument/2006/relationships" r:id="rId12" tooltip=" "/>
          <a:extLst>
            <a:ext uri="{FF2B5EF4-FFF2-40B4-BE49-F238E27FC236}">
              <a16:creationId xmlns:a16="http://schemas.microsoft.com/office/drawing/2014/main" id="{00000000-0008-0000-2000-00000C000000}"/>
            </a:ext>
          </a:extLst>
        </xdr:cNvPr>
        <xdr:cNvSpPr/>
      </xdr:nvSpPr>
      <xdr:spPr>
        <a:xfrm>
          <a:off x="2202826" y="1051605"/>
          <a:ext cx="1571624"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0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8" tooltip=" "/>
          <a:extLst>
            <a:ext uri="{FF2B5EF4-FFF2-40B4-BE49-F238E27FC236}">
              <a16:creationId xmlns:a16="http://schemas.microsoft.com/office/drawing/2014/main" id="{00000000-0008-0000-20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35</xdr:col>
      <xdr:colOff>0</xdr:colOff>
      <xdr:row>16</xdr:row>
      <xdr:rowOff>11207</xdr:rowOff>
    </xdr:from>
    <xdr:to>
      <xdr:col>42</xdr:col>
      <xdr:colOff>246529</xdr:colOff>
      <xdr:row>16</xdr:row>
      <xdr:rowOff>145677</xdr:rowOff>
    </xdr:to>
    <xdr:sp macro="" textlink="">
      <xdr:nvSpPr>
        <xdr:cNvPr id="34" name="Rectangle 33">
          <a:hlinkClick xmlns:r="http://schemas.openxmlformats.org/officeDocument/2006/relationships" r:id="rId13" tooltip=" "/>
          <a:extLst>
            <a:ext uri="{FF2B5EF4-FFF2-40B4-BE49-F238E27FC236}">
              <a16:creationId xmlns:a16="http://schemas.microsoft.com/office/drawing/2014/main" id="{00000000-0008-0000-2000-000022000000}"/>
            </a:ext>
          </a:extLst>
        </xdr:cNvPr>
        <xdr:cNvSpPr/>
      </xdr:nvSpPr>
      <xdr:spPr>
        <a:xfrm>
          <a:off x="10981765" y="3238501"/>
          <a:ext cx="2442882" cy="1344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14</xdr:row>
      <xdr:rowOff>0</xdr:rowOff>
    </xdr:from>
    <xdr:to>
      <xdr:col>10</xdr:col>
      <xdr:colOff>0</xdr:colOff>
      <xdr:row>15</xdr:row>
      <xdr:rowOff>190500</xdr:rowOff>
    </xdr:to>
    <xdr:sp macro="" textlink="">
      <xdr:nvSpPr>
        <xdr:cNvPr id="2" name="Rectangle 1">
          <a:hlinkClick xmlns:r="http://schemas.openxmlformats.org/officeDocument/2006/relationships" r:id="rId5" tooltip=" "/>
          <a:extLst>
            <a:ext uri="{FF2B5EF4-FFF2-40B4-BE49-F238E27FC236}">
              <a16:creationId xmlns:a16="http://schemas.microsoft.com/office/drawing/2014/main" id="{00000000-0008-0000-2000-000002000000}"/>
            </a:ext>
          </a:extLst>
        </xdr:cNvPr>
        <xdr:cNvSpPr/>
      </xdr:nvSpPr>
      <xdr:spPr>
        <a:xfrm>
          <a:off x="941294" y="2823882"/>
          <a:ext cx="2196353" cy="3922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17</xdr:row>
      <xdr:rowOff>0</xdr:rowOff>
    </xdr:from>
    <xdr:to>
      <xdr:col>10</xdr:col>
      <xdr:colOff>0</xdr:colOff>
      <xdr:row>18</xdr:row>
      <xdr:rowOff>0</xdr:rowOff>
    </xdr:to>
    <xdr:sp macro="" textlink="">
      <xdr:nvSpPr>
        <xdr:cNvPr id="36" name="Rectangle 35">
          <a:hlinkClick xmlns:r="http://schemas.openxmlformats.org/officeDocument/2006/relationships" r:id="rId14" tooltip=" "/>
          <a:extLst>
            <a:ext uri="{FF2B5EF4-FFF2-40B4-BE49-F238E27FC236}">
              <a16:creationId xmlns:a16="http://schemas.microsoft.com/office/drawing/2014/main" id="{00000000-0008-0000-2000-000024000000}"/>
            </a:ext>
          </a:extLst>
        </xdr:cNvPr>
        <xdr:cNvSpPr/>
      </xdr:nvSpPr>
      <xdr:spPr>
        <a:xfrm>
          <a:off x="941294" y="3429000"/>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19</xdr:row>
      <xdr:rowOff>0</xdr:rowOff>
    </xdr:from>
    <xdr:to>
      <xdr:col>10</xdr:col>
      <xdr:colOff>0</xdr:colOff>
      <xdr:row>20</xdr:row>
      <xdr:rowOff>0</xdr:rowOff>
    </xdr:to>
    <xdr:sp macro="" textlink="">
      <xdr:nvSpPr>
        <xdr:cNvPr id="37" name="Rectangle 36">
          <a:hlinkClick xmlns:r="http://schemas.openxmlformats.org/officeDocument/2006/relationships" r:id="rId15" tooltip=" "/>
          <a:extLst>
            <a:ext uri="{FF2B5EF4-FFF2-40B4-BE49-F238E27FC236}">
              <a16:creationId xmlns:a16="http://schemas.microsoft.com/office/drawing/2014/main" id="{00000000-0008-0000-2000-000025000000}"/>
            </a:ext>
          </a:extLst>
        </xdr:cNvPr>
        <xdr:cNvSpPr/>
      </xdr:nvSpPr>
      <xdr:spPr>
        <a:xfrm>
          <a:off x="941294" y="3832412"/>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21</xdr:row>
      <xdr:rowOff>0</xdr:rowOff>
    </xdr:from>
    <xdr:to>
      <xdr:col>10</xdr:col>
      <xdr:colOff>0</xdr:colOff>
      <xdr:row>22</xdr:row>
      <xdr:rowOff>1</xdr:rowOff>
    </xdr:to>
    <xdr:sp macro="" textlink="">
      <xdr:nvSpPr>
        <xdr:cNvPr id="38" name="Rectangle 37">
          <a:hlinkClick xmlns:r="http://schemas.openxmlformats.org/officeDocument/2006/relationships" r:id="rId16" tooltip=" "/>
          <a:extLst>
            <a:ext uri="{FF2B5EF4-FFF2-40B4-BE49-F238E27FC236}">
              <a16:creationId xmlns:a16="http://schemas.microsoft.com/office/drawing/2014/main" id="{00000000-0008-0000-2000-000026000000}"/>
            </a:ext>
          </a:extLst>
        </xdr:cNvPr>
        <xdr:cNvSpPr/>
      </xdr:nvSpPr>
      <xdr:spPr>
        <a:xfrm>
          <a:off x="941294" y="4235824"/>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23</xdr:row>
      <xdr:rowOff>0</xdr:rowOff>
    </xdr:from>
    <xdr:to>
      <xdr:col>10</xdr:col>
      <xdr:colOff>0</xdr:colOff>
      <xdr:row>25</xdr:row>
      <xdr:rowOff>0</xdr:rowOff>
    </xdr:to>
    <xdr:sp macro="" textlink="">
      <xdr:nvSpPr>
        <xdr:cNvPr id="39" name="Rectangle 38">
          <a:hlinkClick xmlns:r="http://schemas.openxmlformats.org/officeDocument/2006/relationships" r:id="rId6" tooltip=" "/>
          <a:extLst>
            <a:ext uri="{FF2B5EF4-FFF2-40B4-BE49-F238E27FC236}">
              <a16:creationId xmlns:a16="http://schemas.microsoft.com/office/drawing/2014/main" id="{00000000-0008-0000-2000-000027000000}"/>
            </a:ext>
          </a:extLst>
        </xdr:cNvPr>
        <xdr:cNvSpPr/>
      </xdr:nvSpPr>
      <xdr:spPr>
        <a:xfrm>
          <a:off x="941294" y="4639235"/>
          <a:ext cx="2196353" cy="4034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26</xdr:row>
      <xdr:rowOff>0</xdr:rowOff>
    </xdr:from>
    <xdr:to>
      <xdr:col>10</xdr:col>
      <xdr:colOff>0</xdr:colOff>
      <xdr:row>27</xdr:row>
      <xdr:rowOff>1</xdr:rowOff>
    </xdr:to>
    <xdr:sp macro="" textlink="">
      <xdr:nvSpPr>
        <xdr:cNvPr id="48" name="Rectangle 47">
          <a:hlinkClick xmlns:r="http://schemas.openxmlformats.org/officeDocument/2006/relationships" r:id="rId17"/>
          <a:extLst>
            <a:ext uri="{FF2B5EF4-FFF2-40B4-BE49-F238E27FC236}">
              <a16:creationId xmlns:a16="http://schemas.microsoft.com/office/drawing/2014/main" id="{00000000-0008-0000-2000-000030000000}"/>
            </a:ext>
          </a:extLst>
        </xdr:cNvPr>
        <xdr:cNvSpPr/>
      </xdr:nvSpPr>
      <xdr:spPr>
        <a:xfrm>
          <a:off x="941294" y="4235824"/>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30" name="LOGO">
          <a:extLst>
            <a:ext uri="{FF2B5EF4-FFF2-40B4-BE49-F238E27FC236}">
              <a16:creationId xmlns:a16="http://schemas.microsoft.com/office/drawing/2014/main" id="{00000000-0008-0000-2000-00001E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0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2100-00000F000000}"/>
            </a:ext>
          </a:extLst>
        </xdr:cNvPr>
        <xdr:cNvSpPr/>
      </xdr:nvSpPr>
      <xdr:spPr>
        <a:xfrm>
          <a:off x="6905375" y="1007529"/>
          <a:ext cx="1568821"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2"/>
          <a:extLst>
            <a:ext uri="{FF2B5EF4-FFF2-40B4-BE49-F238E27FC236}">
              <a16:creationId xmlns:a16="http://schemas.microsoft.com/office/drawing/2014/main" id="{00000000-0008-0000-2100-000010000000}"/>
            </a:ext>
          </a:extLst>
        </xdr:cNvPr>
        <xdr:cNvSpPr/>
      </xdr:nvSpPr>
      <xdr:spPr>
        <a:xfrm>
          <a:off x="8471647" y="1007529"/>
          <a:ext cx="1571689"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3" tooltip=" "/>
          <a:extLst>
            <a:ext uri="{FF2B5EF4-FFF2-40B4-BE49-F238E27FC236}">
              <a16:creationId xmlns:a16="http://schemas.microsoft.com/office/drawing/2014/main" id="{00000000-0008-0000-21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4" tooltip=" "/>
          <a:extLst>
            <a:ext uri="{FF2B5EF4-FFF2-40B4-BE49-F238E27FC236}">
              <a16:creationId xmlns:a16="http://schemas.microsoft.com/office/drawing/2014/main" id="{00000000-0008-0000-21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5" tooltip=" "/>
          <a:extLst>
            <a:ext uri="{FF2B5EF4-FFF2-40B4-BE49-F238E27FC236}">
              <a16:creationId xmlns:a16="http://schemas.microsoft.com/office/drawing/2014/main" id="{00000000-0008-0000-21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6" tooltip=" "/>
          <a:extLst>
            <a:ext uri="{FF2B5EF4-FFF2-40B4-BE49-F238E27FC236}">
              <a16:creationId xmlns:a16="http://schemas.microsoft.com/office/drawing/2014/main" id="{00000000-0008-0000-21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7" tooltip=" "/>
          <a:extLst>
            <a:ext uri="{FF2B5EF4-FFF2-40B4-BE49-F238E27FC236}">
              <a16:creationId xmlns:a16="http://schemas.microsoft.com/office/drawing/2014/main" id="{00000000-0008-0000-21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8" tooltip=" "/>
          <a:extLst>
            <a:ext uri="{FF2B5EF4-FFF2-40B4-BE49-F238E27FC236}">
              <a16:creationId xmlns:a16="http://schemas.microsoft.com/office/drawing/2014/main" id="{00000000-0008-0000-21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1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9"/>
          <a:extLst>
            <a:ext uri="{FF2B5EF4-FFF2-40B4-BE49-F238E27FC236}">
              <a16:creationId xmlns:a16="http://schemas.microsoft.com/office/drawing/2014/main" id="{00000000-0008-0000-21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0"/>
          <a:extLst>
            <a:ext uri="{FF2B5EF4-FFF2-40B4-BE49-F238E27FC236}">
              <a16:creationId xmlns:a16="http://schemas.microsoft.com/office/drawing/2014/main" id="{00000000-0008-0000-21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43</xdr:col>
      <xdr:colOff>3632</xdr:colOff>
      <xdr:row>11</xdr:row>
      <xdr:rowOff>1046</xdr:rowOff>
    </xdr:to>
    <xdr:sp macro="" textlink="">
      <xdr:nvSpPr>
        <xdr:cNvPr id="2" name="NEXT">
          <a:hlinkClick xmlns:r="http://schemas.openxmlformats.org/officeDocument/2006/relationships" r:id="rId1" tooltip=" "/>
          <a:extLst>
            <a:ext uri="{FF2B5EF4-FFF2-40B4-BE49-F238E27FC236}">
              <a16:creationId xmlns:a16="http://schemas.microsoft.com/office/drawing/2014/main" id="{00000000-0008-0000-21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1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1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4" tooltip=" "/>
          <a:extLst>
            <a:ext uri="{FF2B5EF4-FFF2-40B4-BE49-F238E27FC236}">
              <a16:creationId xmlns:a16="http://schemas.microsoft.com/office/drawing/2014/main" id="{00000000-0008-0000-21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tooltip=" "/>
          <a:extLst>
            <a:ext uri="{FF2B5EF4-FFF2-40B4-BE49-F238E27FC236}">
              <a16:creationId xmlns:a16="http://schemas.microsoft.com/office/drawing/2014/main" id="{00000000-0008-0000-2100-00000C000000}"/>
            </a:ext>
          </a:extLst>
        </xdr:cNvPr>
        <xdr:cNvSpPr/>
      </xdr:nvSpPr>
      <xdr:spPr>
        <a:xfrm>
          <a:off x="2198904"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75</xdr:row>
      <xdr:rowOff>0</xdr:rowOff>
    </xdr:to>
    <xdr:sp macro="" textlink="">
      <xdr:nvSpPr>
        <xdr:cNvPr id="19" name="BORDER">
          <a:extLst>
            <a:ext uri="{FF2B5EF4-FFF2-40B4-BE49-F238E27FC236}">
              <a16:creationId xmlns:a16="http://schemas.microsoft.com/office/drawing/2014/main" id="{00000000-0008-0000-2100-000013000000}"/>
            </a:ext>
          </a:extLst>
        </xdr:cNvPr>
        <xdr:cNvSpPr/>
      </xdr:nvSpPr>
      <xdr:spPr>
        <a:xfrm>
          <a:off x="314323" y="1611965"/>
          <a:ext cx="13491324" cy="13549594"/>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tooltip=" "/>
          <a:extLst>
            <a:ext uri="{FF2B5EF4-FFF2-40B4-BE49-F238E27FC236}">
              <a16:creationId xmlns:a16="http://schemas.microsoft.com/office/drawing/2014/main" id="{00000000-0008-0000-21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8" name="LOGO">
          <a:extLst>
            <a:ext uri="{FF2B5EF4-FFF2-40B4-BE49-F238E27FC236}">
              <a16:creationId xmlns:a16="http://schemas.microsoft.com/office/drawing/2014/main" id="{00000000-0008-0000-2100-00001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15</xdr:col>
      <xdr:colOff>11206</xdr:colOff>
      <xdr:row>35</xdr:row>
      <xdr:rowOff>15688</xdr:rowOff>
    </xdr:from>
    <xdr:to>
      <xdr:col>16</xdr:col>
      <xdr:colOff>221879</xdr:colOff>
      <xdr:row>35</xdr:row>
      <xdr:rowOff>181535</xdr:rowOff>
    </xdr:to>
    <xdr:sp macro="" textlink="">
      <xdr:nvSpPr>
        <xdr:cNvPr id="29" name="Rectangle 28">
          <a:hlinkClick xmlns:r="http://schemas.openxmlformats.org/officeDocument/2006/relationships" r:id="rId8"/>
          <a:extLst>
            <a:ext uri="{FF2B5EF4-FFF2-40B4-BE49-F238E27FC236}">
              <a16:creationId xmlns:a16="http://schemas.microsoft.com/office/drawing/2014/main" id="{00000000-0008-0000-2100-00001D000000}"/>
            </a:ext>
          </a:extLst>
        </xdr:cNvPr>
        <xdr:cNvSpPr/>
      </xdr:nvSpPr>
      <xdr:spPr>
        <a:xfrm>
          <a:off x="4726081" y="7216588"/>
          <a:ext cx="52499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17927</xdr:colOff>
      <xdr:row>34</xdr:row>
      <xdr:rowOff>11205</xdr:rowOff>
    </xdr:from>
    <xdr:to>
      <xdr:col>17</xdr:col>
      <xdr:colOff>179294</xdr:colOff>
      <xdr:row>34</xdr:row>
      <xdr:rowOff>179294</xdr:rowOff>
    </xdr:to>
    <xdr:sp macro="" textlink="">
      <xdr:nvSpPr>
        <xdr:cNvPr id="30" name="Rectangle 29">
          <a:hlinkClick xmlns:r="http://schemas.openxmlformats.org/officeDocument/2006/relationships" r:id="rId7"/>
          <a:extLst>
            <a:ext uri="{FF2B5EF4-FFF2-40B4-BE49-F238E27FC236}">
              <a16:creationId xmlns:a16="http://schemas.microsoft.com/office/drawing/2014/main" id="{00000000-0008-0000-2100-00001E000000}"/>
            </a:ext>
          </a:extLst>
        </xdr:cNvPr>
        <xdr:cNvSpPr/>
      </xdr:nvSpPr>
      <xdr:spPr>
        <a:xfrm>
          <a:off x="4732802" y="7012080"/>
          <a:ext cx="790017" cy="1680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31</xdr:col>
      <xdr:colOff>71436</xdr:colOff>
      <xdr:row>14</xdr:row>
      <xdr:rowOff>4339</xdr:rowOff>
    </xdr:from>
    <xdr:to>
      <xdr:col>35</xdr:col>
      <xdr:colOff>227095</xdr:colOff>
      <xdr:row>16</xdr:row>
      <xdr:rowOff>34403</xdr:rowOff>
    </xdr:to>
    <xdr:pic>
      <xdr:nvPicPr>
        <xdr:cNvPr id="32" name="LOGO">
          <a:extLst>
            <a:ext uri="{FF2B5EF4-FFF2-40B4-BE49-F238E27FC236}">
              <a16:creationId xmlns:a16="http://schemas.microsoft.com/office/drawing/2014/main" id="{00000000-0008-0000-2100-00002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67874" y="2838027"/>
          <a:ext cx="1393909" cy="434876"/>
        </a:xfrm>
        <a:prstGeom prst="rect">
          <a:avLst/>
        </a:prstGeom>
      </xdr:spPr>
    </xdr:pic>
    <xdr:clientData/>
  </xdr:twoCellAnchor>
  <xdr:twoCellAnchor editAs="oneCell">
    <xdr:from>
      <xdr:col>9</xdr:col>
      <xdr:colOff>201705</xdr:colOff>
      <xdr:row>13</xdr:row>
      <xdr:rowOff>156880</xdr:rowOff>
    </xdr:from>
    <xdr:to>
      <xdr:col>10</xdr:col>
      <xdr:colOff>308565</xdr:colOff>
      <xdr:row>16</xdr:row>
      <xdr:rowOff>109547</xdr:rowOff>
    </xdr:to>
    <xdr:pic>
      <xdr:nvPicPr>
        <xdr:cNvPr id="23" name="Picture 22">
          <a:extLst>
            <a:ext uri="{FF2B5EF4-FFF2-40B4-BE49-F238E27FC236}">
              <a16:creationId xmlns:a16="http://schemas.microsoft.com/office/drawing/2014/main" id="{00000000-0008-0000-2100-00001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025587" y="2779056"/>
          <a:ext cx="420625" cy="557785"/>
        </a:xfrm>
        <a:prstGeom prst="rect">
          <a:avLst/>
        </a:prstGeom>
      </xdr:spPr>
    </xdr:pic>
    <xdr:clientData/>
  </xdr:twoCellAnchor>
  <xdr:twoCellAnchor>
    <xdr:from>
      <xdr:col>17</xdr:col>
      <xdr:colOff>2551</xdr:colOff>
      <xdr:row>5</xdr:row>
      <xdr:rowOff>51480</xdr:rowOff>
    </xdr:from>
    <xdr:to>
      <xdr:col>22</xdr:col>
      <xdr:colOff>2550</xdr:colOff>
      <xdr:row>7</xdr:row>
      <xdr:rowOff>50800</xdr:rowOff>
    </xdr:to>
    <xdr:sp macro="" textlink="M5S4">
      <xdr:nvSpPr>
        <xdr:cNvPr id="14" name="SUBMENU4">
          <a:hlinkClick xmlns:r="http://schemas.openxmlformats.org/officeDocument/2006/relationships" r:id="rId15" tooltip=" "/>
          <a:extLst>
            <a:ext uri="{FF2B5EF4-FFF2-40B4-BE49-F238E27FC236}">
              <a16:creationId xmlns:a16="http://schemas.microsoft.com/office/drawing/2014/main" id="{00000000-0008-0000-2100-00000E000000}"/>
            </a:ext>
          </a:extLst>
        </xdr:cNvPr>
        <xdr:cNvSpPr/>
      </xdr:nvSpPr>
      <xdr:spPr>
        <a:xfrm>
          <a:off x="5336551" y="1060009"/>
          <a:ext cx="1568823"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1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a:extLst>
            <a:ext uri="{FF2B5EF4-FFF2-40B4-BE49-F238E27FC236}">
              <a16:creationId xmlns:a16="http://schemas.microsoft.com/office/drawing/2014/main" id="{00000000-0008-0000-22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2"/>
          <a:extLst>
            <a:ext uri="{FF2B5EF4-FFF2-40B4-BE49-F238E27FC236}">
              <a16:creationId xmlns:a16="http://schemas.microsoft.com/office/drawing/2014/main" id="{00000000-0008-0000-2200-000010000000}"/>
            </a:ext>
          </a:extLst>
        </xdr:cNvPr>
        <xdr:cNvSpPr/>
      </xdr:nvSpPr>
      <xdr:spPr>
        <a:xfrm>
          <a:off x="8486775" y="1000805"/>
          <a:ext cx="157449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3" tooltip=" "/>
          <a:extLst>
            <a:ext uri="{FF2B5EF4-FFF2-40B4-BE49-F238E27FC236}">
              <a16:creationId xmlns:a16="http://schemas.microsoft.com/office/drawing/2014/main" id="{00000000-0008-0000-22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4" tooltip=" "/>
          <a:extLst>
            <a:ext uri="{FF2B5EF4-FFF2-40B4-BE49-F238E27FC236}">
              <a16:creationId xmlns:a16="http://schemas.microsoft.com/office/drawing/2014/main" id="{00000000-0008-0000-22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5" tooltip=" "/>
          <a:extLst>
            <a:ext uri="{FF2B5EF4-FFF2-40B4-BE49-F238E27FC236}">
              <a16:creationId xmlns:a16="http://schemas.microsoft.com/office/drawing/2014/main" id="{00000000-0008-0000-22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6" tooltip=" "/>
          <a:extLst>
            <a:ext uri="{FF2B5EF4-FFF2-40B4-BE49-F238E27FC236}">
              <a16:creationId xmlns:a16="http://schemas.microsoft.com/office/drawing/2014/main" id="{00000000-0008-0000-22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7" tooltip=" "/>
          <a:extLst>
            <a:ext uri="{FF2B5EF4-FFF2-40B4-BE49-F238E27FC236}">
              <a16:creationId xmlns:a16="http://schemas.microsoft.com/office/drawing/2014/main" id="{00000000-0008-0000-22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8" tooltip=" "/>
          <a:extLst>
            <a:ext uri="{FF2B5EF4-FFF2-40B4-BE49-F238E27FC236}">
              <a16:creationId xmlns:a16="http://schemas.microsoft.com/office/drawing/2014/main" id="{00000000-0008-0000-22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200-00000A000000}"/>
            </a:ext>
          </a:extLst>
        </xdr:cNvPr>
        <xdr:cNvSpPr/>
      </xdr:nvSpPr>
      <xdr:spPr>
        <a:xfrm>
          <a:off x="313765" y="806825"/>
          <a:ext cx="13505688" cy="605116"/>
        </a:xfrm>
        <a:prstGeom prst="round2SameRect">
          <a:avLst/>
        </a:prstGeom>
        <a:solidFill>
          <a:srgbClr val="A6A5AA"/>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9"/>
          <a:extLst>
            <a:ext uri="{FF2B5EF4-FFF2-40B4-BE49-F238E27FC236}">
              <a16:creationId xmlns:a16="http://schemas.microsoft.com/office/drawing/2014/main" id="{00000000-0008-0000-22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0"/>
          <a:extLst>
            <a:ext uri="{FF2B5EF4-FFF2-40B4-BE49-F238E27FC236}">
              <a16:creationId xmlns:a16="http://schemas.microsoft.com/office/drawing/2014/main" id="{00000000-0008-0000-22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43</xdr:col>
      <xdr:colOff>3632</xdr:colOff>
      <xdr:row>11</xdr:row>
      <xdr:rowOff>0</xdr:rowOff>
    </xdr:to>
    <xdr:sp macro="" textlink="">
      <xdr:nvSpPr>
        <xdr:cNvPr id="2" name="NEXT">
          <a:hlinkClick xmlns:r="http://schemas.openxmlformats.org/officeDocument/2006/relationships" r:id="rId2"/>
          <a:extLst>
            <a:ext uri="{FF2B5EF4-FFF2-40B4-BE49-F238E27FC236}">
              <a16:creationId xmlns:a16="http://schemas.microsoft.com/office/drawing/2014/main" id="{00000000-0008-0000-2200-000002000000}"/>
            </a:ext>
          </a:extLst>
        </xdr:cNvPr>
        <xdr:cNvSpPr>
          <a:spLocks noChangeAspect="1"/>
        </xdr:cNvSpPr>
      </xdr:nvSpPr>
      <xdr:spPr>
        <a:xfrm>
          <a:off x="12887325" y="1801272"/>
          <a:ext cx="627520" cy="399003"/>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2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2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4" tooltip=" "/>
          <a:extLst>
            <a:ext uri="{FF2B5EF4-FFF2-40B4-BE49-F238E27FC236}">
              <a16:creationId xmlns:a16="http://schemas.microsoft.com/office/drawing/2014/main" id="{00000000-0008-0000-22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tooltip=" "/>
          <a:extLst>
            <a:ext uri="{FF2B5EF4-FFF2-40B4-BE49-F238E27FC236}">
              <a16:creationId xmlns:a16="http://schemas.microsoft.com/office/drawing/2014/main" id="{00000000-0008-0000-2200-00000C000000}"/>
            </a:ext>
          </a:extLst>
        </xdr:cNvPr>
        <xdr:cNvSpPr/>
      </xdr:nvSpPr>
      <xdr:spPr>
        <a:xfrm>
          <a:off x="220282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51480</xdr:rowOff>
    </xdr:from>
    <xdr:to>
      <xdr:col>27</xdr:col>
      <xdr:colOff>2549</xdr:colOff>
      <xdr:row>7</xdr:row>
      <xdr:rowOff>50800</xdr:rowOff>
    </xdr:to>
    <xdr:sp macro="" textlink="M5S5">
      <xdr:nvSpPr>
        <xdr:cNvPr id="15" name="SUBMENU5">
          <a:hlinkClick xmlns:r="http://schemas.openxmlformats.org/officeDocument/2006/relationships" r:id="rId12" tooltip=" "/>
          <a:extLst>
            <a:ext uri="{FF2B5EF4-FFF2-40B4-BE49-F238E27FC236}">
              <a16:creationId xmlns:a16="http://schemas.microsoft.com/office/drawing/2014/main" id="{00000000-0008-0000-2200-00000F000000}"/>
            </a:ext>
          </a:extLst>
        </xdr:cNvPr>
        <xdr:cNvSpPr/>
      </xdr:nvSpPr>
      <xdr:spPr>
        <a:xfrm>
          <a:off x="6917701" y="1051605"/>
          <a:ext cx="1571623"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2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
          <a:extLst>
            <a:ext uri="{FF2B5EF4-FFF2-40B4-BE49-F238E27FC236}">
              <a16:creationId xmlns:a16="http://schemas.microsoft.com/office/drawing/2014/main" id="{00000000-0008-0000-22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mc:AlternateContent xmlns:mc="http://schemas.openxmlformats.org/markup-compatibility/2006">
    <mc:Choice xmlns:a14="http://schemas.microsoft.com/office/drawing/2010/main" Requires="a14">
      <xdr:twoCellAnchor editAs="oneCell">
        <xdr:from>
          <xdr:col>24</xdr:col>
          <xdr:colOff>28575</xdr:colOff>
          <xdr:row>55</xdr:row>
          <xdr:rowOff>85725</xdr:rowOff>
        </xdr:from>
        <xdr:to>
          <xdr:col>25</xdr:col>
          <xdr:colOff>19050</xdr:colOff>
          <xdr:row>56</xdr:row>
          <xdr:rowOff>104775</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22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57</xdr:row>
          <xdr:rowOff>85725</xdr:rowOff>
        </xdr:from>
        <xdr:to>
          <xdr:col>25</xdr:col>
          <xdr:colOff>19050</xdr:colOff>
          <xdr:row>58</xdr:row>
          <xdr:rowOff>104775</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22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313762</xdr:colOff>
      <xdr:row>52</xdr:row>
      <xdr:rowOff>190500</xdr:rowOff>
    </xdr:from>
    <xdr:to>
      <xdr:col>31</xdr:col>
      <xdr:colOff>0</xdr:colOff>
      <xdr:row>53</xdr:row>
      <xdr:rowOff>179294</xdr:rowOff>
    </xdr:to>
    <xdr:sp macro="" textlink="">
      <xdr:nvSpPr>
        <xdr:cNvPr id="33" name="Rectangle 32">
          <a:hlinkClick xmlns:r="http://schemas.openxmlformats.org/officeDocument/2006/relationships" r:id="rId13"/>
          <a:extLst>
            <a:ext uri="{FF2B5EF4-FFF2-40B4-BE49-F238E27FC236}">
              <a16:creationId xmlns:a16="http://schemas.microsoft.com/office/drawing/2014/main" id="{00000000-0008-0000-2200-000021000000}"/>
            </a:ext>
          </a:extLst>
        </xdr:cNvPr>
        <xdr:cNvSpPr/>
      </xdr:nvSpPr>
      <xdr:spPr>
        <a:xfrm>
          <a:off x="7216586" y="10679206"/>
          <a:ext cx="251012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29134</xdr:colOff>
      <xdr:row>41</xdr:row>
      <xdr:rowOff>197224</xdr:rowOff>
    </xdr:from>
    <xdr:to>
      <xdr:col>27</xdr:col>
      <xdr:colOff>145677</xdr:colOff>
      <xdr:row>42</xdr:row>
      <xdr:rowOff>156883</xdr:rowOff>
    </xdr:to>
    <xdr:sp macro="" textlink="">
      <xdr:nvSpPr>
        <xdr:cNvPr id="34" name="Rectangle 33">
          <a:hlinkClick xmlns:r="http://schemas.openxmlformats.org/officeDocument/2006/relationships" r:id="rId14"/>
          <a:extLst>
            <a:ext uri="{FF2B5EF4-FFF2-40B4-BE49-F238E27FC236}">
              <a16:creationId xmlns:a16="http://schemas.microsoft.com/office/drawing/2014/main" id="{00000000-0008-0000-2200-000022000000}"/>
            </a:ext>
          </a:extLst>
        </xdr:cNvPr>
        <xdr:cNvSpPr/>
      </xdr:nvSpPr>
      <xdr:spPr>
        <a:xfrm>
          <a:off x="3794310" y="11492753"/>
          <a:ext cx="430308" cy="1613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22413</xdr:colOff>
      <xdr:row>47</xdr:row>
      <xdr:rowOff>22413</xdr:rowOff>
    </xdr:from>
    <xdr:to>
      <xdr:col>14</xdr:col>
      <xdr:colOff>268942</xdr:colOff>
      <xdr:row>47</xdr:row>
      <xdr:rowOff>190500</xdr:rowOff>
    </xdr:to>
    <xdr:sp macro="" textlink="">
      <xdr:nvSpPr>
        <xdr:cNvPr id="36" name="Rectangle 35">
          <a:hlinkClick xmlns:r="http://schemas.openxmlformats.org/officeDocument/2006/relationships" r:id="rId8"/>
          <a:extLst>
            <a:ext uri="{FF2B5EF4-FFF2-40B4-BE49-F238E27FC236}">
              <a16:creationId xmlns:a16="http://schemas.microsoft.com/office/drawing/2014/main" id="{00000000-0008-0000-2200-000024000000}"/>
            </a:ext>
          </a:extLst>
        </xdr:cNvPr>
        <xdr:cNvSpPr/>
      </xdr:nvSpPr>
      <xdr:spPr>
        <a:xfrm>
          <a:off x="4101354" y="9502589"/>
          <a:ext cx="560294" cy="1680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31375</xdr:colOff>
      <xdr:row>45</xdr:row>
      <xdr:rowOff>121022</xdr:rowOff>
    </xdr:from>
    <xdr:to>
      <xdr:col>15</xdr:col>
      <xdr:colOff>156882</xdr:colOff>
      <xdr:row>46</xdr:row>
      <xdr:rowOff>89647</xdr:rowOff>
    </xdr:to>
    <xdr:sp macro="" textlink="">
      <xdr:nvSpPr>
        <xdr:cNvPr id="37" name="Rectangle 36">
          <a:hlinkClick xmlns:r="http://schemas.openxmlformats.org/officeDocument/2006/relationships" r:id="rId7"/>
          <a:extLst>
            <a:ext uri="{FF2B5EF4-FFF2-40B4-BE49-F238E27FC236}">
              <a16:creationId xmlns:a16="http://schemas.microsoft.com/office/drawing/2014/main" id="{00000000-0008-0000-2200-000025000000}"/>
            </a:ext>
          </a:extLst>
        </xdr:cNvPr>
        <xdr:cNvSpPr/>
      </xdr:nvSpPr>
      <xdr:spPr>
        <a:xfrm>
          <a:off x="4110316" y="8794375"/>
          <a:ext cx="753037" cy="1703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5"/>
            </a:solidFill>
          </a:endParaRPr>
        </a:p>
      </xdr:txBody>
    </xdr:sp>
    <xdr:clientData/>
  </xdr:twoCellAnchor>
  <xdr:twoCellAnchor>
    <xdr:from>
      <xdr:col>15</xdr:col>
      <xdr:colOff>11206</xdr:colOff>
      <xdr:row>36</xdr:row>
      <xdr:rowOff>15688</xdr:rowOff>
    </xdr:from>
    <xdr:to>
      <xdr:col>16</xdr:col>
      <xdr:colOff>221879</xdr:colOff>
      <xdr:row>36</xdr:row>
      <xdr:rowOff>181535</xdr:rowOff>
    </xdr:to>
    <xdr:sp macro="" textlink="">
      <xdr:nvSpPr>
        <xdr:cNvPr id="35" name="Rectangle 34">
          <a:hlinkClick xmlns:r="http://schemas.openxmlformats.org/officeDocument/2006/relationships" r:id="rId8"/>
          <a:extLst>
            <a:ext uri="{FF2B5EF4-FFF2-40B4-BE49-F238E27FC236}">
              <a16:creationId xmlns:a16="http://schemas.microsoft.com/office/drawing/2014/main" id="{00000000-0008-0000-2200-000023000000}"/>
            </a:ext>
          </a:extLst>
        </xdr:cNvPr>
        <xdr:cNvSpPr/>
      </xdr:nvSpPr>
      <xdr:spPr>
        <a:xfrm>
          <a:off x="3148853" y="8689041"/>
          <a:ext cx="52443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17927</xdr:colOff>
      <xdr:row>35</xdr:row>
      <xdr:rowOff>11205</xdr:rowOff>
    </xdr:from>
    <xdr:to>
      <xdr:col>17</xdr:col>
      <xdr:colOff>179294</xdr:colOff>
      <xdr:row>35</xdr:row>
      <xdr:rowOff>179294</xdr:rowOff>
    </xdr:to>
    <xdr:sp macro="" textlink="">
      <xdr:nvSpPr>
        <xdr:cNvPr id="39" name="Rectangle 38">
          <a:hlinkClick xmlns:r="http://schemas.openxmlformats.org/officeDocument/2006/relationships" r:id="rId7"/>
          <a:extLst>
            <a:ext uri="{FF2B5EF4-FFF2-40B4-BE49-F238E27FC236}">
              <a16:creationId xmlns:a16="http://schemas.microsoft.com/office/drawing/2014/main" id="{00000000-0008-0000-2200-000027000000}"/>
            </a:ext>
          </a:extLst>
        </xdr:cNvPr>
        <xdr:cNvSpPr/>
      </xdr:nvSpPr>
      <xdr:spPr>
        <a:xfrm>
          <a:off x="4724398" y="7272617"/>
          <a:ext cx="788896" cy="1680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10</xdr:col>
          <xdr:colOff>28575</xdr:colOff>
          <xdr:row>45</xdr:row>
          <xdr:rowOff>95250</xdr:rowOff>
        </xdr:from>
        <xdr:to>
          <xdr:col>11</xdr:col>
          <xdr:colOff>19050</xdr:colOff>
          <xdr:row>46</xdr:row>
          <xdr:rowOff>114300</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22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47</xdr:row>
          <xdr:rowOff>9525</xdr:rowOff>
        </xdr:from>
        <xdr:to>
          <xdr:col>11</xdr:col>
          <xdr:colOff>19050</xdr:colOff>
          <xdr:row>48</xdr:row>
          <xdr:rowOff>28575</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2200-00000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87404</xdr:colOff>
      <xdr:row>55</xdr:row>
      <xdr:rowOff>132227</xdr:rowOff>
    </xdr:from>
    <xdr:to>
      <xdr:col>29</xdr:col>
      <xdr:colOff>212912</xdr:colOff>
      <xdr:row>56</xdr:row>
      <xdr:rowOff>100852</xdr:rowOff>
    </xdr:to>
    <xdr:sp macro="" textlink="">
      <xdr:nvSpPr>
        <xdr:cNvPr id="38" name="Rectangle 37">
          <a:hlinkClick xmlns:r="http://schemas.openxmlformats.org/officeDocument/2006/relationships" r:id="rId15"/>
          <a:extLst>
            <a:ext uri="{FF2B5EF4-FFF2-40B4-BE49-F238E27FC236}">
              <a16:creationId xmlns:a16="http://schemas.microsoft.com/office/drawing/2014/main" id="{00000000-0008-0000-2200-000026000000}"/>
            </a:ext>
          </a:extLst>
        </xdr:cNvPr>
        <xdr:cNvSpPr/>
      </xdr:nvSpPr>
      <xdr:spPr>
        <a:xfrm>
          <a:off x="8559051" y="11226051"/>
          <a:ext cx="753037" cy="1703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5"/>
            </a:solidFill>
          </a:endParaRPr>
        </a:p>
      </xdr:txBody>
    </xdr:sp>
    <xdr:clientData/>
  </xdr:twoCellAnchor>
  <xdr:twoCellAnchor editAs="oneCell">
    <xdr:from>
      <xdr:col>1</xdr:col>
      <xdr:colOff>270934</xdr:colOff>
      <xdr:row>1</xdr:row>
      <xdr:rowOff>0</xdr:rowOff>
    </xdr:from>
    <xdr:to>
      <xdr:col>4</xdr:col>
      <xdr:colOff>198490</xdr:colOff>
      <xdr:row>3</xdr:row>
      <xdr:rowOff>38743</xdr:rowOff>
    </xdr:to>
    <xdr:pic>
      <xdr:nvPicPr>
        <xdr:cNvPr id="40" name="LOGO">
          <a:extLst>
            <a:ext uri="{FF2B5EF4-FFF2-40B4-BE49-F238E27FC236}">
              <a16:creationId xmlns:a16="http://schemas.microsoft.com/office/drawing/2014/main" id="{00000000-0008-0000-2200-00002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584699" y="201706"/>
          <a:ext cx="868850" cy="442155"/>
        </a:xfrm>
        <a:prstGeom prst="rect">
          <a:avLst/>
        </a:prstGeom>
      </xdr:spPr>
    </xdr:pic>
    <xdr:clientData/>
  </xdr:twoCellAnchor>
  <xdr:twoCellAnchor editAs="oneCell">
    <xdr:from>
      <xdr:col>31</xdr:col>
      <xdr:colOff>71436</xdr:colOff>
      <xdr:row>15</xdr:row>
      <xdr:rowOff>4339</xdr:rowOff>
    </xdr:from>
    <xdr:to>
      <xdr:col>35</xdr:col>
      <xdr:colOff>227095</xdr:colOff>
      <xdr:row>17</xdr:row>
      <xdr:rowOff>34403</xdr:rowOff>
    </xdr:to>
    <xdr:pic>
      <xdr:nvPicPr>
        <xdr:cNvPr id="44" name="LOGO">
          <a:extLst>
            <a:ext uri="{FF2B5EF4-FFF2-40B4-BE49-F238E27FC236}">
              <a16:creationId xmlns:a16="http://schemas.microsoft.com/office/drawing/2014/main" id="{00000000-0008-0000-2200-00002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67874" y="3040433"/>
          <a:ext cx="1393909" cy="434876"/>
        </a:xfrm>
        <a:prstGeom prst="rect">
          <a:avLst/>
        </a:prstGeom>
      </xdr:spPr>
    </xdr:pic>
    <xdr:clientData/>
  </xdr:twoCellAnchor>
  <xdr:twoCellAnchor editAs="oneCell">
    <xdr:from>
      <xdr:col>9</xdr:col>
      <xdr:colOff>238125</xdr:colOff>
      <xdr:row>14</xdr:row>
      <xdr:rowOff>190500</xdr:rowOff>
    </xdr:from>
    <xdr:to>
      <xdr:col>11</xdr:col>
      <xdr:colOff>249556</xdr:colOff>
      <xdr:row>17</xdr:row>
      <xdr:rowOff>184786</xdr:rowOff>
    </xdr:to>
    <xdr:pic>
      <xdr:nvPicPr>
        <xdr:cNvPr id="23" name="Picture 22">
          <a:extLst>
            <a:ext uri="{FF2B5EF4-FFF2-40B4-BE49-F238E27FC236}">
              <a16:creationId xmlns:a16="http://schemas.microsoft.com/office/drawing/2014/main" id="{00000000-0008-0000-2200-00001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067050" y="2990850"/>
          <a:ext cx="640081" cy="594361"/>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2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a:extLst>
            <a:ext uri="{FF2B5EF4-FFF2-40B4-BE49-F238E27FC236}">
              <a16:creationId xmlns:a16="http://schemas.microsoft.com/office/drawing/2014/main" id="{00000000-0008-0000-23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2"/>
          <a:extLst>
            <a:ext uri="{FF2B5EF4-FFF2-40B4-BE49-F238E27FC236}">
              <a16:creationId xmlns:a16="http://schemas.microsoft.com/office/drawing/2014/main" id="{00000000-0008-0000-23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3" tooltip=" "/>
          <a:extLst>
            <a:ext uri="{FF2B5EF4-FFF2-40B4-BE49-F238E27FC236}">
              <a16:creationId xmlns:a16="http://schemas.microsoft.com/office/drawing/2014/main" id="{00000000-0008-0000-23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tooltip=" "/>
          <a:extLst>
            <a:ext uri="{FF2B5EF4-FFF2-40B4-BE49-F238E27FC236}">
              <a16:creationId xmlns:a16="http://schemas.microsoft.com/office/drawing/2014/main" id="{00000000-0008-0000-23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tooltip=" "/>
          <a:extLst>
            <a:ext uri="{FF2B5EF4-FFF2-40B4-BE49-F238E27FC236}">
              <a16:creationId xmlns:a16="http://schemas.microsoft.com/office/drawing/2014/main" id="{00000000-0008-0000-23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6" tooltip=" "/>
          <a:extLst>
            <a:ext uri="{FF2B5EF4-FFF2-40B4-BE49-F238E27FC236}">
              <a16:creationId xmlns:a16="http://schemas.microsoft.com/office/drawing/2014/main" id="{00000000-0008-0000-23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tooltip=" "/>
          <a:extLst>
            <a:ext uri="{FF2B5EF4-FFF2-40B4-BE49-F238E27FC236}">
              <a16:creationId xmlns:a16="http://schemas.microsoft.com/office/drawing/2014/main" id="{00000000-0008-0000-23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3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8"/>
          <a:extLst>
            <a:ext uri="{FF2B5EF4-FFF2-40B4-BE49-F238E27FC236}">
              <a16:creationId xmlns:a16="http://schemas.microsoft.com/office/drawing/2014/main" id="{00000000-0008-0000-23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9"/>
          <a:extLst>
            <a:ext uri="{FF2B5EF4-FFF2-40B4-BE49-F238E27FC236}">
              <a16:creationId xmlns:a16="http://schemas.microsoft.com/office/drawing/2014/main" id="{00000000-0008-0000-23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0" tooltip=" "/>
          <a:extLst>
            <a:ext uri="{FF2B5EF4-FFF2-40B4-BE49-F238E27FC236}">
              <a16:creationId xmlns:a16="http://schemas.microsoft.com/office/drawing/2014/main" id="{00000000-0008-0000-23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3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3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3" tooltip=" "/>
          <a:extLst>
            <a:ext uri="{FF2B5EF4-FFF2-40B4-BE49-F238E27FC236}">
              <a16:creationId xmlns:a16="http://schemas.microsoft.com/office/drawing/2014/main" id="{00000000-0008-0000-23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tooltip=" "/>
          <a:extLst>
            <a:ext uri="{FF2B5EF4-FFF2-40B4-BE49-F238E27FC236}">
              <a16:creationId xmlns:a16="http://schemas.microsoft.com/office/drawing/2014/main" id="{00000000-0008-0000-2300-00000C000000}"/>
            </a:ext>
          </a:extLst>
        </xdr:cNvPr>
        <xdr:cNvSpPr/>
      </xdr:nvSpPr>
      <xdr:spPr>
        <a:xfrm>
          <a:off x="220282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5</xdr:row>
      <xdr:rowOff>51480</xdr:rowOff>
    </xdr:from>
    <xdr:to>
      <xdr:col>32</xdr:col>
      <xdr:colOff>2865</xdr:colOff>
      <xdr:row>7</xdr:row>
      <xdr:rowOff>50800</xdr:rowOff>
    </xdr:to>
    <xdr:sp macro="" textlink="M5S6">
      <xdr:nvSpPr>
        <xdr:cNvPr id="16" name="SUBMENU6">
          <a:hlinkClick xmlns:r="http://schemas.openxmlformats.org/officeDocument/2006/relationships" r:id="rId12" tooltip=" "/>
          <a:extLst>
            <a:ext uri="{FF2B5EF4-FFF2-40B4-BE49-F238E27FC236}">
              <a16:creationId xmlns:a16="http://schemas.microsoft.com/office/drawing/2014/main" id="{00000000-0008-0000-2300-000010000000}"/>
            </a:ext>
          </a:extLst>
        </xdr:cNvPr>
        <xdr:cNvSpPr/>
      </xdr:nvSpPr>
      <xdr:spPr>
        <a:xfrm>
          <a:off x="8486775" y="1051605"/>
          <a:ext cx="1574490"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3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2" tooltip=" "/>
          <a:extLst>
            <a:ext uri="{FF2B5EF4-FFF2-40B4-BE49-F238E27FC236}">
              <a16:creationId xmlns:a16="http://schemas.microsoft.com/office/drawing/2014/main" id="{00000000-0008-0000-23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9525</xdr:colOff>
          <xdr:row>47</xdr:row>
          <xdr:rowOff>0</xdr:rowOff>
        </xdr:from>
        <xdr:to>
          <xdr:col>11</xdr:col>
          <xdr:colOff>0</xdr:colOff>
          <xdr:row>47</xdr:row>
          <xdr:rowOff>190500</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23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48</xdr:row>
          <xdr:rowOff>0</xdr:rowOff>
        </xdr:from>
        <xdr:to>
          <xdr:col>11</xdr:col>
          <xdr:colOff>0</xdr:colOff>
          <xdr:row>48</xdr:row>
          <xdr:rowOff>190500</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2300-00000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52</xdr:row>
          <xdr:rowOff>0</xdr:rowOff>
        </xdr:from>
        <xdr:to>
          <xdr:col>11</xdr:col>
          <xdr:colOff>0</xdr:colOff>
          <xdr:row>52</xdr:row>
          <xdr:rowOff>190500</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2300-00000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53</xdr:row>
          <xdr:rowOff>0</xdr:rowOff>
        </xdr:from>
        <xdr:to>
          <xdr:col>11</xdr:col>
          <xdr:colOff>0</xdr:colOff>
          <xdr:row>53</xdr:row>
          <xdr:rowOff>190500</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2300-00000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49</xdr:row>
          <xdr:rowOff>0</xdr:rowOff>
        </xdr:from>
        <xdr:to>
          <xdr:col>11</xdr:col>
          <xdr:colOff>0</xdr:colOff>
          <xdr:row>49</xdr:row>
          <xdr:rowOff>190500</xdr:rowOff>
        </xdr:to>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2300-00000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50</xdr:row>
          <xdr:rowOff>0</xdr:rowOff>
        </xdr:from>
        <xdr:to>
          <xdr:col>11</xdr:col>
          <xdr:colOff>0</xdr:colOff>
          <xdr:row>50</xdr:row>
          <xdr:rowOff>190500</xdr:rowOff>
        </xdr:to>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2300-00000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54</xdr:row>
          <xdr:rowOff>0</xdr:rowOff>
        </xdr:from>
        <xdr:to>
          <xdr:col>11</xdr:col>
          <xdr:colOff>0</xdr:colOff>
          <xdr:row>54</xdr:row>
          <xdr:rowOff>190500</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2300-00000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55</xdr:row>
          <xdr:rowOff>0</xdr:rowOff>
        </xdr:from>
        <xdr:to>
          <xdr:col>11</xdr:col>
          <xdr:colOff>0</xdr:colOff>
          <xdr:row>55</xdr:row>
          <xdr:rowOff>190500</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2300-00000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5</xdr:col>
      <xdr:colOff>155659</xdr:colOff>
      <xdr:row>3</xdr:row>
      <xdr:rowOff>38743</xdr:rowOff>
    </xdr:to>
    <xdr:pic>
      <xdr:nvPicPr>
        <xdr:cNvPr id="33" name="LOGO">
          <a:extLst>
            <a:ext uri="{FF2B5EF4-FFF2-40B4-BE49-F238E27FC236}">
              <a16:creationId xmlns:a16="http://schemas.microsoft.com/office/drawing/2014/main" id="{00000000-0008-0000-2300-000021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13765" y="201706"/>
          <a:ext cx="1410718" cy="442155"/>
        </a:xfrm>
        <a:prstGeom prst="rect">
          <a:avLst/>
        </a:prstGeom>
      </xdr:spPr>
    </xdr:pic>
    <xdr:clientData/>
  </xdr:twoCellAnchor>
  <xdr:twoCellAnchor editAs="oneCell">
    <xdr:from>
      <xdr:col>31</xdr:col>
      <xdr:colOff>168088</xdr:colOff>
      <xdr:row>13</xdr:row>
      <xdr:rowOff>0</xdr:rowOff>
    </xdr:from>
    <xdr:to>
      <xdr:col>36</xdr:col>
      <xdr:colOff>9983</xdr:colOff>
      <xdr:row>15</xdr:row>
      <xdr:rowOff>38743</xdr:rowOff>
    </xdr:to>
    <xdr:pic>
      <xdr:nvPicPr>
        <xdr:cNvPr id="35" name="LOGO">
          <a:extLst>
            <a:ext uri="{FF2B5EF4-FFF2-40B4-BE49-F238E27FC236}">
              <a16:creationId xmlns:a16="http://schemas.microsoft.com/office/drawing/2014/main" id="{00000000-0008-0000-2300-000023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9894794" y="2622176"/>
          <a:ext cx="1410718" cy="442155"/>
        </a:xfrm>
        <a:prstGeom prst="rect">
          <a:avLst/>
        </a:prstGeom>
      </xdr:spPr>
    </xdr:pic>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10" tooltip=" "/>
          <a:extLst>
            <a:ext uri="{FF2B5EF4-FFF2-40B4-BE49-F238E27FC236}">
              <a16:creationId xmlns:a16="http://schemas.microsoft.com/office/drawing/2014/main" id="{00000000-0008-0000-23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3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a:extLst>
            <a:ext uri="{FF2B5EF4-FFF2-40B4-BE49-F238E27FC236}">
              <a16:creationId xmlns:a16="http://schemas.microsoft.com/office/drawing/2014/main" id="{00000000-0008-0000-24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2"/>
          <a:extLst>
            <a:ext uri="{FF2B5EF4-FFF2-40B4-BE49-F238E27FC236}">
              <a16:creationId xmlns:a16="http://schemas.microsoft.com/office/drawing/2014/main" id="{00000000-0008-0000-24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a:extLst>
            <a:ext uri="{FF2B5EF4-FFF2-40B4-BE49-F238E27FC236}">
              <a16:creationId xmlns:a16="http://schemas.microsoft.com/office/drawing/2014/main" id="{00000000-0008-0000-2400-000010000000}"/>
            </a:ext>
          </a:extLst>
        </xdr:cNvPr>
        <xdr:cNvSpPr/>
      </xdr:nvSpPr>
      <xdr:spPr>
        <a:xfrm>
          <a:off x="8486775" y="1000805"/>
          <a:ext cx="157449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4" tooltip=" "/>
          <a:extLst>
            <a:ext uri="{FF2B5EF4-FFF2-40B4-BE49-F238E27FC236}">
              <a16:creationId xmlns:a16="http://schemas.microsoft.com/office/drawing/2014/main" id="{00000000-0008-0000-24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5" tooltip=" "/>
          <a:extLst>
            <a:ext uri="{FF2B5EF4-FFF2-40B4-BE49-F238E27FC236}">
              <a16:creationId xmlns:a16="http://schemas.microsoft.com/office/drawing/2014/main" id="{00000000-0008-0000-24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6" tooltip=" "/>
          <a:extLst>
            <a:ext uri="{FF2B5EF4-FFF2-40B4-BE49-F238E27FC236}">
              <a16:creationId xmlns:a16="http://schemas.microsoft.com/office/drawing/2014/main" id="{00000000-0008-0000-24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7" tooltip=" "/>
          <a:extLst>
            <a:ext uri="{FF2B5EF4-FFF2-40B4-BE49-F238E27FC236}">
              <a16:creationId xmlns:a16="http://schemas.microsoft.com/office/drawing/2014/main" id="{00000000-0008-0000-24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8" tooltip=" "/>
          <a:extLst>
            <a:ext uri="{FF2B5EF4-FFF2-40B4-BE49-F238E27FC236}">
              <a16:creationId xmlns:a16="http://schemas.microsoft.com/office/drawing/2014/main" id="{00000000-0008-0000-24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4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9"/>
          <a:extLst>
            <a:ext uri="{FF2B5EF4-FFF2-40B4-BE49-F238E27FC236}">
              <a16:creationId xmlns:a16="http://schemas.microsoft.com/office/drawing/2014/main" id="{00000000-0008-0000-24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0"/>
          <a:extLst>
            <a:ext uri="{FF2B5EF4-FFF2-40B4-BE49-F238E27FC236}">
              <a16:creationId xmlns:a16="http://schemas.microsoft.com/office/drawing/2014/main" id="{00000000-0008-0000-24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4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4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4" tooltip=" "/>
          <a:extLst>
            <a:ext uri="{FF2B5EF4-FFF2-40B4-BE49-F238E27FC236}">
              <a16:creationId xmlns:a16="http://schemas.microsoft.com/office/drawing/2014/main" id="{00000000-0008-0000-24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tooltip=" "/>
          <a:extLst>
            <a:ext uri="{FF2B5EF4-FFF2-40B4-BE49-F238E27FC236}">
              <a16:creationId xmlns:a16="http://schemas.microsoft.com/office/drawing/2014/main" id="{00000000-0008-0000-2400-00000C000000}"/>
            </a:ext>
          </a:extLst>
        </xdr:cNvPr>
        <xdr:cNvSpPr/>
      </xdr:nvSpPr>
      <xdr:spPr>
        <a:xfrm>
          <a:off x="220282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5</xdr:row>
      <xdr:rowOff>51480</xdr:rowOff>
    </xdr:from>
    <xdr:to>
      <xdr:col>37</xdr:col>
      <xdr:colOff>2720</xdr:colOff>
      <xdr:row>7</xdr:row>
      <xdr:rowOff>50800</xdr:rowOff>
    </xdr:to>
    <xdr:sp macro="" textlink="M5S7">
      <xdr:nvSpPr>
        <xdr:cNvPr id="17" name="SUBMENU7">
          <a:hlinkClick xmlns:r="http://schemas.openxmlformats.org/officeDocument/2006/relationships" r:id="rId12" tooltip=" "/>
          <a:extLst>
            <a:ext uri="{FF2B5EF4-FFF2-40B4-BE49-F238E27FC236}">
              <a16:creationId xmlns:a16="http://schemas.microsoft.com/office/drawing/2014/main" id="{00000000-0008-0000-2400-000011000000}"/>
            </a:ext>
          </a:extLst>
        </xdr:cNvPr>
        <xdr:cNvSpPr/>
      </xdr:nvSpPr>
      <xdr:spPr>
        <a:xfrm>
          <a:off x="10061265" y="1051605"/>
          <a:ext cx="1571480"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4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a:extLst>
            <a:ext uri="{FF2B5EF4-FFF2-40B4-BE49-F238E27FC236}">
              <a16:creationId xmlns:a16="http://schemas.microsoft.com/office/drawing/2014/main" id="{00000000-0008-0000-24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1</xdr:col>
      <xdr:colOff>270934</xdr:colOff>
      <xdr:row>1</xdr:row>
      <xdr:rowOff>0</xdr:rowOff>
    </xdr:from>
    <xdr:to>
      <xdr:col>4</xdr:col>
      <xdr:colOff>198490</xdr:colOff>
      <xdr:row>3</xdr:row>
      <xdr:rowOff>38743</xdr:rowOff>
    </xdr:to>
    <xdr:pic>
      <xdr:nvPicPr>
        <xdr:cNvPr id="22" name="LOGO">
          <a:extLst>
            <a:ext uri="{FF2B5EF4-FFF2-40B4-BE49-F238E27FC236}">
              <a16:creationId xmlns:a16="http://schemas.microsoft.com/office/drawing/2014/main" id="{00000000-0008-0000-2400-00001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584699" y="201706"/>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4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 tooltip=" "/>
          <a:extLst>
            <a:ext uri="{FF2B5EF4-FFF2-40B4-BE49-F238E27FC236}">
              <a16:creationId xmlns:a16="http://schemas.microsoft.com/office/drawing/2014/main" id="{00000000-0008-0000-0A00-000007000000}"/>
            </a:ext>
          </a:extLst>
        </xdr:cNvPr>
        <xdr:cNvSpPr/>
      </xdr:nvSpPr>
      <xdr:spPr>
        <a:xfrm>
          <a:off x="8471647"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2"/>
          <a:extLst>
            <a:ext uri="{FF2B5EF4-FFF2-40B4-BE49-F238E27FC236}">
              <a16:creationId xmlns:a16="http://schemas.microsoft.com/office/drawing/2014/main" id="{00000000-0008-0000-0A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3"/>
          <a:extLst>
            <a:ext uri="{FF2B5EF4-FFF2-40B4-BE49-F238E27FC236}">
              <a16:creationId xmlns:a16="http://schemas.microsoft.com/office/drawing/2014/main" id="{00000000-0008-0000-0A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4"/>
          <a:extLst>
            <a:ext uri="{FF2B5EF4-FFF2-40B4-BE49-F238E27FC236}">
              <a16:creationId xmlns:a16="http://schemas.microsoft.com/office/drawing/2014/main" id="{00000000-0008-0000-0A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5" tooltip=" "/>
          <a:extLst>
            <a:ext uri="{FF2B5EF4-FFF2-40B4-BE49-F238E27FC236}">
              <a16:creationId xmlns:a16="http://schemas.microsoft.com/office/drawing/2014/main" id="{00000000-0008-0000-0A00-000003000000}"/>
            </a:ext>
          </a:extLst>
        </xdr:cNvPr>
        <xdr:cNvSpPr/>
      </xdr:nvSpPr>
      <xdr:spPr>
        <a:xfrm>
          <a:off x="2203283" y="333376"/>
          <a:ext cx="1571168"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START</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11206</xdr:colOff>
      <xdr:row>7</xdr:row>
      <xdr:rowOff>0</xdr:rowOff>
    </xdr:to>
    <xdr:sp macro="" textlink="">
      <xdr:nvSpPr>
        <xdr:cNvPr id="10" name="TOPRIBBON">
          <a:extLst>
            <a:ext uri="{FF2B5EF4-FFF2-40B4-BE49-F238E27FC236}">
              <a16:creationId xmlns:a16="http://schemas.microsoft.com/office/drawing/2014/main" id="{00000000-0008-0000-0A00-00000A000000}"/>
            </a:ext>
          </a:extLst>
        </xdr:cNvPr>
        <xdr:cNvSpPr/>
      </xdr:nvSpPr>
      <xdr:spPr>
        <a:xfrm>
          <a:off x="313765" y="806825"/>
          <a:ext cx="135030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6" tooltip=" "/>
          <a:extLst>
            <a:ext uri="{FF2B5EF4-FFF2-40B4-BE49-F238E27FC236}">
              <a16:creationId xmlns:a16="http://schemas.microsoft.com/office/drawing/2014/main" id="{00000000-0008-0000-0A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1913</xdr:colOff>
      <xdr:row>1</xdr:row>
      <xdr:rowOff>0</xdr:rowOff>
    </xdr:from>
    <xdr:to>
      <xdr:col>17</xdr:col>
      <xdr:colOff>1913</xdr:colOff>
      <xdr:row>4</xdr:row>
      <xdr:rowOff>0</xdr:rowOff>
    </xdr:to>
    <xdr:sp macro="" textlink="MAIN2">
      <xdr:nvSpPr>
        <xdr:cNvPr id="4" name="MENU2">
          <a:hlinkClick xmlns:r="http://schemas.openxmlformats.org/officeDocument/2006/relationships" r:id="rId7" tooltip=" "/>
          <a:extLst>
            <a:ext uri="{FF2B5EF4-FFF2-40B4-BE49-F238E27FC236}">
              <a16:creationId xmlns:a16="http://schemas.microsoft.com/office/drawing/2014/main" id="{00000000-0008-0000-0A00-000004000000}"/>
            </a:ext>
          </a:extLst>
        </xdr:cNvPr>
        <xdr:cNvSpPr/>
      </xdr:nvSpPr>
      <xdr:spPr>
        <a:xfrm>
          <a:off x="3767089"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1275</xdr:colOff>
      <xdr:row>1</xdr:row>
      <xdr:rowOff>0</xdr:rowOff>
    </xdr:from>
    <xdr:to>
      <xdr:col>22</xdr:col>
      <xdr:colOff>1275</xdr:colOff>
      <xdr:row>4</xdr:row>
      <xdr:rowOff>0</xdr:rowOff>
    </xdr:to>
    <xdr:sp macro="" textlink="MAIN3">
      <xdr:nvSpPr>
        <xdr:cNvPr id="5" name="MENU3">
          <a:hlinkClick xmlns:r="http://schemas.openxmlformats.org/officeDocument/2006/relationships" r:id="rId8" tooltip=" "/>
          <a:extLst>
            <a:ext uri="{FF2B5EF4-FFF2-40B4-BE49-F238E27FC236}">
              <a16:creationId xmlns:a16="http://schemas.microsoft.com/office/drawing/2014/main" id="{00000000-0008-0000-0A00-000005000000}"/>
            </a:ext>
          </a:extLst>
        </xdr:cNvPr>
        <xdr:cNvSpPr/>
      </xdr:nvSpPr>
      <xdr:spPr>
        <a:xfrm>
          <a:off x="5335275"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637</xdr:colOff>
      <xdr:row>1</xdr:row>
      <xdr:rowOff>0</xdr:rowOff>
    </xdr:from>
    <xdr:to>
      <xdr:col>27</xdr:col>
      <xdr:colOff>637</xdr:colOff>
      <xdr:row>4</xdr:row>
      <xdr:rowOff>0</xdr:rowOff>
    </xdr:to>
    <xdr:sp macro="" textlink="MAIN4">
      <xdr:nvSpPr>
        <xdr:cNvPr id="6" name="MENU4">
          <a:hlinkClick xmlns:r="http://schemas.openxmlformats.org/officeDocument/2006/relationships" r:id="rId9" tooltip=" "/>
          <a:extLst>
            <a:ext uri="{FF2B5EF4-FFF2-40B4-BE49-F238E27FC236}">
              <a16:creationId xmlns:a16="http://schemas.microsoft.com/office/drawing/2014/main" id="{00000000-0008-0000-0A00-000006000000}"/>
            </a:ext>
          </a:extLst>
        </xdr:cNvPr>
        <xdr:cNvSpPr/>
      </xdr:nvSpPr>
      <xdr:spPr>
        <a:xfrm>
          <a:off x="6903461"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a:extLst>
            <a:ext uri="{FF2B5EF4-FFF2-40B4-BE49-F238E27FC236}">
              <a16:creationId xmlns:a16="http://schemas.microsoft.com/office/drawing/2014/main" id="{00000000-0008-0000-0A00-000008000000}"/>
            </a:ext>
          </a:extLst>
        </xdr:cNvPr>
        <xdr:cNvSpPr/>
      </xdr:nvSpPr>
      <xdr:spPr>
        <a:xfrm>
          <a:off x="10058398" y="200026"/>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A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5" tooltip=" "/>
          <a:extLst>
            <a:ext uri="{FF2B5EF4-FFF2-40B4-BE49-F238E27FC236}">
              <a16:creationId xmlns:a16="http://schemas.microsoft.com/office/drawing/2014/main" id="{00000000-0008-0000-0A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981</xdr:colOff>
      <xdr:row>4</xdr:row>
      <xdr:rowOff>200705</xdr:rowOff>
    </xdr:from>
    <xdr:to>
      <xdr:col>12</xdr:col>
      <xdr:colOff>980</xdr:colOff>
      <xdr:row>7</xdr:row>
      <xdr:rowOff>0</xdr:rowOff>
    </xdr:to>
    <xdr:sp macro="" textlink="M1S2">
      <xdr:nvSpPr>
        <xdr:cNvPr id="12" name="SUBMENU2">
          <a:hlinkClick xmlns:r="http://schemas.openxmlformats.org/officeDocument/2006/relationships" r:id="rId10" tooltip=" "/>
          <a:extLst>
            <a:ext uri="{FF2B5EF4-FFF2-40B4-BE49-F238E27FC236}">
              <a16:creationId xmlns:a16="http://schemas.microsoft.com/office/drawing/2014/main" id="{00000000-0008-0000-0A00-00000C000000}"/>
            </a:ext>
          </a:extLst>
        </xdr:cNvPr>
        <xdr:cNvSpPr/>
      </xdr:nvSpPr>
      <xdr:spPr>
        <a:xfrm>
          <a:off x="2197334"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1504</xdr:colOff>
      <xdr:row>5</xdr:row>
      <xdr:rowOff>51480</xdr:rowOff>
    </xdr:from>
    <xdr:to>
      <xdr:col>17</xdr:col>
      <xdr:colOff>1503</xdr:colOff>
      <xdr:row>7</xdr:row>
      <xdr:rowOff>50800</xdr:rowOff>
    </xdr:to>
    <xdr:sp macro="" textlink="M1S3">
      <xdr:nvSpPr>
        <xdr:cNvPr id="13" name="SUBMENU3">
          <a:hlinkClick xmlns:r="http://schemas.openxmlformats.org/officeDocument/2006/relationships" r:id="rId11" tooltip=" "/>
          <a:extLst>
            <a:ext uri="{FF2B5EF4-FFF2-40B4-BE49-F238E27FC236}">
              <a16:creationId xmlns:a16="http://schemas.microsoft.com/office/drawing/2014/main" id="{00000000-0008-0000-0A00-00000D000000}"/>
            </a:ext>
          </a:extLst>
        </xdr:cNvPr>
        <xdr:cNvSpPr/>
      </xdr:nvSpPr>
      <xdr:spPr>
        <a:xfrm>
          <a:off x="3766680" y="1060009"/>
          <a:ext cx="1568823"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2027</xdr:colOff>
      <xdr:row>4</xdr:row>
      <xdr:rowOff>200705</xdr:rowOff>
    </xdr:from>
    <xdr:to>
      <xdr:col>22</xdr:col>
      <xdr:colOff>2026</xdr:colOff>
      <xdr:row>7</xdr:row>
      <xdr:rowOff>0</xdr:rowOff>
    </xdr:to>
    <xdr:sp macro="" textlink="M1S4">
      <xdr:nvSpPr>
        <xdr:cNvPr id="14" name="SUBMENU4">
          <a:hlinkClick xmlns:r="http://schemas.openxmlformats.org/officeDocument/2006/relationships" r:id="rId12" tooltip=" "/>
          <a:extLst>
            <a:ext uri="{FF2B5EF4-FFF2-40B4-BE49-F238E27FC236}">
              <a16:creationId xmlns:a16="http://schemas.microsoft.com/office/drawing/2014/main" id="{00000000-0008-0000-0A00-00000E000000}"/>
            </a:ext>
          </a:extLst>
        </xdr:cNvPr>
        <xdr:cNvSpPr/>
      </xdr:nvSpPr>
      <xdr:spPr>
        <a:xfrm>
          <a:off x="5336027"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3" tooltip=" "/>
          <a:extLst>
            <a:ext uri="{FF2B5EF4-FFF2-40B4-BE49-F238E27FC236}">
              <a16:creationId xmlns:a16="http://schemas.microsoft.com/office/drawing/2014/main" id="{00000000-0008-0000-0A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A00-000013000000}"/>
            </a:ext>
          </a:extLst>
        </xdr:cNvPr>
        <xdr:cNvSpPr/>
      </xdr:nvSpPr>
      <xdr:spPr>
        <a:xfrm>
          <a:off x="314323" y="1611965"/>
          <a:ext cx="13491324" cy="6052859"/>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0A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11206</xdr:colOff>
      <xdr:row>8</xdr:row>
      <xdr:rowOff>0</xdr:rowOff>
    </xdr:to>
    <xdr:sp macro="" textlink="">
      <xdr:nvSpPr>
        <xdr:cNvPr id="21" name="BOTTOMRIBBON">
          <a:extLst>
            <a:ext uri="{FF2B5EF4-FFF2-40B4-BE49-F238E27FC236}">
              <a16:creationId xmlns:a16="http://schemas.microsoft.com/office/drawing/2014/main" id="{00000000-0008-0000-0A00-000015000000}"/>
            </a:ext>
          </a:extLst>
        </xdr:cNvPr>
        <xdr:cNvSpPr/>
      </xdr:nvSpPr>
      <xdr:spPr>
        <a:xfrm>
          <a:off x="313765" y="1411941"/>
          <a:ext cx="135030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72" name="LOGO">
          <a:extLst>
            <a:ext uri="{FF2B5EF4-FFF2-40B4-BE49-F238E27FC236}">
              <a16:creationId xmlns:a16="http://schemas.microsoft.com/office/drawing/2014/main" id="{00000000-0008-0000-0A00-00004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editAs="oneCell">
    <xdr:from>
      <xdr:col>12</xdr:col>
      <xdr:colOff>150518</xdr:colOff>
      <xdr:row>12</xdr:row>
      <xdr:rowOff>87806</xdr:rowOff>
    </xdr:from>
    <xdr:to>
      <xdr:col>18</xdr:col>
      <xdr:colOff>78441</xdr:colOff>
      <xdr:row>22</xdr:row>
      <xdr:rowOff>79380</xdr:rowOff>
    </xdr:to>
    <xdr:pic>
      <xdr:nvPicPr>
        <xdr:cNvPr id="24" name="Picture 23">
          <a:hlinkClick xmlns:r="http://schemas.openxmlformats.org/officeDocument/2006/relationships" r:id="rId16"/>
          <a:extLst>
            <a:ext uri="{FF2B5EF4-FFF2-40B4-BE49-F238E27FC236}">
              <a16:creationId xmlns:a16="http://schemas.microsoft.com/office/drawing/2014/main" id="{00000000-0008-0000-0A00-000018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3960518" y="2469056"/>
          <a:ext cx="1832923" cy="1975949"/>
        </a:xfrm>
        <a:prstGeom prst="rect">
          <a:avLst/>
        </a:prstGeom>
        <a:noFill/>
      </xdr:spPr>
    </xdr:pic>
    <xdr:clientData/>
  </xdr:twoCellAnchor>
  <xdr:twoCellAnchor editAs="oneCell">
    <xdr:from>
      <xdr:col>19</xdr:col>
      <xdr:colOff>123256</xdr:colOff>
      <xdr:row>12</xdr:row>
      <xdr:rowOff>67184</xdr:rowOff>
    </xdr:from>
    <xdr:to>
      <xdr:col>25</xdr:col>
      <xdr:colOff>51179</xdr:colOff>
      <xdr:row>22</xdr:row>
      <xdr:rowOff>58757</xdr:rowOff>
    </xdr:to>
    <xdr:pic>
      <xdr:nvPicPr>
        <xdr:cNvPr id="25" name="Picture 24">
          <a:hlinkClick xmlns:r="http://schemas.openxmlformats.org/officeDocument/2006/relationships" r:id="rId18"/>
          <a:extLst>
            <a:ext uri="{FF2B5EF4-FFF2-40B4-BE49-F238E27FC236}">
              <a16:creationId xmlns:a16="http://schemas.microsoft.com/office/drawing/2014/main" id="{00000000-0008-0000-0A00-000019000000}"/>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6155756" y="2448434"/>
          <a:ext cx="1832923" cy="1975948"/>
        </a:xfrm>
        <a:prstGeom prst="rect">
          <a:avLst/>
        </a:prstGeom>
        <a:noFill/>
      </xdr:spPr>
    </xdr:pic>
    <xdr:clientData/>
  </xdr:twoCellAnchor>
  <xdr:twoCellAnchor editAs="oneCell">
    <xdr:from>
      <xdr:col>26</xdr:col>
      <xdr:colOff>145203</xdr:colOff>
      <xdr:row>23</xdr:row>
      <xdr:rowOff>168296</xdr:rowOff>
    </xdr:from>
    <xdr:to>
      <xdr:col>32</xdr:col>
      <xdr:colOff>73126</xdr:colOff>
      <xdr:row>33</xdr:row>
      <xdr:rowOff>159869</xdr:rowOff>
    </xdr:to>
    <xdr:pic>
      <xdr:nvPicPr>
        <xdr:cNvPr id="26" name="Picture 25">
          <a:hlinkClick xmlns:r="http://schemas.openxmlformats.org/officeDocument/2006/relationships" r:id="rId20"/>
          <a:extLst>
            <a:ext uri="{FF2B5EF4-FFF2-40B4-BE49-F238E27FC236}">
              <a16:creationId xmlns:a16="http://schemas.microsoft.com/office/drawing/2014/main" id="{00000000-0008-0000-0A00-00001A000000}"/>
            </a:ext>
          </a:extLst>
        </xdr:cNvPr>
        <xdr:cNvPicPr>
          <a:picLocks/>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8400203" y="4732359"/>
          <a:ext cx="1832923" cy="1975948"/>
        </a:xfrm>
        <a:prstGeom prst="rect">
          <a:avLst/>
        </a:prstGeom>
        <a:noFill/>
      </xdr:spPr>
    </xdr:pic>
    <xdr:clientData/>
  </xdr:twoCellAnchor>
  <xdr:twoCellAnchor editAs="oneCell">
    <xdr:from>
      <xdr:col>33</xdr:col>
      <xdr:colOff>122521</xdr:colOff>
      <xdr:row>12</xdr:row>
      <xdr:rowOff>21672</xdr:rowOff>
    </xdr:from>
    <xdr:to>
      <xdr:col>39</xdr:col>
      <xdr:colOff>50444</xdr:colOff>
      <xdr:row>22</xdr:row>
      <xdr:rowOff>13245</xdr:rowOff>
    </xdr:to>
    <xdr:pic>
      <xdr:nvPicPr>
        <xdr:cNvPr id="27" name="Picture 26">
          <a:hlinkClick xmlns:r="http://schemas.openxmlformats.org/officeDocument/2006/relationships" r:id="rId22"/>
          <a:extLst>
            <a:ext uri="{FF2B5EF4-FFF2-40B4-BE49-F238E27FC236}">
              <a16:creationId xmlns:a16="http://schemas.microsoft.com/office/drawing/2014/main" id="{00000000-0008-0000-0A00-00001B000000}"/>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a:off x="10600021" y="2402922"/>
          <a:ext cx="1832923" cy="1975948"/>
        </a:xfrm>
        <a:prstGeom prst="rect">
          <a:avLst/>
        </a:prstGeom>
        <a:noFill/>
      </xdr:spPr>
    </xdr:pic>
    <xdr:clientData/>
  </xdr:twoCellAnchor>
  <xdr:twoCellAnchor editAs="oneCell">
    <xdr:from>
      <xdr:col>5</xdr:col>
      <xdr:colOff>244264</xdr:colOff>
      <xdr:row>23</xdr:row>
      <xdr:rowOff>141986</xdr:rowOff>
    </xdr:from>
    <xdr:to>
      <xdr:col>10</xdr:col>
      <xdr:colOff>260653</xdr:colOff>
      <xdr:row>33</xdr:row>
      <xdr:rowOff>133559</xdr:rowOff>
    </xdr:to>
    <xdr:pic>
      <xdr:nvPicPr>
        <xdr:cNvPr id="28" name="Picture 27">
          <a:hlinkClick xmlns:r="http://schemas.openxmlformats.org/officeDocument/2006/relationships" r:id="rId24"/>
          <a:extLst>
            <a:ext uri="{FF2B5EF4-FFF2-40B4-BE49-F238E27FC236}">
              <a16:creationId xmlns:a16="http://schemas.microsoft.com/office/drawing/2014/main" id="{00000000-0008-0000-0A00-00001C000000}"/>
            </a:ext>
          </a:extLst>
        </xdr:cNvPr>
        <xdr:cNvPicPr>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l="6222" r="6222"/>
        <a:stretch/>
      </xdr:blipFill>
      <xdr:spPr>
        <a:xfrm>
          <a:off x="1831764" y="4706049"/>
          <a:ext cx="1603889" cy="1975948"/>
        </a:xfrm>
        <a:prstGeom prst="rect">
          <a:avLst/>
        </a:prstGeom>
        <a:noFill/>
      </xdr:spPr>
    </xdr:pic>
    <xdr:clientData/>
  </xdr:twoCellAnchor>
  <xdr:twoCellAnchor editAs="oneCell">
    <xdr:from>
      <xdr:col>5</xdr:col>
      <xdr:colOff>150517</xdr:colOff>
      <xdr:row>12</xdr:row>
      <xdr:rowOff>112058</xdr:rowOff>
    </xdr:from>
    <xdr:to>
      <xdr:col>11</xdr:col>
      <xdr:colOff>78441</xdr:colOff>
      <xdr:row>22</xdr:row>
      <xdr:rowOff>103632</xdr:rowOff>
    </xdr:to>
    <xdr:pic>
      <xdr:nvPicPr>
        <xdr:cNvPr id="30" name="Picture 29">
          <a:hlinkClick xmlns:r="http://schemas.openxmlformats.org/officeDocument/2006/relationships" r:id="rId26"/>
          <a:extLst>
            <a:ext uri="{FF2B5EF4-FFF2-40B4-BE49-F238E27FC236}">
              <a16:creationId xmlns:a16="http://schemas.microsoft.com/office/drawing/2014/main" id="{00000000-0008-0000-0A00-00001E000000}"/>
            </a:ext>
          </a:extLst>
        </xdr:cNvPr>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xdr:blipFill>
      <xdr:spPr>
        <a:xfrm>
          <a:off x="1719341" y="2532529"/>
          <a:ext cx="1810512" cy="2008632"/>
        </a:xfrm>
        <a:prstGeom prst="rect">
          <a:avLst/>
        </a:prstGeom>
        <a:noFill/>
      </xdr:spPr>
    </xdr:pic>
    <xdr:clientData/>
  </xdr:twoCellAnchor>
  <xdr:twoCellAnchor editAs="oneCell">
    <xdr:from>
      <xdr:col>26</xdr:col>
      <xdr:colOff>126370</xdr:colOff>
      <xdr:row>12</xdr:row>
      <xdr:rowOff>40497</xdr:rowOff>
    </xdr:from>
    <xdr:to>
      <xdr:col>32</xdr:col>
      <xdr:colOff>54293</xdr:colOff>
      <xdr:row>22</xdr:row>
      <xdr:rowOff>32071</xdr:rowOff>
    </xdr:to>
    <xdr:pic>
      <xdr:nvPicPr>
        <xdr:cNvPr id="31" name="Picture 30">
          <a:hlinkClick xmlns:r="http://schemas.openxmlformats.org/officeDocument/2006/relationships" r:id="rId28"/>
          <a:extLst>
            <a:ext uri="{FF2B5EF4-FFF2-40B4-BE49-F238E27FC236}">
              <a16:creationId xmlns:a16="http://schemas.microsoft.com/office/drawing/2014/main" id="{00000000-0008-0000-0A00-00001F000000}"/>
            </a:ext>
          </a:extLst>
        </xdr:cNvPr>
        <xdr:cNvPicPr>
          <a:picLocks/>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xdr:blipFill>
      <xdr:spPr>
        <a:xfrm>
          <a:off x="8381370" y="2421747"/>
          <a:ext cx="1832923" cy="1975949"/>
        </a:xfrm>
        <a:prstGeom prst="rect">
          <a:avLst/>
        </a:prstGeom>
        <a:noFill/>
      </xdr:spPr>
    </xdr:pic>
    <xdr:clientData/>
  </xdr:twoCellAnchor>
  <xdr:twoCellAnchor editAs="oneCell">
    <xdr:from>
      <xdr:col>12</xdr:col>
      <xdr:colOff>153063</xdr:colOff>
      <xdr:row>23</xdr:row>
      <xdr:rowOff>155390</xdr:rowOff>
    </xdr:from>
    <xdr:to>
      <xdr:col>18</xdr:col>
      <xdr:colOff>83734</xdr:colOff>
      <xdr:row>33</xdr:row>
      <xdr:rowOff>150011</xdr:rowOff>
    </xdr:to>
    <xdr:pic>
      <xdr:nvPicPr>
        <xdr:cNvPr id="32" name="Picture 31">
          <a:hlinkClick xmlns:r="http://schemas.openxmlformats.org/officeDocument/2006/relationships" r:id="rId30"/>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xdr:blipFill>
      <xdr:spPr>
        <a:xfrm>
          <a:off x="3963063" y="4719453"/>
          <a:ext cx="1835671" cy="1978996"/>
        </a:xfrm>
        <a:prstGeom prst="rect">
          <a:avLst/>
        </a:prstGeom>
        <a:noFill/>
      </xdr:spPr>
    </xdr:pic>
    <xdr:clientData/>
  </xdr:twoCellAnchor>
  <xdr:twoCellAnchor editAs="oneCell">
    <xdr:from>
      <xdr:col>33</xdr:col>
      <xdr:colOff>137732</xdr:colOff>
      <xdr:row>23</xdr:row>
      <xdr:rowOff>178119</xdr:rowOff>
    </xdr:from>
    <xdr:to>
      <xdr:col>39</xdr:col>
      <xdr:colOff>65655</xdr:colOff>
      <xdr:row>33</xdr:row>
      <xdr:rowOff>169692</xdr:rowOff>
    </xdr:to>
    <xdr:pic>
      <xdr:nvPicPr>
        <xdr:cNvPr id="33" name="Picture 32">
          <a:hlinkClick xmlns:r="http://schemas.openxmlformats.org/officeDocument/2006/relationships" r:id="rId32"/>
          <a:extLst>
            <a:ext uri="{FF2B5EF4-FFF2-40B4-BE49-F238E27FC236}">
              <a16:creationId xmlns:a16="http://schemas.microsoft.com/office/drawing/2014/main" id="{00000000-0008-0000-0A00-000021000000}"/>
            </a:ext>
          </a:extLst>
        </xdr:cNvPr>
        <xdr:cNvPicPr>
          <a:picLocks/>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xdr:blipFill>
      <xdr:spPr>
        <a:xfrm>
          <a:off x="10615232" y="4742182"/>
          <a:ext cx="1832923" cy="1975948"/>
        </a:xfrm>
        <a:prstGeom prst="rect">
          <a:avLst/>
        </a:prstGeom>
        <a:noFill/>
      </xdr:spPr>
    </xdr:pic>
    <xdr:clientData/>
  </xdr:twoCellAnchor>
  <xdr:twoCellAnchor editAs="oneCell">
    <xdr:from>
      <xdr:col>19</xdr:col>
      <xdr:colOff>127643</xdr:colOff>
      <xdr:row>23</xdr:row>
      <xdr:rowOff>167175</xdr:rowOff>
    </xdr:from>
    <xdr:to>
      <xdr:col>25</xdr:col>
      <xdr:colOff>55566</xdr:colOff>
      <xdr:row>33</xdr:row>
      <xdr:rowOff>158748</xdr:rowOff>
    </xdr:to>
    <xdr:pic>
      <xdr:nvPicPr>
        <xdr:cNvPr id="34" name="Picture 33">
          <a:hlinkClick xmlns:r="http://schemas.openxmlformats.org/officeDocument/2006/relationships" r:id="rId34"/>
          <a:extLst>
            <a:ext uri="{FF2B5EF4-FFF2-40B4-BE49-F238E27FC236}">
              <a16:creationId xmlns:a16="http://schemas.microsoft.com/office/drawing/2014/main" id="{00000000-0008-0000-0A00-000022000000}"/>
            </a:ext>
          </a:extLst>
        </xdr:cNvPr>
        <xdr:cNvPicPr>
          <a:picLocks/>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xdr:blipFill>
      <xdr:spPr>
        <a:xfrm>
          <a:off x="6160143" y="4731238"/>
          <a:ext cx="1832923" cy="1975948"/>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14694</xdr:colOff>
      <xdr:row>13</xdr:row>
      <xdr:rowOff>22411</xdr:rowOff>
    </xdr:from>
    <xdr:to>
      <xdr:col>36</xdr:col>
      <xdr:colOff>5432</xdr:colOff>
      <xdr:row>32</xdr:row>
      <xdr:rowOff>78441</xdr:rowOff>
    </xdr:to>
    <xdr:pic>
      <xdr:nvPicPr>
        <xdr:cNvPr id="22" name="Picture 21">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208" b="1208"/>
        <a:stretch/>
      </xdr:blipFill>
      <xdr:spPr>
        <a:xfrm>
          <a:off x="2838576" y="2644587"/>
          <a:ext cx="8462385" cy="3888442"/>
        </a:xfrm>
        <a:prstGeom prst="rect">
          <a:avLst/>
        </a:prstGeom>
      </xdr:spPr>
    </xdr:pic>
    <xdr:clientData/>
  </xdr:twoCellAnchor>
  <xdr:twoCellAnchor>
    <xdr:from>
      <xdr:col>10</xdr:col>
      <xdr:colOff>0</xdr:colOff>
      <xdr:row>24</xdr:row>
      <xdr:rowOff>156882</xdr:rowOff>
    </xdr:from>
    <xdr:to>
      <xdr:col>35</xdr:col>
      <xdr:colOff>0</xdr:colOff>
      <xdr:row>30</xdr:row>
      <xdr:rowOff>156882</xdr:rowOff>
    </xdr:to>
    <xdr:sp macro="" textlink="">
      <xdr:nvSpPr>
        <xdr:cNvPr id="23" name="Rectangle 22">
          <a:hlinkClick xmlns:r="http://schemas.openxmlformats.org/officeDocument/2006/relationships" r:id="rId2" tooltip="Prescriptive Incentive List"/>
          <a:extLst>
            <a:ext uri="{FF2B5EF4-FFF2-40B4-BE49-F238E27FC236}">
              <a16:creationId xmlns:a16="http://schemas.microsoft.com/office/drawing/2014/main" id="{00000000-0008-0000-0B00-000017000000}"/>
            </a:ext>
          </a:extLst>
        </xdr:cNvPr>
        <xdr:cNvSpPr/>
      </xdr:nvSpPr>
      <xdr:spPr>
        <a:xfrm>
          <a:off x="3137647" y="4997823"/>
          <a:ext cx="7844118" cy="12102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3"/>
          <a:extLst>
            <a:ext uri="{FF2B5EF4-FFF2-40B4-BE49-F238E27FC236}">
              <a16:creationId xmlns:a16="http://schemas.microsoft.com/office/drawing/2014/main" id="{00000000-0008-0000-0B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4"/>
          <a:extLst>
            <a:ext uri="{FF2B5EF4-FFF2-40B4-BE49-F238E27FC236}">
              <a16:creationId xmlns:a16="http://schemas.microsoft.com/office/drawing/2014/main" id="{00000000-0008-0000-0B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5"/>
          <a:extLst>
            <a:ext uri="{FF2B5EF4-FFF2-40B4-BE49-F238E27FC236}">
              <a16:creationId xmlns:a16="http://schemas.microsoft.com/office/drawing/2014/main" id="{00000000-0008-0000-0B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6" tooltip=" "/>
          <a:extLst>
            <a:ext uri="{FF2B5EF4-FFF2-40B4-BE49-F238E27FC236}">
              <a16:creationId xmlns:a16="http://schemas.microsoft.com/office/drawing/2014/main" id="{00000000-0008-0000-0B00-000003000000}"/>
            </a:ext>
          </a:extLst>
        </xdr:cNvPr>
        <xdr:cNvSpPr/>
      </xdr:nvSpPr>
      <xdr:spPr>
        <a:xfrm>
          <a:off x="2199361" y="335057"/>
          <a:ext cx="1568366" cy="605118"/>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0B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7" tooltip=" "/>
          <a:extLst>
            <a:ext uri="{FF2B5EF4-FFF2-40B4-BE49-F238E27FC236}">
              <a16:creationId xmlns:a16="http://schemas.microsoft.com/office/drawing/2014/main" id="{00000000-0008-0000-0B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1913</xdr:colOff>
      <xdr:row>1</xdr:row>
      <xdr:rowOff>0</xdr:rowOff>
    </xdr:from>
    <xdr:to>
      <xdr:col>17</xdr:col>
      <xdr:colOff>1913</xdr:colOff>
      <xdr:row>4</xdr:row>
      <xdr:rowOff>0</xdr:rowOff>
    </xdr:to>
    <xdr:sp macro="" textlink="MAIN2">
      <xdr:nvSpPr>
        <xdr:cNvPr id="4" name="MENU2">
          <a:hlinkClick xmlns:r="http://schemas.openxmlformats.org/officeDocument/2006/relationships" r:id="rId8" tooltip=" "/>
          <a:extLst>
            <a:ext uri="{FF2B5EF4-FFF2-40B4-BE49-F238E27FC236}">
              <a16:creationId xmlns:a16="http://schemas.microsoft.com/office/drawing/2014/main" id="{00000000-0008-0000-0B00-000004000000}"/>
            </a:ext>
          </a:extLst>
        </xdr:cNvPr>
        <xdr:cNvSpPr/>
      </xdr:nvSpPr>
      <xdr:spPr>
        <a:xfrm>
          <a:off x="3767089"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1275</xdr:colOff>
      <xdr:row>1</xdr:row>
      <xdr:rowOff>0</xdr:rowOff>
    </xdr:from>
    <xdr:to>
      <xdr:col>22</xdr:col>
      <xdr:colOff>1275</xdr:colOff>
      <xdr:row>4</xdr:row>
      <xdr:rowOff>0</xdr:rowOff>
    </xdr:to>
    <xdr:sp macro="" textlink="MAIN3">
      <xdr:nvSpPr>
        <xdr:cNvPr id="5" name="MENU3">
          <a:hlinkClick xmlns:r="http://schemas.openxmlformats.org/officeDocument/2006/relationships" r:id="rId9" tooltip=" "/>
          <a:extLst>
            <a:ext uri="{FF2B5EF4-FFF2-40B4-BE49-F238E27FC236}">
              <a16:creationId xmlns:a16="http://schemas.microsoft.com/office/drawing/2014/main" id="{00000000-0008-0000-0B00-000005000000}"/>
            </a:ext>
          </a:extLst>
        </xdr:cNvPr>
        <xdr:cNvSpPr/>
      </xdr:nvSpPr>
      <xdr:spPr>
        <a:xfrm>
          <a:off x="5335275"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637</xdr:colOff>
      <xdr:row>1</xdr:row>
      <xdr:rowOff>0</xdr:rowOff>
    </xdr:from>
    <xdr:to>
      <xdr:col>27</xdr:col>
      <xdr:colOff>637</xdr:colOff>
      <xdr:row>4</xdr:row>
      <xdr:rowOff>0</xdr:rowOff>
    </xdr:to>
    <xdr:sp macro="" textlink="MAIN4">
      <xdr:nvSpPr>
        <xdr:cNvPr id="6" name="MENU4">
          <a:hlinkClick xmlns:r="http://schemas.openxmlformats.org/officeDocument/2006/relationships" r:id="rId10" tooltip=" "/>
          <a:extLst>
            <a:ext uri="{FF2B5EF4-FFF2-40B4-BE49-F238E27FC236}">
              <a16:creationId xmlns:a16="http://schemas.microsoft.com/office/drawing/2014/main" id="{00000000-0008-0000-0B00-000006000000}"/>
            </a:ext>
          </a:extLst>
        </xdr:cNvPr>
        <xdr:cNvSpPr/>
      </xdr:nvSpPr>
      <xdr:spPr>
        <a:xfrm>
          <a:off x="6903461"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tooltip=" "/>
          <a:extLst>
            <a:ext uri="{FF2B5EF4-FFF2-40B4-BE49-F238E27FC236}">
              <a16:creationId xmlns:a16="http://schemas.microsoft.com/office/drawing/2014/main" id="{00000000-0008-0000-0B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a:extLst>
            <a:ext uri="{FF2B5EF4-FFF2-40B4-BE49-F238E27FC236}">
              <a16:creationId xmlns:a16="http://schemas.microsoft.com/office/drawing/2014/main" id="{00000000-0008-0000-0B00-000008000000}"/>
            </a:ext>
          </a:extLst>
        </xdr:cNvPr>
        <xdr:cNvSpPr/>
      </xdr:nvSpPr>
      <xdr:spPr>
        <a:xfrm>
          <a:off x="10058398" y="200026"/>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B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6" tooltip=" "/>
          <a:extLst>
            <a:ext uri="{FF2B5EF4-FFF2-40B4-BE49-F238E27FC236}">
              <a16:creationId xmlns:a16="http://schemas.microsoft.com/office/drawing/2014/main" id="{00000000-0008-0000-0B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981</xdr:colOff>
      <xdr:row>4</xdr:row>
      <xdr:rowOff>200705</xdr:rowOff>
    </xdr:from>
    <xdr:to>
      <xdr:col>12</xdr:col>
      <xdr:colOff>980</xdr:colOff>
      <xdr:row>7</xdr:row>
      <xdr:rowOff>0</xdr:rowOff>
    </xdr:to>
    <xdr:sp macro="" textlink="M1S2">
      <xdr:nvSpPr>
        <xdr:cNvPr id="12" name="SUBMENU2">
          <a:hlinkClick xmlns:r="http://schemas.openxmlformats.org/officeDocument/2006/relationships" r:id="rId12" tooltip=" "/>
          <a:extLst>
            <a:ext uri="{FF2B5EF4-FFF2-40B4-BE49-F238E27FC236}">
              <a16:creationId xmlns:a16="http://schemas.microsoft.com/office/drawing/2014/main" id="{00000000-0008-0000-0B00-00000C000000}"/>
            </a:ext>
          </a:extLst>
        </xdr:cNvPr>
        <xdr:cNvSpPr/>
      </xdr:nvSpPr>
      <xdr:spPr>
        <a:xfrm>
          <a:off x="2197334"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1504</xdr:colOff>
      <xdr:row>4</xdr:row>
      <xdr:rowOff>200705</xdr:rowOff>
    </xdr:from>
    <xdr:to>
      <xdr:col>17</xdr:col>
      <xdr:colOff>1503</xdr:colOff>
      <xdr:row>7</xdr:row>
      <xdr:rowOff>0</xdr:rowOff>
    </xdr:to>
    <xdr:sp macro="" textlink="M1S3">
      <xdr:nvSpPr>
        <xdr:cNvPr id="13" name="SUBMENU3">
          <a:hlinkClick xmlns:r="http://schemas.openxmlformats.org/officeDocument/2006/relationships" r:id="rId13" tooltip=" "/>
          <a:extLst>
            <a:ext uri="{FF2B5EF4-FFF2-40B4-BE49-F238E27FC236}">
              <a16:creationId xmlns:a16="http://schemas.microsoft.com/office/drawing/2014/main" id="{00000000-0008-0000-0B00-00000D000000}"/>
            </a:ext>
          </a:extLst>
        </xdr:cNvPr>
        <xdr:cNvSpPr/>
      </xdr:nvSpPr>
      <xdr:spPr>
        <a:xfrm>
          <a:off x="3766680"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2027</xdr:colOff>
      <xdr:row>5</xdr:row>
      <xdr:rowOff>51480</xdr:rowOff>
    </xdr:from>
    <xdr:to>
      <xdr:col>22</xdr:col>
      <xdr:colOff>2026</xdr:colOff>
      <xdr:row>7</xdr:row>
      <xdr:rowOff>50800</xdr:rowOff>
    </xdr:to>
    <xdr:sp macro="" textlink="M1S4">
      <xdr:nvSpPr>
        <xdr:cNvPr id="14" name="SUBMENU4">
          <a:hlinkClick xmlns:r="http://schemas.openxmlformats.org/officeDocument/2006/relationships" r:id="rId14" tooltip=" "/>
          <a:extLst>
            <a:ext uri="{FF2B5EF4-FFF2-40B4-BE49-F238E27FC236}">
              <a16:creationId xmlns:a16="http://schemas.microsoft.com/office/drawing/2014/main" id="{00000000-0008-0000-0B00-00000E000000}"/>
            </a:ext>
          </a:extLst>
        </xdr:cNvPr>
        <xdr:cNvSpPr/>
      </xdr:nvSpPr>
      <xdr:spPr>
        <a:xfrm>
          <a:off x="5336027" y="1060009"/>
          <a:ext cx="1568823"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5" tooltip=" "/>
          <a:extLst>
            <a:ext uri="{FF2B5EF4-FFF2-40B4-BE49-F238E27FC236}">
              <a16:creationId xmlns:a16="http://schemas.microsoft.com/office/drawing/2014/main" id="{00000000-0008-0000-0B00-00000F000000}"/>
            </a:ext>
          </a:extLst>
        </xdr:cNvPr>
        <xdr:cNvSpPr/>
      </xdr:nvSpPr>
      <xdr:spPr>
        <a:xfrm>
          <a:off x="6905375" y="1007529"/>
          <a:ext cx="1568821"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200024</xdr:rowOff>
    </xdr:from>
    <xdr:to>
      <xdr:col>44</xdr:col>
      <xdr:colOff>0</xdr:colOff>
      <xdr:row>199</xdr:row>
      <xdr:rowOff>22412</xdr:rowOff>
    </xdr:to>
    <xdr:sp macro="" textlink="">
      <xdr:nvSpPr>
        <xdr:cNvPr id="19" name="BORDER">
          <a:extLst>
            <a:ext uri="{FF2B5EF4-FFF2-40B4-BE49-F238E27FC236}">
              <a16:creationId xmlns:a16="http://schemas.microsoft.com/office/drawing/2014/main" id="{00000000-0008-0000-0B00-000013000000}"/>
            </a:ext>
          </a:extLst>
        </xdr:cNvPr>
        <xdr:cNvSpPr/>
      </xdr:nvSpPr>
      <xdr:spPr>
        <a:xfrm>
          <a:off x="313765" y="1611965"/>
          <a:ext cx="13491882" cy="2709750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6" tooltip=" "/>
          <a:extLst>
            <a:ext uri="{FF2B5EF4-FFF2-40B4-BE49-F238E27FC236}">
              <a16:creationId xmlns:a16="http://schemas.microsoft.com/office/drawing/2014/main" id="{00000000-0008-0000-0B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B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25" name="MENU7">
          <a:extLst>
            <a:ext uri="{FF2B5EF4-FFF2-40B4-BE49-F238E27FC236}">
              <a16:creationId xmlns:a16="http://schemas.microsoft.com/office/drawing/2014/main" id="{00000000-0008-0000-0B00-00001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editAs="oneCell">
    <xdr:from>
      <xdr:col>2</xdr:col>
      <xdr:colOff>91840</xdr:colOff>
      <xdr:row>0</xdr:row>
      <xdr:rowOff>156884</xdr:rowOff>
    </xdr:from>
    <xdr:to>
      <xdr:col>5</xdr:col>
      <xdr:colOff>41415</xdr:colOff>
      <xdr:row>3</xdr:row>
      <xdr:rowOff>5127</xdr:rowOff>
    </xdr:to>
    <xdr:pic>
      <xdr:nvPicPr>
        <xdr:cNvPr id="28" name="LOGO">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719369" y="156884"/>
          <a:ext cx="890870" cy="45336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1"/>
          <a:extLst>
            <a:ext uri="{FF2B5EF4-FFF2-40B4-BE49-F238E27FC236}">
              <a16:creationId xmlns:a16="http://schemas.microsoft.com/office/drawing/2014/main" id="{00000000-0008-0000-0C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2"/>
          <a:extLst>
            <a:ext uri="{FF2B5EF4-FFF2-40B4-BE49-F238E27FC236}">
              <a16:creationId xmlns:a16="http://schemas.microsoft.com/office/drawing/2014/main" id="{00000000-0008-0000-0C00-000011000000}"/>
            </a:ext>
          </a:extLst>
        </xdr:cNvPr>
        <xdr:cNvSpPr/>
      </xdr:nvSpPr>
      <xdr:spPr>
        <a:xfrm>
          <a:off x="10061265" y="1000805"/>
          <a:ext cx="157148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3"/>
          <a:extLst>
            <a:ext uri="{FF2B5EF4-FFF2-40B4-BE49-F238E27FC236}">
              <a16:creationId xmlns:a16="http://schemas.microsoft.com/office/drawing/2014/main" id="{00000000-0008-0000-0C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4" tooltip=" "/>
          <a:extLst>
            <a:ext uri="{FF2B5EF4-FFF2-40B4-BE49-F238E27FC236}">
              <a16:creationId xmlns:a16="http://schemas.microsoft.com/office/drawing/2014/main" id="{00000000-0008-0000-0C00-000003000000}"/>
            </a:ext>
          </a:extLst>
        </xdr:cNvPr>
        <xdr:cNvSpPr/>
      </xdr:nvSpPr>
      <xdr:spPr>
        <a:xfrm>
          <a:off x="2203283" y="333376"/>
          <a:ext cx="1571168"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0C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tooltip=" "/>
          <a:extLst>
            <a:ext uri="{FF2B5EF4-FFF2-40B4-BE49-F238E27FC236}">
              <a16:creationId xmlns:a16="http://schemas.microsoft.com/office/drawing/2014/main" id="{00000000-0008-0000-0C00-000002000000}"/>
            </a:ext>
          </a:extLst>
        </xdr:cNvPr>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2551</xdr:colOff>
      <xdr:row>1</xdr:row>
      <xdr:rowOff>0</xdr:rowOff>
    </xdr:from>
    <xdr:to>
      <xdr:col>17</xdr:col>
      <xdr:colOff>2551</xdr:colOff>
      <xdr:row>4</xdr:row>
      <xdr:rowOff>0</xdr:rowOff>
    </xdr:to>
    <xdr:sp macro="" textlink="MAIN2">
      <xdr:nvSpPr>
        <xdr:cNvPr id="4" name="MENU2">
          <a:hlinkClick xmlns:r="http://schemas.openxmlformats.org/officeDocument/2006/relationships" r:id="rId6" tooltip=" "/>
          <a:extLst>
            <a:ext uri="{FF2B5EF4-FFF2-40B4-BE49-F238E27FC236}">
              <a16:creationId xmlns:a16="http://schemas.microsoft.com/office/drawing/2014/main" id="{00000000-0008-0000-0C00-000004000000}"/>
            </a:ext>
          </a:extLst>
        </xdr:cNvPr>
        <xdr:cNvSpPr/>
      </xdr:nvSpPr>
      <xdr:spPr>
        <a:xfrm>
          <a:off x="3774451"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7" tooltip=" "/>
          <a:extLst>
            <a:ext uri="{FF2B5EF4-FFF2-40B4-BE49-F238E27FC236}">
              <a16:creationId xmlns:a16="http://schemas.microsoft.com/office/drawing/2014/main" id="{00000000-0008-0000-0C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8" tooltip=" "/>
          <a:extLst>
            <a:ext uri="{FF2B5EF4-FFF2-40B4-BE49-F238E27FC236}">
              <a16:creationId xmlns:a16="http://schemas.microsoft.com/office/drawing/2014/main" id="{00000000-0008-0000-0C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9" tooltip=" "/>
          <a:extLst>
            <a:ext uri="{FF2B5EF4-FFF2-40B4-BE49-F238E27FC236}">
              <a16:creationId xmlns:a16="http://schemas.microsoft.com/office/drawing/2014/main" id="{00000000-0008-0000-0C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a:extLst>
            <a:ext uri="{FF2B5EF4-FFF2-40B4-BE49-F238E27FC236}">
              <a16:creationId xmlns:a16="http://schemas.microsoft.com/office/drawing/2014/main" id="{00000000-0008-0000-0C00-000008000000}"/>
            </a:ext>
          </a:extLst>
        </xdr:cNvPr>
        <xdr:cNvSpPr/>
      </xdr:nvSpPr>
      <xdr:spPr>
        <a:xfrm>
          <a:off x="10058398" y="200026"/>
          <a:ext cx="1571626"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C00-000009000000}"/>
            </a:ext>
          </a:extLst>
        </xdr:cNvPr>
        <xdr:cNvSpPr/>
      </xdr:nvSpPr>
      <xdr:spPr>
        <a:xfrm>
          <a:off x="11630024" y="200025"/>
          <a:ext cx="1571625"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4" tooltip=" "/>
          <a:extLst>
            <a:ext uri="{FF2B5EF4-FFF2-40B4-BE49-F238E27FC236}">
              <a16:creationId xmlns:a16="http://schemas.microsoft.com/office/drawing/2014/main" id="{00000000-0008-0000-0C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6584</xdr:colOff>
      <xdr:row>4</xdr:row>
      <xdr:rowOff>200705</xdr:rowOff>
    </xdr:from>
    <xdr:to>
      <xdr:col>12</xdr:col>
      <xdr:colOff>6583</xdr:colOff>
      <xdr:row>7</xdr:row>
      <xdr:rowOff>0</xdr:rowOff>
    </xdr:to>
    <xdr:sp macro="" textlink="M1S2">
      <xdr:nvSpPr>
        <xdr:cNvPr id="12" name="SUBMENU2">
          <a:hlinkClick xmlns:r="http://schemas.openxmlformats.org/officeDocument/2006/relationships" r:id="rId10" tooltip=" "/>
          <a:extLst>
            <a:ext uri="{FF2B5EF4-FFF2-40B4-BE49-F238E27FC236}">
              <a16:creationId xmlns:a16="http://schemas.microsoft.com/office/drawing/2014/main" id="{00000000-0008-0000-0C00-00000C000000}"/>
            </a:ext>
          </a:extLst>
        </xdr:cNvPr>
        <xdr:cNvSpPr/>
      </xdr:nvSpPr>
      <xdr:spPr>
        <a:xfrm>
          <a:off x="2202937"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12710</xdr:colOff>
      <xdr:row>4</xdr:row>
      <xdr:rowOff>200705</xdr:rowOff>
    </xdr:from>
    <xdr:to>
      <xdr:col>17</xdr:col>
      <xdr:colOff>12709</xdr:colOff>
      <xdr:row>7</xdr:row>
      <xdr:rowOff>0</xdr:rowOff>
    </xdr:to>
    <xdr:sp macro="" textlink="M1S3">
      <xdr:nvSpPr>
        <xdr:cNvPr id="13" name="SUBMENU3">
          <a:hlinkClick xmlns:r="http://schemas.openxmlformats.org/officeDocument/2006/relationships" r:id="rId11" tooltip=" "/>
          <a:extLst>
            <a:ext uri="{FF2B5EF4-FFF2-40B4-BE49-F238E27FC236}">
              <a16:creationId xmlns:a16="http://schemas.microsoft.com/office/drawing/2014/main" id="{00000000-0008-0000-0C00-00000D000000}"/>
            </a:ext>
          </a:extLst>
        </xdr:cNvPr>
        <xdr:cNvSpPr/>
      </xdr:nvSpPr>
      <xdr:spPr>
        <a:xfrm>
          <a:off x="3777886"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18836</xdr:colOff>
      <xdr:row>4</xdr:row>
      <xdr:rowOff>200705</xdr:rowOff>
    </xdr:from>
    <xdr:to>
      <xdr:col>22</xdr:col>
      <xdr:colOff>18835</xdr:colOff>
      <xdr:row>7</xdr:row>
      <xdr:rowOff>0</xdr:rowOff>
    </xdr:to>
    <xdr:sp macro="" textlink="M1S4">
      <xdr:nvSpPr>
        <xdr:cNvPr id="14" name="SUBMENU4">
          <a:hlinkClick xmlns:r="http://schemas.openxmlformats.org/officeDocument/2006/relationships" r:id="rId12" tooltip=" "/>
          <a:extLst>
            <a:ext uri="{FF2B5EF4-FFF2-40B4-BE49-F238E27FC236}">
              <a16:creationId xmlns:a16="http://schemas.microsoft.com/office/drawing/2014/main" id="{00000000-0008-0000-0C00-00000E000000}"/>
            </a:ext>
          </a:extLst>
        </xdr:cNvPr>
        <xdr:cNvSpPr/>
      </xdr:nvSpPr>
      <xdr:spPr>
        <a:xfrm>
          <a:off x="5352836"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24963</xdr:colOff>
      <xdr:row>5</xdr:row>
      <xdr:rowOff>49612</xdr:rowOff>
    </xdr:from>
    <xdr:to>
      <xdr:col>27</xdr:col>
      <xdr:colOff>24961</xdr:colOff>
      <xdr:row>7</xdr:row>
      <xdr:rowOff>48932</xdr:rowOff>
    </xdr:to>
    <xdr:sp macro="" textlink="M1S5">
      <xdr:nvSpPr>
        <xdr:cNvPr id="15" name="SUBMENU5">
          <a:hlinkClick xmlns:r="http://schemas.openxmlformats.org/officeDocument/2006/relationships" r:id="rId13" tooltip=" "/>
          <a:extLst>
            <a:ext uri="{FF2B5EF4-FFF2-40B4-BE49-F238E27FC236}">
              <a16:creationId xmlns:a16="http://schemas.microsoft.com/office/drawing/2014/main" id="{00000000-0008-0000-0C00-00000F000000}"/>
            </a:ext>
          </a:extLst>
        </xdr:cNvPr>
        <xdr:cNvSpPr/>
      </xdr:nvSpPr>
      <xdr:spPr>
        <a:xfrm>
          <a:off x="6927787" y="1058141"/>
          <a:ext cx="1568821"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200023</xdr:rowOff>
    </xdr:from>
    <xdr:to>
      <xdr:col>43</xdr:col>
      <xdr:colOff>302559</xdr:colOff>
      <xdr:row>34</xdr:row>
      <xdr:rowOff>201705</xdr:rowOff>
    </xdr:to>
    <xdr:sp macro="" textlink="">
      <xdr:nvSpPr>
        <xdr:cNvPr id="19" name="BORDER">
          <a:extLst>
            <a:ext uri="{FF2B5EF4-FFF2-40B4-BE49-F238E27FC236}">
              <a16:creationId xmlns:a16="http://schemas.microsoft.com/office/drawing/2014/main" id="{00000000-0008-0000-0C00-000013000000}"/>
            </a:ext>
          </a:extLst>
        </xdr:cNvPr>
        <xdr:cNvSpPr/>
      </xdr:nvSpPr>
      <xdr:spPr>
        <a:xfrm>
          <a:off x="314323" y="1611964"/>
          <a:ext cx="13480118" cy="5447741"/>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0C00-000014000000}"/>
            </a:ext>
          </a:extLst>
        </xdr:cNvPr>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C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oneCell">
        <xdr:from>
          <xdr:col>21</xdr:col>
          <xdr:colOff>152400</xdr:colOff>
          <xdr:row>17</xdr:row>
          <xdr:rowOff>0</xdr:rowOff>
        </xdr:from>
        <xdr:to>
          <xdr:col>22</xdr:col>
          <xdr:colOff>57150</xdr:colOff>
          <xdr:row>18</xdr:row>
          <xdr:rowOff>9525</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0C00-000001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18</xdr:row>
          <xdr:rowOff>0</xdr:rowOff>
        </xdr:from>
        <xdr:to>
          <xdr:col>22</xdr:col>
          <xdr:colOff>57150</xdr:colOff>
          <xdr:row>19</xdr:row>
          <xdr:rowOff>9525</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0C00-000002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19</xdr:row>
          <xdr:rowOff>0</xdr:rowOff>
        </xdr:from>
        <xdr:to>
          <xdr:col>22</xdr:col>
          <xdr:colOff>57150</xdr:colOff>
          <xdr:row>20</xdr:row>
          <xdr:rowOff>9525</xdr:rowOff>
        </xdr:to>
        <xdr:sp macro="" textlink="">
          <xdr:nvSpPr>
            <xdr:cNvPr id="141315" name="Check Box 3" hidden="1">
              <a:extLst>
                <a:ext uri="{63B3BB69-23CF-44E3-9099-C40C66FF867C}">
                  <a14:compatExt spid="_x0000_s141315"/>
                </a:ext>
                <a:ext uri="{FF2B5EF4-FFF2-40B4-BE49-F238E27FC236}">
                  <a16:creationId xmlns:a16="http://schemas.microsoft.com/office/drawing/2014/main" id="{00000000-0008-0000-0C00-00000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20</xdr:row>
          <xdr:rowOff>0</xdr:rowOff>
        </xdr:from>
        <xdr:to>
          <xdr:col>22</xdr:col>
          <xdr:colOff>57150</xdr:colOff>
          <xdr:row>21</xdr:row>
          <xdr:rowOff>9525</xdr:rowOff>
        </xdr:to>
        <xdr:sp macro="" textlink="">
          <xdr:nvSpPr>
            <xdr:cNvPr id="141316" name="Check Box 4" hidden="1">
              <a:extLst>
                <a:ext uri="{63B3BB69-23CF-44E3-9099-C40C66FF867C}">
                  <a14:compatExt spid="_x0000_s141316"/>
                </a:ext>
                <a:ext uri="{FF2B5EF4-FFF2-40B4-BE49-F238E27FC236}">
                  <a16:creationId xmlns:a16="http://schemas.microsoft.com/office/drawing/2014/main" id="{00000000-0008-0000-0C00-00000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21</xdr:row>
          <xdr:rowOff>0</xdr:rowOff>
        </xdr:from>
        <xdr:to>
          <xdr:col>22</xdr:col>
          <xdr:colOff>57150</xdr:colOff>
          <xdr:row>22</xdr:row>
          <xdr:rowOff>9525</xdr:rowOff>
        </xdr:to>
        <xdr:sp macro="" textlink="">
          <xdr:nvSpPr>
            <xdr:cNvPr id="141317" name="Check Box 5" hidden="1">
              <a:extLst>
                <a:ext uri="{63B3BB69-23CF-44E3-9099-C40C66FF867C}">
                  <a14:compatExt spid="_x0000_s141317"/>
                </a:ext>
                <a:ext uri="{FF2B5EF4-FFF2-40B4-BE49-F238E27FC236}">
                  <a16:creationId xmlns:a16="http://schemas.microsoft.com/office/drawing/2014/main" id="{00000000-0008-0000-0C00-00000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22</xdr:row>
          <xdr:rowOff>0</xdr:rowOff>
        </xdr:from>
        <xdr:to>
          <xdr:col>22</xdr:col>
          <xdr:colOff>57150</xdr:colOff>
          <xdr:row>23</xdr:row>
          <xdr:rowOff>9525</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0C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23</xdr:row>
          <xdr:rowOff>0</xdr:rowOff>
        </xdr:from>
        <xdr:to>
          <xdr:col>22</xdr:col>
          <xdr:colOff>57150</xdr:colOff>
          <xdr:row>24</xdr:row>
          <xdr:rowOff>9525</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C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24</xdr:row>
          <xdr:rowOff>0</xdr:rowOff>
        </xdr:from>
        <xdr:to>
          <xdr:col>22</xdr:col>
          <xdr:colOff>57150</xdr:colOff>
          <xdr:row>25</xdr:row>
          <xdr:rowOff>9525</xdr:rowOff>
        </xdr:to>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0C00-00000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25</xdr:row>
          <xdr:rowOff>0</xdr:rowOff>
        </xdr:from>
        <xdr:to>
          <xdr:col>22</xdr:col>
          <xdr:colOff>57150</xdr:colOff>
          <xdr:row>26</xdr:row>
          <xdr:rowOff>9525</xdr:rowOff>
        </xdr:to>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0C00-00000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0</xdr:rowOff>
        </xdr:from>
        <xdr:to>
          <xdr:col>22</xdr:col>
          <xdr:colOff>57150</xdr:colOff>
          <xdr:row>27</xdr:row>
          <xdr:rowOff>9525</xdr:rowOff>
        </xdr:to>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C00-00000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200025</xdr:rowOff>
        </xdr:from>
        <xdr:to>
          <xdr:col>22</xdr:col>
          <xdr:colOff>57150</xdr:colOff>
          <xdr:row>28</xdr:row>
          <xdr:rowOff>9525</xdr:rowOff>
        </xdr:to>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C00-00000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102850</xdr:colOff>
      <xdr:row>0</xdr:row>
      <xdr:rowOff>156884</xdr:rowOff>
    </xdr:from>
    <xdr:to>
      <xdr:col>5</xdr:col>
      <xdr:colOff>30405</xdr:colOff>
      <xdr:row>2</xdr:row>
      <xdr:rowOff>195627</xdr:rowOff>
    </xdr:to>
    <xdr:pic>
      <xdr:nvPicPr>
        <xdr:cNvPr id="57" name="LOGO">
          <a:extLst>
            <a:ext uri="{FF2B5EF4-FFF2-40B4-BE49-F238E27FC236}">
              <a16:creationId xmlns:a16="http://schemas.microsoft.com/office/drawing/2014/main" id="{00000000-0008-0000-0C00-00003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2" name="SUBMENU5">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6917701" y="1000805"/>
          <a:ext cx="1571623"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3" name="SUBMENU6">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4" name="SUBMENU7">
          <a:hlinkClick xmlns:r="http://schemas.openxmlformats.org/officeDocument/2006/relationships" r:id="rId3"/>
          <a:extLst>
            <a:ext uri="{FF2B5EF4-FFF2-40B4-BE49-F238E27FC236}">
              <a16:creationId xmlns:a16="http://schemas.microsoft.com/office/drawing/2014/main" id="{00000000-0008-0000-0D00-000004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5" name="SUBMENU8">
          <a:hlinkClick xmlns:r="http://schemas.openxmlformats.org/officeDocument/2006/relationships" r:id="rId4"/>
          <a:extLst>
            <a:ext uri="{FF2B5EF4-FFF2-40B4-BE49-F238E27FC236}">
              <a16:creationId xmlns:a16="http://schemas.microsoft.com/office/drawing/2014/main" id="{00000000-0008-0000-0D00-000005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6" name="MENU2">
          <a:hlinkClick xmlns:r="http://schemas.openxmlformats.org/officeDocument/2006/relationships" r:id="rId5" tooltip=" "/>
          <a:extLst>
            <a:ext uri="{FF2B5EF4-FFF2-40B4-BE49-F238E27FC236}">
              <a16:creationId xmlns:a16="http://schemas.microsoft.com/office/drawing/2014/main" id="{00000000-0008-0000-0D00-000006000000}"/>
            </a:ext>
          </a:extLst>
        </xdr:cNvPr>
        <xdr:cNvSpPr/>
      </xdr:nvSpPr>
      <xdr:spPr>
        <a:xfrm>
          <a:off x="3771900"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7" name="TOPRIBBON">
          <a:extLst>
            <a:ext uri="{FF2B5EF4-FFF2-40B4-BE49-F238E27FC236}">
              <a16:creationId xmlns:a16="http://schemas.microsoft.com/office/drawing/2014/main" id="{00000000-0008-0000-0D00-000007000000}"/>
            </a:ext>
          </a:extLst>
        </xdr:cNvPr>
        <xdr:cNvSpPr/>
      </xdr:nvSpPr>
      <xdr:spPr>
        <a:xfrm>
          <a:off x="314325" y="800101"/>
          <a:ext cx="13529781" cy="600074"/>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8" name="MENU1">
          <a:hlinkClick xmlns:r="http://schemas.openxmlformats.org/officeDocument/2006/relationships" r:id="rId6" tooltip=" "/>
          <a:extLst>
            <a:ext uri="{FF2B5EF4-FFF2-40B4-BE49-F238E27FC236}">
              <a16:creationId xmlns:a16="http://schemas.microsoft.com/office/drawing/2014/main" id="{00000000-0008-0000-0D00-000008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9" name="MENU3">
          <a:hlinkClick xmlns:r="http://schemas.openxmlformats.org/officeDocument/2006/relationships" r:id="rId7" tooltip=" "/>
          <a:extLst>
            <a:ext uri="{FF2B5EF4-FFF2-40B4-BE49-F238E27FC236}">
              <a16:creationId xmlns:a16="http://schemas.microsoft.com/office/drawing/2014/main" id="{00000000-0008-0000-0D00-000009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10" name="MENU4">
          <a:hlinkClick xmlns:r="http://schemas.openxmlformats.org/officeDocument/2006/relationships" r:id="rId8" tooltip=" "/>
          <a:extLst>
            <a:ext uri="{FF2B5EF4-FFF2-40B4-BE49-F238E27FC236}">
              <a16:creationId xmlns:a16="http://schemas.microsoft.com/office/drawing/2014/main" id="{00000000-0008-0000-0D00-00000A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11" name="MENU5">
          <a:hlinkClick xmlns:r="http://schemas.openxmlformats.org/officeDocument/2006/relationships" r:id="rId9" tooltip=" "/>
          <a:extLst>
            <a:ext uri="{FF2B5EF4-FFF2-40B4-BE49-F238E27FC236}">
              <a16:creationId xmlns:a16="http://schemas.microsoft.com/office/drawing/2014/main" id="{00000000-0008-0000-0D00-00000B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12" name="MENU6">
          <a:extLst>
            <a:ext uri="{FF2B5EF4-FFF2-40B4-BE49-F238E27FC236}">
              <a16:creationId xmlns:a16="http://schemas.microsoft.com/office/drawing/2014/main" id="{00000000-0008-0000-0D00-00000C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37</xdr:col>
      <xdr:colOff>559</xdr:colOff>
      <xdr:row>1</xdr:row>
      <xdr:rowOff>0</xdr:rowOff>
    </xdr:from>
    <xdr:to>
      <xdr:col>42</xdr:col>
      <xdr:colOff>559</xdr:colOff>
      <xdr:row>4</xdr:row>
      <xdr:rowOff>0</xdr:rowOff>
    </xdr:to>
    <xdr:sp macro="" textlink="MAIN7">
      <xdr:nvSpPr>
        <xdr:cNvPr id="13" name="MENU7">
          <a:extLst>
            <a:ext uri="{FF2B5EF4-FFF2-40B4-BE49-F238E27FC236}">
              <a16:creationId xmlns:a16="http://schemas.microsoft.com/office/drawing/2014/main" id="{00000000-0008-0000-0D00-00000D000000}"/>
            </a:ext>
          </a:extLst>
        </xdr:cNvPr>
        <xdr:cNvSpPr/>
      </xdr:nvSpPr>
      <xdr:spPr>
        <a:xfrm>
          <a:off x="1163058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7</xdr:col>
      <xdr:colOff>1156</xdr:colOff>
      <xdr:row>4</xdr:row>
      <xdr:rowOff>200705</xdr:rowOff>
    </xdr:from>
    <xdr:to>
      <xdr:col>12</xdr:col>
      <xdr:colOff>1155</xdr:colOff>
      <xdr:row>7</xdr:row>
      <xdr:rowOff>0</xdr:rowOff>
    </xdr:to>
    <xdr:sp macro="" textlink="M2S2">
      <xdr:nvSpPr>
        <xdr:cNvPr id="14" name="SUBMENU2">
          <a:hlinkClick xmlns:r="http://schemas.openxmlformats.org/officeDocument/2006/relationships" r:id="rId10" tooltip=" "/>
          <a:extLst>
            <a:ext uri="{FF2B5EF4-FFF2-40B4-BE49-F238E27FC236}">
              <a16:creationId xmlns:a16="http://schemas.microsoft.com/office/drawing/2014/main" id="{00000000-0008-0000-0D00-00000E000000}"/>
            </a:ext>
          </a:extLst>
        </xdr:cNvPr>
        <xdr:cNvSpPr/>
      </xdr:nvSpPr>
      <xdr:spPr>
        <a:xfrm>
          <a:off x="2201431"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rgbClr val="FFFFFF"/>
              </a:solidFill>
              <a:latin typeface="Arial" panose="020B0604020202020204" pitchFamily="34" charset="0"/>
              <a:cs typeface="Arial" panose="020B0604020202020204" pitchFamily="34" charset="0"/>
            </a:rPr>
            <a:pPr algn="ctr"/>
            <a:t>Company and Site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1854</xdr:colOff>
      <xdr:row>4</xdr:row>
      <xdr:rowOff>200705</xdr:rowOff>
    </xdr:from>
    <xdr:to>
      <xdr:col>17</xdr:col>
      <xdr:colOff>1853</xdr:colOff>
      <xdr:row>7</xdr:row>
      <xdr:rowOff>0</xdr:rowOff>
    </xdr:to>
    <xdr:sp macro="" textlink="M2S3">
      <xdr:nvSpPr>
        <xdr:cNvPr id="15" name="SUBMENU3">
          <a:hlinkClick xmlns:r="http://schemas.openxmlformats.org/officeDocument/2006/relationships" r:id="rId11" tooltip=" "/>
          <a:extLst>
            <a:ext uri="{FF2B5EF4-FFF2-40B4-BE49-F238E27FC236}">
              <a16:creationId xmlns:a16="http://schemas.microsoft.com/office/drawing/2014/main" id="{00000000-0008-0000-0D00-00000F000000}"/>
            </a:ext>
          </a:extLst>
        </xdr:cNvPr>
        <xdr:cNvSpPr/>
      </xdr:nvSpPr>
      <xdr:spPr>
        <a:xfrm>
          <a:off x="3773754"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rgbClr val="FFFFFF"/>
              </a:solidFill>
              <a:latin typeface="Arial" panose="020B0604020202020204" pitchFamily="34" charset="0"/>
              <a:cs typeface="Arial" panose="020B0604020202020204" pitchFamily="34" charset="0"/>
            </a:rPr>
            <a:pPr algn="ctr"/>
            <a:t>Trade Ally / Vendor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6" name="SUBMENU4">
          <a:hlinkClick xmlns:r="http://schemas.openxmlformats.org/officeDocument/2006/relationships" r:id="rId12" tooltip=" "/>
          <a:extLst>
            <a:ext uri="{FF2B5EF4-FFF2-40B4-BE49-F238E27FC236}">
              <a16:creationId xmlns:a16="http://schemas.microsoft.com/office/drawing/2014/main" id="{00000000-0008-0000-0D00-000010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rgbClr val="FFFFFF"/>
              </a:solidFill>
              <a:latin typeface="Arial" panose="020B0604020202020204" pitchFamily="34" charset="0"/>
              <a:cs typeface="Arial" panose="020B0604020202020204" pitchFamily="34" charset="0"/>
            </a:rPr>
            <a:pPr algn="ctr"/>
            <a:t>Payment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17" name="BOTTOMRIBBON">
          <a:extLst>
            <a:ext uri="{FF2B5EF4-FFF2-40B4-BE49-F238E27FC236}">
              <a16:creationId xmlns:a16="http://schemas.microsoft.com/office/drawing/2014/main" id="{00000000-0008-0000-0D00-000011000000}"/>
            </a:ext>
          </a:extLst>
        </xdr:cNvPr>
        <xdr:cNvSpPr/>
      </xdr:nvSpPr>
      <xdr:spPr>
        <a:xfrm>
          <a:off x="314325" y="1400175"/>
          <a:ext cx="13529781" cy="200025"/>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84133</xdr:colOff>
      <xdr:row>0</xdr:row>
      <xdr:rowOff>156884</xdr:rowOff>
    </xdr:from>
    <xdr:to>
      <xdr:col>5</xdr:col>
      <xdr:colOff>49121</xdr:colOff>
      <xdr:row>3</xdr:row>
      <xdr:rowOff>24177</xdr:rowOff>
    </xdr:to>
    <xdr:pic>
      <xdr:nvPicPr>
        <xdr:cNvPr id="18" name="LOGO">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11662" y="156884"/>
          <a:ext cx="906283" cy="461205"/>
        </a:xfrm>
        <a:prstGeom prst="rect">
          <a:avLst/>
        </a:prstGeom>
      </xdr:spPr>
    </xdr:pic>
    <xdr:clientData/>
  </xdr:twoCellAnchor>
  <xdr:twoCellAnchor>
    <xdr:from>
      <xdr:col>2</xdr:col>
      <xdr:colOff>2720</xdr:colOff>
      <xdr:row>5</xdr:row>
      <xdr:rowOff>62006</xdr:rowOff>
    </xdr:from>
    <xdr:to>
      <xdr:col>7</xdr:col>
      <xdr:colOff>457</xdr:colOff>
      <xdr:row>7</xdr:row>
      <xdr:rowOff>59808</xdr:rowOff>
    </xdr:to>
    <xdr:sp macro="" textlink="M2S1">
      <xdr:nvSpPr>
        <xdr:cNvPr id="19" name="SUBMENU1">
          <a:hlinkClick xmlns:r="http://schemas.openxmlformats.org/officeDocument/2006/relationships" r:id="rId5" tooltip=" "/>
          <a:extLst>
            <a:ext uri="{FF2B5EF4-FFF2-40B4-BE49-F238E27FC236}">
              <a16:creationId xmlns:a16="http://schemas.microsoft.com/office/drawing/2014/main" id="{00000000-0008-0000-0D00-000013000000}"/>
            </a:ext>
          </a:extLst>
        </xdr:cNvPr>
        <xdr:cNvSpPr/>
      </xdr:nvSpPr>
      <xdr:spPr>
        <a:xfrm>
          <a:off x="631370" y="1062131"/>
          <a:ext cx="1569362" cy="39785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rgbClr val="FFFFFF"/>
              </a:solidFill>
              <a:latin typeface="Arial" panose="020B0604020202020204" pitchFamily="34" charset="0"/>
              <a:cs typeface="Arial" panose="020B0604020202020204" pitchFamily="34" charset="0"/>
            </a:rPr>
            <a:pPr algn="ctr"/>
            <a:t>Terms &amp; Conditions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8</xdr:row>
      <xdr:rowOff>0</xdr:rowOff>
    </xdr:from>
    <xdr:to>
      <xdr:col>44</xdr:col>
      <xdr:colOff>0</xdr:colOff>
      <xdr:row>199</xdr:row>
      <xdr:rowOff>22412</xdr:rowOff>
    </xdr:to>
    <xdr:sp macro="" textlink="">
      <xdr:nvSpPr>
        <xdr:cNvPr id="20" name="BORDER">
          <a:extLst>
            <a:ext uri="{FF2B5EF4-FFF2-40B4-BE49-F238E27FC236}">
              <a16:creationId xmlns:a16="http://schemas.microsoft.com/office/drawing/2014/main" id="{00000000-0008-0000-0D00-000014000000}"/>
            </a:ext>
          </a:extLst>
        </xdr:cNvPr>
        <xdr:cNvSpPr/>
      </xdr:nvSpPr>
      <xdr:spPr>
        <a:xfrm>
          <a:off x="313765" y="1546412"/>
          <a:ext cx="13491882" cy="36542382"/>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0</xdr:colOff>
      <xdr:row>11</xdr:row>
      <xdr:rowOff>67232</xdr:rowOff>
    </xdr:from>
    <xdr:to>
      <xdr:col>42</xdr:col>
      <xdr:colOff>310475</xdr:colOff>
      <xdr:row>116</xdr:row>
      <xdr:rowOff>22412</xdr:rowOff>
    </xdr:to>
    <xdr:sp macro="" textlink="">
      <xdr:nvSpPr>
        <xdr:cNvPr id="21" name="TextBox 20">
          <a:extLst>
            <a:ext uri="{FF2B5EF4-FFF2-40B4-BE49-F238E27FC236}">
              <a16:creationId xmlns:a16="http://schemas.microsoft.com/office/drawing/2014/main" id="{00000000-0008-0000-0D00-000015000000}"/>
            </a:ext>
          </a:extLst>
        </xdr:cNvPr>
        <xdr:cNvSpPr txBox="1"/>
      </xdr:nvSpPr>
      <xdr:spPr>
        <a:xfrm>
          <a:off x="627529" y="2252379"/>
          <a:ext cx="12861064" cy="1995768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1. Definitions: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Eligibility for Custom (including retro-commissioning measures)/Prescriptive/New Construction Programs:  Customers include those currently billed under NIPSCO electric rates 520, 521, 522, 523, 524, 525, 526, 531 Tier 1, 532, 533, 541, 543, or 544 and those who have not opted out of participation in NIPSCO’s Energy Efficiency Program, and non-transport only natural gas rates 321, 325 or 351 (NIPSCO’s DependaBill rate).  Customer shall not include individuals, sites or locations served under a NIPSCO residential tariff.</a:t>
          </a:r>
        </a:p>
        <a:p>
          <a:r>
            <a:rPr lang="en-US" sz="1100">
              <a:solidFill>
                <a:schemeClr val="dk1"/>
              </a:solidFill>
              <a:effectLst/>
              <a:latin typeface="+mn-lt"/>
              <a:ea typeface="+mn-ea"/>
              <a:cs typeface="+mn-cs"/>
            </a:rPr>
            <a:t>b. Eligibility for the Small Business Direct Install (SBDI) Program: Customers include those currently billed under NIPSCO electric rates 520, 521, 522 or 523, who have not had a billing demand of 200 kW or greater in any month during the previous 12 months. Eligible NIPSCO natural gas customers are those served under rates 321, 325 or 351 (NIPSCO’s DependaBill rate). SBDI measures/projects must be installed by a program approved SBDI Trade Ally.</a:t>
          </a:r>
        </a:p>
        <a:p>
          <a:r>
            <a:rPr lang="en-US" sz="1100">
              <a:solidFill>
                <a:schemeClr val="dk1"/>
              </a:solidFill>
              <a:effectLst/>
              <a:latin typeface="+mn-lt"/>
              <a:ea typeface="+mn-ea"/>
              <a:cs typeface="+mn-cs"/>
            </a:rPr>
            <a:t>c. General Project Pool: The total amount of funds available from NIPSCO on an annual basis to be awarded as Incentive Amounts.</a:t>
          </a:r>
        </a:p>
        <a:p>
          <a:r>
            <a:rPr lang="en-US" sz="1100">
              <a:solidFill>
                <a:schemeClr val="dk1"/>
              </a:solidFill>
              <a:effectLst/>
              <a:latin typeface="+mn-lt"/>
              <a:ea typeface="+mn-ea"/>
              <a:cs typeface="+mn-cs"/>
            </a:rPr>
            <a:t>d. Incentive Amount: The dollar figure of the incentive to be provided by the NIPSCO Commercial and Industrial Custom (including retro-commissioning measures), New Construction, SBDI or Prescriptive Program to the Customer if Customer’s Project is approved and the Project is completed in accordance with the terms and conditions of the Program.</a:t>
          </a:r>
        </a:p>
        <a:p>
          <a:r>
            <a:rPr lang="en-US" sz="1100">
              <a:solidFill>
                <a:schemeClr val="dk1"/>
              </a:solidFill>
              <a:effectLst/>
              <a:latin typeface="+mn-lt"/>
              <a:ea typeface="+mn-ea"/>
              <a:cs typeface="+mn-cs"/>
            </a:rPr>
            <a:t>e. Program: The Incentive Amounts provided by the NIPSCO Commercial and Industrial Custom (including retro-commissioning measures), New Construction, SBDI or Prescriptive Program to Customers installing qualifying cost-effective energy equipment that reduces electricity usage (kWh) or gas usage (Therm).</a:t>
          </a:r>
        </a:p>
        <a:p>
          <a:r>
            <a:rPr lang="en-US" sz="1100">
              <a:solidFill>
                <a:schemeClr val="dk1"/>
              </a:solidFill>
              <a:effectLst/>
              <a:latin typeface="+mn-lt"/>
              <a:ea typeface="+mn-ea"/>
              <a:cs typeface="+mn-cs"/>
            </a:rPr>
            <a:t>f: Project: Customer’s retrofit or replacement of existing Equipment with high energy efficiency equipment that will reduce the use of electricity or gas as described in Customer’s application.</a:t>
          </a:r>
        </a:p>
        <a:p>
          <a:r>
            <a:rPr lang="en-US" sz="1100">
              <a:solidFill>
                <a:schemeClr val="dk1"/>
              </a:solidFill>
              <a:effectLst/>
              <a:latin typeface="+mn-lt"/>
              <a:ea typeface="+mn-ea"/>
              <a:cs typeface="+mn-cs"/>
            </a:rPr>
            <a:t>g. If the customer participates in the Midstream Channel by purchasing qualifying equipment from a participating distributor, they are not eligible to participate in the Prescriptive, SBDI, Custom, New Construction, or any other programs for an incentive on the same piece of equipment.</a:t>
          </a:r>
        </a:p>
        <a:p>
          <a:r>
            <a:rPr lang="en-US" sz="1100" b="1">
              <a:solidFill>
                <a:schemeClr val="dk1"/>
              </a:solidFill>
              <a:effectLst/>
              <a:latin typeface="+mn-lt"/>
              <a:ea typeface="+mn-ea"/>
              <a:cs typeface="+mn-cs"/>
            </a:rPr>
            <a:t>2. Incentive Offer:</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Custom/New Construction Program - A qualified Project involves the retrofit or replacement of existing equipment with high-efficiency equipment by a Customer or Trade Ally. The Incentive Amount is a one-time payment calculated by multiplying the Incentive rate per Program (Custom (including retro-commissioning measures)/New Construction Electric Lighting $.10/kWh, Custom (including retro-commissioning measures)/New Construction Electric Non-Lighting $.12/kWh, Custom (RCx Study) $.01/kWh, Custom (including retro-commissioning measures) Natural Gas $1.00/therm, New Construction Natural Gas $1.00/therm; Prescriptive &amp; SBDI measures are paid on a per unit basis, not per unit of savings) by the first year annual kWh/therm savings. Beginning a Project prior to approval by TRC Companies (TRC) is at Customer’s sole risk. Project approval is required before incentive eligibility will be granted. The proposed Project simple payback without Incentive Amount must be one (1) year or greater and have a benefit/cost ratio of greater than 1. The simple payback requirement does not apply to retro-commissioning measures. A Customer shall complete a project no later than 18 months (6 months for retro-commissioning measures) from project approval by NIPSCO's program administrator TRC or by November 16, 2024, whichever occurs earlier. Projects that are not completed within 18 months or by November 16, 2024 shall forfeit their position in the queue for program funds unless otherwise agreed by the Company in its sole reasonable discretion based upon consideration of Customer’s completion of project milestones and/or construction activity to begin the project. Such a waiver by the Company shall not exceed 90 days in length, although the Customer may request additional extension(s) so long as each request does not exceed 90 days. The signed Incentive Offer form must be delivered to NIPSCO Commercial and Industrial program administrator, TRC as indicated in this Agreement before a Project begins. Incentive Offers are valid for 30 days, Incentive Offers not returned within 30 days may not qualify for an Incentive Amount. Please keep a copy for your records. An approved Incentive Offer is not a guarantee of being awarded any Incentive Amount. Project proposals that do not reduce electric use (kWh) or natural gas use (therms) will not qualify to be awarded any Incentive Amount.</a:t>
          </a:r>
        </a:p>
        <a:p>
          <a:r>
            <a:rPr lang="en-US" sz="1100">
              <a:solidFill>
                <a:schemeClr val="dk1"/>
              </a:solidFill>
              <a:effectLst/>
              <a:latin typeface="+mn-lt"/>
              <a:ea typeface="+mn-ea"/>
              <a:cs typeface="+mn-cs"/>
            </a:rPr>
            <a:t>b. Prescriptive/SBDI Program - Projects that do not reduce natural gas use (therms) or electric use (kWh) will not qualify to be awarded any Incentive Amounts. All measures must be installed and operational with applications received by TRC within 90 days of measure installation or no later than November 16, 2024, whichever is earlier. Prescriptive and/or SBDI projects with an estimated Incentive Amount of greater than or equal to $10,000 require pre- approval from the Program prior to the purchase or installation of any energy efficiency measures.</a:t>
          </a:r>
        </a:p>
        <a:p>
          <a:r>
            <a:rPr lang="en-US" sz="1100" b="1">
              <a:solidFill>
                <a:schemeClr val="dk1"/>
              </a:solidFill>
              <a:effectLst/>
              <a:latin typeface="+mn-lt"/>
              <a:ea typeface="+mn-ea"/>
              <a:cs typeface="+mn-cs"/>
            </a:rPr>
            <a:t>3. General:</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These Programs are valid for Customers that meet the definition of Customer above and who are in good standing and in compliance with the creditworthiness requirements set forth in NIPSCO’s tariff. The Customer must provide the correct taxpayer identification number. Incentive Amounts are reserved on a first come, first-served basis. Incentive Amounts are reserved for each Project at the time an Incentive application is approved and executed. Incentive Amounts are returned to the General Project Pool if the Project is disqualified, or not completed by the completion date, or completion date is not extended by the NIPSCO Commercial and Industrial Custom Program.</a:t>
          </a:r>
        </a:p>
        <a:p>
          <a:r>
            <a:rPr lang="en-US" sz="1100" b="1">
              <a:solidFill>
                <a:schemeClr val="dk1"/>
              </a:solidFill>
              <a:effectLst/>
              <a:latin typeface="+mn-lt"/>
              <a:ea typeface="+mn-ea"/>
              <a:cs typeface="+mn-cs"/>
            </a:rPr>
            <a:t>4. Proof of Purchase:</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 (including retro-commissioning measures)/New Construction Program - The Project Completion Form must have complete information and be submitted with the invoice and manufacturer specification sheets. The invoice must include date of purchase or installation, itemized material cost including quantity, size (if applicable), manufacturer and model number, and total Project cost. A Contractor proposal cannot be used as a paid invoice. The Project Completion Form must be submitted no more than 30 days after Project installation, or no later than November 16, 2024, whichever is earlier to be eligible for the Incentive Amount unless an extension has been granted.</a:t>
          </a:r>
        </a:p>
        <a:p>
          <a:r>
            <a:rPr lang="en-US" sz="1100">
              <a:solidFill>
                <a:schemeClr val="dk1"/>
              </a:solidFill>
              <a:effectLst/>
              <a:latin typeface="+mn-lt"/>
              <a:ea typeface="+mn-ea"/>
              <a:cs typeface="+mn-cs"/>
            </a:rPr>
            <a:t>b. Prescriptive/SBDI Program - The Prescriptive Incentive Application must have complete information and be submitted with the invoice and manufacturer specification sheets. The invoice must include date of purchase or installation, itemized material cost including quantity, size (if applicable), manufacturer and model number, and total Project cost. Total Incentive Amount paid cannot exceed 100% of the total installed measure cost. A contractor proposal cannot be used as a paid invoice. The Prescriptive Incentive Application must be submitted no more than 90 days after measure(s) installed, or by November 16, 2024, whichever is earlier, to be eligible. Prescriptive or SBDI projects with an estimated Incentive Amount of greater than or equal to $10,000 require pre-approval from the Program prior to the purchase or installation of any energy efficiency measures.</a:t>
          </a:r>
        </a:p>
        <a:p>
          <a:r>
            <a:rPr lang="en-US" sz="1100" b="1">
              <a:solidFill>
                <a:schemeClr val="dk1"/>
              </a:solidFill>
              <a:effectLst/>
              <a:latin typeface="+mn-lt"/>
              <a:ea typeface="+mn-ea"/>
              <a:cs typeface="+mn-cs"/>
            </a:rPr>
            <a:t>5. Compliance:</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All Projects are expected to comply with federal, state and local codes.</a:t>
          </a:r>
        </a:p>
        <a:p>
          <a:r>
            <a:rPr lang="en-US" sz="1100">
              <a:solidFill>
                <a:schemeClr val="dk1"/>
              </a:solidFill>
              <a:effectLst/>
              <a:latin typeface="+mn-lt"/>
              <a:ea typeface="+mn-ea"/>
              <a:cs typeface="+mn-cs"/>
            </a:rPr>
            <a:t>b. All equipment must be new or retrofitted with new components per the Program specifications (with the exception of studies or surveys). Used or rebuilt equipment is not eligible for an incentive. Existing equipment must be removed or permanently disconnected.</a:t>
          </a:r>
        </a:p>
        <a:p>
          <a:r>
            <a:rPr lang="en-US" sz="1100">
              <a:solidFill>
                <a:schemeClr val="dk1"/>
              </a:solidFill>
              <a:effectLst/>
              <a:latin typeface="+mn-lt"/>
              <a:ea typeface="+mn-ea"/>
              <a:cs typeface="+mn-cs"/>
            </a:rPr>
            <a:t>c. Equipment must meet approved specification requirements (new, saves energy, meets local state and federal codes) and must be purchased and operating no more than 90 days prior to submitting a Project Completion Form for payment of Incentive Amount. Prescriptive &amp; SBDI Incentive Applications must be submitted within 90 days of measure installation, or by November 16, 2024, whichever is earlier.</a:t>
          </a:r>
        </a:p>
        <a:p>
          <a:r>
            <a:rPr lang="en-US" sz="1100">
              <a:solidFill>
                <a:schemeClr val="dk1"/>
              </a:solidFill>
              <a:effectLst/>
              <a:latin typeface="+mn-lt"/>
              <a:ea typeface="+mn-ea"/>
              <a:cs typeface="+mn-cs"/>
            </a:rPr>
            <a:t>d. Only one NIPSCO Incentive will be granted for each Project.</a:t>
          </a:r>
        </a:p>
        <a:p>
          <a:r>
            <a:rPr lang="en-US" sz="1100">
              <a:solidFill>
                <a:schemeClr val="dk1"/>
              </a:solidFill>
              <a:effectLst/>
              <a:latin typeface="+mn-lt"/>
              <a:ea typeface="+mn-ea"/>
              <a:cs typeface="+mn-cs"/>
            </a:rPr>
            <a:t>e. A Project must be complete within 18 months, or no later than November 16, 2024 whichever is earlier, from the date that the Incentive Offer was approved.</a:t>
          </a:r>
        </a:p>
        <a:p>
          <a:r>
            <a:rPr lang="en-US" sz="1100" b="1">
              <a:solidFill>
                <a:schemeClr val="dk1"/>
              </a:solidFill>
              <a:effectLst/>
              <a:latin typeface="+mn-lt"/>
              <a:ea typeface="+mn-ea"/>
              <a:cs typeface="+mn-cs"/>
            </a:rPr>
            <a:t>6. Verifications: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TRC staff may conduct a pre and/or post installation inspection to verify installations and savings prior to the Incentive Offer issuance or payment of Incentive Amount. NIPSCO reserves the right to verify sales receipts and/or installations of equipment and that the equipment installed meets Program requirements before payment of Incentive Amount. Any Customer receiving a payment of Incentive Amount may be contacted and required to comply with a third-party Evaluation, Measurement &amp; Verification (EM&amp;V) evaluator to verify service/equipment installation or be asked to complete a questionnaire. EM&amp;V may be someone other than TRC or NIPSCO.</a:t>
          </a:r>
        </a:p>
        <a:p>
          <a:r>
            <a:rPr lang="en-US" sz="1100" b="1">
              <a:solidFill>
                <a:schemeClr val="dk1"/>
              </a:solidFill>
              <a:effectLst/>
              <a:latin typeface="+mn-lt"/>
              <a:ea typeface="+mn-ea"/>
              <a:cs typeface="+mn-cs"/>
            </a:rPr>
            <a:t>7. Payment:</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 (including retro-commissioning measures)/New Construction Program - Once final paperwork is submitted (Completion Form) and Project inspection completed (as applicable), payment of Incentive Payments are made within forty-five (45) business days. Incomplete applications will delay payment. NIPSCO reserves the right to refuse payment and participation if the Customer or Contractor violates Program terms, conditions, rules or specifications. </a:t>
          </a:r>
        </a:p>
        <a:p>
          <a:r>
            <a:rPr lang="en-US" sz="1100">
              <a:solidFill>
                <a:schemeClr val="dk1"/>
              </a:solidFill>
              <a:effectLst/>
              <a:latin typeface="+mn-lt"/>
              <a:ea typeface="+mn-ea"/>
              <a:cs typeface="+mn-cs"/>
            </a:rPr>
            <a:t>b. Prescriptive/SBDI Program - Once a Prescriptive or SBDI Incentive Application is submitted, approved and Project inspection completed (as applicable), Incentive Amount payments are made within forty-five (45) business days. Incomplete applications will delay payment. NIPSCO reserves the right to refuse payment and participation if the Customer or Contractor violates Program rules.</a:t>
          </a:r>
        </a:p>
        <a:p>
          <a:r>
            <a:rPr lang="en-US" sz="1100" b="1">
              <a:solidFill>
                <a:schemeClr val="dk1"/>
              </a:solidFill>
              <a:effectLst/>
              <a:latin typeface="+mn-lt"/>
              <a:ea typeface="+mn-ea"/>
              <a:cs typeface="+mn-cs"/>
            </a:rPr>
            <a:t>8. Total Incentive Amounts: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 Program (including retro-commissioning measures) - The total Incentive Amount paid to a Customer on a Project cannot exceed 100 percent of the incremental measure cost and 75 percent of the total measure cost. Total costs can include materials, any applicable taxes, labor (internal or external), and shipping.  The definition of incremental measure cost depends on whether the measure being installed is considered to be a replacement or a retrofit. For replacement measures, the incremental measure cost is defined as the cost to purchase and install the energy efficient equipment minus the cost to purchase and install similar equipment that would meet federal and local energy standards but not qualify for Incentive Amounts under this Program. For retrofit measures, the incremental measure cost is simply the cost to purchase and install the qualifying measures.</a:t>
          </a:r>
        </a:p>
        <a:p>
          <a:r>
            <a:rPr lang="en-US" sz="1100">
              <a:solidFill>
                <a:schemeClr val="dk1"/>
              </a:solidFill>
              <a:effectLst/>
              <a:latin typeface="+mn-lt"/>
              <a:ea typeface="+mn-ea"/>
              <a:cs typeface="+mn-cs"/>
            </a:rPr>
            <a:t>b. RCx custom electric projects that include an RCx study will be eligible for a separate RCx Study Incentive that will be paid to the TRC approved RCx provider who completes the study*.  This incentive will be paid in addition to the custom incentive, eligible for only electric RCx measures and capped at the RCx study cost.  The RCx Study Incentive will be paid after the installation of the RCx electric measures.</a:t>
          </a:r>
        </a:p>
        <a:p>
          <a:r>
            <a:rPr lang="en-US" sz="1100">
              <a:solidFill>
                <a:schemeClr val="dk1"/>
              </a:solidFill>
              <a:effectLst/>
              <a:latin typeface="+mn-lt"/>
              <a:ea typeface="+mn-ea"/>
              <a:cs typeface="+mn-cs"/>
            </a:rPr>
            <a:t>*Please contact TRC to learn how to become an RCx approved Trade Ally or visit trcsavesenergy.com/TradeAlly/BecomeTradeAlly. </a:t>
          </a:r>
        </a:p>
        <a:p>
          <a:r>
            <a:rPr lang="en-US" sz="1100">
              <a:solidFill>
                <a:schemeClr val="dk1"/>
              </a:solidFill>
              <a:effectLst/>
              <a:latin typeface="+mn-lt"/>
              <a:ea typeface="+mn-ea"/>
              <a:cs typeface="+mn-cs"/>
            </a:rPr>
            <a:t>c. Prescriptive / SBDI Program - The total Incentive Amount paid to a Customer on a Project cannot exceed the total purchase price of the equipment, product or service. Total costs can include materials, any applicable taxes, labor (internal or external), and shipping.</a:t>
          </a:r>
        </a:p>
        <a:p>
          <a:r>
            <a:rPr lang="en-US" sz="1100">
              <a:solidFill>
                <a:schemeClr val="dk1"/>
              </a:solidFill>
              <a:effectLst/>
              <a:latin typeface="+mn-lt"/>
              <a:ea typeface="+mn-ea"/>
              <a:cs typeface="+mn-cs"/>
            </a:rPr>
            <a:t>d. New Construction Program - The total Incentive Amount to a Customer on a Project paid cannot exceed the total purchase price of the equipment, product or service. Total costs can include materials, any applicable taxes, labor (internal or external), and shipping.</a:t>
          </a:r>
        </a:p>
        <a:p>
          <a:r>
            <a:rPr lang="en-US" sz="1100">
              <a:solidFill>
                <a:schemeClr val="dk1"/>
              </a:solidFill>
              <a:effectLst/>
              <a:latin typeface="+mn-lt"/>
              <a:ea typeface="+mn-ea"/>
              <a:cs typeface="+mn-cs"/>
            </a:rPr>
            <a:t>e. Program Incentive Cap: Per Project $500,000 per year per fuel and Program absolute Incentive Amount cap per Customer is $1,000,000 per year per fuel.</a:t>
          </a:r>
        </a:p>
        <a:p>
          <a:r>
            <a:rPr lang="en-US" sz="1100" b="1">
              <a:solidFill>
                <a:schemeClr val="dk1"/>
              </a:solidFill>
              <a:effectLst/>
              <a:latin typeface="+mn-lt"/>
              <a:ea typeface="+mn-ea"/>
              <a:cs typeface="+mn-cs"/>
            </a:rPr>
            <a:t>9. </a:t>
          </a:r>
          <a:r>
            <a:rPr lang="en-US" sz="1100">
              <a:solidFill>
                <a:schemeClr val="dk1"/>
              </a:solidFill>
              <a:effectLst/>
              <a:latin typeface="+mn-lt"/>
              <a:ea typeface="+mn-ea"/>
              <a:cs typeface="+mn-cs"/>
            </a:rPr>
            <a:t>Projects financially supported by other funding sources will be evaluated on a case-by-case basis for potential partial funding from NIPSCO.</a:t>
          </a:r>
        </a:p>
        <a:p>
          <a:r>
            <a:rPr lang="en-US" sz="1100" b="1">
              <a:solidFill>
                <a:schemeClr val="dk1"/>
              </a:solidFill>
              <a:effectLst/>
              <a:latin typeface="+mn-lt"/>
              <a:ea typeface="+mn-ea"/>
              <a:cs typeface="+mn-cs"/>
            </a:rPr>
            <a:t>10. </a:t>
          </a:r>
          <a:r>
            <a:rPr lang="en-US" sz="1100">
              <a:solidFill>
                <a:schemeClr val="dk1"/>
              </a:solidFill>
              <a:effectLst/>
              <a:latin typeface="+mn-lt"/>
              <a:ea typeface="+mn-ea"/>
              <a:cs typeface="+mn-cs"/>
            </a:rPr>
            <a:t>NIPSCO may terminate the Agreement at any time for any reason. If the Agreement is terminated, NIPSCO shall not be liable to the Customer for damages or compensation of any kind.</a:t>
          </a:r>
        </a:p>
        <a:p>
          <a:r>
            <a:rPr lang="en-US" sz="1100" b="1">
              <a:solidFill>
                <a:schemeClr val="dk1"/>
              </a:solidFill>
              <a:effectLst/>
              <a:latin typeface="+mn-lt"/>
              <a:ea typeface="+mn-ea"/>
              <a:cs typeface="+mn-cs"/>
            </a:rPr>
            <a:t>11.</a:t>
          </a:r>
          <a:r>
            <a:rPr lang="en-US" sz="1100">
              <a:solidFill>
                <a:schemeClr val="dk1"/>
              </a:solidFill>
              <a:effectLst/>
              <a:latin typeface="+mn-lt"/>
              <a:ea typeface="+mn-ea"/>
              <a:cs typeface="+mn-cs"/>
            </a:rPr>
            <a:t> Approved Incentive Amounts are valid from the date communicated to the Customer by NIPSCO. NIPSCO retains the right to adjust or rescind the approved Incentive Amount due to regulatory requirements, measurement, verification and evaluation results, or any business reason in the reasonable exercise of NIPSCO’s judgment including, but not limited to, Customer failing to remain a Customer in good standing and/or comply with applicable creditworthy requirements in NIPSCO’s tariff.</a:t>
          </a:r>
        </a:p>
        <a:p>
          <a:r>
            <a:rPr lang="en-US" sz="1100" b="1">
              <a:solidFill>
                <a:schemeClr val="dk1"/>
              </a:solidFill>
              <a:effectLst/>
              <a:latin typeface="+mn-lt"/>
              <a:ea typeface="+mn-ea"/>
              <a:cs typeface="+mn-cs"/>
            </a:rPr>
            <a:t>12.</a:t>
          </a:r>
          <a:r>
            <a:rPr lang="en-US" sz="1100">
              <a:solidFill>
                <a:schemeClr val="dk1"/>
              </a:solidFill>
              <a:effectLst/>
              <a:latin typeface="+mn-lt"/>
              <a:ea typeface="+mn-ea"/>
              <a:cs typeface="+mn-cs"/>
            </a:rPr>
            <a:t> If the approved Incentive Amount needs to be adjusted, TRC will notify the Customer of the adjustment as soon as possible.</a:t>
          </a:r>
        </a:p>
        <a:p>
          <a:r>
            <a:rPr lang="en-US" sz="1100" b="1">
              <a:solidFill>
                <a:schemeClr val="dk1"/>
              </a:solidFill>
              <a:effectLst/>
              <a:latin typeface="+mn-lt"/>
              <a:ea typeface="+mn-ea"/>
              <a:cs typeface="+mn-cs"/>
            </a:rPr>
            <a:t>13.</a:t>
          </a:r>
          <a:r>
            <a:rPr lang="en-US" sz="1100">
              <a:solidFill>
                <a:schemeClr val="dk1"/>
              </a:solidFill>
              <a:effectLst/>
              <a:latin typeface="+mn-lt"/>
              <a:ea typeface="+mn-ea"/>
              <a:cs typeface="+mn-cs"/>
            </a:rPr>
            <a:t> Contractors, engineering firms, vendors and other service providers are required to be registered with the Program for administrative purposes.</a:t>
          </a:r>
        </a:p>
        <a:p>
          <a:r>
            <a:rPr lang="en-US" sz="1100" b="1">
              <a:solidFill>
                <a:schemeClr val="dk1"/>
              </a:solidFill>
              <a:effectLst/>
              <a:latin typeface="+mn-lt"/>
              <a:ea typeface="+mn-ea"/>
              <a:cs typeface="+mn-cs"/>
            </a:rPr>
            <a:t>14.</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Publicity: </a:t>
          </a:r>
          <a:r>
            <a:rPr lang="en-US" sz="1100">
              <a:solidFill>
                <a:schemeClr val="dk1"/>
              </a:solidFill>
              <a:effectLst/>
              <a:latin typeface="+mn-lt"/>
              <a:ea typeface="+mn-ea"/>
              <a:cs typeface="+mn-cs"/>
            </a:rPr>
            <a:t>NIPSCO reserves the right to name the Customer as a participant in public releases, subject to Customer approval, which shall not be unreasonably withheld.</a:t>
          </a:r>
        </a:p>
        <a:p>
          <a:r>
            <a:rPr lang="en-US" sz="1100" b="1">
              <a:solidFill>
                <a:schemeClr val="dk1"/>
              </a:solidFill>
              <a:effectLst/>
              <a:latin typeface="+mn-lt"/>
              <a:ea typeface="+mn-ea"/>
              <a:cs typeface="+mn-cs"/>
            </a:rPr>
            <a:t>15.</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Program Discretion: </a:t>
          </a:r>
          <a:r>
            <a:rPr lang="en-US" sz="1100">
              <a:solidFill>
                <a:schemeClr val="dk1"/>
              </a:solidFill>
              <a:effectLst/>
              <a:latin typeface="+mn-lt"/>
              <a:ea typeface="+mn-ea"/>
              <a:cs typeface="+mn-cs"/>
            </a:rPr>
            <a:t>Incentive Amounts are available on a first-come, first-served basis. The Incentive Amount is subject to change or terminate at any time without notice at the discretion of NIPSCO.</a:t>
          </a:r>
        </a:p>
        <a:p>
          <a:r>
            <a:rPr lang="en-US" sz="1100" b="1">
              <a:solidFill>
                <a:schemeClr val="dk1"/>
              </a:solidFill>
              <a:effectLst/>
              <a:latin typeface="+mn-lt"/>
              <a:ea typeface="+mn-ea"/>
              <a:cs typeface="+mn-cs"/>
            </a:rPr>
            <a:t>16.</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Logo Use: </a:t>
          </a:r>
          <a:r>
            <a:rPr lang="en-US" sz="1100">
              <a:solidFill>
                <a:schemeClr val="dk1"/>
              </a:solidFill>
              <a:effectLst/>
              <a:latin typeface="+mn-lt"/>
              <a:ea typeface="+mn-ea"/>
              <a:cs typeface="+mn-cs"/>
            </a:rPr>
            <a:t>Customers or Contractors may not use the NIPSCO name or logo in any marketing, advertising or promotional material.</a:t>
          </a:r>
        </a:p>
        <a:p>
          <a:r>
            <a:rPr lang="en-US" sz="1100" b="1">
              <a:solidFill>
                <a:schemeClr val="dk1"/>
              </a:solidFill>
              <a:effectLst/>
              <a:latin typeface="+mn-lt"/>
              <a:ea typeface="+mn-ea"/>
              <a:cs typeface="+mn-cs"/>
            </a:rPr>
            <a:t>17. Disclaimers: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Customer and/or Contractor hereby agrees to indemnify, hold harmless and release NIPSCO, TRC and its affiliates from any and all actions or claims in regard to the installation, operation and disposal of equipment (and related materials) covered herein including liability from incidental or consequential damages. NIPSCO does not endorse any particular Contractor registered with the Program, manufacturer, product, labor or system design by offering these Programs.</a:t>
          </a:r>
        </a:p>
        <a:p>
          <a:r>
            <a:rPr lang="en-US" sz="1100">
              <a:solidFill>
                <a:schemeClr val="dk1"/>
              </a:solidFill>
              <a:effectLst/>
              <a:latin typeface="+mn-lt"/>
              <a:ea typeface="+mn-ea"/>
              <a:cs typeface="+mn-cs"/>
            </a:rPr>
            <a:t>b. NIPSCO will not be responsible for any tax liability imposed on the Customer as a result of the payment of Incentive Amounts.</a:t>
          </a:r>
        </a:p>
        <a:p>
          <a:r>
            <a:rPr lang="en-US" sz="1100">
              <a:solidFill>
                <a:schemeClr val="dk1"/>
              </a:solidFill>
              <a:effectLst/>
              <a:latin typeface="+mn-lt"/>
              <a:ea typeface="+mn-ea"/>
              <a:cs typeface="+mn-cs"/>
            </a:rPr>
            <a:t>c. NIPSCO does not expressly or implicitly warrant the performance of installed equipment or Contractor’s quality of work (Customer should contact Trade Ally for detailed warranties).</a:t>
          </a:r>
        </a:p>
        <a:p>
          <a:r>
            <a:rPr lang="en-US" sz="1100">
              <a:solidFill>
                <a:schemeClr val="dk1"/>
              </a:solidFill>
              <a:effectLst/>
              <a:latin typeface="+mn-lt"/>
              <a:ea typeface="+mn-ea"/>
              <a:cs typeface="+mn-cs"/>
            </a:rPr>
            <a:t>d. NIPSCO is not responsible for the proper disposal/recycling of any waste generated as a result of the Project. The proper disposal/recycling of any waste generated as a result of the Project shall be the sole responsibility of the Customer or its Contractor.</a:t>
          </a:r>
        </a:p>
        <a:p>
          <a:r>
            <a:rPr lang="en-US" sz="1100">
              <a:solidFill>
                <a:schemeClr val="dk1"/>
              </a:solidFill>
              <a:effectLst/>
              <a:latin typeface="+mn-lt"/>
              <a:ea typeface="+mn-ea"/>
              <a:cs typeface="+mn-cs"/>
            </a:rPr>
            <a:t>e. NIPSCO is not liable for any damage caused by the installation of the equipment or for any damage caused by the malfunction of the installed equipment.</a:t>
          </a:r>
        </a:p>
        <a:p>
          <a:r>
            <a:rPr lang="en-US" sz="1100">
              <a:solidFill>
                <a:schemeClr val="dk1"/>
              </a:solidFill>
              <a:effectLst/>
              <a:latin typeface="+mn-lt"/>
              <a:ea typeface="+mn-ea"/>
              <a:cs typeface="+mn-cs"/>
            </a:rPr>
            <a:t>f. NIPSCO does not guarantee that energy efficiency equipment purchased and installed or services provided through the Program will result in energy and costs savings.</a:t>
          </a:r>
        </a:p>
        <a:p>
          <a:r>
            <a:rPr lang="en-US" sz="1100">
              <a:solidFill>
                <a:schemeClr val="dk1"/>
              </a:solidFill>
              <a:effectLst/>
              <a:latin typeface="+mn-lt"/>
              <a:ea typeface="+mn-ea"/>
              <a:cs typeface="+mn-cs"/>
            </a:rPr>
            <a:t>g. NIPSCO reserves the right to change or discontinue the Program at any time without any liability to Customer. The approval of applications is determined by NIPSCO in its sole discretion.</a:t>
          </a:r>
        </a:p>
        <a:p>
          <a:r>
            <a:rPr lang="en-US" sz="1100" b="1">
              <a:solidFill>
                <a:schemeClr val="dk1"/>
              </a:solidFill>
              <a:effectLst/>
              <a:latin typeface="+mn-lt"/>
              <a:ea typeface="+mn-ea"/>
              <a:cs typeface="+mn-cs"/>
            </a:rPr>
            <a:t>18. </a:t>
          </a:r>
          <a:r>
            <a:rPr lang="en-US" sz="1100">
              <a:solidFill>
                <a:schemeClr val="dk1"/>
              </a:solidFill>
              <a:effectLst/>
              <a:latin typeface="+mn-lt"/>
              <a:ea typeface="+mn-ea"/>
              <a:cs typeface="+mn-cs"/>
            </a:rPr>
            <a:t>Incentive Amounts are payable to either the Customer or a third party. Payment assigned to a third party require Customer signature. Incentive Amounts for Projects are calculated by multiplying the Incentive rate per Program (Custom (including retro-commissioning measures)/New Construction Electric Lighting $0.10/kWh, Custom (including retro-commissioning measures)/New Construction Electric Non-Lighting $0.12/kWh, Custom (including retro-commissioning measures) Natural Gas $1.00/therm, New Construction Natural Gas $1.00/therm; Prescriptive &amp; SBDI measures are paid on a per unit basis, not per unit of savings) by the first year annual kWh/therm savings. Equipment that is eligible for a Standard Incentive via more than one processing channel (Fast-Track, Pre-Approval, Midstream) may only receive </a:t>
          </a:r>
          <a:r>
            <a:rPr lang="en-US" sz="1100" b="1">
              <a:solidFill>
                <a:schemeClr val="dk1"/>
              </a:solidFill>
              <a:effectLst/>
              <a:latin typeface="+mn-lt"/>
              <a:ea typeface="+mn-ea"/>
              <a:cs typeface="+mn-cs"/>
            </a:rPr>
            <a:t>one</a:t>
          </a:r>
          <a:r>
            <a:rPr lang="en-US" sz="1100">
              <a:solidFill>
                <a:schemeClr val="dk1"/>
              </a:solidFill>
              <a:effectLst/>
              <a:latin typeface="+mn-lt"/>
              <a:ea typeface="+mn-ea"/>
              <a:cs typeface="+mn-cs"/>
            </a:rPr>
            <a:t> incentive.</a:t>
          </a:r>
        </a:p>
        <a:p>
          <a:r>
            <a:rPr lang="en-US" sz="1100" b="1">
              <a:solidFill>
                <a:schemeClr val="dk1"/>
              </a:solidFill>
              <a:effectLst/>
              <a:latin typeface="+mn-lt"/>
              <a:ea typeface="+mn-ea"/>
              <a:cs typeface="+mn-cs"/>
            </a:rPr>
            <a:t>19. Taxes</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NIPSCO is not responsible for any taxes that may be imposed on you as a result of your receipt of this incentive. Incentive Amounts could be taxable to you if greater than $600. You should consult your tax advisor for any questions concerning the taxability of incentives.</a:t>
          </a:r>
        </a:p>
        <a:p>
          <a:r>
            <a:rPr lang="en-US" sz="1100" b="1">
              <a:solidFill>
                <a:schemeClr val="dk1"/>
              </a:solidFill>
              <a:effectLst/>
              <a:latin typeface="+mn-lt"/>
              <a:ea typeface="+mn-ea"/>
              <a:cs typeface="+mn-cs"/>
            </a:rPr>
            <a:t>20.</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Submission of Duplicate Measures: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If TRC receives submissions or inquiries from Customers regarding downstream (i.e., Fast-track, Pre-approval channels) incentives for equipment incented through the Midstream Channel, TRC will clarify that equipment is ineligible for midstream incentives and redirect Customers to the participating distributor for resolution.</a:t>
          </a:r>
        </a:p>
        <a:p>
          <a:pPr marL="0" indent="0"/>
          <a:r>
            <a:rPr lang="en-US" sz="1100" b="1">
              <a:solidFill>
                <a:schemeClr val="dk1"/>
              </a:solidFill>
              <a:effectLst/>
              <a:latin typeface="+mn-lt"/>
              <a:ea typeface="+mn-ea"/>
              <a:cs typeface="+mn-cs"/>
            </a:rPr>
            <a:t>21.  Bonus Incentive</a:t>
          </a:r>
        </a:p>
        <a:p>
          <a:pPr marL="0" indent="0"/>
          <a:r>
            <a:rPr lang="en-US" sz="1100" b="0">
              <a:solidFill>
                <a:schemeClr val="dk1"/>
              </a:solidFill>
              <a:effectLst/>
              <a:latin typeface="+mn-lt"/>
              <a:ea typeface="+mn-ea"/>
              <a:cs typeface="+mn-cs"/>
            </a:rPr>
            <a:t>Only new projects submitted after October 1, 2024 and completed by</a:t>
          </a:r>
          <a:r>
            <a:rPr lang="en-US" sz="1100" b="0" baseline="0">
              <a:solidFill>
                <a:schemeClr val="dk1"/>
              </a:solidFill>
              <a:effectLst/>
              <a:latin typeface="+mn-lt"/>
              <a:ea typeface="+mn-ea"/>
              <a:cs typeface="+mn-cs"/>
            </a:rPr>
            <a:t> December </a:t>
          </a:r>
          <a:r>
            <a:rPr lang="en-US" sz="1100" b="0">
              <a:solidFill>
                <a:schemeClr val="dk1"/>
              </a:solidFill>
              <a:effectLst/>
              <a:latin typeface="+mn-lt"/>
              <a:ea typeface="+mn-ea"/>
              <a:cs typeface="+mn-cs"/>
            </a:rPr>
            <a:t>31, 2024 are eligible for the bonus incentive.  The bonus incentive is 20% for Prescriptive/Custom/SBDI electric measures, 20% for Prescriptive/SBDI boiler</a:t>
          </a:r>
          <a:r>
            <a:rPr lang="en-US" sz="1100" b="0" baseline="0">
              <a:solidFill>
                <a:schemeClr val="dk1"/>
              </a:solidFill>
              <a:effectLst/>
              <a:latin typeface="+mn-lt"/>
              <a:ea typeface="+mn-ea"/>
              <a:cs typeface="+mn-cs"/>
            </a:rPr>
            <a:t> tune-up measures, </a:t>
          </a:r>
          <a:r>
            <a:rPr lang="en-US" sz="1100" b="0">
              <a:solidFill>
                <a:schemeClr val="dk1"/>
              </a:solidFill>
              <a:effectLst/>
              <a:latin typeface="+mn-lt"/>
              <a:ea typeface="+mn-ea"/>
              <a:cs typeface="+mn-cs"/>
            </a:rPr>
            <a:t>and 40% for Prescriptive/SBDI refrigeration measures.  Refrigeration measures are not eligible for the 20% bonus incentive.  All other program rules apply to the bonus incentive.</a:t>
          </a:r>
        </a:p>
        <a:p>
          <a:pPr marL="0" indent="0"/>
          <a:r>
            <a:rPr lang="en-US" sz="1100" b="1">
              <a:solidFill>
                <a:schemeClr val="dk1"/>
              </a:solidFill>
              <a:effectLst/>
              <a:latin typeface="+mn-lt"/>
              <a:ea typeface="+mn-ea"/>
              <a:cs typeface="+mn-cs"/>
            </a:rPr>
            <a:t>22.  Increased Incentives</a:t>
          </a:r>
        </a:p>
        <a:p>
          <a:pPr marL="0" indent="0" eaLnBrk="1" fontAlgn="auto" latinLnBrk="0" hangingPunct="1"/>
          <a:r>
            <a:rPr lang="en-US" sz="1100" b="0">
              <a:solidFill>
                <a:schemeClr val="dk1"/>
              </a:solidFill>
              <a:effectLst/>
              <a:latin typeface="+mn-lt"/>
              <a:ea typeface="+mn-ea"/>
              <a:cs typeface="+mn-cs"/>
            </a:rPr>
            <a:t>Only new projects submitted after October 1, 2024 and completed by December 31, 2024 are eligible for increased incentives.  Prescriptive and SBDI LED Tube Relamp Replacing 4 Ft Fluorescent measures are eligible for a $2 increased incentive.  These measures are also eligible for the 20% bonus incentive.  All other program rules apply to the increased incentives.</a:t>
          </a:r>
        </a:p>
        <a:p>
          <a:pPr marL="0" indent="0"/>
          <a:r>
            <a:rPr lang="en-US" sz="1100" b="0">
              <a:solidFill>
                <a:schemeClr val="dk1"/>
              </a:solidFill>
              <a:effectLst/>
              <a:latin typeface="+mn-lt"/>
              <a:ea typeface="+mn-ea"/>
              <a:cs typeface="+mn-cs"/>
            </a:rPr>
            <a:t> </a:t>
          </a:r>
        </a:p>
        <a:p>
          <a:endParaRPr lang="en-US" sz="1100" b="0">
            <a:solidFill>
              <a:schemeClr val="dk1"/>
            </a:solidFill>
            <a:effectLst/>
            <a:latin typeface="+mn-lt"/>
            <a:ea typeface="+mn-ea"/>
            <a:cs typeface="+mn-cs"/>
          </a:endParaRPr>
        </a:p>
      </xdr:txBody>
    </xdr:sp>
    <xdr:clientData/>
  </xdr:twoCellAnchor>
  <xdr:twoCellAnchor editAs="oneCell">
    <xdr:from>
      <xdr:col>2</xdr:col>
      <xdr:colOff>2720</xdr:colOff>
      <xdr:row>8</xdr:row>
      <xdr:rowOff>201232</xdr:rowOff>
    </xdr:from>
    <xdr:to>
      <xdr:col>4</xdr:col>
      <xdr:colOff>960</xdr:colOff>
      <xdr:row>10</xdr:row>
      <xdr:rowOff>144082</xdr:rowOff>
    </xdr:to>
    <xdr:sp macro="" textlink="">
      <xdr:nvSpPr>
        <xdr:cNvPr id="22" name="BACK">
          <a:hlinkClick xmlns:r="http://schemas.openxmlformats.org/officeDocument/2006/relationships" r:id="rId14" tooltip=" "/>
          <a:extLst>
            <a:ext uri="{FF2B5EF4-FFF2-40B4-BE49-F238E27FC236}">
              <a16:creationId xmlns:a16="http://schemas.microsoft.com/office/drawing/2014/main" id="{00000000-0008-0000-0D00-000016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41</xdr:col>
      <xdr:colOff>0</xdr:colOff>
      <xdr:row>9</xdr:row>
      <xdr:rowOff>1047</xdr:rowOff>
    </xdr:from>
    <xdr:to>
      <xdr:col>42</xdr:col>
      <xdr:colOff>313195</xdr:colOff>
      <xdr:row>10</xdr:row>
      <xdr:rowOff>143921</xdr:rowOff>
    </xdr:to>
    <xdr:sp macro="" textlink="">
      <xdr:nvSpPr>
        <xdr:cNvPr id="23" name="NEXT">
          <a:hlinkClick xmlns:r="http://schemas.openxmlformats.org/officeDocument/2006/relationships" r:id="rId15" tooltip=" "/>
          <a:extLst>
            <a:ext uri="{FF2B5EF4-FFF2-40B4-BE49-F238E27FC236}">
              <a16:creationId xmlns:a16="http://schemas.microsoft.com/office/drawing/2014/main" id="{00000000-0008-0000-0D00-000017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1"/>
          <a:extLst>
            <a:ext uri="{FF2B5EF4-FFF2-40B4-BE49-F238E27FC236}">
              <a16:creationId xmlns:a16="http://schemas.microsoft.com/office/drawing/2014/main" id="{00000000-0008-0000-0E00-00000F000000}"/>
            </a:ext>
          </a:extLst>
        </xdr:cNvPr>
        <xdr:cNvSpPr/>
      </xdr:nvSpPr>
      <xdr:spPr>
        <a:xfrm>
          <a:off x="6917701" y="1000805"/>
          <a:ext cx="1571623"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2"/>
          <a:extLst>
            <a:ext uri="{FF2B5EF4-FFF2-40B4-BE49-F238E27FC236}">
              <a16:creationId xmlns:a16="http://schemas.microsoft.com/office/drawing/2014/main" id="{00000000-0008-0000-0E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3"/>
          <a:extLst>
            <a:ext uri="{FF2B5EF4-FFF2-40B4-BE49-F238E27FC236}">
              <a16:creationId xmlns:a16="http://schemas.microsoft.com/office/drawing/2014/main" id="{00000000-0008-0000-0E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4"/>
          <a:extLst>
            <a:ext uri="{FF2B5EF4-FFF2-40B4-BE49-F238E27FC236}">
              <a16:creationId xmlns:a16="http://schemas.microsoft.com/office/drawing/2014/main" id="{00000000-0008-0000-0E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5" tooltip=" "/>
          <a:extLst>
            <a:ext uri="{FF2B5EF4-FFF2-40B4-BE49-F238E27FC236}">
              <a16:creationId xmlns:a16="http://schemas.microsoft.com/office/drawing/2014/main" id="{00000000-0008-0000-0E00-000004000000}"/>
            </a:ext>
          </a:extLst>
        </xdr:cNvPr>
        <xdr:cNvSpPr/>
      </xdr:nvSpPr>
      <xdr:spPr>
        <a:xfrm>
          <a:off x="3765176" y="335056"/>
          <a:ext cx="1568824" cy="605118"/>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0E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6" tooltip=" "/>
          <a:extLst>
            <a:ext uri="{FF2B5EF4-FFF2-40B4-BE49-F238E27FC236}">
              <a16:creationId xmlns:a16="http://schemas.microsoft.com/office/drawing/2014/main" id="{00000000-0008-0000-0E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tooltip=" "/>
          <a:extLst>
            <a:ext uri="{FF2B5EF4-FFF2-40B4-BE49-F238E27FC236}">
              <a16:creationId xmlns:a16="http://schemas.microsoft.com/office/drawing/2014/main" id="{00000000-0008-0000-0E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tooltip=" "/>
          <a:extLst>
            <a:ext uri="{FF2B5EF4-FFF2-40B4-BE49-F238E27FC236}">
              <a16:creationId xmlns:a16="http://schemas.microsoft.com/office/drawing/2014/main" id="{00000000-0008-0000-0E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tooltip=" "/>
          <a:extLst>
            <a:ext uri="{FF2B5EF4-FFF2-40B4-BE49-F238E27FC236}">
              <a16:creationId xmlns:a16="http://schemas.microsoft.com/office/drawing/2014/main" id="{00000000-0008-0000-0E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tooltip=" "/>
          <a:extLst>
            <a:ext uri="{FF2B5EF4-FFF2-40B4-BE49-F238E27FC236}">
              <a16:creationId xmlns:a16="http://schemas.microsoft.com/office/drawing/2014/main" id="{00000000-0008-0000-0E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0E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E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5" tooltip=" "/>
          <a:extLst>
            <a:ext uri="{FF2B5EF4-FFF2-40B4-BE49-F238E27FC236}">
              <a16:creationId xmlns:a16="http://schemas.microsoft.com/office/drawing/2014/main" id="{00000000-0008-0000-0E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rgbClr val="FFFFFF"/>
              </a:solidFill>
              <a:latin typeface="Arial" panose="020B0604020202020204" pitchFamily="34" charset="0"/>
              <a:cs typeface="Arial" panose="020B0604020202020204" pitchFamily="34" charset="0"/>
            </a:rPr>
            <a:pPr algn="ctr"/>
            <a:t>Terms &amp; Conditions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1156</xdr:colOff>
      <xdr:row>5</xdr:row>
      <xdr:rowOff>51480</xdr:rowOff>
    </xdr:from>
    <xdr:to>
      <xdr:col>12</xdr:col>
      <xdr:colOff>1155</xdr:colOff>
      <xdr:row>7</xdr:row>
      <xdr:rowOff>50800</xdr:rowOff>
    </xdr:to>
    <xdr:sp macro="" textlink="M2S2">
      <xdr:nvSpPr>
        <xdr:cNvPr id="12" name="SUBMENU2">
          <a:hlinkClick xmlns:r="http://schemas.openxmlformats.org/officeDocument/2006/relationships" r:id="rId11" tooltip=" "/>
          <a:extLst>
            <a:ext uri="{FF2B5EF4-FFF2-40B4-BE49-F238E27FC236}">
              <a16:creationId xmlns:a16="http://schemas.microsoft.com/office/drawing/2014/main" id="{00000000-0008-0000-0E00-00000C000000}"/>
            </a:ext>
          </a:extLst>
        </xdr:cNvPr>
        <xdr:cNvSpPr/>
      </xdr:nvSpPr>
      <xdr:spPr>
        <a:xfrm>
          <a:off x="2197509" y="1060009"/>
          <a:ext cx="1568822"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rgbClr val="FFFFFF"/>
              </a:solidFill>
              <a:latin typeface="Arial" panose="020B0604020202020204" pitchFamily="34" charset="0"/>
              <a:cs typeface="Arial" panose="020B0604020202020204" pitchFamily="34" charset="0"/>
            </a:rPr>
            <a:pPr algn="ctr"/>
            <a:t>Company and Site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1854</xdr:colOff>
      <xdr:row>4</xdr:row>
      <xdr:rowOff>200705</xdr:rowOff>
    </xdr:from>
    <xdr:to>
      <xdr:col>17</xdr:col>
      <xdr:colOff>1853</xdr:colOff>
      <xdr:row>7</xdr:row>
      <xdr:rowOff>0</xdr:rowOff>
    </xdr:to>
    <xdr:sp macro="" textlink="M2S3">
      <xdr:nvSpPr>
        <xdr:cNvPr id="13" name="SUBMENU3">
          <a:hlinkClick xmlns:r="http://schemas.openxmlformats.org/officeDocument/2006/relationships" r:id="rId12" tooltip=" "/>
          <a:extLst>
            <a:ext uri="{FF2B5EF4-FFF2-40B4-BE49-F238E27FC236}">
              <a16:creationId xmlns:a16="http://schemas.microsoft.com/office/drawing/2014/main" id="{00000000-0008-0000-0E00-00000D000000}"/>
            </a:ext>
          </a:extLst>
        </xdr:cNvPr>
        <xdr:cNvSpPr/>
      </xdr:nvSpPr>
      <xdr:spPr>
        <a:xfrm>
          <a:off x="3767030"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rgbClr val="FFFFFF"/>
              </a:solidFill>
              <a:latin typeface="Arial" panose="020B0604020202020204" pitchFamily="34" charset="0"/>
              <a:cs typeface="Arial" panose="020B0604020202020204" pitchFamily="34" charset="0"/>
            </a:rPr>
            <a:pPr algn="ctr"/>
            <a:t>Trade Ally / Vendor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4" name="SUBMENU4">
          <a:hlinkClick xmlns:r="http://schemas.openxmlformats.org/officeDocument/2006/relationships" r:id="rId13" tooltip=" "/>
          <a:extLst>
            <a:ext uri="{FF2B5EF4-FFF2-40B4-BE49-F238E27FC236}">
              <a16:creationId xmlns:a16="http://schemas.microsoft.com/office/drawing/2014/main" id="{00000000-0008-0000-0E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rgbClr val="FFFFFF"/>
              </a:solidFill>
              <a:latin typeface="Arial" panose="020B0604020202020204" pitchFamily="34" charset="0"/>
              <a:cs typeface="Arial" panose="020B0604020202020204" pitchFamily="34" charset="0"/>
            </a:rPr>
            <a:pPr algn="ctr"/>
            <a:t>Payment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E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0E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E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107554</xdr:colOff>
      <xdr:row>0</xdr:row>
      <xdr:rowOff>156884</xdr:rowOff>
    </xdr:from>
    <xdr:to>
      <xdr:col>5</xdr:col>
      <xdr:colOff>28502</xdr:colOff>
      <xdr:row>2</xdr:row>
      <xdr:rowOff>192265</xdr:rowOff>
    </xdr:to>
    <xdr:pic>
      <xdr:nvPicPr>
        <xdr:cNvPr id="25" name="LOGO">
          <a:extLst>
            <a:ext uri="{FF2B5EF4-FFF2-40B4-BE49-F238E27FC236}">
              <a16:creationId xmlns:a16="http://schemas.microsoft.com/office/drawing/2014/main" id="{00000000-0008-0000-0E00-00001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5083" y="156884"/>
          <a:ext cx="862243" cy="4387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1"/>
          <a:extLst>
            <a:ext uri="{FF2B5EF4-FFF2-40B4-BE49-F238E27FC236}">
              <a16:creationId xmlns:a16="http://schemas.microsoft.com/office/drawing/2014/main" id="{00000000-0008-0000-0F00-00000F000000}"/>
            </a:ext>
          </a:extLst>
        </xdr:cNvPr>
        <xdr:cNvSpPr/>
      </xdr:nvSpPr>
      <xdr:spPr>
        <a:xfrm>
          <a:off x="6917701" y="1000805"/>
          <a:ext cx="1571623"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2"/>
          <a:extLst>
            <a:ext uri="{FF2B5EF4-FFF2-40B4-BE49-F238E27FC236}">
              <a16:creationId xmlns:a16="http://schemas.microsoft.com/office/drawing/2014/main" id="{00000000-0008-0000-0F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3"/>
          <a:extLst>
            <a:ext uri="{FF2B5EF4-FFF2-40B4-BE49-F238E27FC236}">
              <a16:creationId xmlns:a16="http://schemas.microsoft.com/office/drawing/2014/main" id="{00000000-0008-0000-0F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4"/>
          <a:extLst>
            <a:ext uri="{FF2B5EF4-FFF2-40B4-BE49-F238E27FC236}">
              <a16:creationId xmlns:a16="http://schemas.microsoft.com/office/drawing/2014/main" id="{00000000-0008-0000-0F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5" tooltip=" "/>
          <a:extLst>
            <a:ext uri="{FF2B5EF4-FFF2-40B4-BE49-F238E27FC236}">
              <a16:creationId xmlns:a16="http://schemas.microsoft.com/office/drawing/2014/main" id="{00000000-0008-0000-0F00-000004000000}"/>
            </a:ext>
          </a:extLst>
        </xdr:cNvPr>
        <xdr:cNvSpPr/>
      </xdr:nvSpPr>
      <xdr:spPr>
        <a:xfrm>
          <a:off x="3765176" y="335056"/>
          <a:ext cx="1568824" cy="605118"/>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2</xdr:rowOff>
    </xdr:from>
    <xdr:to>
      <xdr:col>44</xdr:col>
      <xdr:colOff>13806</xdr:colOff>
      <xdr:row>7</xdr:row>
      <xdr:rowOff>1</xdr:rowOff>
    </xdr:to>
    <xdr:sp macro="" textlink="">
      <xdr:nvSpPr>
        <xdr:cNvPr id="10" name="TOPRIBBON">
          <a:extLst>
            <a:ext uri="{FF2B5EF4-FFF2-40B4-BE49-F238E27FC236}">
              <a16:creationId xmlns:a16="http://schemas.microsoft.com/office/drawing/2014/main" id="{00000000-0008-0000-0F00-00000A000000}"/>
            </a:ext>
          </a:extLst>
        </xdr:cNvPr>
        <xdr:cNvSpPr/>
      </xdr:nvSpPr>
      <xdr:spPr>
        <a:xfrm>
          <a:off x="313765" y="806826"/>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6" tooltip=" "/>
          <a:extLst>
            <a:ext uri="{FF2B5EF4-FFF2-40B4-BE49-F238E27FC236}">
              <a16:creationId xmlns:a16="http://schemas.microsoft.com/office/drawing/2014/main" id="{00000000-0008-0000-0F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tooltip=" "/>
          <a:extLst>
            <a:ext uri="{FF2B5EF4-FFF2-40B4-BE49-F238E27FC236}">
              <a16:creationId xmlns:a16="http://schemas.microsoft.com/office/drawing/2014/main" id="{00000000-0008-0000-0F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tooltip=" "/>
          <a:extLst>
            <a:ext uri="{FF2B5EF4-FFF2-40B4-BE49-F238E27FC236}">
              <a16:creationId xmlns:a16="http://schemas.microsoft.com/office/drawing/2014/main" id="{00000000-0008-0000-0F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tooltip=" "/>
          <a:extLst>
            <a:ext uri="{FF2B5EF4-FFF2-40B4-BE49-F238E27FC236}">
              <a16:creationId xmlns:a16="http://schemas.microsoft.com/office/drawing/2014/main" id="{00000000-0008-0000-0F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tooltip=" "/>
          <a:extLst>
            <a:ext uri="{FF2B5EF4-FFF2-40B4-BE49-F238E27FC236}">
              <a16:creationId xmlns:a16="http://schemas.microsoft.com/office/drawing/2014/main" id="{00000000-0008-0000-0F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0F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F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5" tooltip=" "/>
          <a:extLst>
            <a:ext uri="{FF2B5EF4-FFF2-40B4-BE49-F238E27FC236}">
              <a16:creationId xmlns:a16="http://schemas.microsoft.com/office/drawing/2014/main" id="{00000000-0008-0000-0F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rgbClr val="FFFFFF"/>
              </a:solidFill>
              <a:latin typeface="Arial" panose="020B0604020202020204" pitchFamily="34" charset="0"/>
              <a:cs typeface="Arial" panose="020B0604020202020204" pitchFamily="34" charset="0"/>
            </a:rPr>
            <a:pPr algn="ctr"/>
            <a:t>Terms &amp; Conditions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1156</xdr:colOff>
      <xdr:row>4</xdr:row>
      <xdr:rowOff>200705</xdr:rowOff>
    </xdr:from>
    <xdr:to>
      <xdr:col>12</xdr:col>
      <xdr:colOff>1155</xdr:colOff>
      <xdr:row>7</xdr:row>
      <xdr:rowOff>0</xdr:rowOff>
    </xdr:to>
    <xdr:sp macro="" textlink="M2S2">
      <xdr:nvSpPr>
        <xdr:cNvPr id="12" name="SUBMENU2">
          <a:hlinkClick xmlns:r="http://schemas.openxmlformats.org/officeDocument/2006/relationships" r:id="rId11" tooltip=" "/>
          <a:extLst>
            <a:ext uri="{FF2B5EF4-FFF2-40B4-BE49-F238E27FC236}">
              <a16:creationId xmlns:a16="http://schemas.microsoft.com/office/drawing/2014/main" id="{00000000-0008-0000-0F00-00000C000000}"/>
            </a:ext>
          </a:extLst>
        </xdr:cNvPr>
        <xdr:cNvSpPr/>
      </xdr:nvSpPr>
      <xdr:spPr>
        <a:xfrm>
          <a:off x="2197509"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rgbClr val="FFFFFF"/>
              </a:solidFill>
              <a:latin typeface="Arial" panose="020B0604020202020204" pitchFamily="34" charset="0"/>
              <a:cs typeface="Arial" panose="020B0604020202020204" pitchFamily="34" charset="0"/>
            </a:rPr>
            <a:pPr algn="ctr"/>
            <a:t>Company and Site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1854</xdr:colOff>
      <xdr:row>5</xdr:row>
      <xdr:rowOff>51480</xdr:rowOff>
    </xdr:from>
    <xdr:to>
      <xdr:col>17</xdr:col>
      <xdr:colOff>1853</xdr:colOff>
      <xdr:row>7</xdr:row>
      <xdr:rowOff>50800</xdr:rowOff>
    </xdr:to>
    <xdr:sp macro="" textlink="M2S3">
      <xdr:nvSpPr>
        <xdr:cNvPr id="13" name="SUBMENU3">
          <a:hlinkClick xmlns:r="http://schemas.openxmlformats.org/officeDocument/2006/relationships" r:id="rId12" tooltip=" "/>
          <a:extLst>
            <a:ext uri="{FF2B5EF4-FFF2-40B4-BE49-F238E27FC236}">
              <a16:creationId xmlns:a16="http://schemas.microsoft.com/office/drawing/2014/main" id="{00000000-0008-0000-0F00-00000D000000}"/>
            </a:ext>
          </a:extLst>
        </xdr:cNvPr>
        <xdr:cNvSpPr/>
      </xdr:nvSpPr>
      <xdr:spPr>
        <a:xfrm>
          <a:off x="3767030" y="1060009"/>
          <a:ext cx="1568823"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rgbClr val="FFFFFF"/>
              </a:solidFill>
              <a:latin typeface="Arial" panose="020B0604020202020204" pitchFamily="34" charset="0"/>
              <a:cs typeface="Arial" panose="020B0604020202020204" pitchFamily="34" charset="0"/>
            </a:rPr>
            <a:pPr algn="ctr"/>
            <a:t>Trade Ally / Vendor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4" name="SUBMENU4">
          <a:hlinkClick xmlns:r="http://schemas.openxmlformats.org/officeDocument/2006/relationships" r:id="rId13" tooltip=" "/>
          <a:extLst>
            <a:ext uri="{FF2B5EF4-FFF2-40B4-BE49-F238E27FC236}">
              <a16:creationId xmlns:a16="http://schemas.microsoft.com/office/drawing/2014/main" id="{00000000-0008-0000-0F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rgbClr val="FFFFFF"/>
              </a:solidFill>
              <a:latin typeface="Arial" panose="020B0604020202020204" pitchFamily="34" charset="0"/>
              <a:cs typeface="Arial" panose="020B0604020202020204" pitchFamily="34" charset="0"/>
            </a:rPr>
            <a:pPr algn="ctr"/>
            <a:t>Payment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F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0F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F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25" name="LOGO">
          <a:extLst>
            <a:ext uri="{FF2B5EF4-FFF2-40B4-BE49-F238E27FC236}">
              <a16:creationId xmlns:a16="http://schemas.microsoft.com/office/drawing/2014/main" id="{00000000-0008-0000-0F00-00001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1" tooltip=" "/>
          <a:extLst>
            <a:ext uri="{FF2B5EF4-FFF2-40B4-BE49-F238E27FC236}">
              <a16:creationId xmlns:a16="http://schemas.microsoft.com/office/drawing/2014/main" id="{00000000-0008-0000-1000-000004000000}"/>
            </a:ext>
          </a:extLst>
        </xdr:cNvPr>
        <xdr:cNvSpPr/>
      </xdr:nvSpPr>
      <xdr:spPr>
        <a:xfrm>
          <a:off x="377190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PROJECT INFORMATION</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2"/>
          <a:extLst>
            <a:ext uri="{FF2B5EF4-FFF2-40B4-BE49-F238E27FC236}">
              <a16:creationId xmlns:a16="http://schemas.microsoft.com/office/drawing/2014/main" id="{00000000-0008-0000-1000-00000F000000}"/>
            </a:ext>
          </a:extLst>
        </xdr:cNvPr>
        <xdr:cNvSpPr/>
      </xdr:nvSpPr>
      <xdr:spPr>
        <a:xfrm>
          <a:off x="6917701" y="1000805"/>
          <a:ext cx="1571623"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3"/>
          <a:extLst>
            <a:ext uri="{FF2B5EF4-FFF2-40B4-BE49-F238E27FC236}">
              <a16:creationId xmlns:a16="http://schemas.microsoft.com/office/drawing/2014/main" id="{00000000-0008-0000-10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4"/>
          <a:extLst>
            <a:ext uri="{FF2B5EF4-FFF2-40B4-BE49-F238E27FC236}">
              <a16:creationId xmlns:a16="http://schemas.microsoft.com/office/drawing/2014/main" id="{00000000-0008-0000-10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5"/>
          <a:extLst>
            <a:ext uri="{FF2B5EF4-FFF2-40B4-BE49-F238E27FC236}">
              <a16:creationId xmlns:a16="http://schemas.microsoft.com/office/drawing/2014/main" id="{00000000-0008-0000-10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0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6" tooltip=" "/>
          <a:extLst>
            <a:ext uri="{FF2B5EF4-FFF2-40B4-BE49-F238E27FC236}">
              <a16:creationId xmlns:a16="http://schemas.microsoft.com/office/drawing/2014/main" id="{00000000-0008-0000-10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tooltip=" "/>
          <a:extLst>
            <a:ext uri="{FF2B5EF4-FFF2-40B4-BE49-F238E27FC236}">
              <a16:creationId xmlns:a16="http://schemas.microsoft.com/office/drawing/2014/main" id="{00000000-0008-0000-10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tooltip=" "/>
          <a:extLst>
            <a:ext uri="{FF2B5EF4-FFF2-40B4-BE49-F238E27FC236}">
              <a16:creationId xmlns:a16="http://schemas.microsoft.com/office/drawing/2014/main" id="{00000000-0008-0000-10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tooltip=" "/>
          <a:extLst>
            <a:ext uri="{FF2B5EF4-FFF2-40B4-BE49-F238E27FC236}">
              <a16:creationId xmlns:a16="http://schemas.microsoft.com/office/drawing/2014/main" id="{00000000-0008-0000-10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tooltip=" "/>
          <a:extLst>
            <a:ext uri="{FF2B5EF4-FFF2-40B4-BE49-F238E27FC236}">
              <a16:creationId xmlns:a16="http://schemas.microsoft.com/office/drawing/2014/main" id="{00000000-0008-0000-10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0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0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1" tooltip=" "/>
          <a:extLst>
            <a:ext uri="{FF2B5EF4-FFF2-40B4-BE49-F238E27FC236}">
              <a16:creationId xmlns:a16="http://schemas.microsoft.com/office/drawing/2014/main" id="{00000000-0008-0000-10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rgbClr val="FFFFFF"/>
              </a:solidFill>
              <a:latin typeface="Arial" panose="020B0604020202020204" pitchFamily="34" charset="0"/>
              <a:cs typeface="Arial" panose="020B0604020202020204" pitchFamily="34" charset="0"/>
            </a:rPr>
            <a:pPr algn="ctr"/>
            <a:t>Terms &amp; Conditions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1156</xdr:colOff>
      <xdr:row>4</xdr:row>
      <xdr:rowOff>200705</xdr:rowOff>
    </xdr:from>
    <xdr:to>
      <xdr:col>12</xdr:col>
      <xdr:colOff>1155</xdr:colOff>
      <xdr:row>7</xdr:row>
      <xdr:rowOff>0</xdr:rowOff>
    </xdr:to>
    <xdr:sp macro="" textlink="M2S2">
      <xdr:nvSpPr>
        <xdr:cNvPr id="12" name="SUBMENU2">
          <a:hlinkClick xmlns:r="http://schemas.openxmlformats.org/officeDocument/2006/relationships" r:id="rId11" tooltip=" "/>
          <a:extLst>
            <a:ext uri="{FF2B5EF4-FFF2-40B4-BE49-F238E27FC236}">
              <a16:creationId xmlns:a16="http://schemas.microsoft.com/office/drawing/2014/main" id="{00000000-0008-0000-1000-00000C000000}"/>
            </a:ext>
          </a:extLst>
        </xdr:cNvPr>
        <xdr:cNvSpPr/>
      </xdr:nvSpPr>
      <xdr:spPr>
        <a:xfrm>
          <a:off x="2197509"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rgbClr val="FFFFFF"/>
              </a:solidFill>
              <a:latin typeface="Arial" panose="020B0604020202020204" pitchFamily="34" charset="0"/>
              <a:cs typeface="Arial" panose="020B0604020202020204" pitchFamily="34" charset="0"/>
            </a:rPr>
            <a:pPr algn="ctr"/>
            <a:t>Company and Site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1854</xdr:colOff>
      <xdr:row>4</xdr:row>
      <xdr:rowOff>200705</xdr:rowOff>
    </xdr:from>
    <xdr:to>
      <xdr:col>17</xdr:col>
      <xdr:colOff>1853</xdr:colOff>
      <xdr:row>7</xdr:row>
      <xdr:rowOff>0</xdr:rowOff>
    </xdr:to>
    <xdr:sp macro="" textlink="M2S3">
      <xdr:nvSpPr>
        <xdr:cNvPr id="13" name="SUBMENU3">
          <a:hlinkClick xmlns:r="http://schemas.openxmlformats.org/officeDocument/2006/relationships" r:id="rId12" tooltip=" "/>
          <a:extLst>
            <a:ext uri="{FF2B5EF4-FFF2-40B4-BE49-F238E27FC236}">
              <a16:creationId xmlns:a16="http://schemas.microsoft.com/office/drawing/2014/main" id="{00000000-0008-0000-1000-00000D000000}"/>
            </a:ext>
          </a:extLst>
        </xdr:cNvPr>
        <xdr:cNvSpPr/>
      </xdr:nvSpPr>
      <xdr:spPr>
        <a:xfrm>
          <a:off x="3767030"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rgbClr val="FFFFFF"/>
              </a:solidFill>
              <a:latin typeface="Arial" panose="020B0604020202020204" pitchFamily="34" charset="0"/>
              <a:cs typeface="Arial" panose="020B0604020202020204" pitchFamily="34" charset="0"/>
            </a:rPr>
            <a:pPr algn="ctr"/>
            <a:t>Trade Ally / Vendor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2550</xdr:colOff>
      <xdr:row>7</xdr:row>
      <xdr:rowOff>50800</xdr:rowOff>
    </xdr:to>
    <xdr:sp macro="" textlink="M2S4">
      <xdr:nvSpPr>
        <xdr:cNvPr id="14" name="SUBMENU4">
          <a:hlinkClick xmlns:r="http://schemas.openxmlformats.org/officeDocument/2006/relationships" r:id="rId13" tooltip=" "/>
          <a:extLst>
            <a:ext uri="{FF2B5EF4-FFF2-40B4-BE49-F238E27FC236}">
              <a16:creationId xmlns:a16="http://schemas.microsoft.com/office/drawing/2014/main" id="{00000000-0008-0000-1000-00000E000000}"/>
            </a:ext>
          </a:extLst>
        </xdr:cNvPr>
        <xdr:cNvSpPr/>
      </xdr:nvSpPr>
      <xdr:spPr>
        <a:xfrm>
          <a:off x="5346076" y="1051605"/>
          <a:ext cx="1571624"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rgbClr val="FFFFFF"/>
              </a:solidFill>
              <a:latin typeface="Arial" panose="020B0604020202020204" pitchFamily="34" charset="0"/>
              <a:cs typeface="Arial" panose="020B0604020202020204" pitchFamily="34" charset="0"/>
            </a:rPr>
            <a:pPr algn="ctr"/>
            <a:t>Payment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0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10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0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oneCell">
        <xdr:from>
          <xdr:col>2</xdr:col>
          <xdr:colOff>38100</xdr:colOff>
          <xdr:row>30</xdr:row>
          <xdr:rowOff>200025</xdr:rowOff>
        </xdr:from>
        <xdr:to>
          <xdr:col>3</xdr:col>
          <xdr:colOff>38100</xdr:colOff>
          <xdr:row>32</xdr:row>
          <xdr:rowOff>180975</xdr:rowOff>
        </xdr:to>
        <xdr:sp macro="" textlink="">
          <xdr:nvSpPr>
            <xdr:cNvPr id="15361" name="M02S04TB1" hidden="1">
              <a:extLst>
                <a:ext uri="{63B3BB69-23CF-44E3-9099-C40C66FF867C}">
                  <a14:compatExt spid="_x0000_s15361"/>
                </a:ext>
                <a:ext uri="{FF2B5EF4-FFF2-40B4-BE49-F238E27FC236}">
                  <a16:creationId xmlns:a16="http://schemas.microsoft.com/office/drawing/2014/main" id="{00000000-0008-0000-10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102850</xdr:colOff>
      <xdr:row>0</xdr:row>
      <xdr:rowOff>156884</xdr:rowOff>
    </xdr:from>
    <xdr:to>
      <xdr:col>5</xdr:col>
      <xdr:colOff>30405</xdr:colOff>
      <xdr:row>2</xdr:row>
      <xdr:rowOff>195627</xdr:rowOff>
    </xdr:to>
    <xdr:pic>
      <xdr:nvPicPr>
        <xdr:cNvPr id="26" name="LOGO">
          <a:extLst>
            <a:ext uri="{FF2B5EF4-FFF2-40B4-BE49-F238E27FC236}">
              <a16:creationId xmlns:a16="http://schemas.microsoft.com/office/drawing/2014/main" id="{00000000-0008-0000-1000-00001A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3000000}" name="ELECCB" displayName="ELECCB" ref="A9:J39" totalsRowShown="0" headerRowDxfId="835">
  <autoFilter ref="A9:J39" xr:uid="{00000000-0009-0000-0100-00000E000000}"/>
  <tableColumns count="10">
    <tableColumn id="1" xr3:uid="{00000000-0010-0000-0300-000001000000}" name="Year"/>
    <tableColumn id="2" xr3:uid="{00000000-0010-0000-0300-000002000000}" name="Year Number"/>
    <tableColumn id="3" xr3:uid="{00000000-0010-0000-0300-000003000000}" name="Elec. AEC Factor" dataDxfId="834"/>
    <tableColumn id="4" xr3:uid="{00000000-0010-0000-0300-000004000000}" name="Avoid Energy Cost $/kWh" dataDxfId="833"/>
    <tableColumn id="5" xr3:uid="{00000000-0010-0000-0300-000005000000}" name="Elec. ACC Factor" dataDxfId="832"/>
    <tableColumn id="6" xr3:uid="{00000000-0010-0000-0300-000006000000}" name="Avoided Capacity Cost $/kW" dataDxfId="831"/>
    <tableColumn id="7" xr3:uid="{00000000-0010-0000-0300-000007000000}" name="AT&amp;D Factor" dataDxfId="830"/>
    <tableColumn id="8" xr3:uid="{00000000-0010-0000-0300-000008000000}" name="Avoided T&amp;D $/kW" dataDxfId="829"/>
    <tableColumn id="9" xr3:uid="{00000000-0010-0000-0300-000009000000}" name="NPV AEC $/kWh" dataDxfId="828"/>
    <tableColumn id="10" xr3:uid="{00000000-0010-0000-0300-00000A000000}" name="NPV ACC+T&amp;D $/kW" dataDxfId="827"/>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C000000}" name="TAXENTITY" displayName="TAXENTITY" ref="J47:K53" totalsRowShown="0">
  <autoFilter ref="J47:K53" xr:uid="{00000000-0009-0000-0100-00001E000000}"/>
  <sortState xmlns:xlrd2="http://schemas.microsoft.com/office/spreadsheetml/2017/richdata2" ref="J48:K53">
    <sortCondition ref="J47:J53"/>
  </sortState>
  <tableColumns count="2">
    <tableColumn id="1" xr3:uid="{00000000-0010-0000-0C00-000001000000}" name="Tax Entity"/>
    <tableColumn id="2" xr3:uid="{00000000-0010-0000-0C00-000002000000}" name="System Text"/>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D000000}" name="ENDUSEALL" displayName="ENDUSEALL" ref="J12:K23" totalsRowShown="0" headerRowDxfId="822" dataDxfId="821">
  <autoFilter ref="J12:K23" xr:uid="{00000000-0009-0000-0100-000017000000}"/>
  <sortState xmlns:xlrd2="http://schemas.microsoft.com/office/spreadsheetml/2017/richdata2" ref="J13:M25">
    <sortCondition ref="J12:J25"/>
  </sortState>
  <tableColumns count="2">
    <tableColumn id="1" xr3:uid="{00000000-0010-0000-0D00-000001000000}" name="End Use" dataDxfId="820"/>
    <tableColumn id="2" xr3:uid="{00000000-0010-0000-0D00-000002000000}" name="Lighting Coincidence Factor" dataDxfId="819"/>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E000000}" name="DIVERSITYTYPE" displayName="DIVERSITYTYPE" ref="A58:A65" totalsRowShown="0" headerRowDxfId="818">
  <autoFilter ref="A58:A65" xr:uid="{00000000-0009-0000-0100-00001F000000}"/>
  <tableColumns count="1">
    <tableColumn id="1" xr3:uid="{00000000-0010-0000-0E00-000001000000}" name="Diversity Business Type"/>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F000000}" name="DIVERSITYISSUED" displayName="DIVERSITYISSUED" ref="A68:A72" totalsRowShown="0">
  <autoFilter ref="A68:A72" xr:uid="{00000000-0009-0000-0100-000028000000}"/>
  <tableColumns count="1">
    <tableColumn id="1" xr3:uid="{00000000-0010-0000-0F00-000001000000}" name="Diversity Issued Org"/>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0000000}" name="PROJSTAT" displayName="PROJSTAT" ref="A75:A84" totalsRowShown="0">
  <autoFilter ref="A75:A84" xr:uid="{00000000-0009-0000-0100-000029000000}"/>
  <tableColumns count="1">
    <tableColumn id="1" xr3:uid="{00000000-0010-0000-1000-000001000000}" name="Project Status"/>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1000000}" name="SPILLOVER" displayName="SPILLOVER" ref="J28:K37" totalsRowShown="0">
  <autoFilter ref="J28:K37" xr:uid="{00000000-0009-0000-0100-00002A000000}"/>
  <tableColumns count="2">
    <tableColumn id="1" xr3:uid="{00000000-0010-0000-1100-000001000000}" name="Spillover Text"/>
    <tableColumn id="2" xr3:uid="{00000000-0010-0000-1100-000002000000}" name="Spillover Reaso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2000000}" name="RATECLASS" displayName="RATECLASS" ref="J39:K44" totalsRowShown="0" dataDxfId="817">
  <autoFilter ref="J39:K44" xr:uid="{00000000-0009-0000-0100-00002B000000}"/>
  <tableColumns count="2">
    <tableColumn id="1" xr3:uid="{00000000-0010-0000-1200-000001000000}" name="Rate Schedules" dataDxfId="816"/>
    <tableColumn id="2" xr3:uid="{00000000-0010-0000-1200-000002000000}" name="Rate" dataDxfId="81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3000000}" name="IMPLSPEC" displayName="IMPLSPEC" ref="A43:A47" totalsRowShown="0">
  <autoFilter ref="A43:A47" xr:uid="{00000000-0009-0000-0100-00002C000000}"/>
  <tableColumns count="1">
    <tableColumn id="1" xr3:uid="{00000000-0010-0000-1300-000001000000}" name="Impl. Specialist"/>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4000000}" name="ENGINEERZ" displayName="ENGINEERZ" ref="A50:A54" totalsRowShown="0">
  <autoFilter ref="A50:A54" xr:uid="{00000000-0009-0000-0100-00002F000000}"/>
  <tableColumns count="1">
    <tableColumn id="1" xr3:uid="{00000000-0010-0000-1400-000001000000}" name="Engineer"/>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5000000}" name="CUSTINFO" displayName="CUSTINFO" ref="A86:A96" totalsRowShown="0">
  <autoFilter ref="A86:A96" xr:uid="{00000000-0009-0000-0100-000008000000}"/>
  <tableColumns count="1">
    <tableColumn id="1" xr3:uid="{00000000-0010-0000-1500-000001000000}" name="Customer Info"/>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4000000}" name="GASCB" displayName="GASCB" ref="M9:Q39" totalsRowShown="0">
  <autoFilter ref="M9:Q39" xr:uid="{00000000-0009-0000-0100-000011000000}"/>
  <tableColumns count="5">
    <tableColumn id="1" xr3:uid="{00000000-0010-0000-0400-000001000000}" name="Year"/>
    <tableColumn id="2" xr3:uid="{00000000-0010-0000-0400-000002000000}" name="Year Number"/>
    <tableColumn id="3" xr3:uid="{00000000-0010-0000-0400-000003000000}" name="Gas AEC Factor" dataDxfId="826"/>
    <tableColumn id="4" xr3:uid="{00000000-0010-0000-0400-000004000000}" name="Avoided Energy Cost $/therm" dataDxfId="825"/>
    <tableColumn id="5" xr3:uid="{00000000-0010-0000-0400-000005000000}" name="NPV GAEC $/therm" dataDxfId="824"/>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6000000}" name="LPDWATT" displayName="LPDWATT" ref="J60:U100" totalsRowShown="0" headerRowDxfId="814">
  <autoFilter ref="J60:U100" xr:uid="{00000000-0009-0000-0100-00002E000000}"/>
  <sortState xmlns:xlrd2="http://schemas.microsoft.com/office/spreadsheetml/2017/richdata2" ref="J61:U100">
    <sortCondition ref="J60:J100"/>
  </sortState>
  <tableColumns count="12">
    <tableColumn id="1" xr3:uid="{00000000-0010-0000-1600-000001000000}" name="Building Area Type"/>
    <tableColumn id="2" xr3:uid="{00000000-0010-0000-1600-000002000000}" name="IECC 2018  (Watts/ Sq. Ft.)"/>
    <tableColumn id="5" xr3:uid="{00000000-0010-0000-1600-000005000000}" name="Lighting Coincidence Factor" dataDxfId="813"/>
    <tableColumn id="4" xr3:uid="{00000000-0010-0000-1600-000004000000}" name="Indiana July 2015 v2.2 TRM Building Type"/>
    <tableColumn id="3" xr3:uid="{00000000-0010-0000-1600-000003000000}" name="Fixture Annual Operating Hours" dataDxfId="812" dataCellStyle="Comma"/>
    <tableColumn id="6" xr3:uid="{48A7057E-90EF-4D9C-883F-CC6ED0104400}" name="Screw Based Bulb Annual Operating Hours"/>
    <tableColumn id="7" xr3:uid="{358647F8-2E98-4DE6-94DA-67774510F1EB}" name="Waste Heat Cooling Energy WHFe"/>
    <tableColumn id="8" xr3:uid="{8B701161-E7AB-4B14-822C-C44376871464}" name="Waste Heat Cooling Demand WHFd"/>
    <tableColumn id="9" xr3:uid="{90D1A2AC-D891-448F-9D39-03FEA66959C1}" name="Coincidence Factor CF"/>
    <tableColumn id="10" xr3:uid="{F99D5B93-6018-4143-9101-A0ADA8B9EC48}" name="Waste Heat Gas Heating IFTherms"/>
    <tableColumn id="11" xr3:uid="{B1036AC9-9F67-4D3B-83BC-6D9C215A9E53}" name="Waste Heat Electric Resistance Heating IFkWh"/>
    <tableColumn id="12" xr3:uid="{255C1508-80E5-441B-A425-249A0D5E142E}" name="Waste Heat Electric Heat Pump Heating IFkWh"/>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205CBF2-D4A8-4BF6-B492-CE6F9A37C5A6}" name="LightingWHF" displayName="LightingWHF" ref="W60:AK114" totalsRowShown="0">
  <autoFilter ref="W60:AK114" xr:uid="{F205CBF2-D4A8-4BF6-B492-CE6F9A37C5A6}"/>
  <sortState xmlns:xlrd2="http://schemas.microsoft.com/office/spreadsheetml/2017/richdata2" ref="W61:AJ114">
    <sortCondition ref="W60:W114"/>
  </sortState>
  <tableColumns count="15">
    <tableColumn id="1" xr3:uid="{121EFC8A-7131-490E-B344-67B66916AB6B}" name="Building/Space Type"/>
    <tableColumn id="14" xr3:uid="{589277E9-6ABD-4233-A3C1-C47B91F4402C}" name="ASHRAE Standard 90.1 – 2007  (Watts/ Sq. Ft.)"/>
    <tableColumn id="2" xr3:uid="{E85DB836-5B56-441B-8B28-22BA315EEDF7}" name="Fixture Annual Operating Hours"/>
    <tableColumn id="3" xr3:uid="{F1E32D35-71B7-42F7-80DE-1FDCBE147416}" name="Screw Based Bulb Annual Operating Hours"/>
    <tableColumn id="4" xr3:uid="{7FF4CC6D-9EF6-4F03-88E3-D737ADD714D8}" name="Waste Heat Cooling Energy WHFe"/>
    <tableColumn id="5" xr3:uid="{B7B13E0C-71D4-474B-A18C-E235600B309F}" name="Waste Heat Cooling Demand WHFd"/>
    <tableColumn id="6" xr3:uid="{FC5D298F-29FD-400E-9113-EDBB04E7891A}" name="Coincidence Factor CF"/>
    <tableColumn id="7" xr3:uid="{43B1A494-5CED-40C4-AF17-4D5C8457B3C6}" name="Waste Heat Gas Heating IFTherms"/>
    <tableColumn id="8" xr3:uid="{FB539988-9553-4E6E-8832-51B539C4BB9E}" name="Waste Heat Electric Resistance Heating IFkWh"/>
    <tableColumn id="9" xr3:uid="{B47D73A3-72C1-47DA-B072-FA004D83CF2C}" name="Waste Heat Electric Heat Pump Heating IFkWh"/>
    <tableColumn id="10" xr3:uid="{6E0B0599-F474-4E97-B98A-294612410B0F}" name="Heating Run Hours"/>
    <tableColumn id="11" xr3:uid="{0A8AEAAB-F693-42A8-82CF-2DF784FF38A4}" name="Cooling Run Hours"/>
    <tableColumn id="12" xr3:uid="{A1D317E9-95AD-4C9A-AA66-BA3755BF04A6}" name="Heating EFLH"/>
    <tableColumn id="13" xr3:uid="{3DDB1FEF-30EB-4E81-A824-8F912C448B6F}" name="Cooling EFLH"/>
    <tableColumn id="15" xr3:uid="{91EA9672-203E-4ACB-979E-AA4118A8FF7D}" name="Total Fan Run Hours"/>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6C620481-7874-4B71-8FB1-8A13C3744125}" name="AccountType" displayName="AccountType" ref="A99:A102" totalsRowShown="0">
  <autoFilter ref="A99:A102" xr:uid="{6C620481-7874-4B71-8FB1-8A13C3744125}"/>
  <tableColumns count="1">
    <tableColumn id="1" xr3:uid="{F054E7D1-A7AC-4F8F-BBF6-B66129F6C0C5}" name="Account Type"/>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3A20FF7B-B339-4DA0-8E63-B0984C5EACDE}" name="EQUIPMENTORDERED" displayName="EQUIPMENTORDERED" ref="A104:A106" totalsRowShown="0" headerRowDxfId="811" headerRowBorderDxfId="810" tableBorderDxfId="809" totalsRowBorderDxfId="808">
  <autoFilter ref="A104:A106" xr:uid="{3A20FF7B-B339-4DA0-8E63-B0984C5EACDE}"/>
  <tableColumns count="1">
    <tableColumn id="1" xr3:uid="{89BAACD3-D339-40D5-AF3C-7C9C9845FABA}" name="Equipment Ordered"/>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B9D48BB-B352-46D6-B6F0-FBBAF8D01BC0}" name="BLDGSPCType" displayName="BLDGSPCType" ref="AO3:AP371" totalsRowShown="0">
  <autoFilter ref="AO3:AP371" xr:uid="{BB9D48BB-B352-46D6-B6F0-FBBAF8D01BC0}"/>
  <sortState xmlns:xlrd2="http://schemas.microsoft.com/office/spreadsheetml/2017/richdata2" ref="AO4:AP317">
    <sortCondition ref="AO3:AO317"/>
  </sortState>
  <tableColumns count="2">
    <tableColumn id="1" xr3:uid="{45996A40-FECA-4A59-8E0A-E8F958C2C14F}" name="Building Type"/>
    <tableColumn id="2" xr3:uid="{5DA7B93F-D2CB-4B48-AA0B-91B31A2516FE}" name="Space Type"/>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7000000}" name="PMELIGHT" displayName="PMELIGHT" ref="A1:AM42" totalsRowShown="0" headerRowDxfId="807" dataDxfId="806" headerRowCellStyle="Normal 2" dataCellStyle="Normal 2">
  <autoFilter ref="A1:AM42" xr:uid="{00000000-0009-0000-0100-000007000000}"/>
  <sortState xmlns:xlrd2="http://schemas.microsoft.com/office/spreadsheetml/2017/richdata2" ref="A2:AM42">
    <sortCondition ref="AD1:AD42"/>
  </sortState>
  <tableColumns count="39">
    <tableColumn id="1" xr3:uid="{00000000-0010-0000-1700-000001000000}" name="Measure #" dataDxfId="805" dataCellStyle="Normal 2"/>
    <tableColumn id="2" xr3:uid="{00000000-0010-0000-1700-000002000000}" name="Measure Name" dataDxfId="804" dataCellStyle="Normal 2"/>
    <tableColumn id="3" xr3:uid="{00000000-0010-0000-1700-000003000000}" name="Equipment Description" dataDxfId="803" dataCellStyle="Normal 2"/>
    <tableColumn id="4" xr3:uid="{00000000-0010-0000-1700-000004000000}" name="Eff Category" dataDxfId="802" dataCellStyle="Normal 2"/>
    <tableColumn id="5" xr3:uid="{00000000-0010-0000-1700-000005000000}" name="Eff Measure Group" dataDxfId="801" dataCellStyle="Normal 2"/>
    <tableColumn id="6" xr3:uid="{00000000-0010-0000-1700-000006000000}" name="Eff Equip Descr" dataDxfId="800" dataCellStyle="Normal 2"/>
    <tableColumn id="7" xr3:uid="{00000000-0010-0000-1700-000007000000}" name="Base Category" dataDxfId="799" dataCellStyle="Normal 2"/>
    <tableColumn id="8" xr3:uid="{00000000-0010-0000-1700-000008000000}" name="Base Measure Group" dataDxfId="798" dataCellStyle="Normal 2"/>
    <tableColumn id="9" xr3:uid="{00000000-0010-0000-1700-000009000000}" name="Base Equip Descr" dataDxfId="797" dataCellStyle="Normal 2"/>
    <tableColumn id="10" xr3:uid="{00000000-0010-0000-1700-00000A000000}" name="Program Design" dataDxfId="796" dataCellStyle="Normal 2"/>
    <tableColumn id="11" xr3:uid="{00000000-0010-0000-1700-00000B000000}" name="TRM Reference No." dataDxfId="795" dataCellStyle="Normal 2"/>
    <tableColumn id="12" xr3:uid="{00000000-0010-0000-1700-00000C000000}" name="Measure Life" dataDxfId="794" dataCellStyle="Normal 2"/>
    <tableColumn id="13" xr3:uid="{00000000-0010-0000-1700-00000D000000}" name="Created On" dataDxfId="793" dataCellStyle="Normal 2"/>
    <tableColumn id="14" xr3:uid="{00000000-0010-0000-1700-00000E000000}" name="Source" dataDxfId="792" dataCellStyle="Normal 2"/>
    <tableColumn id="15" xr3:uid="{00000000-0010-0000-1700-00000F000000}" name="End Use Category" dataDxfId="791" dataCellStyle="Normal 2"/>
    <tableColumn id="16" xr3:uid="{00000000-0010-0000-1700-000010000000}" name="Inc Rate Unit" dataDxfId="790" dataCellStyle="Normal 2"/>
    <tableColumn id="17" xr3:uid="{00000000-0010-0000-1700-000011000000}" name="Savings per Unit kWh" dataDxfId="789" dataCellStyle="Normal 2"/>
    <tableColumn id="18" xr3:uid="{00000000-0010-0000-1700-000012000000}" name="Savings per Unit kW" dataDxfId="788" dataCellStyle="Normal 2"/>
    <tableColumn id="19" xr3:uid="{00000000-0010-0000-1700-000013000000}" name="Inc Rate kWh" dataDxfId="787" dataCellStyle="Normal 2"/>
    <tableColumn id="20" xr3:uid="{00000000-0010-0000-1700-000014000000}" name="Inc Rate kW" dataDxfId="786" dataCellStyle="Normal 2"/>
    <tableColumn id="21" xr3:uid="{00000000-0010-0000-1700-000015000000}" name="Energy Type" dataDxfId="785" dataCellStyle="Normal 2"/>
    <tableColumn id="30" xr3:uid="{00000000-0010-0000-1700-00001E000000}" name="Program" dataDxfId="784" dataCellStyle="Normal 2"/>
    <tableColumn id="36" xr3:uid="{00000000-0010-0000-1700-000024000000}" name="Lighting vs Non Lighting" dataDxfId="783" dataCellStyle="Normal 2"/>
    <tableColumn id="35" xr3:uid="{00000000-0010-0000-1700-000023000000}" name="Status" dataDxfId="782" dataCellStyle="Normal 2"/>
    <tableColumn id="37" xr3:uid="{00000000-0010-0000-1700-000025000000}" name="SUTO" dataDxfId="781" dataCellStyle="Normal 2"/>
    <tableColumn id="34" xr3:uid="{00000000-0010-0000-1700-000022000000}" name="Cost Basis" dataDxfId="780" dataCellStyle="Normal 2"/>
    <tableColumn id="39" xr3:uid="{00000000-0010-0000-1700-000027000000}" name="Incremental Cost" dataDxfId="779" dataCellStyle="Normal 2"/>
    <tableColumn id="33" xr3:uid="{00000000-0010-0000-1700-000021000000}" name="Typical Unit Size" dataDxfId="778" dataCellStyle="Normal 2"/>
    <tableColumn id="31" xr3:uid="{00000000-0010-0000-1700-00001F000000}" name="Unit of Measure" dataDxfId="777" dataCellStyle="Normal 2"/>
    <tableColumn id="22" xr3:uid="{00000000-0010-0000-1700-000016000000}" name="Base Desc 1" dataDxfId="776" dataCellStyle="Normal 2"/>
    <tableColumn id="23" xr3:uid="{00000000-0010-0000-1700-000017000000}" name="Base Desc 2" dataDxfId="775" dataCellStyle="Normal 2"/>
    <tableColumn id="24" xr3:uid="{00000000-0010-0000-1700-000018000000}" name="Base Watt" dataDxfId="774" dataCellStyle="Normal 2"/>
    <tableColumn id="28" xr3:uid="{00000000-0010-0000-1700-00001C000000}" name="Base Watt 2" dataDxfId="773" dataCellStyle="Normal 2"/>
    <tableColumn id="25" xr3:uid="{00000000-0010-0000-1700-000019000000}" name="Eff Desc 1" dataDxfId="772" dataCellStyle="Normal 2"/>
    <tableColumn id="26" xr3:uid="{00000000-0010-0000-1700-00001A000000}" name="Eff Desc 2" dataDxfId="771" dataCellStyle="Normal 2"/>
    <tableColumn id="27" xr3:uid="{00000000-0010-0000-1700-00001B000000}" name="Eff Watt" dataDxfId="770" dataCellStyle="Normal 2"/>
    <tableColumn id="29" xr3:uid="{00000000-0010-0000-1700-00001D000000}" name="Eff Watt 2" dataDxfId="769" dataCellStyle="Normal 2"/>
    <tableColumn id="32" xr3:uid="{00000000-0010-0000-1700-000020000000}" name="Op Hr 1" dataDxfId="768" dataCellStyle="Normal 2"/>
    <tableColumn id="38" xr3:uid="{00000000-0010-0000-1700-000026000000}" name="Order" dataDxfId="767" dataCellStyle="Normal 2"/>
  </tableColumns>
  <tableStyleInfo name="TableStyleMedium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8000000}" name="PMEREFRI" displayName="PMEREFRI" ref="A53:AK89" totalsRowShown="0" headerRowDxfId="766" dataDxfId="765" headerRowCellStyle="Normal 2" dataCellStyle="Normal 2">
  <autoFilter ref="A53:AK89" xr:uid="{00000000-0009-0000-0100-000009000000}"/>
  <sortState xmlns:xlrd2="http://schemas.microsoft.com/office/spreadsheetml/2017/richdata2" ref="A54:AK89">
    <sortCondition ref="AH53:AH89"/>
  </sortState>
  <tableColumns count="37">
    <tableColumn id="1" xr3:uid="{00000000-0010-0000-1800-000001000000}" name="Measure #" dataDxfId="764" dataCellStyle="Normal 2"/>
    <tableColumn id="2" xr3:uid="{00000000-0010-0000-1800-000002000000}" name="Measure Name" dataDxfId="763" dataCellStyle="Normal 2"/>
    <tableColumn id="3" xr3:uid="{00000000-0010-0000-1800-000003000000}" name="Equipment Description" dataDxfId="762" dataCellStyle="Normal 2"/>
    <tableColumn id="4" xr3:uid="{00000000-0010-0000-1800-000004000000}" name="Eff Category" dataDxfId="761" dataCellStyle="Normal 2"/>
    <tableColumn id="5" xr3:uid="{00000000-0010-0000-1800-000005000000}" name="Eff Measure Group" dataDxfId="760" dataCellStyle="Normal 2"/>
    <tableColumn id="6" xr3:uid="{00000000-0010-0000-1800-000006000000}" name="Eff Equip Descr" dataDxfId="759" dataCellStyle="Normal 2"/>
    <tableColumn id="7" xr3:uid="{00000000-0010-0000-1800-000007000000}" name="Base Category" dataDxfId="758" dataCellStyle="Normal 2"/>
    <tableColumn id="8" xr3:uid="{00000000-0010-0000-1800-000008000000}" name="Base Measure Group" dataDxfId="757" dataCellStyle="Normal 2"/>
    <tableColumn id="9" xr3:uid="{00000000-0010-0000-1800-000009000000}" name="Base Equip Descr" dataDxfId="756" dataCellStyle="Normal 2"/>
    <tableColumn id="10" xr3:uid="{00000000-0010-0000-1800-00000A000000}" name="Program Design" dataDxfId="755" dataCellStyle="Normal 2"/>
    <tableColumn id="11" xr3:uid="{00000000-0010-0000-1800-00000B000000}" name="TRM Reference No." dataDxfId="754" dataCellStyle="Normal 2"/>
    <tableColumn id="12" xr3:uid="{00000000-0010-0000-1800-00000C000000}" name="Measure Life" dataDxfId="753" dataCellStyle="Normal 2"/>
    <tableColumn id="13" xr3:uid="{00000000-0010-0000-1800-00000D000000}" name="Created On" dataDxfId="752" dataCellStyle="Normal 2"/>
    <tableColumn id="14" xr3:uid="{00000000-0010-0000-1800-00000E000000}" name="Source" dataDxfId="751" dataCellStyle="Normal 2"/>
    <tableColumn id="15" xr3:uid="{00000000-0010-0000-1800-00000F000000}" name="End Use Category" dataDxfId="750" dataCellStyle="Normal 2"/>
    <tableColumn id="16" xr3:uid="{00000000-0010-0000-1800-000010000000}" name="Inc Rate Unit" dataDxfId="749" dataCellStyle="Normal 2"/>
    <tableColumn id="17" xr3:uid="{00000000-0010-0000-1800-000011000000}" name="Savings per Unit kWh" dataDxfId="748" dataCellStyle="Normal 2"/>
    <tableColumn id="18" xr3:uid="{00000000-0010-0000-1800-000012000000}" name="Savings per Unit kW" dataDxfId="747" dataCellStyle="Normal 2"/>
    <tableColumn id="19" xr3:uid="{00000000-0010-0000-1800-000013000000}" name="Inc Rate kWh" dataDxfId="746" dataCellStyle="Normal 2"/>
    <tableColumn id="30" xr3:uid="{00000000-0010-0000-1800-00001E000000}" name="Inc Rate kW" dataDxfId="745" dataCellStyle="Normal 2"/>
    <tableColumn id="31" xr3:uid="{00000000-0010-0000-1800-00001F000000}" name="Energy Type" dataDxfId="744" dataCellStyle="Normal 2"/>
    <tableColumn id="36" xr3:uid="{00000000-0010-0000-1800-000024000000}" name="Program" dataDxfId="743" dataCellStyle="Normal 2"/>
    <tableColumn id="35" xr3:uid="{00000000-0010-0000-1800-000023000000}" name="Lighting vs Non Lighting" dataDxfId="742" dataCellStyle="Normal 2"/>
    <tableColumn id="34" xr3:uid="{00000000-0010-0000-1800-000022000000}" name="Status" dataDxfId="741" dataCellStyle="Normal 2"/>
    <tableColumn id="33" xr3:uid="{00000000-0010-0000-1800-000021000000}" name="SUTO" dataDxfId="740" dataCellStyle="Normal 2"/>
    <tableColumn id="32" xr3:uid="{00000000-0010-0000-1800-000020000000}" name="Cost Basis" dataDxfId="739" dataCellStyle="Normal 2"/>
    <tableColumn id="37" xr3:uid="{00000000-0010-0000-1800-000025000000}" name="Incremental Cost" dataDxfId="738" dataCellStyle="Normal 2"/>
    <tableColumn id="20" xr3:uid="{00000000-0010-0000-1800-000014000000}" name="Typical Unit Size" dataDxfId="737" dataCellStyle="Normal 2"/>
    <tableColumn id="21" xr3:uid="{00000000-0010-0000-1800-000015000000}" name="Unit of Measure" dataDxfId="736" dataCellStyle="Normal 2"/>
    <tableColumn id="22" xr3:uid="{00000000-0010-0000-1800-000016000000}" name="Base Desc 1" dataDxfId="735" dataCellStyle="Normal 2"/>
    <tableColumn id="23" xr3:uid="{00000000-0010-0000-1800-000017000000}" name="Base Desc 2" dataDxfId="734" dataCellStyle="Normal 2"/>
    <tableColumn id="24" xr3:uid="{00000000-0010-0000-1800-000018000000}" name="Base Watt" dataDxfId="733" dataCellStyle="Normal 2"/>
    <tableColumn id="28" xr3:uid="{00000000-0010-0000-1800-00001C000000}" name="Base Watt 2" dataDxfId="732" dataCellStyle="Normal 2"/>
    <tableColumn id="25" xr3:uid="{00000000-0010-0000-1800-000019000000}" name="Eff Desc 1" dataDxfId="731" dataCellStyle="Normal 2"/>
    <tableColumn id="26" xr3:uid="{00000000-0010-0000-1800-00001A000000}" name="Eff Desc 2" dataDxfId="730" dataCellStyle="Normal 2"/>
    <tableColumn id="27" xr3:uid="{00000000-0010-0000-1800-00001B000000}" name="Eff Watt" dataDxfId="729" dataCellStyle="Normal 2"/>
    <tableColumn id="29" xr3:uid="{00000000-0010-0000-1800-00001D000000}" name="Eff Watt 2" dataDxfId="728" dataCellStyle="Normal 2"/>
  </tableColumns>
  <tableStyleInfo name="TableStyleMedium3"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9000000}" name="PMEHVAC" displayName="PMEHVAC" ref="A92:AN113" totalsRowShown="0" headerRowDxfId="727" dataDxfId="726" headerRowCellStyle="Normal 2" dataCellStyle="Normal 2">
  <autoFilter ref="A92:AN113" xr:uid="{00000000-0009-0000-0100-00000A000000}"/>
  <sortState xmlns:xlrd2="http://schemas.microsoft.com/office/spreadsheetml/2017/richdata2" ref="A93:AN113">
    <sortCondition ref="AH92:AH113"/>
  </sortState>
  <tableColumns count="40">
    <tableColumn id="1" xr3:uid="{00000000-0010-0000-1900-000001000000}" name="Measure #" dataDxfId="725" dataCellStyle="Normal 2"/>
    <tableColumn id="2" xr3:uid="{00000000-0010-0000-1900-000002000000}" name="Measure Name" dataDxfId="724" dataCellStyle="Normal 2"/>
    <tableColumn id="3" xr3:uid="{00000000-0010-0000-1900-000003000000}" name="Equipment Description" dataDxfId="723" dataCellStyle="Normal 2"/>
    <tableColumn id="4" xr3:uid="{00000000-0010-0000-1900-000004000000}" name="Eff Category" dataDxfId="722" dataCellStyle="Normal 2"/>
    <tableColumn id="5" xr3:uid="{00000000-0010-0000-1900-000005000000}" name="Eff Measure Group" dataDxfId="721" dataCellStyle="Normal 2"/>
    <tableColumn id="6" xr3:uid="{00000000-0010-0000-1900-000006000000}" name="Eff Equip Descr" dataDxfId="720" dataCellStyle="Normal 2"/>
    <tableColumn id="7" xr3:uid="{00000000-0010-0000-1900-000007000000}" name="Base Category" dataDxfId="719" dataCellStyle="Normal 2"/>
    <tableColumn id="8" xr3:uid="{00000000-0010-0000-1900-000008000000}" name="Base Measure Group" dataDxfId="718" dataCellStyle="Normal 2"/>
    <tableColumn id="9" xr3:uid="{00000000-0010-0000-1900-000009000000}" name="Base Equip Descr" dataDxfId="717" dataCellStyle="Normal 2"/>
    <tableColumn id="10" xr3:uid="{00000000-0010-0000-1900-00000A000000}" name="Program Design" dataDxfId="716" dataCellStyle="Normal 2"/>
    <tableColumn id="11" xr3:uid="{00000000-0010-0000-1900-00000B000000}" name="TRM Reference No." dataDxfId="715" dataCellStyle="Normal 2"/>
    <tableColumn id="12" xr3:uid="{00000000-0010-0000-1900-00000C000000}" name="Measure Life" dataDxfId="714" dataCellStyle="Normal 2"/>
    <tableColumn id="13" xr3:uid="{00000000-0010-0000-1900-00000D000000}" name="Created On" dataDxfId="713" dataCellStyle="Normal 2"/>
    <tableColumn id="14" xr3:uid="{00000000-0010-0000-1900-00000E000000}" name="Source" dataDxfId="712" dataCellStyle="Normal 2"/>
    <tableColumn id="15" xr3:uid="{00000000-0010-0000-1900-00000F000000}" name="End Use Category" dataDxfId="711" dataCellStyle="Normal 2"/>
    <tableColumn id="16" xr3:uid="{00000000-0010-0000-1900-000010000000}" name="Inc Rate Unit" dataDxfId="710" dataCellStyle="Normal 2"/>
    <tableColumn id="17" xr3:uid="{00000000-0010-0000-1900-000011000000}" name="Savings per Unit kWh" dataDxfId="709" dataCellStyle="Normal 2"/>
    <tableColumn id="18" xr3:uid="{00000000-0010-0000-1900-000012000000}" name="Savings per Unit kW" dataDxfId="708" dataCellStyle="Normal 2"/>
    <tableColumn id="19" xr3:uid="{00000000-0010-0000-1900-000013000000}" name="Inc Rate kWh" dataDxfId="707" dataCellStyle="Normal 2"/>
    <tableColumn id="20" xr3:uid="{00000000-0010-0000-1900-000014000000}" name="Inc Rate kW" dataDxfId="706" dataCellStyle="Normal 2"/>
    <tableColumn id="32" xr3:uid="{00000000-0010-0000-1900-000020000000}" name="Energy Type" dataDxfId="705" dataCellStyle="Normal 2"/>
    <tableColumn id="36" xr3:uid="{00000000-0010-0000-1900-000024000000}" name="Program" dataDxfId="704" dataCellStyle="Normal 2"/>
    <tableColumn id="35" xr3:uid="{00000000-0010-0000-1900-000023000000}" name="Lighting vs Non Lighting" dataDxfId="703" dataCellStyle="Normal 2"/>
    <tableColumn id="34" xr3:uid="{00000000-0010-0000-1900-000022000000}" name="Status" dataDxfId="702" dataCellStyle="Normal 2"/>
    <tableColumn id="33" xr3:uid="{00000000-0010-0000-1900-000021000000}" name="SUTO" dataDxfId="701" dataCellStyle="Normal 2"/>
    <tableColumn id="30" xr3:uid="{00000000-0010-0000-1900-00001E000000}" name="Cost Basis" dataDxfId="700" dataCellStyle="Normal 2"/>
    <tableColumn id="37" xr3:uid="{00000000-0010-0000-1900-000025000000}" name="Incremental Cost" dataDxfId="699" dataCellStyle="Normal 2"/>
    <tableColumn id="31" xr3:uid="{00000000-0010-0000-1900-00001F000000}" name="Typical Unit Size" dataDxfId="698" dataCellStyle="Normal 2"/>
    <tableColumn id="21" xr3:uid="{00000000-0010-0000-1900-000015000000}" name="Unit of Measure" dataDxfId="697" dataCellStyle="Normal 2"/>
    <tableColumn id="22" xr3:uid="{00000000-0010-0000-1900-000016000000}" name="Base Desc 1" dataDxfId="696" dataCellStyle="Normal 2"/>
    <tableColumn id="23" xr3:uid="{00000000-0010-0000-1900-000017000000}" name="Base Desc 2" dataDxfId="695" dataCellStyle="Normal 2"/>
    <tableColumn id="24" xr3:uid="{00000000-0010-0000-1900-000018000000}" name="Base Watt" dataDxfId="694" dataCellStyle="Normal 2"/>
    <tableColumn id="28" xr3:uid="{00000000-0010-0000-1900-00001C000000}" name="Base Watt 2" dataDxfId="693" dataCellStyle="Normal 2"/>
    <tableColumn id="25" xr3:uid="{00000000-0010-0000-1900-000019000000}" name="Eff Desc 1" dataDxfId="692" dataCellStyle="Normal 2"/>
    <tableColumn id="26" xr3:uid="{00000000-0010-0000-1900-00001A000000}" name="Eff Desc 2" dataDxfId="691" dataCellStyle="Normal 2"/>
    <tableColumn id="27" xr3:uid="{00000000-0010-0000-1900-00001B000000}" name="Eff Watt" dataDxfId="690" dataCellStyle="Normal 2"/>
    <tableColumn id="29" xr3:uid="{00000000-0010-0000-1900-00001D000000}" name="Eff Watt 2" dataDxfId="689" dataCellStyle="Normal 2"/>
    <tableColumn id="38" xr3:uid="{AEEDEE38-701F-4E1B-9070-E2B3435F53D5}" name="EFLHcool" dataDxfId="688" dataCellStyle="Normal 2"/>
    <tableColumn id="39" xr3:uid="{270DF925-76C1-4D36-BB4C-ED3472D01D9B}" name="EFLHheat" dataDxfId="687" dataCellStyle="Normal 2"/>
    <tableColumn id="40" xr3:uid="{8F36D5F3-AF21-460B-8D09-61CEE1822C03}" name="Therms" dataDxfId="686" dataCellStyle="Normal 2"/>
  </tableColumns>
  <tableStyleInfo name="TableStyleMedium4"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A000000}" name="PMEKITCHEN" displayName="PMEKITCHEN" ref="A116:AK136" totalsRowShown="0" headerRowDxfId="685" dataDxfId="684" headerRowCellStyle="Normal 2" dataCellStyle="Normal 2">
  <autoFilter ref="A116:AK136" xr:uid="{00000000-0009-0000-0100-00000B000000}"/>
  <sortState xmlns:xlrd2="http://schemas.microsoft.com/office/spreadsheetml/2017/richdata2" ref="A117:AK134">
    <sortCondition ref="AH116:AH134"/>
  </sortState>
  <tableColumns count="37">
    <tableColumn id="1" xr3:uid="{00000000-0010-0000-1A00-000001000000}" name="Measure #" dataDxfId="683" dataCellStyle="Normal 2"/>
    <tableColumn id="2" xr3:uid="{00000000-0010-0000-1A00-000002000000}" name="Measure Name" dataDxfId="682" dataCellStyle="Normal 2"/>
    <tableColumn id="3" xr3:uid="{00000000-0010-0000-1A00-000003000000}" name="Equipment Description" dataDxfId="681" dataCellStyle="Normal 2"/>
    <tableColumn id="4" xr3:uid="{00000000-0010-0000-1A00-000004000000}" name="Eff Category" dataDxfId="680" dataCellStyle="Normal 2"/>
    <tableColumn id="5" xr3:uid="{00000000-0010-0000-1A00-000005000000}" name="Eff Measure Group" dataDxfId="679" dataCellStyle="Normal 2"/>
    <tableColumn id="6" xr3:uid="{00000000-0010-0000-1A00-000006000000}" name="Eff Equip Descr" dataDxfId="678" dataCellStyle="Normal 2"/>
    <tableColumn id="7" xr3:uid="{00000000-0010-0000-1A00-000007000000}" name="Base Category" dataDxfId="677" dataCellStyle="Normal 2"/>
    <tableColumn id="8" xr3:uid="{00000000-0010-0000-1A00-000008000000}" name="Base Measure Group" dataDxfId="676" dataCellStyle="Normal 2"/>
    <tableColumn id="9" xr3:uid="{00000000-0010-0000-1A00-000009000000}" name="Base Equip Descr" dataDxfId="675" dataCellStyle="Normal 2"/>
    <tableColumn id="10" xr3:uid="{00000000-0010-0000-1A00-00000A000000}" name="Program Design" dataDxfId="674" dataCellStyle="Normal 2"/>
    <tableColumn id="11" xr3:uid="{00000000-0010-0000-1A00-00000B000000}" name="TRM Reference No." dataDxfId="673" dataCellStyle="Normal 2"/>
    <tableColumn id="12" xr3:uid="{00000000-0010-0000-1A00-00000C000000}" name="Measure Life" dataDxfId="672" dataCellStyle="Normal 2"/>
    <tableColumn id="13" xr3:uid="{00000000-0010-0000-1A00-00000D000000}" name="Created On" dataDxfId="671" dataCellStyle="Normal 2"/>
    <tableColumn id="14" xr3:uid="{00000000-0010-0000-1A00-00000E000000}" name="Source" dataDxfId="670" dataCellStyle="Normal 2"/>
    <tableColumn id="15" xr3:uid="{00000000-0010-0000-1A00-00000F000000}" name="End Use Category" dataDxfId="669" dataCellStyle="Normal 2"/>
    <tableColumn id="16" xr3:uid="{00000000-0010-0000-1A00-000010000000}" name="Inc Rate Unit" dataDxfId="668" dataCellStyle="Normal 2"/>
    <tableColumn id="17" xr3:uid="{00000000-0010-0000-1A00-000011000000}" name="Savings per Unit kWh" dataDxfId="667" dataCellStyle="Normal 2"/>
    <tableColumn id="18" xr3:uid="{00000000-0010-0000-1A00-000012000000}" name="Savings per Unit kW" dataDxfId="666" dataCellStyle="Normal 2"/>
    <tableColumn id="19" xr3:uid="{00000000-0010-0000-1A00-000013000000}" name="Inc Rate kWh" dataDxfId="665" dataCellStyle="Normal 2"/>
    <tableColumn id="20" xr3:uid="{00000000-0010-0000-1A00-000014000000}" name="Inc Rate kW" dataDxfId="664" dataCellStyle="Normal 2"/>
    <tableColumn id="21" xr3:uid="{00000000-0010-0000-1A00-000015000000}" name="Energy Type" dataDxfId="663" dataCellStyle="Normal 2"/>
    <tableColumn id="34" xr3:uid="{00000000-0010-0000-1A00-000022000000}" name="Program" dataDxfId="662" dataCellStyle="Normal 2"/>
    <tableColumn id="33" xr3:uid="{00000000-0010-0000-1A00-000021000000}" name="Lighting vs Non Lighting" dataDxfId="661" dataCellStyle="Normal 2"/>
    <tableColumn id="32" xr3:uid="{00000000-0010-0000-1A00-000020000000}" name="Status" dataDxfId="660" dataCellStyle="Normal 2"/>
    <tableColumn id="35" xr3:uid="{00000000-0010-0000-1A00-000023000000}" name="SUTO" dataDxfId="659" dataCellStyle="Normal 2"/>
    <tableColumn id="36" xr3:uid="{00000000-0010-0000-1A00-000024000000}" name="Cost Basis" dataDxfId="658" dataCellStyle="Normal 2"/>
    <tableColumn id="37" xr3:uid="{00000000-0010-0000-1A00-000025000000}" name="Incremental Cost" dataDxfId="657" dataCellStyle="Normal 2"/>
    <tableColumn id="31" xr3:uid="{00000000-0010-0000-1A00-00001F000000}" name="Typical Unit Size" dataDxfId="656" dataCellStyle="Normal 2"/>
    <tableColumn id="30" xr3:uid="{00000000-0010-0000-1A00-00001E000000}" name="Unit of Measure" dataDxfId="655" dataCellStyle="Normal 2"/>
    <tableColumn id="22" xr3:uid="{00000000-0010-0000-1A00-000016000000}" name="Base Desc 1" dataDxfId="654" dataCellStyle="Normal 2"/>
    <tableColumn id="23" xr3:uid="{00000000-0010-0000-1A00-000017000000}" name="Base Desc 2" dataDxfId="653" dataCellStyle="Normal 2"/>
    <tableColumn id="24" xr3:uid="{00000000-0010-0000-1A00-000018000000}" name="Base Watt" dataDxfId="652" dataCellStyle="Normal 2"/>
    <tableColumn id="28" xr3:uid="{00000000-0010-0000-1A00-00001C000000}" name="Base Watt 2" dataDxfId="651" dataCellStyle="Normal 2"/>
    <tableColumn id="25" xr3:uid="{00000000-0010-0000-1A00-000019000000}" name="Eff Desc 1" dataDxfId="650" dataCellStyle="Normal 2"/>
    <tableColumn id="26" xr3:uid="{00000000-0010-0000-1A00-00001A000000}" name="Eff Desc 2" dataDxfId="649" dataCellStyle="Normal 2"/>
    <tableColumn id="27" xr3:uid="{00000000-0010-0000-1A00-00001B000000}" name="Eff Watt" dataDxfId="648" dataCellStyle="Normal 2"/>
    <tableColumn id="29" xr3:uid="{00000000-0010-0000-1A00-00001D000000}" name="Eff Watt 2" dataDxfId="647" dataCellStyle="Normal 2"/>
  </tableColumns>
  <tableStyleInfo name="TableStyleMedium5"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B000000}" name="PMELIGHTTYPE" displayName="PMELIGHTTYPE" ref="AO1:AS18" totalsRowShown="0" headerRowDxfId="646" dataDxfId="644" headerRowBorderDxfId="645" tableBorderDxfId="643" totalsRowBorderDxfId="642" headerRowCellStyle="Normal 2" dataCellStyle="Normal 2">
  <autoFilter ref="AO1:AS18" xr:uid="{00000000-0009-0000-0100-00000F000000}"/>
  <sortState xmlns:xlrd2="http://schemas.microsoft.com/office/spreadsheetml/2017/richdata2" ref="AO2:AS18">
    <sortCondition ref="AS1:AS18"/>
  </sortState>
  <tableColumns count="5">
    <tableColumn id="1" xr3:uid="{00000000-0010-0000-1B00-000001000000}" name="Base Desc 1" dataDxfId="641" dataCellStyle="Normal 2"/>
    <tableColumn id="2" xr3:uid="{00000000-0010-0000-1B00-000002000000}" name="Base Autofill" dataDxfId="640" dataCellStyle="Normal 2"/>
    <tableColumn id="3" xr3:uid="{00000000-0010-0000-1B00-000003000000}" name="Base Watt" dataDxfId="639" dataCellStyle="Normal 2"/>
    <tableColumn id="4" xr3:uid="{00000000-0010-0000-1B00-000004000000}" name="Base W 2" dataDxfId="638" dataCellStyle="Normal 2"/>
    <tableColumn id="5" xr3:uid="{00000000-0010-0000-1B00-000005000000}" name="Order" dataDxfId="637" dataCellStyle="Normal 2"/>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5000000}" name="BUILDINGTYPE" displayName="BUILDINGTYPE" ref="A4:B21" totalsRowShown="0">
  <autoFilter ref="A4:B21" xr:uid="{00000000-0009-0000-0100-000016000000}"/>
  <sortState xmlns:xlrd2="http://schemas.microsoft.com/office/spreadsheetml/2017/richdata2" ref="A5:B21">
    <sortCondition ref="A4:A21"/>
  </sortState>
  <tableColumns count="2">
    <tableColumn id="1" xr3:uid="{00000000-0010-0000-0500-000001000000}" name="Building Type"/>
    <tableColumn id="2" xr3:uid="{00000000-0010-0000-0500-000002000000}" name="Lighting Coincidence Factor" dataDxfId="823"/>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C000000}" name="PMELIGHTCON" displayName="PMELIGHTCON" ref="A46:AK50" totalsRowShown="0" headerRowDxfId="636" dataDxfId="634" headerRowBorderDxfId="635" tableBorderDxfId="633" headerRowCellStyle="Normal 2">
  <autoFilter ref="A46:AK50" xr:uid="{00000000-0009-0000-0100-000010000000}"/>
  <sortState xmlns:xlrd2="http://schemas.microsoft.com/office/spreadsheetml/2017/richdata2" ref="A47:AK50">
    <sortCondition ref="AH46:AH50"/>
  </sortState>
  <tableColumns count="37">
    <tableColumn id="1" xr3:uid="{00000000-0010-0000-1C00-000001000000}" name="Measure #" dataDxfId="632" dataCellStyle="Normal 2"/>
    <tableColumn id="2" xr3:uid="{00000000-0010-0000-1C00-000002000000}" name="Measure Name" dataDxfId="631" dataCellStyle="Normal 2"/>
    <tableColumn id="3" xr3:uid="{00000000-0010-0000-1C00-000003000000}" name="Equipment Description" dataDxfId="630" dataCellStyle="Normal 2"/>
    <tableColumn id="4" xr3:uid="{00000000-0010-0000-1C00-000004000000}" name="Eff Category" dataDxfId="629" dataCellStyle="Normal 2"/>
    <tableColumn id="5" xr3:uid="{00000000-0010-0000-1C00-000005000000}" name="Eff Measure Group" dataDxfId="628" dataCellStyle="Normal 2"/>
    <tableColumn id="6" xr3:uid="{00000000-0010-0000-1C00-000006000000}" name="Eff Equip Descr" dataDxfId="627" dataCellStyle="Normal 2"/>
    <tableColumn id="7" xr3:uid="{00000000-0010-0000-1C00-000007000000}" name="Base Category" dataDxfId="626" dataCellStyle="Normal 2"/>
    <tableColumn id="8" xr3:uid="{00000000-0010-0000-1C00-000008000000}" name="Base Measure Group" dataDxfId="625" dataCellStyle="Normal 2"/>
    <tableColumn id="9" xr3:uid="{00000000-0010-0000-1C00-000009000000}" name="Base Equip Descr" dataDxfId="624" dataCellStyle="Normal 2"/>
    <tableColumn id="10" xr3:uid="{00000000-0010-0000-1C00-00000A000000}" name="Program Design" dataDxfId="623" dataCellStyle="Normal 2"/>
    <tableColumn id="11" xr3:uid="{00000000-0010-0000-1C00-00000B000000}" name="TRM Reference No." dataDxfId="622" dataCellStyle="Normal 2"/>
    <tableColumn id="12" xr3:uid="{00000000-0010-0000-1C00-00000C000000}" name="Measure Life" dataDxfId="621" dataCellStyle="Normal 2"/>
    <tableColumn id="13" xr3:uid="{00000000-0010-0000-1C00-00000D000000}" name="Created On" dataDxfId="620" dataCellStyle="Normal 2"/>
    <tableColumn id="14" xr3:uid="{00000000-0010-0000-1C00-00000E000000}" name="Source" dataDxfId="619" dataCellStyle="Normal 2"/>
    <tableColumn id="15" xr3:uid="{00000000-0010-0000-1C00-00000F000000}" name="End Use Category" dataDxfId="618" dataCellStyle="Normal 2"/>
    <tableColumn id="16" xr3:uid="{00000000-0010-0000-1C00-000010000000}" name="Inc Rate Unit" dataDxfId="617" dataCellStyle="Normal 2"/>
    <tableColumn id="17" xr3:uid="{00000000-0010-0000-1C00-000011000000}" name="Savings per Unit kWh" dataDxfId="616" dataCellStyle="Normal 2"/>
    <tableColumn id="18" xr3:uid="{00000000-0010-0000-1C00-000012000000}" name="Savings per Unit kW" dataDxfId="615" dataCellStyle="Normal 2"/>
    <tableColumn id="19" xr3:uid="{00000000-0010-0000-1C00-000013000000}" name="Inc Rate kWh" dataDxfId="614" dataCellStyle="Normal 2"/>
    <tableColumn id="20" xr3:uid="{00000000-0010-0000-1C00-000014000000}" name="Inc Rate kW" dataDxfId="613" dataCellStyle="Normal 2"/>
    <tableColumn id="21" xr3:uid="{00000000-0010-0000-1C00-000015000000}" name="Energy Type" dataDxfId="612" dataCellStyle="Normal 2"/>
    <tableColumn id="36" xr3:uid="{00000000-0010-0000-1C00-000024000000}" name="Program" dataDxfId="611" dataCellStyle="Normal 2"/>
    <tableColumn id="35" xr3:uid="{00000000-0010-0000-1C00-000023000000}" name="Lighting vs Non Lighting" dataDxfId="610" dataCellStyle="Normal 2"/>
    <tableColumn id="34" xr3:uid="{00000000-0010-0000-1C00-000022000000}" name="Status" dataDxfId="609" dataCellStyle="Normal 2"/>
    <tableColumn id="33" xr3:uid="{00000000-0010-0000-1C00-000021000000}" name="SUTO" dataDxfId="608" dataCellStyle="Normal 2"/>
    <tableColumn id="32" xr3:uid="{00000000-0010-0000-1C00-000020000000}" name="Cost Basis" dataDxfId="607" dataCellStyle="Normal 2"/>
    <tableColumn id="37" xr3:uid="{00000000-0010-0000-1C00-000025000000}" name="Incremental Cost" dataDxfId="606" dataCellStyle="Normal 2"/>
    <tableColumn id="31" xr3:uid="{00000000-0010-0000-1C00-00001F000000}" name="Typical Unit Size" dataDxfId="605" dataCellStyle="Normal 2"/>
    <tableColumn id="30" xr3:uid="{00000000-0010-0000-1C00-00001E000000}" name="Unit of Measure" dataDxfId="604" dataCellStyle="Normal 2"/>
    <tableColumn id="22" xr3:uid="{00000000-0010-0000-1C00-000016000000}" name="Base Desc 1" dataDxfId="603"/>
    <tableColumn id="23" xr3:uid="{00000000-0010-0000-1C00-000017000000}" name="Base Desc 2" dataDxfId="602"/>
    <tableColumn id="24" xr3:uid="{00000000-0010-0000-1C00-000018000000}" name="Base Watt" dataDxfId="601"/>
    <tableColumn id="28" xr3:uid="{00000000-0010-0000-1C00-00001C000000}" name="Base Watt 2" dataDxfId="600"/>
    <tableColumn id="25" xr3:uid="{00000000-0010-0000-1C00-000019000000}" name="Eff Desc 1" dataDxfId="599" dataCellStyle="Normal 2"/>
    <tableColumn id="26" xr3:uid="{00000000-0010-0000-1C00-00001A000000}" name="Eff Desc 2" dataDxfId="598"/>
    <tableColumn id="27" xr3:uid="{00000000-0010-0000-1C00-00001B000000}" name="Eff Watt" dataDxfId="597"/>
    <tableColumn id="29" xr3:uid="{00000000-0010-0000-1C00-00001D000000}" name="Eff Watt 2" dataDxfId="596"/>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D000000}" name="PMELIGHTLIN" displayName="PMELIGHTLIN" ref="AU1:BB9" totalsRowShown="0" headerRowDxfId="595" dataDxfId="593" headerRowBorderDxfId="594" tableBorderDxfId="592" totalsRowBorderDxfId="591" headerRowCellStyle="Normal 2" dataCellStyle="Normal 2">
  <autoFilter ref="AU1:BB9" xr:uid="{00000000-0009-0000-0100-00002D000000}"/>
  <sortState xmlns:xlrd2="http://schemas.microsoft.com/office/spreadsheetml/2017/richdata2" ref="AY2:BF9">
    <sortCondition ref="BF1:BF9"/>
  </sortState>
  <tableColumns count="8">
    <tableColumn id="1" xr3:uid="{00000000-0010-0000-1D00-000001000000}" name="Measure Validator" dataDxfId="590" dataCellStyle="Normal 2"/>
    <tableColumn id="3" xr3:uid="{00000000-0010-0000-1D00-000003000000}" name="Measure #" dataDxfId="589"/>
    <tableColumn id="2" xr3:uid="{00000000-0010-0000-1D00-000002000000}" name="Inc Rate Unit" dataDxfId="588" dataCellStyle="Normal 2"/>
    <tableColumn id="4" xr3:uid="{00000000-0010-0000-1D00-000004000000}" name="Base Watt 1" dataDxfId="587" dataCellStyle="Normal 2"/>
    <tableColumn id="5" xr3:uid="{00000000-0010-0000-1D00-000005000000}" name="Eff Watt 1" dataDxfId="586" dataCellStyle="Normal 2"/>
    <tableColumn id="6" xr3:uid="{00000000-0010-0000-1D00-000006000000}" name="Op Hr 1" dataDxfId="585" dataCellStyle="Normal 2"/>
    <tableColumn id="7" xr3:uid="{00000000-0010-0000-1D00-000007000000}" name="Op Hr 2" dataDxfId="584" dataCellStyle="Normal 2"/>
    <tableColumn id="8" xr3:uid="{00000000-0010-0000-1D00-000008000000}" name="End Use Category" dataDxfId="583" dataCellStyle="Normal 2"/>
  </tableColumns>
  <tableStyleInfo name="TableStyleMedium5"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E000000}" name="PMGHVAC" displayName="PMGHVAC" ref="A138:AK154" totalsRowShown="0" headerRowDxfId="582" dataDxfId="580" headerRowBorderDxfId="581" tableBorderDxfId="579" headerRowCellStyle="Normal 2" dataCellStyle="Normal 2">
  <autoFilter ref="A138:AK154" xr:uid="{00000000-0009-0000-0100-00000C000000}"/>
  <sortState xmlns:xlrd2="http://schemas.microsoft.com/office/spreadsheetml/2017/richdata2" ref="A139:AK154">
    <sortCondition ref="AH138:AH154"/>
  </sortState>
  <tableColumns count="37">
    <tableColumn id="1" xr3:uid="{00000000-0010-0000-1E00-000001000000}" name="Measure #" dataDxfId="578"/>
    <tableColumn id="2" xr3:uid="{00000000-0010-0000-1E00-000002000000}" name="Measure Name" dataDxfId="577"/>
    <tableColumn id="3" xr3:uid="{00000000-0010-0000-1E00-000003000000}" name="Equipment Description" dataDxfId="576" dataCellStyle="Normal 2"/>
    <tableColumn id="4" xr3:uid="{00000000-0010-0000-1E00-000004000000}" name="Eff Category" dataDxfId="575"/>
    <tableColumn id="5" xr3:uid="{00000000-0010-0000-1E00-000005000000}" name="Eff Measure Group" dataDxfId="574"/>
    <tableColumn id="6" xr3:uid="{00000000-0010-0000-1E00-000006000000}" name="Eff Equip Descr" dataDxfId="573" dataCellStyle="Normal 2"/>
    <tableColumn id="7" xr3:uid="{00000000-0010-0000-1E00-000007000000}" name="Base Category" dataDxfId="572"/>
    <tableColumn id="8" xr3:uid="{00000000-0010-0000-1E00-000008000000}" name="Base Measure Group" dataDxfId="571"/>
    <tableColumn id="9" xr3:uid="{00000000-0010-0000-1E00-000009000000}" name="Base Equip Descr" dataDxfId="570" dataCellStyle="Normal 2"/>
    <tableColumn id="10" xr3:uid="{00000000-0010-0000-1E00-00000A000000}" name="Program Design" dataDxfId="569" dataCellStyle="Normal 2"/>
    <tableColumn id="11" xr3:uid="{00000000-0010-0000-1E00-00000B000000}" name="TRM Reference No." dataDxfId="568" dataCellStyle="Normal 2"/>
    <tableColumn id="12" xr3:uid="{00000000-0010-0000-1E00-00000C000000}" name="Measure Life" dataDxfId="567" dataCellStyle="Normal 2"/>
    <tableColumn id="13" xr3:uid="{00000000-0010-0000-1E00-00000D000000}" name="Created On" dataDxfId="566" dataCellStyle="Normal 2"/>
    <tableColumn id="14" xr3:uid="{00000000-0010-0000-1E00-00000E000000}" name="Source" dataDxfId="565" dataCellStyle="Normal 2"/>
    <tableColumn id="15" xr3:uid="{00000000-0010-0000-1E00-00000F000000}" name="End Use Category" dataDxfId="564" dataCellStyle="Normal 2"/>
    <tableColumn id="16" xr3:uid="{00000000-0010-0000-1E00-000010000000}" name="Inc Rate Unit" dataDxfId="563" dataCellStyle="Normal 2"/>
    <tableColumn id="17" xr3:uid="{00000000-0010-0000-1E00-000011000000}" name="Savings per Unit Therm" dataDxfId="562" dataCellStyle="Normal 2"/>
    <tableColumn id="18" xr3:uid="{00000000-0010-0000-1E00-000012000000}" name="NA" dataDxfId="561" dataCellStyle="Normal 2"/>
    <tableColumn id="19" xr3:uid="{00000000-0010-0000-1E00-000013000000}" name="NA2" dataDxfId="560" dataCellStyle="Normal 2"/>
    <tableColumn id="20" xr3:uid="{00000000-0010-0000-1E00-000014000000}" name="NA3" dataDxfId="559" dataCellStyle="Normal 2"/>
    <tableColumn id="21" xr3:uid="{00000000-0010-0000-1E00-000015000000}" name="Energy Type" dataDxfId="558" dataCellStyle="Normal 2"/>
    <tableColumn id="22" xr3:uid="{00000000-0010-0000-1E00-000016000000}" name="Program" dataDxfId="557" dataCellStyle="Normal 2"/>
    <tableColumn id="23" xr3:uid="{00000000-0010-0000-1E00-000017000000}" name="Lighting vs Non Lighting" dataDxfId="556" dataCellStyle="Normal 2"/>
    <tableColumn id="24" xr3:uid="{00000000-0010-0000-1E00-000018000000}" name="Status" dataDxfId="555" dataCellStyle="Normal 2"/>
    <tableColumn id="25" xr3:uid="{00000000-0010-0000-1E00-000019000000}" name="SUTO" dataDxfId="554" dataCellStyle="Normal 2"/>
    <tableColumn id="26" xr3:uid="{00000000-0010-0000-1E00-00001A000000}" name="Cost Basis" dataDxfId="553" dataCellStyle="Normal 2"/>
    <tableColumn id="27" xr3:uid="{00000000-0010-0000-1E00-00001B000000}" name="Incremental Cost" dataDxfId="552" dataCellStyle="Normal 2"/>
    <tableColumn id="28" xr3:uid="{00000000-0010-0000-1E00-00001C000000}" name="Typical Unit Size" dataDxfId="551" dataCellStyle="Normal 2"/>
    <tableColumn id="29" xr3:uid="{00000000-0010-0000-1E00-00001D000000}" name="Unit of Measure" dataDxfId="550" dataCellStyle="Normal 2"/>
    <tableColumn id="30" xr3:uid="{00000000-0010-0000-1E00-00001E000000}" name="Base Desc 1" dataDxfId="549" dataCellStyle="Normal 2"/>
    <tableColumn id="31" xr3:uid="{00000000-0010-0000-1E00-00001F000000}" name="Base Desc 2" dataDxfId="548" dataCellStyle="Normal 2"/>
    <tableColumn id="32" xr3:uid="{00000000-0010-0000-1E00-000020000000}" name="Base Watt" dataDxfId="547" dataCellStyle="Normal 2"/>
    <tableColumn id="33" xr3:uid="{00000000-0010-0000-1E00-000021000000}" name="Base Watt 2" dataDxfId="546" dataCellStyle="Normal 2"/>
    <tableColumn id="34" xr3:uid="{00000000-0010-0000-1E00-000022000000}" name="Eff Desc 1" dataDxfId="545" dataCellStyle="Normal 2"/>
    <tableColumn id="35" xr3:uid="{00000000-0010-0000-1E00-000023000000}" name="Eff Desc 2" dataDxfId="544" dataCellStyle="Normal 2"/>
    <tableColumn id="36" xr3:uid="{00000000-0010-0000-1E00-000024000000}" name="Eff Watt" dataDxfId="543" dataCellStyle="Normal 2"/>
    <tableColumn id="37" xr3:uid="{00000000-0010-0000-1E00-000025000000}" name="Eff Watt 2" dataDxfId="542" dataCellStyle="Normal 2"/>
  </tableColumns>
  <tableStyleInfo name="TableStyleMedium7"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F000000}" name="PMGWATER" displayName="PMGWATER" ref="A157:AK165" totalsRowShown="0" headerRowDxfId="541" dataDxfId="540" headerRowCellStyle="Normal 2" dataCellStyle="Normal 2">
  <autoFilter ref="A157:AK165" xr:uid="{00000000-0009-0000-0100-00000D000000}"/>
  <sortState xmlns:xlrd2="http://schemas.microsoft.com/office/spreadsheetml/2017/richdata2" ref="A158:AK165">
    <sortCondition ref="AH157:AH165"/>
  </sortState>
  <tableColumns count="37">
    <tableColumn id="1" xr3:uid="{00000000-0010-0000-1F00-000001000000}" name="Measure #" dataDxfId="539" dataCellStyle="Normal 2"/>
    <tableColumn id="2" xr3:uid="{00000000-0010-0000-1F00-000002000000}" name="Measure Name" dataDxfId="538" dataCellStyle="Normal 2"/>
    <tableColumn id="3" xr3:uid="{00000000-0010-0000-1F00-000003000000}" name="Equipment Description" dataDxfId="537"/>
    <tableColumn id="4" xr3:uid="{00000000-0010-0000-1F00-000004000000}" name="Eff Category" dataDxfId="536" dataCellStyle="Normal 2"/>
    <tableColumn id="5" xr3:uid="{00000000-0010-0000-1F00-000005000000}" name="Eff Measure Group" dataDxfId="535" dataCellStyle="Normal 2"/>
    <tableColumn id="6" xr3:uid="{00000000-0010-0000-1F00-000006000000}" name="Eff Equip Descr" dataDxfId="534" dataCellStyle="Normal 2"/>
    <tableColumn id="7" xr3:uid="{00000000-0010-0000-1F00-000007000000}" name="Base Category" dataDxfId="533" dataCellStyle="Normal 2"/>
    <tableColumn id="8" xr3:uid="{00000000-0010-0000-1F00-000008000000}" name="Base Measure Group" dataDxfId="532" dataCellStyle="Normal 2"/>
    <tableColumn id="9" xr3:uid="{00000000-0010-0000-1F00-000009000000}" name="Base Equip Descr" dataDxfId="531" dataCellStyle="Normal 2"/>
    <tableColumn id="10" xr3:uid="{00000000-0010-0000-1F00-00000A000000}" name="Program Design" dataDxfId="530" dataCellStyle="Normal 2"/>
    <tableColumn id="11" xr3:uid="{00000000-0010-0000-1F00-00000B000000}" name="TRM Reference No." dataDxfId="529" dataCellStyle="Normal 2"/>
    <tableColumn id="12" xr3:uid="{00000000-0010-0000-1F00-00000C000000}" name="Measure Life" dataDxfId="528" dataCellStyle="Normal 2"/>
    <tableColumn id="13" xr3:uid="{00000000-0010-0000-1F00-00000D000000}" name="Created On" dataDxfId="527" dataCellStyle="Normal 2"/>
    <tableColumn id="14" xr3:uid="{00000000-0010-0000-1F00-00000E000000}" name="Source" dataDxfId="526" dataCellStyle="Normal 2"/>
    <tableColumn id="15" xr3:uid="{00000000-0010-0000-1F00-00000F000000}" name="End Use Category" dataDxfId="525" dataCellStyle="Normal 2"/>
    <tableColumn id="16" xr3:uid="{00000000-0010-0000-1F00-000010000000}" name="Inc Rate Unit" dataDxfId="524" dataCellStyle="Normal 2"/>
    <tableColumn id="17" xr3:uid="{00000000-0010-0000-1F00-000011000000}" name="Savings per Unit Therm" dataDxfId="523" dataCellStyle="Normal 2"/>
    <tableColumn id="18" xr3:uid="{00000000-0010-0000-1F00-000012000000}" name="NA" dataDxfId="522" dataCellStyle="Normal 2"/>
    <tableColumn id="19" xr3:uid="{00000000-0010-0000-1F00-000013000000}" name="NA2" dataDxfId="521" dataCellStyle="Normal 2"/>
    <tableColumn id="20" xr3:uid="{00000000-0010-0000-1F00-000014000000}" name="NA3" dataDxfId="520" dataCellStyle="Normal 2"/>
    <tableColumn id="21" xr3:uid="{00000000-0010-0000-1F00-000015000000}" name="Energy Type" dataDxfId="519" dataCellStyle="Normal 2"/>
    <tableColumn id="22" xr3:uid="{00000000-0010-0000-1F00-000016000000}" name="Program" dataDxfId="518" dataCellStyle="Normal 2"/>
    <tableColumn id="23" xr3:uid="{00000000-0010-0000-1F00-000017000000}" name="Lighting vs Non Lighting" dataDxfId="517" dataCellStyle="Normal 2"/>
    <tableColumn id="24" xr3:uid="{00000000-0010-0000-1F00-000018000000}" name="Status" dataDxfId="516" dataCellStyle="Normal 2"/>
    <tableColumn id="25" xr3:uid="{00000000-0010-0000-1F00-000019000000}" name="SUTO" dataDxfId="515" dataCellStyle="Normal 2"/>
    <tableColumn id="26" xr3:uid="{00000000-0010-0000-1F00-00001A000000}" name="Cost Basis" dataDxfId="514" dataCellStyle="Normal 2"/>
    <tableColumn id="27" xr3:uid="{00000000-0010-0000-1F00-00001B000000}" name="Incremental Cost" dataDxfId="513" dataCellStyle="Normal 2"/>
    <tableColumn id="28" xr3:uid="{00000000-0010-0000-1F00-00001C000000}" name="Typical Unit Size" dataDxfId="512" dataCellStyle="Normal 2"/>
    <tableColumn id="29" xr3:uid="{00000000-0010-0000-1F00-00001D000000}" name="Unit of Measure" dataDxfId="511" dataCellStyle="Normal 2"/>
    <tableColumn id="30" xr3:uid="{00000000-0010-0000-1F00-00001E000000}" name="Base Desc 1" dataDxfId="510" dataCellStyle="Normal 2"/>
    <tableColumn id="31" xr3:uid="{00000000-0010-0000-1F00-00001F000000}" name="Base Desc 2" dataDxfId="509" dataCellStyle="Normal 2"/>
    <tableColumn id="32" xr3:uid="{00000000-0010-0000-1F00-000020000000}" name="Base Watt" dataDxfId="508" dataCellStyle="Normal 2"/>
    <tableColumn id="33" xr3:uid="{00000000-0010-0000-1F00-000021000000}" name="Base Watt 2" dataDxfId="507" dataCellStyle="Normal 2"/>
    <tableColumn id="34" xr3:uid="{00000000-0010-0000-1F00-000022000000}" name="Eff Desc 1" dataDxfId="506" dataCellStyle="Normal 2"/>
    <tableColumn id="35" xr3:uid="{00000000-0010-0000-1F00-000023000000}" name="Eff Desc 2" dataDxfId="505" dataCellStyle="Normal 2"/>
    <tableColumn id="36" xr3:uid="{00000000-0010-0000-1F00-000024000000}" name="Eff Watt" dataDxfId="504" dataCellStyle="Normal 2"/>
    <tableColumn id="37" xr3:uid="{00000000-0010-0000-1F00-000025000000}" name="Eff Watt 2" dataDxfId="503" dataCellStyle="Normal 2"/>
  </tableColumns>
  <tableStyleInfo name="TableStyleMedium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1AFE924-E873-46A1-9896-574AE87C02E7}" name="PMECA" displayName="PMECA" ref="A167:AK181" totalsRowShown="0" headerRowDxfId="502" dataDxfId="500" headerRowBorderDxfId="501" tableBorderDxfId="499" headerRowCellStyle="Normal 2" dataCellStyle="Normal 2">
  <autoFilter ref="A167:AK181" xr:uid="{FB091EB9-BDDA-480F-B01F-B457721FE2FA}"/>
  <sortState xmlns:xlrd2="http://schemas.microsoft.com/office/spreadsheetml/2017/richdata2" ref="A168:AK181">
    <sortCondition ref="AH167:AH181"/>
  </sortState>
  <tableColumns count="37">
    <tableColumn id="1" xr3:uid="{3198A5A7-A309-428E-9EB6-CEF9247FBE87}" name="Measure #" dataDxfId="498" dataCellStyle="Normal 2"/>
    <tableColumn id="2" xr3:uid="{6551910A-7496-44C9-A6C3-7A5269C85B86}" name="Measure Name" dataDxfId="497" dataCellStyle="Normal 2"/>
    <tableColumn id="3" xr3:uid="{B7A015CE-6EB0-49EF-A43C-263B0BEB4FAC}" name="Equipment Description" dataDxfId="496" dataCellStyle="Normal 2"/>
    <tableColumn id="4" xr3:uid="{06AD3926-6596-4704-96B8-DD24D526756C}" name="Eff Category" dataDxfId="495" dataCellStyle="Normal 2"/>
    <tableColumn id="5" xr3:uid="{8F7FF7EC-47B6-458F-AC20-5D8F1561E45E}" name="Eff Measure Group" dataDxfId="494" dataCellStyle="Normal 2"/>
    <tableColumn id="6" xr3:uid="{7EB16E55-648F-462E-B4D9-50336B09963A}" name="Eff Equip Descr" dataDxfId="493" dataCellStyle="Normal 2"/>
    <tableColumn id="7" xr3:uid="{760AB1B6-5D00-435E-9519-642E10C2534B}" name="Base Category" dataDxfId="492" dataCellStyle="Normal 2"/>
    <tableColumn id="8" xr3:uid="{8B9784D3-A8B7-4DA5-BEE3-8B2BEFE3224F}" name="Base Measure Group" dataDxfId="491" dataCellStyle="Normal 2"/>
    <tableColumn id="9" xr3:uid="{40E48D39-CA2F-4529-99B0-34BD5743F801}" name="Base Equip Descr" dataDxfId="490" dataCellStyle="Normal 2"/>
    <tableColumn id="10" xr3:uid="{08D2D467-C901-4D65-A36D-0338A57FA67C}" name="Program Design" dataDxfId="489" dataCellStyle="Normal 2"/>
    <tableColumn id="11" xr3:uid="{5ACAC394-711A-448E-B14A-8250FEFC297F}" name="TRM Reference No." dataDxfId="488" dataCellStyle="Normal 2"/>
    <tableColumn id="12" xr3:uid="{BA65C083-1E4B-45CF-9347-5049C1A842B7}" name="Measure Life" dataDxfId="487"/>
    <tableColumn id="13" xr3:uid="{C8EA8E44-8803-4C7C-A47D-03AA8A9A7114}" name="Created On" dataDxfId="486" dataCellStyle="Normal 2"/>
    <tableColumn id="14" xr3:uid="{1E9332B9-5184-4D98-A4D5-962FEB7908D8}" name="Source" dataDxfId="485" dataCellStyle="Normal 2"/>
    <tableColumn id="15" xr3:uid="{949B5FB1-FA12-4E87-931D-0D83E11146F1}" name="End Use Category" dataDxfId="484" dataCellStyle="Normal 2"/>
    <tableColumn id="16" xr3:uid="{756C8938-7369-499B-A364-507D3EFE997A}" name="Inc Rate Unit" dataDxfId="483" dataCellStyle="Normal 2"/>
    <tableColumn id="17" xr3:uid="{9EDD36A4-EC7D-40CD-A752-A8FE7703D6AD}" name="Savings per Unit kWh" dataDxfId="482" dataCellStyle="Normal 2"/>
    <tableColumn id="18" xr3:uid="{C7A1A6D2-72EF-4109-B437-A92784D2BA77}" name="Savings per Unit kW" dataDxfId="481" dataCellStyle="Normal 2"/>
    <tableColumn id="19" xr3:uid="{BC54F2B2-8BA3-45D5-ACC7-9FCE7F85F7AF}" name="Inc Rate kWh" dataDxfId="480" dataCellStyle="Normal 2"/>
    <tableColumn id="20" xr3:uid="{0CCFBCFF-8211-4D7C-9BAF-90661039A8CC}" name="Inc Rate kW" dataDxfId="479" dataCellStyle="Normal 2"/>
    <tableColumn id="21" xr3:uid="{9FEE89C1-361B-4D9D-ADAF-BF40AEC04BDB}" name="Energy Type" dataDxfId="478" dataCellStyle="Normal 2"/>
    <tableColumn id="22" xr3:uid="{D0E49C17-ED4B-4A18-8731-53F514A388E1}" name="Program" dataDxfId="477" dataCellStyle="Normal 2"/>
    <tableColumn id="23" xr3:uid="{A4CC2650-7414-404A-807D-205A10BB88D9}" name="Lighting vs Non Lighting" dataDxfId="476" dataCellStyle="Normal 2"/>
    <tableColumn id="24" xr3:uid="{A58BD1E7-4099-4208-AC64-D93E1FB2F785}" name="Status" dataDxfId="475" dataCellStyle="Normal 2"/>
    <tableColumn id="25" xr3:uid="{B68A67B5-C5E2-4ED0-BD11-980BB273522D}" name="SUTO" dataDxfId="474" dataCellStyle="Normal 2"/>
    <tableColumn id="26" xr3:uid="{5E17E1DE-E09A-4B07-89AF-701162C0F4A3}" name="Cost Basis" dataDxfId="473" dataCellStyle="Normal 2"/>
    <tableColumn id="27" xr3:uid="{696480E7-C44F-42AE-930B-CECE6A8450DD}" name="Incremental Cost" dataDxfId="472" dataCellStyle="Normal 2"/>
    <tableColumn id="28" xr3:uid="{24153C20-7423-4703-B1F4-9D9722176AF5}" name="Typical Unit Size" dataDxfId="471" dataCellStyle="Normal 2"/>
    <tableColumn id="29" xr3:uid="{D76A29CC-BBA2-48A5-AD6B-B6B64DC14B05}" name="Unit of Measure" dataDxfId="470" dataCellStyle="Normal 2"/>
    <tableColumn id="30" xr3:uid="{4634C7EA-B713-4A66-A7E3-1B237C8A1168}" name="Base Desc 1" dataDxfId="469"/>
    <tableColumn id="31" xr3:uid="{BD61B8C0-D160-438B-8A9B-5B4C8AEFFA16}" name="Base Desc 2" dataDxfId="468" dataCellStyle="Normal 2"/>
    <tableColumn id="32" xr3:uid="{3DB22C83-95C6-4908-B2E2-927495EA90F3}" name="Base Watt" dataDxfId="467"/>
    <tableColumn id="33" xr3:uid="{ACA4BEF8-EF1B-4141-B006-B39DCB8B701A}" name="Base Watt 2" dataDxfId="466" dataCellStyle="Normal 2"/>
    <tableColumn id="34" xr3:uid="{740D893C-51E9-4A80-A793-0E260AD37019}" name="Eff Desc 1" dataDxfId="465" dataCellStyle="Normal 2"/>
    <tableColumn id="35" xr3:uid="{E5CA8CC9-53DA-4F6D-9C23-2287EE16D4BA}" name="Eff Desc 2" dataDxfId="464" dataCellStyle="Normal 2"/>
    <tableColumn id="36" xr3:uid="{7CB6D641-929C-4DBF-96AA-04B7E7F898DB}" name="Eff Watt" dataDxfId="463"/>
    <tableColumn id="37" xr3:uid="{19F9AC17-B369-4BC1-93A7-7204EFC187A3}" name="Eff Watt 2" dataDxfId="462"/>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6407FEE-C95D-4709-B6A3-6F9471CF2483}" name="CABaseline" displayName="CABaseline" ref="AO153:AS207" totalsRowShown="0">
  <autoFilter ref="AO153:AS207" xr:uid="{2C5D7F23-E199-4190-B498-245445B9C187}"/>
  <sortState xmlns:xlrd2="http://schemas.microsoft.com/office/spreadsheetml/2017/richdata2" ref="AO154:AS207">
    <sortCondition ref="AO153:AO207"/>
  </sortState>
  <tableColumns count="5">
    <tableColumn id="4" xr3:uid="{AEED5FBC-BF9F-4B11-A193-279546810DDB}" name="Option"/>
    <tableColumn id="1" xr3:uid="{6D3453D7-B74C-4C29-96E6-D73EA127FC0E}" name="Baseline"/>
    <tableColumn id="2" xr3:uid="{92399A49-D38A-4F9F-903E-DB67257C5C78}" name="CFb (≤ 40 HP)"/>
    <tableColumn id="3" xr3:uid="{93F27BCD-8602-4BEF-8E1F-17C96662B647}" name="CFb (50-200HP)"/>
    <tableColumn id="5" xr3:uid="{727050C4-C205-46CB-9E04-8CDDCDDD5F03}" name="Column1" dataDxfId="461"/>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195BE8A-D7E1-4839-B2AE-BC8E28F416DC}" name="CAShifts" displayName="CAShifts" ref="AV172:AX177" totalsRowShown="0">
  <autoFilter ref="AV172:AX177" xr:uid="{F1368B31-C3A5-48CA-BE11-5E93C9A230A3}"/>
  <tableColumns count="3">
    <tableColumn id="1" xr3:uid="{7CFC91DB-DFFA-4D6C-B0F1-92EFD49DB651}" name="Shift" dataDxfId="460"/>
    <tableColumn id="2" xr3:uid="{34F8E5CA-41EA-4700-A9DC-3CBB04AD97C3}" name="Hours"/>
    <tableColumn id="3" xr3:uid="{A0D45D45-9FB7-4592-958D-701F3D0A3D5C}" name="CF"/>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4F34B116-1C84-4B12-BC02-F7099AD4AD15}" name="PMEBONUS" displayName="PMEBONUS" ref="A183:AK202" totalsRowShown="0" headerRowDxfId="459" headerRowBorderDxfId="458" tableBorderDxfId="457" headerRowCellStyle="Normal 2">
  <autoFilter ref="A183:AK202" xr:uid="{90FB1B47-F706-4F99-A404-745E912FB8DA}"/>
  <sortState xmlns:xlrd2="http://schemas.microsoft.com/office/spreadsheetml/2017/richdata2" ref="A184:AK186">
    <sortCondition ref="AD183:AD186"/>
  </sortState>
  <tableColumns count="37">
    <tableColumn id="1" xr3:uid="{318F5559-1AE2-485B-A770-EF17CD207D3E}" name="Measure #"/>
    <tableColumn id="2" xr3:uid="{C31805E9-5406-4A66-8E5E-D55E73682D6E}" name="Measure Name" dataDxfId="456"/>
    <tableColumn id="3" xr3:uid="{CBE2957B-A745-4B02-B822-909DFE0DB17C}" name="Equipment Description"/>
    <tableColumn id="4" xr3:uid="{CD8428C1-5430-47B9-8A00-3E4DC128415E}" name="Eff Category"/>
    <tableColumn id="5" xr3:uid="{2AB53746-5A72-440B-B593-7C87820A0AD2}" name="Eff Measure Group"/>
    <tableColumn id="6" xr3:uid="{08F5BEC3-F7B6-47FB-B340-94273339D2FA}" name="Eff Equip Descr"/>
    <tableColumn id="7" xr3:uid="{60C5EC19-8057-4FD4-B264-FF13FFCE3929}" name="Base Category"/>
    <tableColumn id="8" xr3:uid="{69C260DD-CD12-42B2-8870-1910AC4AF0E0}" name="Base Measure Group"/>
    <tableColumn id="9" xr3:uid="{44D569A3-4B0B-4C51-AE49-2818EDCD41BB}" name="Base Equip Descr"/>
    <tableColumn id="10" xr3:uid="{9532149C-BA8C-4A33-AD62-56DB8F4E2D31}" name="Program Design"/>
    <tableColumn id="11" xr3:uid="{B2BE5B5C-268F-4B5E-A939-86A3AAC1693F}" name="TRM Reference No."/>
    <tableColumn id="12" xr3:uid="{B30987E2-FE05-495B-B9FE-0445050AB6B8}" name="Measure Life"/>
    <tableColumn id="13" xr3:uid="{5E69429E-668A-440E-9CBB-3375E89F147D}" name="Created On"/>
    <tableColumn id="14" xr3:uid="{B67ADB63-A621-4160-84FA-3E100AE5677B}" name="Source"/>
    <tableColumn id="15" xr3:uid="{4EB8B1C3-B1B9-4590-8846-50CC5597563F}" name="End Use Category"/>
    <tableColumn id="16" xr3:uid="{25446CE6-94F8-4085-89E3-EA279318EFEA}" name="Inc Rate Unit"/>
    <tableColumn id="17" xr3:uid="{757D033E-DBAC-4FA8-8B5F-B60E33F61C68}" name="Savings per Unit kWh"/>
    <tableColumn id="18" xr3:uid="{A2F12A8A-DD79-4DFE-9792-1F672EDFB19F}" name="Savings per Unit kW"/>
    <tableColumn id="19" xr3:uid="{C9328F80-F076-4257-8F8C-7133C94120FE}" name="Inc Rate kWh"/>
    <tableColumn id="20" xr3:uid="{40C186F9-E158-45B3-8F80-3E8E7ED244AE}" name="Inc Rate kW"/>
    <tableColumn id="21" xr3:uid="{47C187E4-DCC0-4763-81F0-01B71B0BF0F9}" name="Energy Type"/>
    <tableColumn id="22" xr3:uid="{9F1F5D28-3F13-4D79-B469-C833C8E1A2BB}" name="Program"/>
    <tableColumn id="23" xr3:uid="{B5DD5BC7-5DA8-4741-991C-D8B3811A2306}" name="Lighting vs Non Lighting"/>
    <tableColumn id="24" xr3:uid="{35087941-707B-427B-AECC-B81A05622C23}" name="Status"/>
    <tableColumn id="25" xr3:uid="{C92CDCBC-96FB-446A-A9CD-7F75CF3E134A}" name="SUTO"/>
    <tableColumn id="26" xr3:uid="{ED3E063C-AA8F-4178-952E-DBA1F7C10DAC}" name="Cost Basis"/>
    <tableColumn id="27" xr3:uid="{83AFD895-5D13-4719-8DF8-6579465535B8}" name="Incremental Cost"/>
    <tableColumn id="28" xr3:uid="{79163537-6F84-410C-923B-74DA14D6041C}" name="Typical Unit Size"/>
    <tableColumn id="29" xr3:uid="{E098FA24-609C-4C2A-87E9-DAD5508D4E76}" name="Unit of Measure"/>
    <tableColumn id="30" xr3:uid="{CDC4D564-78F7-4E56-9DB9-C1489A435336}" name="Base Desc 1"/>
    <tableColumn id="31" xr3:uid="{277B9C33-0BD6-440E-BE4B-109C7CFC6209}" name="Base Desc 2"/>
    <tableColumn id="32" xr3:uid="{1A3BB26D-7000-4818-98A5-4D349BD3BF21}" name="Base Watt"/>
    <tableColumn id="33" xr3:uid="{7D3C8A70-05FE-428B-8CF0-3B6095FBE813}" name="Base Watt 2"/>
    <tableColumn id="34" xr3:uid="{40621C9B-08B9-4AAC-BC2E-F818580D68D9}" name="Eff Desc 1"/>
    <tableColumn id="35" xr3:uid="{1C470F08-DF7A-4D2E-9830-A393816821F3}" name="Eff Desc 2"/>
    <tableColumn id="36" xr3:uid="{FA11A297-8463-4150-810D-D538DFA07CB3}" name="Eff Watt"/>
    <tableColumn id="37" xr3:uid="{92E14079-C15A-4BEA-9923-8AF6938EA0AD}" name="Eff Watt 2"/>
  </tableColumns>
  <tableStyleInfo name="TableStyleMedium3"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6465B4CC-531C-4E78-AD84-448D544081EF}" name="AHSD" displayName="AHSD" ref="A223:S226" totalsRowShown="0">
  <autoFilter ref="A223:S226" xr:uid="{6465B4CC-531C-4E78-AD84-448D544081EF}"/>
  <sortState xmlns:xlrd2="http://schemas.microsoft.com/office/spreadsheetml/2017/richdata2" ref="E224:O226">
    <sortCondition ref="E6:E9"/>
  </sortState>
  <tableColumns count="19">
    <tableColumn id="31" xr3:uid="{5E1B7AD9-2CED-4816-BF61-281A62928987}" name="Measure #" dataDxfId="455"/>
    <tableColumn id="32" xr3:uid="{3F5E8FA4-49A4-4FE1-9BA7-94154DBB72BC}" name="Measure Name"/>
    <tableColumn id="33" xr3:uid="{DB322EF9-7CDC-46B2-8DFC-F9B064FDE8E0}" name="Equipment Description"/>
    <tableColumn id="34" xr3:uid="{4697EA46-602B-4005-8419-7D63FD99DB44}" name="Program Design"/>
    <tableColumn id="1" xr3:uid="{EE69243D-7427-4261-89A9-C66DB764FDA0}" name="Type"/>
    <tableColumn id="2" xr3:uid="{9BB53BCB-079F-4D61-91F2-B2A3AB165346}" name="Qs/A"/>
    <tableColumn id="3" xr3:uid="{8324C536-7B97-4981-AD78-FB43A8E27BA2}" name="Rs"/>
    <tableColumn id="4" xr3:uid="{7303EDEB-B0E4-4729-8204-A5C510A645A8}" name="Df"/>
    <tableColumn id="11" xr3:uid="{3D0ABBDB-79E7-4857-A8BF-5263B7CBAE09}" name="Efficiency"/>
    <tableColumn id="5" xr3:uid="{8F5AD8A3-42D7-40C9-8CD2-0E58D5CB1AB3}" name="Dtb"/>
    <tableColumn id="6" xr3:uid="{1A623F49-8CFD-4346-9401-B4F1CB7E7EBC}" name="Dte">
      <calculatedColumnFormula>((5.9*7.5+60*3)/(3600*1))</calculatedColumnFormula>
    </tableColumn>
    <tableColumn id="7" xr3:uid="{68C9BB3E-E866-455E-82AA-78756E72F537}" name="Dtm">
      <calculatedColumnFormula>5.9*7.5/3600*1</calculatedColumnFormula>
    </tableColumn>
    <tableColumn id="8" xr3:uid="{14BACDA4-8822-4856-9C67-37E760E8AFC5}" name="Eb"/>
    <tableColumn id="9" xr3:uid="{4689585A-5A3A-4C37-8922-7B8527A9F66F}" name="Ee"/>
    <tableColumn id="10" xr3:uid="{FA3EF24B-3401-468A-A11F-3E946CA2C0FD}" name="t"/>
    <tableColumn id="12" xr3:uid="{4E193A64-C5E0-41A3-BCDC-B30B3DC1CFF3}" name="Base Desc 1"/>
    <tableColumn id="15" xr3:uid="{CB88354F-A3F8-4DF5-91DD-233BCA9093D1}" name="Unit of Measure"/>
    <tableColumn id="14" xr3:uid="{F9D9EA74-3F17-4CC7-90DB-18A2B7AA17C0}" name="Inc Rate Unit"/>
    <tableColumn id="13" xr3:uid="{866F02AE-1420-4BC7-80A1-3B749AED9AC5}" name="Incremental Cost"/>
  </tableColumns>
  <tableStyleInfo name="TableStyleMedium5"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B342C2FE-C723-4C0E-9EA9-7EE1B0604A1F}" name="PMEAGG" displayName="PMEAGG" ref="A205:AK217" totalsRowShown="0" headerRowDxfId="454" dataDxfId="452" headerRowBorderDxfId="453" tableBorderDxfId="451" headerRowCellStyle="Normal 2">
  <autoFilter ref="A205:AK217" xr:uid="{B342C2FE-C723-4C0E-9EA9-7EE1B0604A1F}"/>
  <sortState xmlns:xlrd2="http://schemas.microsoft.com/office/spreadsheetml/2017/richdata2" ref="A206:AK217">
    <sortCondition ref="AH205:AH217"/>
  </sortState>
  <tableColumns count="37">
    <tableColumn id="1" xr3:uid="{2C6E3C62-2AC4-4AFD-ADEC-71E0F2D5FE47}" name="Measure #" dataDxfId="450"/>
    <tableColumn id="2" xr3:uid="{B3CB1D74-4414-4E73-8D9E-3B2C9CE9FC04}" name="Measure Name" dataDxfId="449"/>
    <tableColumn id="3" xr3:uid="{25A5A94B-31C0-4A0E-AA1F-329023E080B0}" name="Equipment Description" dataDxfId="448"/>
    <tableColumn id="4" xr3:uid="{BA480103-3786-4CC2-B42D-316F0BE44872}" name="Eff Category" dataDxfId="447"/>
    <tableColumn id="5" xr3:uid="{7F5243ED-CFC8-42DD-A92E-5BAF6ED601E2}" name="Eff Measure Group" dataDxfId="446"/>
    <tableColumn id="6" xr3:uid="{514FE9CE-6644-4905-A4DD-81116C1E8883}" name="Eff Equip Descr" dataDxfId="445"/>
    <tableColumn id="7" xr3:uid="{30F23DA2-F5F6-4BA3-9472-F542631668D3}" name="Base Category" dataDxfId="444"/>
    <tableColumn id="8" xr3:uid="{ACE0CC89-E037-49C8-9ED8-380FB23BA6F1}" name="Base Measure Group" dataDxfId="443"/>
    <tableColumn id="9" xr3:uid="{1E3BD3BF-62C5-4813-9AC0-7450E8CCBA48}" name="Base Equip Descr" dataDxfId="442"/>
    <tableColumn id="10" xr3:uid="{C6BB160E-AB84-4D49-AFBC-815B46DDBA42}" name="Program Design" dataDxfId="441"/>
    <tableColumn id="11" xr3:uid="{C4121897-D956-4E32-AA01-E1F8044F8813}" name="TRM Reference No." dataDxfId="440"/>
    <tableColumn id="12" xr3:uid="{84368A82-F75A-4175-9935-6433CBC781D8}" name="Measure Life" dataDxfId="439"/>
    <tableColumn id="13" xr3:uid="{DB79BC2B-9C6F-4641-A6B5-489E3432CBBE}" name="Created On" dataDxfId="438"/>
    <tableColumn id="14" xr3:uid="{A5F07F2A-8EEA-410B-8A1B-2B9A761F9B24}" name="Source" dataDxfId="437"/>
    <tableColumn id="15" xr3:uid="{3F98277A-ACE9-4061-9A18-4A2EB55C9BAC}" name="End Use Category" dataDxfId="436"/>
    <tableColumn id="16" xr3:uid="{2C625A50-B202-4B1B-8A31-CB016AE96D38}" name="Inc Rate Unit" dataDxfId="435"/>
    <tableColumn id="17" xr3:uid="{A1F597A6-120A-49D2-9101-78B7C5E7E4B9}" name="Savings per Unit kWh" dataDxfId="434"/>
    <tableColumn id="18" xr3:uid="{C6399B43-2BAE-48BB-8D6D-E74FE8FAC929}" name="Savings per Unit kW" dataDxfId="433"/>
    <tableColumn id="19" xr3:uid="{81D69726-C780-4CE6-8F7B-3EFBD1FF20D2}" name="Inc Rate kWh" dataDxfId="432"/>
    <tableColumn id="20" xr3:uid="{498F4495-7D5F-4453-BA14-61B57BC75C06}" name="Inc Rate kW" dataDxfId="431"/>
    <tableColumn id="21" xr3:uid="{707284E3-39E6-4746-B7EA-E3A0985C840D}" name="Energy Type" dataDxfId="430"/>
    <tableColumn id="22" xr3:uid="{CF93506B-D47E-4F46-AE2D-106D851A0E31}" name="Program" dataDxfId="429"/>
    <tableColumn id="23" xr3:uid="{8958FC11-81AA-4A6E-B47C-49785508465F}" name="Lighting vs Non Lighting" dataDxfId="428"/>
    <tableColumn id="24" xr3:uid="{2DB7C8E5-7219-4106-B09B-1BC50D8ADFA8}" name="Status" dataDxfId="427"/>
    <tableColumn id="25" xr3:uid="{C1A6C798-6F76-4EB4-AD1F-AD8FEB4C06F8}" name="SUTO" dataDxfId="426"/>
    <tableColumn id="26" xr3:uid="{FAC3FCE2-17A8-4E28-98E8-01D026665E87}" name="Cost Basis" dataDxfId="425"/>
    <tableColumn id="27" xr3:uid="{616B89A0-8AF2-4D69-8D99-7D6E36EF78E9}" name="Incremental Cost" dataDxfId="424"/>
    <tableColumn id="28" xr3:uid="{BAFBAEB9-554D-4428-8AAD-262C121ADD3D}" name="Typical Unit Size" dataDxfId="423"/>
    <tableColumn id="29" xr3:uid="{F9DFBF03-B499-4715-B4E8-9C8C1997B6E3}" name="Unit of Measure" dataDxfId="422"/>
    <tableColumn id="30" xr3:uid="{F4F3E81A-455A-4697-B448-312D72B84033}" name="Base Desc 1" dataDxfId="421"/>
    <tableColumn id="31" xr3:uid="{8BEDEE37-492F-41B5-AAD1-E292A838D666}" name="Base Desc 2" dataDxfId="420"/>
    <tableColumn id="32" xr3:uid="{B13928A7-F0E9-4DDC-A759-3E017807677D}" name="Base Watt" dataDxfId="419"/>
    <tableColumn id="33" xr3:uid="{948972D8-B617-474C-9424-67C4A04C63A5}" name="Base Watt 2" dataDxfId="418"/>
    <tableColumn id="34" xr3:uid="{571B09B5-B479-4D3C-B0B9-C5C99EF2F878}" name="Eff Desc 1" dataDxfId="417"/>
    <tableColumn id="35" xr3:uid="{A8948024-7DB3-4DBC-AAA3-49F6B83EC842}" name="Eff Desc 2" dataDxfId="416"/>
    <tableColumn id="36" xr3:uid="{864E2ED5-6B57-4608-A8C2-E0EA5728AA4F}" name="Eff Watt" dataDxfId="415"/>
    <tableColumn id="37" xr3:uid="{3F458D36-E1DF-4056-A464-75833C79CD92}" name="Eff Watt 2" dataDxfId="414"/>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6000000}" name="STATES" displayName="STATES" ref="E4:F54" totalsRowShown="0">
  <autoFilter ref="E4:F54" xr:uid="{00000000-0009-0000-0100-000018000000}"/>
  <tableColumns count="2">
    <tableColumn id="1" xr3:uid="{00000000-0010-0000-0600-000001000000}" name="States"/>
    <tableColumn id="2" xr3:uid="{00000000-0010-0000-0600-000002000000}" name="Abbrev"/>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3D1F474-5DDF-40CD-84CB-DE362BE9A5EF}" name="PMGAGG" displayName="PMGAGG" ref="A229:AK232" totalsRowShown="0" headerRowDxfId="413" headerRowBorderDxfId="412" tableBorderDxfId="411" totalsRowBorderDxfId="410" headerRowCellStyle="Normal 2">
  <autoFilter ref="A229:AK232" xr:uid="{03D1F474-5DDF-40CD-84CB-DE362BE9A5EF}"/>
  <sortState xmlns:xlrd2="http://schemas.microsoft.com/office/spreadsheetml/2017/richdata2" ref="A230:AK232">
    <sortCondition ref="AH229:AH232"/>
  </sortState>
  <tableColumns count="37">
    <tableColumn id="1" xr3:uid="{C31557D6-6007-4061-AEF8-9BA40132E06C}" name="Measure #"/>
    <tableColumn id="2" xr3:uid="{9837D308-C362-40C2-9B2A-C4E1A94FB622}" name="Measure Name"/>
    <tableColumn id="3" xr3:uid="{2D974A63-70B6-4E47-B676-3D4B08C1A828}" name="Equipment Description"/>
    <tableColumn id="4" xr3:uid="{4721DEED-0EE0-427E-A8FF-61FBEBE6992B}" name="Eff Category"/>
    <tableColumn id="5" xr3:uid="{C2B85532-0ABD-4089-A50A-126730302ADA}" name="Eff Measure Group"/>
    <tableColumn id="6" xr3:uid="{D1E862EE-16D0-40CA-8282-73D1D1BCBC72}" name="Eff Equip Descr"/>
    <tableColumn id="7" xr3:uid="{AA03A1DA-4C5A-4E40-95A7-C5F92FE795A5}" name="Base Category"/>
    <tableColumn id="8" xr3:uid="{B0B502F8-22A4-4CBD-96EE-3EF23C0971E5}" name="Base Measure Group"/>
    <tableColumn id="9" xr3:uid="{19C9C157-F1C9-4BB6-AB17-87318E72550C}" name="Base Equip Descr"/>
    <tableColumn id="10" xr3:uid="{CCED746B-FD68-4EB5-8B3D-4174993B2993}" name="Program Design"/>
    <tableColumn id="11" xr3:uid="{4B9C4F8C-E344-4F91-9BC8-BA815EEE94AD}" name="TRM Reference No."/>
    <tableColumn id="12" xr3:uid="{904260D4-6258-43B9-8C73-09C7DCC56237}" name="Measure Life"/>
    <tableColumn id="13" xr3:uid="{AB5E4621-5029-41A9-85C5-C89E6F60E258}" name="Created On"/>
    <tableColumn id="14" xr3:uid="{6F9F073D-1816-4460-B3F7-9B5160843A48}" name="Source"/>
    <tableColumn id="15" xr3:uid="{69A5AAB4-30EE-4A81-9325-C8401808F715}" name="End Use Category"/>
    <tableColumn id="16" xr3:uid="{D1FAB52B-63B2-4AD1-B3FD-87F7D15D8F30}" name="Inc Rate Unit"/>
    <tableColumn id="17" xr3:uid="{7B57E77B-2DEB-4CD6-A0AF-1C617BDC94BF}" name="Savings per Unit Therm"/>
    <tableColumn id="18" xr3:uid="{58AB469B-46E5-4812-A45E-5AE105868E41}" name="NA"/>
    <tableColumn id="19" xr3:uid="{1F7AFE09-5C88-4839-8829-12D616CC0476}" name="NA2"/>
    <tableColumn id="20" xr3:uid="{6352D238-D9AB-4300-91F2-20C7494053A8}" name="NA3"/>
    <tableColumn id="21" xr3:uid="{6DFC4E17-39C8-4A99-AA6C-406CF5DD8212}" name="Energy Type"/>
    <tableColumn id="22" xr3:uid="{FBF71331-24A8-43F5-B29A-D4B5EA3276DF}" name="Program"/>
    <tableColumn id="23" xr3:uid="{C99C1A73-092F-450C-937B-E35FF477CE02}" name="Lighting vs Non Lighting"/>
    <tableColumn id="24" xr3:uid="{D7D7CB07-1968-4193-B4BF-3686BFFC2D9F}" name="Status"/>
    <tableColumn id="25" xr3:uid="{564B0D9A-139F-4E37-867A-D6661B498B82}" name="SUTO"/>
    <tableColumn id="26" xr3:uid="{34979C01-36C4-4845-960D-C83FBA9F1556}" name="Cost Basis"/>
    <tableColumn id="27" xr3:uid="{C59E823D-0A07-4476-82E6-7F69BBDE1918}" name="Incremental Cost"/>
    <tableColumn id="28" xr3:uid="{6933A161-E394-473C-BE4F-D61B52FBB6C5}" name="Typical Unit Size"/>
    <tableColumn id="29" xr3:uid="{02856FEE-0B33-4DF8-9C82-890E3EAE772C}" name="Unit of Measure"/>
    <tableColumn id="30" xr3:uid="{7A2AEE99-6D51-41D8-9EB5-54D552EF88F9}" name="Base Desc 1"/>
    <tableColumn id="31" xr3:uid="{5229C905-959D-48D1-A7FA-7C075EB0A6E9}" name="Base Desc 2"/>
    <tableColumn id="32" xr3:uid="{DDEED84E-2EB8-4F7C-BC06-42BA7724E54B}" name="Base Watt"/>
    <tableColumn id="33" xr3:uid="{38249A24-0FB1-45F7-8857-8D7621C7D09A}" name="Base Watt 2"/>
    <tableColumn id="34" xr3:uid="{92762F52-20F6-4DDA-9A3A-72C3783CFB9D}" name="Eff Desc 1"/>
    <tableColumn id="35" xr3:uid="{94D72307-D4E5-4281-BC8C-53AE0457EB09}" name="Eff Desc 2"/>
    <tableColumn id="36" xr3:uid="{B0B507C1-80A0-4BEA-9CE3-0D0B0968FA64}" name="Eff Watt"/>
    <tableColumn id="37" xr3:uid="{3135D2E1-7925-4D61-8D3F-219303D0F2C7}" name="Eff Watt 2"/>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4ECC762E-4D4C-4839-9795-A4FDCD346E10}" name="PMGKITCHEN" displayName="PMGKITCHEN" ref="A235:AK246" totalsRowShown="0" headerRowDxfId="409" dataDxfId="407" headerRowBorderDxfId="408" tableBorderDxfId="406" totalsRowBorderDxfId="405" headerRowCellStyle="Normal 2" dataCellStyle="Normal 2">
  <autoFilter ref="A235:AK246" xr:uid="{4ECC762E-4D4C-4839-9795-A4FDCD346E10}"/>
  <sortState xmlns:xlrd2="http://schemas.microsoft.com/office/spreadsheetml/2017/richdata2" ref="A236:AK246">
    <sortCondition ref="AH235:AH246"/>
  </sortState>
  <tableColumns count="37">
    <tableColumn id="1" xr3:uid="{58C3EC57-E1AC-4234-ACD9-0447FFCF9C80}" name="Measure #"/>
    <tableColumn id="2" xr3:uid="{81D2D130-8069-4B0B-B695-FBF427DD82CF}" name="Measure Name" dataDxfId="404" dataCellStyle="Normal 2"/>
    <tableColumn id="3" xr3:uid="{6F6660FC-3E22-4FD6-9AB6-5A701247645C}" name="Equipment Description" dataDxfId="403"/>
    <tableColumn id="4" xr3:uid="{15569C12-049D-4F0C-9482-13F9A714C61E}" name="Eff Category" dataDxfId="402" dataCellStyle="Normal 2"/>
    <tableColumn id="5" xr3:uid="{DB57B8D2-35A5-447F-B9E3-4C918BF58628}" name="Eff Measure Group" dataDxfId="401" dataCellStyle="Normal 2"/>
    <tableColumn id="6" xr3:uid="{CE897375-CBDA-4CDB-885E-BC9DC68EFFBC}" name="Eff Equip Descr" dataDxfId="400"/>
    <tableColumn id="7" xr3:uid="{A252A4D4-C59A-4EF3-B466-F50B95EE2D0C}" name="Base Category" dataDxfId="399" dataCellStyle="Normal 2"/>
    <tableColumn id="8" xr3:uid="{DCA50089-A1C3-4BFC-ACAA-4E5096963010}" name="Base Measure Group" dataDxfId="398"/>
    <tableColumn id="9" xr3:uid="{284CBE14-35F0-4417-B63D-DCCD2D76FAB5}" name="Base Equip Descr" dataDxfId="397"/>
    <tableColumn id="10" xr3:uid="{9EFFC607-7EEC-4BCE-9538-EEB3E6D50704}" name="Program Design" dataDxfId="396" dataCellStyle="Normal 2"/>
    <tableColumn id="11" xr3:uid="{3834D104-735F-4418-87FE-EB4EF71D392C}" name="TRM Reference No." dataDxfId="395" dataCellStyle="Normal 2"/>
    <tableColumn id="12" xr3:uid="{9A30B398-FB07-49CF-95FB-ABE1078E2827}" name="Measure Life" dataDxfId="394"/>
    <tableColumn id="13" xr3:uid="{9E036794-E5C2-43DF-A649-E2289F9809B6}" name="Created On" dataDxfId="393" dataCellStyle="Normal 2"/>
    <tableColumn id="14" xr3:uid="{7B62954C-29D5-439D-9B0F-C9B000F15D83}" name="Source" dataDxfId="392" dataCellStyle="Normal 2"/>
    <tableColumn id="15" xr3:uid="{4C3F049F-D802-42FE-8FB4-5FFF9A626340}" name="End Use Category" dataDxfId="391" dataCellStyle="Normal 2"/>
    <tableColumn id="16" xr3:uid="{DBF58D8D-F9AB-4FDB-BE1D-DB15EA397B85}" name="Inc Rate Unit" dataDxfId="390"/>
    <tableColumn id="17" xr3:uid="{BA4714A1-A4CD-409B-854C-209A4D3E1FC8}" name="Savings per Unit Therm" dataDxfId="389"/>
    <tableColumn id="18" xr3:uid="{282889D1-B13B-4DD6-8A65-76432D63F2D4}" name="NA" dataDxfId="388" dataCellStyle="Normal 2"/>
    <tableColumn id="19" xr3:uid="{0F78CF59-5ECB-4865-B837-86B090C24D78}" name="NA2" dataDxfId="387" dataCellStyle="Normal 2"/>
    <tableColumn id="20" xr3:uid="{0327D9D1-1461-4B68-90BD-A7D0C674ED5F}" name="NA3" dataDxfId="386" dataCellStyle="Normal 2"/>
    <tableColumn id="21" xr3:uid="{DF4AEA76-A4F4-4AC4-B9B7-C814AB0F141A}" name="Energy Type" dataDxfId="385"/>
    <tableColumn id="22" xr3:uid="{A806B9C1-A36A-4A4C-8613-261DE16E7DE5}" name="Program" dataDxfId="384" dataCellStyle="Normal 2"/>
    <tableColumn id="23" xr3:uid="{12B04103-6AC2-4A3A-983A-A951F740D3CD}" name="Lighting vs Non Lighting" dataDxfId="383" dataCellStyle="Normal 2"/>
    <tableColumn id="24" xr3:uid="{493AAFF3-2391-4CA8-8FE0-59B3F76260A4}" name="Status" dataDxfId="382" dataCellStyle="Normal 2"/>
    <tableColumn id="25" xr3:uid="{C80324AE-B6D4-422C-963B-F5273EEE5899}" name="SUTO" dataDxfId="381" dataCellStyle="Normal 2"/>
    <tableColumn id="26" xr3:uid="{798DE1AA-6B1E-4A5D-8421-5AD32580C413}" name="Cost Basis" dataDxfId="380" dataCellStyle="Normal 2"/>
    <tableColumn id="27" xr3:uid="{ADF1EC6C-D349-4B11-83CC-9FBB0EC47D45}" name="Incremental Cost" dataDxfId="379"/>
    <tableColumn id="28" xr3:uid="{3A665893-50AE-4B7C-98DF-3A23C23799DD}" name="Typical Unit Size" dataDxfId="378"/>
    <tableColumn id="29" xr3:uid="{9B030CA6-9680-4433-B77D-9D677C53B485}" name="Unit of Measure" dataDxfId="377"/>
    <tableColumn id="30" xr3:uid="{14A35D7F-BFCE-4B61-AC37-EC7EA0AA122F}" name="Base Desc 1" dataDxfId="376"/>
    <tableColumn id="31" xr3:uid="{791EE015-EEC1-4DCA-913B-EFD80C72E8DD}" name="Base Desc 2" dataDxfId="375" dataCellStyle="Normal 2"/>
    <tableColumn id="32" xr3:uid="{8C2767A3-3F18-4186-BB39-B2932DC83CDA}" name="Base Watt" dataDxfId="374" dataCellStyle="Normal 2"/>
    <tableColumn id="33" xr3:uid="{F2B894C2-1175-4668-89BB-903AD0E51C27}" name="Base Watt 2" dataDxfId="373" dataCellStyle="Normal 2"/>
    <tableColumn id="34" xr3:uid="{27CC24F6-7FA8-486E-B5BA-DA40F6F6E87E}" name="Eff Desc 1" dataDxfId="372"/>
    <tableColumn id="35" xr3:uid="{5DDF8237-31B1-46CC-BA1B-F430F6FF7545}" name="Eff Desc 2" dataDxfId="371" dataCellStyle="Normal 2"/>
    <tableColumn id="36" xr3:uid="{4F85DEDF-C614-43E1-8710-93B30AEDF703}" name="Eff Watt" dataDxfId="370" dataCellStyle="Normal 2"/>
    <tableColumn id="37" xr3:uid="{3F8F008A-E886-41EA-8EB9-FF5DA24372F1}" name="Eff Watt 2" dataDxfId="369" dataCellStyle="Normal 2"/>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20000000}" name="CMLIGHTBASE" displayName="CMLIGHTBASE" ref="A1:L95" totalsRowShown="0" headerRowDxfId="368" dataDxfId="367" headerRowCellStyle="Normal 2">
  <autoFilter ref="A1:L95" xr:uid="{00000000-0009-0000-0100-000001000000}"/>
  <sortState xmlns:xlrd2="http://schemas.microsoft.com/office/spreadsheetml/2017/richdata2" ref="A2:L95">
    <sortCondition ref="J1:J95"/>
  </sortState>
  <tableColumns count="12">
    <tableColumn id="5" xr3:uid="{00000000-0010-0000-2000-000005000000}" name="Measure Number" dataDxfId="366"/>
    <tableColumn id="1" xr3:uid="{00000000-0010-0000-2000-000001000000}" name="Base Desc 1" dataDxfId="365"/>
    <tableColumn id="2" xr3:uid="{00000000-0010-0000-2000-000002000000}" name="Base Desc 2" dataDxfId="364"/>
    <tableColumn id="3" xr3:uid="{00000000-0010-0000-2000-000003000000}" name="Base Watt 1" dataDxfId="363"/>
    <tableColumn id="4" xr3:uid="{00000000-0010-0000-2000-000004000000}" name="Base Watt 2" dataDxfId="362"/>
    <tableColumn id="7" xr3:uid="{00000000-0010-0000-2000-000007000000}" name="Measure Group" dataDxfId="361"/>
    <tableColumn id="8" xr3:uid="{00000000-0010-0000-2000-000008000000}" name="Measure Subgroup 1" dataDxfId="360"/>
    <tableColumn id="6" xr3:uid="{00000000-0010-0000-2000-000006000000}" name="Measure Subgroup 2" dataDxfId="359"/>
    <tableColumn id="9" xr3:uid="{00000000-0010-0000-2000-000009000000}" name="Unit" dataDxfId="358"/>
    <tableColumn id="10" xr3:uid="{00000000-0010-0000-2000-00000A000000}" name="Order" dataDxfId="357"/>
    <tableColumn id="11" xr3:uid="{00000000-0010-0000-2000-00000B000000}" name="Source (Standard Wattage Table)" dataDxfId="356"/>
    <tableColumn id="12" xr3:uid="{00000000-0010-0000-2000-00000C000000}" name="Inc Rate" dataDxfId="355"/>
  </tableColumns>
  <tableStyleInfo name="TableStyleMedium5"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21000000}" name="CMLIGHTEFF" displayName="CMLIGHTEFF" ref="N1:Z17" totalsRowShown="0" headerRowDxfId="354" dataDxfId="353" headerRowCellStyle="Normal 2">
  <autoFilter ref="N1:Z17" xr:uid="{00000000-0009-0000-0100-000002000000}"/>
  <tableColumns count="13">
    <tableColumn id="10" xr3:uid="{00000000-0010-0000-2100-00000A000000}" name="Measure Number" dataDxfId="352"/>
    <tableColumn id="1" xr3:uid="{00000000-0010-0000-2100-000001000000}" name="Eff Desc 1" dataDxfId="351"/>
    <tableColumn id="2" xr3:uid="{00000000-0010-0000-2100-000002000000}" name="Eff Desc 2" dataDxfId="350"/>
    <tableColumn id="13" xr3:uid="{00000000-0010-0000-2100-00000D000000}" name="Eff Desc 3" dataDxfId="349"/>
    <tableColumn id="3" xr3:uid="{00000000-0010-0000-2100-000003000000}" name="Eff Watt 1" dataDxfId="348"/>
    <tableColumn id="4" xr3:uid="{00000000-0010-0000-2100-000004000000}" name="Eff Watt 2" dataDxfId="347"/>
    <tableColumn id="5" xr3:uid="{00000000-0010-0000-2100-000005000000}" name="Measure Group" dataDxfId="346"/>
    <tableColumn id="6" xr3:uid="{00000000-0010-0000-2100-000006000000}" name="Measure Subgroup 1" dataDxfId="345"/>
    <tableColumn id="7" xr3:uid="{00000000-0010-0000-2100-000007000000}" name="Measure Subgroup 2" dataDxfId="344"/>
    <tableColumn id="8" xr3:uid="{00000000-0010-0000-2100-000008000000}" name="Unit" dataDxfId="343"/>
    <tableColumn id="9" xr3:uid="{00000000-0010-0000-2100-000009000000}" name="Order" dataDxfId="342"/>
    <tableColumn id="11" xr3:uid="{00000000-0010-0000-2100-00000B000000}" name="Source (Standard Wattage Table)" dataDxfId="341"/>
    <tableColumn id="12" xr3:uid="{00000000-0010-0000-2100-00000C000000}" name="Inc Rate" dataDxfId="340"/>
  </tableColumns>
  <tableStyleInfo name="TableStyleMedium5"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DC14DF9-B277-4272-BF2B-C6EE975366F5}" name="NCLIGHTINCCOST" displayName="NCLIGHTINCCOST" ref="AC1:AD5" totalsRowShown="0" headerRowDxfId="339" dataDxfId="338">
  <autoFilter ref="AC1:AD5" xr:uid="{FEB1B81D-D518-4BE7-9056-157DC18B8D78}"/>
  <tableColumns count="2">
    <tableColumn id="1" xr3:uid="{7FFF3028-EBA5-4B8B-97E5-E7CA05FFF4BA}" name="% Below Code" dataDxfId="337"/>
    <tableColumn id="2" xr3:uid="{4BDC496E-3D24-4A19-82A8-BCF8A3CF5294}" name="WI Incremental Cost ($/sq ft)" dataDxfId="336"/>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22000000}" name="PROGRAMTYPE" displayName="PROGRAMTYPE" ref="A1:A4" totalsRowShown="0" headerRowDxfId="335" dataDxfId="334" headerRowCellStyle="Normal 2">
  <autoFilter ref="A1:A4" xr:uid="{00000000-0009-0000-0100-000003000000}"/>
  <sortState xmlns:xlrd2="http://schemas.microsoft.com/office/spreadsheetml/2017/richdata2" ref="H2:H5">
    <sortCondition ref="H1:H5"/>
  </sortState>
  <tableColumns count="1">
    <tableColumn id="1" xr3:uid="{00000000-0010-0000-2200-000001000000}" name="Program" dataDxfId="333"/>
  </tableColumns>
  <tableStyleInfo name="TableStyleMedium4"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3000000}" name="PROGRAMECAT" displayName="PROGRAMECAT" ref="E1:K30" totalsRowShown="0" headerRowDxfId="332" dataDxfId="331">
  <autoFilter ref="E1:K30" xr:uid="{00000000-0009-0000-0100-000014000000}"/>
  <sortState xmlns:xlrd2="http://schemas.microsoft.com/office/spreadsheetml/2017/richdata2" ref="E2:J29">
    <sortCondition ref="H1:H29"/>
  </sortState>
  <tableColumns count="7">
    <tableColumn id="1" xr3:uid="{00000000-0010-0000-2300-000001000000}" name="Program" dataDxfId="330"/>
    <tableColumn id="2" xr3:uid="{00000000-0010-0000-2300-000002000000}" name="Category 1" dataDxfId="329"/>
    <tableColumn id="3" xr3:uid="{00000000-0010-0000-2300-000003000000}" name="Category 2" dataDxfId="328"/>
    <tableColumn id="4" xr3:uid="{00000000-0010-0000-2300-000004000000}" name="Measure Number" dataDxfId="327"/>
    <tableColumn id="7" xr3:uid="{00000000-0010-0000-2300-000007000000}" name="Unit" dataDxfId="326"/>
    <tableColumn id="5" xr3:uid="{00000000-0010-0000-2300-000005000000}" name="EUL" dataDxfId="325"/>
    <tableColumn id="6" xr3:uid="{00000000-0010-0000-2300-000006000000}" name="Lighting Coincidence Factor" dataDxfId="324"/>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4000000}" name="PROGRAMGCAT" displayName="PROGRAMGCAT" ref="M1:R21" totalsRowShown="0" headerRowDxfId="323" dataDxfId="322">
  <autoFilter ref="M1:R21" xr:uid="{00000000-0009-0000-0100-000015000000}"/>
  <sortState xmlns:xlrd2="http://schemas.microsoft.com/office/spreadsheetml/2017/richdata2" ref="M2:R20">
    <sortCondition ref="P1:P20"/>
  </sortState>
  <tableColumns count="6">
    <tableColumn id="1" xr3:uid="{00000000-0010-0000-2400-000001000000}" name="Program" dataDxfId="321"/>
    <tableColumn id="2" xr3:uid="{00000000-0010-0000-2400-000002000000}" name="Category 1" dataDxfId="320"/>
    <tableColumn id="3" xr3:uid="{00000000-0010-0000-2400-000003000000}" name="Category 2" dataDxfId="319"/>
    <tableColumn id="4" xr3:uid="{00000000-0010-0000-2400-000004000000}" name="Measure Number" dataDxfId="318"/>
    <tableColumn id="6" xr3:uid="{00000000-0010-0000-2400-000006000000}" name="Unit" dataDxfId="317"/>
    <tableColumn id="5" xr3:uid="{00000000-0010-0000-2400-000005000000}" name="EUL" dataDxfId="316"/>
  </tableColumns>
  <tableStyleInfo name="TableStyleMedium3"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5000000}" name="INCRATE" displayName="INCRATE" ref="A9:C15" totalsRowShown="0" headerRowDxfId="315" dataDxfId="314">
  <autoFilter ref="A9:C15" xr:uid="{00000000-0009-0000-0100-000013000000}"/>
  <sortState xmlns:xlrd2="http://schemas.microsoft.com/office/spreadsheetml/2017/richdata2" ref="A10:C15">
    <sortCondition ref="A9:A15"/>
  </sortState>
  <tableColumns count="3">
    <tableColumn id="1" xr3:uid="{00000000-0010-0000-2500-000001000000}" name="Incentive Type" dataDxfId="313"/>
    <tableColumn id="2" xr3:uid="{00000000-0010-0000-2500-000002000000}" name="Electric" dataDxfId="312"/>
    <tableColumn id="3" xr3:uid="{00000000-0010-0000-2500-000003000000}" name="Gas" dataDxfId="311"/>
  </tableColumns>
  <tableStyleInfo name="TableStyleMedium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7000000}" name="SPACEHEAT" displayName="SPACEHEAT" ref="J4:K10" totalsRowShown="0">
  <autoFilter ref="J4:K10" xr:uid="{00000000-0009-0000-0100-000019000000}"/>
  <tableColumns count="2">
    <tableColumn id="1" xr3:uid="{00000000-0010-0000-0700-000001000000}" name="Space Conditioning"/>
    <tableColumn id="2" xr3:uid="{00000000-0010-0000-0700-000002000000}" name="Multiplier"/>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8000000}" name="WATERHEAT" displayName="WATERHEAT" ref="A24:A31" totalsRowShown="0">
  <autoFilter ref="A24:A31" xr:uid="{00000000-0009-0000-0100-00001A000000}"/>
  <tableColumns count="1">
    <tableColumn id="1" xr3:uid="{00000000-0010-0000-0800-000001000000}" name="Water Heating"/>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9000000}" name="PROGRAMS" displayName="PROGRAMS" ref="A33:A36" totalsRowShown="0">
  <autoFilter ref="A33:A36" xr:uid="{00000000-0009-0000-0100-00001B000000}"/>
  <tableColumns count="1">
    <tableColumn id="1" xr3:uid="{00000000-0010-0000-0900-000001000000}" name="Program"/>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A000000}" name="INSTALLER" displayName="INSTALLER" ref="A38:A40" totalsRowShown="0">
  <autoFilter ref="A38:A40" xr:uid="{00000000-0009-0000-0100-00001C000000}"/>
  <tableColumns count="1">
    <tableColumn id="1" xr3:uid="{00000000-0010-0000-0A00-000001000000}" name="Installer"/>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B000000}" name="PAYMENT" displayName="PAYMENT" ref="O4:Z8" totalsRowShown="0">
  <autoFilter ref="O4:Z8" xr:uid="{00000000-0009-0000-0100-00001D000000}"/>
  <sortState xmlns:xlrd2="http://schemas.microsoft.com/office/spreadsheetml/2017/richdata2" ref="P5:AA9">
    <sortCondition ref="P4:P9"/>
  </sortState>
  <tableColumns count="12">
    <tableColumn id="1" xr3:uid="{00000000-0010-0000-0B00-000001000000}" name="Payment to"/>
    <tableColumn id="2" xr3:uid="{00000000-0010-0000-0B00-000002000000}" name="Company"/>
    <tableColumn id="3" xr3:uid="{00000000-0010-0000-0B00-000003000000}" name="First"/>
    <tableColumn id="4" xr3:uid="{00000000-0010-0000-0B00-000004000000}" name="Last"/>
    <tableColumn id="7" xr3:uid="{F8D012C9-4686-456A-9D7F-2CAFCB6458CF}" name="Phone"/>
    <tableColumn id="6" xr3:uid="{6D575495-B220-4701-AE56-D156462D8F64}" name="Email"/>
    <tableColumn id="8" xr3:uid="{24B833F3-AA59-4D3E-8E7A-E3E33E6EB0A1}" name="Address"/>
    <tableColumn id="5" xr3:uid="{149DE545-00F2-48A5-AD5E-8D3A2685FFB5}" name="City"/>
    <tableColumn id="9" xr3:uid="{00000000-0010-0000-0B00-000009000000}" name="State"/>
    <tableColumn id="10" xr3:uid="{00000000-0010-0000-0B00-00000A000000}" name="Zip"/>
    <tableColumn id="11" xr3:uid="{00000000-0010-0000-0B00-00000B000000}" name="Terms"/>
    <tableColumn id="12" xr3:uid="{00000000-0010-0000-0B00-00000C000000}" name="Payment Preferenc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NIPSCO.Savings@TRCcompanies.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0.bin"/><Relationship Id="rId1" Type="http://schemas.openxmlformats.org/officeDocument/2006/relationships/hyperlink" Target="mailto:NIPSCO.Savings@TRCcompanies.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1.bin"/><Relationship Id="rId1" Type="http://schemas.openxmlformats.org/officeDocument/2006/relationships/hyperlink" Target="mailto:NIPSCO.Savings@TRCcompanies.com" TargetMode="Externa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5.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2.bin"/><Relationship Id="rId1" Type="http://schemas.openxmlformats.org/officeDocument/2006/relationships/hyperlink" Target="mailto:NIPSCO.Savings@TRCcompanies.com"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bin"/><Relationship Id="rId1" Type="http://schemas.openxmlformats.org/officeDocument/2006/relationships/hyperlink" Target="mailto:NIPSCO.Savings@TRCcompanies.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hyperlink" Target="mailto:NIPSCO.Savings@TRCcompanies.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5.bin"/><Relationship Id="rId1" Type="http://schemas.openxmlformats.org/officeDocument/2006/relationships/hyperlink" Target="mailto:NIPSCO.Savings@TRCcompanies.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6.bin"/><Relationship Id="rId1" Type="http://schemas.openxmlformats.org/officeDocument/2006/relationships/hyperlink" Target="mailto:NIPSCO.Savings@TRCcompanies.com" TargetMode="External"/><Relationship Id="rId5" Type="http://schemas.openxmlformats.org/officeDocument/2006/relationships/ctrlProp" Target="../ctrlProps/ctrlProp12.xml"/><Relationship Id="rId4" Type="http://schemas.openxmlformats.org/officeDocument/2006/relationships/vmlDrawing" Target="../drawings/vmlDrawing2.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7.bin"/><Relationship Id="rId1" Type="http://schemas.openxmlformats.org/officeDocument/2006/relationships/hyperlink" Target="mailto:NIPSCO.Savings@TRCcompanies.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8.bin"/><Relationship Id="rId1" Type="http://schemas.openxmlformats.org/officeDocument/2006/relationships/hyperlink" Target="mailto:NIPSCO.Savings@TRCcompanies.com"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9.bin"/><Relationship Id="rId1" Type="http://schemas.openxmlformats.org/officeDocument/2006/relationships/hyperlink" Target="mailto:NIPSCO.Savings@TRCcompanies.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0.bin"/><Relationship Id="rId1" Type="http://schemas.openxmlformats.org/officeDocument/2006/relationships/hyperlink" Target="mailto:NIPSCO.Savings@TRCcompanies.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1.bin"/><Relationship Id="rId1" Type="http://schemas.openxmlformats.org/officeDocument/2006/relationships/hyperlink" Target="mailto:NIPSCO.Savings@TRCcompanies.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2.bin"/><Relationship Id="rId1" Type="http://schemas.openxmlformats.org/officeDocument/2006/relationships/hyperlink" Target="mailto:NIPSCO.Savings@TRCcompanies.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3.bin"/><Relationship Id="rId1" Type="http://schemas.openxmlformats.org/officeDocument/2006/relationships/hyperlink" Target="mailto:NIPSCO.Savings@TRCcompanies.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4.bin"/><Relationship Id="rId1" Type="http://schemas.openxmlformats.org/officeDocument/2006/relationships/hyperlink" Target="mailto:NIPSCO.Savings@TRCcompanies.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5.bin"/><Relationship Id="rId1" Type="http://schemas.openxmlformats.org/officeDocument/2006/relationships/hyperlink" Target="mailto:NIPSCO.Savings@TRCcompanies.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6.bin"/><Relationship Id="rId1" Type="http://schemas.openxmlformats.org/officeDocument/2006/relationships/hyperlink" Target="mailto:NIPSCO.Savings@TRCcompanies.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7.bin"/><Relationship Id="rId1" Type="http://schemas.openxmlformats.org/officeDocument/2006/relationships/hyperlink" Target="mailto:NIPSCO.Savings@TRCcompanies.com"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9.bin"/><Relationship Id="rId1" Type="http://schemas.openxmlformats.org/officeDocument/2006/relationships/hyperlink" Target="mailto:NIPSCO.Savings@TRCcompanies.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0.bin"/><Relationship Id="rId1" Type="http://schemas.openxmlformats.org/officeDocument/2006/relationships/hyperlink" Target="mailto:NIPSCO.Savings@TRCcompanies.com" TargetMode="External"/><Relationship Id="rId4" Type="http://schemas.openxmlformats.org/officeDocument/2006/relationships/vmlDrawing" Target="../drawings/vmlDrawing3.vml"/></Relationships>
</file>

<file path=xl/worksheets/_rels/sheet32.xml.rels><?xml version="1.0" encoding="UTF-8" standalone="yes"?>
<Relationships xmlns="http://schemas.openxmlformats.org/package/2006/relationships"><Relationship Id="rId3" Type="http://schemas.openxmlformats.org/officeDocument/2006/relationships/hyperlink" Target="mailto:NIPSCO.Savings@TRCcompanies.com" TargetMode="External"/><Relationship Id="rId2" Type="http://schemas.openxmlformats.org/officeDocument/2006/relationships/hyperlink" Target="http://www.nipsco.com/save-energy" TargetMode="External"/><Relationship Id="rId1" Type="http://schemas.openxmlformats.org/officeDocument/2006/relationships/hyperlink" Target="mailto:NIPSCO.Savings@TRCcompanies.com" TargetMode="External"/><Relationship Id="rId5" Type="http://schemas.openxmlformats.org/officeDocument/2006/relationships/drawing" Target="../drawings/drawing24.xml"/><Relationship Id="rId4"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2.bin"/><Relationship Id="rId1" Type="http://schemas.openxmlformats.org/officeDocument/2006/relationships/hyperlink" Target="mailto:NIPSCO.Savings@TRCcompanies.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33.bin"/><Relationship Id="rId1" Type="http://schemas.openxmlformats.org/officeDocument/2006/relationships/hyperlink" Target="mailto:NIPSCO.Savings@TRCcompanies.com" TargetMode="Externa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drawing" Target="../drawings/drawing27.xml"/><Relationship Id="rId7" Type="http://schemas.openxmlformats.org/officeDocument/2006/relationships/ctrlProp" Target="../ctrlProps/ctrlProp15.xml"/><Relationship Id="rId2" Type="http://schemas.openxmlformats.org/officeDocument/2006/relationships/printerSettings" Target="../printerSettings/printerSettings34.bin"/><Relationship Id="rId1" Type="http://schemas.openxmlformats.org/officeDocument/2006/relationships/hyperlink" Target="mailto:NIPSCO.Savings@TRCcompanies.com" TargetMode="External"/><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vmlDrawing" Target="../drawings/vmlDrawing4.v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drawing" Target="../drawings/drawing28.x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printerSettings" Target="../printerSettings/printerSettings35.bin"/><Relationship Id="rId1" Type="http://schemas.openxmlformats.org/officeDocument/2006/relationships/hyperlink" Target="mailto:NIPSCO.Savings@LMCO.com" TargetMode="External"/><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0" Type="http://schemas.openxmlformats.org/officeDocument/2006/relationships/ctrlProp" Target="../ctrlProps/ctrlProp22.xml"/><Relationship Id="rId4" Type="http://schemas.openxmlformats.org/officeDocument/2006/relationships/vmlDrawing" Target="../drawings/vmlDrawing5.vml"/><Relationship Id="rId9" Type="http://schemas.openxmlformats.org/officeDocument/2006/relationships/ctrlProp" Target="../ctrlProps/ctrlProp21.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mailto:IM.EnergyEfficiency@TRCcompanies.com" TargetMode="External"/><Relationship Id="rId1" Type="http://schemas.openxmlformats.org/officeDocument/2006/relationships/hyperlink" Target="mailto:NIPSCO.Savings@LMCO.com" TargetMode="External"/><Relationship Id="rId4" Type="http://schemas.openxmlformats.org/officeDocument/2006/relationships/drawing" Target="../drawings/drawing2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9.xml"/><Relationship Id="rId13" Type="http://schemas.openxmlformats.org/officeDocument/2006/relationships/table" Target="../tables/table14.xml"/><Relationship Id="rId18" Type="http://schemas.openxmlformats.org/officeDocument/2006/relationships/table" Target="../tables/table19.xml"/><Relationship Id="rId3" Type="http://schemas.openxmlformats.org/officeDocument/2006/relationships/table" Target="../tables/table4.xml"/><Relationship Id="rId21" Type="http://schemas.openxmlformats.org/officeDocument/2006/relationships/table" Target="../tables/table22.xml"/><Relationship Id="rId7" Type="http://schemas.openxmlformats.org/officeDocument/2006/relationships/table" Target="../tables/table8.xml"/><Relationship Id="rId12" Type="http://schemas.openxmlformats.org/officeDocument/2006/relationships/table" Target="../tables/table13.xml"/><Relationship Id="rId17" Type="http://schemas.openxmlformats.org/officeDocument/2006/relationships/table" Target="../tables/table18.xml"/><Relationship Id="rId2" Type="http://schemas.openxmlformats.org/officeDocument/2006/relationships/table" Target="../tables/table3.xml"/><Relationship Id="rId16" Type="http://schemas.openxmlformats.org/officeDocument/2006/relationships/table" Target="../tables/table17.xml"/><Relationship Id="rId20" Type="http://schemas.openxmlformats.org/officeDocument/2006/relationships/table" Target="../tables/table21.xml"/><Relationship Id="rId1" Type="http://schemas.openxmlformats.org/officeDocument/2006/relationships/printerSettings" Target="../printerSettings/printerSettings5.bin"/><Relationship Id="rId6" Type="http://schemas.openxmlformats.org/officeDocument/2006/relationships/table" Target="../tables/table7.xml"/><Relationship Id="rId11" Type="http://schemas.openxmlformats.org/officeDocument/2006/relationships/table" Target="../tables/table12.xml"/><Relationship Id="rId5" Type="http://schemas.openxmlformats.org/officeDocument/2006/relationships/table" Target="../tables/table6.xml"/><Relationship Id="rId15" Type="http://schemas.openxmlformats.org/officeDocument/2006/relationships/table" Target="../tables/table16.xml"/><Relationship Id="rId23" Type="http://schemas.openxmlformats.org/officeDocument/2006/relationships/table" Target="../tables/table24.xml"/><Relationship Id="rId10" Type="http://schemas.openxmlformats.org/officeDocument/2006/relationships/table" Target="../tables/table11.xml"/><Relationship Id="rId19" Type="http://schemas.openxmlformats.org/officeDocument/2006/relationships/table" Target="../tables/table20.xml"/><Relationship Id="rId4" Type="http://schemas.openxmlformats.org/officeDocument/2006/relationships/table" Target="../tables/table5.xml"/><Relationship Id="rId9" Type="http://schemas.openxmlformats.org/officeDocument/2006/relationships/table" Target="../tables/table10.xml"/><Relationship Id="rId14" Type="http://schemas.openxmlformats.org/officeDocument/2006/relationships/table" Target="../tables/table15.xml"/><Relationship Id="rId22" Type="http://schemas.openxmlformats.org/officeDocument/2006/relationships/table" Target="../tables/table23.xml"/></Relationships>
</file>

<file path=xl/worksheets/_rels/sheet6.xml.rels><?xml version="1.0" encoding="UTF-8" standalone="yes"?>
<Relationships xmlns="http://schemas.openxmlformats.org/package/2006/relationships"><Relationship Id="rId8" Type="http://schemas.openxmlformats.org/officeDocument/2006/relationships/table" Target="../tables/table31.xml"/><Relationship Id="rId13" Type="http://schemas.openxmlformats.org/officeDocument/2006/relationships/table" Target="../tables/table36.xml"/><Relationship Id="rId18" Type="http://schemas.openxmlformats.org/officeDocument/2006/relationships/table" Target="../tables/table41.xml"/><Relationship Id="rId3" Type="http://schemas.openxmlformats.org/officeDocument/2006/relationships/table" Target="../tables/table26.xml"/><Relationship Id="rId7" Type="http://schemas.openxmlformats.org/officeDocument/2006/relationships/table" Target="../tables/table30.xml"/><Relationship Id="rId12" Type="http://schemas.openxmlformats.org/officeDocument/2006/relationships/table" Target="../tables/table35.xml"/><Relationship Id="rId17" Type="http://schemas.openxmlformats.org/officeDocument/2006/relationships/table" Target="../tables/table40.xml"/><Relationship Id="rId2" Type="http://schemas.openxmlformats.org/officeDocument/2006/relationships/table" Target="../tables/table25.xml"/><Relationship Id="rId16" Type="http://schemas.openxmlformats.org/officeDocument/2006/relationships/table" Target="../tables/table39.xml"/><Relationship Id="rId1" Type="http://schemas.openxmlformats.org/officeDocument/2006/relationships/printerSettings" Target="../printerSettings/printerSettings6.bin"/><Relationship Id="rId6" Type="http://schemas.openxmlformats.org/officeDocument/2006/relationships/table" Target="../tables/table29.xml"/><Relationship Id="rId11" Type="http://schemas.openxmlformats.org/officeDocument/2006/relationships/table" Target="../tables/table34.xml"/><Relationship Id="rId5" Type="http://schemas.openxmlformats.org/officeDocument/2006/relationships/table" Target="../tables/table28.xml"/><Relationship Id="rId15" Type="http://schemas.openxmlformats.org/officeDocument/2006/relationships/table" Target="../tables/table38.xml"/><Relationship Id="rId10" Type="http://schemas.openxmlformats.org/officeDocument/2006/relationships/table" Target="../tables/table33.xml"/><Relationship Id="rId4" Type="http://schemas.openxmlformats.org/officeDocument/2006/relationships/table" Target="../tables/table27.xml"/><Relationship Id="rId9" Type="http://schemas.openxmlformats.org/officeDocument/2006/relationships/table" Target="../tables/table32.xml"/><Relationship Id="rId14" Type="http://schemas.openxmlformats.org/officeDocument/2006/relationships/table" Target="../tables/table37.xml"/></Relationships>
</file>

<file path=xl/worksheets/_rels/sheet7.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table" Target="../tables/table42.xml"/><Relationship Id="rId1" Type="http://schemas.openxmlformats.org/officeDocument/2006/relationships/printerSettings" Target="../printerSettings/printerSettings7.bin"/><Relationship Id="rId4" Type="http://schemas.openxmlformats.org/officeDocument/2006/relationships/table" Target="../tables/table44.xml"/></Relationships>
</file>

<file path=xl/worksheets/_rels/sheet8.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table" Target="../tables/table45.xml"/><Relationship Id="rId1" Type="http://schemas.openxmlformats.org/officeDocument/2006/relationships/printerSettings" Target="../printerSettings/printerSettings8.bin"/><Relationship Id="rId5" Type="http://schemas.openxmlformats.org/officeDocument/2006/relationships/table" Target="../tables/table48.xml"/><Relationship Id="rId4" Type="http://schemas.openxmlformats.org/officeDocument/2006/relationships/table" Target="../tables/table4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9.bin"/><Relationship Id="rId1" Type="http://schemas.openxmlformats.org/officeDocument/2006/relationships/hyperlink" Target="mailto:NIPSCO.Savings@TRCcompanie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3">
    <tabColor rgb="FF7030A0"/>
  </sheetPr>
  <dimension ref="A1:G300"/>
  <sheetViews>
    <sheetView showRowColHeaders="0" topLeftCell="A63" zoomScaleNormal="100" workbookViewId="0">
      <selection activeCell="B84" sqref="B84"/>
    </sheetView>
  </sheetViews>
  <sheetFormatPr defaultRowHeight="15.75"/>
  <cols>
    <col min="1" max="1" width="14.140625" style="21" bestFit="1" customWidth="1"/>
    <col min="2" max="2" width="16.28515625" style="21" customWidth="1"/>
    <col min="3" max="3" width="8.28515625" style="21" bestFit="1" customWidth="1"/>
    <col min="4" max="4" width="116.5703125" style="21" customWidth="1"/>
  </cols>
  <sheetData>
    <row r="1" spans="1:7" ht="15">
      <c r="A1" s="643" t="s">
        <v>175</v>
      </c>
      <c r="B1" s="643"/>
      <c r="C1" s="643"/>
      <c r="D1" s="643"/>
    </row>
    <row r="2" spans="1:7" ht="15">
      <c r="A2" s="643"/>
      <c r="B2" s="643"/>
      <c r="C2" s="643"/>
      <c r="D2" s="643"/>
    </row>
    <row r="3" spans="1:7" ht="15">
      <c r="A3" s="643"/>
      <c r="B3" s="643"/>
      <c r="C3" s="643"/>
      <c r="D3" s="643"/>
    </row>
    <row r="4" spans="1:7" ht="15">
      <c r="A4" s="15" t="s">
        <v>178</v>
      </c>
      <c r="B4" s="15" t="s">
        <v>176</v>
      </c>
      <c r="C4" s="15" t="s">
        <v>177</v>
      </c>
      <c r="D4" s="16" t="s">
        <v>179</v>
      </c>
      <c r="F4" s="15" t="s">
        <v>921</v>
      </c>
    </row>
    <row r="5" spans="1:7">
      <c r="A5" s="17">
        <v>42136</v>
      </c>
      <c r="B5" s="18" t="s">
        <v>1287</v>
      </c>
      <c r="C5" s="19" t="s">
        <v>1288</v>
      </c>
      <c r="D5" s="20" t="s">
        <v>1289</v>
      </c>
      <c r="F5" t="s">
        <v>917</v>
      </c>
      <c r="G5" t="s">
        <v>920</v>
      </c>
    </row>
    <row r="6" spans="1:7">
      <c r="A6" s="17">
        <v>42401</v>
      </c>
      <c r="B6" s="18" t="s">
        <v>1287</v>
      </c>
      <c r="C6" s="19" t="s">
        <v>1290</v>
      </c>
      <c r="D6" s="20" t="s">
        <v>1291</v>
      </c>
      <c r="F6" t="s">
        <v>918</v>
      </c>
      <c r="G6" t="s">
        <v>924</v>
      </c>
    </row>
    <row r="7" spans="1:7">
      <c r="A7" s="17">
        <v>42411</v>
      </c>
      <c r="B7" s="18" t="s">
        <v>1287</v>
      </c>
      <c r="C7" s="19" t="s">
        <v>1292</v>
      </c>
      <c r="D7" s="20" t="s">
        <v>1293</v>
      </c>
      <c r="F7" t="s">
        <v>919</v>
      </c>
      <c r="G7" t="s">
        <v>922</v>
      </c>
    </row>
    <row r="8" spans="1:7">
      <c r="A8" s="17">
        <v>42411</v>
      </c>
      <c r="B8" s="18" t="s">
        <v>1287</v>
      </c>
      <c r="C8" s="19" t="s">
        <v>1294</v>
      </c>
      <c r="D8" s="20" t="s">
        <v>1295</v>
      </c>
    </row>
    <row r="9" spans="1:7">
      <c r="A9" s="17">
        <v>42415</v>
      </c>
      <c r="B9" s="18" t="s">
        <v>1287</v>
      </c>
      <c r="C9" s="19" t="s">
        <v>1296</v>
      </c>
      <c r="D9" s="20" t="s">
        <v>1297</v>
      </c>
    </row>
    <row r="10" spans="1:7">
      <c r="A10" s="17">
        <v>42416</v>
      </c>
      <c r="B10" s="18" t="s">
        <v>1287</v>
      </c>
      <c r="C10" s="19" t="s">
        <v>1298</v>
      </c>
      <c r="D10" s="20" t="s">
        <v>1299</v>
      </c>
    </row>
    <row r="11" spans="1:7">
      <c r="A11" s="17">
        <v>42419</v>
      </c>
      <c r="B11" s="18" t="s">
        <v>1287</v>
      </c>
      <c r="C11" s="19" t="s">
        <v>1300</v>
      </c>
      <c r="D11" s="20" t="s">
        <v>1301</v>
      </c>
    </row>
    <row r="12" spans="1:7">
      <c r="A12" s="17">
        <v>42423</v>
      </c>
      <c r="B12" s="18" t="s">
        <v>1287</v>
      </c>
      <c r="C12" s="19" t="s">
        <v>1302</v>
      </c>
      <c r="D12" s="20" t="s">
        <v>1303</v>
      </c>
    </row>
    <row r="13" spans="1:7">
      <c r="A13" s="17">
        <v>42425</v>
      </c>
      <c r="B13" s="18" t="s">
        <v>1287</v>
      </c>
      <c r="C13" s="19" t="s">
        <v>1304</v>
      </c>
      <c r="D13" s="20" t="s">
        <v>1305</v>
      </c>
    </row>
    <row r="14" spans="1:7" ht="189">
      <c r="A14" s="17">
        <v>42536</v>
      </c>
      <c r="B14" s="18" t="s">
        <v>1287</v>
      </c>
      <c r="C14" s="19" t="s">
        <v>1306</v>
      </c>
      <c r="D14" s="20" t="s">
        <v>1307</v>
      </c>
    </row>
    <row r="15" spans="1:7">
      <c r="A15" s="17">
        <v>42542</v>
      </c>
      <c r="B15" s="18" t="s">
        <v>1287</v>
      </c>
      <c r="C15" s="19" t="s">
        <v>1308</v>
      </c>
      <c r="D15" s="20" t="s">
        <v>1309</v>
      </c>
    </row>
    <row r="16" spans="1:7">
      <c r="A16" s="17">
        <v>42667</v>
      </c>
      <c r="B16" s="18" t="s">
        <v>1038</v>
      </c>
      <c r="C16" s="19" t="s">
        <v>1310</v>
      </c>
      <c r="D16" s="20" t="s">
        <v>1311</v>
      </c>
    </row>
    <row r="17" spans="1:4">
      <c r="A17" s="17">
        <v>42720</v>
      </c>
      <c r="B17" s="18" t="s">
        <v>1038</v>
      </c>
      <c r="C17" s="19" t="s">
        <v>1312</v>
      </c>
      <c r="D17" s="20" t="s">
        <v>1313</v>
      </c>
    </row>
    <row r="18" spans="1:4">
      <c r="A18" s="17">
        <v>42734</v>
      </c>
      <c r="B18" s="18" t="s">
        <v>1038</v>
      </c>
      <c r="C18" s="19" t="s">
        <v>1314</v>
      </c>
      <c r="D18" s="20" t="s">
        <v>1315</v>
      </c>
    </row>
    <row r="19" spans="1:4">
      <c r="A19" s="17">
        <v>42453</v>
      </c>
      <c r="B19" s="18" t="s">
        <v>1038</v>
      </c>
      <c r="C19" s="19" t="s">
        <v>1316</v>
      </c>
      <c r="D19" s="20" t="s">
        <v>1317</v>
      </c>
    </row>
    <row r="20" spans="1:4" ht="27">
      <c r="A20" s="17">
        <v>42506</v>
      </c>
      <c r="B20" s="18" t="s">
        <v>1038</v>
      </c>
      <c r="C20" s="19" t="s">
        <v>1318</v>
      </c>
      <c r="D20" s="20" t="s">
        <v>1319</v>
      </c>
    </row>
    <row r="21" spans="1:4" ht="27">
      <c r="A21" s="17">
        <v>43100</v>
      </c>
      <c r="B21" s="18" t="s">
        <v>1056</v>
      </c>
      <c r="C21" s="19" t="s">
        <v>1320</v>
      </c>
      <c r="D21" s="20" t="s">
        <v>1321</v>
      </c>
    </row>
    <row r="22" spans="1:4" ht="148.5">
      <c r="A22" s="17">
        <v>43136</v>
      </c>
      <c r="B22" s="18" t="s">
        <v>1326</v>
      </c>
      <c r="C22" s="19" t="s">
        <v>1039</v>
      </c>
      <c r="D22" s="20" t="s">
        <v>1327</v>
      </c>
    </row>
    <row r="23" spans="1:4">
      <c r="A23" s="17">
        <v>43154</v>
      </c>
      <c r="B23" s="18" t="s">
        <v>1056</v>
      </c>
      <c r="C23" s="19"/>
      <c r="D23" s="20" t="s">
        <v>1375</v>
      </c>
    </row>
    <row r="24" spans="1:4">
      <c r="A24" s="17">
        <v>43157</v>
      </c>
      <c r="B24" s="18" t="s">
        <v>1056</v>
      </c>
      <c r="C24" s="19" t="s">
        <v>1376</v>
      </c>
      <c r="D24" s="20" t="s">
        <v>1377</v>
      </c>
    </row>
    <row r="25" spans="1:4">
      <c r="A25" s="17">
        <v>43158</v>
      </c>
      <c r="B25" s="18" t="s">
        <v>1056</v>
      </c>
      <c r="C25" s="19" t="s">
        <v>1378</v>
      </c>
      <c r="D25" s="20" t="s">
        <v>1379</v>
      </c>
    </row>
    <row r="26" spans="1:4">
      <c r="A26" s="17">
        <v>43160</v>
      </c>
      <c r="B26" s="18" t="s">
        <v>1056</v>
      </c>
      <c r="C26" s="19" t="s">
        <v>1380</v>
      </c>
      <c r="D26" s="20" t="s">
        <v>1381</v>
      </c>
    </row>
    <row r="27" spans="1:4" ht="40.5">
      <c r="A27" s="17">
        <v>43269</v>
      </c>
      <c r="B27" s="18" t="s">
        <v>1056</v>
      </c>
      <c r="C27" s="19" t="s">
        <v>1386</v>
      </c>
      <c r="D27" s="20" t="s">
        <v>1387</v>
      </c>
    </row>
    <row r="28" spans="1:4" ht="148.5">
      <c r="A28" s="17">
        <v>43270</v>
      </c>
      <c r="B28" s="18" t="s">
        <v>1056</v>
      </c>
      <c r="C28" s="19"/>
      <c r="D28" s="20" t="s">
        <v>1402</v>
      </c>
    </row>
    <row r="29" spans="1:4" ht="121.5">
      <c r="A29" s="17">
        <v>43271</v>
      </c>
      <c r="B29" s="18" t="s">
        <v>1404</v>
      </c>
      <c r="C29" s="19"/>
      <c r="D29" s="20" t="s">
        <v>1406</v>
      </c>
    </row>
    <row r="30" spans="1:4">
      <c r="A30" s="17">
        <v>43272</v>
      </c>
      <c r="B30" s="18" t="s">
        <v>1404</v>
      </c>
      <c r="C30" s="19"/>
      <c r="D30" s="20" t="s">
        <v>1408</v>
      </c>
    </row>
    <row r="31" spans="1:4" ht="54">
      <c r="A31" s="17">
        <v>43276</v>
      </c>
      <c r="B31" s="18" t="s">
        <v>1056</v>
      </c>
      <c r="C31" s="19"/>
      <c r="D31" s="20" t="s">
        <v>1451</v>
      </c>
    </row>
    <row r="32" spans="1:4" ht="54">
      <c r="A32" s="17">
        <v>43304</v>
      </c>
      <c r="B32" s="18" t="s">
        <v>1404</v>
      </c>
      <c r="C32" s="19" t="s">
        <v>1452</v>
      </c>
      <c r="D32" s="396" t="s">
        <v>1453</v>
      </c>
    </row>
    <row r="33" spans="1:4" ht="40.5">
      <c r="A33" s="17">
        <v>43312</v>
      </c>
      <c r="B33" s="18" t="s">
        <v>1056</v>
      </c>
      <c r="C33" s="19"/>
      <c r="D33" s="20" t="s">
        <v>1456</v>
      </c>
    </row>
    <row r="34" spans="1:4">
      <c r="A34" s="17">
        <v>43335</v>
      </c>
      <c r="B34" s="18" t="s">
        <v>1404</v>
      </c>
      <c r="C34" s="19" t="s">
        <v>1457</v>
      </c>
      <c r="D34" s="20" t="s">
        <v>1458</v>
      </c>
    </row>
    <row r="35" spans="1:4" ht="27">
      <c r="A35" s="17">
        <v>43335</v>
      </c>
      <c r="B35" s="18" t="s">
        <v>1056</v>
      </c>
      <c r="C35" s="19"/>
      <c r="D35" s="20" t="s">
        <v>1460</v>
      </c>
    </row>
    <row r="36" spans="1:4" ht="108">
      <c r="A36" s="17">
        <v>43451</v>
      </c>
      <c r="B36" s="18" t="s">
        <v>1404</v>
      </c>
      <c r="C36" s="19" t="s">
        <v>1461</v>
      </c>
      <c r="D36" s="20" t="s">
        <v>1501</v>
      </c>
    </row>
    <row r="37" spans="1:4">
      <c r="A37" s="17"/>
      <c r="B37" s="18" t="s">
        <v>1056</v>
      </c>
      <c r="C37" s="19"/>
      <c r="D37" s="20" t="s">
        <v>1493</v>
      </c>
    </row>
    <row r="38" spans="1:4" ht="27">
      <c r="A38" s="17">
        <v>43454</v>
      </c>
      <c r="B38" s="18" t="s">
        <v>1056</v>
      </c>
      <c r="C38" s="19"/>
      <c r="D38" s="20" t="s">
        <v>1507</v>
      </c>
    </row>
    <row r="39" spans="1:4">
      <c r="A39" s="17">
        <v>43460</v>
      </c>
      <c r="B39" s="18" t="s">
        <v>1056</v>
      </c>
      <c r="C39" s="19"/>
      <c r="D39" s="20" t="s">
        <v>1511</v>
      </c>
    </row>
    <row r="40" spans="1:4" ht="54">
      <c r="A40" s="17">
        <v>43465</v>
      </c>
      <c r="B40" s="18" t="s">
        <v>1404</v>
      </c>
      <c r="C40" s="19"/>
      <c r="D40" s="20" t="s">
        <v>1514</v>
      </c>
    </row>
    <row r="41" spans="1:4" ht="40.5">
      <c r="A41" s="17">
        <v>43475</v>
      </c>
      <c r="B41" s="18" t="s">
        <v>1404</v>
      </c>
      <c r="C41" s="19" t="s">
        <v>1517</v>
      </c>
      <c r="D41" s="20" t="s">
        <v>1518</v>
      </c>
    </row>
    <row r="42" spans="1:4" ht="40.5">
      <c r="A42" s="17">
        <v>43503</v>
      </c>
      <c r="B42" s="18" t="s">
        <v>1051</v>
      </c>
      <c r="C42" s="19" t="s">
        <v>1520</v>
      </c>
      <c r="D42" s="20" t="s">
        <v>1522</v>
      </c>
    </row>
    <row r="43" spans="1:4" ht="81">
      <c r="A43" s="17">
        <v>43507</v>
      </c>
      <c r="B43" s="18" t="s">
        <v>1051</v>
      </c>
      <c r="C43" s="19"/>
      <c r="D43" s="20" t="s">
        <v>1533</v>
      </c>
    </row>
    <row r="44" spans="1:4" ht="27">
      <c r="A44" s="17">
        <v>43510</v>
      </c>
      <c r="B44" s="18" t="s">
        <v>1051</v>
      </c>
      <c r="C44" s="19"/>
      <c r="D44" s="20" t="s">
        <v>1537</v>
      </c>
    </row>
    <row r="45" spans="1:4" ht="27">
      <c r="A45" s="17">
        <v>43516</v>
      </c>
      <c r="B45" s="18" t="s">
        <v>1051</v>
      </c>
      <c r="C45" s="19"/>
      <c r="D45" s="20" t="s">
        <v>1539</v>
      </c>
    </row>
    <row r="46" spans="1:4">
      <c r="A46" s="17">
        <v>43517</v>
      </c>
      <c r="B46" s="18" t="s">
        <v>1051</v>
      </c>
      <c r="C46" s="19"/>
      <c r="D46" s="20" t="s">
        <v>1540</v>
      </c>
    </row>
    <row r="47" spans="1:4" ht="27">
      <c r="A47" s="17">
        <v>43518</v>
      </c>
      <c r="B47" s="18" t="s">
        <v>1051</v>
      </c>
      <c r="C47" s="19"/>
      <c r="D47" s="20" t="s">
        <v>1544</v>
      </c>
    </row>
    <row r="48" spans="1:4">
      <c r="A48" s="17">
        <v>43535</v>
      </c>
      <c r="B48" s="18" t="s">
        <v>1051</v>
      </c>
      <c r="C48" s="19" t="s">
        <v>1545</v>
      </c>
      <c r="D48" s="20" t="s">
        <v>1546</v>
      </c>
    </row>
    <row r="49" spans="1:4" ht="27">
      <c r="A49" s="17">
        <v>43699</v>
      </c>
      <c r="B49" s="18" t="s">
        <v>1050</v>
      </c>
      <c r="C49" s="19" t="s">
        <v>1548</v>
      </c>
      <c r="D49" s="20" t="s">
        <v>1549</v>
      </c>
    </row>
    <row r="50" spans="1:4" ht="40.5">
      <c r="A50" s="17">
        <v>43804</v>
      </c>
      <c r="B50" s="18" t="s">
        <v>1050</v>
      </c>
      <c r="C50" s="19" t="s">
        <v>1550</v>
      </c>
      <c r="D50" s="20" t="s">
        <v>1565</v>
      </c>
    </row>
    <row r="51" spans="1:4">
      <c r="A51" s="17">
        <v>43892</v>
      </c>
      <c r="B51" s="18" t="s">
        <v>1050</v>
      </c>
      <c r="C51" s="19" t="s">
        <v>1570</v>
      </c>
      <c r="D51" s="20" t="s">
        <v>1571</v>
      </c>
    </row>
    <row r="52" spans="1:4" ht="27">
      <c r="A52" s="17">
        <v>43901</v>
      </c>
      <c r="B52" s="18" t="s">
        <v>1050</v>
      </c>
      <c r="C52" s="19" t="s">
        <v>1572</v>
      </c>
      <c r="D52" s="20" t="s">
        <v>1573</v>
      </c>
    </row>
    <row r="53" spans="1:4">
      <c r="A53" s="17">
        <v>43901</v>
      </c>
      <c r="B53" s="18" t="s">
        <v>1050</v>
      </c>
      <c r="C53" s="19" t="s">
        <v>1574</v>
      </c>
      <c r="D53" s="20" t="s">
        <v>1575</v>
      </c>
    </row>
    <row r="54" spans="1:4">
      <c r="A54" s="17">
        <v>43916</v>
      </c>
      <c r="B54" s="18" t="s">
        <v>1050</v>
      </c>
      <c r="C54" s="19" t="s">
        <v>1576</v>
      </c>
      <c r="D54" s="20" t="s">
        <v>1577</v>
      </c>
    </row>
    <row r="55" spans="1:4">
      <c r="A55" s="17">
        <v>43917</v>
      </c>
      <c r="B55" s="18" t="s">
        <v>1050</v>
      </c>
      <c r="C55" s="19" t="s">
        <v>1578</v>
      </c>
      <c r="D55" s="20" t="s">
        <v>1579</v>
      </c>
    </row>
    <row r="56" spans="1:4" ht="27">
      <c r="A56" s="17">
        <v>44202</v>
      </c>
      <c r="B56" s="18" t="s">
        <v>1050</v>
      </c>
      <c r="C56" s="19" t="s">
        <v>1617</v>
      </c>
      <c r="D56" s="20" t="s">
        <v>1618</v>
      </c>
    </row>
    <row r="57" spans="1:4" ht="54">
      <c r="A57" s="17">
        <v>44336</v>
      </c>
      <c r="B57" s="18" t="s">
        <v>1050</v>
      </c>
      <c r="C57" s="19" t="s">
        <v>1635</v>
      </c>
      <c r="D57" s="20" t="s">
        <v>1636</v>
      </c>
    </row>
    <row r="58" spans="1:4" ht="27">
      <c r="A58" s="17">
        <v>44355</v>
      </c>
      <c r="B58" s="18" t="s">
        <v>1050</v>
      </c>
      <c r="C58" s="19" t="s">
        <v>1638</v>
      </c>
      <c r="D58" s="20" t="s">
        <v>1639</v>
      </c>
    </row>
    <row r="59" spans="1:4" ht="27">
      <c r="A59" s="17">
        <v>44393</v>
      </c>
      <c r="B59" s="18" t="s">
        <v>1050</v>
      </c>
      <c r="C59" s="19" t="s">
        <v>1640</v>
      </c>
      <c r="D59" s="20" t="s">
        <v>1641</v>
      </c>
    </row>
    <row r="60" spans="1:4" ht="27">
      <c r="A60" s="17">
        <v>44543</v>
      </c>
      <c r="B60" s="18" t="s">
        <v>1050</v>
      </c>
      <c r="C60" s="19" t="s">
        <v>1643</v>
      </c>
      <c r="D60" s="20" t="s">
        <v>1644</v>
      </c>
    </row>
    <row r="61" spans="1:4" ht="27">
      <c r="A61" s="17">
        <v>44581</v>
      </c>
      <c r="B61" s="18" t="s">
        <v>1050</v>
      </c>
      <c r="C61" s="19" t="s">
        <v>2012</v>
      </c>
      <c r="D61" s="20" t="s">
        <v>2013</v>
      </c>
    </row>
    <row r="62" spans="1:4">
      <c r="A62" s="17">
        <v>44595</v>
      </c>
      <c r="B62" s="18" t="s">
        <v>1050</v>
      </c>
      <c r="C62" s="19" t="s">
        <v>2015</v>
      </c>
      <c r="D62" s="20" t="s">
        <v>2014</v>
      </c>
    </row>
    <row r="63" spans="1:4" ht="40.5">
      <c r="A63" s="17">
        <v>44628</v>
      </c>
      <c r="B63" s="18" t="s">
        <v>1050</v>
      </c>
      <c r="C63" s="19" t="s">
        <v>2016</v>
      </c>
      <c r="D63" s="20" t="s">
        <v>2024</v>
      </c>
    </row>
    <row r="64" spans="1:4" ht="27">
      <c r="A64" s="17">
        <v>44650</v>
      </c>
      <c r="B64" s="18" t="s">
        <v>1050</v>
      </c>
      <c r="C64" s="19" t="s">
        <v>2028</v>
      </c>
      <c r="D64" s="20" t="s">
        <v>2029</v>
      </c>
    </row>
    <row r="65" spans="1:4" ht="40.5">
      <c r="A65" s="17">
        <v>44659</v>
      </c>
      <c r="B65" s="18" t="s">
        <v>1050</v>
      </c>
      <c r="C65" s="19" t="s">
        <v>2051</v>
      </c>
      <c r="D65" s="20" t="s">
        <v>2052</v>
      </c>
    </row>
    <row r="66" spans="1:4" ht="27">
      <c r="A66" s="17">
        <v>44659</v>
      </c>
      <c r="B66" s="18" t="s">
        <v>1050</v>
      </c>
      <c r="C66" s="19" t="s">
        <v>2058</v>
      </c>
      <c r="D66" s="20" t="s">
        <v>2059</v>
      </c>
    </row>
    <row r="67" spans="1:4">
      <c r="A67" s="17">
        <v>44699</v>
      </c>
      <c r="B67" s="18" t="s">
        <v>1050</v>
      </c>
      <c r="C67" s="19" t="s">
        <v>2079</v>
      </c>
      <c r="D67" s="20" t="s">
        <v>2080</v>
      </c>
    </row>
    <row r="68" spans="1:4">
      <c r="A68" s="17">
        <v>44720</v>
      </c>
      <c r="B68" s="18" t="s">
        <v>2081</v>
      </c>
      <c r="C68" s="19" t="s">
        <v>2079</v>
      </c>
      <c r="D68" s="20" t="s">
        <v>2082</v>
      </c>
    </row>
    <row r="69" spans="1:4">
      <c r="A69" s="17">
        <v>44741</v>
      </c>
      <c r="B69" s="18" t="s">
        <v>1050</v>
      </c>
      <c r="C69" s="19" t="s">
        <v>2103</v>
      </c>
      <c r="D69" s="20" t="s">
        <v>2104</v>
      </c>
    </row>
    <row r="70" spans="1:4" ht="27">
      <c r="A70" s="17">
        <v>44866</v>
      </c>
      <c r="B70" s="18" t="s">
        <v>1050</v>
      </c>
      <c r="C70" s="19" t="s">
        <v>2126</v>
      </c>
      <c r="D70" s="20" t="s">
        <v>2129</v>
      </c>
    </row>
    <row r="71" spans="1:4" ht="40.5">
      <c r="A71" s="17">
        <v>44896</v>
      </c>
      <c r="B71" s="18" t="s">
        <v>1050</v>
      </c>
      <c r="C71" s="19" t="s">
        <v>2136</v>
      </c>
      <c r="D71" s="20" t="s">
        <v>2135</v>
      </c>
    </row>
    <row r="72" spans="1:4" ht="40.5">
      <c r="A72" s="17">
        <v>44907</v>
      </c>
      <c r="B72" s="18" t="s">
        <v>1050</v>
      </c>
      <c r="C72" s="19" t="s">
        <v>2141</v>
      </c>
      <c r="D72" s="20" t="s">
        <v>2142</v>
      </c>
    </row>
    <row r="73" spans="1:4">
      <c r="A73" s="17">
        <v>44981</v>
      </c>
      <c r="B73" s="18" t="s">
        <v>1050</v>
      </c>
      <c r="C73" s="19" t="s">
        <v>2152</v>
      </c>
      <c r="D73" s="20" t="s">
        <v>2153</v>
      </c>
    </row>
    <row r="74" spans="1:4">
      <c r="A74" s="17">
        <v>44999</v>
      </c>
      <c r="B74" s="18" t="s">
        <v>1050</v>
      </c>
      <c r="C74" s="19" t="s">
        <v>2159</v>
      </c>
      <c r="D74" s="20" t="s">
        <v>2160</v>
      </c>
    </row>
    <row r="75" spans="1:4">
      <c r="A75" s="17">
        <v>45069</v>
      </c>
      <c r="B75" s="18" t="s">
        <v>1050</v>
      </c>
      <c r="C75" s="19" t="s">
        <v>2161</v>
      </c>
      <c r="D75" s="20" t="s">
        <v>2162</v>
      </c>
    </row>
    <row r="76" spans="1:4" ht="40.5">
      <c r="A76" s="17">
        <v>45179</v>
      </c>
      <c r="B76" s="18" t="s">
        <v>1050</v>
      </c>
      <c r="C76" s="19" t="s">
        <v>2164</v>
      </c>
      <c r="D76" s="20" t="s">
        <v>2165</v>
      </c>
    </row>
    <row r="77" spans="1:4" ht="40.5">
      <c r="A77" s="17">
        <v>45272</v>
      </c>
      <c r="B77" s="18" t="s">
        <v>1050</v>
      </c>
      <c r="C77" s="19" t="s">
        <v>2380</v>
      </c>
      <c r="D77" s="20" t="s">
        <v>2381</v>
      </c>
    </row>
    <row r="78" spans="1:4">
      <c r="A78" s="17">
        <v>45278</v>
      </c>
      <c r="B78" s="18" t="s">
        <v>1050</v>
      </c>
      <c r="C78" s="19" t="s">
        <v>2380</v>
      </c>
      <c r="D78" s="20" t="s">
        <v>2398</v>
      </c>
    </row>
    <row r="79" spans="1:4" ht="27">
      <c r="A79" s="17">
        <v>45393</v>
      </c>
      <c r="B79" s="18" t="s">
        <v>1050</v>
      </c>
      <c r="C79" s="19" t="s">
        <v>2402</v>
      </c>
      <c r="D79" s="20" t="s">
        <v>2404</v>
      </c>
    </row>
    <row r="80" spans="1:4">
      <c r="A80" s="17">
        <v>45446</v>
      </c>
      <c r="B80" s="18" t="s">
        <v>1050</v>
      </c>
      <c r="C80" s="19" t="s">
        <v>2425</v>
      </c>
      <c r="D80" s="20" t="s">
        <v>2424</v>
      </c>
    </row>
    <row r="81" spans="1:4" ht="27">
      <c r="A81" s="17">
        <v>45533</v>
      </c>
      <c r="B81" s="18" t="s">
        <v>1050</v>
      </c>
      <c r="C81" s="19" t="s">
        <v>2430</v>
      </c>
      <c r="D81" s="20" t="s">
        <v>2431</v>
      </c>
    </row>
    <row r="82" spans="1:4" ht="27">
      <c r="A82" s="17">
        <v>45561</v>
      </c>
      <c r="B82" s="18" t="s">
        <v>1050</v>
      </c>
      <c r="C82" s="19" t="s">
        <v>2450</v>
      </c>
      <c r="D82" s="20" t="s">
        <v>2441</v>
      </c>
    </row>
    <row r="83" spans="1:4" ht="27">
      <c r="A83" s="17">
        <v>45568</v>
      </c>
      <c r="B83" s="18" t="s">
        <v>1050</v>
      </c>
      <c r="C83" s="19" t="s">
        <v>2451</v>
      </c>
      <c r="D83" s="20" t="s">
        <v>2452</v>
      </c>
    </row>
    <row r="84" spans="1:4">
      <c r="A84" s="17"/>
      <c r="B84" s="18"/>
      <c r="C84" s="19"/>
      <c r="D84" s="20"/>
    </row>
    <row r="85" spans="1:4">
      <c r="A85" s="17"/>
      <c r="B85" s="18"/>
      <c r="C85" s="19"/>
      <c r="D85" s="20"/>
    </row>
    <row r="86" spans="1:4">
      <c r="A86" s="17"/>
      <c r="B86" s="18"/>
      <c r="C86" s="19"/>
      <c r="D86" s="20"/>
    </row>
    <row r="87" spans="1:4">
      <c r="A87" s="17"/>
      <c r="B87" s="18"/>
      <c r="C87" s="19"/>
      <c r="D87" s="20"/>
    </row>
    <row r="88" spans="1:4">
      <c r="A88" s="17"/>
      <c r="B88" s="18"/>
      <c r="C88" s="19"/>
      <c r="D88" s="20"/>
    </row>
    <row r="89" spans="1:4">
      <c r="A89" s="17"/>
      <c r="B89" s="18"/>
      <c r="C89" s="19"/>
      <c r="D89" s="20"/>
    </row>
    <row r="90" spans="1:4">
      <c r="A90" s="17"/>
      <c r="B90" s="18"/>
      <c r="C90" s="19"/>
      <c r="D90" s="20"/>
    </row>
    <row r="91" spans="1:4">
      <c r="A91" s="17"/>
      <c r="B91" s="18"/>
      <c r="C91" s="19"/>
      <c r="D91" s="20"/>
    </row>
    <row r="92" spans="1:4">
      <c r="A92" s="17"/>
      <c r="B92" s="18"/>
      <c r="C92" s="19"/>
      <c r="D92" s="20"/>
    </row>
    <row r="93" spans="1:4">
      <c r="A93" s="17"/>
      <c r="B93" s="18"/>
      <c r="C93" s="19"/>
      <c r="D93" s="20"/>
    </row>
    <row r="94" spans="1:4">
      <c r="A94" s="17"/>
      <c r="B94" s="18"/>
      <c r="C94" s="19"/>
      <c r="D94" s="20"/>
    </row>
    <row r="95" spans="1:4">
      <c r="A95" s="17"/>
      <c r="B95" s="18"/>
      <c r="C95" s="19"/>
      <c r="D95" s="20"/>
    </row>
    <row r="96" spans="1:4">
      <c r="A96" s="17"/>
      <c r="B96" s="18"/>
      <c r="C96" s="19"/>
      <c r="D96" s="20"/>
    </row>
    <row r="97" spans="1:4">
      <c r="A97" s="17"/>
      <c r="B97" s="18"/>
      <c r="C97" s="19"/>
      <c r="D97" s="20"/>
    </row>
    <row r="98" spans="1:4">
      <c r="A98" s="17"/>
      <c r="B98" s="18"/>
      <c r="C98" s="19"/>
      <c r="D98" s="20"/>
    </row>
    <row r="99" spans="1:4">
      <c r="A99" s="17"/>
      <c r="B99" s="18"/>
      <c r="C99" s="19"/>
      <c r="D99" s="20"/>
    </row>
    <row r="100" spans="1:4">
      <c r="A100" s="17"/>
      <c r="B100" s="18"/>
      <c r="C100" s="19"/>
      <c r="D100" s="20"/>
    </row>
    <row r="101" spans="1:4">
      <c r="A101" s="17"/>
      <c r="B101" s="18"/>
      <c r="C101" s="19"/>
      <c r="D101" s="20"/>
    </row>
    <row r="102" spans="1:4">
      <c r="A102" s="17"/>
      <c r="B102" s="18"/>
      <c r="C102" s="19"/>
      <c r="D102" s="20"/>
    </row>
    <row r="103" spans="1:4">
      <c r="A103" s="17"/>
      <c r="B103" s="18"/>
      <c r="C103" s="19"/>
      <c r="D103" s="20"/>
    </row>
    <row r="104" spans="1:4">
      <c r="A104" s="17"/>
      <c r="B104" s="18"/>
      <c r="C104" s="19"/>
      <c r="D104" s="20"/>
    </row>
    <row r="105" spans="1:4">
      <c r="A105" s="17"/>
      <c r="B105" s="18"/>
      <c r="C105" s="19"/>
      <c r="D105" s="20"/>
    </row>
    <row r="106" spans="1:4">
      <c r="A106" s="17"/>
      <c r="B106" s="18"/>
      <c r="C106" s="19"/>
      <c r="D106" s="20"/>
    </row>
    <row r="107" spans="1:4">
      <c r="A107" s="17"/>
      <c r="B107" s="18"/>
      <c r="C107" s="19"/>
      <c r="D107" s="20"/>
    </row>
    <row r="108" spans="1:4">
      <c r="A108" s="17"/>
      <c r="B108" s="18"/>
      <c r="C108" s="19"/>
      <c r="D108" s="20"/>
    </row>
    <row r="109" spans="1:4">
      <c r="A109" s="17"/>
      <c r="B109" s="18"/>
      <c r="C109" s="19"/>
      <c r="D109" s="20"/>
    </row>
    <row r="110" spans="1:4">
      <c r="A110" s="17"/>
      <c r="B110" s="18"/>
      <c r="C110" s="19"/>
      <c r="D110" s="20"/>
    </row>
    <row r="111" spans="1:4">
      <c r="A111" s="17"/>
      <c r="B111" s="18"/>
      <c r="C111" s="19"/>
      <c r="D111" s="20"/>
    </row>
    <row r="112" spans="1:4">
      <c r="A112" s="17"/>
      <c r="B112" s="18"/>
      <c r="C112" s="19"/>
      <c r="D112" s="20"/>
    </row>
    <row r="113" spans="1:4">
      <c r="A113" s="17"/>
      <c r="B113" s="18"/>
      <c r="C113" s="19"/>
      <c r="D113" s="20"/>
    </row>
    <row r="114" spans="1:4">
      <c r="A114" s="17"/>
      <c r="B114" s="18"/>
      <c r="C114" s="19"/>
      <c r="D114" s="20"/>
    </row>
    <row r="115" spans="1:4">
      <c r="A115" s="17"/>
      <c r="B115" s="18"/>
      <c r="C115" s="19"/>
      <c r="D115" s="20"/>
    </row>
    <row r="116" spans="1:4">
      <c r="A116" s="17"/>
      <c r="B116" s="18"/>
      <c r="C116" s="19"/>
      <c r="D116" s="20"/>
    </row>
    <row r="117" spans="1:4">
      <c r="A117" s="17"/>
      <c r="B117" s="18"/>
      <c r="C117" s="19"/>
      <c r="D117" s="20"/>
    </row>
    <row r="118" spans="1:4">
      <c r="A118" s="17"/>
      <c r="B118" s="18"/>
      <c r="C118" s="19"/>
      <c r="D118" s="20"/>
    </row>
    <row r="119" spans="1:4">
      <c r="A119" s="17"/>
      <c r="B119" s="18"/>
      <c r="C119" s="19"/>
      <c r="D119" s="20"/>
    </row>
    <row r="120" spans="1:4">
      <c r="A120" s="17"/>
      <c r="B120" s="18"/>
      <c r="C120" s="19"/>
      <c r="D120" s="20"/>
    </row>
    <row r="121" spans="1:4">
      <c r="A121" s="17"/>
      <c r="B121" s="18"/>
      <c r="C121" s="19"/>
      <c r="D121" s="20"/>
    </row>
    <row r="122" spans="1:4">
      <c r="A122" s="17"/>
      <c r="B122" s="18"/>
      <c r="C122" s="19"/>
      <c r="D122" s="20"/>
    </row>
    <row r="123" spans="1:4">
      <c r="A123" s="17"/>
      <c r="B123" s="18"/>
      <c r="C123" s="19"/>
      <c r="D123" s="20"/>
    </row>
    <row r="124" spans="1:4">
      <c r="A124" s="17"/>
      <c r="B124" s="18"/>
      <c r="C124" s="19"/>
      <c r="D124" s="20"/>
    </row>
    <row r="125" spans="1:4">
      <c r="A125" s="17"/>
      <c r="B125" s="18"/>
      <c r="C125" s="19"/>
      <c r="D125" s="20"/>
    </row>
    <row r="126" spans="1:4">
      <c r="A126" s="17"/>
      <c r="B126" s="18"/>
      <c r="C126" s="19"/>
      <c r="D126" s="20"/>
    </row>
    <row r="127" spans="1:4">
      <c r="A127" s="17"/>
      <c r="B127" s="18"/>
      <c r="C127" s="19"/>
      <c r="D127" s="20"/>
    </row>
    <row r="128" spans="1:4">
      <c r="A128" s="17"/>
      <c r="B128" s="18"/>
      <c r="C128" s="19"/>
      <c r="D128" s="20"/>
    </row>
    <row r="129" spans="1:4">
      <c r="A129" s="17"/>
      <c r="B129" s="18"/>
      <c r="C129" s="19"/>
      <c r="D129" s="20"/>
    </row>
    <row r="130" spans="1:4">
      <c r="A130" s="17"/>
      <c r="B130" s="18"/>
      <c r="C130" s="19"/>
      <c r="D130" s="20"/>
    </row>
    <row r="131" spans="1:4">
      <c r="A131" s="17"/>
      <c r="B131" s="18"/>
      <c r="C131" s="19"/>
      <c r="D131" s="20"/>
    </row>
    <row r="132" spans="1:4">
      <c r="A132" s="17"/>
      <c r="B132" s="18"/>
      <c r="C132" s="19"/>
      <c r="D132" s="20"/>
    </row>
    <row r="133" spans="1:4">
      <c r="A133" s="17"/>
      <c r="B133" s="18"/>
      <c r="C133" s="19"/>
      <c r="D133" s="20"/>
    </row>
    <row r="134" spans="1:4">
      <c r="A134" s="17"/>
      <c r="B134" s="18"/>
      <c r="C134" s="19"/>
      <c r="D134" s="20"/>
    </row>
    <row r="135" spans="1:4">
      <c r="A135" s="17"/>
      <c r="B135" s="18"/>
      <c r="C135" s="19"/>
      <c r="D135" s="20"/>
    </row>
    <row r="136" spans="1:4">
      <c r="A136" s="17"/>
      <c r="B136" s="18"/>
      <c r="C136" s="19"/>
      <c r="D136" s="20"/>
    </row>
    <row r="137" spans="1:4">
      <c r="A137" s="17"/>
      <c r="B137" s="18"/>
      <c r="C137" s="19"/>
      <c r="D137" s="20"/>
    </row>
    <row r="138" spans="1:4">
      <c r="A138" s="17"/>
      <c r="B138" s="18"/>
      <c r="C138" s="19"/>
      <c r="D138" s="20"/>
    </row>
    <row r="139" spans="1:4">
      <c r="A139" s="17"/>
      <c r="B139" s="18"/>
      <c r="C139" s="19"/>
      <c r="D139" s="20"/>
    </row>
    <row r="140" spans="1:4">
      <c r="A140" s="17"/>
      <c r="B140" s="18"/>
      <c r="C140" s="19"/>
      <c r="D140" s="20"/>
    </row>
    <row r="141" spans="1:4">
      <c r="A141" s="17"/>
      <c r="B141" s="18"/>
      <c r="C141" s="19"/>
      <c r="D141" s="20"/>
    </row>
    <row r="142" spans="1:4">
      <c r="A142" s="17"/>
      <c r="B142" s="18"/>
      <c r="C142" s="19"/>
      <c r="D142" s="20"/>
    </row>
    <row r="143" spans="1:4">
      <c r="A143" s="17"/>
      <c r="B143" s="18"/>
      <c r="C143" s="19"/>
      <c r="D143" s="20"/>
    </row>
    <row r="144" spans="1:4">
      <c r="A144" s="17"/>
      <c r="B144" s="18"/>
      <c r="C144" s="19"/>
      <c r="D144" s="20"/>
    </row>
    <row r="145" spans="1:4">
      <c r="A145" s="17"/>
      <c r="B145" s="18"/>
      <c r="C145" s="19"/>
      <c r="D145" s="20"/>
    </row>
    <row r="146" spans="1:4">
      <c r="A146" s="17"/>
      <c r="B146" s="18"/>
      <c r="C146" s="19"/>
      <c r="D146" s="20"/>
    </row>
    <row r="147" spans="1:4">
      <c r="A147" s="17"/>
      <c r="B147" s="18"/>
      <c r="C147" s="19"/>
      <c r="D147" s="20"/>
    </row>
    <row r="148" spans="1:4">
      <c r="A148" s="17"/>
      <c r="B148" s="18"/>
      <c r="C148" s="19"/>
      <c r="D148" s="20"/>
    </row>
    <row r="149" spans="1:4">
      <c r="A149" s="17"/>
      <c r="B149" s="18"/>
      <c r="C149" s="19"/>
      <c r="D149" s="20"/>
    </row>
    <row r="150" spans="1:4">
      <c r="A150" s="17"/>
      <c r="B150" s="18"/>
      <c r="C150" s="19"/>
      <c r="D150" s="20"/>
    </row>
    <row r="151" spans="1:4">
      <c r="A151" s="17"/>
      <c r="B151" s="18"/>
      <c r="C151" s="19"/>
      <c r="D151" s="20"/>
    </row>
    <row r="152" spans="1:4">
      <c r="A152" s="17"/>
      <c r="B152" s="18"/>
      <c r="C152" s="19"/>
      <c r="D152" s="20"/>
    </row>
    <row r="153" spans="1:4">
      <c r="A153" s="17"/>
      <c r="B153" s="18"/>
      <c r="C153" s="19"/>
      <c r="D153" s="20"/>
    </row>
    <row r="154" spans="1:4">
      <c r="A154" s="17"/>
      <c r="B154" s="18"/>
      <c r="C154" s="19"/>
      <c r="D154" s="20"/>
    </row>
    <row r="155" spans="1:4">
      <c r="A155" s="17"/>
      <c r="B155" s="18"/>
      <c r="C155" s="19"/>
      <c r="D155" s="20"/>
    </row>
    <row r="156" spans="1:4">
      <c r="A156" s="17"/>
      <c r="B156" s="18"/>
      <c r="C156" s="19"/>
      <c r="D156" s="20"/>
    </row>
    <row r="157" spans="1:4">
      <c r="A157" s="17"/>
      <c r="B157" s="18"/>
      <c r="C157" s="19"/>
      <c r="D157" s="20"/>
    </row>
    <row r="158" spans="1:4">
      <c r="A158" s="17"/>
      <c r="B158" s="18"/>
      <c r="C158" s="19"/>
      <c r="D158" s="20"/>
    </row>
    <row r="159" spans="1:4">
      <c r="A159" s="17"/>
      <c r="B159" s="18"/>
      <c r="C159" s="19"/>
      <c r="D159" s="20"/>
    </row>
    <row r="160" spans="1:4">
      <c r="A160" s="17"/>
      <c r="B160" s="18"/>
      <c r="C160" s="19"/>
      <c r="D160" s="20"/>
    </row>
    <row r="161" spans="1:4">
      <c r="A161" s="17"/>
      <c r="B161" s="18"/>
      <c r="C161" s="19"/>
      <c r="D161" s="20"/>
    </row>
    <row r="162" spans="1:4">
      <c r="A162" s="17"/>
      <c r="B162" s="18"/>
      <c r="C162" s="19"/>
      <c r="D162" s="20"/>
    </row>
    <row r="163" spans="1:4">
      <c r="A163" s="17"/>
      <c r="B163" s="18"/>
      <c r="C163" s="19"/>
      <c r="D163" s="20"/>
    </row>
    <row r="164" spans="1:4">
      <c r="A164" s="17"/>
      <c r="B164" s="18"/>
      <c r="C164" s="19"/>
      <c r="D164" s="20"/>
    </row>
    <row r="165" spans="1:4">
      <c r="A165" s="17"/>
      <c r="B165" s="18"/>
      <c r="C165" s="19"/>
      <c r="D165" s="20"/>
    </row>
    <row r="166" spans="1:4">
      <c r="A166" s="17"/>
      <c r="B166" s="18"/>
      <c r="C166" s="19"/>
      <c r="D166" s="20"/>
    </row>
    <row r="167" spans="1:4">
      <c r="A167" s="17"/>
      <c r="B167" s="18"/>
      <c r="C167" s="19"/>
      <c r="D167" s="20"/>
    </row>
    <row r="168" spans="1:4">
      <c r="A168" s="17"/>
      <c r="B168" s="18"/>
      <c r="C168" s="19"/>
      <c r="D168" s="20"/>
    </row>
    <row r="169" spans="1:4">
      <c r="A169" s="17"/>
      <c r="B169" s="18"/>
      <c r="C169" s="19"/>
      <c r="D169" s="20"/>
    </row>
    <row r="170" spans="1:4">
      <c r="A170" s="17"/>
      <c r="B170" s="18"/>
      <c r="C170" s="19"/>
      <c r="D170" s="20"/>
    </row>
    <row r="171" spans="1:4">
      <c r="A171" s="17"/>
      <c r="B171" s="18"/>
      <c r="C171" s="19"/>
      <c r="D171" s="20"/>
    </row>
    <row r="172" spans="1:4">
      <c r="A172" s="17"/>
      <c r="B172" s="18"/>
      <c r="C172" s="19"/>
      <c r="D172" s="20"/>
    </row>
    <row r="173" spans="1:4">
      <c r="A173" s="17"/>
      <c r="B173" s="18"/>
      <c r="C173" s="19"/>
      <c r="D173" s="20"/>
    </row>
    <row r="174" spans="1:4">
      <c r="A174" s="17"/>
      <c r="B174" s="18"/>
      <c r="C174" s="19"/>
      <c r="D174" s="20"/>
    </row>
    <row r="175" spans="1:4">
      <c r="A175" s="17"/>
      <c r="B175" s="18"/>
      <c r="C175" s="19"/>
      <c r="D175" s="20"/>
    </row>
    <row r="176" spans="1:4">
      <c r="A176" s="17"/>
      <c r="B176" s="18"/>
      <c r="C176" s="19"/>
      <c r="D176" s="20"/>
    </row>
    <row r="177" spans="1:4">
      <c r="A177" s="17"/>
      <c r="B177" s="18"/>
      <c r="C177" s="19"/>
      <c r="D177" s="20"/>
    </row>
    <row r="178" spans="1:4">
      <c r="A178" s="17"/>
      <c r="B178" s="18"/>
      <c r="C178" s="19"/>
      <c r="D178" s="20"/>
    </row>
    <row r="179" spans="1:4">
      <c r="A179" s="17"/>
      <c r="B179" s="18"/>
      <c r="C179" s="19"/>
      <c r="D179" s="20"/>
    </row>
    <row r="180" spans="1:4">
      <c r="A180" s="17"/>
      <c r="B180" s="18"/>
      <c r="C180" s="19"/>
      <c r="D180" s="20"/>
    </row>
    <row r="181" spans="1:4">
      <c r="A181" s="17"/>
      <c r="B181" s="18"/>
      <c r="C181" s="19"/>
      <c r="D181" s="20"/>
    </row>
    <row r="182" spans="1:4">
      <c r="A182" s="17"/>
      <c r="B182" s="18"/>
      <c r="C182" s="19"/>
      <c r="D182" s="20"/>
    </row>
    <row r="183" spans="1:4">
      <c r="A183" s="17"/>
      <c r="B183" s="18"/>
      <c r="C183" s="19"/>
      <c r="D183" s="20"/>
    </row>
    <row r="184" spans="1:4">
      <c r="A184" s="17"/>
      <c r="B184" s="18"/>
      <c r="C184" s="19"/>
      <c r="D184" s="20"/>
    </row>
    <row r="185" spans="1:4">
      <c r="A185" s="17"/>
      <c r="B185" s="18"/>
      <c r="C185" s="19"/>
      <c r="D185" s="20"/>
    </row>
    <row r="186" spans="1:4">
      <c r="A186" s="17"/>
      <c r="B186" s="18"/>
      <c r="C186" s="19"/>
      <c r="D186" s="20"/>
    </row>
    <row r="187" spans="1:4">
      <c r="A187" s="17"/>
      <c r="B187" s="18"/>
      <c r="C187" s="19"/>
      <c r="D187" s="20"/>
    </row>
    <row r="188" spans="1:4">
      <c r="A188" s="17"/>
      <c r="B188" s="18"/>
      <c r="C188" s="19"/>
      <c r="D188" s="20"/>
    </row>
    <row r="189" spans="1:4">
      <c r="A189" s="17"/>
      <c r="B189" s="18"/>
      <c r="C189" s="19"/>
      <c r="D189" s="20"/>
    </row>
    <row r="190" spans="1:4">
      <c r="A190" s="17"/>
      <c r="B190" s="18"/>
      <c r="C190" s="19"/>
      <c r="D190" s="20"/>
    </row>
    <row r="191" spans="1:4">
      <c r="A191" s="17"/>
      <c r="B191" s="18"/>
      <c r="C191" s="19"/>
      <c r="D191" s="20"/>
    </row>
    <row r="192" spans="1:4">
      <c r="A192" s="17"/>
      <c r="B192" s="18"/>
      <c r="C192" s="19"/>
      <c r="D192" s="20"/>
    </row>
    <row r="193" spans="1:4">
      <c r="A193" s="17"/>
      <c r="B193" s="18"/>
      <c r="C193" s="19"/>
      <c r="D193" s="20"/>
    </row>
    <row r="194" spans="1:4">
      <c r="A194" s="17"/>
      <c r="B194" s="18"/>
      <c r="C194" s="19"/>
      <c r="D194" s="20"/>
    </row>
    <row r="195" spans="1:4">
      <c r="A195" s="17"/>
      <c r="B195" s="18"/>
      <c r="C195" s="19"/>
      <c r="D195" s="20"/>
    </row>
    <row r="196" spans="1:4">
      <c r="A196" s="17"/>
      <c r="B196" s="18"/>
      <c r="C196" s="19"/>
      <c r="D196" s="20"/>
    </row>
    <row r="197" spans="1:4">
      <c r="A197" s="17"/>
      <c r="B197" s="18"/>
      <c r="C197" s="19"/>
      <c r="D197" s="20"/>
    </row>
    <row r="198" spans="1:4">
      <c r="A198" s="17"/>
      <c r="B198" s="18"/>
      <c r="C198" s="19"/>
      <c r="D198" s="20"/>
    </row>
    <row r="199" spans="1:4">
      <c r="A199" s="17"/>
      <c r="B199" s="18"/>
      <c r="C199" s="19"/>
      <c r="D199" s="20"/>
    </row>
    <row r="200" spans="1:4">
      <c r="A200" s="17"/>
      <c r="B200" s="18"/>
      <c r="C200" s="19"/>
      <c r="D200" s="20"/>
    </row>
    <row r="201" spans="1:4">
      <c r="A201" s="17"/>
      <c r="B201" s="18"/>
      <c r="C201" s="19"/>
      <c r="D201" s="20"/>
    </row>
    <row r="202" spans="1:4">
      <c r="A202" s="17"/>
      <c r="B202" s="18"/>
      <c r="C202" s="19"/>
      <c r="D202" s="20"/>
    </row>
    <row r="203" spans="1:4">
      <c r="A203" s="17"/>
      <c r="B203" s="18"/>
      <c r="C203" s="19"/>
      <c r="D203" s="20"/>
    </row>
    <row r="204" spans="1:4">
      <c r="A204" s="17"/>
      <c r="B204" s="18"/>
      <c r="C204" s="19"/>
      <c r="D204" s="20"/>
    </row>
    <row r="205" spans="1:4">
      <c r="A205" s="17"/>
      <c r="B205" s="18"/>
      <c r="C205" s="19"/>
      <c r="D205" s="20"/>
    </row>
    <row r="206" spans="1:4">
      <c r="A206" s="17"/>
      <c r="B206" s="18"/>
      <c r="C206" s="19"/>
      <c r="D206" s="20"/>
    </row>
    <row r="207" spans="1:4">
      <c r="A207" s="17"/>
      <c r="B207" s="18"/>
      <c r="C207" s="19"/>
      <c r="D207" s="20"/>
    </row>
    <row r="208" spans="1:4">
      <c r="A208" s="17"/>
      <c r="B208" s="18"/>
      <c r="C208" s="19"/>
      <c r="D208" s="20"/>
    </row>
    <row r="209" spans="1:4">
      <c r="A209" s="17"/>
      <c r="B209" s="18"/>
      <c r="C209" s="19"/>
      <c r="D209" s="20"/>
    </row>
    <row r="210" spans="1:4">
      <c r="A210" s="17"/>
      <c r="B210" s="18"/>
      <c r="C210" s="19"/>
      <c r="D210" s="20"/>
    </row>
    <row r="211" spans="1:4">
      <c r="A211" s="17"/>
      <c r="B211" s="18"/>
      <c r="C211" s="19"/>
      <c r="D211" s="20"/>
    </row>
    <row r="212" spans="1:4">
      <c r="A212" s="17"/>
      <c r="B212" s="18"/>
      <c r="C212" s="19"/>
      <c r="D212" s="20"/>
    </row>
    <row r="213" spans="1:4">
      <c r="A213" s="17"/>
      <c r="B213" s="18"/>
      <c r="C213" s="19"/>
      <c r="D213" s="20"/>
    </row>
    <row r="214" spans="1:4">
      <c r="A214" s="17"/>
      <c r="B214" s="18"/>
      <c r="C214" s="19"/>
      <c r="D214" s="20"/>
    </row>
    <row r="215" spans="1:4">
      <c r="A215" s="17"/>
      <c r="B215" s="18"/>
      <c r="C215" s="19"/>
      <c r="D215" s="20"/>
    </row>
    <row r="216" spans="1:4">
      <c r="A216" s="17"/>
      <c r="B216" s="18"/>
      <c r="C216" s="19"/>
      <c r="D216" s="20"/>
    </row>
    <row r="217" spans="1:4">
      <c r="A217" s="17"/>
      <c r="B217" s="18"/>
      <c r="C217" s="19"/>
      <c r="D217" s="20"/>
    </row>
    <row r="218" spans="1:4">
      <c r="A218" s="17"/>
      <c r="B218" s="18"/>
      <c r="C218" s="19"/>
      <c r="D218" s="20"/>
    </row>
    <row r="219" spans="1:4">
      <c r="A219" s="17"/>
      <c r="B219" s="18"/>
      <c r="C219" s="19"/>
      <c r="D219" s="20"/>
    </row>
    <row r="220" spans="1:4">
      <c r="A220" s="17"/>
      <c r="B220" s="18"/>
      <c r="C220" s="19"/>
      <c r="D220" s="20"/>
    </row>
    <row r="221" spans="1:4">
      <c r="A221" s="17"/>
      <c r="B221" s="18"/>
      <c r="C221" s="19"/>
      <c r="D221" s="20"/>
    </row>
    <row r="222" spans="1:4">
      <c r="A222" s="17"/>
      <c r="B222" s="18"/>
      <c r="C222" s="19"/>
      <c r="D222" s="20"/>
    </row>
    <row r="223" spans="1:4">
      <c r="A223" s="17"/>
      <c r="B223" s="18"/>
      <c r="C223" s="19"/>
      <c r="D223" s="20"/>
    </row>
    <row r="224" spans="1:4">
      <c r="A224" s="17"/>
      <c r="B224" s="18"/>
      <c r="C224" s="19"/>
      <c r="D224" s="20"/>
    </row>
    <row r="225" spans="1:4">
      <c r="A225" s="17"/>
      <c r="B225" s="18"/>
      <c r="C225" s="19"/>
      <c r="D225" s="20"/>
    </row>
    <row r="226" spans="1:4">
      <c r="A226" s="17"/>
      <c r="B226" s="18"/>
      <c r="C226" s="19"/>
      <c r="D226" s="20"/>
    </row>
    <row r="227" spans="1:4">
      <c r="A227" s="17"/>
      <c r="B227" s="18"/>
      <c r="C227" s="19"/>
      <c r="D227" s="20"/>
    </row>
    <row r="228" spans="1:4">
      <c r="A228" s="17"/>
      <c r="B228" s="18"/>
      <c r="C228" s="19"/>
      <c r="D228" s="20"/>
    </row>
    <row r="229" spans="1:4">
      <c r="A229" s="17"/>
      <c r="B229" s="18"/>
      <c r="C229" s="19"/>
      <c r="D229" s="20"/>
    </row>
    <row r="230" spans="1:4">
      <c r="A230" s="17"/>
      <c r="B230" s="18"/>
      <c r="C230" s="19"/>
      <c r="D230" s="20"/>
    </row>
    <row r="231" spans="1:4">
      <c r="A231" s="17"/>
      <c r="B231" s="18"/>
      <c r="C231" s="19"/>
      <c r="D231" s="20"/>
    </row>
    <row r="232" spans="1:4">
      <c r="A232" s="17"/>
      <c r="B232" s="18"/>
      <c r="C232" s="19"/>
      <c r="D232" s="20"/>
    </row>
    <row r="233" spans="1:4">
      <c r="A233" s="17"/>
      <c r="B233" s="18"/>
      <c r="C233" s="19"/>
      <c r="D233" s="20"/>
    </row>
    <row r="234" spans="1:4">
      <c r="A234" s="17"/>
      <c r="B234" s="18"/>
      <c r="C234" s="19"/>
      <c r="D234" s="20"/>
    </row>
    <row r="235" spans="1:4">
      <c r="A235" s="17"/>
      <c r="B235" s="18"/>
      <c r="C235" s="19"/>
      <c r="D235" s="20"/>
    </row>
    <row r="236" spans="1:4">
      <c r="A236" s="17"/>
      <c r="B236" s="18"/>
      <c r="C236" s="19"/>
      <c r="D236" s="20"/>
    </row>
    <row r="237" spans="1:4">
      <c r="A237" s="17"/>
      <c r="B237" s="18"/>
      <c r="C237" s="19"/>
      <c r="D237" s="20"/>
    </row>
    <row r="238" spans="1:4">
      <c r="A238" s="17"/>
      <c r="B238" s="18"/>
      <c r="C238" s="19"/>
      <c r="D238" s="20"/>
    </row>
    <row r="239" spans="1:4">
      <c r="A239" s="17"/>
      <c r="B239" s="18"/>
      <c r="C239" s="19"/>
      <c r="D239" s="20"/>
    </row>
    <row r="240" spans="1:4">
      <c r="A240" s="17"/>
      <c r="B240" s="18"/>
      <c r="C240" s="19"/>
      <c r="D240" s="20"/>
    </row>
    <row r="241" spans="1:4">
      <c r="A241" s="17"/>
      <c r="B241" s="18"/>
      <c r="C241" s="19"/>
      <c r="D241" s="20"/>
    </row>
    <row r="242" spans="1:4">
      <c r="A242" s="17"/>
      <c r="B242" s="18"/>
      <c r="C242" s="19"/>
      <c r="D242" s="20"/>
    </row>
    <row r="243" spans="1:4">
      <c r="A243" s="17"/>
      <c r="B243" s="18"/>
      <c r="C243" s="19"/>
      <c r="D243" s="20"/>
    </row>
    <row r="244" spans="1:4">
      <c r="A244" s="17"/>
      <c r="B244" s="18"/>
      <c r="C244" s="19"/>
      <c r="D244" s="20"/>
    </row>
    <row r="245" spans="1:4">
      <c r="A245" s="17"/>
      <c r="B245" s="18"/>
      <c r="C245" s="19"/>
      <c r="D245" s="20"/>
    </row>
    <row r="246" spans="1:4">
      <c r="A246" s="17"/>
      <c r="B246" s="18"/>
      <c r="C246" s="19"/>
      <c r="D246" s="20"/>
    </row>
    <row r="247" spans="1:4">
      <c r="A247" s="17"/>
      <c r="B247" s="18"/>
      <c r="C247" s="19"/>
      <c r="D247" s="20"/>
    </row>
    <row r="248" spans="1:4">
      <c r="A248" s="17"/>
      <c r="B248" s="18"/>
      <c r="C248" s="19"/>
      <c r="D248" s="20"/>
    </row>
    <row r="249" spans="1:4">
      <c r="A249" s="17"/>
      <c r="B249" s="18"/>
      <c r="C249" s="19"/>
      <c r="D249" s="20"/>
    </row>
    <row r="250" spans="1:4">
      <c r="A250" s="17"/>
      <c r="B250" s="18"/>
      <c r="C250" s="19"/>
      <c r="D250" s="20"/>
    </row>
    <row r="251" spans="1:4">
      <c r="A251" s="17"/>
      <c r="B251" s="18"/>
      <c r="C251" s="19"/>
      <c r="D251" s="20"/>
    </row>
    <row r="252" spans="1:4">
      <c r="A252" s="17"/>
      <c r="B252" s="18"/>
      <c r="C252" s="19"/>
      <c r="D252" s="20"/>
    </row>
    <row r="253" spans="1:4">
      <c r="A253" s="17"/>
      <c r="B253" s="18"/>
      <c r="C253" s="19"/>
      <c r="D253" s="20"/>
    </row>
    <row r="254" spans="1:4">
      <c r="A254" s="17"/>
      <c r="B254" s="18"/>
      <c r="C254" s="19"/>
      <c r="D254" s="20"/>
    </row>
    <row r="255" spans="1:4">
      <c r="A255" s="17"/>
      <c r="B255" s="18"/>
      <c r="C255" s="19"/>
      <c r="D255" s="20"/>
    </row>
    <row r="256" spans="1:4">
      <c r="A256" s="17"/>
      <c r="B256" s="18"/>
      <c r="C256" s="19"/>
      <c r="D256" s="20"/>
    </row>
    <row r="257" spans="1:4">
      <c r="A257" s="17"/>
      <c r="B257" s="18"/>
      <c r="C257" s="19"/>
      <c r="D257" s="20"/>
    </row>
    <row r="258" spans="1:4">
      <c r="A258" s="17"/>
      <c r="B258" s="18"/>
      <c r="C258" s="19"/>
      <c r="D258" s="20"/>
    </row>
    <row r="259" spans="1:4">
      <c r="A259" s="17"/>
      <c r="B259" s="18"/>
      <c r="C259" s="19"/>
      <c r="D259" s="20"/>
    </row>
    <row r="260" spans="1:4">
      <c r="A260" s="17"/>
      <c r="B260" s="18"/>
      <c r="C260" s="19"/>
      <c r="D260" s="20"/>
    </row>
    <row r="261" spans="1:4">
      <c r="A261" s="17"/>
      <c r="B261" s="18"/>
      <c r="C261" s="19"/>
      <c r="D261" s="20"/>
    </row>
    <row r="262" spans="1:4">
      <c r="A262" s="17"/>
      <c r="B262" s="18"/>
      <c r="C262" s="19"/>
      <c r="D262" s="20"/>
    </row>
    <row r="263" spans="1:4">
      <c r="A263" s="17"/>
      <c r="B263" s="18"/>
      <c r="C263" s="19"/>
      <c r="D263" s="20"/>
    </row>
    <row r="264" spans="1:4">
      <c r="A264" s="17"/>
      <c r="B264" s="18"/>
      <c r="C264" s="19"/>
      <c r="D264" s="20"/>
    </row>
    <row r="265" spans="1:4">
      <c r="A265" s="17"/>
      <c r="B265" s="18"/>
      <c r="C265" s="19"/>
      <c r="D265" s="20"/>
    </row>
    <row r="266" spans="1:4">
      <c r="A266" s="17"/>
      <c r="B266" s="18"/>
      <c r="C266" s="19"/>
      <c r="D266" s="20"/>
    </row>
    <row r="267" spans="1:4">
      <c r="A267" s="17"/>
      <c r="B267" s="18"/>
      <c r="C267" s="19"/>
      <c r="D267" s="20"/>
    </row>
    <row r="268" spans="1:4">
      <c r="A268" s="17"/>
      <c r="B268" s="18"/>
      <c r="C268" s="19"/>
      <c r="D268" s="20"/>
    </row>
    <row r="269" spans="1:4">
      <c r="A269" s="17"/>
      <c r="B269" s="18"/>
      <c r="C269" s="19"/>
      <c r="D269" s="20"/>
    </row>
    <row r="270" spans="1:4">
      <c r="A270" s="17"/>
      <c r="B270" s="18"/>
      <c r="C270" s="19"/>
      <c r="D270" s="20"/>
    </row>
    <row r="271" spans="1:4">
      <c r="A271" s="17"/>
      <c r="B271" s="18"/>
      <c r="C271" s="19"/>
      <c r="D271" s="20"/>
    </row>
    <row r="272" spans="1:4">
      <c r="A272" s="17"/>
      <c r="B272" s="18"/>
      <c r="C272" s="19"/>
      <c r="D272" s="20"/>
    </row>
    <row r="273" spans="1:4">
      <c r="A273" s="17"/>
      <c r="B273" s="18"/>
      <c r="C273" s="19"/>
      <c r="D273" s="20"/>
    </row>
    <row r="274" spans="1:4">
      <c r="A274" s="17"/>
      <c r="B274" s="18"/>
      <c r="C274" s="19"/>
      <c r="D274" s="20"/>
    </row>
    <row r="275" spans="1:4">
      <c r="A275" s="17"/>
      <c r="B275" s="18"/>
      <c r="C275" s="19"/>
      <c r="D275" s="20"/>
    </row>
    <row r="276" spans="1:4">
      <c r="A276" s="17"/>
      <c r="B276" s="18"/>
      <c r="C276" s="19"/>
      <c r="D276" s="20"/>
    </row>
    <row r="277" spans="1:4">
      <c r="A277" s="17"/>
      <c r="B277" s="18"/>
      <c r="C277" s="19"/>
      <c r="D277" s="20"/>
    </row>
    <row r="278" spans="1:4">
      <c r="A278" s="17"/>
      <c r="B278" s="18"/>
      <c r="C278" s="19"/>
      <c r="D278" s="20"/>
    </row>
    <row r="279" spans="1:4">
      <c r="A279" s="17"/>
      <c r="B279" s="18"/>
      <c r="C279" s="19"/>
      <c r="D279" s="20"/>
    </row>
    <row r="280" spans="1:4">
      <c r="A280" s="17"/>
      <c r="B280" s="18"/>
      <c r="C280" s="19"/>
      <c r="D280" s="20"/>
    </row>
    <row r="281" spans="1:4">
      <c r="A281" s="17"/>
      <c r="B281" s="18"/>
      <c r="C281" s="19"/>
      <c r="D281" s="20"/>
    </row>
    <row r="282" spans="1:4">
      <c r="A282" s="17"/>
      <c r="B282" s="18"/>
      <c r="C282" s="19"/>
      <c r="D282" s="20"/>
    </row>
    <row r="283" spans="1:4">
      <c r="A283" s="17"/>
      <c r="B283" s="18"/>
      <c r="C283" s="19"/>
      <c r="D283" s="20"/>
    </row>
    <row r="284" spans="1:4">
      <c r="A284" s="17"/>
      <c r="B284" s="18"/>
      <c r="C284" s="19"/>
      <c r="D284" s="20"/>
    </row>
    <row r="285" spans="1:4">
      <c r="A285" s="17"/>
      <c r="B285" s="18"/>
      <c r="C285" s="19"/>
      <c r="D285" s="20"/>
    </row>
    <row r="286" spans="1:4">
      <c r="A286" s="17"/>
      <c r="B286" s="18"/>
      <c r="C286" s="19"/>
      <c r="D286" s="20"/>
    </row>
    <row r="287" spans="1:4">
      <c r="A287" s="17"/>
      <c r="B287" s="18"/>
      <c r="C287" s="19"/>
      <c r="D287" s="20"/>
    </row>
    <row r="288" spans="1:4">
      <c r="A288" s="17"/>
      <c r="B288" s="18"/>
      <c r="C288" s="19"/>
      <c r="D288" s="20"/>
    </row>
    <row r="289" spans="1:4">
      <c r="A289" s="17"/>
      <c r="B289" s="18"/>
      <c r="C289" s="19"/>
      <c r="D289" s="20"/>
    </row>
    <row r="290" spans="1:4">
      <c r="A290" s="17"/>
      <c r="B290" s="18"/>
      <c r="C290" s="19"/>
      <c r="D290" s="20"/>
    </row>
    <row r="291" spans="1:4">
      <c r="A291" s="17"/>
      <c r="B291" s="18"/>
      <c r="C291" s="19"/>
      <c r="D291" s="20"/>
    </row>
    <row r="292" spans="1:4">
      <c r="A292" s="17"/>
      <c r="B292" s="18"/>
      <c r="C292" s="19"/>
      <c r="D292" s="20"/>
    </row>
    <row r="293" spans="1:4">
      <c r="A293" s="17"/>
      <c r="B293" s="18"/>
      <c r="C293" s="19"/>
      <c r="D293" s="20"/>
    </row>
    <row r="294" spans="1:4">
      <c r="A294" s="17"/>
      <c r="B294" s="18"/>
      <c r="C294" s="19"/>
      <c r="D294" s="20"/>
    </row>
    <row r="295" spans="1:4">
      <c r="A295" s="17"/>
      <c r="B295" s="18"/>
      <c r="C295" s="19"/>
      <c r="D295" s="20"/>
    </row>
    <row r="296" spans="1:4">
      <c r="A296" s="17"/>
      <c r="B296" s="18"/>
      <c r="C296" s="19"/>
      <c r="D296" s="20"/>
    </row>
    <row r="297" spans="1:4">
      <c r="A297" s="17"/>
      <c r="B297" s="18"/>
      <c r="C297" s="19"/>
      <c r="D297" s="20"/>
    </row>
    <row r="298" spans="1:4">
      <c r="A298" s="17"/>
      <c r="B298" s="18"/>
      <c r="C298" s="19"/>
      <c r="D298" s="20"/>
    </row>
    <row r="299" spans="1:4">
      <c r="A299" s="17"/>
      <c r="B299" s="18"/>
      <c r="C299" s="19"/>
      <c r="D299" s="20"/>
    </row>
    <row r="300" spans="1:4">
      <c r="A300" s="17"/>
      <c r="B300" s="18"/>
      <c r="C300" s="19"/>
      <c r="D300" s="20"/>
    </row>
  </sheetData>
  <sheetProtection algorithmName="SHA-512" hashValue="J1QamRf4sp9pUqfRlQurJFxNaKXqkx5KS3zJhbJJ2Rqn8zfJjz1pP6nWqdE78GUYJWjsjHSgC3Y/TktiK3gJzw==" saltValue="Cg9dLil1+jXyFjI4yMqg8Q==" spinCount="100000" sheet="1" objects="1" scenarios="1"/>
  <mergeCells count="1">
    <mergeCell ref="A1:D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8A8B7-0ED0-423D-93F2-BAE826F10989}">
  <sheetPr codeName="Sheet4"/>
  <dimension ref="A1:AS202"/>
  <sheetViews>
    <sheetView showGridLines="0" showRowColHeaders="0" zoomScale="85" zoomScaleNormal="85" workbookViewId="0">
      <selection activeCell="C6" sqref="C6"/>
    </sheetView>
  </sheetViews>
  <sheetFormatPr defaultColWidth="0" defaultRowHeight="15" zeroHeight="1"/>
  <cols>
    <col min="1" max="45" width="4.7109375" customWidth="1"/>
    <col min="46" max="16384" width="9.140625" hidden="1"/>
  </cols>
  <sheetData>
    <row r="1" spans="34:44" ht="15.95" customHeight="1">
      <c r="AH1" s="670" t="s">
        <v>471</v>
      </c>
      <c r="AI1" s="671"/>
      <c r="AJ1" s="671"/>
      <c r="AK1" s="672"/>
      <c r="AL1" s="664" t="s">
        <v>736</v>
      </c>
      <c r="AM1" s="665"/>
      <c r="AN1" s="665"/>
      <c r="AO1" s="665"/>
      <c r="AP1" s="666"/>
      <c r="AQ1" s="658" t="s">
        <v>474</v>
      </c>
      <c r="AR1" s="659"/>
    </row>
    <row r="2" spans="34:44" ht="15.95" customHeight="1">
      <c r="AH2" s="673" t="str">
        <f ca="1">INCENSTATUS</f>
        <v>---</v>
      </c>
      <c r="AI2" s="674"/>
      <c r="AJ2" s="674"/>
      <c r="AK2" s="674"/>
      <c r="AL2" s="667" t="str">
        <f ca="1">PROJSTATUS</f>
        <v>Enter Measures</v>
      </c>
      <c r="AM2" s="667"/>
      <c r="AN2" s="667"/>
      <c r="AO2" s="667"/>
      <c r="AP2" s="667"/>
      <c r="AQ2" s="660">
        <f ca="1">PROGRESSSTATUS</f>
        <v>2.8985507246376812E-2</v>
      </c>
      <c r="AR2" s="661"/>
    </row>
    <row r="3" spans="34:44" ht="15.95" customHeight="1">
      <c r="AH3" s="675"/>
      <c r="AI3" s="676"/>
      <c r="AJ3" s="676"/>
      <c r="AK3" s="676"/>
      <c r="AL3" s="668"/>
      <c r="AM3" s="668"/>
      <c r="AN3" s="668"/>
      <c r="AO3" s="668"/>
      <c r="AP3" s="668"/>
      <c r="AQ3" s="662"/>
      <c r="AR3" s="663"/>
    </row>
    <row r="4" spans="34:44" ht="15.95" customHeight="1">
      <c r="AR4" s="171"/>
    </row>
    <row r="5" spans="34:44" ht="15.95" customHeight="1"/>
    <row r="6" spans="34:44" ht="15.95" customHeight="1"/>
    <row r="7" spans="34:44" ht="15.95" customHeight="1"/>
    <row r="8" spans="34:44" ht="15.95" customHeight="1"/>
    <row r="9" spans="34:44"/>
    <row r="10" spans="34:44"/>
    <row r="11" spans="34:44"/>
    <row r="12" spans="34:44"/>
    <row r="13" spans="34:44"/>
    <row r="14" spans="34:44"/>
    <row r="15" spans="34:44"/>
    <row r="16" spans="34:44"/>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200" spans="2:44">
      <c r="B200" s="272" t="str">
        <f>FOOT1</f>
        <v>NIPSCO Energy Efficiency Program</v>
      </c>
      <c r="C200" s="272"/>
      <c r="D200" s="272"/>
      <c r="E200" s="272"/>
      <c r="F200" s="272"/>
      <c r="G200" s="272"/>
      <c r="H200" s="272"/>
      <c r="I200" s="272"/>
      <c r="J200" s="272"/>
      <c r="K200" s="272"/>
      <c r="L200" s="272"/>
      <c r="M200" s="656" t="str">
        <f>FOOT4</f>
        <v>NIPSCO’s energy efficiency programs are administered by TRC, a third‐party implementation specialist that helps homes and businesses save energy.</v>
      </c>
      <c r="N200" s="656"/>
      <c r="O200" s="656"/>
      <c r="P200" s="656"/>
      <c r="Q200" s="656"/>
      <c r="R200" s="656"/>
      <c r="S200" s="656"/>
      <c r="T200" s="656"/>
      <c r="U200" s="656"/>
      <c r="V200" s="656"/>
      <c r="W200" s="656"/>
      <c r="X200" s="656"/>
      <c r="Y200" s="656"/>
      <c r="Z200" s="656"/>
      <c r="AA200" s="656"/>
      <c r="AB200" s="656"/>
      <c r="AC200" s="656"/>
      <c r="AD200" s="656"/>
      <c r="AE200" s="656"/>
      <c r="AF200" s="656"/>
      <c r="AG200" s="656"/>
      <c r="AH200" s="272"/>
      <c r="AI200" s="272"/>
      <c r="AJ200" s="272"/>
      <c r="AK200" s="272"/>
      <c r="AL200" s="272"/>
      <c r="AM200" s="272"/>
      <c r="AN200" s="272"/>
      <c r="AO200" s="272"/>
      <c r="AP200" s="272"/>
      <c r="AQ200" s="272"/>
      <c r="AR200" s="273" t="str">
        <f>FOOTDISCLAIM</f>
        <v/>
      </c>
    </row>
    <row r="201" spans="2:44">
      <c r="B201" s="272" t="str">
        <f>FOOT2</f>
        <v>Toll-Free 800-299-2501</v>
      </c>
      <c r="C201" s="272"/>
      <c r="D201" s="272"/>
      <c r="E201" s="272"/>
      <c r="F201" s="272"/>
      <c r="G201" s="272"/>
      <c r="H201" s="272"/>
      <c r="I201" s="272"/>
      <c r="J201" s="272"/>
      <c r="K201" s="272"/>
      <c r="L201" s="272"/>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272"/>
      <c r="AI201" s="272"/>
      <c r="AJ201" s="272"/>
      <c r="AK201" s="272"/>
      <c r="AL201" s="272"/>
      <c r="AM201" s="272"/>
      <c r="AN201" s="272"/>
      <c r="AO201" s="272"/>
      <c r="AP201" s="272"/>
      <c r="AQ201" s="272"/>
      <c r="AR201" s="273" t="str">
        <f>FOOT5</f>
        <v/>
      </c>
    </row>
    <row r="202" spans="2:44">
      <c r="B202" s="281" t="s">
        <v>1551</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v3.7.0</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8Ab9HIuxRc2t4g7pR66W7kHYy0DwPYT3wOkTTx6dgo1/Gmb9WIgur/DWzGTotzuk+bgRMdJFE4Dyz5Ta1fwjig==" saltValue="DkMryHFEShdtcG/8ZbSE7A==" spinCount="100000" sheet="1" objects="1" scenarios="1" selectLockedCells="1"/>
  <mergeCells count="7">
    <mergeCell ref="M200:AG201"/>
    <mergeCell ref="AH1:AK1"/>
    <mergeCell ref="AL1:AP1"/>
    <mergeCell ref="AQ1:AR1"/>
    <mergeCell ref="AH2:AK3"/>
    <mergeCell ref="AL2:AP3"/>
    <mergeCell ref="AQ2:AR3"/>
  </mergeCells>
  <conditionalFormatting sqref="AH2 AL2">
    <cfRule type="expression" dxfId="296" priority="1">
      <formula>PROJSTATUS=PROJSTATELI</formula>
    </cfRule>
    <cfRule type="expression" dxfId="295" priority="2">
      <formula>PROJSTATUS=PROJSTATREVIEW</formula>
    </cfRule>
    <cfRule type="expression" dxfId="294" priority="6">
      <formula>PROJSTATUS=PROJSTATPREAPPROVE</formula>
    </cfRule>
    <cfRule type="expression" dxfId="293" priority="7">
      <formula>PROJSTATUS=PROJSTATSTANDARD</formula>
    </cfRule>
    <cfRule type="expression" dxfId="292" priority="8">
      <formula>PROJSTATUS=PROJSTATEXP</formula>
    </cfRule>
  </conditionalFormatting>
  <conditionalFormatting sqref="AQ2:AR3">
    <cfRule type="cellIs" dxfId="291" priority="3" operator="equal">
      <formula>1</formula>
    </cfRule>
    <cfRule type="cellIs" dxfId="290" priority="4" operator="between">
      <formula>0.51</formula>
      <formula>0.99</formula>
    </cfRule>
    <cfRule type="cellIs" dxfId="289" priority="5" operator="lessThanOrEqual">
      <formula>0.5</formula>
    </cfRule>
  </conditionalFormatting>
  <hyperlinks>
    <hyperlink ref="B202" r:id="rId1" xr:uid="{4B4B54DB-09CB-471B-A663-131493D65390}"/>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pageSetUpPr fitToPage="1"/>
  </sheetPr>
  <dimension ref="A1:AS202"/>
  <sheetViews>
    <sheetView showGridLines="0" showRowColHeaders="0" zoomScale="85" zoomScaleNormal="85" workbookViewId="0">
      <selection activeCell="C6" sqref="C6"/>
    </sheetView>
  </sheetViews>
  <sheetFormatPr defaultColWidth="0" defaultRowHeight="15" customHeight="1" zeroHeight="1"/>
  <cols>
    <col min="1" max="45" width="4.7109375" customWidth="1"/>
    <col min="46" max="78" width="9.140625" hidden="1" customWidth="1"/>
    <col min="79" max="16384" width="9.140625" hidden="1"/>
  </cols>
  <sheetData>
    <row r="1" spans="6:44" ht="15.95" customHeight="1">
      <c r="AH1" s="681" t="s">
        <v>471</v>
      </c>
      <c r="AI1" s="681"/>
      <c r="AJ1" s="681"/>
      <c r="AK1" s="681"/>
      <c r="AL1" s="682" t="s">
        <v>736</v>
      </c>
      <c r="AM1" s="682"/>
      <c r="AN1" s="682"/>
      <c r="AO1" s="682"/>
      <c r="AP1" s="682"/>
      <c r="AQ1" s="678" t="s">
        <v>474</v>
      </c>
      <c r="AR1" s="678"/>
    </row>
    <row r="2" spans="6:44" ht="15.95" customHeight="1">
      <c r="AH2" s="683" t="str">
        <f ca="1">INCENSTATUS</f>
        <v>---</v>
      </c>
      <c r="AI2" s="684"/>
      <c r="AJ2" s="684"/>
      <c r="AK2" s="684"/>
      <c r="AL2" s="685" t="str">
        <f ca="1">PROJSTATUS</f>
        <v>Enter Measures</v>
      </c>
      <c r="AM2" s="685"/>
      <c r="AN2" s="685"/>
      <c r="AO2" s="685"/>
      <c r="AP2" s="685"/>
      <c r="AQ2" s="679">
        <f ca="1">PROGRESSSTATUS</f>
        <v>2.8985507246376812E-2</v>
      </c>
      <c r="AR2" s="680"/>
    </row>
    <row r="3" spans="6:44" ht="15.95" customHeight="1">
      <c r="AH3" s="675"/>
      <c r="AI3" s="676"/>
      <c r="AJ3" s="676"/>
      <c r="AK3" s="676"/>
      <c r="AL3" s="668"/>
      <c r="AM3" s="668"/>
      <c r="AN3" s="668"/>
      <c r="AO3" s="668"/>
      <c r="AP3" s="668"/>
      <c r="AQ3" s="662"/>
      <c r="AR3" s="663"/>
    </row>
    <row r="4" spans="6:44" ht="15.95" customHeight="1">
      <c r="AR4" s="171"/>
    </row>
    <row r="5" spans="6:44" ht="15.95" customHeight="1"/>
    <row r="6" spans="6:44" ht="15.95" customHeight="1"/>
    <row r="7" spans="6:44" ht="15.95" customHeight="1"/>
    <row r="8" spans="6:44" ht="15.95" customHeight="1"/>
    <row r="9" spans="6:44" ht="15.95" customHeight="1"/>
    <row r="10" spans="6:44" ht="15.95" customHeight="1">
      <c r="F10" s="686" t="s">
        <v>809</v>
      </c>
      <c r="G10" s="686"/>
      <c r="H10" s="686"/>
      <c r="I10" s="686"/>
      <c r="J10" s="686"/>
      <c r="K10" s="686"/>
      <c r="L10" s="686"/>
      <c r="M10" s="686"/>
      <c r="N10" s="686"/>
      <c r="O10" s="686"/>
      <c r="P10" s="686"/>
      <c r="Q10" s="686"/>
      <c r="R10" s="686"/>
      <c r="S10" s="686"/>
      <c r="T10" s="686"/>
      <c r="U10" s="686"/>
      <c r="V10" s="686"/>
      <c r="W10" s="686"/>
      <c r="X10" s="686"/>
      <c r="Y10" s="686"/>
      <c r="Z10" s="686"/>
      <c r="AA10" s="686"/>
      <c r="AB10" s="686"/>
      <c r="AC10" s="686"/>
      <c r="AD10" s="686"/>
      <c r="AE10" s="686"/>
      <c r="AF10" s="686"/>
      <c r="AG10" s="686"/>
      <c r="AH10" s="686"/>
      <c r="AI10" s="686"/>
      <c r="AJ10" s="686"/>
      <c r="AK10" s="686"/>
      <c r="AL10" s="686"/>
      <c r="AM10" s="686"/>
      <c r="AN10" s="686"/>
    </row>
    <row r="11" spans="6:44" ht="15.95" customHeight="1">
      <c r="F11" s="271"/>
      <c r="G11" s="271"/>
      <c r="H11" s="271"/>
      <c r="I11" s="271"/>
      <c r="J11" s="271"/>
      <c r="K11" s="271"/>
      <c r="L11" s="271"/>
      <c r="M11" s="271"/>
      <c r="N11" s="271"/>
      <c r="O11" s="271"/>
      <c r="P11" s="271"/>
      <c r="Q11" s="271"/>
      <c r="R11" s="271"/>
      <c r="S11" s="271"/>
      <c r="T11" s="271"/>
      <c r="U11" s="271"/>
      <c r="V11" s="271"/>
      <c r="W11" s="271"/>
      <c r="X11" s="271"/>
      <c r="Y11" s="271"/>
      <c r="Z11" s="271"/>
      <c r="AA11" s="271"/>
      <c r="AB11" s="271"/>
      <c r="AC11" s="271"/>
      <c r="AD11" s="271"/>
      <c r="AE11" s="271"/>
      <c r="AF11" s="271"/>
      <c r="AG11" s="271"/>
      <c r="AH11" s="271"/>
      <c r="AI11" s="271"/>
      <c r="AJ11" s="271"/>
      <c r="AK11" s="271"/>
      <c r="AL11" s="271"/>
      <c r="AM11" s="271"/>
      <c r="AN11" s="271"/>
    </row>
    <row r="12" spans="6:44" ht="15.95" customHeight="1"/>
    <row r="13" spans="6:44" ht="15.95" customHeight="1"/>
    <row r="14" spans="6:44" ht="15.95" customHeight="1"/>
    <row r="15" spans="6:44" ht="15.95" customHeight="1"/>
    <row r="16" spans="6:44" ht="15.95" customHeight="1"/>
    <row r="17" spans="6:40" ht="15.95" customHeight="1"/>
    <row r="18" spans="6:40" ht="15.95" customHeight="1"/>
    <row r="19" spans="6:40" ht="15.95" customHeight="1"/>
    <row r="20" spans="6:40" ht="15.95" customHeight="1"/>
    <row r="21" spans="6:40" ht="15.95" customHeight="1"/>
    <row r="22" spans="6:40" ht="15.95" customHeight="1">
      <c r="F22" s="687"/>
      <c r="G22" s="687"/>
      <c r="H22" s="687"/>
      <c r="I22" s="687"/>
      <c r="J22" s="687"/>
      <c r="K22" s="687"/>
      <c r="L22" s="687"/>
      <c r="M22" s="687"/>
      <c r="N22" s="687"/>
      <c r="O22" s="687"/>
      <c r="P22" s="687"/>
      <c r="Q22" s="687"/>
      <c r="R22" s="687"/>
      <c r="S22" s="687"/>
      <c r="T22" s="687"/>
      <c r="U22" s="687"/>
      <c r="V22" s="687"/>
      <c r="W22" s="687"/>
      <c r="X22" s="687"/>
      <c r="Y22" s="687"/>
      <c r="Z22" s="687"/>
      <c r="AA22" s="687"/>
      <c r="AB22" s="687"/>
      <c r="AC22" s="687"/>
      <c r="AD22" s="687"/>
      <c r="AE22" s="687"/>
      <c r="AF22" s="687"/>
      <c r="AG22" s="687"/>
      <c r="AH22" s="687"/>
      <c r="AI22" s="687"/>
      <c r="AJ22" s="687"/>
      <c r="AK22" s="687"/>
      <c r="AL22" s="687"/>
      <c r="AM22" s="687"/>
      <c r="AN22" s="687"/>
    </row>
    <row r="23" spans="6:40" ht="15.95" customHeight="1">
      <c r="F23" s="688"/>
      <c r="G23" s="688"/>
      <c r="H23" s="688"/>
      <c r="I23" s="688"/>
      <c r="J23" s="688"/>
      <c r="K23" s="688"/>
      <c r="L23" s="688"/>
      <c r="M23" s="688"/>
      <c r="N23" s="688"/>
      <c r="O23" s="688"/>
      <c r="P23" s="688"/>
      <c r="Q23" s="688"/>
      <c r="R23" s="688"/>
      <c r="S23" s="688"/>
      <c r="T23" s="688"/>
      <c r="U23" s="688"/>
      <c r="V23" s="688"/>
      <c r="W23" s="688"/>
      <c r="X23" s="688"/>
      <c r="Y23" s="688"/>
      <c r="Z23" s="688"/>
      <c r="AA23" s="688"/>
      <c r="AB23" s="688"/>
      <c r="AC23" s="688"/>
      <c r="AD23" s="688"/>
      <c r="AE23" s="688"/>
      <c r="AF23" s="688"/>
      <c r="AG23" s="688"/>
      <c r="AH23" s="688"/>
      <c r="AI23" s="688"/>
      <c r="AJ23" s="688"/>
      <c r="AK23" s="688"/>
      <c r="AL23" s="688"/>
      <c r="AM23" s="688"/>
      <c r="AN23" s="688"/>
    </row>
    <row r="24" spans="6:40" ht="15.95" customHeight="1"/>
    <row r="25" spans="6:40" ht="15.95" customHeight="1"/>
    <row r="26" spans="6:40" ht="15.95" customHeight="1"/>
    <row r="27" spans="6:40" ht="15.95" customHeight="1"/>
    <row r="28" spans="6:40" ht="15.95" customHeight="1"/>
    <row r="29" spans="6:40" ht="15.95" customHeight="1"/>
    <row r="30" spans="6:40" ht="15.95" customHeight="1"/>
    <row r="31" spans="6:40" ht="15.95" customHeight="1"/>
    <row r="32" spans="6:40" ht="15.95" customHeight="1"/>
    <row r="33" spans="6:40" ht="15.95" customHeight="1"/>
    <row r="34" spans="6:40" ht="15.95" customHeight="1">
      <c r="F34" s="687"/>
      <c r="G34" s="687"/>
      <c r="H34" s="687"/>
      <c r="I34" s="687"/>
      <c r="J34" s="687"/>
      <c r="K34" s="687"/>
      <c r="L34" s="687"/>
      <c r="M34" s="687"/>
      <c r="N34" s="687"/>
      <c r="O34" s="687"/>
      <c r="P34" s="687"/>
      <c r="Q34" s="687"/>
      <c r="R34" s="687"/>
      <c r="S34" s="687"/>
      <c r="T34" s="687"/>
      <c r="U34" s="687"/>
      <c r="V34" s="687"/>
      <c r="W34" s="687"/>
      <c r="X34" s="687"/>
      <c r="Y34" s="687"/>
      <c r="Z34" s="687"/>
      <c r="AA34" s="687"/>
      <c r="AB34" s="687"/>
      <c r="AC34" s="687"/>
      <c r="AD34" s="687"/>
      <c r="AE34" s="687"/>
      <c r="AF34" s="687"/>
      <c r="AG34" s="687"/>
      <c r="AH34" s="687"/>
      <c r="AI34" s="687"/>
      <c r="AJ34" s="687"/>
      <c r="AK34" s="687"/>
      <c r="AL34" s="687"/>
      <c r="AM34" s="687"/>
      <c r="AN34" s="687"/>
    </row>
    <row r="35" spans="6:40" ht="15.95" customHeight="1">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c r="AE35" s="260"/>
      <c r="AF35" s="260"/>
      <c r="AG35" s="260"/>
      <c r="AH35" s="260"/>
      <c r="AI35" s="260"/>
      <c r="AJ35" s="260"/>
      <c r="AK35" s="260"/>
      <c r="AL35" s="260"/>
      <c r="AM35" s="260"/>
      <c r="AN35" s="260"/>
    </row>
    <row r="36" spans="6:40" ht="15.95" customHeight="1"/>
    <row r="37" spans="6:40" ht="15.95" customHeight="1"/>
    <row r="38" spans="6:40" ht="24" hidden="1" customHeight="1"/>
    <row r="39" spans="6:40" ht="15.95" hidden="1" customHeight="1"/>
    <row r="40" spans="6:40" ht="15.95" hidden="1" customHeight="1"/>
    <row r="41" spans="6:40" ht="15.95" hidden="1" customHeight="1"/>
    <row r="42" spans="6:40" ht="15.95" hidden="1" customHeight="1"/>
    <row r="43" spans="6:40" ht="15.95" hidden="1" customHeight="1"/>
    <row r="44" spans="6:40" ht="15.95" hidden="1" customHeight="1"/>
    <row r="45" spans="6:40" ht="15.95" hidden="1" customHeight="1"/>
    <row r="46" spans="6:40" ht="15.95" hidden="1" customHeight="1"/>
    <row r="47" spans="6:40" ht="15.95" hidden="1" customHeight="1"/>
    <row r="48" spans="6:40"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customHeight="1"/>
    <row r="200" spans="2:44" ht="15.95" customHeight="1">
      <c r="B200" s="272" t="str">
        <f>FOOT1</f>
        <v>NIPSCO Energy Efficiency Program</v>
      </c>
      <c r="C200" s="272"/>
      <c r="D200" s="272"/>
      <c r="E200" s="272"/>
      <c r="F200" s="272"/>
      <c r="G200" s="272"/>
      <c r="H200" s="272"/>
      <c r="I200" s="272"/>
      <c r="J200" s="272"/>
      <c r="K200" s="272"/>
      <c r="L200" s="272"/>
      <c r="M200" s="656" t="str">
        <f>FOOT4</f>
        <v>NIPSCO’s energy efficiency programs are administered by TRC, a third‐party implementation specialist that helps homes and businesses save energy.</v>
      </c>
      <c r="N200" s="656"/>
      <c r="O200" s="656"/>
      <c r="P200" s="656"/>
      <c r="Q200" s="656"/>
      <c r="R200" s="656"/>
      <c r="S200" s="656"/>
      <c r="T200" s="656"/>
      <c r="U200" s="656"/>
      <c r="V200" s="656"/>
      <c r="W200" s="656"/>
      <c r="X200" s="656"/>
      <c r="Y200" s="656"/>
      <c r="Z200" s="656"/>
      <c r="AA200" s="656"/>
      <c r="AB200" s="656"/>
      <c r="AC200" s="656"/>
      <c r="AD200" s="656"/>
      <c r="AE200" s="656"/>
      <c r="AF200" s="656"/>
      <c r="AG200" s="656"/>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272"/>
      <c r="AI201" s="272"/>
      <c r="AJ201" s="272"/>
      <c r="AK201" s="272"/>
      <c r="AL201" s="272"/>
      <c r="AM201" s="272"/>
      <c r="AN201" s="272"/>
      <c r="AO201" s="272"/>
      <c r="AP201" s="272"/>
      <c r="AQ201" s="272"/>
      <c r="AR201" s="273" t="str">
        <f>FOOT5</f>
        <v/>
      </c>
    </row>
    <row r="202" spans="2:44" ht="15.95" customHeight="1">
      <c r="B202" s="281" t="s">
        <v>1551</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v3.7.0</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DjtAFYjBlSDByehbtzIQ1/IiPweLtjQdZ2RwHeEyhMr7lSGoA4yO9rQg27MHQwJBLGqEcnwULpcgSuF08x199w==" saltValue="cauR4DUMn+3yQj7fVLc9dA==" spinCount="100000" sheet="1" objects="1" scenarios="1" selectLockedCells="1"/>
  <mergeCells count="11">
    <mergeCell ref="M200:AG201"/>
    <mergeCell ref="F10:AN10"/>
    <mergeCell ref="F22:AN22"/>
    <mergeCell ref="F23:AN23"/>
    <mergeCell ref="F34:AN34"/>
    <mergeCell ref="AQ1:AR1"/>
    <mergeCell ref="AQ2:AR3"/>
    <mergeCell ref="AH1:AK1"/>
    <mergeCell ref="AL1:AP1"/>
    <mergeCell ref="AH2:AK3"/>
    <mergeCell ref="AL2:AP3"/>
  </mergeCells>
  <conditionalFormatting sqref="AH2 AL2">
    <cfRule type="expression" dxfId="288" priority="1">
      <formula>PROJSTATUS=PROJSTATELI</formula>
    </cfRule>
    <cfRule type="expression" dxfId="287" priority="2">
      <formula>PROJSTATUS=PROJSTATREVIEW</formula>
    </cfRule>
    <cfRule type="expression" dxfId="286" priority="6">
      <formula>PROJSTATUS=PROJSTATPREAPPROVE</formula>
    </cfRule>
    <cfRule type="expression" dxfId="285" priority="7">
      <formula>PROJSTATUS=PROJSTATSTANDARD</formula>
    </cfRule>
    <cfRule type="expression" dxfId="284" priority="8">
      <formula>PROJSTATUS=PROJSTATEXP</formula>
    </cfRule>
  </conditionalFormatting>
  <conditionalFormatting sqref="AQ2:AR3">
    <cfRule type="cellIs" dxfId="283" priority="3" operator="equal">
      <formula>1</formula>
    </cfRule>
    <cfRule type="cellIs" dxfId="282" priority="4" operator="between">
      <formula>0.51</formula>
      <formula>0.99</formula>
    </cfRule>
    <cfRule type="cellIs" dxfId="281" priority="5" operator="lessThanOrEqual">
      <formula>0.5</formula>
    </cfRule>
  </conditionalFormatting>
  <hyperlinks>
    <hyperlink ref="B202" r:id="rId1" xr:uid="{71673E40-3A9A-41DD-8580-A510B0E47824}"/>
  </hyperlinks>
  <pageMargins left="0.25" right="0.25" top="0.25" bottom="0.25" header="0.25" footer="0.25"/>
  <pageSetup scale="62" fitToHeight="0"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A1:XFC279"/>
  <sheetViews>
    <sheetView showGridLines="0" showRowColHeaders="0" zoomScale="85" zoomScaleNormal="85" workbookViewId="0">
      <selection activeCell="C6" sqref="C6"/>
    </sheetView>
  </sheetViews>
  <sheetFormatPr defaultColWidth="0" defaultRowHeight="0" customHeight="1" zeroHeight="1"/>
  <cols>
    <col min="1" max="2" width="4.7109375" customWidth="1"/>
    <col min="3" max="33" width="4.7109375" style="56" customWidth="1"/>
    <col min="34" max="38" width="4.7109375" style="9" customWidth="1"/>
    <col min="39" max="39" width="4.7109375" customWidth="1"/>
    <col min="40" max="40" width="5.28515625" customWidth="1"/>
    <col min="41" max="43" width="4.7109375" customWidth="1"/>
    <col min="44" max="44" width="4.140625" customWidth="1"/>
    <col min="45" max="45" width="4.5703125" customWidth="1"/>
    <col min="46" max="16383" width="9.140625" hidden="1"/>
    <col min="16384" max="16384" width="2.7109375" hidden="1"/>
  </cols>
  <sheetData>
    <row r="1" spans="2:44" ht="15.95" customHeight="1">
      <c r="C1"/>
      <c r="D1"/>
      <c r="E1"/>
      <c r="F1"/>
      <c r="G1"/>
      <c r="AH1" s="681" t="s">
        <v>471</v>
      </c>
      <c r="AI1" s="681"/>
      <c r="AJ1" s="681"/>
      <c r="AK1" s="681"/>
      <c r="AL1" s="682" t="s">
        <v>736</v>
      </c>
      <c r="AM1" s="682"/>
      <c r="AN1" s="682"/>
      <c r="AO1" s="682"/>
      <c r="AP1" s="682"/>
      <c r="AQ1" s="678" t="s">
        <v>474</v>
      </c>
      <c r="AR1" s="678"/>
    </row>
    <row r="2" spans="2:44" ht="15.95" customHeight="1">
      <c r="C2"/>
      <c r="D2"/>
      <c r="E2"/>
      <c r="F2"/>
      <c r="G2"/>
      <c r="AH2" s="683" t="str">
        <f ca="1">INCENSTATUS</f>
        <v>---</v>
      </c>
      <c r="AI2" s="684"/>
      <c r="AJ2" s="684"/>
      <c r="AK2" s="684"/>
      <c r="AL2" s="685" t="str">
        <f ca="1">PROJSTATUS</f>
        <v>Enter Measures</v>
      </c>
      <c r="AM2" s="685"/>
      <c r="AN2" s="685"/>
      <c r="AO2" s="685"/>
      <c r="AP2" s="685"/>
      <c r="AQ2" s="679">
        <f ca="1">PROGRESSSTATUS</f>
        <v>2.8985507246376812E-2</v>
      </c>
      <c r="AR2" s="680"/>
    </row>
    <row r="3" spans="2:44" ht="15.95" customHeight="1">
      <c r="C3"/>
      <c r="D3"/>
      <c r="E3"/>
      <c r="F3"/>
      <c r="G3"/>
      <c r="AH3" s="675"/>
      <c r="AI3" s="676"/>
      <c r="AJ3" s="676"/>
      <c r="AK3" s="676"/>
      <c r="AL3" s="668"/>
      <c r="AM3" s="668"/>
      <c r="AN3" s="668"/>
      <c r="AO3" s="668"/>
      <c r="AP3" s="668"/>
      <c r="AQ3" s="662"/>
      <c r="AR3" s="663"/>
    </row>
    <row r="4" spans="2:44" ht="15.95" customHeight="1">
      <c r="C4"/>
      <c r="D4"/>
      <c r="E4"/>
      <c r="F4"/>
      <c r="G4"/>
      <c r="AR4" s="171"/>
    </row>
    <row r="5" spans="2:44" ht="15.95" customHeight="1"/>
    <row r="6" spans="2:44" ht="15.95" customHeight="1"/>
    <row r="7" spans="2:44" ht="15.95" customHeight="1"/>
    <row r="8" spans="2:44" ht="15.95" customHeight="1"/>
    <row r="9" spans="2:44" ht="15.95" customHeight="1">
      <c r="B9" s="59"/>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161"/>
      <c r="AI9" s="161"/>
      <c r="AJ9" s="161"/>
      <c r="AK9" s="161"/>
      <c r="AL9" s="161"/>
      <c r="AM9" s="59"/>
      <c r="AN9" s="59"/>
      <c r="AO9" s="59"/>
      <c r="AP9" s="59"/>
      <c r="AQ9" s="59"/>
      <c r="AR9" s="59"/>
    </row>
    <row r="10" spans="2:44" ht="15.95" customHeight="1">
      <c r="B10" s="59"/>
      <c r="C10" s="61"/>
      <c r="D10" s="61"/>
      <c r="E10" s="61"/>
      <c r="F10" s="686" t="s">
        <v>964</v>
      </c>
      <c r="G10" s="686"/>
      <c r="H10" s="686"/>
      <c r="I10" s="686"/>
      <c r="J10" s="686"/>
      <c r="K10" s="686"/>
      <c r="L10" s="686"/>
      <c r="M10" s="686"/>
      <c r="N10" s="686"/>
      <c r="O10" s="686"/>
      <c r="P10" s="686"/>
      <c r="Q10" s="686"/>
      <c r="R10" s="686"/>
      <c r="S10" s="686"/>
      <c r="T10" s="686"/>
      <c r="U10" s="686"/>
      <c r="V10" s="686"/>
      <c r="W10" s="686"/>
      <c r="X10" s="686"/>
      <c r="Y10" s="686"/>
      <c r="Z10" s="686"/>
      <c r="AA10" s="686"/>
      <c r="AB10" s="686"/>
      <c r="AC10" s="686"/>
      <c r="AD10" s="686"/>
      <c r="AE10" s="686"/>
      <c r="AF10" s="686"/>
      <c r="AG10" s="686"/>
      <c r="AH10" s="686"/>
      <c r="AI10" s="686"/>
      <c r="AJ10" s="686"/>
      <c r="AK10" s="686"/>
      <c r="AL10" s="686"/>
      <c r="AM10" s="686"/>
      <c r="AN10" s="686"/>
      <c r="AO10" s="59"/>
      <c r="AP10" s="59"/>
      <c r="AQ10" s="59"/>
      <c r="AR10" s="59"/>
    </row>
    <row r="11" spans="2:44" ht="15.95" customHeight="1">
      <c r="B11" s="59"/>
      <c r="C11" s="61"/>
      <c r="D11" s="61"/>
      <c r="E11" s="61"/>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59"/>
      <c r="AP11" s="59"/>
      <c r="AQ11" s="59"/>
      <c r="AR11" s="59"/>
    </row>
    <row r="12" spans="2:44" ht="15.95" customHeight="1">
      <c r="B12" s="59"/>
      <c r="C12"/>
      <c r="D12"/>
      <c r="E12"/>
      <c r="F12"/>
      <c r="G12"/>
      <c r="H12"/>
      <c r="I12"/>
      <c r="J12"/>
      <c r="K12"/>
      <c r="L12"/>
      <c r="M12"/>
      <c r="N12"/>
      <c r="O12"/>
      <c r="P12"/>
      <c r="Q12"/>
      <c r="R12"/>
      <c r="S12"/>
      <c r="T12"/>
      <c r="U12"/>
      <c r="V12"/>
      <c r="W12"/>
      <c r="X12"/>
      <c r="Y12"/>
      <c r="Z12"/>
      <c r="AA12"/>
      <c r="AB12"/>
      <c r="AC12"/>
      <c r="AD12"/>
      <c r="AE12"/>
      <c r="AF12"/>
      <c r="AG12"/>
      <c r="AH12"/>
      <c r="AI12"/>
      <c r="AJ12"/>
      <c r="AK12"/>
      <c r="AL12"/>
    </row>
    <row r="13" spans="2:44" ht="15.75" customHeight="1">
      <c r="B13" s="59"/>
      <c r="C13"/>
      <c r="D13"/>
      <c r="E13"/>
      <c r="F13"/>
      <c r="G13"/>
      <c r="H13"/>
      <c r="I13"/>
      <c r="J13"/>
      <c r="K13"/>
      <c r="L13"/>
      <c r="M13"/>
      <c r="N13"/>
      <c r="O13"/>
      <c r="P13"/>
      <c r="Q13"/>
      <c r="R13"/>
      <c r="S13"/>
      <c r="T13"/>
      <c r="U13"/>
      <c r="V13"/>
      <c r="W13"/>
      <c r="X13"/>
      <c r="Y13"/>
      <c r="Z13"/>
      <c r="AA13"/>
      <c r="AB13"/>
      <c r="AC13"/>
      <c r="AD13"/>
      <c r="AE13"/>
      <c r="AF13"/>
      <c r="AG13"/>
      <c r="AH13"/>
      <c r="AI13"/>
      <c r="AJ13"/>
      <c r="AK13"/>
      <c r="AL13"/>
    </row>
    <row r="14" spans="2:44" ht="15.95" customHeight="1">
      <c r="B14" s="59"/>
      <c r="C14"/>
      <c r="D14"/>
      <c r="E14"/>
      <c r="F14"/>
      <c r="G14"/>
      <c r="H14"/>
      <c r="I14"/>
      <c r="J14"/>
      <c r="K14"/>
      <c r="L14"/>
      <c r="M14"/>
      <c r="N14"/>
      <c r="O14"/>
      <c r="P14"/>
      <c r="Q14"/>
      <c r="R14"/>
      <c r="S14"/>
      <c r="T14"/>
      <c r="U14"/>
      <c r="V14"/>
      <c r="W14"/>
      <c r="X14"/>
      <c r="Y14"/>
      <c r="Z14"/>
      <c r="AA14"/>
      <c r="AB14"/>
      <c r="AC14"/>
      <c r="AD14"/>
      <c r="AE14"/>
      <c r="AF14"/>
      <c r="AG14"/>
      <c r="AH14"/>
      <c r="AI14"/>
      <c r="AJ14"/>
      <c r="AK14"/>
      <c r="AL14"/>
    </row>
    <row r="15" spans="2:44" ht="15.95" customHeight="1">
      <c r="B15" s="59"/>
      <c r="C15"/>
      <c r="D15"/>
      <c r="E15"/>
      <c r="F15"/>
      <c r="G15"/>
      <c r="H15"/>
      <c r="I15"/>
      <c r="J15"/>
      <c r="K15"/>
      <c r="L15"/>
      <c r="M15"/>
      <c r="N15"/>
      <c r="O15"/>
      <c r="P15"/>
      <c r="Q15"/>
      <c r="R15"/>
      <c r="S15"/>
      <c r="T15"/>
      <c r="U15"/>
      <c r="V15"/>
      <c r="W15"/>
      <c r="X15"/>
      <c r="Y15"/>
      <c r="Z15"/>
      <c r="AA15"/>
      <c r="AB15"/>
      <c r="AC15"/>
      <c r="AD15"/>
      <c r="AE15"/>
      <c r="AF15"/>
      <c r="AG15"/>
      <c r="AH15"/>
      <c r="AI15"/>
      <c r="AJ15"/>
      <c r="AK15"/>
      <c r="AL15"/>
    </row>
    <row r="16" spans="2:44" ht="15.95" customHeight="1">
      <c r="B16" s="59"/>
      <c r="C16"/>
      <c r="D16"/>
      <c r="E16"/>
      <c r="F16"/>
      <c r="G16"/>
      <c r="H16"/>
      <c r="I16"/>
      <c r="J16"/>
      <c r="K16"/>
      <c r="L16"/>
      <c r="M16"/>
      <c r="N16"/>
      <c r="O16"/>
      <c r="P16"/>
      <c r="Q16"/>
      <c r="R16"/>
      <c r="S16"/>
      <c r="T16"/>
      <c r="U16"/>
      <c r="V16"/>
      <c r="W16"/>
      <c r="X16"/>
      <c r="Y16"/>
      <c r="Z16"/>
      <c r="AA16"/>
      <c r="AB16"/>
      <c r="AC16"/>
      <c r="AD16"/>
      <c r="AE16"/>
      <c r="AF16"/>
      <c r="AG16"/>
      <c r="AH16"/>
      <c r="AI16"/>
      <c r="AJ16"/>
      <c r="AK16"/>
      <c r="AL16"/>
    </row>
    <row r="17" spans="2:38" ht="15.95" customHeight="1">
      <c r="B17" s="59"/>
      <c r="C17"/>
      <c r="D17"/>
      <c r="E17"/>
      <c r="F17"/>
      <c r="G17"/>
      <c r="H17"/>
      <c r="I17"/>
      <c r="J17"/>
      <c r="K17"/>
      <c r="L17"/>
      <c r="M17"/>
      <c r="N17"/>
      <c r="O17"/>
      <c r="P17"/>
      <c r="Q17"/>
      <c r="R17"/>
      <c r="S17"/>
      <c r="T17"/>
      <c r="U17"/>
      <c r="V17"/>
      <c r="W17"/>
      <c r="X17"/>
      <c r="Y17"/>
      <c r="Z17"/>
      <c r="AA17"/>
      <c r="AB17"/>
      <c r="AC17"/>
      <c r="AD17"/>
      <c r="AE17"/>
      <c r="AF17"/>
      <c r="AG17"/>
      <c r="AH17"/>
      <c r="AI17"/>
      <c r="AJ17"/>
      <c r="AK17"/>
      <c r="AL17"/>
    </row>
    <row r="18" spans="2:38" ht="15.95" customHeight="1">
      <c r="B18" s="59"/>
      <c r="C18"/>
      <c r="D18"/>
      <c r="E18"/>
      <c r="F18"/>
      <c r="G18"/>
      <c r="H18"/>
      <c r="I18"/>
      <c r="J18"/>
      <c r="K18"/>
      <c r="L18"/>
      <c r="M18"/>
      <c r="N18"/>
      <c r="O18"/>
      <c r="P18"/>
      <c r="Q18"/>
      <c r="R18"/>
      <c r="S18"/>
      <c r="T18"/>
      <c r="U18"/>
      <c r="V18"/>
      <c r="W18"/>
      <c r="X18"/>
      <c r="Y18"/>
      <c r="Z18"/>
      <c r="AA18"/>
      <c r="AB18"/>
      <c r="AC18"/>
      <c r="AD18"/>
      <c r="AE18"/>
      <c r="AF18"/>
      <c r="AG18"/>
      <c r="AH18"/>
      <c r="AI18"/>
      <c r="AJ18"/>
      <c r="AK18"/>
      <c r="AL18"/>
    </row>
    <row r="19" spans="2:38" ht="15.95" customHeight="1">
      <c r="B19" s="59"/>
      <c r="C19"/>
      <c r="D19"/>
      <c r="E19"/>
      <c r="F19"/>
      <c r="G19"/>
      <c r="H19"/>
      <c r="I19"/>
      <c r="J19"/>
      <c r="K19"/>
      <c r="L19"/>
      <c r="M19"/>
      <c r="N19"/>
      <c r="O19"/>
      <c r="P19"/>
      <c r="Q19"/>
      <c r="R19"/>
      <c r="S19"/>
      <c r="T19"/>
      <c r="U19"/>
      <c r="V19"/>
      <c r="W19"/>
      <c r="X19"/>
      <c r="Y19"/>
      <c r="Z19"/>
      <c r="AA19"/>
      <c r="AB19"/>
      <c r="AC19"/>
      <c r="AD19"/>
      <c r="AE19"/>
      <c r="AF19"/>
      <c r="AG19"/>
      <c r="AH19"/>
      <c r="AI19"/>
      <c r="AJ19"/>
      <c r="AK19"/>
      <c r="AL19"/>
    </row>
    <row r="20" spans="2:38" ht="15.95" customHeight="1">
      <c r="B20" s="59"/>
      <c r="C20"/>
      <c r="D20"/>
      <c r="E20"/>
      <c r="F20"/>
      <c r="G20"/>
      <c r="H20"/>
      <c r="I20"/>
      <c r="J20"/>
      <c r="K20"/>
      <c r="L20"/>
      <c r="M20"/>
      <c r="N20"/>
      <c r="O20"/>
      <c r="P20"/>
      <c r="Q20"/>
      <c r="R20"/>
      <c r="S20"/>
      <c r="T20"/>
      <c r="U20"/>
      <c r="V20"/>
      <c r="W20"/>
      <c r="X20"/>
      <c r="Y20"/>
      <c r="Z20"/>
      <c r="AA20"/>
      <c r="AB20"/>
      <c r="AC20"/>
      <c r="AD20"/>
      <c r="AE20"/>
      <c r="AF20"/>
      <c r="AG20"/>
      <c r="AH20"/>
      <c r="AI20"/>
      <c r="AJ20"/>
      <c r="AK20"/>
      <c r="AL20"/>
    </row>
    <row r="21" spans="2:38" ht="15.95" customHeight="1">
      <c r="B21" s="59"/>
      <c r="C21"/>
      <c r="D21"/>
      <c r="E21"/>
      <c r="F21"/>
      <c r="G21"/>
      <c r="H21"/>
      <c r="I21"/>
      <c r="J21"/>
      <c r="K21"/>
      <c r="L21"/>
      <c r="M21"/>
      <c r="N21"/>
      <c r="O21"/>
      <c r="P21"/>
      <c r="Q21"/>
      <c r="R21"/>
      <c r="S21"/>
      <c r="T21"/>
      <c r="U21"/>
      <c r="V21"/>
      <c r="W21"/>
      <c r="X21"/>
      <c r="Y21"/>
      <c r="Z21"/>
      <c r="AA21"/>
      <c r="AB21"/>
      <c r="AC21"/>
      <c r="AD21"/>
      <c r="AE21"/>
      <c r="AF21"/>
      <c r="AG21"/>
      <c r="AH21"/>
      <c r="AI21"/>
      <c r="AJ21"/>
      <c r="AK21"/>
      <c r="AL21"/>
    </row>
    <row r="22" spans="2:38" ht="15.95" customHeight="1">
      <c r="B22" s="59"/>
      <c r="C22"/>
      <c r="D22"/>
      <c r="E22"/>
      <c r="F22"/>
      <c r="G22"/>
      <c r="H22"/>
      <c r="I22"/>
      <c r="J22"/>
      <c r="K22"/>
      <c r="L22"/>
      <c r="M22"/>
      <c r="N22"/>
      <c r="O22"/>
      <c r="P22"/>
      <c r="Q22"/>
      <c r="R22"/>
      <c r="S22"/>
      <c r="T22"/>
      <c r="U22"/>
      <c r="V22"/>
      <c r="W22"/>
      <c r="X22"/>
      <c r="Y22"/>
      <c r="Z22"/>
      <c r="AA22"/>
      <c r="AB22"/>
      <c r="AC22"/>
      <c r="AD22"/>
      <c r="AE22"/>
      <c r="AF22"/>
      <c r="AG22"/>
      <c r="AH22"/>
      <c r="AI22"/>
      <c r="AJ22"/>
      <c r="AK22"/>
      <c r="AL22"/>
    </row>
    <row r="23" spans="2:38" ht="15.95" customHeight="1">
      <c r="B23" s="59"/>
      <c r="C23"/>
      <c r="D23"/>
      <c r="E23"/>
      <c r="F23"/>
      <c r="G23"/>
      <c r="H23"/>
      <c r="I23"/>
      <c r="J23"/>
      <c r="K23"/>
      <c r="L23"/>
      <c r="M23"/>
      <c r="N23"/>
      <c r="O23"/>
      <c r="P23"/>
      <c r="Q23"/>
      <c r="R23"/>
      <c r="S23"/>
      <c r="T23"/>
      <c r="U23"/>
      <c r="V23"/>
      <c r="W23"/>
      <c r="X23"/>
      <c r="Y23"/>
      <c r="Z23"/>
      <c r="AA23"/>
      <c r="AB23"/>
      <c r="AC23"/>
      <c r="AD23"/>
      <c r="AE23"/>
      <c r="AF23"/>
      <c r="AG23"/>
      <c r="AH23"/>
      <c r="AI23"/>
      <c r="AJ23"/>
      <c r="AK23"/>
      <c r="AL23"/>
    </row>
    <row r="24" spans="2:38" ht="15.95" customHeight="1">
      <c r="B24" s="59"/>
      <c r="C24"/>
      <c r="D24"/>
      <c r="E24"/>
      <c r="F24"/>
      <c r="G24"/>
      <c r="H24"/>
      <c r="I24"/>
      <c r="J24"/>
      <c r="K24"/>
      <c r="L24"/>
      <c r="M24"/>
      <c r="N24"/>
      <c r="O24"/>
      <c r="P24"/>
      <c r="Q24"/>
      <c r="R24"/>
      <c r="S24"/>
      <c r="T24"/>
      <c r="U24"/>
      <c r="V24"/>
      <c r="W24"/>
      <c r="X24"/>
      <c r="Y24"/>
      <c r="Z24"/>
      <c r="AA24"/>
      <c r="AB24"/>
      <c r="AC24"/>
      <c r="AD24"/>
      <c r="AE24"/>
      <c r="AF24"/>
      <c r="AG24"/>
      <c r="AH24"/>
      <c r="AI24"/>
      <c r="AJ24"/>
      <c r="AK24"/>
      <c r="AL24"/>
    </row>
    <row r="25" spans="2:38" ht="15.95" customHeight="1">
      <c r="B25" s="59"/>
      <c r="C25"/>
      <c r="D25"/>
      <c r="E25"/>
      <c r="F25"/>
      <c r="G25"/>
      <c r="H25"/>
      <c r="I25"/>
      <c r="J25"/>
      <c r="K25"/>
      <c r="L25"/>
      <c r="M25"/>
      <c r="N25"/>
      <c r="O25"/>
      <c r="P25"/>
      <c r="Q25"/>
      <c r="R25"/>
      <c r="S25"/>
      <c r="T25"/>
      <c r="U25"/>
      <c r="V25"/>
      <c r="W25"/>
      <c r="X25"/>
      <c r="Y25"/>
      <c r="Z25"/>
      <c r="AA25"/>
      <c r="AB25"/>
      <c r="AC25"/>
      <c r="AD25"/>
      <c r="AE25"/>
      <c r="AF25"/>
      <c r="AG25"/>
      <c r="AH25"/>
      <c r="AI25"/>
      <c r="AJ25"/>
      <c r="AK25"/>
      <c r="AL25"/>
    </row>
    <row r="26" spans="2:38" ht="15.95" customHeight="1">
      <c r="B26" s="59"/>
      <c r="C26"/>
      <c r="D26"/>
      <c r="E26"/>
      <c r="F26"/>
      <c r="G26"/>
      <c r="H26"/>
      <c r="I26"/>
      <c r="J26"/>
      <c r="K26"/>
      <c r="L26"/>
      <c r="M26"/>
      <c r="N26"/>
      <c r="O26"/>
      <c r="P26"/>
      <c r="Q26"/>
      <c r="R26"/>
      <c r="S26"/>
      <c r="T26"/>
      <c r="U26"/>
      <c r="V26"/>
      <c r="W26"/>
      <c r="X26"/>
      <c r="Y26"/>
      <c r="Z26"/>
      <c r="AA26"/>
      <c r="AB26"/>
      <c r="AC26"/>
      <c r="AD26"/>
      <c r="AE26"/>
      <c r="AF26"/>
      <c r="AG26"/>
      <c r="AH26"/>
      <c r="AI26"/>
      <c r="AJ26"/>
      <c r="AK26"/>
      <c r="AL26"/>
    </row>
    <row r="27" spans="2:38" ht="15.95" customHeight="1">
      <c r="B27" s="59"/>
      <c r="C27"/>
      <c r="D27"/>
      <c r="E27"/>
      <c r="F27"/>
      <c r="G27"/>
      <c r="H27"/>
      <c r="I27"/>
      <c r="J27"/>
      <c r="K27"/>
      <c r="L27"/>
      <c r="M27"/>
      <c r="N27"/>
      <c r="O27"/>
      <c r="P27"/>
      <c r="Q27"/>
      <c r="R27"/>
      <c r="S27"/>
      <c r="T27"/>
      <c r="U27"/>
      <c r="V27"/>
      <c r="W27"/>
      <c r="X27"/>
      <c r="Y27"/>
      <c r="Z27"/>
      <c r="AA27"/>
      <c r="AB27"/>
      <c r="AC27"/>
      <c r="AD27"/>
      <c r="AE27"/>
      <c r="AF27"/>
      <c r="AG27"/>
      <c r="AH27"/>
      <c r="AI27"/>
      <c r="AJ27"/>
      <c r="AK27"/>
      <c r="AL27"/>
    </row>
    <row r="28" spans="2:38" ht="15.95" customHeight="1">
      <c r="B28" s="59"/>
      <c r="C28"/>
      <c r="D28"/>
      <c r="E28"/>
      <c r="F28"/>
      <c r="G28"/>
      <c r="H28"/>
      <c r="I28"/>
      <c r="J28"/>
      <c r="K28"/>
      <c r="L28"/>
      <c r="M28"/>
      <c r="N28"/>
      <c r="O28"/>
      <c r="P28"/>
      <c r="Q28"/>
      <c r="R28"/>
      <c r="S28"/>
      <c r="T28"/>
      <c r="U28"/>
      <c r="V28"/>
      <c r="W28"/>
      <c r="X28"/>
      <c r="Y28"/>
      <c r="Z28"/>
      <c r="AA28"/>
      <c r="AB28"/>
      <c r="AC28"/>
      <c r="AD28"/>
      <c r="AE28"/>
      <c r="AF28"/>
      <c r="AG28"/>
      <c r="AH28"/>
      <c r="AI28"/>
      <c r="AJ28"/>
      <c r="AK28"/>
      <c r="AL28"/>
    </row>
    <row r="29" spans="2:38" ht="15.95" customHeight="1">
      <c r="B29" s="59"/>
      <c r="C29"/>
      <c r="D29"/>
      <c r="E29"/>
      <c r="F29"/>
      <c r="G29"/>
      <c r="H29"/>
      <c r="I29"/>
      <c r="J29"/>
      <c r="K29"/>
      <c r="L29"/>
      <c r="M29"/>
      <c r="N29"/>
      <c r="O29"/>
      <c r="P29"/>
      <c r="Q29"/>
      <c r="R29"/>
      <c r="S29"/>
      <c r="T29"/>
      <c r="U29"/>
      <c r="V29"/>
      <c r="W29"/>
      <c r="X29"/>
      <c r="Y29"/>
      <c r="Z29"/>
      <c r="AA29"/>
      <c r="AB29"/>
      <c r="AC29"/>
      <c r="AD29"/>
      <c r="AE29"/>
      <c r="AF29"/>
      <c r="AG29"/>
      <c r="AH29"/>
      <c r="AI29"/>
      <c r="AJ29"/>
      <c r="AK29"/>
      <c r="AL29"/>
    </row>
    <row r="30" spans="2:38" ht="15.95" customHeight="1">
      <c r="B30" s="59"/>
      <c r="C30"/>
      <c r="D30"/>
      <c r="E30"/>
      <c r="F30"/>
      <c r="G30"/>
      <c r="H30"/>
      <c r="I30"/>
      <c r="J30"/>
      <c r="K30"/>
      <c r="L30"/>
      <c r="M30"/>
      <c r="N30"/>
      <c r="O30"/>
      <c r="P30"/>
      <c r="Q30"/>
      <c r="R30"/>
      <c r="S30"/>
      <c r="T30"/>
      <c r="U30"/>
      <c r="V30"/>
      <c r="W30"/>
      <c r="X30"/>
      <c r="Y30"/>
      <c r="Z30"/>
      <c r="AA30"/>
      <c r="AB30"/>
      <c r="AC30"/>
      <c r="AD30"/>
      <c r="AE30"/>
      <c r="AF30"/>
      <c r="AG30"/>
      <c r="AH30"/>
      <c r="AI30"/>
      <c r="AJ30"/>
      <c r="AK30"/>
      <c r="AL30"/>
    </row>
    <row r="31" spans="2:38" ht="15.95" customHeight="1">
      <c r="B31" s="59"/>
      <c r="C31"/>
      <c r="D31"/>
      <c r="E31"/>
      <c r="F31"/>
      <c r="G31"/>
      <c r="H31"/>
      <c r="I31"/>
      <c r="J31"/>
      <c r="K31"/>
      <c r="L31"/>
      <c r="M31"/>
      <c r="N31"/>
      <c r="O31"/>
      <c r="P31"/>
      <c r="Q31"/>
      <c r="R31"/>
      <c r="S31"/>
      <c r="T31"/>
      <c r="U31"/>
      <c r="V31"/>
      <c r="W31"/>
      <c r="X31"/>
      <c r="Y31"/>
      <c r="Z31"/>
      <c r="AA31"/>
      <c r="AB31"/>
      <c r="AC31"/>
      <c r="AD31"/>
      <c r="AE31"/>
      <c r="AF31"/>
      <c r="AG31"/>
      <c r="AH31"/>
      <c r="AI31"/>
      <c r="AJ31"/>
      <c r="AK31"/>
      <c r="AL31"/>
    </row>
    <row r="32" spans="2:38" ht="15.95" customHeight="1">
      <c r="B32" s="59"/>
      <c r="C32"/>
      <c r="D32"/>
      <c r="E32"/>
      <c r="F32"/>
      <c r="G32"/>
      <c r="H32"/>
      <c r="I32"/>
      <c r="J32"/>
      <c r="K32"/>
      <c r="L32"/>
      <c r="M32"/>
      <c r="N32"/>
      <c r="O32"/>
      <c r="P32"/>
      <c r="Q32"/>
      <c r="R32"/>
      <c r="S32"/>
      <c r="T32"/>
      <c r="U32"/>
      <c r="V32"/>
      <c r="W32"/>
      <c r="X32"/>
      <c r="Y32"/>
      <c r="Z32"/>
      <c r="AA32"/>
      <c r="AB32"/>
      <c r="AC32"/>
      <c r="AD32"/>
      <c r="AE32"/>
      <c r="AF32"/>
      <c r="AG32"/>
      <c r="AH32"/>
      <c r="AI32"/>
      <c r="AJ32"/>
      <c r="AK32"/>
      <c r="AL32"/>
    </row>
    <row r="33" spans="2:38" ht="15.95" customHeight="1">
      <c r="B33" s="59"/>
      <c r="C33"/>
      <c r="D33"/>
      <c r="E33"/>
      <c r="F33"/>
      <c r="G33"/>
      <c r="H33"/>
      <c r="I33"/>
      <c r="J33"/>
      <c r="K33"/>
      <c r="L33"/>
      <c r="M33"/>
      <c r="N33"/>
      <c r="O33"/>
      <c r="P33"/>
      <c r="Q33"/>
      <c r="R33"/>
      <c r="S33"/>
      <c r="T33"/>
      <c r="U33"/>
      <c r="V33"/>
      <c r="W33"/>
      <c r="X33"/>
      <c r="Y33"/>
      <c r="Z33"/>
      <c r="AA33"/>
      <c r="AB33"/>
      <c r="AC33"/>
      <c r="AD33"/>
      <c r="AE33"/>
      <c r="AF33"/>
      <c r="AG33"/>
      <c r="AH33"/>
      <c r="AI33"/>
      <c r="AJ33"/>
      <c r="AK33"/>
      <c r="AL33"/>
    </row>
    <row r="34" spans="2:38" ht="15.95" customHeight="1">
      <c r="B34" s="59"/>
      <c r="C34"/>
      <c r="D34"/>
      <c r="E34"/>
      <c r="F34"/>
      <c r="G34"/>
      <c r="H34"/>
      <c r="I34"/>
      <c r="J34"/>
      <c r="K34"/>
      <c r="L34"/>
      <c r="M34"/>
      <c r="N34"/>
      <c r="O34"/>
      <c r="P34"/>
      <c r="Q34"/>
      <c r="R34"/>
      <c r="S34"/>
      <c r="T34"/>
      <c r="U34"/>
      <c r="V34"/>
      <c r="W34"/>
      <c r="X34"/>
      <c r="Y34"/>
      <c r="Z34"/>
      <c r="AA34"/>
      <c r="AB34"/>
      <c r="AC34"/>
      <c r="AD34"/>
      <c r="AE34"/>
      <c r="AF34"/>
      <c r="AG34"/>
      <c r="AH34"/>
      <c r="AI34"/>
      <c r="AJ34"/>
      <c r="AK34"/>
      <c r="AL34"/>
    </row>
    <row r="35" spans="2:38" ht="15.95" customHeight="1">
      <c r="B35" s="59"/>
      <c r="C35"/>
      <c r="D35"/>
      <c r="E35"/>
      <c r="F35"/>
      <c r="G35"/>
      <c r="H35"/>
      <c r="I35"/>
      <c r="J35"/>
      <c r="K35"/>
      <c r="L35"/>
      <c r="M35"/>
      <c r="N35"/>
      <c r="O35"/>
      <c r="P35"/>
      <c r="Q35"/>
      <c r="R35"/>
      <c r="S35"/>
      <c r="T35"/>
      <c r="U35"/>
      <c r="V35"/>
      <c r="W35"/>
      <c r="X35"/>
      <c r="Y35"/>
      <c r="Z35"/>
      <c r="AA35"/>
      <c r="AB35"/>
      <c r="AC35"/>
      <c r="AD35"/>
      <c r="AE35"/>
      <c r="AF35"/>
      <c r="AG35"/>
      <c r="AH35"/>
      <c r="AI35"/>
      <c r="AJ35"/>
      <c r="AK35"/>
      <c r="AL35"/>
    </row>
    <row r="36" spans="2:38" ht="15.95" customHeight="1">
      <c r="B36" s="59"/>
      <c r="C36"/>
      <c r="D36"/>
      <c r="E36"/>
      <c r="F36"/>
      <c r="G36"/>
      <c r="H36"/>
      <c r="I36"/>
      <c r="J36"/>
      <c r="K36"/>
      <c r="L36"/>
      <c r="M36"/>
      <c r="N36"/>
      <c r="O36"/>
      <c r="P36"/>
      <c r="Q36"/>
      <c r="R36"/>
      <c r="S36"/>
      <c r="T36"/>
      <c r="U36"/>
      <c r="V36"/>
      <c r="W36"/>
      <c r="X36"/>
      <c r="Y36"/>
      <c r="Z36"/>
      <c r="AA36"/>
      <c r="AB36"/>
      <c r="AC36"/>
      <c r="AD36"/>
      <c r="AE36"/>
      <c r="AF36"/>
      <c r="AG36"/>
      <c r="AH36"/>
      <c r="AI36"/>
      <c r="AJ36"/>
      <c r="AK36"/>
      <c r="AL36"/>
    </row>
    <row r="37" spans="2:38" ht="15.95" customHeight="1">
      <c r="B37" s="59"/>
      <c r="C37"/>
      <c r="D37"/>
      <c r="E37"/>
      <c r="F37"/>
      <c r="G37"/>
      <c r="H37"/>
      <c r="I37"/>
      <c r="J37"/>
      <c r="K37"/>
      <c r="L37"/>
      <c r="M37"/>
      <c r="N37"/>
      <c r="O37"/>
      <c r="P37"/>
      <c r="Q37"/>
      <c r="R37"/>
      <c r="S37"/>
      <c r="T37"/>
      <c r="U37"/>
      <c r="V37"/>
      <c r="W37"/>
      <c r="X37"/>
      <c r="Y37"/>
      <c r="Z37"/>
      <c r="AA37"/>
      <c r="AB37"/>
      <c r="AC37"/>
      <c r="AD37"/>
      <c r="AE37"/>
      <c r="AF37"/>
      <c r="AG37"/>
      <c r="AH37"/>
      <c r="AI37"/>
      <c r="AJ37"/>
      <c r="AK37"/>
      <c r="AL37"/>
    </row>
    <row r="38" spans="2:38" ht="15.95" hidden="1" customHeight="1">
      <c r="B38" s="59"/>
      <c r="C38"/>
      <c r="D38"/>
      <c r="E38"/>
      <c r="F38"/>
      <c r="G38"/>
      <c r="H38"/>
      <c r="I38"/>
      <c r="J38"/>
      <c r="K38"/>
      <c r="L38"/>
      <c r="M38"/>
      <c r="N38"/>
      <c r="O38"/>
      <c r="P38"/>
      <c r="Q38"/>
      <c r="R38"/>
      <c r="S38"/>
      <c r="T38"/>
      <c r="U38"/>
      <c r="V38"/>
      <c r="W38"/>
      <c r="X38"/>
      <c r="Y38"/>
      <c r="Z38"/>
      <c r="AA38"/>
      <c r="AB38"/>
      <c r="AC38"/>
      <c r="AD38"/>
      <c r="AE38"/>
      <c r="AF38"/>
      <c r="AG38"/>
      <c r="AH38"/>
      <c r="AI38"/>
      <c r="AJ38"/>
      <c r="AK38"/>
      <c r="AL38"/>
    </row>
    <row r="39" spans="2:38" ht="15.95" hidden="1" customHeight="1">
      <c r="B39" s="59"/>
      <c r="C39"/>
      <c r="D39"/>
      <c r="E39"/>
      <c r="F39"/>
      <c r="G39"/>
      <c r="H39"/>
      <c r="I39"/>
      <c r="J39"/>
      <c r="K39"/>
      <c r="L39"/>
      <c r="M39"/>
      <c r="N39"/>
      <c r="O39"/>
      <c r="P39"/>
      <c r="Q39"/>
      <c r="R39"/>
      <c r="S39"/>
      <c r="T39"/>
      <c r="U39"/>
      <c r="V39"/>
      <c r="W39"/>
      <c r="X39"/>
      <c r="Y39"/>
      <c r="Z39"/>
      <c r="AA39"/>
      <c r="AB39"/>
      <c r="AC39"/>
      <c r="AD39"/>
      <c r="AE39"/>
      <c r="AF39"/>
      <c r="AG39"/>
      <c r="AH39"/>
      <c r="AI39"/>
      <c r="AJ39"/>
      <c r="AK39"/>
      <c r="AL39"/>
    </row>
    <row r="40" spans="2:38" ht="15.95" hidden="1" customHeight="1">
      <c r="B40" s="59"/>
      <c r="C40"/>
      <c r="D40"/>
      <c r="E40"/>
      <c r="F40"/>
      <c r="G40"/>
      <c r="H40"/>
      <c r="I40"/>
      <c r="J40"/>
      <c r="K40"/>
      <c r="L40"/>
      <c r="M40"/>
      <c r="N40"/>
      <c r="O40"/>
      <c r="P40"/>
      <c r="Q40"/>
      <c r="R40"/>
      <c r="S40"/>
      <c r="T40"/>
      <c r="U40"/>
      <c r="V40"/>
      <c r="W40"/>
      <c r="X40"/>
      <c r="Y40"/>
      <c r="Z40"/>
      <c r="AA40"/>
      <c r="AB40"/>
      <c r="AC40"/>
      <c r="AD40"/>
      <c r="AE40"/>
      <c r="AF40"/>
      <c r="AG40"/>
      <c r="AH40"/>
      <c r="AI40"/>
      <c r="AJ40"/>
      <c r="AK40"/>
      <c r="AL40"/>
    </row>
    <row r="41" spans="2:38" ht="15.95" hidden="1" customHeight="1">
      <c r="B41" s="59"/>
      <c r="C41"/>
      <c r="D41"/>
      <c r="E41"/>
      <c r="F41"/>
      <c r="G41"/>
      <c r="H41"/>
      <c r="I41"/>
      <c r="J41"/>
      <c r="K41"/>
      <c r="L41"/>
      <c r="M41"/>
      <c r="N41"/>
      <c r="O41"/>
      <c r="P41"/>
      <c r="Q41"/>
      <c r="R41"/>
      <c r="S41"/>
      <c r="T41"/>
      <c r="U41"/>
      <c r="V41"/>
      <c r="W41"/>
      <c r="X41"/>
      <c r="Y41"/>
      <c r="Z41"/>
      <c r="AA41"/>
      <c r="AB41"/>
      <c r="AC41"/>
      <c r="AD41"/>
      <c r="AE41"/>
      <c r="AF41"/>
      <c r="AG41"/>
      <c r="AH41"/>
      <c r="AI41"/>
      <c r="AJ41"/>
      <c r="AK41"/>
      <c r="AL41"/>
    </row>
    <row r="42" spans="2:38" ht="15.95" hidden="1" customHeight="1">
      <c r="B42" s="59"/>
      <c r="C42"/>
      <c r="D42"/>
      <c r="E42"/>
      <c r="F42"/>
      <c r="G42"/>
      <c r="H42"/>
      <c r="I42"/>
      <c r="J42"/>
      <c r="K42"/>
      <c r="L42"/>
      <c r="M42"/>
      <c r="N42"/>
      <c r="O42"/>
      <c r="P42"/>
      <c r="Q42"/>
      <c r="R42"/>
      <c r="S42"/>
      <c r="T42"/>
      <c r="U42"/>
      <c r="V42"/>
      <c r="W42"/>
      <c r="X42"/>
      <c r="Y42"/>
      <c r="Z42"/>
      <c r="AA42"/>
      <c r="AB42"/>
      <c r="AC42"/>
      <c r="AD42"/>
      <c r="AE42"/>
      <c r="AF42"/>
      <c r="AG42"/>
      <c r="AH42"/>
      <c r="AI42"/>
      <c r="AJ42"/>
      <c r="AK42"/>
      <c r="AL42"/>
    </row>
    <row r="43" spans="2:38" ht="15.95" hidden="1" customHeight="1">
      <c r="B43" s="59"/>
      <c r="C43"/>
      <c r="D43"/>
      <c r="E43"/>
      <c r="F43"/>
      <c r="G43"/>
      <c r="H43"/>
      <c r="I43"/>
      <c r="J43"/>
      <c r="K43"/>
      <c r="L43"/>
      <c r="M43"/>
      <c r="N43"/>
      <c r="O43"/>
      <c r="P43"/>
      <c r="Q43"/>
      <c r="R43"/>
      <c r="S43"/>
      <c r="T43"/>
      <c r="U43"/>
      <c r="V43"/>
      <c r="W43"/>
      <c r="X43"/>
      <c r="Y43"/>
      <c r="Z43"/>
      <c r="AA43"/>
      <c r="AB43"/>
      <c r="AC43"/>
      <c r="AD43"/>
      <c r="AE43"/>
      <c r="AF43"/>
      <c r="AG43"/>
      <c r="AH43"/>
      <c r="AI43"/>
      <c r="AJ43"/>
      <c r="AK43"/>
      <c r="AL43"/>
    </row>
    <row r="44" spans="2:38" ht="15.95" hidden="1" customHeight="1">
      <c r="B44" s="59"/>
      <c r="C44"/>
      <c r="D44"/>
      <c r="E44"/>
      <c r="F44"/>
      <c r="G44"/>
      <c r="H44"/>
      <c r="I44"/>
      <c r="J44"/>
      <c r="K44"/>
      <c r="L44"/>
      <c r="M44"/>
      <c r="N44"/>
      <c r="O44"/>
      <c r="P44"/>
      <c r="Q44"/>
      <c r="R44"/>
      <c r="S44"/>
      <c r="T44"/>
      <c r="U44"/>
      <c r="V44"/>
      <c r="W44"/>
      <c r="X44"/>
      <c r="Y44"/>
      <c r="Z44"/>
      <c r="AA44"/>
      <c r="AB44"/>
      <c r="AC44"/>
      <c r="AD44"/>
      <c r="AE44"/>
      <c r="AF44"/>
      <c r="AG44"/>
      <c r="AH44"/>
      <c r="AI44"/>
      <c r="AJ44"/>
      <c r="AK44"/>
      <c r="AL44"/>
    </row>
    <row r="45" spans="2:38" ht="15.95" hidden="1" customHeight="1">
      <c r="B45" s="59"/>
      <c r="C45"/>
      <c r="D45"/>
      <c r="E45"/>
      <c r="F45"/>
      <c r="G45"/>
      <c r="H45"/>
      <c r="I45"/>
      <c r="J45"/>
      <c r="K45"/>
      <c r="L45"/>
      <c r="M45"/>
      <c r="N45"/>
      <c r="O45"/>
      <c r="P45"/>
      <c r="Q45"/>
      <c r="R45"/>
      <c r="S45"/>
      <c r="T45"/>
      <c r="U45"/>
      <c r="V45"/>
      <c r="W45"/>
      <c r="X45"/>
      <c r="Y45"/>
      <c r="Z45"/>
      <c r="AA45"/>
      <c r="AB45"/>
      <c r="AC45"/>
      <c r="AD45"/>
      <c r="AE45"/>
      <c r="AF45"/>
      <c r="AG45"/>
      <c r="AH45"/>
      <c r="AI45"/>
      <c r="AJ45"/>
      <c r="AK45"/>
      <c r="AL45"/>
    </row>
    <row r="46" spans="2:38" ht="15.95" hidden="1" customHeight="1">
      <c r="B46" s="59"/>
      <c r="C46"/>
      <c r="D46"/>
      <c r="E46"/>
      <c r="F46"/>
      <c r="G46"/>
      <c r="H46"/>
      <c r="I46"/>
      <c r="J46"/>
      <c r="K46"/>
      <c r="L46"/>
      <c r="M46"/>
      <c r="N46"/>
      <c r="O46"/>
      <c r="P46"/>
      <c r="Q46"/>
      <c r="R46"/>
      <c r="S46"/>
      <c r="T46"/>
      <c r="U46"/>
      <c r="V46"/>
      <c r="W46"/>
      <c r="X46"/>
      <c r="Y46"/>
      <c r="Z46"/>
      <c r="AA46"/>
      <c r="AB46"/>
      <c r="AC46"/>
      <c r="AD46"/>
      <c r="AE46"/>
      <c r="AF46"/>
      <c r="AG46"/>
      <c r="AH46"/>
      <c r="AI46"/>
      <c r="AJ46"/>
      <c r="AK46"/>
      <c r="AL46"/>
    </row>
    <row r="47" spans="2:38" ht="15.95" hidden="1" customHeight="1">
      <c r="B47" s="59"/>
      <c r="C47"/>
      <c r="D47"/>
      <c r="E47"/>
      <c r="F47"/>
      <c r="G47"/>
      <c r="H47"/>
      <c r="I47"/>
      <c r="J47"/>
      <c r="K47"/>
      <c r="L47"/>
      <c r="M47"/>
      <c r="N47"/>
      <c r="O47"/>
      <c r="P47"/>
      <c r="Q47"/>
      <c r="R47"/>
      <c r="S47"/>
      <c r="T47"/>
      <c r="U47"/>
      <c r="V47"/>
      <c r="W47"/>
      <c r="X47"/>
      <c r="Y47"/>
      <c r="Z47"/>
      <c r="AA47"/>
      <c r="AB47"/>
      <c r="AC47"/>
      <c r="AD47"/>
      <c r="AE47"/>
      <c r="AF47"/>
      <c r="AG47"/>
      <c r="AH47"/>
      <c r="AI47"/>
      <c r="AJ47"/>
      <c r="AK47"/>
      <c r="AL47"/>
    </row>
    <row r="48" spans="2:38" ht="15.95" hidden="1" customHeight="1">
      <c r="B48" s="59"/>
      <c r="C48"/>
      <c r="D48"/>
      <c r="E48"/>
      <c r="F48"/>
      <c r="G48"/>
      <c r="H48"/>
      <c r="I48"/>
      <c r="J48"/>
      <c r="K48"/>
      <c r="L48"/>
      <c r="M48"/>
      <c r="N48"/>
      <c r="O48"/>
      <c r="P48"/>
      <c r="Q48"/>
      <c r="R48"/>
      <c r="S48"/>
      <c r="T48"/>
      <c r="U48"/>
      <c r="V48"/>
      <c r="W48"/>
      <c r="X48"/>
      <c r="Y48"/>
      <c r="Z48"/>
      <c r="AA48"/>
      <c r="AB48"/>
      <c r="AC48"/>
      <c r="AD48"/>
      <c r="AE48"/>
      <c r="AF48"/>
      <c r="AG48"/>
      <c r="AH48"/>
      <c r="AI48"/>
      <c r="AJ48"/>
      <c r="AK48"/>
      <c r="AL48"/>
    </row>
    <row r="49" spans="2:38" ht="15.95" hidden="1" customHeight="1">
      <c r="B49" s="59"/>
      <c r="C49"/>
      <c r="D49"/>
      <c r="E49"/>
      <c r="F49"/>
      <c r="G49"/>
      <c r="H49"/>
      <c r="I49"/>
      <c r="J49"/>
      <c r="K49"/>
      <c r="L49"/>
      <c r="M49"/>
      <c r="N49"/>
      <c r="O49"/>
      <c r="P49"/>
      <c r="Q49"/>
      <c r="R49"/>
      <c r="S49"/>
      <c r="T49"/>
      <c r="U49"/>
      <c r="V49"/>
      <c r="W49"/>
      <c r="X49"/>
      <c r="Y49"/>
      <c r="Z49"/>
      <c r="AA49"/>
      <c r="AB49"/>
      <c r="AC49"/>
      <c r="AD49"/>
      <c r="AE49"/>
      <c r="AF49"/>
      <c r="AG49"/>
      <c r="AH49"/>
      <c r="AI49"/>
      <c r="AJ49"/>
      <c r="AK49"/>
      <c r="AL49"/>
    </row>
    <row r="50" spans="2:38" ht="15.95" hidden="1" customHeight="1">
      <c r="B50" s="59"/>
      <c r="C50"/>
      <c r="D50"/>
      <c r="E50"/>
      <c r="F50"/>
      <c r="G50"/>
      <c r="H50"/>
      <c r="I50"/>
      <c r="J50"/>
      <c r="K50"/>
      <c r="L50"/>
      <c r="M50"/>
      <c r="N50"/>
      <c r="O50"/>
      <c r="P50"/>
      <c r="Q50"/>
      <c r="R50"/>
      <c r="S50"/>
      <c r="T50"/>
      <c r="U50"/>
      <c r="V50"/>
      <c r="W50"/>
      <c r="X50"/>
      <c r="Y50"/>
      <c r="Z50"/>
      <c r="AA50"/>
      <c r="AB50"/>
      <c r="AC50"/>
      <c r="AD50"/>
      <c r="AE50"/>
      <c r="AF50"/>
      <c r="AG50"/>
      <c r="AH50"/>
      <c r="AI50"/>
      <c r="AJ50"/>
      <c r="AK50"/>
      <c r="AL50"/>
    </row>
    <row r="51" spans="2:38" ht="15.95" hidden="1" customHeight="1">
      <c r="B51" s="59"/>
      <c r="C51"/>
      <c r="D51"/>
      <c r="E51"/>
      <c r="F51"/>
      <c r="G51"/>
      <c r="H51"/>
      <c r="I51"/>
      <c r="J51"/>
      <c r="K51"/>
      <c r="L51"/>
      <c r="M51"/>
      <c r="N51"/>
      <c r="O51"/>
      <c r="P51"/>
      <c r="Q51"/>
      <c r="R51"/>
      <c r="S51"/>
      <c r="T51"/>
      <c r="U51"/>
      <c r="V51"/>
      <c r="W51"/>
      <c r="X51"/>
      <c r="Y51"/>
      <c r="Z51"/>
      <c r="AA51"/>
      <c r="AB51"/>
      <c r="AC51"/>
      <c r="AD51"/>
      <c r="AE51"/>
      <c r="AF51"/>
      <c r="AG51"/>
      <c r="AH51"/>
      <c r="AI51"/>
      <c r="AJ51"/>
      <c r="AK51"/>
      <c r="AL51"/>
    </row>
    <row r="52" spans="2:38" ht="15.95" hidden="1" customHeight="1">
      <c r="B52" s="59"/>
      <c r="C52"/>
      <c r="D52"/>
      <c r="E52"/>
      <c r="F52"/>
      <c r="G52"/>
      <c r="H52"/>
      <c r="I52"/>
      <c r="J52"/>
      <c r="K52"/>
      <c r="L52"/>
      <c r="M52"/>
      <c r="N52"/>
      <c r="O52"/>
      <c r="P52"/>
      <c r="Q52"/>
      <c r="R52"/>
      <c r="S52"/>
      <c r="T52"/>
      <c r="U52"/>
      <c r="V52"/>
      <c r="W52"/>
      <c r="X52"/>
      <c r="Y52"/>
      <c r="Z52"/>
      <c r="AA52"/>
      <c r="AB52"/>
      <c r="AC52"/>
      <c r="AD52"/>
      <c r="AE52"/>
      <c r="AF52"/>
      <c r="AG52"/>
      <c r="AH52"/>
      <c r="AI52"/>
      <c r="AJ52"/>
      <c r="AK52"/>
      <c r="AL52"/>
    </row>
    <row r="53" spans="2:38" ht="15.95" hidden="1" customHeight="1">
      <c r="B53" s="59"/>
      <c r="C53"/>
      <c r="D53"/>
      <c r="E53"/>
      <c r="F53"/>
      <c r="G53"/>
      <c r="H53"/>
      <c r="I53"/>
      <c r="J53"/>
      <c r="K53"/>
      <c r="L53"/>
      <c r="M53"/>
      <c r="N53"/>
      <c r="O53"/>
      <c r="P53"/>
      <c r="Q53"/>
      <c r="R53"/>
      <c r="S53"/>
      <c r="T53"/>
      <c r="U53"/>
      <c r="V53"/>
      <c r="W53"/>
      <c r="X53"/>
      <c r="Y53"/>
      <c r="Z53"/>
      <c r="AA53"/>
      <c r="AB53"/>
      <c r="AC53"/>
      <c r="AD53"/>
      <c r="AE53"/>
      <c r="AF53"/>
      <c r="AG53"/>
      <c r="AH53"/>
      <c r="AI53"/>
      <c r="AJ53"/>
      <c r="AK53"/>
      <c r="AL53"/>
    </row>
    <row r="54" spans="2:38" ht="15.95" hidden="1" customHeight="1">
      <c r="B54" s="59"/>
      <c r="C54"/>
      <c r="D54"/>
      <c r="E54"/>
      <c r="F54"/>
      <c r="G54"/>
      <c r="H54"/>
      <c r="I54"/>
      <c r="J54"/>
      <c r="K54"/>
      <c r="L54"/>
      <c r="M54"/>
      <c r="N54"/>
      <c r="O54"/>
      <c r="P54"/>
      <c r="Q54"/>
      <c r="R54"/>
      <c r="S54"/>
      <c r="T54"/>
      <c r="U54"/>
      <c r="V54"/>
      <c r="W54"/>
      <c r="X54"/>
      <c r="Y54"/>
      <c r="Z54"/>
      <c r="AA54"/>
      <c r="AB54"/>
      <c r="AC54"/>
      <c r="AD54"/>
      <c r="AE54"/>
      <c r="AF54"/>
      <c r="AG54"/>
      <c r="AH54"/>
      <c r="AI54"/>
      <c r="AJ54"/>
      <c r="AK54"/>
      <c r="AL54"/>
    </row>
    <row r="55" spans="2:38" ht="15.95" hidden="1" customHeight="1">
      <c r="B55" s="59"/>
      <c r="C55"/>
      <c r="D55"/>
      <c r="E55"/>
      <c r="F55"/>
      <c r="G55"/>
      <c r="H55"/>
      <c r="I55"/>
      <c r="J55"/>
      <c r="K55"/>
      <c r="L55"/>
      <c r="M55"/>
      <c r="N55"/>
      <c r="O55"/>
      <c r="P55"/>
      <c r="Q55"/>
      <c r="R55"/>
      <c r="S55"/>
      <c r="T55"/>
      <c r="U55"/>
      <c r="V55"/>
      <c r="W55"/>
      <c r="X55"/>
      <c r="Y55"/>
      <c r="Z55"/>
      <c r="AA55"/>
      <c r="AB55"/>
      <c r="AC55"/>
      <c r="AD55"/>
      <c r="AE55"/>
      <c r="AF55"/>
      <c r="AG55"/>
      <c r="AH55"/>
      <c r="AI55"/>
      <c r="AJ55"/>
      <c r="AK55"/>
      <c r="AL55"/>
    </row>
    <row r="56" spans="2:38" ht="15.95" hidden="1" customHeight="1">
      <c r="B56" s="59"/>
      <c r="C56"/>
      <c r="D56"/>
      <c r="E56"/>
      <c r="F56"/>
      <c r="G56"/>
      <c r="H56"/>
      <c r="I56"/>
      <c r="J56"/>
      <c r="K56"/>
      <c r="L56"/>
      <c r="M56"/>
      <c r="N56"/>
      <c r="O56"/>
      <c r="P56"/>
      <c r="Q56"/>
      <c r="R56"/>
      <c r="S56"/>
      <c r="T56"/>
      <c r="U56"/>
      <c r="V56"/>
      <c r="W56"/>
      <c r="X56"/>
      <c r="Y56"/>
      <c r="Z56"/>
      <c r="AA56"/>
      <c r="AB56"/>
      <c r="AC56"/>
      <c r="AD56"/>
      <c r="AE56"/>
      <c r="AF56"/>
      <c r="AG56"/>
      <c r="AH56"/>
      <c r="AI56"/>
      <c r="AJ56"/>
      <c r="AK56"/>
      <c r="AL56"/>
    </row>
    <row r="57" spans="2:38" ht="15.95" hidden="1" customHeight="1">
      <c r="B57" s="59"/>
      <c r="C57"/>
      <c r="D57"/>
      <c r="E57"/>
      <c r="F57"/>
      <c r="G57"/>
      <c r="H57"/>
      <c r="I57"/>
      <c r="J57"/>
      <c r="K57"/>
      <c r="L57"/>
      <c r="M57"/>
      <c r="N57"/>
      <c r="O57"/>
      <c r="P57"/>
      <c r="Q57"/>
      <c r="R57"/>
      <c r="S57"/>
      <c r="T57"/>
      <c r="U57"/>
      <c r="V57"/>
      <c r="W57"/>
      <c r="X57"/>
      <c r="Y57"/>
      <c r="Z57"/>
      <c r="AA57"/>
      <c r="AB57"/>
      <c r="AC57"/>
      <c r="AD57"/>
      <c r="AE57"/>
      <c r="AF57"/>
      <c r="AG57"/>
      <c r="AH57"/>
      <c r="AI57"/>
      <c r="AJ57"/>
      <c r="AK57"/>
      <c r="AL57"/>
    </row>
    <row r="58" spans="2:38" ht="27" hidden="1" customHeight="1">
      <c r="B58" s="59"/>
      <c r="C58"/>
      <c r="D58"/>
      <c r="E58"/>
      <c r="F58"/>
      <c r="G58"/>
      <c r="H58"/>
      <c r="I58"/>
      <c r="J58"/>
      <c r="K58"/>
      <c r="L58"/>
      <c r="M58"/>
      <c r="N58"/>
      <c r="O58"/>
      <c r="P58"/>
      <c r="Q58"/>
      <c r="R58"/>
      <c r="S58"/>
      <c r="T58"/>
      <c r="U58"/>
      <c r="V58"/>
      <c r="W58"/>
      <c r="X58"/>
      <c r="Y58"/>
      <c r="Z58"/>
      <c r="AA58"/>
      <c r="AB58"/>
      <c r="AC58"/>
      <c r="AD58"/>
      <c r="AE58"/>
      <c r="AF58"/>
      <c r="AG58"/>
      <c r="AH58"/>
      <c r="AI58"/>
      <c r="AJ58"/>
      <c r="AK58"/>
      <c r="AL58"/>
    </row>
    <row r="59" spans="2:38" ht="27" hidden="1" customHeight="1">
      <c r="B59" s="59"/>
      <c r="C59"/>
      <c r="D59"/>
      <c r="E59"/>
      <c r="F59"/>
      <c r="G59"/>
      <c r="H59"/>
      <c r="I59"/>
      <c r="J59"/>
      <c r="K59"/>
      <c r="L59"/>
      <c r="M59"/>
      <c r="N59"/>
      <c r="O59"/>
      <c r="P59"/>
      <c r="Q59"/>
      <c r="R59"/>
      <c r="S59"/>
      <c r="T59"/>
      <c r="U59"/>
      <c r="V59"/>
      <c r="W59"/>
      <c r="X59"/>
      <c r="Y59"/>
      <c r="Z59"/>
      <c r="AA59"/>
      <c r="AB59"/>
      <c r="AC59"/>
      <c r="AD59"/>
      <c r="AE59"/>
      <c r="AF59"/>
      <c r="AG59"/>
      <c r="AH59"/>
      <c r="AI59"/>
      <c r="AJ59"/>
      <c r="AK59"/>
      <c r="AL59"/>
    </row>
    <row r="60" spans="2:38" ht="27" hidden="1" customHeight="1">
      <c r="B60" s="59"/>
      <c r="C60"/>
      <c r="D60"/>
      <c r="E60"/>
      <c r="F60"/>
      <c r="G60"/>
      <c r="H60"/>
      <c r="I60"/>
      <c r="J60"/>
      <c r="K60"/>
      <c r="L60"/>
      <c r="M60"/>
      <c r="N60"/>
      <c r="O60"/>
      <c r="P60"/>
      <c r="Q60"/>
      <c r="R60"/>
      <c r="S60"/>
      <c r="T60"/>
      <c r="U60"/>
      <c r="V60"/>
      <c r="W60"/>
      <c r="X60"/>
      <c r="Y60"/>
      <c r="Z60"/>
      <c r="AA60"/>
      <c r="AB60"/>
      <c r="AC60"/>
      <c r="AD60"/>
      <c r="AE60"/>
      <c r="AF60"/>
      <c r="AG60"/>
      <c r="AH60"/>
      <c r="AI60"/>
      <c r="AJ60"/>
      <c r="AK60"/>
      <c r="AL60"/>
    </row>
    <row r="61" spans="2:38" ht="15.95" hidden="1" customHeight="1">
      <c r="B61" s="59"/>
      <c r="C61"/>
      <c r="D61"/>
      <c r="E61"/>
      <c r="F61"/>
      <c r="G61"/>
      <c r="H61"/>
      <c r="I61"/>
      <c r="J61"/>
      <c r="K61"/>
      <c r="L61"/>
      <c r="M61"/>
      <c r="N61"/>
      <c r="O61"/>
      <c r="P61"/>
      <c r="Q61"/>
      <c r="R61"/>
      <c r="S61"/>
      <c r="T61"/>
      <c r="U61"/>
      <c r="V61"/>
      <c r="W61"/>
      <c r="X61"/>
      <c r="Y61"/>
      <c r="Z61"/>
      <c r="AA61"/>
      <c r="AB61"/>
      <c r="AC61"/>
      <c r="AD61"/>
      <c r="AE61"/>
      <c r="AF61"/>
      <c r="AG61"/>
      <c r="AH61"/>
      <c r="AI61"/>
      <c r="AJ61"/>
      <c r="AK61"/>
      <c r="AL61"/>
    </row>
    <row r="62" spans="2:38" ht="15.95" hidden="1" customHeight="1">
      <c r="B62" s="59"/>
      <c r="C62"/>
      <c r="D62"/>
      <c r="E62"/>
      <c r="F62"/>
      <c r="G62"/>
      <c r="H62"/>
      <c r="I62"/>
      <c r="J62"/>
      <c r="K62"/>
      <c r="L62"/>
      <c r="M62"/>
      <c r="N62"/>
      <c r="O62"/>
      <c r="P62"/>
      <c r="Q62"/>
      <c r="R62"/>
      <c r="S62"/>
      <c r="T62"/>
      <c r="U62"/>
      <c r="V62"/>
      <c r="W62"/>
      <c r="X62"/>
      <c r="Y62"/>
      <c r="Z62"/>
      <c r="AA62"/>
      <c r="AB62"/>
      <c r="AC62"/>
      <c r="AD62"/>
      <c r="AE62"/>
      <c r="AF62"/>
      <c r="AG62"/>
      <c r="AH62"/>
      <c r="AI62"/>
      <c r="AJ62"/>
      <c r="AK62"/>
      <c r="AL62"/>
    </row>
    <row r="63" spans="2:38" ht="15.95" hidden="1" customHeight="1">
      <c r="B63" s="59"/>
      <c r="C63"/>
      <c r="D63"/>
      <c r="E63"/>
      <c r="F63"/>
      <c r="G63"/>
      <c r="H63"/>
      <c r="I63"/>
      <c r="J63"/>
      <c r="K63"/>
      <c r="L63"/>
      <c r="M63"/>
      <c r="N63"/>
      <c r="O63"/>
      <c r="P63"/>
      <c r="Q63"/>
      <c r="R63"/>
      <c r="S63"/>
      <c r="T63"/>
      <c r="U63"/>
      <c r="V63"/>
      <c r="W63"/>
      <c r="X63"/>
      <c r="Y63"/>
      <c r="Z63"/>
      <c r="AA63"/>
      <c r="AB63"/>
      <c r="AC63"/>
      <c r="AD63"/>
      <c r="AE63"/>
      <c r="AF63"/>
      <c r="AG63"/>
      <c r="AH63"/>
      <c r="AI63"/>
      <c r="AJ63"/>
      <c r="AK63"/>
      <c r="AL63"/>
    </row>
    <row r="64" spans="2:38" ht="15.95" hidden="1" customHeight="1">
      <c r="B64" s="59"/>
      <c r="C64"/>
      <c r="D64"/>
      <c r="E64"/>
      <c r="F64"/>
      <c r="G64"/>
      <c r="H64"/>
      <c r="I64"/>
      <c r="J64"/>
      <c r="K64"/>
      <c r="L64"/>
      <c r="M64"/>
      <c r="N64"/>
      <c r="O64"/>
      <c r="P64"/>
      <c r="Q64"/>
      <c r="R64"/>
      <c r="S64"/>
      <c r="T64"/>
      <c r="U64"/>
      <c r="V64"/>
      <c r="W64"/>
      <c r="X64"/>
      <c r="Y64"/>
      <c r="Z64"/>
      <c r="AA64"/>
      <c r="AB64"/>
      <c r="AC64"/>
      <c r="AD64"/>
      <c r="AE64"/>
      <c r="AF64"/>
      <c r="AG64"/>
      <c r="AH64"/>
      <c r="AI64"/>
      <c r="AJ64"/>
      <c r="AK64"/>
      <c r="AL64"/>
    </row>
    <row r="65" spans="2:38" ht="27" hidden="1" customHeight="1">
      <c r="B65" s="59"/>
      <c r="C65"/>
      <c r="D65"/>
      <c r="E65"/>
      <c r="F65"/>
      <c r="G65"/>
      <c r="H65"/>
      <c r="I65"/>
      <c r="J65"/>
      <c r="K65"/>
      <c r="L65"/>
      <c r="M65"/>
      <c r="N65"/>
      <c r="O65"/>
      <c r="P65"/>
      <c r="Q65"/>
      <c r="R65"/>
      <c r="S65"/>
      <c r="T65"/>
      <c r="U65"/>
      <c r="V65"/>
      <c r="W65"/>
      <c r="X65"/>
      <c r="Y65"/>
      <c r="Z65"/>
      <c r="AA65"/>
      <c r="AB65"/>
      <c r="AC65"/>
      <c r="AD65"/>
      <c r="AE65"/>
      <c r="AF65"/>
      <c r="AG65"/>
      <c r="AH65"/>
      <c r="AI65"/>
      <c r="AJ65"/>
      <c r="AK65"/>
      <c r="AL65"/>
    </row>
    <row r="66" spans="2:38" ht="27" hidden="1" customHeight="1">
      <c r="B66" s="59"/>
      <c r="C66"/>
      <c r="D66"/>
      <c r="E66"/>
      <c r="F66"/>
      <c r="G66"/>
      <c r="H66"/>
      <c r="I66"/>
      <c r="J66"/>
      <c r="K66"/>
      <c r="L66"/>
      <c r="M66"/>
      <c r="N66"/>
      <c r="O66"/>
      <c r="P66"/>
      <c r="Q66"/>
      <c r="R66"/>
      <c r="S66"/>
      <c r="T66"/>
      <c r="U66"/>
      <c r="V66"/>
      <c r="W66"/>
      <c r="X66"/>
      <c r="Y66"/>
      <c r="Z66"/>
      <c r="AA66"/>
      <c r="AB66"/>
      <c r="AC66"/>
      <c r="AD66"/>
      <c r="AE66"/>
      <c r="AF66"/>
      <c r="AG66"/>
      <c r="AH66"/>
      <c r="AI66"/>
      <c r="AJ66"/>
      <c r="AK66"/>
      <c r="AL66"/>
    </row>
    <row r="67" spans="2:38" ht="27" hidden="1" customHeight="1">
      <c r="B67" s="59"/>
      <c r="C67"/>
      <c r="D67"/>
      <c r="E67"/>
      <c r="F67"/>
      <c r="G67"/>
      <c r="H67"/>
      <c r="I67"/>
      <c r="J67"/>
      <c r="K67"/>
      <c r="L67"/>
      <c r="M67"/>
      <c r="N67"/>
      <c r="O67"/>
      <c r="P67"/>
      <c r="Q67"/>
      <c r="R67"/>
      <c r="S67"/>
      <c r="T67"/>
      <c r="U67"/>
      <c r="V67"/>
      <c r="W67"/>
      <c r="X67"/>
      <c r="Y67"/>
      <c r="Z67"/>
      <c r="AA67"/>
      <c r="AB67"/>
      <c r="AC67"/>
      <c r="AD67"/>
      <c r="AE67"/>
      <c r="AF67"/>
      <c r="AG67"/>
      <c r="AH67"/>
      <c r="AI67"/>
      <c r="AJ67"/>
      <c r="AK67"/>
      <c r="AL67"/>
    </row>
    <row r="68" spans="2:38" ht="15.95" hidden="1" customHeight="1">
      <c r="B68" s="59"/>
      <c r="C68"/>
      <c r="D68"/>
      <c r="E68"/>
      <c r="F68"/>
      <c r="G68"/>
      <c r="H68"/>
      <c r="I68"/>
      <c r="J68"/>
      <c r="K68"/>
      <c r="L68"/>
      <c r="M68"/>
      <c r="N68"/>
      <c r="O68"/>
      <c r="P68"/>
      <c r="Q68"/>
      <c r="R68"/>
      <c r="S68"/>
      <c r="T68"/>
      <c r="U68"/>
      <c r="V68"/>
      <c r="W68"/>
      <c r="X68"/>
      <c r="Y68"/>
      <c r="Z68"/>
      <c r="AA68"/>
      <c r="AB68"/>
      <c r="AC68"/>
      <c r="AD68"/>
      <c r="AE68"/>
      <c r="AF68"/>
      <c r="AG68"/>
      <c r="AH68"/>
      <c r="AI68"/>
      <c r="AJ68"/>
      <c r="AK68"/>
      <c r="AL68"/>
    </row>
    <row r="69" spans="2:38" ht="15.95" hidden="1" customHeight="1">
      <c r="B69" s="59"/>
      <c r="C69"/>
      <c r="D69"/>
      <c r="E69"/>
      <c r="F69"/>
      <c r="G69"/>
      <c r="H69"/>
      <c r="I69"/>
      <c r="J69"/>
      <c r="K69"/>
      <c r="L69"/>
      <c r="M69"/>
      <c r="N69"/>
      <c r="O69"/>
      <c r="P69"/>
      <c r="Q69"/>
      <c r="R69"/>
      <c r="S69"/>
      <c r="T69"/>
      <c r="U69"/>
      <c r="V69"/>
      <c r="W69"/>
      <c r="X69"/>
      <c r="Y69"/>
      <c r="Z69"/>
      <c r="AA69"/>
      <c r="AB69"/>
      <c r="AC69"/>
      <c r="AD69"/>
      <c r="AE69"/>
      <c r="AF69"/>
      <c r="AG69"/>
      <c r="AH69"/>
      <c r="AI69"/>
      <c r="AJ69"/>
      <c r="AK69"/>
      <c r="AL69"/>
    </row>
    <row r="70" spans="2:38" ht="15.95" hidden="1" customHeight="1">
      <c r="B70" s="59"/>
      <c r="C70"/>
      <c r="D70"/>
      <c r="E70"/>
      <c r="F70"/>
      <c r="G70"/>
      <c r="H70"/>
      <c r="I70"/>
      <c r="J70"/>
      <c r="K70"/>
      <c r="L70"/>
      <c r="M70"/>
      <c r="N70"/>
      <c r="O70"/>
      <c r="P70"/>
      <c r="Q70"/>
      <c r="R70"/>
      <c r="S70"/>
      <c r="T70"/>
      <c r="U70"/>
      <c r="V70"/>
      <c r="W70"/>
      <c r="X70"/>
      <c r="Y70"/>
      <c r="Z70"/>
      <c r="AA70"/>
      <c r="AB70"/>
      <c r="AC70"/>
      <c r="AD70"/>
      <c r="AE70"/>
      <c r="AF70"/>
      <c r="AG70"/>
      <c r="AH70"/>
      <c r="AI70"/>
      <c r="AJ70"/>
      <c r="AK70"/>
      <c r="AL70"/>
    </row>
    <row r="71" spans="2:38" ht="15.95" hidden="1" customHeight="1">
      <c r="B71" s="59"/>
      <c r="C71"/>
      <c r="D71"/>
      <c r="E71"/>
      <c r="F71"/>
      <c r="G71"/>
      <c r="H71"/>
      <c r="I71"/>
      <c r="J71"/>
      <c r="K71"/>
      <c r="L71"/>
      <c r="M71"/>
      <c r="N71"/>
      <c r="O71"/>
      <c r="P71"/>
      <c r="Q71"/>
      <c r="R71"/>
      <c r="S71"/>
      <c r="T71"/>
      <c r="U71"/>
      <c r="V71"/>
      <c r="W71"/>
      <c r="X71"/>
      <c r="Y71"/>
      <c r="Z71"/>
      <c r="AA71"/>
      <c r="AB71"/>
      <c r="AC71"/>
      <c r="AD71"/>
      <c r="AE71"/>
      <c r="AF71"/>
      <c r="AG71"/>
      <c r="AH71"/>
      <c r="AI71"/>
      <c r="AJ71"/>
      <c r="AK71"/>
      <c r="AL71"/>
    </row>
    <row r="72" spans="2:38" ht="15.95" hidden="1" customHeight="1">
      <c r="B72" s="59"/>
      <c r="C72"/>
      <c r="D72"/>
      <c r="E72"/>
      <c r="F72"/>
      <c r="G72"/>
      <c r="H72"/>
      <c r="I72"/>
      <c r="J72"/>
      <c r="K72"/>
      <c r="L72"/>
      <c r="M72"/>
      <c r="N72"/>
      <c r="O72"/>
      <c r="P72"/>
      <c r="Q72"/>
      <c r="R72"/>
      <c r="S72"/>
      <c r="T72"/>
      <c r="U72"/>
      <c r="V72"/>
      <c r="W72"/>
      <c r="X72"/>
      <c r="Y72"/>
      <c r="Z72"/>
      <c r="AA72"/>
      <c r="AB72"/>
      <c r="AC72"/>
      <c r="AD72"/>
      <c r="AE72"/>
      <c r="AF72"/>
      <c r="AG72"/>
      <c r="AH72"/>
      <c r="AI72"/>
      <c r="AJ72"/>
      <c r="AK72"/>
      <c r="AL72"/>
    </row>
    <row r="73" spans="2:38" ht="15.95" hidden="1" customHeight="1">
      <c r="B73" s="59"/>
      <c r="C73"/>
      <c r="D73"/>
      <c r="E73"/>
      <c r="F73"/>
      <c r="G73"/>
      <c r="H73"/>
      <c r="I73"/>
      <c r="J73"/>
      <c r="K73"/>
      <c r="L73"/>
      <c r="M73"/>
      <c r="N73"/>
      <c r="O73"/>
      <c r="P73"/>
      <c r="Q73"/>
      <c r="R73"/>
      <c r="S73"/>
      <c r="T73"/>
      <c r="U73"/>
      <c r="V73"/>
      <c r="W73"/>
      <c r="X73"/>
      <c r="Y73"/>
      <c r="Z73"/>
      <c r="AA73"/>
      <c r="AB73"/>
      <c r="AC73"/>
      <c r="AD73"/>
      <c r="AE73"/>
      <c r="AF73"/>
      <c r="AG73"/>
      <c r="AH73"/>
      <c r="AI73"/>
      <c r="AJ73"/>
      <c r="AK73"/>
      <c r="AL73"/>
    </row>
    <row r="74" spans="2:38" ht="15.95" hidden="1" customHeight="1">
      <c r="B74" s="59"/>
      <c r="C74"/>
      <c r="D74"/>
      <c r="E74"/>
      <c r="F74"/>
      <c r="G74"/>
      <c r="H74"/>
      <c r="I74"/>
      <c r="J74"/>
      <c r="K74"/>
      <c r="L74"/>
      <c r="M74"/>
      <c r="N74"/>
      <c r="O74"/>
      <c r="P74"/>
      <c r="Q74"/>
      <c r="R74"/>
      <c r="S74"/>
      <c r="T74"/>
      <c r="U74"/>
      <c r="V74"/>
      <c r="W74"/>
      <c r="X74"/>
      <c r="Y74"/>
      <c r="Z74"/>
      <c r="AA74"/>
      <c r="AB74"/>
      <c r="AC74"/>
      <c r="AD74"/>
      <c r="AE74"/>
      <c r="AF74"/>
      <c r="AG74"/>
      <c r="AH74"/>
      <c r="AI74"/>
      <c r="AJ74"/>
      <c r="AK74"/>
      <c r="AL74"/>
    </row>
    <row r="75" spans="2:38" ht="15.95" hidden="1" customHeight="1">
      <c r="B75" s="59"/>
      <c r="C75"/>
      <c r="D75"/>
      <c r="E75"/>
      <c r="F75"/>
      <c r="G75"/>
      <c r="H75"/>
      <c r="I75"/>
      <c r="J75"/>
      <c r="K75"/>
      <c r="L75"/>
      <c r="M75"/>
      <c r="N75"/>
      <c r="O75"/>
      <c r="P75"/>
      <c r="Q75"/>
      <c r="R75"/>
      <c r="S75"/>
      <c r="T75"/>
      <c r="U75"/>
      <c r="V75"/>
      <c r="W75"/>
      <c r="X75"/>
      <c r="Y75"/>
      <c r="Z75"/>
      <c r="AA75"/>
      <c r="AB75"/>
      <c r="AC75"/>
      <c r="AD75"/>
      <c r="AE75"/>
      <c r="AF75"/>
      <c r="AG75"/>
      <c r="AH75"/>
      <c r="AI75"/>
      <c r="AJ75"/>
      <c r="AK75"/>
      <c r="AL75"/>
    </row>
    <row r="76" spans="2:38" ht="15.95" hidden="1" customHeight="1">
      <c r="B76" s="59"/>
      <c r="C76"/>
      <c r="D76"/>
      <c r="E76"/>
      <c r="F76"/>
      <c r="G76"/>
      <c r="H76"/>
      <c r="I76"/>
      <c r="J76"/>
      <c r="K76"/>
      <c r="L76"/>
      <c r="M76"/>
      <c r="N76"/>
      <c r="O76"/>
      <c r="P76"/>
      <c r="Q76"/>
      <c r="R76"/>
      <c r="S76"/>
      <c r="T76"/>
      <c r="U76"/>
      <c r="V76"/>
      <c r="W76"/>
      <c r="X76"/>
      <c r="Y76"/>
      <c r="Z76"/>
      <c r="AA76"/>
      <c r="AB76"/>
      <c r="AC76"/>
      <c r="AD76"/>
      <c r="AE76"/>
      <c r="AF76"/>
      <c r="AG76"/>
      <c r="AH76"/>
      <c r="AI76"/>
      <c r="AJ76"/>
      <c r="AK76"/>
      <c r="AL76"/>
    </row>
    <row r="77" spans="2:38" ht="15.95" hidden="1" customHeight="1">
      <c r="B77" s="59"/>
      <c r="C77"/>
      <c r="D77"/>
      <c r="E77"/>
      <c r="F77"/>
      <c r="G77"/>
      <c r="H77"/>
      <c r="I77"/>
      <c r="J77"/>
      <c r="K77"/>
      <c r="L77"/>
      <c r="M77"/>
      <c r="N77"/>
      <c r="O77"/>
      <c r="P77"/>
      <c r="Q77"/>
      <c r="R77"/>
      <c r="S77"/>
      <c r="T77"/>
      <c r="U77"/>
      <c r="V77"/>
      <c r="W77"/>
      <c r="X77"/>
      <c r="Y77"/>
      <c r="Z77"/>
      <c r="AA77"/>
      <c r="AB77"/>
      <c r="AC77"/>
      <c r="AD77"/>
      <c r="AE77"/>
      <c r="AF77"/>
      <c r="AG77"/>
      <c r="AH77"/>
      <c r="AI77"/>
      <c r="AJ77"/>
      <c r="AK77"/>
      <c r="AL77"/>
    </row>
    <row r="78" spans="2:38" ht="15.95" hidden="1" customHeight="1">
      <c r="B78" s="59"/>
      <c r="C78"/>
      <c r="D78"/>
      <c r="E78"/>
      <c r="F78"/>
      <c r="G78"/>
      <c r="H78"/>
      <c r="I78"/>
      <c r="J78"/>
      <c r="K78"/>
      <c r="L78"/>
      <c r="M78"/>
      <c r="N78"/>
      <c r="O78"/>
      <c r="P78"/>
      <c r="Q78"/>
      <c r="R78"/>
      <c r="S78"/>
      <c r="T78"/>
      <c r="U78"/>
      <c r="V78"/>
      <c r="W78"/>
      <c r="X78"/>
      <c r="Y78"/>
      <c r="Z78"/>
      <c r="AA78"/>
      <c r="AB78"/>
      <c r="AC78"/>
      <c r="AD78"/>
      <c r="AE78"/>
      <c r="AF78"/>
      <c r="AG78"/>
      <c r="AH78"/>
      <c r="AI78"/>
      <c r="AJ78"/>
      <c r="AK78"/>
      <c r="AL78"/>
    </row>
    <row r="79" spans="2:38" ht="15.95" hidden="1" customHeight="1">
      <c r="B79" s="59"/>
      <c r="C79"/>
      <c r="D79"/>
      <c r="E79"/>
      <c r="F79"/>
      <c r="G79"/>
      <c r="H79"/>
      <c r="I79"/>
      <c r="J79"/>
      <c r="K79"/>
      <c r="L79"/>
      <c r="M79"/>
      <c r="N79"/>
      <c r="O79"/>
      <c r="P79"/>
      <c r="Q79"/>
      <c r="R79"/>
      <c r="S79"/>
      <c r="T79"/>
      <c r="U79"/>
      <c r="V79"/>
      <c r="W79"/>
      <c r="X79"/>
      <c r="Y79"/>
      <c r="Z79"/>
      <c r="AA79"/>
      <c r="AB79"/>
      <c r="AC79"/>
      <c r="AD79"/>
      <c r="AE79"/>
      <c r="AF79"/>
      <c r="AG79"/>
      <c r="AH79"/>
      <c r="AI79"/>
      <c r="AJ79"/>
      <c r="AK79"/>
      <c r="AL79"/>
    </row>
    <row r="80" spans="2:38" ht="15.95" hidden="1" customHeight="1">
      <c r="B80" s="59"/>
      <c r="C80"/>
      <c r="D80"/>
      <c r="E80"/>
      <c r="F80"/>
      <c r="G80"/>
      <c r="H80"/>
      <c r="I80"/>
      <c r="J80"/>
      <c r="K80"/>
      <c r="L80"/>
      <c r="M80"/>
      <c r="N80"/>
      <c r="O80"/>
      <c r="P80"/>
      <c r="Q80"/>
      <c r="R80"/>
      <c r="S80"/>
      <c r="T80"/>
      <c r="U80"/>
      <c r="V80"/>
      <c r="W80"/>
      <c r="X80"/>
      <c r="Y80"/>
      <c r="Z80"/>
      <c r="AA80"/>
      <c r="AB80"/>
      <c r="AC80"/>
      <c r="AD80"/>
      <c r="AE80"/>
      <c r="AF80"/>
      <c r="AG80"/>
      <c r="AH80"/>
      <c r="AI80"/>
      <c r="AJ80"/>
      <c r="AK80"/>
      <c r="AL80"/>
    </row>
    <row r="81" spans="2:38" ht="15.95" hidden="1" customHeight="1">
      <c r="B81" s="59"/>
      <c r="C81"/>
      <c r="D81"/>
      <c r="E81"/>
      <c r="F81"/>
      <c r="G81"/>
      <c r="H81"/>
      <c r="I81"/>
      <c r="J81"/>
      <c r="K81"/>
      <c r="L81"/>
      <c r="M81"/>
      <c r="N81"/>
      <c r="O81"/>
      <c r="P81"/>
      <c r="Q81"/>
      <c r="R81"/>
      <c r="S81"/>
      <c r="T81"/>
      <c r="U81"/>
      <c r="V81"/>
      <c r="W81"/>
      <c r="X81"/>
      <c r="Y81"/>
      <c r="Z81"/>
      <c r="AA81"/>
      <c r="AB81"/>
      <c r="AC81"/>
      <c r="AD81"/>
      <c r="AE81"/>
      <c r="AF81"/>
      <c r="AG81"/>
      <c r="AH81"/>
      <c r="AI81"/>
      <c r="AJ81"/>
      <c r="AK81"/>
      <c r="AL81"/>
    </row>
    <row r="82" spans="2:38" ht="15.95" hidden="1" customHeight="1">
      <c r="B82" s="59"/>
      <c r="C82"/>
      <c r="D82"/>
      <c r="E82"/>
      <c r="F82"/>
      <c r="G82"/>
      <c r="H82"/>
      <c r="I82"/>
      <c r="J82"/>
      <c r="K82"/>
      <c r="L82"/>
      <c r="M82"/>
      <c r="N82"/>
      <c r="O82"/>
      <c r="P82"/>
      <c r="Q82"/>
      <c r="R82"/>
      <c r="S82"/>
      <c r="T82"/>
      <c r="U82"/>
      <c r="V82"/>
      <c r="W82"/>
      <c r="X82"/>
      <c r="Y82"/>
      <c r="Z82"/>
      <c r="AA82"/>
      <c r="AB82"/>
      <c r="AC82"/>
      <c r="AD82"/>
      <c r="AE82"/>
      <c r="AF82"/>
      <c r="AG82"/>
      <c r="AH82"/>
      <c r="AI82"/>
      <c r="AJ82"/>
      <c r="AK82"/>
      <c r="AL82"/>
    </row>
    <row r="83" spans="2:38" ht="15.95" hidden="1" customHeight="1">
      <c r="B83" s="59"/>
      <c r="C83"/>
      <c r="D83"/>
      <c r="E83"/>
      <c r="F83"/>
      <c r="G83"/>
      <c r="H83"/>
      <c r="I83"/>
      <c r="J83"/>
      <c r="K83"/>
      <c r="L83"/>
      <c r="M83"/>
      <c r="N83"/>
      <c r="O83"/>
      <c r="P83"/>
      <c r="Q83"/>
      <c r="R83"/>
      <c r="S83"/>
      <c r="T83"/>
      <c r="U83"/>
      <c r="V83"/>
      <c r="W83"/>
      <c r="X83"/>
      <c r="Y83"/>
      <c r="Z83"/>
      <c r="AA83"/>
      <c r="AB83"/>
      <c r="AC83"/>
      <c r="AD83"/>
      <c r="AE83"/>
      <c r="AF83"/>
      <c r="AG83"/>
      <c r="AH83"/>
      <c r="AI83"/>
      <c r="AJ83"/>
      <c r="AK83"/>
      <c r="AL83"/>
    </row>
    <row r="84" spans="2:38" ht="15.95" hidden="1" customHeight="1">
      <c r="B84" s="59"/>
      <c r="C84"/>
      <c r="D84"/>
      <c r="E84"/>
      <c r="F84"/>
      <c r="G84"/>
      <c r="H84"/>
      <c r="I84"/>
      <c r="J84"/>
      <c r="K84"/>
      <c r="L84"/>
      <c r="M84"/>
      <c r="N84"/>
      <c r="O84"/>
      <c r="P84"/>
      <c r="Q84"/>
      <c r="R84"/>
      <c r="S84"/>
      <c r="T84"/>
      <c r="U84"/>
      <c r="V84"/>
      <c r="W84"/>
      <c r="X84"/>
      <c r="Y84"/>
      <c r="Z84"/>
      <c r="AA84"/>
      <c r="AB84"/>
      <c r="AC84"/>
      <c r="AD84"/>
      <c r="AE84"/>
      <c r="AF84"/>
      <c r="AG84"/>
      <c r="AH84"/>
      <c r="AI84"/>
      <c r="AJ84"/>
      <c r="AK84"/>
      <c r="AL84"/>
    </row>
    <row r="85" spans="2:38" ht="15.95" hidden="1" customHeight="1">
      <c r="B85" s="59"/>
      <c r="C85"/>
      <c r="D85"/>
      <c r="E85"/>
      <c r="F85"/>
      <c r="G85"/>
      <c r="H85"/>
      <c r="I85"/>
      <c r="J85"/>
      <c r="K85"/>
      <c r="L85"/>
      <c r="M85"/>
      <c r="N85"/>
      <c r="O85"/>
      <c r="P85"/>
      <c r="Q85"/>
      <c r="R85"/>
      <c r="S85"/>
      <c r="T85"/>
      <c r="U85"/>
      <c r="V85"/>
      <c r="W85"/>
      <c r="X85"/>
      <c r="Y85"/>
      <c r="Z85"/>
      <c r="AA85"/>
      <c r="AB85"/>
      <c r="AC85"/>
      <c r="AD85"/>
      <c r="AE85"/>
      <c r="AF85"/>
      <c r="AG85"/>
      <c r="AH85"/>
      <c r="AI85"/>
      <c r="AJ85"/>
      <c r="AK85"/>
      <c r="AL85"/>
    </row>
    <row r="86" spans="2:38" ht="15.95" hidden="1" customHeight="1">
      <c r="B86" s="59"/>
      <c r="C86"/>
      <c r="D86"/>
      <c r="E86"/>
      <c r="F86"/>
      <c r="G86"/>
      <c r="H86"/>
      <c r="I86"/>
      <c r="J86"/>
      <c r="K86"/>
      <c r="L86"/>
      <c r="M86"/>
      <c r="N86"/>
      <c r="O86"/>
      <c r="P86"/>
      <c r="Q86"/>
      <c r="R86"/>
      <c r="S86"/>
      <c r="T86"/>
      <c r="U86"/>
      <c r="V86"/>
      <c r="W86"/>
      <c r="X86"/>
      <c r="Y86"/>
      <c r="Z86"/>
      <c r="AA86"/>
      <c r="AB86"/>
      <c r="AC86"/>
      <c r="AD86"/>
      <c r="AE86"/>
      <c r="AF86"/>
      <c r="AG86"/>
      <c r="AH86"/>
      <c r="AI86"/>
      <c r="AJ86"/>
      <c r="AK86"/>
      <c r="AL86"/>
    </row>
    <row r="87" spans="2:38" ht="15.95" hidden="1" customHeight="1">
      <c r="B87" s="59"/>
      <c r="C87"/>
      <c r="D87"/>
      <c r="E87"/>
      <c r="F87"/>
      <c r="G87"/>
      <c r="H87"/>
      <c r="I87"/>
      <c r="J87"/>
      <c r="K87"/>
      <c r="L87"/>
      <c r="M87"/>
      <c r="N87"/>
      <c r="O87"/>
      <c r="P87"/>
      <c r="Q87"/>
      <c r="R87"/>
      <c r="S87"/>
      <c r="T87"/>
      <c r="U87"/>
      <c r="V87"/>
      <c r="W87"/>
      <c r="X87"/>
      <c r="Y87"/>
      <c r="Z87"/>
      <c r="AA87"/>
      <c r="AB87"/>
      <c r="AC87"/>
      <c r="AD87"/>
      <c r="AE87"/>
      <c r="AF87"/>
      <c r="AG87"/>
      <c r="AH87"/>
      <c r="AI87"/>
      <c r="AJ87"/>
      <c r="AK87"/>
      <c r="AL87"/>
    </row>
    <row r="88" spans="2:38" ht="15.95" hidden="1" customHeight="1">
      <c r="B88" s="59"/>
      <c r="C88"/>
      <c r="D88"/>
      <c r="E88"/>
      <c r="F88"/>
      <c r="G88"/>
      <c r="H88"/>
      <c r="I88"/>
      <c r="J88"/>
      <c r="K88"/>
      <c r="L88"/>
      <c r="M88"/>
      <c r="N88"/>
      <c r="O88"/>
      <c r="P88"/>
      <c r="Q88"/>
      <c r="R88"/>
      <c r="S88"/>
      <c r="T88"/>
      <c r="U88"/>
      <c r="V88"/>
      <c r="W88"/>
      <c r="X88"/>
      <c r="Y88"/>
      <c r="Z88"/>
      <c r="AA88"/>
      <c r="AB88"/>
      <c r="AC88"/>
      <c r="AD88"/>
      <c r="AE88"/>
      <c r="AF88"/>
      <c r="AG88"/>
      <c r="AH88"/>
      <c r="AI88"/>
      <c r="AJ88"/>
      <c r="AK88"/>
      <c r="AL88"/>
    </row>
    <row r="89" spans="2:38" ht="18.75" hidden="1" customHeight="1">
      <c r="B89" s="59"/>
      <c r="C89"/>
      <c r="D89"/>
      <c r="E89"/>
      <c r="F89"/>
      <c r="G89"/>
      <c r="H89"/>
      <c r="I89"/>
      <c r="J89"/>
      <c r="K89"/>
      <c r="L89"/>
      <c r="M89"/>
      <c r="N89"/>
      <c r="O89"/>
      <c r="P89"/>
      <c r="Q89"/>
      <c r="R89"/>
      <c r="S89"/>
      <c r="T89"/>
      <c r="U89"/>
      <c r="V89"/>
      <c r="W89"/>
      <c r="X89"/>
      <c r="Y89"/>
      <c r="Z89"/>
      <c r="AA89"/>
      <c r="AB89"/>
      <c r="AC89"/>
      <c r="AD89"/>
      <c r="AE89"/>
      <c r="AF89"/>
      <c r="AG89"/>
      <c r="AH89"/>
      <c r="AI89"/>
      <c r="AJ89"/>
      <c r="AK89"/>
      <c r="AL89"/>
    </row>
    <row r="90" spans="2:38" ht="15.95" hidden="1" customHeight="1">
      <c r="B90" s="59"/>
      <c r="C90"/>
      <c r="D90"/>
      <c r="E90"/>
      <c r="F90"/>
      <c r="G90"/>
      <c r="H90"/>
      <c r="I90"/>
      <c r="J90"/>
      <c r="K90"/>
      <c r="L90"/>
      <c r="M90"/>
      <c r="N90"/>
      <c r="O90"/>
      <c r="P90"/>
      <c r="Q90"/>
      <c r="R90"/>
      <c r="S90"/>
      <c r="T90"/>
      <c r="U90"/>
      <c r="V90"/>
      <c r="W90"/>
      <c r="X90"/>
      <c r="Y90"/>
      <c r="Z90"/>
      <c r="AA90"/>
      <c r="AB90"/>
      <c r="AC90"/>
      <c r="AD90"/>
      <c r="AE90"/>
      <c r="AF90"/>
      <c r="AG90"/>
      <c r="AH90"/>
      <c r="AI90"/>
      <c r="AJ90"/>
      <c r="AK90"/>
      <c r="AL90"/>
    </row>
    <row r="91" spans="2:38" ht="15.95" hidden="1" customHeight="1">
      <c r="B91" s="59"/>
      <c r="C91"/>
      <c r="D91"/>
      <c r="E91"/>
      <c r="F91"/>
      <c r="G91"/>
      <c r="H91"/>
      <c r="I91"/>
      <c r="J91"/>
      <c r="K91"/>
      <c r="L91"/>
      <c r="M91"/>
      <c r="N91"/>
      <c r="O91"/>
      <c r="P91"/>
      <c r="Q91"/>
      <c r="R91"/>
      <c r="S91"/>
      <c r="T91"/>
      <c r="U91"/>
      <c r="V91"/>
      <c r="W91"/>
      <c r="X91"/>
      <c r="Y91"/>
      <c r="Z91"/>
      <c r="AA91"/>
      <c r="AB91"/>
      <c r="AC91"/>
      <c r="AD91"/>
      <c r="AE91"/>
      <c r="AF91"/>
      <c r="AG91"/>
      <c r="AH91"/>
      <c r="AI91"/>
      <c r="AJ91"/>
      <c r="AK91"/>
      <c r="AL91"/>
    </row>
    <row r="92" spans="2:38" ht="15.95" hidden="1" customHeight="1">
      <c r="B92" s="59"/>
      <c r="C92"/>
      <c r="D92"/>
      <c r="E92"/>
      <c r="F92"/>
      <c r="G92"/>
      <c r="H92"/>
      <c r="I92"/>
      <c r="J92"/>
      <c r="K92"/>
      <c r="L92"/>
      <c r="M92"/>
      <c r="N92"/>
      <c r="O92"/>
      <c r="P92"/>
      <c r="Q92"/>
      <c r="R92"/>
      <c r="S92"/>
      <c r="T92"/>
      <c r="U92"/>
      <c r="V92"/>
      <c r="W92"/>
      <c r="X92"/>
      <c r="Y92"/>
      <c r="Z92"/>
      <c r="AA92"/>
      <c r="AB92"/>
      <c r="AC92"/>
      <c r="AD92"/>
      <c r="AE92"/>
      <c r="AF92"/>
      <c r="AG92"/>
      <c r="AH92"/>
      <c r="AI92"/>
      <c r="AJ92"/>
      <c r="AK92"/>
      <c r="AL92"/>
    </row>
    <row r="93" spans="2:38" ht="15.95" hidden="1" customHeight="1">
      <c r="B93" s="59"/>
      <c r="C93"/>
      <c r="D93"/>
      <c r="E93"/>
      <c r="F93"/>
      <c r="G93"/>
      <c r="H93"/>
      <c r="I93"/>
      <c r="J93"/>
      <c r="K93"/>
      <c r="L93"/>
      <c r="M93"/>
      <c r="N93"/>
      <c r="O93"/>
      <c r="P93"/>
      <c r="Q93"/>
      <c r="R93"/>
      <c r="S93"/>
      <c r="T93"/>
      <c r="U93"/>
      <c r="V93"/>
      <c r="W93"/>
      <c r="X93"/>
      <c r="Y93"/>
      <c r="Z93"/>
      <c r="AA93"/>
      <c r="AB93"/>
      <c r="AC93"/>
      <c r="AD93"/>
      <c r="AE93"/>
      <c r="AF93"/>
      <c r="AG93"/>
      <c r="AH93"/>
      <c r="AI93"/>
      <c r="AJ93"/>
      <c r="AK93"/>
      <c r="AL93"/>
    </row>
    <row r="94" spans="2:38" ht="15.95" hidden="1" customHeight="1">
      <c r="B94" s="59"/>
      <c r="C94"/>
      <c r="D94"/>
      <c r="E94"/>
      <c r="F94"/>
      <c r="G94"/>
      <c r="H94"/>
      <c r="I94"/>
      <c r="J94"/>
      <c r="K94"/>
      <c r="L94"/>
      <c r="M94"/>
      <c r="N94"/>
      <c r="O94"/>
      <c r="P94"/>
      <c r="Q94"/>
      <c r="R94"/>
      <c r="S94"/>
      <c r="T94"/>
      <c r="U94"/>
      <c r="V94"/>
      <c r="W94"/>
      <c r="X94"/>
      <c r="Y94"/>
      <c r="Z94"/>
      <c r="AA94"/>
      <c r="AB94"/>
      <c r="AC94"/>
      <c r="AD94"/>
      <c r="AE94"/>
      <c r="AF94"/>
      <c r="AG94"/>
      <c r="AH94"/>
      <c r="AI94"/>
      <c r="AJ94"/>
      <c r="AK94"/>
      <c r="AL94"/>
    </row>
    <row r="95" spans="2:38" ht="15.95" hidden="1" customHeight="1">
      <c r="B95" s="59"/>
      <c r="C95"/>
      <c r="D95"/>
      <c r="E95"/>
      <c r="F95"/>
      <c r="G95"/>
      <c r="H95"/>
      <c r="I95"/>
      <c r="J95"/>
      <c r="K95"/>
      <c r="L95"/>
      <c r="M95"/>
      <c r="N95"/>
      <c r="O95"/>
      <c r="P95"/>
      <c r="Q95"/>
      <c r="R95"/>
      <c r="S95"/>
      <c r="T95"/>
      <c r="U95"/>
      <c r="V95"/>
      <c r="W95"/>
      <c r="X95"/>
      <c r="Y95"/>
      <c r="Z95"/>
      <c r="AA95"/>
      <c r="AB95"/>
      <c r="AC95"/>
      <c r="AD95"/>
      <c r="AE95"/>
      <c r="AF95"/>
      <c r="AG95"/>
      <c r="AH95"/>
      <c r="AI95"/>
      <c r="AJ95"/>
      <c r="AK95"/>
      <c r="AL95"/>
    </row>
    <row r="96" spans="2:38" ht="15.95" hidden="1" customHeight="1">
      <c r="B96" s="59"/>
      <c r="C96"/>
      <c r="D96"/>
      <c r="E96"/>
      <c r="F96"/>
      <c r="G96"/>
      <c r="H96"/>
      <c r="I96"/>
      <c r="J96"/>
      <c r="K96"/>
      <c r="L96"/>
      <c r="M96"/>
      <c r="N96"/>
      <c r="O96"/>
      <c r="P96"/>
      <c r="Q96"/>
      <c r="R96"/>
      <c r="S96"/>
      <c r="T96"/>
      <c r="U96"/>
      <c r="V96"/>
      <c r="W96"/>
      <c r="X96"/>
      <c r="Y96"/>
      <c r="Z96"/>
      <c r="AA96"/>
      <c r="AB96"/>
      <c r="AC96"/>
      <c r="AD96"/>
      <c r="AE96"/>
      <c r="AF96"/>
      <c r="AG96"/>
      <c r="AH96"/>
      <c r="AI96"/>
      <c r="AJ96"/>
      <c r="AK96"/>
      <c r="AL96"/>
    </row>
    <row r="97" spans="2:38" ht="15.95" hidden="1" customHeight="1">
      <c r="B97" s="59"/>
      <c r="C97"/>
      <c r="D97"/>
      <c r="E97"/>
      <c r="F97"/>
      <c r="G97"/>
      <c r="H97"/>
      <c r="I97"/>
      <c r="J97"/>
      <c r="K97"/>
      <c r="L97"/>
      <c r="M97"/>
      <c r="N97"/>
      <c r="O97"/>
      <c r="P97"/>
      <c r="Q97"/>
      <c r="R97"/>
      <c r="S97"/>
      <c r="T97"/>
      <c r="U97"/>
      <c r="V97"/>
      <c r="W97"/>
      <c r="X97"/>
      <c r="Y97"/>
      <c r="Z97"/>
      <c r="AA97"/>
      <c r="AB97"/>
      <c r="AC97"/>
      <c r="AD97"/>
      <c r="AE97"/>
      <c r="AF97"/>
      <c r="AG97"/>
      <c r="AH97"/>
      <c r="AI97"/>
      <c r="AJ97"/>
      <c r="AK97"/>
      <c r="AL97"/>
    </row>
    <row r="98" spans="2:38" ht="15.95" hidden="1" customHeight="1">
      <c r="B98" s="59"/>
      <c r="C98"/>
      <c r="D98"/>
      <c r="E98"/>
      <c r="F98"/>
      <c r="G98"/>
      <c r="H98"/>
      <c r="I98"/>
      <c r="J98"/>
      <c r="K98"/>
      <c r="L98"/>
      <c r="M98"/>
      <c r="N98"/>
      <c r="O98"/>
      <c r="P98"/>
      <c r="Q98"/>
      <c r="R98"/>
      <c r="S98"/>
      <c r="T98"/>
      <c r="U98"/>
      <c r="V98"/>
      <c r="W98"/>
      <c r="X98"/>
      <c r="Y98"/>
      <c r="Z98"/>
      <c r="AA98"/>
      <c r="AB98"/>
      <c r="AC98"/>
      <c r="AD98"/>
      <c r="AE98"/>
      <c r="AF98"/>
      <c r="AG98"/>
      <c r="AH98"/>
      <c r="AI98"/>
      <c r="AJ98"/>
      <c r="AK98"/>
      <c r="AL98"/>
    </row>
    <row r="99" spans="2:38" ht="15.95" hidden="1" customHeight="1">
      <c r="B99" s="59"/>
      <c r="C99"/>
      <c r="D99"/>
      <c r="E99"/>
      <c r="F99"/>
      <c r="G99"/>
      <c r="H99"/>
      <c r="I99"/>
      <c r="J99"/>
      <c r="K99"/>
      <c r="L99"/>
      <c r="M99"/>
      <c r="N99"/>
      <c r="O99"/>
      <c r="P99"/>
      <c r="Q99"/>
      <c r="R99"/>
      <c r="S99"/>
      <c r="T99"/>
      <c r="U99"/>
      <c r="V99"/>
      <c r="W99"/>
      <c r="X99"/>
      <c r="Y99"/>
      <c r="Z99"/>
      <c r="AA99"/>
      <c r="AB99"/>
      <c r="AC99"/>
      <c r="AD99"/>
      <c r="AE99"/>
      <c r="AF99"/>
      <c r="AG99"/>
      <c r="AH99"/>
      <c r="AI99"/>
      <c r="AJ99"/>
      <c r="AK99"/>
      <c r="AL99"/>
    </row>
    <row r="100" spans="2:38" ht="15.95" hidden="1" customHeight="1">
      <c r="B100" s="59"/>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row>
    <row r="101" spans="2:38" ht="15.95" hidden="1" customHeight="1">
      <c r="B101" s="59"/>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row>
    <row r="102" spans="2:38" ht="15.95" hidden="1" customHeight="1">
      <c r="B102" s="59"/>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row>
    <row r="103" spans="2:38" ht="15.95" hidden="1" customHeight="1">
      <c r="B103" s="59"/>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row>
    <row r="104" spans="2:38" ht="15.95" hidden="1" customHeight="1">
      <c r="B104" s="59"/>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row>
    <row r="105" spans="2:38" ht="15.95" hidden="1" customHeight="1">
      <c r="B105" s="59"/>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row>
    <row r="106" spans="2:38" ht="27.75" hidden="1" customHeight="1">
      <c r="B106" s="59"/>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row>
    <row r="107" spans="2:38" ht="15.95" hidden="1" customHeight="1">
      <c r="B107" s="59"/>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row>
    <row r="108" spans="2:38" ht="15.95" hidden="1" customHeight="1">
      <c r="B108" s="59"/>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row>
    <row r="109" spans="2:38" ht="15.95" hidden="1" customHeight="1">
      <c r="B109" s="5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row>
    <row r="110" spans="2:38" ht="15.95" hidden="1" customHeight="1">
      <c r="B110" s="59"/>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2:38" ht="15.95" hidden="1" customHeight="1">
      <c r="B111" s="59"/>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row>
    <row r="112" spans="2:38" ht="15.95" hidden="1" customHeight="1">
      <c r="B112" s="59"/>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2:38" ht="15.95" hidden="1" customHeight="1">
      <c r="B113" s="59"/>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row>
    <row r="114" spans="2:38" ht="15.95" hidden="1" customHeight="1">
      <c r="B114" s="59"/>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2:38" ht="15.95" hidden="1" customHeight="1">
      <c r="B115" s="59"/>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row>
    <row r="116" spans="2:38" ht="15.95" hidden="1" customHeight="1">
      <c r="B116" s="59"/>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2:38" ht="15.95" hidden="1" customHeight="1">
      <c r="B117" s="59"/>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row>
    <row r="118" spans="2:38" ht="15.95" hidden="1" customHeight="1">
      <c r="B118" s="59"/>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row>
    <row r="119" spans="2:38" ht="15.95" hidden="1" customHeight="1">
      <c r="B119" s="5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row>
    <row r="120" spans="2:38" ht="15.95" hidden="1" customHeight="1">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row>
    <row r="121" spans="2:38" ht="15.95" hidden="1" customHeight="1">
      <c r="B121" s="59"/>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2:38" ht="15.95" hidden="1" customHeight="1">
      <c r="B122" s="59"/>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2:38" ht="15.95" hidden="1" customHeight="1">
      <c r="B123" s="59"/>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row>
    <row r="124" spans="2:38" ht="15.95" hidden="1" customHeight="1">
      <c r="B124" s="59"/>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row>
    <row r="125" spans="2:38" ht="15.95" hidden="1" customHeight="1">
      <c r="B125" s="59"/>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row>
    <row r="126" spans="2:38" ht="15.95" hidden="1" customHeight="1">
      <c r="B126" s="59"/>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row>
    <row r="127" spans="2:38" ht="15.95" hidden="1" customHeight="1">
      <c r="B127" s="59"/>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row>
    <row r="128" spans="2:38" ht="15.95" hidden="1" customHeight="1">
      <c r="B128" s="59"/>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row>
    <row r="129" spans="2:44" ht="15.75" hidden="1" customHeight="1">
      <c r="B129" s="5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row>
    <row r="130" spans="2:44" ht="15.95" hidden="1" customHeight="1">
      <c r="B130" s="59"/>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row>
    <row r="131" spans="2:44" ht="15.95" hidden="1" customHeight="1">
      <c r="B131" s="59"/>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row>
    <row r="132" spans="2:44" ht="15.95" hidden="1" customHeight="1">
      <c r="B132" s="59"/>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row>
    <row r="133" spans="2:44" ht="15.95" hidden="1" customHeight="1">
      <c r="B133" s="59"/>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row>
    <row r="134" spans="2:44" ht="15.95" hidden="1" customHeight="1">
      <c r="B134" s="59"/>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row>
    <row r="135" spans="2:44" ht="15.95" hidden="1" customHeight="1">
      <c r="B135" s="59"/>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row>
    <row r="136" spans="2:44" ht="15.95" hidden="1" customHeight="1">
      <c r="B136" s="59"/>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row>
    <row r="137" spans="2:44" ht="15.95" hidden="1" customHeight="1">
      <c r="B137" s="59"/>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row>
    <row r="138" spans="2:44" ht="15.95" hidden="1" customHeight="1">
      <c r="B138" s="59"/>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row>
    <row r="139" spans="2:44" ht="15.95" hidden="1" customHeight="1">
      <c r="B139" s="59"/>
      <c r="C139" s="61"/>
      <c r="E139" s="162"/>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P139" s="59"/>
      <c r="AQ139" s="59"/>
      <c r="AR139" s="59"/>
    </row>
    <row r="140" spans="2:44" ht="15.95" hidden="1" customHeight="1">
      <c r="B140" s="59"/>
      <c r="C140" s="61"/>
      <c r="E140" s="162"/>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P140" s="59"/>
      <c r="AQ140" s="59"/>
      <c r="AR140" s="59"/>
    </row>
    <row r="141" spans="2:44" ht="15.95" hidden="1" customHeight="1">
      <c r="B141" s="59"/>
      <c r="C141" s="61"/>
      <c r="E141" s="162"/>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P141" s="59"/>
      <c r="AQ141" s="59"/>
      <c r="AR141" s="59"/>
    </row>
    <row r="142" spans="2:44" ht="15.95" hidden="1" customHeight="1">
      <c r="B142" s="59"/>
      <c r="C142" s="61"/>
      <c r="E142" s="16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P142" s="59"/>
      <c r="AQ142" s="59"/>
      <c r="AR142" s="59"/>
    </row>
    <row r="143" spans="2:44" ht="15.95" hidden="1" customHeight="1">
      <c r="B143" s="59"/>
      <c r="C143" s="61"/>
      <c r="E143" s="162"/>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P143" s="59"/>
      <c r="AQ143" s="59"/>
      <c r="AR143" s="59"/>
    </row>
    <row r="144" spans="2:44" ht="15.95" hidden="1" customHeight="1">
      <c r="B144" s="59"/>
      <c r="C144" s="61"/>
      <c r="E144" s="162"/>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P144" s="59"/>
      <c r="AQ144" s="59"/>
      <c r="AR144" s="59"/>
    </row>
    <row r="145" spans="2:44" ht="15.95" hidden="1" customHeight="1">
      <c r="B145" s="59"/>
      <c r="C145" s="61"/>
      <c r="E145" s="162"/>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P145" s="59"/>
      <c r="AQ145" s="59"/>
      <c r="AR145" s="59"/>
    </row>
    <row r="146" spans="2:44" ht="15.95" hidden="1" customHeight="1">
      <c r="B146" s="59"/>
      <c r="C146" s="61"/>
      <c r="E146" s="162"/>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P146" s="59"/>
      <c r="AQ146" s="59"/>
      <c r="AR146" s="59"/>
    </row>
    <row r="147" spans="2:44" ht="15.95" hidden="1" customHeight="1">
      <c r="B147" s="59"/>
      <c r="C147" s="61"/>
      <c r="E147" s="162"/>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P147" s="59"/>
      <c r="AQ147" s="59"/>
      <c r="AR147" s="59"/>
    </row>
    <row r="148" spans="2:44" ht="15.95" hidden="1" customHeight="1">
      <c r="B148" s="59"/>
      <c r="C148" s="61"/>
      <c r="E148" s="162"/>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P148" s="59"/>
      <c r="AQ148" s="59"/>
      <c r="AR148" s="59"/>
    </row>
    <row r="149" spans="2:44" ht="15.95" hidden="1" customHeight="1">
      <c r="B149" s="59"/>
      <c r="C149" s="61"/>
      <c r="E149" s="162"/>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P149" s="59"/>
      <c r="AQ149" s="59"/>
      <c r="AR149" s="59"/>
    </row>
    <row r="150" spans="2:44" ht="15.95" hidden="1" customHeight="1">
      <c r="B150" s="59"/>
      <c r="C150" s="61"/>
      <c r="E150" s="162"/>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P150" s="59"/>
      <c r="AQ150" s="59"/>
      <c r="AR150" s="59"/>
    </row>
    <row r="151" spans="2:44" ht="15.95" hidden="1" customHeight="1">
      <c r="B151" s="59"/>
      <c r="C151" s="61"/>
      <c r="E151" s="162"/>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P151" s="59"/>
      <c r="AQ151" s="59"/>
      <c r="AR151" s="59"/>
    </row>
    <row r="152" spans="2:44" ht="15.95" hidden="1" customHeight="1">
      <c r="B152" s="59"/>
      <c r="C152" s="61"/>
      <c r="E152" s="16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P152" s="59"/>
      <c r="AQ152" s="59"/>
      <c r="AR152" s="59"/>
    </row>
    <row r="153" spans="2:44" ht="15.95" hidden="1" customHeight="1">
      <c r="B153" s="59"/>
      <c r="C153" s="61"/>
      <c r="E153" s="162"/>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P153" s="59"/>
      <c r="AQ153" s="59"/>
      <c r="AR153" s="59"/>
    </row>
    <row r="154" spans="2:44" ht="15.95" hidden="1" customHeight="1">
      <c r="B154" s="59"/>
      <c r="C154" s="61"/>
      <c r="E154" s="162"/>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P154" s="59"/>
      <c r="AQ154" s="59"/>
      <c r="AR154" s="59"/>
    </row>
    <row r="155" spans="2:44" ht="15.95" hidden="1" customHeight="1">
      <c r="B155" s="59"/>
      <c r="C155" s="61"/>
      <c r="E155" s="162"/>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P155" s="59"/>
      <c r="AQ155" s="59"/>
      <c r="AR155" s="59"/>
    </row>
    <row r="156" spans="2:44" ht="15.95" hidden="1" customHeight="1">
      <c r="B156" s="59"/>
      <c r="C156" s="61"/>
      <c r="D156" s="61"/>
      <c r="E156" s="162"/>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P156" s="59"/>
      <c r="AQ156" s="59"/>
      <c r="AR156" s="59"/>
    </row>
    <row r="157" spans="2:44" ht="15.95" hidden="1" customHeight="1">
      <c r="B157" s="59"/>
      <c r="C157" s="61"/>
      <c r="D157" s="61"/>
      <c r="E157" s="162"/>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P157" s="59"/>
      <c r="AQ157" s="59"/>
      <c r="AR157" s="59"/>
    </row>
    <row r="158" spans="2:44" ht="15.95" hidden="1" customHeight="1">
      <c r="B158" s="59"/>
      <c r="C158" s="61"/>
      <c r="D158" s="61"/>
      <c r="E158" s="162"/>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P158" s="59"/>
      <c r="AQ158" s="59"/>
      <c r="AR158" s="59"/>
    </row>
    <row r="159" spans="2:44" ht="15.95" hidden="1" customHeight="1">
      <c r="B159" s="59"/>
      <c r="C159" s="61"/>
      <c r="D159" s="61"/>
      <c r="E159" s="162"/>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P159" s="59"/>
      <c r="AQ159" s="59"/>
      <c r="AR159" s="59"/>
    </row>
    <row r="160" spans="2:44" ht="15.95" hidden="1" customHeight="1">
      <c r="B160" s="59"/>
      <c r="C160" s="61"/>
      <c r="D160" s="61"/>
      <c r="E160" s="162"/>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P160" s="59"/>
      <c r="AQ160" s="59"/>
      <c r="AR160" s="59"/>
    </row>
    <row r="161" spans="2:44" ht="15.95" hidden="1" customHeight="1">
      <c r="B161" s="59"/>
      <c r="C161" s="61"/>
      <c r="D161" s="61"/>
      <c r="E161" s="162"/>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P161" s="59"/>
      <c r="AQ161" s="59"/>
      <c r="AR161" s="59"/>
    </row>
    <row r="162" spans="2:44" ht="15.95" hidden="1" customHeight="1">
      <c r="B162" s="59"/>
      <c r="C162" s="61"/>
      <c r="D162" s="61"/>
      <c r="E162" s="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P162" s="59"/>
      <c r="AQ162" s="59"/>
      <c r="AR162" s="59"/>
    </row>
    <row r="163" spans="2:44" ht="15.95" hidden="1" customHeight="1">
      <c r="B163" s="59"/>
      <c r="C163" s="61"/>
      <c r="D163" s="61"/>
      <c r="E163" s="162"/>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P163" s="59"/>
      <c r="AQ163" s="59"/>
      <c r="AR163" s="59"/>
    </row>
    <row r="164" spans="2:44" ht="15.95" hidden="1" customHeight="1">
      <c r="B164" s="59"/>
      <c r="C164" s="61"/>
      <c r="D164" s="61"/>
      <c r="E164" s="162"/>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P164" s="59"/>
      <c r="AQ164" s="59"/>
      <c r="AR164" s="59"/>
    </row>
    <row r="165" spans="2:44" ht="15.95" hidden="1" customHeight="1">
      <c r="B165" s="59"/>
      <c r="C165" s="61"/>
      <c r="D165" s="61"/>
      <c r="E165" s="162"/>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P165" s="59"/>
      <c r="AQ165" s="59"/>
      <c r="AR165" s="59"/>
    </row>
    <row r="166" spans="2:44" ht="15.95" hidden="1" customHeight="1">
      <c r="B166" s="59"/>
      <c r="C166" s="61"/>
      <c r="D166" s="61"/>
      <c r="E166" s="162"/>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P166" s="59"/>
      <c r="AQ166" s="59"/>
      <c r="AR166" s="59"/>
    </row>
    <row r="167" spans="2:44" ht="15.95" hidden="1" customHeight="1">
      <c r="B167" s="59"/>
      <c r="C167" s="61"/>
      <c r="D167" s="61"/>
      <c r="E167" s="162"/>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P167" s="59"/>
      <c r="AQ167" s="59"/>
      <c r="AR167" s="59"/>
    </row>
    <row r="168" spans="2:44" ht="15.95" hidden="1" customHeight="1">
      <c r="B168" s="59"/>
      <c r="C168" s="61"/>
      <c r="D168" s="61"/>
      <c r="E168" s="162"/>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O168" s="119"/>
      <c r="AP168" s="59"/>
      <c r="AQ168" s="59"/>
      <c r="AR168" s="59"/>
    </row>
    <row r="169" spans="2:44" ht="15.95" hidden="1" customHeight="1">
      <c r="B169" s="59"/>
      <c r="C169" s="61"/>
      <c r="D169" s="61"/>
      <c r="E169" s="162"/>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O169" s="119"/>
      <c r="AP169" s="59"/>
      <c r="AQ169" s="59"/>
      <c r="AR169" s="59"/>
    </row>
    <row r="170" spans="2:44" ht="15.95" hidden="1" customHeight="1">
      <c r="B170" s="59"/>
      <c r="C170" s="61"/>
      <c r="D170" s="61"/>
      <c r="E170" s="162"/>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O170" s="59"/>
      <c r="AP170" s="59"/>
      <c r="AQ170" s="59"/>
      <c r="AR170" s="59"/>
    </row>
    <row r="171" spans="2:44" ht="15.95" hidden="1" customHeight="1">
      <c r="B171" s="59"/>
      <c r="C171" s="61"/>
      <c r="D171" s="61"/>
      <c r="E171" s="6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O171" s="59"/>
      <c r="AP171" s="59"/>
      <c r="AQ171" s="59"/>
      <c r="AR171" s="59"/>
    </row>
    <row r="172" spans="2:44" ht="15.95" hidden="1" customHeight="1">
      <c r="B172" s="59"/>
      <c r="C172" s="61"/>
      <c r="D172" s="61"/>
      <c r="E172" s="61"/>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O172" s="59"/>
      <c r="AP172" s="59"/>
      <c r="AQ172" s="59"/>
      <c r="AR172" s="59"/>
    </row>
    <row r="173" spans="2:44" ht="15.95" hidden="1" customHeight="1">
      <c r="B173" s="59"/>
      <c r="C173" s="61"/>
      <c r="D173" s="61"/>
      <c r="E173" s="61"/>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O173" s="59"/>
      <c r="AP173" s="59"/>
      <c r="AQ173" s="59"/>
      <c r="AR173" s="59"/>
    </row>
    <row r="174" spans="2:44" ht="15.95" hidden="1" customHeight="1">
      <c r="B174" s="59"/>
      <c r="C174" s="61"/>
      <c r="D174" s="61"/>
      <c r="E174" s="61"/>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O174" s="59"/>
      <c r="AP174" s="59"/>
      <c r="AQ174" s="59"/>
      <c r="AR174" s="59"/>
    </row>
    <row r="175" spans="2:44" ht="15.95" hidden="1" customHeight="1">
      <c r="B175" s="59"/>
      <c r="C175" s="61"/>
      <c r="D175" s="61"/>
      <c r="E175" s="61"/>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O175" s="59"/>
      <c r="AP175" s="59"/>
      <c r="AQ175" s="59"/>
      <c r="AR175" s="59"/>
    </row>
    <row r="176" spans="2:44" ht="15.95" hidden="1" customHeight="1">
      <c r="B176" s="59"/>
      <c r="C176" s="61"/>
      <c r="D176" s="61"/>
      <c r="E176" s="61"/>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O176" s="59"/>
      <c r="AP176" s="59"/>
      <c r="AQ176" s="59"/>
      <c r="AR176" s="59"/>
    </row>
    <row r="177" spans="2:44" ht="15.95" hidden="1" customHeight="1">
      <c r="B177" s="59"/>
      <c r="C177" s="61"/>
      <c r="D177" s="61"/>
      <c r="E177" s="61"/>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O177" s="59"/>
      <c r="AP177" s="59"/>
      <c r="AQ177" s="59"/>
      <c r="AR177" s="59"/>
    </row>
    <row r="178" spans="2:44" ht="15.95" hidden="1" customHeight="1">
      <c r="B178" s="59"/>
      <c r="C178" s="61"/>
      <c r="D178" s="61"/>
      <c r="E178" s="61"/>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O178" s="59"/>
      <c r="AP178" s="59"/>
      <c r="AQ178" s="59"/>
      <c r="AR178" s="59"/>
    </row>
    <row r="179" spans="2:44" ht="15.95" hidden="1" customHeight="1">
      <c r="B179" s="59"/>
      <c r="C179" s="61"/>
      <c r="D179" s="61"/>
      <c r="E179" s="61"/>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O179" s="59"/>
      <c r="AP179" s="59"/>
      <c r="AQ179" s="59"/>
      <c r="AR179" s="59"/>
    </row>
    <row r="180" spans="2:44" ht="15.95" hidden="1" customHeight="1">
      <c r="B180" s="59"/>
      <c r="C180" s="61"/>
      <c r="D180" s="61"/>
      <c r="E180" s="61"/>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O180" s="59"/>
      <c r="AP180" s="59"/>
      <c r="AQ180" s="59"/>
      <c r="AR180" s="59"/>
    </row>
    <row r="181" spans="2:44" ht="15.95" hidden="1" customHeight="1">
      <c r="B181" s="59"/>
      <c r="C181" s="61"/>
      <c r="D181" s="61"/>
      <c r="E181" s="6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O181" s="59"/>
      <c r="AP181" s="59"/>
      <c r="AQ181" s="59"/>
      <c r="AR181" s="59"/>
    </row>
    <row r="182" spans="2:44" ht="15.95" hidden="1" customHeight="1">
      <c r="B182" s="59"/>
      <c r="C182" s="61"/>
      <c r="D182" s="61"/>
      <c r="E182" s="61"/>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O182" s="59"/>
      <c r="AP182" s="59"/>
      <c r="AQ182" s="59"/>
      <c r="AR182" s="59"/>
    </row>
    <row r="183" spans="2:44" ht="15.95" hidden="1" customHeight="1">
      <c r="B183" s="59"/>
      <c r="C183" s="61"/>
      <c r="D183" s="61"/>
      <c r="E183" s="61"/>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O183" s="59"/>
      <c r="AP183" s="59"/>
      <c r="AQ183" s="59"/>
      <c r="AR183" s="59"/>
    </row>
    <row r="184" spans="2:44" ht="15.95" hidden="1" customHeight="1">
      <c r="B184" s="59"/>
      <c r="C184" s="61"/>
      <c r="D184" s="61"/>
      <c r="E184" s="61"/>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O184" s="59"/>
      <c r="AP184" s="59"/>
      <c r="AQ184" s="59"/>
      <c r="AR184" s="59"/>
    </row>
    <row r="185" spans="2:44" ht="15.95" hidden="1" customHeight="1">
      <c r="B185" s="59"/>
      <c r="C185" s="61"/>
      <c r="D185" s="61"/>
      <c r="E185" s="61"/>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O185" s="59"/>
      <c r="AP185" s="59"/>
      <c r="AQ185" s="59"/>
      <c r="AR185" s="59"/>
    </row>
    <row r="186" spans="2:44" ht="15.95" hidden="1" customHeight="1">
      <c r="B186" s="59"/>
      <c r="C186" s="61"/>
      <c r="D186" s="61"/>
      <c r="E186" s="61"/>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O186" s="59"/>
      <c r="AP186" s="59"/>
      <c r="AQ186" s="59"/>
      <c r="AR186" s="59"/>
    </row>
    <row r="187" spans="2:44" ht="15.95" hidden="1" customHeight="1">
      <c r="B187" s="59"/>
      <c r="C187" s="61"/>
      <c r="D187" s="61"/>
      <c r="E187" s="61"/>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O187" s="59"/>
      <c r="AP187" s="59"/>
      <c r="AQ187" s="59"/>
      <c r="AR187" s="59"/>
    </row>
    <row r="188" spans="2:44" ht="15.75" hidden="1" customHeight="1">
      <c r="B188" s="59"/>
      <c r="C188" s="61"/>
      <c r="D188" s="61"/>
      <c r="E188" s="61"/>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O188" s="166"/>
      <c r="AP188" s="59"/>
      <c r="AQ188" s="59"/>
      <c r="AR188" s="59"/>
    </row>
    <row r="189" spans="2:44" ht="15.75" hidden="1" customHeight="1">
      <c r="B189" s="59"/>
      <c r="C189" s="61"/>
      <c r="D189" s="61"/>
      <c r="E189" s="61"/>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O189" s="166"/>
      <c r="AP189" s="59"/>
      <c r="AQ189" s="59"/>
      <c r="AR189" s="59"/>
    </row>
    <row r="190" spans="2:44" ht="15.75" hidden="1" customHeight="1">
      <c r="B190" s="59"/>
      <c r="C190" s="61"/>
      <c r="D190" s="61"/>
      <c r="E190" s="61"/>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O190" s="166"/>
      <c r="AP190" s="59"/>
      <c r="AQ190" s="59"/>
      <c r="AR190" s="59"/>
    </row>
    <row r="191" spans="2:44" ht="15.75" hidden="1" customHeight="1">
      <c r="B191" s="59"/>
      <c r="C191" s="61"/>
      <c r="D191" s="61"/>
      <c r="E191" s="6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O191" s="166"/>
      <c r="AP191" s="59"/>
      <c r="AQ191" s="59"/>
      <c r="AR191" s="59"/>
    </row>
    <row r="192" spans="2:44" ht="15.75" hidden="1" customHeight="1">
      <c r="B192" s="59"/>
      <c r="C192" s="61"/>
      <c r="D192" s="61"/>
      <c r="E192" s="61"/>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O192" s="166"/>
      <c r="AP192" s="59"/>
      <c r="AQ192" s="59"/>
      <c r="AR192" s="59"/>
    </row>
    <row r="193" spans="2:44" ht="15.75" hidden="1" customHeight="1">
      <c r="B193" s="59"/>
      <c r="C193" s="61"/>
      <c r="D193" s="61"/>
      <c r="E193" s="61"/>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O193" s="166"/>
      <c r="AP193" s="59"/>
      <c r="AQ193" s="59"/>
      <c r="AR193" s="59"/>
    </row>
    <row r="194" spans="2:44" ht="15.75" hidden="1" customHeight="1">
      <c r="B194" s="59"/>
      <c r="C194" s="61"/>
      <c r="D194" s="61"/>
      <c r="E194" s="61"/>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O194" s="166"/>
      <c r="AP194" s="59"/>
      <c r="AQ194" s="59"/>
      <c r="AR194" s="59"/>
    </row>
    <row r="195" spans="2:44" ht="15.75" hidden="1" customHeight="1">
      <c r="B195" s="59"/>
      <c r="C195" s="61"/>
      <c r="D195" s="61"/>
      <c r="E195" s="61"/>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O195" s="166"/>
      <c r="AP195" s="59"/>
      <c r="AQ195" s="59"/>
      <c r="AR195" s="59"/>
    </row>
    <row r="196" spans="2:44" ht="15.75" hidden="1" customHeight="1">
      <c r="B196" s="59"/>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M196" s="59"/>
      <c r="AN196" s="59"/>
      <c r="AO196" s="166"/>
      <c r="AP196" s="59"/>
      <c r="AQ196" s="59"/>
      <c r="AR196" s="59"/>
    </row>
    <row r="197" spans="2:44" ht="15.75" hidden="1" customHeight="1">
      <c r="B197" s="59"/>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M197" s="59"/>
      <c r="AN197" s="59"/>
      <c r="AO197" s="166"/>
      <c r="AP197" s="59"/>
      <c r="AQ197" s="59"/>
      <c r="AR197" s="59"/>
    </row>
    <row r="198" spans="2:44" ht="15.75" hidden="1" customHeight="1">
      <c r="B198" s="59"/>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M198" s="59"/>
      <c r="AN198" s="59"/>
      <c r="AO198" s="166"/>
      <c r="AP198" s="59"/>
      <c r="AQ198" s="59"/>
      <c r="AR198" s="59"/>
    </row>
    <row r="199" spans="2:44" ht="15.95" hidden="1" customHeight="1">
      <c r="B199" s="59"/>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M199" s="59"/>
      <c r="AN199" s="59"/>
      <c r="AO199" s="59"/>
      <c r="AP199" s="59"/>
      <c r="AQ199" s="59"/>
      <c r="AR199" s="59"/>
    </row>
    <row r="200" spans="2:44" ht="15.95" customHeight="1">
      <c r="B200" s="277" t="str">
        <f>FOOT1</f>
        <v>NIPSCO Energy Efficiency Program</v>
      </c>
      <c r="C200" s="278"/>
      <c r="D200" s="278"/>
      <c r="E200" s="278"/>
      <c r="F200" s="278"/>
      <c r="G200" s="278"/>
      <c r="H200" s="278"/>
      <c r="I200" s="278"/>
      <c r="J200" s="278"/>
      <c r="K200" s="278"/>
      <c r="L200" s="278"/>
      <c r="M200" s="689" t="str">
        <f>FOOT4</f>
        <v>NIPSCO’s energy efficiency programs are administered by TRC, a third‐party implementation specialist that helps homes and businesses save energy.</v>
      </c>
      <c r="N200" s="689"/>
      <c r="O200" s="689"/>
      <c r="P200" s="689"/>
      <c r="Q200" s="689"/>
      <c r="R200" s="689"/>
      <c r="S200" s="689"/>
      <c r="T200" s="689"/>
      <c r="U200" s="689"/>
      <c r="V200" s="689"/>
      <c r="W200" s="689"/>
      <c r="X200" s="689"/>
      <c r="Y200" s="689"/>
      <c r="Z200" s="689"/>
      <c r="AA200" s="689"/>
      <c r="AB200" s="689"/>
      <c r="AC200" s="689"/>
      <c r="AD200" s="689"/>
      <c r="AE200" s="689"/>
      <c r="AF200" s="689"/>
      <c r="AG200" s="689"/>
      <c r="AH200" s="279"/>
      <c r="AI200" s="279"/>
      <c r="AJ200" s="279"/>
      <c r="AK200" s="279"/>
      <c r="AL200" s="279"/>
      <c r="AM200" s="277"/>
      <c r="AN200" s="277"/>
      <c r="AO200" s="277"/>
      <c r="AP200" s="277"/>
      <c r="AQ200" s="277"/>
      <c r="AR200" s="280" t="str">
        <f>FOOTDISCLAIM</f>
        <v/>
      </c>
    </row>
    <row r="201" spans="2:44" ht="15.75" customHeight="1">
      <c r="B201" s="277" t="str">
        <f>FOOT2</f>
        <v>Toll-Free 800-299-2501</v>
      </c>
      <c r="C201" s="278"/>
      <c r="D201" s="278"/>
      <c r="E201" s="278"/>
      <c r="F201" s="278"/>
      <c r="G201" s="278"/>
      <c r="H201" s="278"/>
      <c r="I201" s="278"/>
      <c r="J201" s="278"/>
      <c r="K201" s="278"/>
      <c r="L201" s="278"/>
      <c r="M201" s="689"/>
      <c r="N201" s="689"/>
      <c r="O201" s="689"/>
      <c r="P201" s="689"/>
      <c r="Q201" s="689"/>
      <c r="R201" s="689"/>
      <c r="S201" s="689"/>
      <c r="T201" s="689"/>
      <c r="U201" s="689"/>
      <c r="V201" s="689"/>
      <c r="W201" s="689"/>
      <c r="X201" s="689"/>
      <c r="Y201" s="689"/>
      <c r="Z201" s="689"/>
      <c r="AA201" s="689"/>
      <c r="AB201" s="689"/>
      <c r="AC201" s="689"/>
      <c r="AD201" s="689"/>
      <c r="AE201" s="689"/>
      <c r="AF201" s="689"/>
      <c r="AG201" s="689"/>
      <c r="AH201" s="279"/>
      <c r="AI201" s="279"/>
      <c r="AJ201" s="279"/>
      <c r="AK201" s="279"/>
      <c r="AL201" s="279"/>
      <c r="AM201" s="277"/>
      <c r="AN201" s="277"/>
      <c r="AO201" s="277"/>
      <c r="AP201" s="277"/>
      <c r="AQ201" s="277"/>
      <c r="AR201" s="280" t="str">
        <f>FOOT5</f>
        <v/>
      </c>
    </row>
    <row r="202" spans="2:44" ht="15" customHeight="1">
      <c r="B202" s="281" t="s">
        <v>1551</v>
      </c>
      <c r="C202" s="278"/>
      <c r="D202" s="278"/>
      <c r="E202" s="278"/>
      <c r="F202" s="278"/>
      <c r="G202" s="278"/>
      <c r="H202" s="278"/>
      <c r="I202" s="278"/>
      <c r="J202" s="278"/>
      <c r="K202" s="278"/>
      <c r="L202" s="278"/>
      <c r="M202" s="282"/>
      <c r="N202" s="278"/>
      <c r="O202" s="278"/>
      <c r="P202" s="282"/>
      <c r="Q202" s="282"/>
      <c r="R202" s="282"/>
      <c r="S202" s="282"/>
      <c r="T202" s="282"/>
      <c r="U202" s="282"/>
      <c r="V202" s="282"/>
      <c r="W202" s="283" t="str">
        <f>VERSION</f>
        <v>Custom Prescriptive Application v3.7.0</v>
      </c>
      <c r="X202" s="282"/>
      <c r="Y202" s="282"/>
      <c r="Z202" s="282"/>
      <c r="AA202" s="282"/>
      <c r="AB202" s="282"/>
      <c r="AC202" s="282"/>
      <c r="AD202" s="282"/>
      <c r="AE202" s="278"/>
      <c r="AF202" s="278"/>
      <c r="AG202" s="278"/>
      <c r="AH202" s="279"/>
      <c r="AI202" s="279"/>
      <c r="AJ202" s="279"/>
      <c r="AK202" s="279"/>
      <c r="AL202" s="279"/>
      <c r="AM202" s="277"/>
      <c r="AN202" s="277"/>
      <c r="AO202" s="277"/>
      <c r="AP202" s="277"/>
      <c r="AQ202" s="277"/>
      <c r="AR202" s="280" t="str">
        <f>FOOT6</f>
        <v>Product of TRC</v>
      </c>
    </row>
    <row r="203" spans="2:44" ht="15" hidden="1" customHeight="1"/>
    <row r="204" spans="2:44" ht="15" hidden="1" customHeight="1"/>
    <row r="205" spans="2:44" ht="15" hidden="1" customHeight="1"/>
    <row r="206" spans="2:44" ht="15" hidden="1" customHeight="1"/>
    <row r="207" spans="2:44" ht="15" hidden="1" customHeight="1"/>
    <row r="208" spans="2:44"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sheetData>
  <sheetProtection algorithmName="SHA-512" hashValue="VWvRIO0XUc9ntSugleM2do08IW2AaTiZlhjD1auE6EbOIBrALM1JgnFldofFqcMuGAqAJ4ETQ7ytSsjPmrHGCg==" saltValue="XLCNWpTWGBQ3GyWWuy+50Q==" spinCount="100000" sheet="1" objects="1" scenarios="1" selectLockedCells="1"/>
  <mergeCells count="8">
    <mergeCell ref="M200:AG201"/>
    <mergeCell ref="AQ2:AR3"/>
    <mergeCell ref="F10:AN10"/>
    <mergeCell ref="AH1:AK1"/>
    <mergeCell ref="AL1:AP1"/>
    <mergeCell ref="AH2:AK3"/>
    <mergeCell ref="AL2:AP3"/>
    <mergeCell ref="AQ1:AR1"/>
  </mergeCells>
  <conditionalFormatting sqref="AH2 AL2">
    <cfRule type="expression" dxfId="280" priority="1">
      <formula>PROJSTATUS=PROJSTATELI</formula>
    </cfRule>
    <cfRule type="expression" dxfId="279" priority="2">
      <formula>PROJSTATUS=PROJSTATREVIEW</formula>
    </cfRule>
    <cfRule type="expression" dxfId="278" priority="6">
      <formula>PROJSTATUS=PROJSTATPREAPPROVE</formula>
    </cfRule>
    <cfRule type="expression" dxfId="277" priority="7">
      <formula>PROJSTATUS=PROJSTATSTANDARD</formula>
    </cfRule>
    <cfRule type="expression" dxfId="276" priority="8">
      <formula>PROJSTATUS=PROJSTATEXP</formula>
    </cfRule>
  </conditionalFormatting>
  <conditionalFormatting sqref="AQ2:AR3">
    <cfRule type="cellIs" dxfId="275" priority="3" operator="equal">
      <formula>1</formula>
    </cfRule>
    <cfRule type="cellIs" dxfId="274" priority="4" operator="between">
      <formula>0.51</formula>
      <formula>0.99</formula>
    </cfRule>
    <cfRule type="cellIs" dxfId="273" priority="5" operator="lessThanOrEqual">
      <formula>0.5</formula>
    </cfRule>
  </conditionalFormatting>
  <hyperlinks>
    <hyperlink ref="B202" r:id="rId1" xr:uid="{0E492F8A-E506-4CF2-BCC3-7524B5835264}"/>
  </hyperlinks>
  <pageMargins left="0.25" right="0.25" top="0.25" bottom="0.25" header="0.25" footer="0.25"/>
  <pageSetup scale="55" fitToHeight="0" orientation="portrait" r:id="rId2"/>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A1:AU202"/>
  <sheetViews>
    <sheetView showGridLines="0" showRowColHeaders="0" zoomScale="85" zoomScaleNormal="85" workbookViewId="0">
      <selection activeCell="F19" sqref="F19:G19"/>
    </sheetView>
  </sheetViews>
  <sheetFormatPr defaultColWidth="0" defaultRowHeight="15" customHeight="1" zeroHeight="1"/>
  <cols>
    <col min="1" max="45" width="4.7109375" customWidth="1"/>
    <col min="46" max="16384" width="9.140625" hidden="1"/>
  </cols>
  <sheetData>
    <row r="1" spans="2:44" ht="15.95" customHeight="1">
      <c r="AH1" s="681" t="s">
        <v>471</v>
      </c>
      <c r="AI1" s="681"/>
      <c r="AJ1" s="681"/>
      <c r="AK1" s="681"/>
      <c r="AL1" s="682" t="s">
        <v>736</v>
      </c>
      <c r="AM1" s="682"/>
      <c r="AN1" s="682"/>
      <c r="AO1" s="682"/>
      <c r="AP1" s="682"/>
      <c r="AQ1" s="678" t="s">
        <v>474</v>
      </c>
      <c r="AR1" s="678"/>
    </row>
    <row r="2" spans="2:44" ht="15.95" customHeight="1">
      <c r="AH2" s="683" t="str">
        <f ca="1">INCENSTATUS</f>
        <v>---</v>
      </c>
      <c r="AI2" s="684"/>
      <c r="AJ2" s="684"/>
      <c r="AK2" s="684"/>
      <c r="AL2" s="685" t="str">
        <f ca="1">PROJSTATUS</f>
        <v>Enter Measures</v>
      </c>
      <c r="AM2" s="685"/>
      <c r="AN2" s="685"/>
      <c r="AO2" s="685"/>
      <c r="AP2" s="685"/>
      <c r="AQ2" s="679">
        <f ca="1">PROGRESSSTATUS</f>
        <v>2.8985507246376812E-2</v>
      </c>
      <c r="AR2" s="680"/>
    </row>
    <row r="3" spans="2:44" ht="15.95" customHeight="1">
      <c r="AH3" s="675"/>
      <c r="AI3" s="676"/>
      <c r="AJ3" s="676"/>
      <c r="AK3" s="676"/>
      <c r="AL3" s="668"/>
      <c r="AM3" s="668"/>
      <c r="AN3" s="668"/>
      <c r="AO3" s="668"/>
      <c r="AP3" s="668"/>
      <c r="AQ3" s="662"/>
      <c r="AR3" s="663"/>
    </row>
    <row r="4" spans="2:44" ht="15.95" customHeight="1">
      <c r="AR4" s="171"/>
    </row>
    <row r="5" spans="2:44" ht="15.95" customHeight="1"/>
    <row r="6" spans="2:44" ht="15.95" customHeight="1"/>
    <row r="7" spans="2:44" ht="15.95" customHeight="1"/>
    <row r="8" spans="2:44" ht="15.95" customHeight="1"/>
    <row r="9" spans="2:44" ht="15.95" customHeight="1">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44" ht="15.95" customHeight="1">
      <c r="B10" s="59"/>
      <c r="C10" s="59"/>
      <c r="D10" s="59"/>
      <c r="E10" s="59"/>
      <c r="F10" s="686" t="s">
        <v>889</v>
      </c>
      <c r="G10" s="686"/>
      <c r="H10" s="686"/>
      <c r="I10" s="686"/>
      <c r="J10" s="686"/>
      <c r="K10" s="686"/>
      <c r="L10" s="686"/>
      <c r="M10" s="686"/>
      <c r="N10" s="686"/>
      <c r="O10" s="686"/>
      <c r="P10" s="686"/>
      <c r="Q10" s="686"/>
      <c r="R10" s="686"/>
      <c r="S10" s="686"/>
      <c r="T10" s="686"/>
      <c r="U10" s="686"/>
      <c r="V10" s="686"/>
      <c r="W10" s="686"/>
      <c r="X10" s="686"/>
      <c r="Y10" s="686"/>
      <c r="Z10" s="686"/>
      <c r="AA10" s="686"/>
      <c r="AB10" s="686"/>
      <c r="AC10" s="686"/>
      <c r="AD10" s="686"/>
      <c r="AE10" s="686"/>
      <c r="AF10" s="686"/>
      <c r="AG10" s="686"/>
      <c r="AH10" s="686"/>
      <c r="AI10" s="686"/>
      <c r="AJ10" s="686"/>
      <c r="AK10" s="686"/>
      <c r="AL10" s="686"/>
      <c r="AM10" s="686"/>
      <c r="AN10" s="686"/>
      <c r="AO10" s="59"/>
      <c r="AP10" s="59"/>
      <c r="AQ10" s="59"/>
      <c r="AR10" s="59"/>
    </row>
    <row r="11" spans="2:44" ht="15.95" customHeight="1">
      <c r="B11" s="59"/>
      <c r="C11" s="59"/>
      <c r="D11" s="59"/>
      <c r="E11" s="59"/>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59"/>
      <c r="AP11" s="59"/>
      <c r="AQ11" s="59"/>
      <c r="AR11" s="59"/>
    </row>
    <row r="12" spans="2:44" ht="15.95" customHeight="1">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2:44" ht="15.95" customHeight="1">
      <c r="B13" s="59"/>
      <c r="C13" s="69" t="s">
        <v>770</v>
      </c>
      <c r="D13" s="70"/>
      <c r="E13" s="70"/>
      <c r="F13" s="70"/>
      <c r="G13" s="70"/>
      <c r="H13" s="70"/>
      <c r="I13" s="70"/>
      <c r="J13" s="70"/>
      <c r="K13" s="70"/>
      <c r="L13" s="70"/>
      <c r="M13" s="70"/>
      <c r="N13" s="70"/>
      <c r="O13" s="70"/>
      <c r="P13" s="70"/>
      <c r="Q13" s="70"/>
      <c r="R13" s="59"/>
      <c r="S13" s="59"/>
      <c r="T13" s="59"/>
      <c r="U13" s="71"/>
      <c r="V13" s="71"/>
      <c r="W13" s="59"/>
      <c r="X13" s="59"/>
      <c r="Y13" s="59"/>
      <c r="Z13" s="59"/>
      <c r="AA13" s="59"/>
      <c r="AB13" s="59"/>
      <c r="AC13" s="59"/>
      <c r="AD13" s="59"/>
      <c r="AE13" s="59"/>
      <c r="AF13" s="59"/>
      <c r="AG13" s="59"/>
      <c r="AH13" s="59"/>
      <c r="AI13" s="59"/>
      <c r="AJ13" s="59"/>
      <c r="AK13" s="59"/>
      <c r="AL13" s="59"/>
      <c r="AM13" s="59"/>
      <c r="AN13" s="59"/>
      <c r="AO13" s="59"/>
      <c r="AP13" s="59"/>
      <c r="AQ13" s="59"/>
      <c r="AR13" s="59"/>
    </row>
    <row r="14" spans="2:44" ht="15.95" customHeight="1">
      <c r="B14" s="59"/>
      <c r="C14" s="692" t="s">
        <v>886</v>
      </c>
      <c r="D14" s="692"/>
      <c r="E14" s="692"/>
      <c r="F14" s="692"/>
      <c r="G14" s="692"/>
      <c r="H14" s="72"/>
      <c r="I14" s="72"/>
      <c r="J14" s="692" t="s">
        <v>2369</v>
      </c>
      <c r="K14" s="692"/>
      <c r="L14" s="692"/>
      <c r="M14" s="692"/>
      <c r="N14" s="692"/>
      <c r="O14" s="692"/>
      <c r="P14" s="692"/>
      <c r="Q14" s="692"/>
      <c r="R14" s="692"/>
      <c r="S14" s="692"/>
      <c r="T14" s="692"/>
      <c r="U14" s="692"/>
      <c r="V14" s="692"/>
      <c r="W14" s="692"/>
      <c r="X14" s="692"/>
      <c r="Y14" s="73"/>
      <c r="AA14" s="692" t="s">
        <v>893</v>
      </c>
      <c r="AB14" s="692"/>
      <c r="AC14" s="692"/>
      <c r="AD14" s="692"/>
      <c r="AE14" s="692"/>
      <c r="AF14" s="73"/>
      <c r="AG14" s="73"/>
      <c r="AH14" s="73"/>
      <c r="AI14" s="73"/>
      <c r="AJ14" s="73"/>
      <c r="AK14" s="73"/>
      <c r="AL14" s="73"/>
      <c r="AM14" s="73"/>
      <c r="AN14" s="73"/>
      <c r="AO14" s="59"/>
      <c r="AP14" s="59"/>
      <c r="AQ14" s="59"/>
      <c r="AR14" s="59"/>
    </row>
    <row r="15" spans="2:44" ht="15.95" customHeight="1">
      <c r="B15" s="59"/>
      <c r="C15" s="692"/>
      <c r="D15" s="692"/>
      <c r="E15" s="692"/>
      <c r="F15" s="692"/>
      <c r="G15" s="692"/>
      <c r="H15" s="74"/>
      <c r="I15" s="74"/>
      <c r="J15" s="692"/>
      <c r="K15" s="692"/>
      <c r="L15" s="692"/>
      <c r="M15" s="692"/>
      <c r="N15" s="692"/>
      <c r="O15" s="692"/>
      <c r="P15" s="692"/>
      <c r="Q15" s="692"/>
      <c r="R15" s="692"/>
      <c r="S15" s="692"/>
      <c r="T15" s="692"/>
      <c r="U15" s="692"/>
      <c r="V15" s="692"/>
      <c r="W15" s="692"/>
      <c r="X15" s="692"/>
      <c r="Y15" s="73"/>
      <c r="AA15" s="692"/>
      <c r="AB15" s="692"/>
      <c r="AC15" s="692"/>
      <c r="AD15" s="692"/>
      <c r="AE15" s="692"/>
      <c r="AF15" s="73"/>
      <c r="AG15" s="73"/>
      <c r="AH15" s="694" t="s">
        <v>771</v>
      </c>
      <c r="AI15" s="694"/>
      <c r="AJ15" s="694"/>
      <c r="AK15" s="694"/>
      <c r="AL15" s="694"/>
      <c r="AM15" s="694"/>
      <c r="AN15" s="694"/>
      <c r="AO15" s="694"/>
      <c r="AP15" s="694"/>
      <c r="AQ15" s="59"/>
      <c r="AR15" s="59"/>
    </row>
    <row r="16" spans="2:44" ht="15.95" customHeight="1">
      <c r="B16" s="59"/>
      <c r="C16" s="692"/>
      <c r="D16" s="692"/>
      <c r="E16" s="692"/>
      <c r="F16" s="692"/>
      <c r="G16" s="692"/>
      <c r="H16" s="74"/>
      <c r="I16" s="74"/>
      <c r="J16" s="692"/>
      <c r="K16" s="692"/>
      <c r="L16" s="692"/>
      <c r="M16" s="692"/>
      <c r="N16" s="692"/>
      <c r="O16" s="692"/>
      <c r="P16" s="692"/>
      <c r="Q16" s="692"/>
      <c r="R16" s="692"/>
      <c r="S16" s="692"/>
      <c r="T16" s="692"/>
      <c r="U16" s="692"/>
      <c r="V16" s="692"/>
      <c r="W16" s="692"/>
      <c r="X16" s="692"/>
      <c r="Y16" s="75"/>
      <c r="AA16" s="692"/>
      <c r="AB16" s="692"/>
      <c r="AC16" s="692"/>
      <c r="AD16" s="692"/>
      <c r="AE16" s="692"/>
      <c r="AF16" s="75"/>
      <c r="AG16" s="75"/>
      <c r="AH16" s="695">
        <f>(F26*AD19)-X30</f>
        <v>0</v>
      </c>
      <c r="AI16" s="695"/>
      <c r="AJ16" s="695"/>
      <c r="AK16" s="695"/>
      <c r="AL16" s="695"/>
      <c r="AM16" s="695"/>
      <c r="AN16" s="695"/>
      <c r="AO16" s="695"/>
      <c r="AP16" s="695"/>
      <c r="AQ16" s="59"/>
      <c r="AR16" s="59"/>
    </row>
    <row r="17" spans="2:47" ht="15.95" customHeight="1">
      <c r="B17" s="59"/>
      <c r="C17" s="692"/>
      <c r="D17" s="692"/>
      <c r="E17" s="692"/>
      <c r="F17" s="692"/>
      <c r="G17" s="692"/>
      <c r="H17" s="76"/>
      <c r="I17" s="76"/>
      <c r="J17" s="696" t="s">
        <v>772</v>
      </c>
      <c r="K17" s="696"/>
      <c r="L17" s="696"/>
      <c r="M17" s="697" t="s">
        <v>138</v>
      </c>
      <c r="N17" s="697"/>
      <c r="O17" s="697"/>
      <c r="P17" s="698" t="s">
        <v>773</v>
      </c>
      <c r="Q17" s="698"/>
      <c r="R17" s="698"/>
      <c r="S17" s="698"/>
      <c r="T17" s="698"/>
      <c r="U17" s="698"/>
      <c r="V17" s="698" t="s">
        <v>774</v>
      </c>
      <c r="W17" s="698"/>
      <c r="X17" s="142" t="s">
        <v>911</v>
      </c>
      <c r="Y17" s="59"/>
      <c r="AA17" s="692"/>
      <c r="AB17" s="692"/>
      <c r="AC17" s="692"/>
      <c r="AD17" s="692"/>
      <c r="AE17" s="692"/>
      <c r="AF17" s="75"/>
      <c r="AG17" s="75"/>
      <c r="AH17" s="75"/>
      <c r="AI17" s="75"/>
      <c r="AJ17" s="75"/>
      <c r="AK17" s="75"/>
      <c r="AL17" s="75"/>
      <c r="AM17" s="75"/>
      <c r="AN17" s="75"/>
      <c r="AO17" s="75"/>
      <c r="AP17" s="59"/>
      <c r="AQ17" s="59"/>
      <c r="AR17" s="59"/>
    </row>
    <row r="18" spans="2:47" ht="15.95" customHeight="1">
      <c r="B18" s="59"/>
      <c r="C18" s="693"/>
      <c r="D18" s="693"/>
      <c r="E18" s="693"/>
      <c r="F18" s="693"/>
      <c r="G18" s="693"/>
      <c r="H18" s="76"/>
      <c r="I18" s="76"/>
      <c r="J18" s="699" t="str">
        <f t="shared" ref="J18:J28" si="0">TEXT(M18,"dddd")</f>
        <v>Monday</v>
      </c>
      <c r="K18" s="699"/>
      <c r="L18" s="699"/>
      <c r="M18" s="700">
        <v>45292</v>
      </c>
      <c r="N18" s="700"/>
      <c r="O18" s="700"/>
      <c r="P18" s="701" t="s">
        <v>2248</v>
      </c>
      <c r="Q18" s="701"/>
      <c r="R18" s="701"/>
      <c r="S18" s="701"/>
      <c r="T18" s="701"/>
      <c r="U18" s="701"/>
      <c r="V18" s="702"/>
      <c r="W18" s="702"/>
      <c r="X18" s="77" t="str">
        <f>IF(AU18=TRUE,VLOOKUP(J18,$C$19:$G$25,4,FALSE),"")</f>
        <v/>
      </c>
      <c r="Y18" s="99"/>
      <c r="AA18" s="693"/>
      <c r="AB18" s="693"/>
      <c r="AC18" s="693"/>
      <c r="AD18" s="693"/>
      <c r="AE18" s="693"/>
      <c r="AF18" s="75"/>
      <c r="AG18" s="75"/>
      <c r="AH18" s="75"/>
      <c r="AI18" s="75"/>
      <c r="AJ18" s="75"/>
      <c r="AK18" s="75"/>
      <c r="AL18" s="75"/>
      <c r="AM18" s="75"/>
      <c r="AN18" s="75"/>
      <c r="AO18" s="75"/>
      <c r="AP18" s="59"/>
      <c r="AQ18" s="59"/>
      <c r="AR18" s="59"/>
      <c r="AU18" s="79" t="b">
        <v>0</v>
      </c>
    </row>
    <row r="19" spans="2:47" ht="15.95" customHeight="1">
      <c r="B19" s="59"/>
      <c r="C19" s="705" t="s">
        <v>775</v>
      </c>
      <c r="D19" s="705"/>
      <c r="E19" s="705"/>
      <c r="F19" s="706"/>
      <c r="G19" s="706"/>
      <c r="H19" s="76"/>
      <c r="I19" s="76"/>
      <c r="J19" s="699" t="str">
        <f t="shared" si="0"/>
        <v>Monday</v>
      </c>
      <c r="K19" s="699"/>
      <c r="L19" s="699"/>
      <c r="M19" s="700">
        <v>45306</v>
      </c>
      <c r="N19" s="700"/>
      <c r="O19" s="700"/>
      <c r="P19" s="701" t="s">
        <v>776</v>
      </c>
      <c r="Q19" s="701"/>
      <c r="R19" s="701"/>
      <c r="S19" s="701"/>
      <c r="T19" s="701"/>
      <c r="U19" s="701"/>
      <c r="V19" s="702"/>
      <c r="W19" s="702"/>
      <c r="X19" s="77" t="str">
        <f t="shared" ref="X19:X28" si="1">IF(AU19=TRUE,VLOOKUP(J19,$C$19:$G$25,4,FALSE),"")</f>
        <v/>
      </c>
      <c r="Y19" s="99"/>
      <c r="AA19" s="701" t="s">
        <v>777</v>
      </c>
      <c r="AB19" s="701"/>
      <c r="AC19" s="701"/>
      <c r="AD19" s="703">
        <v>52.14</v>
      </c>
      <c r="AE19" s="704"/>
      <c r="AF19" s="75"/>
      <c r="AG19" s="75"/>
      <c r="AH19" s="75"/>
      <c r="AI19" s="75"/>
      <c r="AJ19" s="75"/>
      <c r="AK19" s="75"/>
      <c r="AL19" s="75"/>
      <c r="AM19" s="75"/>
      <c r="AN19" s="75"/>
      <c r="AO19" s="75"/>
      <c r="AP19" s="59"/>
      <c r="AQ19" s="59"/>
      <c r="AR19" s="59"/>
      <c r="AU19" s="79" t="b">
        <v>0</v>
      </c>
    </row>
    <row r="20" spans="2:47" ht="15.95" customHeight="1">
      <c r="B20" s="59"/>
      <c r="C20" s="705" t="s">
        <v>778</v>
      </c>
      <c r="D20" s="705"/>
      <c r="E20" s="705"/>
      <c r="F20" s="706"/>
      <c r="G20" s="706"/>
      <c r="H20" s="76"/>
      <c r="I20" s="76"/>
      <c r="J20" s="699" t="str">
        <f t="shared" si="0"/>
        <v>Monday</v>
      </c>
      <c r="K20" s="699"/>
      <c r="L20" s="699"/>
      <c r="M20" s="700">
        <v>45341</v>
      </c>
      <c r="N20" s="700"/>
      <c r="O20" s="700"/>
      <c r="P20" s="701" t="s">
        <v>779</v>
      </c>
      <c r="Q20" s="701"/>
      <c r="R20" s="701"/>
      <c r="S20" s="701"/>
      <c r="T20" s="701"/>
      <c r="U20" s="701"/>
      <c r="V20" s="702"/>
      <c r="W20" s="702"/>
      <c r="X20" s="77" t="str">
        <f t="shared" si="1"/>
        <v/>
      </c>
      <c r="Y20" s="99"/>
      <c r="AA20" s="59"/>
      <c r="AB20" s="75"/>
      <c r="AC20" s="59"/>
      <c r="AD20" s="59"/>
      <c r="AE20" s="59"/>
      <c r="AF20" s="75"/>
      <c r="AG20" s="75"/>
      <c r="AH20" s="75"/>
      <c r="AI20" s="75"/>
      <c r="AJ20" s="75"/>
      <c r="AK20" s="75"/>
      <c r="AL20" s="75"/>
      <c r="AM20" s="75"/>
      <c r="AN20" s="75"/>
      <c r="AO20" s="75"/>
      <c r="AP20" s="59"/>
      <c r="AQ20" s="59"/>
      <c r="AR20" s="59"/>
      <c r="AU20" s="80" t="b">
        <v>0</v>
      </c>
    </row>
    <row r="21" spans="2:47" ht="15.95" customHeight="1">
      <c r="B21" s="59"/>
      <c r="C21" s="705" t="s">
        <v>780</v>
      </c>
      <c r="D21" s="705"/>
      <c r="E21" s="705"/>
      <c r="F21" s="706"/>
      <c r="G21" s="706"/>
      <c r="H21" s="76"/>
      <c r="I21" s="76"/>
      <c r="J21" s="699" t="str">
        <f t="shared" si="0"/>
        <v>Monday</v>
      </c>
      <c r="K21" s="699"/>
      <c r="L21" s="699"/>
      <c r="M21" s="700">
        <v>45439</v>
      </c>
      <c r="N21" s="700"/>
      <c r="O21" s="700"/>
      <c r="P21" s="701" t="s">
        <v>781</v>
      </c>
      <c r="Q21" s="701"/>
      <c r="R21" s="701"/>
      <c r="S21" s="701"/>
      <c r="T21" s="701"/>
      <c r="U21" s="701"/>
      <c r="V21" s="702"/>
      <c r="W21" s="702"/>
      <c r="X21" s="77" t="str">
        <f t="shared" si="1"/>
        <v/>
      </c>
      <c r="Y21" s="99"/>
      <c r="AA21" s="59"/>
      <c r="AB21" s="75"/>
      <c r="AC21" s="75"/>
      <c r="AD21" s="75"/>
      <c r="AE21" s="75"/>
      <c r="AF21" s="75"/>
      <c r="AG21" s="75"/>
      <c r="AH21" s="75"/>
      <c r="AI21" s="75"/>
      <c r="AJ21" s="75"/>
      <c r="AK21" s="75"/>
      <c r="AL21" s="75"/>
      <c r="AM21" s="75"/>
      <c r="AN21" s="75"/>
      <c r="AO21" s="75"/>
      <c r="AP21" s="75"/>
      <c r="AQ21" s="59"/>
      <c r="AR21" s="59"/>
      <c r="AU21" s="80" t="b">
        <v>0</v>
      </c>
    </row>
    <row r="22" spans="2:47" ht="15.95" customHeight="1">
      <c r="B22" s="59"/>
      <c r="C22" s="705" t="s">
        <v>782</v>
      </c>
      <c r="D22" s="705"/>
      <c r="E22" s="705"/>
      <c r="F22" s="706"/>
      <c r="G22" s="706"/>
      <c r="H22" s="76"/>
      <c r="I22" s="76"/>
      <c r="J22" s="699" t="str">
        <f t="shared" si="0"/>
        <v>Thursday</v>
      </c>
      <c r="K22" s="699"/>
      <c r="L22" s="699"/>
      <c r="M22" s="700">
        <v>45477</v>
      </c>
      <c r="N22" s="700"/>
      <c r="O22" s="700"/>
      <c r="P22" s="701" t="s">
        <v>1789</v>
      </c>
      <c r="Q22" s="701"/>
      <c r="R22" s="701"/>
      <c r="S22" s="701"/>
      <c r="T22" s="701"/>
      <c r="U22" s="701"/>
      <c r="V22" s="702"/>
      <c r="W22" s="702"/>
      <c r="X22" s="77" t="str">
        <f t="shared" si="1"/>
        <v/>
      </c>
      <c r="Y22" s="99"/>
      <c r="AA22" s="690" t="s">
        <v>894</v>
      </c>
      <c r="AB22" s="690"/>
      <c r="AC22" s="690"/>
      <c r="AD22" s="690"/>
      <c r="AE22" s="690"/>
      <c r="AF22" s="690"/>
      <c r="AG22" s="690"/>
      <c r="AH22" s="690"/>
      <c r="AI22" s="690"/>
      <c r="AJ22" s="690"/>
      <c r="AK22" s="690"/>
      <c r="AL22" s="690"/>
      <c r="AM22" s="690"/>
      <c r="AN22" s="690"/>
      <c r="AO22" s="690"/>
      <c r="AP22" s="690"/>
      <c r="AQ22" s="59"/>
      <c r="AR22" s="59"/>
      <c r="AU22" s="81" t="b">
        <v>0</v>
      </c>
    </row>
    <row r="23" spans="2:47" ht="15.95" customHeight="1">
      <c r="B23" s="59"/>
      <c r="C23" s="705" t="s">
        <v>783</v>
      </c>
      <c r="D23" s="705"/>
      <c r="E23" s="705"/>
      <c r="F23" s="706"/>
      <c r="G23" s="706"/>
      <c r="H23" s="76"/>
      <c r="I23" s="76"/>
      <c r="J23" s="699" t="str">
        <f t="shared" si="0"/>
        <v>Monday</v>
      </c>
      <c r="K23" s="699"/>
      <c r="L23" s="699"/>
      <c r="M23" s="700">
        <v>45537</v>
      </c>
      <c r="N23" s="700"/>
      <c r="O23" s="700"/>
      <c r="P23" s="701" t="s">
        <v>784</v>
      </c>
      <c r="Q23" s="701"/>
      <c r="R23" s="701"/>
      <c r="S23" s="701"/>
      <c r="T23" s="701"/>
      <c r="U23" s="701"/>
      <c r="V23" s="702"/>
      <c r="W23" s="702"/>
      <c r="X23" s="77" t="str">
        <f t="shared" si="1"/>
        <v/>
      </c>
      <c r="Y23" s="99"/>
      <c r="AA23" s="132" t="s">
        <v>869</v>
      </c>
      <c r="AB23" s="691" t="s">
        <v>873</v>
      </c>
      <c r="AC23" s="690"/>
      <c r="AD23" s="690"/>
      <c r="AE23" s="690"/>
      <c r="AF23" s="690"/>
      <c r="AG23" s="690"/>
      <c r="AH23" s="690"/>
      <c r="AI23" s="690"/>
      <c r="AJ23" s="690"/>
      <c r="AK23" s="690"/>
      <c r="AL23" s="690"/>
      <c r="AM23" s="690"/>
      <c r="AN23" s="690"/>
      <c r="AO23" s="690"/>
      <c r="AP23" s="690"/>
      <c r="AQ23" s="59"/>
      <c r="AR23" s="59"/>
      <c r="AU23" s="81" t="b">
        <v>0</v>
      </c>
    </row>
    <row r="24" spans="2:47" ht="15.95" customHeight="1">
      <c r="B24" s="59"/>
      <c r="C24" s="705" t="s">
        <v>785</v>
      </c>
      <c r="D24" s="705"/>
      <c r="E24" s="705"/>
      <c r="F24" s="706"/>
      <c r="G24" s="706"/>
      <c r="H24" s="76"/>
      <c r="I24" s="76"/>
      <c r="J24" s="699" t="str">
        <f t="shared" si="0"/>
        <v>Monday</v>
      </c>
      <c r="K24" s="699"/>
      <c r="L24" s="699"/>
      <c r="M24" s="700">
        <v>45579</v>
      </c>
      <c r="N24" s="700"/>
      <c r="O24" s="700"/>
      <c r="P24" s="701" t="s">
        <v>786</v>
      </c>
      <c r="Q24" s="701"/>
      <c r="R24" s="701"/>
      <c r="S24" s="701"/>
      <c r="T24" s="701"/>
      <c r="U24" s="701"/>
      <c r="V24" s="702"/>
      <c r="W24" s="702"/>
      <c r="X24" s="77" t="str">
        <f t="shared" si="1"/>
        <v/>
      </c>
      <c r="Y24" s="99"/>
      <c r="AA24" s="133"/>
      <c r="AB24" s="690"/>
      <c r="AC24" s="690"/>
      <c r="AD24" s="690"/>
      <c r="AE24" s="690"/>
      <c r="AF24" s="690"/>
      <c r="AG24" s="690"/>
      <c r="AH24" s="690"/>
      <c r="AI24" s="690"/>
      <c r="AJ24" s="690"/>
      <c r="AK24" s="690"/>
      <c r="AL24" s="690"/>
      <c r="AM24" s="690"/>
      <c r="AN24" s="690"/>
      <c r="AO24" s="690"/>
      <c r="AP24" s="690"/>
      <c r="AQ24" s="59"/>
      <c r="AR24" s="59"/>
      <c r="AU24" s="81"/>
    </row>
    <row r="25" spans="2:47" ht="15.95" customHeight="1">
      <c r="B25" s="59"/>
      <c r="C25" s="705" t="s">
        <v>787</v>
      </c>
      <c r="D25" s="705"/>
      <c r="E25" s="705"/>
      <c r="F25" s="706"/>
      <c r="G25" s="706"/>
      <c r="H25" s="76"/>
      <c r="I25" s="76"/>
      <c r="J25" s="699" t="str">
        <f t="shared" si="0"/>
        <v>Monday</v>
      </c>
      <c r="K25" s="699"/>
      <c r="L25" s="699"/>
      <c r="M25" s="700">
        <v>45607</v>
      </c>
      <c r="N25" s="700"/>
      <c r="O25" s="700"/>
      <c r="P25" s="701" t="s">
        <v>2247</v>
      </c>
      <c r="Q25" s="701"/>
      <c r="R25" s="701"/>
      <c r="S25" s="701"/>
      <c r="T25" s="701"/>
      <c r="U25" s="701"/>
      <c r="V25" s="702"/>
      <c r="W25" s="702"/>
      <c r="X25" s="77" t="str">
        <f t="shared" si="1"/>
        <v/>
      </c>
      <c r="Y25" s="99"/>
      <c r="Z25" s="78"/>
      <c r="AA25" s="133"/>
      <c r="AB25" s="690"/>
      <c r="AC25" s="690"/>
      <c r="AD25" s="690"/>
      <c r="AE25" s="690"/>
      <c r="AF25" s="690"/>
      <c r="AG25" s="690"/>
      <c r="AH25" s="690"/>
      <c r="AI25" s="690"/>
      <c r="AJ25" s="690"/>
      <c r="AK25" s="690"/>
      <c r="AL25" s="690"/>
      <c r="AM25" s="690"/>
      <c r="AN25" s="690"/>
      <c r="AO25" s="690"/>
      <c r="AP25" s="690"/>
      <c r="AQ25" s="59"/>
      <c r="AR25" s="59"/>
      <c r="AU25" s="81"/>
    </row>
    <row r="26" spans="2:47" ht="15.95" customHeight="1">
      <c r="B26" s="59"/>
      <c r="C26" s="707" t="s">
        <v>788</v>
      </c>
      <c r="D26" s="707"/>
      <c r="E26" s="707"/>
      <c r="F26" s="708">
        <f>SUM(F19:G25)</f>
        <v>0</v>
      </c>
      <c r="G26" s="708"/>
      <c r="H26" s="76"/>
      <c r="I26" s="76"/>
      <c r="J26" s="699" t="str">
        <f t="shared" si="0"/>
        <v>Thursday</v>
      </c>
      <c r="K26" s="699"/>
      <c r="L26" s="699"/>
      <c r="M26" s="700">
        <v>45624</v>
      </c>
      <c r="N26" s="700"/>
      <c r="O26" s="700"/>
      <c r="P26" s="701" t="s">
        <v>789</v>
      </c>
      <c r="Q26" s="701"/>
      <c r="R26" s="701"/>
      <c r="S26" s="701"/>
      <c r="T26" s="701"/>
      <c r="U26" s="701"/>
      <c r="V26" s="702"/>
      <c r="W26" s="702"/>
      <c r="X26" s="77" t="str">
        <f t="shared" si="1"/>
        <v/>
      </c>
      <c r="Y26" s="99"/>
      <c r="Z26" s="78"/>
      <c r="AA26" s="132" t="s">
        <v>869</v>
      </c>
      <c r="AB26" s="690" t="s">
        <v>790</v>
      </c>
      <c r="AC26" s="690"/>
      <c r="AD26" s="690"/>
      <c r="AE26" s="690"/>
      <c r="AF26" s="690"/>
      <c r="AG26" s="690"/>
      <c r="AH26" s="690"/>
      <c r="AI26" s="690"/>
      <c r="AJ26" s="690"/>
      <c r="AK26" s="690"/>
      <c r="AL26" s="690"/>
      <c r="AM26" s="690"/>
      <c r="AN26" s="690"/>
      <c r="AO26" s="690"/>
      <c r="AP26" s="690"/>
      <c r="AQ26" s="59"/>
      <c r="AR26" s="59"/>
      <c r="AU26" s="81" t="b">
        <v>0</v>
      </c>
    </row>
    <row r="27" spans="2:47" ht="15.95" customHeight="1">
      <c r="B27" s="59"/>
      <c r="C27" s="76"/>
      <c r="D27" s="76"/>
      <c r="E27" s="76"/>
      <c r="F27" s="76"/>
      <c r="G27" s="76"/>
      <c r="H27" s="76"/>
      <c r="I27" s="76"/>
      <c r="J27" s="699" t="str">
        <f t="shared" si="0"/>
        <v>Tuesday</v>
      </c>
      <c r="K27" s="699"/>
      <c r="L27" s="699"/>
      <c r="M27" s="700">
        <v>45650</v>
      </c>
      <c r="N27" s="700"/>
      <c r="O27" s="700"/>
      <c r="P27" s="701" t="s">
        <v>791</v>
      </c>
      <c r="Q27" s="701"/>
      <c r="R27" s="701"/>
      <c r="S27" s="701"/>
      <c r="T27" s="701"/>
      <c r="U27" s="701"/>
      <c r="V27" s="702"/>
      <c r="W27" s="702"/>
      <c r="X27" s="77" t="str">
        <f t="shared" si="1"/>
        <v/>
      </c>
      <c r="Y27" s="99"/>
      <c r="Z27" s="78"/>
      <c r="AA27" s="134"/>
      <c r="AB27" s="134"/>
      <c r="AC27" s="134"/>
      <c r="AD27" s="134"/>
      <c r="AE27" s="134"/>
      <c r="AF27" s="134"/>
      <c r="AG27" s="134"/>
      <c r="AH27" s="134"/>
      <c r="AI27" s="134"/>
      <c r="AJ27" s="134"/>
      <c r="AK27" s="134"/>
      <c r="AL27" s="134"/>
      <c r="AM27" s="134"/>
      <c r="AN27" s="134"/>
      <c r="AO27" s="134"/>
      <c r="AP27" s="134"/>
      <c r="AQ27" s="59"/>
      <c r="AR27" s="59"/>
      <c r="AU27" s="81" t="b">
        <v>0</v>
      </c>
    </row>
    <row r="28" spans="2:47" ht="15.95" customHeight="1">
      <c r="B28" s="59"/>
      <c r="C28" s="76"/>
      <c r="D28" s="76"/>
      <c r="E28" s="76"/>
      <c r="F28" s="76"/>
      <c r="G28" s="76"/>
      <c r="H28" s="76"/>
      <c r="I28" s="76"/>
      <c r="J28" s="699" t="str">
        <f t="shared" si="0"/>
        <v>Wednesday</v>
      </c>
      <c r="K28" s="699"/>
      <c r="L28" s="699"/>
      <c r="M28" s="700">
        <v>45651</v>
      </c>
      <c r="N28" s="700"/>
      <c r="O28" s="700"/>
      <c r="P28" s="701" t="s">
        <v>2134</v>
      </c>
      <c r="Q28" s="701"/>
      <c r="R28" s="701"/>
      <c r="S28" s="701"/>
      <c r="T28" s="701"/>
      <c r="U28" s="701"/>
      <c r="V28" s="702"/>
      <c r="W28" s="702"/>
      <c r="X28" s="77" t="str">
        <f t="shared" si="1"/>
        <v/>
      </c>
      <c r="Y28" s="99"/>
      <c r="Z28" s="78"/>
      <c r="AA28" s="132" t="s">
        <v>869</v>
      </c>
      <c r="AB28" s="690" t="s">
        <v>915</v>
      </c>
      <c r="AC28" s="690"/>
      <c r="AD28" s="690"/>
      <c r="AE28" s="690"/>
      <c r="AF28" s="690"/>
      <c r="AG28" s="690"/>
      <c r="AH28" s="690"/>
      <c r="AI28" s="690"/>
      <c r="AJ28" s="690"/>
      <c r="AK28" s="690"/>
      <c r="AL28" s="690"/>
      <c r="AM28" s="690"/>
      <c r="AN28" s="690"/>
      <c r="AO28" s="690"/>
      <c r="AP28" s="690"/>
      <c r="AQ28" s="59"/>
      <c r="AR28" s="59"/>
      <c r="AU28" s="81" t="b">
        <v>0</v>
      </c>
    </row>
    <row r="29" spans="2:47" ht="15.95" customHeight="1">
      <c r="B29" s="59"/>
      <c r="C29" s="73"/>
      <c r="D29" s="73"/>
      <c r="E29" s="73"/>
      <c r="F29" s="73"/>
      <c r="G29" s="73"/>
      <c r="H29" s="73"/>
      <c r="I29" s="73"/>
      <c r="J29" s="710" t="s">
        <v>912</v>
      </c>
      <c r="K29" s="711"/>
      <c r="L29" s="712"/>
      <c r="M29" s="713" t="s">
        <v>913</v>
      </c>
      <c r="N29" s="713"/>
      <c r="O29" s="713"/>
      <c r="P29" s="714" t="s">
        <v>914</v>
      </c>
      <c r="Q29" s="714"/>
      <c r="R29" s="714"/>
      <c r="S29" s="714"/>
      <c r="T29" s="714"/>
      <c r="U29" s="714"/>
      <c r="V29" s="715"/>
      <c r="W29" s="716"/>
      <c r="X29" s="143"/>
      <c r="Y29" s="100"/>
      <c r="Z29" s="73"/>
      <c r="AA29" s="73"/>
      <c r="AB29" s="690"/>
      <c r="AC29" s="690"/>
      <c r="AD29" s="690"/>
      <c r="AE29" s="690"/>
      <c r="AF29" s="690"/>
      <c r="AG29" s="690"/>
      <c r="AH29" s="690"/>
      <c r="AI29" s="690"/>
      <c r="AJ29" s="690"/>
      <c r="AK29" s="690"/>
      <c r="AL29" s="690"/>
      <c r="AM29" s="690"/>
      <c r="AN29" s="690"/>
      <c r="AO29" s="690"/>
      <c r="AP29" s="690"/>
      <c r="AQ29" s="59"/>
      <c r="AR29" s="59"/>
    </row>
    <row r="30" spans="2:47" ht="15.95" customHeight="1">
      <c r="B30" s="59"/>
      <c r="C30" s="59"/>
      <c r="D30" s="59"/>
      <c r="E30" s="59"/>
      <c r="F30" s="59"/>
      <c r="G30" s="59"/>
      <c r="H30" s="59"/>
      <c r="I30" s="59"/>
      <c r="J30" s="709" t="s">
        <v>792</v>
      </c>
      <c r="K30" s="709"/>
      <c r="L30" s="709"/>
      <c r="M30" s="709"/>
      <c r="N30" s="709"/>
      <c r="O30" s="709"/>
      <c r="P30" s="709"/>
      <c r="Q30" s="709"/>
      <c r="R30" s="709"/>
      <c r="S30" s="709"/>
      <c r="T30" s="709"/>
      <c r="U30" s="709"/>
      <c r="V30" s="709"/>
      <c r="W30" s="709"/>
      <c r="X30" s="144">
        <f>SUM(X18:X29)</f>
        <v>0</v>
      </c>
      <c r="Y30" s="59"/>
      <c r="Z30" s="59"/>
      <c r="AA30" s="59"/>
      <c r="AB30" s="690"/>
      <c r="AC30" s="690"/>
      <c r="AD30" s="690"/>
      <c r="AE30" s="690"/>
      <c r="AF30" s="690"/>
      <c r="AG30" s="690"/>
      <c r="AH30" s="690"/>
      <c r="AI30" s="690"/>
      <c r="AJ30" s="690"/>
      <c r="AK30" s="690"/>
      <c r="AL30" s="690"/>
      <c r="AM30" s="690"/>
      <c r="AN30" s="690"/>
      <c r="AO30" s="690"/>
      <c r="AP30" s="690"/>
      <c r="AQ30" s="59"/>
      <c r="AR30" s="59"/>
    </row>
    <row r="31" spans="2:47" ht="15.95" customHeight="1">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690"/>
      <c r="AC31" s="690"/>
      <c r="AD31" s="690"/>
      <c r="AE31" s="690"/>
      <c r="AF31" s="690"/>
      <c r="AG31" s="690"/>
      <c r="AH31" s="690"/>
      <c r="AI31" s="690"/>
      <c r="AJ31" s="690"/>
      <c r="AK31" s="690"/>
      <c r="AL31" s="690"/>
      <c r="AM31" s="690"/>
      <c r="AN31" s="690"/>
      <c r="AO31" s="690"/>
      <c r="AP31" s="690"/>
      <c r="AQ31" s="59"/>
      <c r="AR31" s="59"/>
    </row>
    <row r="32" spans="2:47" ht="15.95" customHeight="1">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row>
    <row r="33" spans="2:44" ht="15.95" customHeight="1">
      <c r="B33" s="59"/>
      <c r="C33" s="59"/>
      <c r="D33" s="59"/>
      <c r="AP33" s="59"/>
      <c r="AQ33" s="59"/>
      <c r="AR33" s="59"/>
    </row>
    <row r="34" spans="2:44" ht="15.95" customHeight="1">
      <c r="B34" s="59"/>
      <c r="C34" s="59"/>
      <c r="D34" s="59"/>
      <c r="AP34" s="59"/>
      <c r="AQ34" s="59"/>
      <c r="AR34" s="59"/>
    </row>
    <row r="35" spans="2:44" ht="15.95" customHeight="1">
      <c r="B35" s="59"/>
      <c r="AQ35" s="59"/>
      <c r="AR35" s="59"/>
    </row>
    <row r="36" spans="2:44" ht="15.95" hidden="1" customHeight="1">
      <c r="B36" s="59"/>
      <c r="AQ36" s="59"/>
      <c r="AR36" s="59"/>
    </row>
    <row r="37" spans="2:44" ht="15.95" hidden="1" customHeight="1">
      <c r="B37" s="59"/>
      <c r="AQ37" s="59"/>
      <c r="AR37" s="59"/>
    </row>
    <row r="38" spans="2:44" ht="15.95" hidden="1" customHeight="1">
      <c r="B38" s="59"/>
      <c r="AQ38" s="59"/>
      <c r="AR38" s="59"/>
    </row>
    <row r="39" spans="2:44" ht="15.95" hidden="1" customHeight="1">
      <c r="B39" s="59"/>
      <c r="AQ39" s="59"/>
      <c r="AR39" s="59"/>
    </row>
    <row r="40" spans="2:44" ht="15.95" hidden="1" customHeight="1">
      <c r="B40" s="59"/>
      <c r="AQ40" s="59"/>
      <c r="AR40" s="59"/>
    </row>
    <row r="41" spans="2:44" ht="15.95" hidden="1" customHeight="1">
      <c r="B41" s="59"/>
      <c r="AQ41" s="59"/>
      <c r="AR41" s="59"/>
    </row>
    <row r="42" spans="2:44" ht="15.95" hidden="1" customHeight="1">
      <c r="B42" s="59"/>
      <c r="AQ42" s="59"/>
      <c r="AR42" s="59"/>
    </row>
    <row r="43" spans="2:44" ht="15.95" hidden="1" customHeight="1">
      <c r="B43" s="59"/>
      <c r="AQ43" s="59"/>
      <c r="AR43" s="59"/>
    </row>
    <row r="44" spans="2:44" ht="15.95" hidden="1" customHeight="1">
      <c r="B44" s="59"/>
      <c r="AQ44" s="59"/>
      <c r="AR44" s="59"/>
    </row>
    <row r="45" spans="2:44" ht="15.95" hidden="1" customHeight="1">
      <c r="B45" s="59"/>
      <c r="AQ45" s="59"/>
      <c r="AR45" s="59"/>
    </row>
    <row r="46" spans="2:44" ht="15.95" hidden="1" customHeight="1">
      <c r="B46" s="59"/>
      <c r="AQ46" s="59"/>
      <c r="AR46" s="59"/>
    </row>
    <row r="47" spans="2:44" ht="15.95" hidden="1" customHeight="1">
      <c r="B47" s="59"/>
      <c r="AQ47" s="59"/>
      <c r="AR47" s="59"/>
    </row>
    <row r="48" spans="2:44" ht="15.95" hidden="1" customHeight="1">
      <c r="B48" s="59"/>
      <c r="AQ48" s="59"/>
      <c r="AR48" s="59"/>
    </row>
    <row r="49" spans="2:44" ht="15.95" hidden="1" customHeight="1">
      <c r="B49" s="59"/>
      <c r="AQ49" s="59"/>
      <c r="AR49" s="59"/>
    </row>
    <row r="50" spans="2:44" ht="15.95" hidden="1" customHeight="1">
      <c r="B50" s="59"/>
      <c r="AQ50" s="59"/>
      <c r="AR50" s="59"/>
    </row>
    <row r="51" spans="2:44" ht="15.95" hidden="1" customHeight="1">
      <c r="B51" s="59"/>
      <c r="AQ51" s="59"/>
      <c r="AR51" s="59"/>
    </row>
    <row r="52" spans="2:44" ht="15.95" hidden="1" customHeight="1">
      <c r="B52" s="59"/>
      <c r="AQ52" s="59"/>
      <c r="AR52" s="59"/>
    </row>
    <row r="53" spans="2:44" ht="15.95" hidden="1" customHeight="1">
      <c r="B53" s="59"/>
      <c r="C53" s="59"/>
      <c r="D53" s="59"/>
      <c r="AP53" s="59"/>
      <c r="AQ53" s="59"/>
      <c r="AR53" s="59"/>
    </row>
    <row r="54" spans="2:44" ht="15.95" hidden="1" customHeight="1">
      <c r="B54" s="59"/>
      <c r="C54" s="59"/>
      <c r="D54" s="59"/>
      <c r="AP54" s="59"/>
      <c r="AQ54" s="59"/>
      <c r="AR54" s="59"/>
    </row>
    <row r="55" spans="2:44" ht="15.95" hidden="1" customHeight="1">
      <c r="B55" s="59"/>
      <c r="C55" s="59"/>
      <c r="D55" s="59"/>
      <c r="AP55" s="59"/>
      <c r="AQ55" s="59"/>
      <c r="AR55" s="59"/>
    </row>
    <row r="56" spans="2:44" ht="15.95" hidden="1" customHeight="1">
      <c r="B56" s="59"/>
      <c r="C56" s="59"/>
      <c r="D56" s="59"/>
      <c r="AP56" s="59"/>
      <c r="AQ56" s="59"/>
      <c r="AR56" s="59"/>
    </row>
    <row r="57" spans="2:44" ht="15.95" hidden="1" customHeight="1">
      <c r="B57" s="59"/>
      <c r="C57" s="59"/>
      <c r="D57" s="59"/>
      <c r="AP57" s="59"/>
      <c r="AQ57" s="59"/>
      <c r="AR57" s="59"/>
    </row>
    <row r="58" spans="2:44" ht="15.95" hidden="1" customHeight="1">
      <c r="B58" s="59"/>
      <c r="C58" s="59"/>
      <c r="D58" s="59"/>
      <c r="AP58" s="59"/>
      <c r="AQ58" s="59"/>
      <c r="AR58" s="59"/>
    </row>
    <row r="59" spans="2:44" ht="15.95" hidden="1" customHeight="1">
      <c r="B59" s="59"/>
      <c r="C59" s="59"/>
      <c r="D59" s="59"/>
      <c r="AP59" s="59"/>
      <c r="AQ59" s="59"/>
      <c r="AR59" s="59"/>
    </row>
    <row r="60" spans="2:44" ht="15.95" hidden="1" customHeight="1">
      <c r="B60" s="59"/>
      <c r="C60" s="59"/>
      <c r="D60" s="59"/>
      <c r="AP60" s="59"/>
      <c r="AQ60" s="59"/>
      <c r="AR60" s="59"/>
    </row>
    <row r="61" spans="2:44" ht="15.95" hidden="1" customHeight="1">
      <c r="B61" s="59"/>
      <c r="C61" s="59"/>
      <c r="D61" s="59"/>
      <c r="AP61" s="59"/>
      <c r="AQ61" s="59"/>
      <c r="AR61" s="59"/>
    </row>
    <row r="62" spans="2:44" ht="15.95" hidden="1" customHeight="1">
      <c r="B62" s="59"/>
      <c r="C62" s="59"/>
      <c r="D62" s="59"/>
      <c r="AP62" s="59"/>
      <c r="AQ62" s="59"/>
      <c r="AR62" s="59"/>
    </row>
    <row r="63" spans="2:44" ht="15.95" hidden="1" customHeight="1">
      <c r="B63" s="59"/>
      <c r="C63" s="59"/>
      <c r="D63" s="59"/>
      <c r="AP63" s="59"/>
      <c r="AQ63" s="59"/>
      <c r="AR63" s="59"/>
    </row>
    <row r="64" spans="2:44" ht="15.95" hidden="1" customHeight="1">
      <c r="B64" s="59"/>
      <c r="C64" s="59"/>
      <c r="D64" s="59"/>
      <c r="AP64" s="59"/>
      <c r="AQ64" s="59"/>
      <c r="AR64" s="59"/>
    </row>
    <row r="65" spans="2:44" ht="15.95" hidden="1" customHeight="1">
      <c r="B65" s="59"/>
      <c r="C65" s="59"/>
      <c r="D65" s="59"/>
      <c r="AP65" s="59"/>
      <c r="AQ65" s="59"/>
      <c r="AR65" s="59"/>
    </row>
    <row r="66" spans="2:44" ht="15.95" hidden="1" customHeight="1">
      <c r="B66" s="59"/>
      <c r="C66" s="59"/>
      <c r="D66" s="59"/>
      <c r="AP66" s="59"/>
      <c r="AQ66" s="59"/>
      <c r="AR66" s="59"/>
    </row>
    <row r="67" spans="2:44" ht="15.95" hidden="1" customHeight="1">
      <c r="B67" s="59"/>
      <c r="C67" s="59"/>
      <c r="D67" s="59"/>
      <c r="AP67" s="59"/>
      <c r="AQ67" s="59"/>
      <c r="AR67" s="59"/>
    </row>
    <row r="68" spans="2:44" ht="15.95" hidden="1" customHeight="1">
      <c r="B68" s="59"/>
      <c r="C68" s="59"/>
      <c r="D68" s="59"/>
      <c r="AP68" s="59"/>
      <c r="AQ68" s="59"/>
      <c r="AR68" s="59"/>
    </row>
    <row r="69" spans="2:44" ht="15.95" hidden="1" customHeight="1">
      <c r="B69" s="59"/>
      <c r="C69" s="59"/>
      <c r="D69" s="59"/>
      <c r="AP69" s="59"/>
      <c r="AQ69" s="59"/>
      <c r="AR69" s="59"/>
    </row>
    <row r="70" spans="2:44" ht="15.95" hidden="1" customHeight="1">
      <c r="B70" s="59"/>
      <c r="C70" s="59"/>
      <c r="D70" s="59"/>
      <c r="AP70" s="59"/>
      <c r="AQ70" s="59"/>
      <c r="AR70" s="59"/>
    </row>
    <row r="71" spans="2:44" ht="15.95" hidden="1" customHeight="1">
      <c r="B71" s="59"/>
      <c r="C71" s="59"/>
      <c r="D71" s="59"/>
      <c r="AP71" s="59"/>
      <c r="AQ71" s="59"/>
      <c r="AR71" s="59"/>
    </row>
    <row r="72" spans="2:44" ht="15.95" hidden="1" customHeight="1">
      <c r="B72" s="59"/>
      <c r="C72" s="59"/>
      <c r="D72" s="59"/>
      <c r="AP72" s="59"/>
      <c r="AQ72" s="59"/>
      <c r="AR72" s="59"/>
    </row>
    <row r="73" spans="2:44" ht="15.95" hidden="1" customHeight="1">
      <c r="B73" s="59"/>
      <c r="C73" s="59"/>
      <c r="D73" s="59"/>
      <c r="AP73" s="59"/>
      <c r="AQ73" s="59"/>
      <c r="AR73" s="59"/>
    </row>
    <row r="74" spans="2:44" ht="15.95" hidden="1" customHeight="1">
      <c r="B74" s="59"/>
      <c r="C74" s="59"/>
      <c r="D74" s="59"/>
      <c r="AP74" s="59"/>
      <c r="AQ74" s="59"/>
      <c r="AR74" s="59"/>
    </row>
    <row r="75" spans="2:44" ht="15.95" hidden="1" customHeight="1">
      <c r="B75" s="59"/>
      <c r="C75" s="59"/>
      <c r="D75" s="59"/>
      <c r="AP75" s="59"/>
      <c r="AQ75" s="59"/>
      <c r="AR75" s="59"/>
    </row>
    <row r="76" spans="2:44" ht="15.95" hidden="1" customHeight="1">
      <c r="B76" s="59"/>
      <c r="C76" s="59"/>
      <c r="D76" s="59"/>
      <c r="AP76" s="59"/>
      <c r="AQ76" s="59"/>
      <c r="AR76" s="59"/>
    </row>
    <row r="77" spans="2:44" ht="15.95" hidden="1" customHeight="1">
      <c r="B77" s="59"/>
      <c r="C77" s="59"/>
      <c r="D77" s="59"/>
      <c r="AP77" s="59"/>
      <c r="AQ77" s="59"/>
      <c r="AR77" s="59"/>
    </row>
    <row r="78" spans="2:44" ht="15.95" hidden="1" customHeight="1">
      <c r="B78" s="59"/>
      <c r="C78" s="59"/>
      <c r="D78" s="59"/>
      <c r="AP78" s="59"/>
      <c r="AQ78" s="59"/>
      <c r="AR78" s="59"/>
    </row>
    <row r="79" spans="2:44" ht="15.95" hidden="1" customHeight="1">
      <c r="B79" s="59"/>
      <c r="C79" s="59"/>
      <c r="D79" s="59"/>
      <c r="AP79" s="59"/>
      <c r="AQ79" s="59"/>
      <c r="AR79" s="59"/>
    </row>
    <row r="80" spans="2:44" ht="15.95" hidden="1" customHeight="1">
      <c r="B80" s="59"/>
      <c r="C80" s="59"/>
      <c r="D80" s="59"/>
      <c r="AP80" s="59"/>
      <c r="AQ80" s="59"/>
      <c r="AR80" s="59"/>
    </row>
    <row r="81" spans="2:44" ht="15.95" hidden="1" customHeight="1">
      <c r="B81" s="59"/>
      <c r="C81" s="59"/>
      <c r="D81" s="59"/>
      <c r="AP81" s="59"/>
      <c r="AQ81" s="59"/>
      <c r="AR81" s="59"/>
    </row>
    <row r="82" spans="2:44" ht="15.95" hidden="1" customHeight="1">
      <c r="B82" s="59"/>
      <c r="C82" s="59"/>
      <c r="D82" s="59"/>
      <c r="AP82" s="59"/>
      <c r="AQ82" s="59"/>
      <c r="AR82" s="59"/>
    </row>
    <row r="83" spans="2:44" ht="15.95" hidden="1" customHeight="1">
      <c r="B83" s="59"/>
      <c r="C83" s="59"/>
      <c r="D83" s="59"/>
      <c r="AP83" s="59"/>
      <c r="AQ83" s="59"/>
      <c r="AR83" s="59"/>
    </row>
    <row r="84" spans="2:44" ht="15.95" hidden="1" customHeight="1">
      <c r="B84" s="59"/>
      <c r="C84" s="59"/>
      <c r="D84" s="59"/>
      <c r="AP84" s="59"/>
      <c r="AQ84" s="59"/>
      <c r="AR84" s="59"/>
    </row>
    <row r="85" spans="2:44" ht="15.95" hidden="1" customHeight="1">
      <c r="B85" s="59"/>
      <c r="C85" s="59"/>
      <c r="D85" s="59"/>
      <c r="AP85" s="59"/>
      <c r="AQ85" s="59"/>
      <c r="AR85" s="59"/>
    </row>
    <row r="86" spans="2:44" ht="15.95" hidden="1" customHeight="1">
      <c r="B86" s="59"/>
      <c r="C86" s="59"/>
      <c r="D86" s="59"/>
      <c r="AP86" s="59"/>
      <c r="AQ86" s="59"/>
      <c r="AR86" s="59"/>
    </row>
    <row r="87" spans="2:44" ht="15.95" hidden="1" customHeight="1">
      <c r="B87" s="59"/>
      <c r="C87" s="59"/>
      <c r="D87" s="59"/>
      <c r="AP87" s="59"/>
      <c r="AQ87" s="59"/>
      <c r="AR87" s="59"/>
    </row>
    <row r="88" spans="2:44" ht="15.95" hidden="1" customHeight="1">
      <c r="B88" s="59"/>
      <c r="C88" s="59"/>
      <c r="D88" s="59"/>
      <c r="AP88" s="59"/>
      <c r="AQ88" s="59"/>
      <c r="AR88" s="59"/>
    </row>
    <row r="89" spans="2:44" ht="15.95" hidden="1" customHeight="1">
      <c r="B89" s="59"/>
      <c r="C89" s="59"/>
      <c r="D89" s="59"/>
      <c r="AP89" s="59"/>
      <c r="AQ89" s="59"/>
      <c r="AR89" s="59"/>
    </row>
    <row r="90" spans="2:44" ht="15.95" hidden="1" customHeight="1">
      <c r="B90" s="59"/>
      <c r="C90" s="59"/>
      <c r="D90" s="59"/>
      <c r="AP90" s="59"/>
      <c r="AQ90" s="59"/>
      <c r="AR90" s="59"/>
    </row>
    <row r="91" spans="2:44" ht="15.95" hidden="1" customHeight="1">
      <c r="B91" s="59"/>
      <c r="C91" s="59"/>
      <c r="D91" s="59"/>
      <c r="AP91" s="59"/>
      <c r="AQ91" s="59"/>
      <c r="AR91" s="59"/>
    </row>
    <row r="92" spans="2:44" ht="15.95" hidden="1" customHeight="1">
      <c r="B92" s="59"/>
      <c r="C92" s="59"/>
      <c r="D92" s="59"/>
      <c r="AP92" s="59"/>
      <c r="AQ92" s="59"/>
      <c r="AR92" s="59"/>
    </row>
    <row r="93" spans="2:44" ht="15.95" hidden="1" customHeight="1">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row>
    <row r="94" spans="2:44" ht="15.95" hidden="1" customHeight="1">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row>
    <row r="95" spans="2:44" ht="15.95" hidden="1" customHeight="1">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row>
    <row r="96" spans="2:44" ht="15.95" hidden="1" customHeight="1">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row>
    <row r="97" spans="2:44" ht="15.95" hidden="1" customHeight="1">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row>
    <row r="98" spans="2:44" ht="15.95" hidden="1" customHeight="1">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row>
    <row r="99" spans="2:44" ht="15.95" hidden="1" customHeight="1">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row>
    <row r="100" spans="2:44" ht="15.95" hidden="1" customHeight="1">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row>
    <row r="101" spans="2:44" ht="15.95" hidden="1" customHeight="1">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row>
    <row r="102" spans="2:44" ht="15.95" hidden="1" customHeight="1">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row>
    <row r="103" spans="2:44" ht="15.95" hidden="1" customHeight="1">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row>
    <row r="104" spans="2:44" ht="15.95" hidden="1" customHeight="1">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row>
    <row r="105" spans="2:44" ht="15.95" hidden="1" customHeight="1">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row>
    <row r="106" spans="2:44" ht="15.95" hidden="1" customHeight="1">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row>
    <row r="107" spans="2:44" ht="15.95" hidden="1" customHeight="1">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row>
    <row r="108" spans="2:44" ht="15.95" hidden="1" customHeight="1">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row>
    <row r="109" spans="2:44" ht="15.95" hidden="1" customHeight="1">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row>
    <row r="110" spans="2:44" ht="15.95" hidden="1" customHeight="1">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row>
    <row r="111" spans="2:44" ht="15.95" hidden="1" customHeight="1">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row>
    <row r="112" spans="2:44" ht="15.95" hidden="1" customHeight="1">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row>
    <row r="113" spans="2:44" ht="15.95" hidden="1" customHeight="1">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row>
    <row r="114" spans="2:44" ht="15.95" hidden="1" customHeight="1">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row>
    <row r="115" spans="2:44" ht="15.95" hidden="1" customHeight="1">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row>
    <row r="116" spans="2:44" ht="15.95" hidden="1" customHeight="1">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row>
    <row r="117" spans="2:44" ht="15.95" hidden="1" customHeight="1">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row>
    <row r="118" spans="2:44" ht="15.95" hidden="1" customHeight="1">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row>
    <row r="119" spans="2:44" ht="15.95" hidden="1" customHeight="1">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row>
    <row r="120" spans="2:44" ht="15.95" hidden="1" customHeight="1">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row>
    <row r="121" spans="2:44" ht="15.95" hidden="1" customHeight="1">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row>
    <row r="122" spans="2:44" ht="15.95" hidden="1" customHeight="1">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row>
    <row r="123" spans="2:44" ht="15.95" hidden="1" customHeight="1">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row>
    <row r="124" spans="2:44" ht="15.95" hidden="1" customHeight="1">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row>
    <row r="125" spans="2:44" ht="15.95" hidden="1" customHeight="1">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row>
    <row r="126" spans="2:44" ht="15.95" hidden="1" customHeight="1">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row>
    <row r="127" spans="2:44" ht="15.95" hidden="1" customHeight="1">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row>
    <row r="128" spans="2:44" ht="15.95" hidden="1" customHeight="1">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row>
    <row r="129" spans="2:44" ht="15.95" hidden="1" customHeight="1">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row>
    <row r="130" spans="2:44" ht="15.95" hidden="1" customHeight="1">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row>
    <row r="131" spans="2:44" ht="15.95" hidden="1" customHeight="1">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row>
    <row r="132" spans="2:44" ht="15.95" hidden="1" customHeight="1">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row>
    <row r="133" spans="2:44" ht="15.95" hidden="1" customHeight="1">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row>
    <row r="134" spans="2:44" ht="15.95" hidden="1" customHeight="1">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row>
    <row r="135" spans="2:44" ht="15.95" hidden="1" customHeight="1">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row>
    <row r="136" spans="2:44" ht="15.95" hidden="1" customHeight="1">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row>
    <row r="137" spans="2:44" ht="15.95" hidden="1" customHeight="1">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row>
    <row r="138" spans="2:44" ht="15.95" hidden="1" customHeight="1">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row>
    <row r="139" spans="2:44" ht="15.95" hidden="1" customHeight="1">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row>
    <row r="140" spans="2:44" ht="15.95" hidden="1" customHeight="1">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row>
    <row r="141" spans="2:44" ht="15.95" hidden="1" customHeight="1">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row>
    <row r="142" spans="2:44" ht="15.95" hidden="1" customHeight="1">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row>
    <row r="143" spans="2:44" ht="15.95" hidden="1" customHeight="1">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row>
    <row r="144" spans="2:44" ht="15.95" hidden="1" customHeight="1">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row>
    <row r="145" spans="2:44" ht="15.95" hidden="1" customHeight="1">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row>
    <row r="146" spans="2:44" ht="15.95" hidden="1" customHeight="1">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row>
    <row r="147" spans="2:44" ht="15.95" hidden="1" customHeight="1">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row>
    <row r="148" spans="2:44" ht="15.95" hidden="1" customHeight="1">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row>
    <row r="149" spans="2:44" ht="15.95" hidden="1" customHeight="1">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row>
    <row r="150" spans="2:44" ht="15.95" hidden="1" customHeight="1">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row>
    <row r="151" spans="2:44" ht="15.95" hidden="1" customHeight="1">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row>
    <row r="152" spans="2:44" ht="15.95" hidden="1" customHeight="1">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row>
    <row r="153" spans="2:44" ht="15.95" hidden="1" customHeight="1">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row>
    <row r="154" spans="2:44" ht="15.95" hidden="1" customHeight="1">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row>
    <row r="155" spans="2:44" ht="15.95" hidden="1" customHeight="1">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row>
    <row r="156" spans="2:44" ht="15.95" hidden="1" customHeight="1">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row>
    <row r="157" spans="2:44" ht="15.95" hidden="1" customHeight="1">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row>
    <row r="158" spans="2:44" ht="15.95" hidden="1" customHeight="1">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row>
    <row r="159" spans="2:44" ht="15.95" hidden="1" customHeight="1">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row>
    <row r="160" spans="2:44" ht="15.95" hidden="1" customHeight="1">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row>
    <row r="161" spans="2:44" ht="15.95" hidden="1" customHeight="1">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row>
    <row r="162" spans="2:44" ht="15.95" hidden="1" customHeight="1">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row>
    <row r="163" spans="2:44" ht="15.95" hidden="1" customHeight="1">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row>
    <row r="164" spans="2:44" ht="15.95" hidden="1" customHeight="1">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row>
    <row r="165" spans="2:44" ht="15.95" hidden="1" customHeight="1">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row>
    <row r="166" spans="2:44" ht="15.95" hidden="1" customHeight="1">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row>
    <row r="167" spans="2:44" ht="15.95" hidden="1" customHeight="1">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row>
    <row r="168" spans="2:44" ht="15.95" hidden="1" customHeight="1">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row>
    <row r="169" spans="2:44" ht="15.95" hidden="1" customHeight="1">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row>
    <row r="170" spans="2:44" ht="15.95" hidden="1" customHeight="1">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row>
    <row r="171" spans="2:44" ht="15.95" hidden="1" customHeight="1">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row>
    <row r="172" spans="2:44" ht="15.95" hidden="1" customHeight="1">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row>
    <row r="173" spans="2:44" ht="15.95" hidden="1" customHeight="1">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row>
    <row r="174" spans="2:44" ht="15.95" hidden="1" customHeight="1">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row>
    <row r="175" spans="2:44" ht="15.95" hidden="1" customHeight="1">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row>
    <row r="176" spans="2:44" ht="15.95" hidden="1" customHeight="1">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row>
    <row r="177" spans="2:44" ht="15.95" hidden="1" customHeight="1">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row>
    <row r="178" spans="2:44" ht="15.95" hidden="1" customHeight="1">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row>
    <row r="179" spans="2:44" ht="15.95" hidden="1" customHeight="1">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row>
    <row r="180" spans="2:44" ht="15.95" hidden="1" customHeight="1">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row>
    <row r="181" spans="2:44" ht="15.95" hidden="1" customHeight="1">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row>
    <row r="182" spans="2:44" ht="15.95" hidden="1" customHeight="1">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row>
    <row r="183" spans="2:44" ht="15.95" hidden="1" customHeight="1">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row>
    <row r="184" spans="2:44" ht="15.95" hidden="1" customHeight="1">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row>
    <row r="185" spans="2:44" ht="15.95" hidden="1" customHeight="1">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row>
    <row r="186" spans="2:44" ht="15.95" hidden="1" customHeight="1">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row>
    <row r="187" spans="2:44" ht="15.95" hidden="1" customHeight="1">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row>
    <row r="188" spans="2:44" ht="15.95" hidden="1" customHeight="1">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row>
    <row r="189" spans="2:44" ht="15.95" hidden="1" customHeight="1">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row>
    <row r="190" spans="2:44" ht="15.95" hidden="1" customHeight="1">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row>
    <row r="191" spans="2:44" ht="15.95" hidden="1" customHeight="1">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row>
    <row r="192" spans="2:44" ht="15.95" hidden="1" customHeight="1">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row>
    <row r="193" spans="2:44" ht="15.95" hidden="1" customHeight="1">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row>
    <row r="194" spans="2:44" ht="15.95" hidden="1" customHeight="1">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row>
    <row r="195" spans="2:44" ht="15.95" hidden="1" customHeight="1">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row>
    <row r="196" spans="2:44" ht="15.95" hidden="1" customHeight="1">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row>
    <row r="197" spans="2:44" ht="15.95" hidden="1" customHeight="1">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row>
    <row r="198" spans="2:44" ht="15.95" hidden="1" customHeight="1">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row>
    <row r="199" spans="2:44" ht="15.95" hidden="1" customHeight="1">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row>
    <row r="200" spans="2:44" ht="15.95" customHeight="1">
      <c r="B200" s="272" t="str">
        <f>FOOT1</f>
        <v>NIPSCO Energy Efficiency Program</v>
      </c>
      <c r="C200" s="272"/>
      <c r="D200" s="272"/>
      <c r="E200" s="272"/>
      <c r="F200" s="272"/>
      <c r="G200" s="272"/>
      <c r="H200" s="272"/>
      <c r="I200" s="272"/>
      <c r="J200" s="272"/>
      <c r="K200" s="272"/>
      <c r="L200" s="272"/>
      <c r="M200" s="656" t="str">
        <f>FOOT4</f>
        <v>NIPSCO’s energy efficiency programs are administered by TRC, a third‐party implementation specialist that helps homes and businesses save energy.</v>
      </c>
      <c r="N200" s="656"/>
      <c r="O200" s="656"/>
      <c r="P200" s="656"/>
      <c r="Q200" s="656"/>
      <c r="R200" s="656"/>
      <c r="S200" s="656"/>
      <c r="T200" s="656"/>
      <c r="U200" s="656"/>
      <c r="V200" s="656"/>
      <c r="W200" s="656"/>
      <c r="X200" s="656"/>
      <c r="Y200" s="656"/>
      <c r="Z200" s="656"/>
      <c r="AA200" s="656"/>
      <c r="AB200" s="656"/>
      <c r="AC200" s="656"/>
      <c r="AD200" s="656"/>
      <c r="AE200" s="656"/>
      <c r="AF200" s="656"/>
      <c r="AG200" s="656"/>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272"/>
      <c r="AI201" s="272"/>
      <c r="AJ201" s="272"/>
      <c r="AK201" s="272"/>
      <c r="AL201" s="272"/>
      <c r="AM201" s="272"/>
      <c r="AN201" s="272"/>
      <c r="AO201" s="272"/>
      <c r="AP201" s="272"/>
      <c r="AQ201" s="272"/>
      <c r="AR201" s="273" t="str">
        <f>FOOT5</f>
        <v/>
      </c>
    </row>
    <row r="202" spans="2:44" ht="15.95" customHeight="1">
      <c r="B202" s="281" t="s">
        <v>1551</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v3.7.0</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ISHIlq2YbdGsnyTtQmBlNLiqbwmL6Dy8VepcvA5r87feaw5imHcYl4zXlLzacd8faiOlR5Ku4Zl769HoteQ4Ww==" saltValue="iZrWlJscQS9knKda1U1kSw==" spinCount="100000" sheet="1" objects="1" scenarios="1" selectLockedCells="1"/>
  <mergeCells count="88">
    <mergeCell ref="J28:L28"/>
    <mergeCell ref="M28:O28"/>
    <mergeCell ref="P28:U28"/>
    <mergeCell ref="V28:W28"/>
    <mergeCell ref="J30:W30"/>
    <mergeCell ref="J29:L29"/>
    <mergeCell ref="M29:O29"/>
    <mergeCell ref="P29:U29"/>
    <mergeCell ref="V29:W29"/>
    <mergeCell ref="M26:O26"/>
    <mergeCell ref="P26:U26"/>
    <mergeCell ref="V26:W26"/>
    <mergeCell ref="AB26:AP26"/>
    <mergeCell ref="J27:L27"/>
    <mergeCell ref="M27:O27"/>
    <mergeCell ref="P27:U27"/>
    <mergeCell ref="V27:W27"/>
    <mergeCell ref="F23:G23"/>
    <mergeCell ref="C26:E26"/>
    <mergeCell ref="F26:G26"/>
    <mergeCell ref="J26:L26"/>
    <mergeCell ref="J23:L23"/>
    <mergeCell ref="V24:W24"/>
    <mergeCell ref="C25:E25"/>
    <mergeCell ref="F25:G25"/>
    <mergeCell ref="J25:L25"/>
    <mergeCell ref="M25:O25"/>
    <mergeCell ref="P25:U25"/>
    <mergeCell ref="V25:W25"/>
    <mergeCell ref="C24:E24"/>
    <mergeCell ref="F24:G24"/>
    <mergeCell ref="J24:L24"/>
    <mergeCell ref="M24:O24"/>
    <mergeCell ref="P24:U24"/>
    <mergeCell ref="M23:O23"/>
    <mergeCell ref="P23:U23"/>
    <mergeCell ref="V21:W21"/>
    <mergeCell ref="C22:E22"/>
    <mergeCell ref="F22:G22"/>
    <mergeCell ref="J22:L22"/>
    <mergeCell ref="M22:O22"/>
    <mergeCell ref="P22:U22"/>
    <mergeCell ref="V22:W22"/>
    <mergeCell ref="C21:E21"/>
    <mergeCell ref="F21:G21"/>
    <mergeCell ref="J21:L21"/>
    <mergeCell ref="M21:O21"/>
    <mergeCell ref="P21:U21"/>
    <mergeCell ref="V23:W23"/>
    <mergeCell ref="C23:E23"/>
    <mergeCell ref="V19:W19"/>
    <mergeCell ref="AA19:AC19"/>
    <mergeCell ref="AD19:AE19"/>
    <mergeCell ref="C20:E20"/>
    <mergeCell ref="F20:G20"/>
    <mergeCell ref="J20:L20"/>
    <mergeCell ref="M20:O20"/>
    <mergeCell ref="P20:U20"/>
    <mergeCell ref="V20:W20"/>
    <mergeCell ref="C19:E19"/>
    <mergeCell ref="F19:G19"/>
    <mergeCell ref="J19:L19"/>
    <mergeCell ref="M19:O19"/>
    <mergeCell ref="P19:U19"/>
    <mergeCell ref="M200:AG201"/>
    <mergeCell ref="F10:AN10"/>
    <mergeCell ref="C14:G18"/>
    <mergeCell ref="J14:X16"/>
    <mergeCell ref="AA14:AE18"/>
    <mergeCell ref="AH15:AP15"/>
    <mergeCell ref="AH16:AP16"/>
    <mergeCell ref="J17:L17"/>
    <mergeCell ref="M17:O17"/>
    <mergeCell ref="P17:U17"/>
    <mergeCell ref="V17:W17"/>
    <mergeCell ref="J18:L18"/>
    <mergeCell ref="M18:O18"/>
    <mergeCell ref="P18:U18"/>
    <mergeCell ref="V18:W18"/>
    <mergeCell ref="AB28:AP31"/>
    <mergeCell ref="AA22:AP22"/>
    <mergeCell ref="AB23:AP25"/>
    <mergeCell ref="AQ1:AR1"/>
    <mergeCell ref="AQ2:AR3"/>
    <mergeCell ref="AH1:AK1"/>
    <mergeCell ref="AL1:AP1"/>
    <mergeCell ref="AH2:AK3"/>
    <mergeCell ref="AL2:AP3"/>
  </mergeCells>
  <conditionalFormatting sqref="AH2 AL2">
    <cfRule type="expression" dxfId="272" priority="1">
      <formula>PROJSTATUS=PROJSTATELI</formula>
    </cfRule>
    <cfRule type="expression" dxfId="271" priority="2">
      <formula>PROJSTATUS=PROJSTATREVIEW</formula>
    </cfRule>
    <cfRule type="expression" dxfId="270" priority="6">
      <formula>PROJSTATUS=PROJSTATPREAPPROVE</formula>
    </cfRule>
    <cfRule type="expression" dxfId="269" priority="7">
      <formula>PROJSTATUS=PROJSTATSTANDARD</formula>
    </cfRule>
    <cfRule type="expression" dxfId="268" priority="8">
      <formula>PROJSTATUS=PROJSTATEXP</formula>
    </cfRule>
  </conditionalFormatting>
  <conditionalFormatting sqref="AQ2:AR3">
    <cfRule type="cellIs" dxfId="267" priority="3" operator="equal">
      <formula>1</formula>
    </cfRule>
    <cfRule type="cellIs" dxfId="266" priority="4" operator="between">
      <formula>0.51</formula>
      <formula>0.99</formula>
    </cfRule>
    <cfRule type="cellIs" dxfId="265" priority="5" operator="lessThanOrEqual">
      <formula>0.5</formula>
    </cfRule>
  </conditionalFormatting>
  <dataValidations xWindow="158" yWindow="609" count="2">
    <dataValidation type="whole" allowBlank="1" showInputMessage="1" showErrorMessage="1" errorTitle="DAILY OPERATING HOURS" error="MUST SELECT A WHOLE NUMBER BETWEEN 1 AND 24" promptTitle="DAILY OPERATING HOURS" prompt="Enter between 1 and 24 hours for daily operations." sqref="F19:G25" xr:uid="{00000000-0002-0000-0D00-000000000000}">
      <formula1>0</formula1>
      <formula2>24</formula2>
    </dataValidation>
    <dataValidation type="decimal" operator="lessThan" allowBlank="1" showInputMessage="1" showErrorMessage="1" sqref="AD19:AE19" xr:uid="{00000000-0002-0000-0D00-000001000000}">
      <formula1>53</formula1>
    </dataValidation>
  </dataValidations>
  <hyperlinks>
    <hyperlink ref="B202" r:id="rId1" xr:uid="{B689F3F6-A10C-4D2B-AD10-FA0D86EC307C}"/>
  </hyperlinks>
  <pageMargins left="0.25" right="0.25" top="0.25" bottom="0.25" header="0.25" footer="0.25"/>
  <pageSetup scale="62"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41313" r:id="rId5" name="Check Box 1">
              <controlPr defaultSize="0" autoFill="0" autoLine="0" autoPict="0">
                <anchor moveWithCells="1">
                  <from>
                    <xdr:col>21</xdr:col>
                    <xdr:colOff>152400</xdr:colOff>
                    <xdr:row>17</xdr:row>
                    <xdr:rowOff>0</xdr:rowOff>
                  </from>
                  <to>
                    <xdr:col>22</xdr:col>
                    <xdr:colOff>57150</xdr:colOff>
                    <xdr:row>18</xdr:row>
                    <xdr:rowOff>9525</xdr:rowOff>
                  </to>
                </anchor>
              </controlPr>
            </control>
          </mc:Choice>
        </mc:AlternateContent>
        <mc:AlternateContent xmlns:mc="http://schemas.openxmlformats.org/markup-compatibility/2006">
          <mc:Choice Requires="x14">
            <control shapeId="141314" r:id="rId6" name="Check Box 2">
              <controlPr defaultSize="0" autoFill="0" autoLine="0" autoPict="0">
                <anchor moveWithCells="1">
                  <from>
                    <xdr:col>21</xdr:col>
                    <xdr:colOff>152400</xdr:colOff>
                    <xdr:row>18</xdr:row>
                    <xdr:rowOff>0</xdr:rowOff>
                  </from>
                  <to>
                    <xdr:col>22</xdr:col>
                    <xdr:colOff>57150</xdr:colOff>
                    <xdr:row>19</xdr:row>
                    <xdr:rowOff>9525</xdr:rowOff>
                  </to>
                </anchor>
              </controlPr>
            </control>
          </mc:Choice>
        </mc:AlternateContent>
        <mc:AlternateContent xmlns:mc="http://schemas.openxmlformats.org/markup-compatibility/2006">
          <mc:Choice Requires="x14">
            <control shapeId="141315" r:id="rId7" name="Check Box 3">
              <controlPr defaultSize="0" autoFill="0" autoLine="0" autoPict="0">
                <anchor moveWithCells="1">
                  <from>
                    <xdr:col>21</xdr:col>
                    <xdr:colOff>152400</xdr:colOff>
                    <xdr:row>19</xdr:row>
                    <xdr:rowOff>0</xdr:rowOff>
                  </from>
                  <to>
                    <xdr:col>22</xdr:col>
                    <xdr:colOff>57150</xdr:colOff>
                    <xdr:row>20</xdr:row>
                    <xdr:rowOff>9525</xdr:rowOff>
                  </to>
                </anchor>
              </controlPr>
            </control>
          </mc:Choice>
        </mc:AlternateContent>
        <mc:AlternateContent xmlns:mc="http://schemas.openxmlformats.org/markup-compatibility/2006">
          <mc:Choice Requires="x14">
            <control shapeId="141316" r:id="rId8" name="Check Box 4">
              <controlPr defaultSize="0" autoFill="0" autoLine="0" autoPict="0">
                <anchor moveWithCells="1">
                  <from>
                    <xdr:col>21</xdr:col>
                    <xdr:colOff>152400</xdr:colOff>
                    <xdr:row>20</xdr:row>
                    <xdr:rowOff>0</xdr:rowOff>
                  </from>
                  <to>
                    <xdr:col>22</xdr:col>
                    <xdr:colOff>57150</xdr:colOff>
                    <xdr:row>21</xdr:row>
                    <xdr:rowOff>9525</xdr:rowOff>
                  </to>
                </anchor>
              </controlPr>
            </control>
          </mc:Choice>
        </mc:AlternateContent>
        <mc:AlternateContent xmlns:mc="http://schemas.openxmlformats.org/markup-compatibility/2006">
          <mc:Choice Requires="x14">
            <control shapeId="141317" r:id="rId9" name="Check Box 5">
              <controlPr defaultSize="0" autoFill="0" autoLine="0" autoPict="0">
                <anchor moveWithCells="1">
                  <from>
                    <xdr:col>21</xdr:col>
                    <xdr:colOff>152400</xdr:colOff>
                    <xdr:row>21</xdr:row>
                    <xdr:rowOff>0</xdr:rowOff>
                  </from>
                  <to>
                    <xdr:col>22</xdr:col>
                    <xdr:colOff>57150</xdr:colOff>
                    <xdr:row>22</xdr:row>
                    <xdr:rowOff>9525</xdr:rowOff>
                  </to>
                </anchor>
              </controlPr>
            </control>
          </mc:Choice>
        </mc:AlternateContent>
        <mc:AlternateContent xmlns:mc="http://schemas.openxmlformats.org/markup-compatibility/2006">
          <mc:Choice Requires="x14">
            <control shapeId="141318" r:id="rId10" name="Check Box 6">
              <controlPr defaultSize="0" autoFill="0" autoLine="0" autoPict="0">
                <anchor moveWithCells="1">
                  <from>
                    <xdr:col>21</xdr:col>
                    <xdr:colOff>152400</xdr:colOff>
                    <xdr:row>22</xdr:row>
                    <xdr:rowOff>0</xdr:rowOff>
                  </from>
                  <to>
                    <xdr:col>22</xdr:col>
                    <xdr:colOff>57150</xdr:colOff>
                    <xdr:row>23</xdr:row>
                    <xdr:rowOff>9525</xdr:rowOff>
                  </to>
                </anchor>
              </controlPr>
            </control>
          </mc:Choice>
        </mc:AlternateContent>
        <mc:AlternateContent xmlns:mc="http://schemas.openxmlformats.org/markup-compatibility/2006">
          <mc:Choice Requires="x14">
            <control shapeId="141319" r:id="rId11" name="Check Box 7">
              <controlPr defaultSize="0" autoFill="0" autoLine="0" autoPict="0">
                <anchor moveWithCells="1">
                  <from>
                    <xdr:col>21</xdr:col>
                    <xdr:colOff>152400</xdr:colOff>
                    <xdr:row>23</xdr:row>
                    <xdr:rowOff>0</xdr:rowOff>
                  </from>
                  <to>
                    <xdr:col>22</xdr:col>
                    <xdr:colOff>57150</xdr:colOff>
                    <xdr:row>24</xdr:row>
                    <xdr:rowOff>9525</xdr:rowOff>
                  </to>
                </anchor>
              </controlPr>
            </control>
          </mc:Choice>
        </mc:AlternateContent>
        <mc:AlternateContent xmlns:mc="http://schemas.openxmlformats.org/markup-compatibility/2006">
          <mc:Choice Requires="x14">
            <control shapeId="141320" r:id="rId12" name="Check Box 8">
              <controlPr defaultSize="0" autoFill="0" autoLine="0" autoPict="0">
                <anchor moveWithCells="1">
                  <from>
                    <xdr:col>21</xdr:col>
                    <xdr:colOff>152400</xdr:colOff>
                    <xdr:row>24</xdr:row>
                    <xdr:rowOff>0</xdr:rowOff>
                  </from>
                  <to>
                    <xdr:col>22</xdr:col>
                    <xdr:colOff>57150</xdr:colOff>
                    <xdr:row>25</xdr:row>
                    <xdr:rowOff>9525</xdr:rowOff>
                  </to>
                </anchor>
              </controlPr>
            </control>
          </mc:Choice>
        </mc:AlternateContent>
        <mc:AlternateContent xmlns:mc="http://schemas.openxmlformats.org/markup-compatibility/2006">
          <mc:Choice Requires="x14">
            <control shapeId="141321" r:id="rId13" name="Check Box 9">
              <controlPr defaultSize="0" autoFill="0" autoLine="0" autoPict="0">
                <anchor moveWithCells="1">
                  <from>
                    <xdr:col>21</xdr:col>
                    <xdr:colOff>152400</xdr:colOff>
                    <xdr:row>25</xdr:row>
                    <xdr:rowOff>0</xdr:rowOff>
                  </from>
                  <to>
                    <xdr:col>22</xdr:col>
                    <xdr:colOff>57150</xdr:colOff>
                    <xdr:row>26</xdr:row>
                    <xdr:rowOff>9525</xdr:rowOff>
                  </to>
                </anchor>
              </controlPr>
            </control>
          </mc:Choice>
        </mc:AlternateContent>
        <mc:AlternateContent xmlns:mc="http://schemas.openxmlformats.org/markup-compatibility/2006">
          <mc:Choice Requires="x14">
            <control shapeId="141322" r:id="rId14" name="Check Box 10">
              <controlPr defaultSize="0" autoFill="0" autoLine="0" autoPict="0">
                <anchor moveWithCells="1">
                  <from>
                    <xdr:col>21</xdr:col>
                    <xdr:colOff>152400</xdr:colOff>
                    <xdr:row>26</xdr:row>
                    <xdr:rowOff>0</xdr:rowOff>
                  </from>
                  <to>
                    <xdr:col>22</xdr:col>
                    <xdr:colOff>57150</xdr:colOff>
                    <xdr:row>27</xdr:row>
                    <xdr:rowOff>9525</xdr:rowOff>
                  </to>
                </anchor>
              </controlPr>
            </control>
          </mc:Choice>
        </mc:AlternateContent>
        <mc:AlternateContent xmlns:mc="http://schemas.openxmlformats.org/markup-compatibility/2006">
          <mc:Choice Requires="x14">
            <control shapeId="141323" r:id="rId15" name="Check Box 11">
              <controlPr defaultSize="0" autoFill="0" autoLine="0" autoPict="0">
                <anchor moveWithCells="1">
                  <from>
                    <xdr:col>21</xdr:col>
                    <xdr:colOff>152400</xdr:colOff>
                    <xdr:row>26</xdr:row>
                    <xdr:rowOff>200025</xdr:rowOff>
                  </from>
                  <to>
                    <xdr:col>22</xdr:col>
                    <xdr:colOff>57150</xdr:colOff>
                    <xdr:row>28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AC718-50AC-43FB-A137-78E8F4A475B8}">
  <sheetPr codeName="Sheet6"/>
  <dimension ref="A1:AS203"/>
  <sheetViews>
    <sheetView showGridLines="0" showRowColHeaders="0" zoomScale="85" zoomScaleNormal="85" workbookViewId="0">
      <selection activeCell="C132" sqref="C132:V132"/>
    </sheetView>
  </sheetViews>
  <sheetFormatPr defaultColWidth="0" defaultRowHeight="15" zeroHeight="1"/>
  <cols>
    <col min="1" max="45" width="4.7109375" customWidth="1"/>
    <col min="46" max="16384" width="9.140625" hidden="1"/>
  </cols>
  <sheetData>
    <row r="1" spans="3:44" ht="16.5">
      <c r="AH1" s="681" t="s">
        <v>471</v>
      </c>
      <c r="AI1" s="681"/>
      <c r="AJ1" s="681"/>
      <c r="AK1" s="681"/>
      <c r="AL1" s="682" t="s">
        <v>736</v>
      </c>
      <c r="AM1" s="682"/>
      <c r="AN1" s="682"/>
      <c r="AO1" s="682"/>
      <c r="AP1" s="682"/>
      <c r="AQ1" s="678" t="s">
        <v>474</v>
      </c>
      <c r="AR1" s="678"/>
    </row>
    <row r="2" spans="3:44">
      <c r="AH2" s="683" t="str">
        <f ca="1">INCENSTATUS</f>
        <v>---</v>
      </c>
      <c r="AI2" s="684"/>
      <c r="AJ2" s="684"/>
      <c r="AK2" s="684"/>
      <c r="AL2" s="685" t="str">
        <f ca="1">PROJSTATUS</f>
        <v>Enter Measures</v>
      </c>
      <c r="AM2" s="685"/>
      <c r="AN2" s="685"/>
      <c r="AO2" s="685"/>
      <c r="AP2" s="685"/>
      <c r="AQ2" s="679">
        <f ca="1">PROGRESSSTATUS</f>
        <v>2.8985507246376812E-2</v>
      </c>
      <c r="AR2" s="680"/>
    </row>
    <row r="3" spans="3:44">
      <c r="AH3" s="675"/>
      <c r="AI3" s="676"/>
      <c r="AJ3" s="676"/>
      <c r="AK3" s="676"/>
      <c r="AL3" s="668"/>
      <c r="AM3" s="668"/>
      <c r="AN3" s="668"/>
      <c r="AO3" s="668"/>
      <c r="AP3" s="668"/>
      <c r="AQ3" s="662"/>
      <c r="AR3" s="663"/>
    </row>
    <row r="4" spans="3:44">
      <c r="AR4" s="171"/>
    </row>
    <row r="5" spans="3:44"/>
    <row r="6" spans="3:44"/>
    <row r="7" spans="3:44"/>
    <row r="8" spans="3:44"/>
    <row r="9" spans="3:44"/>
    <row r="10" spans="3:44" ht="20.25">
      <c r="C10" s="59"/>
      <c r="D10" s="59"/>
      <c r="E10" s="59"/>
      <c r="F10" s="686" t="s">
        <v>849</v>
      </c>
      <c r="G10" s="686"/>
      <c r="H10" s="686"/>
      <c r="I10" s="686"/>
      <c r="J10" s="686"/>
      <c r="K10" s="686"/>
      <c r="L10" s="686"/>
      <c r="M10" s="686"/>
      <c r="N10" s="686"/>
      <c r="O10" s="686"/>
      <c r="P10" s="686"/>
      <c r="Q10" s="686"/>
      <c r="R10" s="686"/>
      <c r="S10" s="686"/>
      <c r="T10" s="686"/>
      <c r="U10" s="686"/>
      <c r="V10" s="686"/>
      <c r="W10" s="686"/>
      <c r="X10" s="686"/>
      <c r="Y10" s="686"/>
      <c r="Z10" s="686"/>
      <c r="AA10" s="686"/>
      <c r="AB10" s="686"/>
      <c r="AC10" s="686"/>
      <c r="AD10" s="686"/>
      <c r="AE10" s="686"/>
      <c r="AF10" s="686"/>
      <c r="AG10" s="686"/>
      <c r="AH10" s="686"/>
      <c r="AI10" s="686"/>
      <c r="AJ10" s="686"/>
      <c r="AK10" s="686"/>
      <c r="AL10" s="686"/>
      <c r="AM10" s="686"/>
      <c r="AN10" s="686"/>
      <c r="AO10" s="59"/>
      <c r="AP10" s="59"/>
      <c r="AQ10" s="59"/>
    </row>
    <row r="11" spans="3:44" ht="15" customHeight="1">
      <c r="C11" s="59"/>
      <c r="D11" s="59"/>
      <c r="E11" s="59"/>
      <c r="F11" s="717" t="s">
        <v>867</v>
      </c>
      <c r="G11" s="717"/>
      <c r="H11" s="717"/>
      <c r="I11" s="717"/>
      <c r="J11" s="717"/>
      <c r="K11" s="717"/>
      <c r="L11" s="717"/>
      <c r="M11" s="717"/>
      <c r="N11" s="717"/>
      <c r="O11" s="717"/>
      <c r="P11" s="717"/>
      <c r="Q11" s="717"/>
      <c r="R11" s="717"/>
      <c r="S11" s="717"/>
      <c r="T11" s="717"/>
      <c r="U11" s="717"/>
      <c r="V11" s="717"/>
      <c r="W11" s="717"/>
      <c r="X11" s="717"/>
      <c r="Y11" s="717"/>
      <c r="Z11" s="717"/>
      <c r="AA11" s="717"/>
      <c r="AB11" s="717"/>
      <c r="AC11" s="717"/>
      <c r="AD11" s="717"/>
      <c r="AE11" s="717"/>
      <c r="AF11" s="717"/>
      <c r="AG11" s="717"/>
      <c r="AH11" s="717"/>
      <c r="AI11" s="717"/>
      <c r="AJ11" s="717"/>
      <c r="AK11" s="717"/>
      <c r="AL11" s="717"/>
      <c r="AM11" s="717"/>
      <c r="AN11" s="462"/>
      <c r="AO11" s="59"/>
      <c r="AP11" s="59"/>
      <c r="AQ11" s="59"/>
    </row>
    <row r="12" spans="3:44">
      <c r="C12" s="59"/>
      <c r="D12" s="59"/>
      <c r="E12" s="59"/>
      <c r="F12" s="462"/>
      <c r="G12" s="462"/>
      <c r="H12" s="462"/>
      <c r="I12" s="462"/>
      <c r="J12" s="462"/>
      <c r="K12" s="462"/>
      <c r="L12" s="462"/>
      <c r="M12" s="462"/>
      <c r="N12" s="462"/>
      <c r="O12" s="462"/>
      <c r="P12" s="462"/>
      <c r="Q12" s="462"/>
      <c r="R12" s="462"/>
      <c r="S12" s="462"/>
      <c r="T12" s="462"/>
      <c r="U12" s="462"/>
      <c r="V12" s="462"/>
      <c r="W12" s="462"/>
      <c r="X12" s="462"/>
      <c r="Y12" s="462"/>
      <c r="Z12" s="462"/>
      <c r="AA12" s="462"/>
      <c r="AB12" s="462"/>
      <c r="AC12" s="462"/>
      <c r="AD12" s="462"/>
      <c r="AE12" s="462"/>
      <c r="AF12" s="462"/>
      <c r="AG12" s="462"/>
      <c r="AH12" s="462"/>
      <c r="AI12" s="462"/>
      <c r="AJ12" s="462"/>
      <c r="AK12" s="462"/>
      <c r="AL12" s="462"/>
      <c r="AM12" s="462"/>
      <c r="AN12" s="462"/>
      <c r="AO12" s="59"/>
      <c r="AP12" s="59"/>
      <c r="AQ12" s="59"/>
    </row>
    <row r="13" spans="3:44">
      <c r="F13" s="462"/>
      <c r="G13" s="462"/>
      <c r="H13" s="462"/>
      <c r="I13" s="462"/>
      <c r="J13" s="462"/>
      <c r="K13" s="462"/>
      <c r="L13" s="462"/>
      <c r="M13" s="462"/>
      <c r="N13" s="462"/>
      <c r="O13" s="462"/>
      <c r="P13" s="462"/>
      <c r="Q13" s="462"/>
      <c r="R13" s="462"/>
      <c r="S13" s="462"/>
      <c r="T13" s="462"/>
      <c r="U13" s="462"/>
      <c r="V13" s="462"/>
      <c r="W13" s="462"/>
      <c r="X13" s="462"/>
      <c r="Y13" s="462"/>
      <c r="Z13" s="462"/>
      <c r="AA13" s="462"/>
      <c r="AB13" s="462"/>
      <c r="AC13" s="462"/>
      <c r="AD13" s="462"/>
      <c r="AE13" s="462"/>
      <c r="AF13" s="462"/>
      <c r="AG13" s="462"/>
      <c r="AH13" s="462"/>
      <c r="AI13" s="462"/>
      <c r="AJ13" s="462"/>
      <c r="AK13" s="462"/>
      <c r="AL13" s="462"/>
      <c r="AM13" s="462"/>
      <c r="AN13" s="462"/>
    </row>
    <row r="14" spans="3:44"/>
    <row r="15" spans="3:44"/>
    <row r="16" spans="3:44"/>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spans="3:43"/>
    <row r="114" spans="3:43"/>
    <row r="115" spans="3:43"/>
    <row r="116" spans="3:43"/>
    <row r="117" spans="3:43"/>
    <row r="118" spans="3:43"/>
    <row r="119" spans="3:43" ht="16.5">
      <c r="F119" s="718" t="s">
        <v>119</v>
      </c>
      <c r="G119" s="718"/>
      <c r="H119" s="718"/>
      <c r="I119" s="718"/>
      <c r="J119" s="718"/>
      <c r="K119" s="718"/>
      <c r="L119" s="718"/>
      <c r="M119" s="718"/>
      <c r="N119" s="718"/>
      <c r="O119" s="718"/>
      <c r="P119" s="718"/>
      <c r="Q119" s="718"/>
      <c r="R119" s="718"/>
      <c r="S119" s="718"/>
      <c r="T119" s="718"/>
      <c r="U119" s="718"/>
      <c r="V119" s="718"/>
      <c r="W119" s="718"/>
      <c r="X119" s="718"/>
      <c r="Y119" s="718"/>
      <c r="Z119" s="718"/>
      <c r="AA119" s="718"/>
      <c r="AB119" s="718"/>
      <c r="AC119" s="718"/>
      <c r="AD119" s="718"/>
      <c r="AE119" s="718"/>
      <c r="AF119" s="718"/>
      <c r="AG119" s="718"/>
      <c r="AH119" s="718"/>
      <c r="AI119" s="718"/>
      <c r="AJ119" s="718"/>
      <c r="AK119" s="718"/>
      <c r="AL119" s="718"/>
      <c r="AM119" s="718"/>
      <c r="AN119" s="718"/>
    </row>
    <row r="120" spans="3:43">
      <c r="C120" s="728" t="s">
        <v>1087</v>
      </c>
      <c r="D120" s="728"/>
      <c r="E120" s="728"/>
      <c r="F120" s="728"/>
      <c r="G120" s="728"/>
      <c r="H120" s="728"/>
      <c r="I120" s="728"/>
      <c r="J120" s="728"/>
      <c r="K120" s="728"/>
      <c r="L120" s="728"/>
      <c r="M120" s="728"/>
      <c r="N120" s="728"/>
      <c r="O120" s="728"/>
      <c r="P120" s="728"/>
      <c r="Q120" s="728"/>
      <c r="R120" s="728"/>
      <c r="S120" s="728"/>
      <c r="T120" s="728"/>
      <c r="U120" s="728"/>
      <c r="V120" s="728"/>
      <c r="W120" s="728"/>
      <c r="X120" s="728"/>
      <c r="Y120" s="728"/>
      <c r="Z120" s="728"/>
      <c r="AA120" s="728"/>
      <c r="AB120" s="728"/>
      <c r="AC120" s="728"/>
      <c r="AD120" s="728"/>
      <c r="AE120" s="728"/>
      <c r="AF120" s="728"/>
      <c r="AG120" s="728"/>
      <c r="AH120" s="728"/>
      <c r="AI120" s="728"/>
      <c r="AJ120" s="728"/>
      <c r="AK120" s="728"/>
      <c r="AL120" s="728"/>
      <c r="AM120" s="728"/>
      <c r="AN120" s="728"/>
      <c r="AO120" s="728"/>
      <c r="AP120" s="728"/>
      <c r="AQ120" s="728"/>
    </row>
    <row r="121" spans="3:43">
      <c r="C121" s="728"/>
      <c r="D121" s="728"/>
      <c r="E121" s="728"/>
      <c r="F121" s="728"/>
      <c r="G121" s="728"/>
      <c r="H121" s="728"/>
      <c r="I121" s="728"/>
      <c r="J121" s="728"/>
      <c r="K121" s="728"/>
      <c r="L121" s="728"/>
      <c r="M121" s="728"/>
      <c r="N121" s="728"/>
      <c r="O121" s="728"/>
      <c r="P121" s="728"/>
      <c r="Q121" s="728"/>
      <c r="R121" s="728"/>
      <c r="S121" s="728"/>
      <c r="T121" s="728"/>
      <c r="U121" s="728"/>
      <c r="V121" s="728"/>
      <c r="W121" s="728"/>
      <c r="X121" s="728"/>
      <c r="Y121" s="728"/>
      <c r="Z121" s="728"/>
      <c r="AA121" s="728"/>
      <c r="AB121" s="728"/>
      <c r="AC121" s="728"/>
      <c r="AD121" s="728"/>
      <c r="AE121" s="728"/>
      <c r="AF121" s="728"/>
      <c r="AG121" s="728"/>
      <c r="AH121" s="728"/>
      <c r="AI121" s="728"/>
      <c r="AJ121" s="728"/>
      <c r="AK121" s="728"/>
      <c r="AL121" s="728"/>
      <c r="AM121" s="728"/>
      <c r="AN121" s="728"/>
      <c r="AO121" s="728"/>
      <c r="AP121" s="728"/>
      <c r="AQ121" s="728"/>
    </row>
    <row r="122" spans="3:43">
      <c r="C122" s="728"/>
      <c r="D122" s="728"/>
      <c r="E122" s="728"/>
      <c r="F122" s="728"/>
      <c r="G122" s="728"/>
      <c r="H122" s="728"/>
      <c r="I122" s="728"/>
      <c r="J122" s="728"/>
      <c r="K122" s="728"/>
      <c r="L122" s="728"/>
      <c r="M122" s="728"/>
      <c r="N122" s="728"/>
      <c r="O122" s="728"/>
      <c r="P122" s="728"/>
      <c r="Q122" s="728"/>
      <c r="R122" s="728"/>
      <c r="S122" s="728"/>
      <c r="T122" s="728"/>
      <c r="U122" s="728"/>
      <c r="V122" s="728"/>
      <c r="W122" s="728"/>
      <c r="X122" s="728"/>
      <c r="Y122" s="728"/>
      <c r="Z122" s="728"/>
      <c r="AA122" s="728"/>
      <c r="AB122" s="728"/>
      <c r="AC122" s="728"/>
      <c r="AD122" s="728"/>
      <c r="AE122" s="728"/>
      <c r="AF122" s="728"/>
      <c r="AG122" s="728"/>
      <c r="AH122" s="728"/>
      <c r="AI122" s="728"/>
      <c r="AJ122" s="728"/>
      <c r="AK122" s="728"/>
      <c r="AL122" s="728"/>
      <c r="AM122" s="728"/>
      <c r="AN122" s="728"/>
      <c r="AO122" s="728"/>
      <c r="AP122" s="728"/>
      <c r="AQ122" s="728"/>
    </row>
    <row r="123" spans="3:43"/>
    <row r="124" spans="3:43"/>
    <row r="125" spans="3:43" ht="16.5">
      <c r="F125" s="718" t="s">
        <v>120</v>
      </c>
      <c r="G125" s="718"/>
      <c r="H125" s="718"/>
      <c r="I125" s="718"/>
      <c r="J125" s="718"/>
      <c r="K125" s="718"/>
      <c r="L125" s="718"/>
      <c r="M125" s="718"/>
      <c r="N125" s="718"/>
      <c r="O125" s="718"/>
      <c r="P125" s="718"/>
      <c r="Q125" s="718"/>
      <c r="R125" s="718"/>
      <c r="S125" s="718"/>
      <c r="T125" s="718"/>
      <c r="U125" s="718"/>
      <c r="V125" s="718"/>
      <c r="W125" s="718"/>
      <c r="X125" s="718"/>
      <c r="Y125" s="718"/>
      <c r="Z125" s="718"/>
      <c r="AA125" s="718"/>
      <c r="AB125" s="718"/>
      <c r="AC125" s="718"/>
      <c r="AD125" s="718"/>
      <c r="AE125" s="718"/>
      <c r="AF125" s="718"/>
      <c r="AG125" s="718"/>
      <c r="AH125" s="718"/>
      <c r="AI125" s="718"/>
      <c r="AJ125" s="718"/>
      <c r="AK125" s="718"/>
      <c r="AL125" s="718"/>
      <c r="AM125" s="718"/>
      <c r="AN125" s="718"/>
    </row>
    <row r="126" spans="3:43">
      <c r="C126" s="727" t="s">
        <v>1088</v>
      </c>
      <c r="D126" s="727"/>
      <c r="E126" s="727"/>
      <c r="F126" s="727"/>
      <c r="G126" s="727"/>
      <c r="H126" s="727"/>
      <c r="I126" s="727"/>
      <c r="J126" s="727"/>
      <c r="K126" s="727"/>
      <c r="L126" s="727"/>
      <c r="M126" s="727"/>
      <c r="N126" s="727"/>
      <c r="O126" s="727"/>
      <c r="P126" s="727"/>
      <c r="Q126" s="727"/>
      <c r="R126" s="727"/>
      <c r="S126" s="727"/>
      <c r="T126" s="727"/>
      <c r="U126" s="727"/>
      <c r="V126" s="727"/>
      <c r="W126" s="727"/>
      <c r="X126" s="727"/>
      <c r="Y126" s="727"/>
      <c r="Z126" s="727"/>
      <c r="AA126" s="727"/>
      <c r="AB126" s="727"/>
      <c r="AC126" s="727"/>
      <c r="AD126" s="727"/>
      <c r="AE126" s="727"/>
      <c r="AF126" s="727"/>
      <c r="AG126" s="727"/>
      <c r="AH126" s="727"/>
      <c r="AI126" s="727"/>
      <c r="AJ126" s="727"/>
      <c r="AK126" s="727"/>
      <c r="AL126" s="727"/>
      <c r="AM126" s="727"/>
      <c r="AN126" s="727"/>
      <c r="AO126" s="727"/>
      <c r="AP126" s="727"/>
      <c r="AQ126" s="727"/>
    </row>
    <row r="127" spans="3:43">
      <c r="C127" s="727"/>
      <c r="D127" s="727"/>
      <c r="E127" s="727"/>
      <c r="F127" s="727"/>
      <c r="G127" s="727"/>
      <c r="H127" s="727"/>
      <c r="I127" s="727"/>
      <c r="J127" s="727"/>
      <c r="K127" s="727"/>
      <c r="L127" s="727"/>
      <c r="M127" s="727"/>
      <c r="N127" s="727"/>
      <c r="O127" s="727"/>
      <c r="P127" s="727"/>
      <c r="Q127" s="727"/>
      <c r="R127" s="727"/>
      <c r="S127" s="727"/>
      <c r="T127" s="727"/>
      <c r="U127" s="727"/>
      <c r="V127" s="727"/>
      <c r="W127" s="727"/>
      <c r="X127" s="727"/>
      <c r="Y127" s="727"/>
      <c r="Z127" s="727"/>
      <c r="AA127" s="727"/>
      <c r="AB127" s="727"/>
      <c r="AC127" s="727"/>
      <c r="AD127" s="727"/>
      <c r="AE127" s="727"/>
      <c r="AF127" s="727"/>
      <c r="AG127" s="727"/>
      <c r="AH127" s="727"/>
      <c r="AI127" s="727"/>
      <c r="AJ127" s="727"/>
      <c r="AK127" s="727"/>
      <c r="AL127" s="727"/>
      <c r="AM127" s="727"/>
      <c r="AN127" s="727"/>
      <c r="AO127" s="727"/>
      <c r="AP127" s="727"/>
      <c r="AQ127" s="727"/>
    </row>
    <row r="128" spans="3:43"/>
    <row r="129" spans="3:43">
      <c r="C129" s="720" t="s">
        <v>738</v>
      </c>
      <c r="D129" s="720"/>
      <c r="E129" s="720"/>
      <c r="F129" s="720"/>
      <c r="G129" s="720"/>
      <c r="H129" s="720"/>
      <c r="I129" s="720"/>
      <c r="J129" s="720"/>
      <c r="K129" s="720"/>
      <c r="L129" s="720"/>
      <c r="M129" s="720"/>
      <c r="N129" s="720"/>
      <c r="O129" s="720"/>
      <c r="P129" s="720"/>
      <c r="Q129" s="720"/>
      <c r="R129" s="720"/>
      <c r="S129" s="720"/>
      <c r="T129" s="720"/>
      <c r="U129" s="720"/>
      <c r="V129" s="720"/>
      <c r="W129" s="720"/>
      <c r="X129" s="720"/>
      <c r="Y129" s="720"/>
      <c r="Z129" s="720"/>
      <c r="AA129" s="720"/>
      <c r="AB129" s="720"/>
      <c r="AC129" s="720"/>
      <c r="AD129" s="720"/>
      <c r="AE129" s="720"/>
      <c r="AF129" s="720"/>
      <c r="AG129" s="720"/>
      <c r="AH129" s="720"/>
      <c r="AI129" s="720"/>
      <c r="AJ129" s="720"/>
      <c r="AK129" s="720"/>
      <c r="AL129" s="720"/>
      <c r="AM129" s="720"/>
      <c r="AN129" s="720"/>
      <c r="AO129" s="720"/>
      <c r="AP129" s="720"/>
      <c r="AQ129" s="720"/>
    </row>
    <row r="130" spans="3:43"/>
    <row r="131" spans="3:43" ht="15.75" thickBot="1">
      <c r="C131" s="719" t="s">
        <v>766</v>
      </c>
      <c r="D131" s="719"/>
      <c r="E131" s="719"/>
      <c r="F131" s="719"/>
      <c r="G131" s="719"/>
      <c r="H131" s="719"/>
      <c r="I131" s="719"/>
      <c r="J131" s="719"/>
      <c r="K131" s="719"/>
      <c r="L131" s="719"/>
      <c r="M131" s="719"/>
      <c r="N131" s="719"/>
      <c r="O131" s="719"/>
      <c r="P131" s="719"/>
      <c r="Q131" s="719"/>
      <c r="R131" s="719"/>
      <c r="S131" s="719"/>
      <c r="T131" s="719"/>
      <c r="U131" s="719"/>
      <c r="V131" s="719"/>
      <c r="X131" s="719" t="s">
        <v>767</v>
      </c>
      <c r="Y131" s="719"/>
      <c r="Z131" s="719"/>
      <c r="AA131" s="719"/>
      <c r="AB131" s="719"/>
      <c r="AC131" s="719"/>
      <c r="AD131" s="719"/>
      <c r="AE131" s="719"/>
      <c r="AF131" s="719"/>
      <c r="AG131" s="719"/>
      <c r="AH131" s="719"/>
      <c r="AI131" s="719"/>
      <c r="AJ131" s="719"/>
      <c r="AL131" s="719" t="s">
        <v>768</v>
      </c>
      <c r="AM131" s="719"/>
      <c r="AN131" s="719"/>
      <c r="AO131" s="719"/>
      <c r="AP131" s="719"/>
      <c r="AQ131" s="719"/>
    </row>
    <row r="132" spans="3:43" ht="15.75" thickBot="1">
      <c r="C132" s="721"/>
      <c r="D132" s="722"/>
      <c r="E132" s="722"/>
      <c r="F132" s="722"/>
      <c r="G132" s="722"/>
      <c r="H132" s="722"/>
      <c r="I132" s="722"/>
      <c r="J132" s="722"/>
      <c r="K132" s="722"/>
      <c r="L132" s="722"/>
      <c r="M132" s="722"/>
      <c r="N132" s="722"/>
      <c r="O132" s="722"/>
      <c r="P132" s="722"/>
      <c r="Q132" s="722"/>
      <c r="R132" s="722"/>
      <c r="S132" s="722"/>
      <c r="T132" s="722"/>
      <c r="U132" s="722"/>
      <c r="V132" s="723"/>
      <c r="X132" s="721"/>
      <c r="Y132" s="722"/>
      <c r="Z132" s="722"/>
      <c r="AA132" s="722"/>
      <c r="AB132" s="722"/>
      <c r="AC132" s="722"/>
      <c r="AD132" s="722"/>
      <c r="AE132" s="722"/>
      <c r="AF132" s="722"/>
      <c r="AG132" s="722"/>
      <c r="AH132" s="722"/>
      <c r="AI132" s="722"/>
      <c r="AJ132" s="723"/>
      <c r="AL132" s="724"/>
      <c r="AM132" s="725"/>
      <c r="AN132" s="725"/>
      <c r="AO132" s="725"/>
      <c r="AP132" s="725"/>
      <c r="AQ132" s="726"/>
    </row>
    <row r="133" spans="3:43">
      <c r="C133" s="461" t="s">
        <v>1538</v>
      </c>
    </row>
    <row r="134" spans="3:43"/>
    <row r="135" spans="3:43" ht="18">
      <c r="F135" s="730" t="s">
        <v>2122</v>
      </c>
      <c r="G135" s="730"/>
      <c r="H135" s="730"/>
      <c r="I135" s="730"/>
      <c r="J135" s="730"/>
      <c r="K135" s="730"/>
      <c r="L135" s="730"/>
      <c r="M135" s="730"/>
      <c r="N135" s="730"/>
      <c r="O135" s="730"/>
      <c r="P135" s="730"/>
      <c r="Q135" s="730"/>
      <c r="R135" s="730"/>
      <c r="S135" s="730"/>
      <c r="T135" s="730"/>
      <c r="U135" s="730"/>
      <c r="V135" s="730"/>
      <c r="W135" s="730"/>
      <c r="X135" s="730"/>
      <c r="Y135" s="730"/>
      <c r="Z135" s="730"/>
      <c r="AA135" s="730"/>
      <c r="AB135" s="730"/>
      <c r="AC135" s="730"/>
      <c r="AD135" s="730"/>
      <c r="AE135" s="730"/>
      <c r="AF135" s="730"/>
      <c r="AG135" s="730"/>
      <c r="AH135" s="730"/>
      <c r="AI135" s="730"/>
      <c r="AJ135" s="730"/>
      <c r="AK135" s="730"/>
      <c r="AL135" s="730"/>
      <c r="AM135" s="730"/>
      <c r="AN135" s="730"/>
    </row>
    <row r="136" spans="3:43" ht="18">
      <c r="C136" s="729" t="s">
        <v>2123</v>
      </c>
      <c r="D136" s="729"/>
      <c r="E136" s="729"/>
      <c r="F136" s="729"/>
      <c r="G136" s="729"/>
      <c r="H136" s="729"/>
      <c r="I136" s="729"/>
      <c r="J136" s="729"/>
      <c r="K136" s="729"/>
      <c r="L136" s="729"/>
      <c r="M136" s="729"/>
      <c r="N136" s="729"/>
      <c r="O136" s="729"/>
      <c r="P136" s="729"/>
      <c r="Q136" s="729"/>
      <c r="R136" s="729"/>
      <c r="S136" s="729"/>
      <c r="T136" s="729"/>
      <c r="U136" s="729"/>
      <c r="V136" s="729"/>
      <c r="W136" s="729"/>
      <c r="X136" s="729"/>
      <c r="Y136" s="729"/>
      <c r="Z136" s="729"/>
      <c r="AA136" s="729"/>
      <c r="AB136" s="729"/>
      <c r="AC136" s="729"/>
      <c r="AD136" s="729"/>
      <c r="AE136" s="729"/>
      <c r="AF136" s="729"/>
      <c r="AG136" s="729"/>
      <c r="AH136" s="729"/>
      <c r="AI136" s="729"/>
      <c r="AJ136" s="729"/>
      <c r="AK136" s="729"/>
      <c r="AL136" s="729"/>
      <c r="AM136" s="729"/>
      <c r="AN136" s="729"/>
      <c r="AO136" s="729"/>
      <c r="AP136" s="729"/>
      <c r="AQ136" s="729"/>
    </row>
    <row r="137" spans="3:43" ht="18">
      <c r="C137" s="731" t="str">
        <f>IF(M05S02F06="Yes","Please note any project containing custom measures or with a total incentive greater than or equal to $10,000 requires pre-approval","")</f>
        <v/>
      </c>
      <c r="D137" s="731"/>
      <c r="E137" s="731"/>
      <c r="F137" s="731"/>
      <c r="G137" s="731"/>
      <c r="H137" s="731"/>
      <c r="I137" s="731"/>
      <c r="J137" s="731"/>
      <c r="K137" s="731" t="str">
        <f>IF(M05S02F06="Yes","Prescriptive measures over $10,000 and all custom measures require pre-approval.","")</f>
        <v/>
      </c>
      <c r="L137" s="731"/>
      <c r="M137" s="731"/>
      <c r="N137" s="731"/>
      <c r="O137" s="731"/>
      <c r="P137" s="731"/>
      <c r="Q137" s="731"/>
      <c r="R137" s="731"/>
      <c r="S137" s="731"/>
      <c r="T137" s="731"/>
      <c r="U137" s="731"/>
      <c r="V137" s="731"/>
      <c r="W137" s="731"/>
      <c r="X137" s="731"/>
      <c r="Y137" s="731"/>
      <c r="Z137" s="731"/>
      <c r="AA137" s="731"/>
      <c r="AB137" s="731"/>
      <c r="AC137" s="731"/>
      <c r="AD137" s="731"/>
      <c r="AE137" s="731"/>
      <c r="AF137" s="731"/>
      <c r="AG137" s="731"/>
      <c r="AH137" s="731"/>
      <c r="AI137" s="731"/>
      <c r="AJ137" s="731"/>
      <c r="AK137" s="731"/>
      <c r="AL137" s="731"/>
      <c r="AM137" s="731"/>
      <c r="AN137" s="731"/>
      <c r="AO137" s="731"/>
      <c r="AP137" s="731"/>
      <c r="AQ137" s="731"/>
    </row>
    <row r="138" spans="3:43" ht="19.5" thickBot="1">
      <c r="C138" s="10"/>
      <c r="D138" s="571"/>
      <c r="E138" s="571"/>
      <c r="F138" s="571"/>
      <c r="G138" s="571"/>
      <c r="H138" s="571"/>
      <c r="I138" s="571"/>
      <c r="J138" s="571"/>
      <c r="K138" s="572" t="s">
        <v>2124</v>
      </c>
      <c r="L138" s="572"/>
      <c r="M138" s="572"/>
      <c r="N138" s="572"/>
      <c r="O138" s="572"/>
      <c r="P138" s="572"/>
      <c r="AC138" s="572" t="s">
        <v>2125</v>
      </c>
      <c r="AD138" s="572"/>
      <c r="AE138" s="572"/>
      <c r="AF138" s="572"/>
      <c r="AG138" s="572"/>
      <c r="AH138" s="572"/>
      <c r="AL138" s="571"/>
      <c r="AM138" s="571"/>
      <c r="AN138" s="571"/>
      <c r="AO138" s="571"/>
      <c r="AP138" s="571"/>
      <c r="AQ138" s="573"/>
    </row>
    <row r="139" spans="3:43" ht="19.5" thickBot="1">
      <c r="C139" s="10"/>
      <c r="D139" s="571"/>
      <c r="E139" s="571"/>
      <c r="F139" s="571"/>
      <c r="G139" s="571"/>
      <c r="H139" s="571"/>
      <c r="I139" s="571"/>
      <c r="J139" s="571"/>
      <c r="K139" s="724"/>
      <c r="L139" s="725"/>
      <c r="M139" s="725"/>
      <c r="N139" s="725"/>
      <c r="O139" s="725"/>
      <c r="P139" s="726"/>
      <c r="AC139" s="724"/>
      <c r="AD139" s="725"/>
      <c r="AE139" s="725"/>
      <c r="AF139" s="725"/>
      <c r="AG139" s="725"/>
      <c r="AH139" s="726"/>
      <c r="AL139" s="571"/>
      <c r="AM139" s="571"/>
      <c r="AN139" s="571"/>
      <c r="AO139" s="571"/>
      <c r="AP139" s="571"/>
      <c r="AQ139" s="573"/>
    </row>
    <row r="140" spans="3:43"/>
    <row r="200" spans="2:44">
      <c r="B200" s="272" t="str">
        <f>FOOT1</f>
        <v>NIPSCO Energy Efficiency Program</v>
      </c>
      <c r="C200" s="272"/>
      <c r="D200" s="272"/>
      <c r="E200" s="272"/>
      <c r="F200" s="272"/>
      <c r="G200" s="272"/>
      <c r="H200" s="272"/>
      <c r="I200" s="272"/>
      <c r="J200" s="272"/>
      <c r="K200" s="272"/>
      <c r="L200" s="272"/>
      <c r="M200" s="656" t="str">
        <f>FOOT4</f>
        <v>NIPSCO’s energy efficiency programs are administered by TRC, a third‐party implementation specialist that helps homes and businesses save energy.</v>
      </c>
      <c r="N200" s="656"/>
      <c r="O200" s="656"/>
      <c r="P200" s="656"/>
      <c r="Q200" s="656"/>
      <c r="R200" s="656"/>
      <c r="S200" s="656"/>
      <c r="T200" s="656"/>
      <c r="U200" s="656"/>
      <c r="V200" s="656"/>
      <c r="W200" s="656"/>
      <c r="X200" s="656"/>
      <c r="Y200" s="656"/>
      <c r="Z200" s="656"/>
      <c r="AA200" s="656"/>
      <c r="AB200" s="656"/>
      <c r="AC200" s="656"/>
      <c r="AD200" s="656"/>
      <c r="AE200" s="656"/>
      <c r="AF200" s="656"/>
      <c r="AG200" s="656"/>
      <c r="AH200" s="272"/>
      <c r="AI200" s="272"/>
      <c r="AJ200" s="272"/>
      <c r="AK200" s="272"/>
      <c r="AL200" s="272"/>
      <c r="AM200" s="272"/>
      <c r="AN200" s="272"/>
      <c r="AO200" s="272"/>
      <c r="AP200" s="272"/>
      <c r="AQ200" s="272"/>
      <c r="AR200" s="273" t="str">
        <f>FOOTDISCLAIM</f>
        <v/>
      </c>
    </row>
    <row r="201" spans="2:44">
      <c r="B201" s="272" t="str">
        <f>FOOT2</f>
        <v>Toll-Free 800-299-2501</v>
      </c>
      <c r="C201" s="272"/>
      <c r="D201" s="272"/>
      <c r="E201" s="272"/>
      <c r="F201" s="272"/>
      <c r="G201" s="272"/>
      <c r="H201" s="272"/>
      <c r="I201" s="272"/>
      <c r="J201" s="272"/>
      <c r="K201" s="272"/>
      <c r="L201" s="272"/>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272"/>
      <c r="AI201" s="272"/>
      <c r="AJ201" s="272"/>
      <c r="AK201" s="272"/>
      <c r="AL201" s="272"/>
      <c r="AM201" s="272"/>
      <c r="AN201" s="272"/>
      <c r="AO201" s="272"/>
      <c r="AP201" s="272"/>
      <c r="AQ201" s="272"/>
      <c r="AR201" s="273" t="str">
        <f>FOOT5</f>
        <v/>
      </c>
    </row>
    <row r="202" spans="2:44">
      <c r="B202" s="281" t="s">
        <v>1551</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v3.7.0</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44"/>
  </sheetData>
  <sheetProtection algorithmName="SHA-512" hashValue="rwCnt/setWp1WdJNNp7qtjQCPf13cCq4qPd9uXJV/HfPkX4n3YxnoJZGVjj6YjZbMdNVi+KofWZL6kk7cnP7iA==" saltValue="CyJtTWuyqcGutvjW9N62Ig==" spinCount="100000" sheet="1" objects="1" scenarios="1" selectLockedCells="1"/>
  <dataConsolidate/>
  <mergeCells count="25">
    <mergeCell ref="C136:AQ136"/>
    <mergeCell ref="K139:P139"/>
    <mergeCell ref="AC139:AH139"/>
    <mergeCell ref="AQ1:AR1"/>
    <mergeCell ref="AH2:AK3"/>
    <mergeCell ref="AL2:AP3"/>
    <mergeCell ref="AQ2:AR3"/>
    <mergeCell ref="F135:AN135"/>
    <mergeCell ref="C137:AQ137"/>
    <mergeCell ref="M200:AG201"/>
    <mergeCell ref="F10:AN10"/>
    <mergeCell ref="F11:AM11"/>
    <mergeCell ref="AH1:AK1"/>
    <mergeCell ref="AL1:AP1"/>
    <mergeCell ref="F119:AN119"/>
    <mergeCell ref="C131:V131"/>
    <mergeCell ref="X131:AJ131"/>
    <mergeCell ref="C129:AQ129"/>
    <mergeCell ref="AL131:AQ131"/>
    <mergeCell ref="X132:AJ132"/>
    <mergeCell ref="AL132:AQ132"/>
    <mergeCell ref="F125:AN125"/>
    <mergeCell ref="C126:AQ127"/>
    <mergeCell ref="C120:AQ122"/>
    <mergeCell ref="C132:V132"/>
  </mergeCells>
  <conditionalFormatting sqref="AC139:AH139">
    <cfRule type="expression" dxfId="264" priority="1">
      <formula>$K$139&lt;&gt;"NO"</formula>
    </cfRule>
  </conditionalFormatting>
  <conditionalFormatting sqref="AH2 AL2">
    <cfRule type="expression" dxfId="263" priority="2">
      <formula>PROJSTATUS=PROJSTATELI</formula>
    </cfRule>
    <cfRule type="expression" dxfId="262" priority="3">
      <formula>PROJSTATUS=PROJSTATREVIEW</formula>
    </cfRule>
    <cfRule type="expression" dxfId="261" priority="7">
      <formula>PROJSTATUS=PROJSTATPREAPPROVE</formula>
    </cfRule>
    <cfRule type="expression" dxfId="260" priority="8">
      <formula>PROJSTATUS=PROJSTATSTANDARD</formula>
    </cfRule>
    <cfRule type="expression" dxfId="259" priority="9">
      <formula>PROJSTATUS=PROJSTATEXP</formula>
    </cfRule>
  </conditionalFormatting>
  <conditionalFormatting sqref="AQ2:AR3">
    <cfRule type="cellIs" dxfId="258" priority="4" operator="equal">
      <formula>1</formula>
    </cfRule>
    <cfRule type="cellIs" dxfId="257" priority="5" operator="between">
      <formula>0.51</formula>
      <formula>0.99</formula>
    </cfRule>
    <cfRule type="cellIs" dxfId="256" priority="6" operator="lessThanOrEqual">
      <formula>0.5</formula>
    </cfRule>
  </conditionalFormatting>
  <dataValidations count="2">
    <dataValidation allowBlank="1" showInputMessage="1" showErrorMessage="1" prompt="The authorized representative is an individual that has the legal accountability for the site associated with the NIPSCO account provided either through ownership, positional, or written authority from the company." sqref="C132:V132" xr:uid="{00000000-0002-0000-0F00-000001000000}"/>
    <dataValidation type="date" allowBlank="1" showInputMessage="1" showErrorMessage="1" error="Please enter a valid date in the format specified." prompt="Please leave blank if equipment is already installed or purchased." sqref="AC139:AH139" xr:uid="{534735EE-2246-4E7E-A179-0BADCAB722C2}">
      <formula1>44562</formula1>
      <formula2>46387</formula2>
    </dataValidation>
  </dataValidations>
  <hyperlinks>
    <hyperlink ref="B202" r:id="rId1" xr:uid="{42EB2674-7F9B-4205-9A99-0C8DFCD477B3}"/>
  </hyperlinks>
  <pageMargins left="0.7" right="0.7" top="0.75" bottom="0.75" header="0.3" footer="0.3"/>
  <pageSetup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If equipment is already installed or purchased, ignore completion date field.  Otherwise, please complete both fields." xr:uid="{1E3B8ACF-36A5-44FD-BA19-5A8DFEE52AEB}">
          <x14:formula1>
            <xm:f>'DATA TABLES'!$A$105:$A$106</xm:f>
          </x14:formula1>
          <xm:sqref>K139:P139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AS202"/>
  <sheetViews>
    <sheetView showGridLines="0" showRowColHeaders="0" zoomScale="85" zoomScaleNormal="85" workbookViewId="0">
      <selection activeCell="C15" sqref="C15:H15"/>
    </sheetView>
  </sheetViews>
  <sheetFormatPr defaultColWidth="0" defaultRowHeight="15" customHeight="1" zeroHeight="1"/>
  <cols>
    <col min="1" max="45" width="4.7109375" customWidth="1"/>
    <col min="46" max="78" width="9.140625" hidden="1" customWidth="1"/>
    <col min="79" max="16384" width="9.140625" hidden="1"/>
  </cols>
  <sheetData>
    <row r="1" spans="3:44" ht="15.95" customHeight="1">
      <c r="AH1" s="681" t="s">
        <v>471</v>
      </c>
      <c r="AI1" s="681"/>
      <c r="AJ1" s="681"/>
      <c r="AK1" s="681"/>
      <c r="AL1" s="682" t="s">
        <v>736</v>
      </c>
      <c r="AM1" s="682"/>
      <c r="AN1" s="682"/>
      <c r="AO1" s="682"/>
      <c r="AP1" s="682"/>
      <c r="AQ1" s="678" t="s">
        <v>474</v>
      </c>
      <c r="AR1" s="678"/>
    </row>
    <row r="2" spans="3:44" ht="15.95" customHeight="1">
      <c r="AH2" s="683" t="str">
        <f ca="1">INCENSTATUS</f>
        <v>---</v>
      </c>
      <c r="AI2" s="684"/>
      <c r="AJ2" s="684"/>
      <c r="AK2" s="684"/>
      <c r="AL2" s="685" t="str">
        <f ca="1">PROJSTATUS</f>
        <v>Enter Measures</v>
      </c>
      <c r="AM2" s="685"/>
      <c r="AN2" s="685"/>
      <c r="AO2" s="685"/>
      <c r="AP2" s="685"/>
      <c r="AQ2" s="679">
        <f ca="1">PROGRESSSTATUS</f>
        <v>2.8985507246376812E-2</v>
      </c>
      <c r="AR2" s="680"/>
    </row>
    <row r="3" spans="3:44" ht="15.95" customHeight="1">
      <c r="AH3" s="675"/>
      <c r="AI3" s="676"/>
      <c r="AJ3" s="676"/>
      <c r="AK3" s="676"/>
      <c r="AL3" s="668"/>
      <c r="AM3" s="668"/>
      <c r="AN3" s="668"/>
      <c r="AO3" s="668"/>
      <c r="AP3" s="668"/>
      <c r="AQ3" s="662"/>
      <c r="AR3" s="663"/>
    </row>
    <row r="4" spans="3:44" ht="15.95" customHeight="1">
      <c r="AR4" s="171"/>
    </row>
    <row r="5" spans="3:44" ht="15.95" customHeight="1"/>
    <row r="6" spans="3:44" ht="15.95" customHeight="1"/>
    <row r="7" spans="3:44" ht="15.95" customHeight="1"/>
    <row r="8" spans="3:44" ht="15.95" customHeight="1"/>
    <row r="9" spans="3:44" ht="15.95" customHeight="1"/>
    <row r="10" spans="3:44" ht="15.95" customHeight="1">
      <c r="C10" s="59"/>
      <c r="D10" s="59"/>
      <c r="E10" s="59"/>
      <c r="F10" s="686" t="s">
        <v>795</v>
      </c>
      <c r="G10" s="686"/>
      <c r="H10" s="686"/>
      <c r="I10" s="686"/>
      <c r="J10" s="686"/>
      <c r="K10" s="686"/>
      <c r="L10" s="686"/>
      <c r="M10" s="686"/>
      <c r="N10" s="686"/>
      <c r="O10" s="686"/>
      <c r="P10" s="686"/>
      <c r="Q10" s="686"/>
      <c r="R10" s="686"/>
      <c r="S10" s="686"/>
      <c r="T10" s="686"/>
      <c r="U10" s="686"/>
      <c r="V10" s="686"/>
      <c r="W10" s="686"/>
      <c r="X10" s="686"/>
      <c r="Y10" s="686"/>
      <c r="Z10" s="686"/>
      <c r="AA10" s="686"/>
      <c r="AB10" s="686"/>
      <c r="AC10" s="686"/>
      <c r="AD10" s="686"/>
      <c r="AE10" s="686"/>
      <c r="AF10" s="686"/>
      <c r="AG10" s="686"/>
      <c r="AH10" s="686"/>
      <c r="AI10" s="686"/>
      <c r="AJ10" s="686"/>
      <c r="AK10" s="686"/>
      <c r="AL10" s="686"/>
      <c r="AM10" s="686"/>
      <c r="AN10" s="686"/>
      <c r="AO10" s="59"/>
      <c r="AP10" s="59"/>
      <c r="AQ10" s="59"/>
    </row>
    <row r="11" spans="3:44" ht="15.95" customHeight="1">
      <c r="C11" s="59"/>
      <c r="D11" s="59"/>
      <c r="E11" s="59"/>
      <c r="F11" s="735" t="s">
        <v>450</v>
      </c>
      <c r="G11" s="735"/>
      <c r="H11" s="735"/>
      <c r="I11" s="735"/>
      <c r="J11" s="735"/>
      <c r="K11" s="735"/>
      <c r="L11" s="735"/>
      <c r="M11" s="735"/>
      <c r="N11" s="735"/>
      <c r="O11" s="735"/>
      <c r="P11" s="735"/>
      <c r="Q11" s="735"/>
      <c r="R11" s="735"/>
      <c r="S11" s="735"/>
      <c r="T11" s="735"/>
      <c r="U11" s="735"/>
      <c r="V11" s="735"/>
      <c r="W11" s="735"/>
      <c r="X11" s="735"/>
      <c r="Y11" s="735"/>
      <c r="Z11" s="735"/>
      <c r="AA11" s="735"/>
      <c r="AB11" s="735"/>
      <c r="AC11" s="735"/>
      <c r="AD11" s="735"/>
      <c r="AE11" s="735"/>
      <c r="AF11" s="735"/>
      <c r="AG11" s="735"/>
      <c r="AH11" s="735"/>
      <c r="AI11" s="735"/>
      <c r="AJ11" s="735"/>
      <c r="AK11" s="735"/>
      <c r="AL11" s="735"/>
      <c r="AM11" s="735"/>
      <c r="AN11" s="735"/>
      <c r="AO11" s="59"/>
      <c r="AP11" s="59"/>
      <c r="AQ11" s="59"/>
    </row>
    <row r="12" spans="3:44" ht="15.95" customHeight="1">
      <c r="C12" s="59"/>
      <c r="D12" s="59"/>
      <c r="E12" s="59"/>
      <c r="F12" s="735"/>
      <c r="G12" s="735"/>
      <c r="H12" s="735"/>
      <c r="I12" s="735"/>
      <c r="J12" s="735"/>
      <c r="K12" s="735"/>
      <c r="L12" s="735"/>
      <c r="M12" s="735"/>
      <c r="N12" s="735"/>
      <c r="O12" s="735"/>
      <c r="P12" s="735"/>
      <c r="Q12" s="735"/>
      <c r="R12" s="735"/>
      <c r="S12" s="735"/>
      <c r="T12" s="735"/>
      <c r="U12" s="735"/>
      <c r="V12" s="735"/>
      <c r="W12" s="735"/>
      <c r="X12" s="735"/>
      <c r="Y12" s="735"/>
      <c r="Z12" s="735"/>
      <c r="AA12" s="735"/>
      <c r="AB12" s="735"/>
      <c r="AC12" s="735"/>
      <c r="AD12" s="735"/>
      <c r="AE12" s="735"/>
      <c r="AF12" s="735"/>
      <c r="AG12" s="735"/>
      <c r="AH12" s="735"/>
      <c r="AI12" s="735"/>
      <c r="AJ12" s="735"/>
      <c r="AK12" s="735"/>
      <c r="AL12" s="735"/>
      <c r="AM12" s="735"/>
      <c r="AN12" s="735"/>
      <c r="AO12" s="59"/>
      <c r="AP12" s="59"/>
      <c r="AQ12" s="59"/>
    </row>
    <row r="13" spans="3:44" ht="15.95" customHeight="1">
      <c r="C13" s="59"/>
      <c r="D13" s="59"/>
      <c r="E13" s="59"/>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59"/>
      <c r="AP13" s="59"/>
      <c r="AQ13" s="59"/>
    </row>
    <row r="14" spans="3:44" ht="15.95" customHeight="1" thickBot="1">
      <c r="C14" s="719" t="s">
        <v>739</v>
      </c>
      <c r="D14" s="719"/>
      <c r="E14" s="719"/>
      <c r="F14" s="719"/>
      <c r="G14" s="719"/>
      <c r="H14" s="719"/>
      <c r="I14" s="61"/>
      <c r="J14" s="719" t="s">
        <v>740</v>
      </c>
      <c r="K14" s="719"/>
      <c r="L14" s="719"/>
      <c r="M14" s="719"/>
      <c r="N14" s="719"/>
      <c r="O14" s="719"/>
      <c r="P14" s="61"/>
      <c r="Q14" s="719" t="s">
        <v>741</v>
      </c>
      <c r="R14" s="719"/>
      <c r="S14" s="719"/>
      <c r="T14" s="719"/>
      <c r="U14" s="719"/>
      <c r="V14" s="719"/>
      <c r="W14" s="61"/>
      <c r="X14" s="719" t="s">
        <v>742</v>
      </c>
      <c r="Y14" s="719"/>
      <c r="Z14" s="719"/>
      <c r="AA14" s="719"/>
      <c r="AB14" s="719"/>
      <c r="AC14" s="719"/>
      <c r="AD14" s="61"/>
      <c r="AE14" s="719" t="s">
        <v>743</v>
      </c>
      <c r="AF14" s="719"/>
      <c r="AG14" s="719"/>
      <c r="AH14" s="719"/>
      <c r="AI14" s="719"/>
      <c r="AJ14" s="719"/>
      <c r="AK14" s="61"/>
      <c r="AL14" s="719" t="s">
        <v>80</v>
      </c>
      <c r="AM14" s="719"/>
      <c r="AN14" s="719"/>
      <c r="AO14" s="719"/>
      <c r="AP14" s="719"/>
      <c r="AQ14" s="719"/>
    </row>
    <row r="15" spans="3:44" ht="15.95" customHeight="1" thickBot="1">
      <c r="C15" s="721"/>
      <c r="D15" s="722"/>
      <c r="E15" s="722"/>
      <c r="F15" s="722"/>
      <c r="G15" s="722"/>
      <c r="H15" s="723"/>
      <c r="I15" s="61"/>
      <c r="J15" s="721"/>
      <c r="K15" s="722"/>
      <c r="L15" s="722"/>
      <c r="M15" s="722"/>
      <c r="N15" s="722"/>
      <c r="O15" s="723"/>
      <c r="P15" s="61"/>
      <c r="Q15" s="721"/>
      <c r="R15" s="722"/>
      <c r="S15" s="722"/>
      <c r="T15" s="722"/>
      <c r="U15" s="722"/>
      <c r="V15" s="723"/>
      <c r="W15" s="61"/>
      <c r="X15" s="721"/>
      <c r="Y15" s="722"/>
      <c r="Z15" s="722"/>
      <c r="AA15" s="722"/>
      <c r="AB15" s="722"/>
      <c r="AC15" s="723"/>
      <c r="AD15" s="61"/>
      <c r="AE15" s="732"/>
      <c r="AF15" s="733"/>
      <c r="AG15" s="733"/>
      <c r="AH15" s="733"/>
      <c r="AI15" s="733"/>
      <c r="AJ15" s="734"/>
      <c r="AK15" s="61"/>
      <c r="AL15" s="732"/>
      <c r="AM15" s="733"/>
      <c r="AN15" s="733"/>
      <c r="AO15" s="733"/>
      <c r="AP15" s="733"/>
      <c r="AQ15" s="734"/>
    </row>
    <row r="16" spans="3:44" ht="15.95" customHeight="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743" t="s">
        <v>1089</v>
      </c>
      <c r="AM16" s="743"/>
      <c r="AN16" s="743"/>
      <c r="AO16" s="743"/>
      <c r="AP16" s="743"/>
      <c r="AQ16" s="743"/>
    </row>
    <row r="17" spans="3:43" ht="15.95" customHeight="1" thickBot="1">
      <c r="C17" s="719" t="s">
        <v>744</v>
      </c>
      <c r="D17" s="719"/>
      <c r="E17" s="719"/>
      <c r="F17" s="719"/>
      <c r="G17" s="719"/>
      <c r="H17" s="719"/>
      <c r="I17" s="61"/>
      <c r="J17" s="719" t="s">
        <v>745</v>
      </c>
      <c r="K17" s="719"/>
      <c r="L17" s="719"/>
      <c r="M17" s="719"/>
      <c r="N17" s="719"/>
      <c r="O17" s="719"/>
      <c r="P17" s="61"/>
      <c r="Q17" s="719" t="s">
        <v>746</v>
      </c>
      <c r="R17" s="719"/>
      <c r="S17" s="719"/>
      <c r="T17" s="719"/>
      <c r="U17" s="719"/>
      <c r="V17" s="719"/>
      <c r="W17" s="61"/>
      <c r="X17" s="719" t="s">
        <v>747</v>
      </c>
      <c r="Y17" s="719"/>
      <c r="Z17" s="719"/>
      <c r="AA17" s="719"/>
      <c r="AB17" s="719"/>
      <c r="AC17" s="719"/>
      <c r="AD17" s="61"/>
      <c r="AE17" s="719" t="s">
        <v>748</v>
      </c>
      <c r="AF17" s="719"/>
      <c r="AG17" s="719"/>
      <c r="AH17" s="719"/>
      <c r="AI17" s="719"/>
      <c r="AJ17" s="719"/>
      <c r="AK17" s="61"/>
      <c r="AL17" s="744"/>
      <c r="AM17" s="744"/>
      <c r="AN17" s="744"/>
      <c r="AO17" s="744"/>
      <c r="AP17" s="744"/>
      <c r="AQ17" s="744"/>
    </row>
    <row r="18" spans="3:43" ht="15.95" customHeight="1" thickBot="1">
      <c r="C18" s="784"/>
      <c r="D18" s="722"/>
      <c r="E18" s="722"/>
      <c r="F18" s="722"/>
      <c r="G18" s="722"/>
      <c r="H18" s="723"/>
      <c r="I18" s="61"/>
      <c r="J18" s="721"/>
      <c r="K18" s="722"/>
      <c r="L18" s="722"/>
      <c r="M18" s="722"/>
      <c r="N18" s="722"/>
      <c r="O18" s="723"/>
      <c r="P18" s="61"/>
      <c r="Q18" s="721"/>
      <c r="R18" s="722"/>
      <c r="S18" s="722"/>
      <c r="T18" s="722"/>
      <c r="U18" s="722"/>
      <c r="V18" s="723"/>
      <c r="W18" s="61"/>
      <c r="X18" s="721"/>
      <c r="Y18" s="722"/>
      <c r="Z18" s="722"/>
      <c r="AA18" s="722"/>
      <c r="AB18" s="722"/>
      <c r="AC18" s="723"/>
      <c r="AD18" s="61"/>
      <c r="AE18" s="757"/>
      <c r="AF18" s="758"/>
      <c r="AG18" s="758"/>
      <c r="AH18" s="758"/>
      <c r="AI18" s="758"/>
      <c r="AJ18" s="759"/>
      <c r="AK18" s="61"/>
      <c r="AL18" s="757"/>
      <c r="AM18" s="758"/>
      <c r="AN18" s="758"/>
      <c r="AO18" s="758"/>
      <c r="AP18" s="758"/>
      <c r="AQ18" s="759"/>
    </row>
    <row r="19" spans="3:43" ht="15.95" customHeight="1">
      <c r="C19" s="89"/>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90"/>
      <c r="AF19" s="90"/>
      <c r="AG19" s="90"/>
      <c r="AH19" s="90"/>
      <c r="AI19" s="90"/>
      <c r="AJ19" s="90"/>
      <c r="AK19" s="61"/>
      <c r="AL19" s="61"/>
      <c r="AM19" s="61"/>
      <c r="AN19" s="61"/>
      <c r="AO19" s="61"/>
      <c r="AP19" s="61"/>
      <c r="AQ19" s="61"/>
    </row>
    <row r="20" spans="3:43" ht="15.95" customHeight="1">
      <c r="C20" s="59"/>
      <c r="D20" s="59"/>
      <c r="E20" s="59"/>
      <c r="F20" s="742" t="s">
        <v>2083</v>
      </c>
      <c r="G20" s="742"/>
      <c r="H20" s="742"/>
      <c r="I20" s="742"/>
      <c r="J20" s="742"/>
      <c r="K20" s="742"/>
      <c r="L20" s="742"/>
      <c r="M20" s="742"/>
      <c r="N20" s="742"/>
      <c r="O20" s="742"/>
      <c r="P20" s="742"/>
      <c r="Q20" s="742"/>
      <c r="R20" s="742"/>
      <c r="S20" s="742"/>
      <c r="T20" s="742"/>
      <c r="U20" s="742"/>
      <c r="V20" s="742"/>
      <c r="W20" s="742"/>
      <c r="X20" s="742"/>
      <c r="Y20" s="742"/>
      <c r="Z20" s="742"/>
      <c r="AA20" s="742"/>
      <c r="AB20" s="742"/>
      <c r="AC20" s="742"/>
      <c r="AD20" s="742"/>
      <c r="AE20" s="742"/>
      <c r="AF20" s="742"/>
      <c r="AG20" s="742"/>
      <c r="AH20" s="742"/>
      <c r="AI20" s="742"/>
      <c r="AJ20" s="742"/>
      <c r="AK20" s="742"/>
      <c r="AL20" s="742"/>
      <c r="AM20" s="742"/>
      <c r="AN20" s="742"/>
      <c r="AO20" s="59"/>
      <c r="AP20" s="59"/>
      <c r="AQ20" s="59"/>
    </row>
    <row r="21" spans="3:43" ht="15.95" customHeight="1">
      <c r="C21" s="59"/>
      <c r="D21" s="59"/>
      <c r="E21" s="59"/>
      <c r="F21" s="754" t="s">
        <v>2084</v>
      </c>
      <c r="G21" s="754"/>
      <c r="H21" s="754"/>
      <c r="I21" s="754"/>
      <c r="J21" s="754"/>
      <c r="K21" s="754"/>
      <c r="L21" s="754"/>
      <c r="M21" s="754"/>
      <c r="N21" s="754"/>
      <c r="O21" s="754"/>
      <c r="P21" s="754"/>
      <c r="Q21" s="754"/>
      <c r="R21" s="754"/>
      <c r="S21" s="754"/>
      <c r="T21" s="754"/>
      <c r="U21" s="754"/>
      <c r="V21" s="754"/>
      <c r="W21" s="754"/>
      <c r="X21" s="754"/>
      <c r="Y21" s="754"/>
      <c r="Z21" s="754"/>
      <c r="AA21" s="754"/>
      <c r="AB21" s="754"/>
      <c r="AC21" s="754"/>
      <c r="AD21" s="754"/>
      <c r="AE21" s="754"/>
      <c r="AF21" s="754"/>
      <c r="AG21" s="754"/>
      <c r="AH21" s="754"/>
      <c r="AI21" s="754"/>
      <c r="AJ21" s="754"/>
      <c r="AK21" s="754"/>
      <c r="AL21" s="754"/>
      <c r="AM21" s="754"/>
      <c r="AN21" s="754"/>
      <c r="AO21" s="59"/>
      <c r="AP21" s="59"/>
      <c r="AQ21" s="59"/>
    </row>
    <row r="22" spans="3:43" ht="15.95" customHeight="1">
      <c r="C22" s="89"/>
      <c r="D22" s="61"/>
      <c r="E22" s="61"/>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61"/>
      <c r="AP22" s="61"/>
      <c r="AQ22" s="61"/>
    </row>
    <row r="23" spans="3:43" ht="15.95" customHeight="1" thickBot="1">
      <c r="C23" s="719" t="s">
        <v>2085</v>
      </c>
      <c r="D23" s="719"/>
      <c r="E23" s="719"/>
      <c r="F23" s="719"/>
      <c r="G23" s="719"/>
      <c r="H23" s="719"/>
      <c r="I23" s="167"/>
      <c r="P23" s="167"/>
      <c r="Q23" s="719" t="s">
        <v>2099</v>
      </c>
      <c r="R23" s="719"/>
      <c r="S23" s="719"/>
      <c r="T23" s="719"/>
      <c r="U23" s="719"/>
      <c r="V23" s="719"/>
      <c r="W23" s="167"/>
      <c r="X23" s="719" t="s">
        <v>2100</v>
      </c>
      <c r="Y23" s="719"/>
      <c r="Z23" s="719"/>
      <c r="AA23" s="719"/>
      <c r="AB23" s="719"/>
      <c r="AC23" s="719"/>
      <c r="AD23" s="167"/>
      <c r="AE23" s="719" t="s">
        <v>2101</v>
      </c>
      <c r="AF23" s="719"/>
      <c r="AG23" s="719"/>
      <c r="AH23" s="719"/>
      <c r="AI23" s="719"/>
      <c r="AJ23" s="719"/>
      <c r="AK23" s="167"/>
      <c r="AL23" s="719" t="s">
        <v>2102</v>
      </c>
      <c r="AM23" s="719"/>
      <c r="AN23" s="719"/>
      <c r="AO23" s="719"/>
      <c r="AP23" s="719"/>
      <c r="AQ23" s="719"/>
    </row>
    <row r="24" spans="3:43" ht="15.95" customHeight="1" thickBot="1">
      <c r="C24" s="745"/>
      <c r="D24" s="746"/>
      <c r="E24" s="746"/>
      <c r="F24" s="746"/>
      <c r="G24" s="746"/>
      <c r="H24" s="746"/>
      <c r="I24" s="746"/>
      <c r="J24" s="746"/>
      <c r="K24" s="746"/>
      <c r="L24" s="746"/>
      <c r="M24" s="746"/>
      <c r="N24" s="746"/>
      <c r="O24" s="747"/>
      <c r="P24" s="167"/>
      <c r="Q24" s="721"/>
      <c r="R24" s="722"/>
      <c r="S24" s="722"/>
      <c r="T24" s="722"/>
      <c r="U24" s="722"/>
      <c r="V24" s="723"/>
      <c r="W24" s="167"/>
      <c r="X24" s="748"/>
      <c r="Y24" s="749"/>
      <c r="Z24" s="749"/>
      <c r="AA24" s="749"/>
      <c r="AB24" s="749"/>
      <c r="AC24" s="750"/>
      <c r="AD24" s="167"/>
      <c r="AE24" s="751"/>
      <c r="AF24" s="752"/>
      <c r="AG24" s="752"/>
      <c r="AH24" s="752"/>
      <c r="AI24" s="752"/>
      <c r="AJ24" s="753"/>
      <c r="AK24" s="167"/>
      <c r="AL24" s="751"/>
      <c r="AM24" s="752"/>
      <c r="AN24" s="752"/>
      <c r="AO24" s="752"/>
      <c r="AP24" s="752"/>
      <c r="AQ24" s="753"/>
    </row>
    <row r="25" spans="3:43" ht="15.95" customHeight="1"/>
    <row r="26" spans="3:43" ht="15.95" customHeight="1">
      <c r="C26" s="59"/>
      <c r="D26" s="59"/>
      <c r="E26" s="59"/>
      <c r="F26" s="742" t="s">
        <v>850</v>
      </c>
      <c r="G26" s="742"/>
      <c r="H26" s="742"/>
      <c r="I26" s="742"/>
      <c r="J26" s="742"/>
      <c r="K26" s="742"/>
      <c r="L26" s="742"/>
      <c r="M26" s="742"/>
      <c r="N26" s="742"/>
      <c r="O26" s="742"/>
      <c r="P26" s="742"/>
      <c r="Q26" s="742"/>
      <c r="R26" s="742"/>
      <c r="S26" s="742"/>
      <c r="T26" s="742"/>
      <c r="U26" s="742"/>
      <c r="V26" s="742"/>
      <c r="W26" s="742"/>
      <c r="X26" s="742"/>
      <c r="Y26" s="742"/>
      <c r="Z26" s="742"/>
      <c r="AA26" s="742"/>
      <c r="AB26" s="742"/>
      <c r="AC26" s="742"/>
      <c r="AD26" s="742"/>
      <c r="AE26" s="742"/>
      <c r="AF26" s="742"/>
      <c r="AG26" s="742"/>
      <c r="AH26" s="742"/>
      <c r="AI26" s="742"/>
      <c r="AJ26" s="742"/>
      <c r="AK26" s="742"/>
      <c r="AL26" s="742"/>
      <c r="AM26" s="742"/>
      <c r="AN26" s="742"/>
      <c r="AO26" s="59"/>
      <c r="AP26" s="59"/>
      <c r="AQ26" s="59"/>
    </row>
    <row r="27" spans="3:43" ht="15.95" customHeight="1">
      <c r="C27" s="59"/>
      <c r="D27" s="59"/>
      <c r="E27" s="59"/>
      <c r="F27" s="785" t="s">
        <v>451</v>
      </c>
      <c r="G27" s="785"/>
      <c r="H27" s="785"/>
      <c r="I27" s="785"/>
      <c r="J27" s="785"/>
      <c r="K27" s="785"/>
      <c r="L27" s="785"/>
      <c r="M27" s="785"/>
      <c r="N27" s="785"/>
      <c r="O27" s="785"/>
      <c r="P27" s="785"/>
      <c r="Q27" s="785"/>
      <c r="R27" s="785"/>
      <c r="S27" s="785"/>
      <c r="T27" s="785"/>
      <c r="U27" s="785"/>
      <c r="V27" s="785"/>
      <c r="W27" s="785"/>
      <c r="X27" s="785"/>
      <c r="Y27" s="785"/>
      <c r="Z27" s="785"/>
      <c r="AA27" s="785"/>
      <c r="AB27" s="785"/>
      <c r="AC27" s="785"/>
      <c r="AD27" s="785"/>
      <c r="AE27" s="785"/>
      <c r="AF27" s="785"/>
      <c r="AG27" s="785"/>
      <c r="AH27" s="785"/>
      <c r="AI27" s="785"/>
      <c r="AJ27" s="785"/>
      <c r="AK27" s="785"/>
      <c r="AL27" s="785"/>
      <c r="AM27" s="785"/>
      <c r="AN27" s="785"/>
      <c r="AO27" s="59"/>
      <c r="AP27" s="59"/>
      <c r="AQ27" s="59"/>
    </row>
    <row r="28" spans="3:43" ht="15.95" customHeight="1">
      <c r="C28" s="59"/>
      <c r="D28" s="59"/>
      <c r="E28" s="59"/>
      <c r="F28" s="785"/>
      <c r="G28" s="785"/>
      <c r="H28" s="785"/>
      <c r="I28" s="785"/>
      <c r="J28" s="785"/>
      <c r="K28" s="785"/>
      <c r="L28" s="785"/>
      <c r="M28" s="785"/>
      <c r="N28" s="785"/>
      <c r="O28" s="785"/>
      <c r="P28" s="785"/>
      <c r="Q28" s="785"/>
      <c r="R28" s="785"/>
      <c r="S28" s="785"/>
      <c r="T28" s="785"/>
      <c r="U28" s="785"/>
      <c r="V28" s="785"/>
      <c r="W28" s="785"/>
      <c r="X28" s="785"/>
      <c r="Y28" s="785"/>
      <c r="Z28" s="785"/>
      <c r="AA28" s="785"/>
      <c r="AB28" s="785"/>
      <c r="AC28" s="785"/>
      <c r="AD28" s="785"/>
      <c r="AE28" s="785"/>
      <c r="AF28" s="785"/>
      <c r="AG28" s="785"/>
      <c r="AH28" s="785"/>
      <c r="AI28" s="785"/>
      <c r="AJ28" s="785"/>
      <c r="AK28" s="785"/>
      <c r="AL28" s="785"/>
      <c r="AM28" s="785"/>
      <c r="AN28" s="785"/>
      <c r="AO28" s="59"/>
      <c r="AP28" s="59"/>
      <c r="AQ28" s="59"/>
    </row>
    <row r="29" spans="3:43" ht="15.95" customHeight="1">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row>
    <row r="30" spans="3:43" ht="15.95" customHeight="1" thickBot="1">
      <c r="C30" s="719" t="s">
        <v>749</v>
      </c>
      <c r="D30" s="719"/>
      <c r="E30" s="719"/>
      <c r="F30" s="719"/>
      <c r="G30" s="719"/>
      <c r="H30" s="719"/>
      <c r="I30" s="61"/>
      <c r="J30" s="719" t="s">
        <v>750</v>
      </c>
      <c r="K30" s="719"/>
      <c r="L30" s="719"/>
      <c r="M30" s="719"/>
      <c r="N30" s="719"/>
      <c r="O30" s="71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row>
    <row r="31" spans="3:43" ht="15.95" customHeight="1" thickBot="1">
      <c r="C31" s="721"/>
      <c r="D31" s="722"/>
      <c r="E31" s="722"/>
      <c r="F31" s="722"/>
      <c r="G31" s="722"/>
      <c r="H31" s="723"/>
      <c r="I31" s="61"/>
      <c r="J31" s="721"/>
      <c r="K31" s="722"/>
      <c r="L31" s="722"/>
      <c r="M31" s="722"/>
      <c r="N31" s="722"/>
      <c r="O31" s="723"/>
      <c r="P31" s="59"/>
      <c r="Q31" s="59"/>
      <c r="R31" s="59"/>
      <c r="S31" s="62" t="s">
        <v>927</v>
      </c>
      <c r="T31" s="61"/>
      <c r="U31" s="61"/>
      <c r="V31" s="61"/>
      <c r="W31" s="61"/>
      <c r="X31" s="61"/>
      <c r="Y31" s="61"/>
      <c r="Z31" s="61"/>
      <c r="AA31" s="61"/>
      <c r="AB31" s="755"/>
      <c r="AC31" s="756"/>
      <c r="AD31" s="59"/>
      <c r="AE31" s="59"/>
      <c r="AF31" s="62" t="s">
        <v>928</v>
      </c>
      <c r="AH31" s="61"/>
      <c r="AI31" s="61"/>
      <c r="AJ31" s="61"/>
      <c r="AK31" s="61"/>
      <c r="AL31" s="61"/>
      <c r="AM31" s="61"/>
      <c r="AN31" s="61"/>
      <c r="AO31" s="61"/>
      <c r="AP31" s="755"/>
      <c r="AQ31" s="756"/>
    </row>
    <row r="32" spans="3:43" ht="15.95" customHeight="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row>
    <row r="33" spans="3:43" ht="15.95" customHeight="1" thickBot="1">
      <c r="C33" s="719" t="s">
        <v>740</v>
      </c>
      <c r="D33" s="719"/>
      <c r="E33" s="719"/>
      <c r="F33" s="719"/>
      <c r="G33" s="719"/>
      <c r="H33" s="719"/>
      <c r="I33" s="61"/>
      <c r="J33" s="719" t="s">
        <v>741</v>
      </c>
      <c r="K33" s="719"/>
      <c r="L33" s="719"/>
      <c r="M33" s="719"/>
      <c r="N33" s="719"/>
      <c r="O33" s="719"/>
      <c r="P33" s="61"/>
      <c r="Q33" s="719" t="s">
        <v>742</v>
      </c>
      <c r="R33" s="719"/>
      <c r="S33" s="719"/>
      <c r="T33" s="719"/>
      <c r="U33" s="719"/>
      <c r="V33" s="719"/>
      <c r="W33" s="61"/>
      <c r="X33" s="719" t="s">
        <v>743</v>
      </c>
      <c r="Y33" s="719"/>
      <c r="Z33" s="719"/>
      <c r="AA33" s="719"/>
      <c r="AB33" s="719"/>
      <c r="AC33" s="719"/>
      <c r="AD33" s="61"/>
      <c r="AE33" s="719" t="s">
        <v>80</v>
      </c>
      <c r="AF33" s="719"/>
      <c r="AG33" s="719"/>
      <c r="AH33" s="719"/>
      <c r="AI33" s="719"/>
      <c r="AJ33" s="719"/>
      <c r="AK33" s="61"/>
      <c r="AL33" s="719" t="s">
        <v>744</v>
      </c>
      <c r="AM33" s="719"/>
      <c r="AN33" s="719"/>
      <c r="AO33" s="719"/>
      <c r="AP33" s="719"/>
      <c r="AQ33" s="719"/>
    </row>
    <row r="34" spans="3:43" ht="15.95" customHeight="1" thickBot="1">
      <c r="C34" s="736" t="str">
        <f>IF(M02S02F14="Yes",M02S02F02,"")</f>
        <v/>
      </c>
      <c r="D34" s="737"/>
      <c r="E34" s="737"/>
      <c r="F34" s="737"/>
      <c r="G34" s="737"/>
      <c r="H34" s="738"/>
      <c r="I34" s="61"/>
      <c r="J34" s="736" t="str">
        <f>IF(M02S02F14="Yes",M02S02F03,"")</f>
        <v/>
      </c>
      <c r="K34" s="737"/>
      <c r="L34" s="737"/>
      <c r="M34" s="737"/>
      <c r="N34" s="737"/>
      <c r="O34" s="738"/>
      <c r="P34" s="61"/>
      <c r="Q34" s="736" t="str">
        <f>IF(M02S02F14="Yes",M02S02F04,"")</f>
        <v/>
      </c>
      <c r="R34" s="737"/>
      <c r="S34" s="737"/>
      <c r="T34" s="737"/>
      <c r="U34" s="737"/>
      <c r="V34" s="738"/>
      <c r="W34" s="61"/>
      <c r="X34" s="760" t="str">
        <f>IF(M02S02F14="Yes",M02S02F05,"")</f>
        <v/>
      </c>
      <c r="Y34" s="761"/>
      <c r="Z34" s="761"/>
      <c r="AA34" s="761"/>
      <c r="AB34" s="761"/>
      <c r="AC34" s="762"/>
      <c r="AD34" s="61"/>
      <c r="AE34" s="760" t="str">
        <f>IF(M02S02F14="Yes",M02S02F06,"")</f>
        <v/>
      </c>
      <c r="AF34" s="761"/>
      <c r="AG34" s="761"/>
      <c r="AH34" s="761"/>
      <c r="AI34" s="761"/>
      <c r="AJ34" s="762"/>
      <c r="AK34" s="61"/>
      <c r="AL34" s="763" t="str">
        <f>IF(M02S02F14="Yes",M02S02F07,"")</f>
        <v/>
      </c>
      <c r="AM34" s="737"/>
      <c r="AN34" s="737"/>
      <c r="AO34" s="737"/>
      <c r="AP34" s="737"/>
      <c r="AQ34" s="738"/>
    </row>
    <row r="35" spans="3:43" ht="15.95" customHeight="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row>
    <row r="36" spans="3:43" ht="15.95" customHeight="1" thickBot="1">
      <c r="C36" s="764" t="s">
        <v>1055</v>
      </c>
      <c r="D36" s="764"/>
      <c r="E36" s="764"/>
      <c r="F36" s="764"/>
      <c r="G36" s="764"/>
      <c r="H36" s="764"/>
      <c r="I36" s="61"/>
      <c r="J36" s="719" t="s">
        <v>751</v>
      </c>
      <c r="K36" s="719"/>
      <c r="L36" s="719"/>
      <c r="M36" s="719"/>
      <c r="N36" s="719"/>
      <c r="O36" s="719"/>
      <c r="P36" s="61"/>
      <c r="Q36" s="719" t="s">
        <v>746</v>
      </c>
      <c r="R36" s="719"/>
      <c r="S36" s="719"/>
      <c r="T36" s="719"/>
      <c r="U36" s="719"/>
      <c r="V36" s="719"/>
      <c r="W36" s="61"/>
      <c r="X36" s="719" t="s">
        <v>747</v>
      </c>
      <c r="Y36" s="719"/>
      <c r="Z36" s="719"/>
      <c r="AA36" s="719"/>
      <c r="AB36" s="719"/>
      <c r="AC36" s="719"/>
      <c r="AD36" s="61"/>
      <c r="AE36" s="719" t="s">
        <v>748</v>
      </c>
      <c r="AF36" s="719"/>
      <c r="AG36" s="719"/>
      <c r="AH36" s="719"/>
      <c r="AI36" s="719"/>
      <c r="AJ36" s="719"/>
      <c r="AK36" s="61"/>
      <c r="AL36" s="719" t="s">
        <v>753</v>
      </c>
      <c r="AM36" s="719"/>
      <c r="AN36" s="719"/>
      <c r="AO36" s="719"/>
      <c r="AP36" s="719"/>
      <c r="AQ36" s="719"/>
    </row>
    <row r="37" spans="3:43" ht="15.95" customHeight="1" thickBot="1">
      <c r="C37" s="736" t="str">
        <f>IF(M02S02F15="Yes",M02S02F01,"")</f>
        <v/>
      </c>
      <c r="D37" s="737"/>
      <c r="E37" s="737"/>
      <c r="F37" s="737"/>
      <c r="G37" s="737"/>
      <c r="H37" s="738"/>
      <c r="I37" s="61"/>
      <c r="J37" s="736" t="str">
        <f>IF(M02S02F15="Yes",M02S02F08,"")</f>
        <v/>
      </c>
      <c r="K37" s="737"/>
      <c r="L37" s="737"/>
      <c r="M37" s="737"/>
      <c r="N37" s="737"/>
      <c r="O37" s="738"/>
      <c r="P37" s="61"/>
      <c r="Q37" s="736" t="str">
        <f>IF(M02S02F15="Yes",M02S02F09,"")</f>
        <v/>
      </c>
      <c r="R37" s="737"/>
      <c r="S37" s="737"/>
      <c r="T37" s="737"/>
      <c r="U37" s="737"/>
      <c r="V37" s="738"/>
      <c r="W37" s="61"/>
      <c r="X37" s="778" t="s">
        <v>383</v>
      </c>
      <c r="Y37" s="779"/>
      <c r="Z37" s="779"/>
      <c r="AA37" s="779"/>
      <c r="AB37" s="779"/>
      <c r="AC37" s="780"/>
      <c r="AD37" s="61"/>
      <c r="AE37" s="739" t="str">
        <f>IF(M02S02F15="Yes",M02S02F11,"")</f>
        <v/>
      </c>
      <c r="AF37" s="740"/>
      <c r="AG37" s="740"/>
      <c r="AH37" s="740"/>
      <c r="AI37" s="740"/>
      <c r="AJ37" s="741"/>
      <c r="AK37" s="61"/>
      <c r="AL37" s="721"/>
      <c r="AM37" s="722"/>
      <c r="AN37" s="722"/>
      <c r="AO37" s="722"/>
      <c r="AP37" s="722"/>
      <c r="AQ37" s="723"/>
    </row>
    <row r="38" spans="3:43" ht="15.95" customHeight="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row>
    <row r="39" spans="3:43" ht="15.95" customHeight="1" thickBot="1">
      <c r="C39" s="719" t="s">
        <v>752</v>
      </c>
      <c r="D39" s="719"/>
      <c r="E39" s="719"/>
      <c r="F39" s="719"/>
      <c r="G39" s="719"/>
      <c r="H39" s="719"/>
      <c r="I39" s="61"/>
      <c r="J39" s="719" t="s">
        <v>2249</v>
      </c>
      <c r="K39" s="719"/>
      <c r="L39" s="719"/>
      <c r="M39" s="719"/>
      <c r="N39" s="719"/>
      <c r="O39" s="719"/>
      <c r="P39" s="61"/>
      <c r="Q39" s="719" t="s">
        <v>754</v>
      </c>
      <c r="R39" s="719"/>
      <c r="S39" s="719"/>
      <c r="T39" s="719"/>
      <c r="U39" s="719"/>
      <c r="V39" s="719"/>
      <c r="W39" s="61"/>
      <c r="X39" s="719" t="s">
        <v>83</v>
      </c>
      <c r="Y39" s="719"/>
      <c r="Z39" s="719"/>
      <c r="AA39" s="719"/>
      <c r="AB39" s="719"/>
      <c r="AC39" s="719"/>
      <c r="AD39" s="61"/>
      <c r="AE39" s="719" t="s">
        <v>84</v>
      </c>
      <c r="AF39" s="719"/>
      <c r="AG39" s="719"/>
      <c r="AH39" s="719"/>
      <c r="AI39" s="719"/>
      <c r="AJ39" s="719"/>
      <c r="AK39" s="61"/>
      <c r="AL39" s="719" t="s">
        <v>85</v>
      </c>
      <c r="AM39" s="719"/>
      <c r="AN39" s="719"/>
      <c r="AO39" s="719"/>
      <c r="AP39" s="719"/>
      <c r="AQ39" s="719"/>
    </row>
    <row r="40" spans="3:43" ht="15.95" customHeight="1" thickBot="1">
      <c r="C40" s="721"/>
      <c r="D40" s="722"/>
      <c r="E40" s="722"/>
      <c r="F40" s="722"/>
      <c r="G40" s="722"/>
      <c r="H40" s="723"/>
      <c r="I40" s="61"/>
      <c r="J40" s="721"/>
      <c r="K40" s="722"/>
      <c r="L40" s="722"/>
      <c r="M40" s="722"/>
      <c r="N40" s="722"/>
      <c r="O40" s="723"/>
      <c r="P40" s="61"/>
      <c r="Q40" s="774"/>
      <c r="R40" s="737"/>
      <c r="S40" s="737"/>
      <c r="T40" s="737"/>
      <c r="U40" s="737"/>
      <c r="V40" s="738"/>
      <c r="W40" s="61"/>
      <c r="X40" s="721"/>
      <c r="Y40" s="722"/>
      <c r="Z40" s="722"/>
      <c r="AA40" s="722"/>
      <c r="AB40" s="722"/>
      <c r="AC40" s="723"/>
      <c r="AD40" s="61"/>
      <c r="AE40" s="775"/>
      <c r="AF40" s="776"/>
      <c r="AG40" s="776"/>
      <c r="AH40" s="776"/>
      <c r="AI40" s="776"/>
      <c r="AJ40" s="777"/>
      <c r="AK40" s="61"/>
      <c r="AL40" s="721"/>
      <c r="AM40" s="722"/>
      <c r="AN40" s="722"/>
      <c r="AO40" s="722"/>
      <c r="AP40" s="722"/>
      <c r="AQ40" s="723"/>
    </row>
    <row r="41" spans="3:43" ht="15.95" customHeight="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row>
    <row r="42" spans="3:43" ht="15.95" customHeight="1" thickBot="1">
      <c r="C42" s="719" t="s">
        <v>755</v>
      </c>
      <c r="D42" s="719"/>
      <c r="E42" s="719"/>
      <c r="F42" s="719"/>
      <c r="G42" s="719"/>
      <c r="H42" s="719"/>
      <c r="I42" s="61"/>
      <c r="J42" s="719" t="s">
        <v>756</v>
      </c>
      <c r="K42" s="719"/>
      <c r="L42" s="719"/>
      <c r="M42" s="719"/>
      <c r="N42" s="719"/>
      <c r="O42" s="719"/>
      <c r="P42" s="61"/>
      <c r="Q42" s="719" t="s">
        <v>757</v>
      </c>
      <c r="R42" s="719"/>
      <c r="S42" s="719"/>
      <c r="T42" s="719"/>
      <c r="U42" s="719"/>
      <c r="V42" s="719"/>
      <c r="W42" s="61"/>
      <c r="X42" s="719" t="s">
        <v>1091</v>
      </c>
      <c r="Y42" s="719"/>
      <c r="Z42" s="719"/>
      <c r="AA42" s="719"/>
      <c r="AB42" s="719"/>
      <c r="AC42" s="719"/>
      <c r="AD42" s="61"/>
      <c r="AE42" s="59" t="s">
        <v>1706</v>
      </c>
      <c r="AK42" s="61"/>
      <c r="AL42" s="719"/>
      <c r="AM42" s="719"/>
      <c r="AN42" s="719"/>
      <c r="AO42" s="719"/>
      <c r="AP42" s="719"/>
      <c r="AQ42" s="719"/>
    </row>
    <row r="43" spans="3:43" ht="15.95" customHeight="1" thickBot="1">
      <c r="C43" s="721"/>
      <c r="D43" s="722"/>
      <c r="E43" s="722"/>
      <c r="F43" s="722"/>
      <c r="G43" s="722"/>
      <c r="H43" s="723"/>
      <c r="I43" s="61"/>
      <c r="J43" s="721"/>
      <c r="K43" s="722"/>
      <c r="L43" s="722"/>
      <c r="M43" s="722"/>
      <c r="N43" s="722"/>
      <c r="O43" s="723"/>
      <c r="P43" s="61"/>
      <c r="Q43" s="781">
        <v>0.1087</v>
      </c>
      <c r="R43" s="782"/>
      <c r="S43" s="782"/>
      <c r="T43" s="782"/>
      <c r="U43" s="782"/>
      <c r="V43" s="783"/>
      <c r="W43" s="61"/>
      <c r="X43" s="781">
        <v>0.95799999999999996</v>
      </c>
      <c r="Y43" s="782"/>
      <c r="Z43" s="782"/>
      <c r="AA43" s="782"/>
      <c r="AB43" s="782"/>
      <c r="AC43" s="783"/>
      <c r="AD43" s="61"/>
      <c r="AE43" s="781"/>
      <c r="AF43" s="782"/>
      <c r="AG43" s="782"/>
      <c r="AH43" s="782"/>
      <c r="AI43" s="782"/>
      <c r="AJ43" s="783"/>
      <c r="AK43" s="61"/>
      <c r="AL43" s="719"/>
      <c r="AM43" s="719"/>
      <c r="AN43" s="719"/>
      <c r="AO43" s="719"/>
      <c r="AP43" s="719"/>
      <c r="AQ43" s="719"/>
    </row>
    <row r="44" spans="3:43" ht="15.95" customHeight="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row>
    <row r="45" spans="3:43" ht="15.95" customHeight="1" thickBot="1">
      <c r="C45" s="719" t="s">
        <v>1198</v>
      </c>
      <c r="D45" s="719"/>
      <c r="E45" s="719"/>
      <c r="F45" s="719"/>
      <c r="G45" s="719"/>
      <c r="H45" s="719"/>
      <c r="I45" s="61"/>
      <c r="J45" s="719" t="s">
        <v>1199</v>
      </c>
      <c r="K45" s="719"/>
      <c r="L45" s="719"/>
      <c r="M45" s="719"/>
      <c r="N45" s="719"/>
      <c r="O45" s="719"/>
      <c r="P45" s="61"/>
      <c r="Q45" s="764" t="s">
        <v>1200</v>
      </c>
      <c r="R45" s="764"/>
      <c r="S45" s="764"/>
      <c r="T45" s="764"/>
      <c r="U45" s="764"/>
      <c r="V45" s="764"/>
      <c r="W45" s="61"/>
      <c r="X45" s="764" t="s">
        <v>1201</v>
      </c>
      <c r="Y45" s="764"/>
      <c r="Z45" s="764"/>
      <c r="AA45" s="764"/>
      <c r="AB45" s="764"/>
      <c r="AC45" s="764"/>
      <c r="AD45" s="61"/>
      <c r="AK45" s="61"/>
      <c r="AL45" s="719"/>
      <c r="AM45" s="719"/>
      <c r="AN45" s="719"/>
      <c r="AO45" s="719"/>
      <c r="AP45" s="719"/>
      <c r="AQ45" s="719"/>
    </row>
    <row r="46" spans="3:43" ht="15.95" customHeight="1" thickBot="1">
      <c r="C46" s="721"/>
      <c r="D46" s="722"/>
      <c r="E46" s="722"/>
      <c r="F46" s="722"/>
      <c r="G46" s="722"/>
      <c r="H46" s="723"/>
      <c r="I46" s="61"/>
      <c r="J46" s="721"/>
      <c r="K46" s="722"/>
      <c r="L46" s="722"/>
      <c r="M46" s="722"/>
      <c r="N46" s="722"/>
      <c r="O46" s="723"/>
      <c r="P46" s="61"/>
      <c r="Q46" s="721"/>
      <c r="R46" s="722"/>
      <c r="S46" s="722"/>
      <c r="T46" s="722"/>
      <c r="U46" s="722"/>
      <c r="V46" s="723"/>
      <c r="W46" s="61"/>
      <c r="X46" s="721"/>
      <c r="Y46" s="722"/>
      <c r="Z46" s="722"/>
      <c r="AA46" s="722"/>
      <c r="AB46" s="722"/>
      <c r="AC46" s="723"/>
      <c r="AD46" s="61"/>
      <c r="AK46" s="61"/>
      <c r="AL46" s="719"/>
      <c r="AM46" s="719"/>
      <c r="AN46" s="719"/>
      <c r="AO46" s="719"/>
      <c r="AP46" s="719"/>
      <c r="AQ46" s="719"/>
    </row>
    <row r="47" spans="3:43" ht="15.95" customHeight="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row>
    <row r="48" spans="3:43" ht="15.95" customHeight="1" thickBot="1">
      <c r="C48" s="719" t="s">
        <v>758</v>
      </c>
      <c r="D48" s="719"/>
      <c r="E48" s="719"/>
      <c r="F48" s="719"/>
      <c r="G48" s="719"/>
      <c r="H48" s="71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row>
    <row r="49" spans="3:43" ht="15.95" customHeight="1">
      <c r="C49" s="765"/>
      <c r="D49" s="766"/>
      <c r="E49" s="766"/>
      <c r="F49" s="766"/>
      <c r="G49" s="766"/>
      <c r="H49" s="766"/>
      <c r="I49" s="766"/>
      <c r="J49" s="766"/>
      <c r="K49" s="766"/>
      <c r="L49" s="766"/>
      <c r="M49" s="766"/>
      <c r="N49" s="766"/>
      <c r="O49" s="766"/>
      <c r="P49" s="766"/>
      <c r="Q49" s="766"/>
      <c r="R49" s="766"/>
      <c r="S49" s="766"/>
      <c r="T49" s="766"/>
      <c r="U49" s="766"/>
      <c r="V49" s="766"/>
      <c r="W49" s="766"/>
      <c r="X49" s="766"/>
      <c r="Y49" s="766"/>
      <c r="Z49" s="766"/>
      <c r="AA49" s="766"/>
      <c r="AB49" s="766"/>
      <c r="AC49" s="766"/>
      <c r="AD49" s="766"/>
      <c r="AE49" s="766"/>
      <c r="AF49" s="766"/>
      <c r="AG49" s="766"/>
      <c r="AH49" s="766"/>
      <c r="AI49" s="766"/>
      <c r="AJ49" s="766"/>
      <c r="AK49" s="766"/>
      <c r="AL49" s="766"/>
      <c r="AM49" s="766"/>
      <c r="AN49" s="766"/>
      <c r="AO49" s="766"/>
      <c r="AP49" s="766"/>
      <c r="AQ49" s="767"/>
    </row>
    <row r="50" spans="3:43" ht="15.95" customHeight="1">
      <c r="C50" s="768"/>
      <c r="D50" s="769"/>
      <c r="E50" s="769"/>
      <c r="F50" s="769"/>
      <c r="G50" s="769"/>
      <c r="H50" s="769"/>
      <c r="I50" s="769"/>
      <c r="J50" s="769"/>
      <c r="K50" s="769"/>
      <c r="L50" s="769"/>
      <c r="M50" s="769"/>
      <c r="N50" s="769"/>
      <c r="O50" s="769"/>
      <c r="P50" s="769"/>
      <c r="Q50" s="769"/>
      <c r="R50" s="769"/>
      <c r="S50" s="769"/>
      <c r="T50" s="769"/>
      <c r="U50" s="769"/>
      <c r="V50" s="769"/>
      <c r="W50" s="769"/>
      <c r="X50" s="769"/>
      <c r="Y50" s="769"/>
      <c r="Z50" s="769"/>
      <c r="AA50" s="769"/>
      <c r="AB50" s="769"/>
      <c r="AC50" s="769"/>
      <c r="AD50" s="769"/>
      <c r="AE50" s="769"/>
      <c r="AF50" s="769"/>
      <c r="AG50" s="769"/>
      <c r="AH50" s="769"/>
      <c r="AI50" s="769"/>
      <c r="AJ50" s="769"/>
      <c r="AK50" s="769"/>
      <c r="AL50" s="769"/>
      <c r="AM50" s="769"/>
      <c r="AN50" s="769"/>
      <c r="AO50" s="769"/>
      <c r="AP50" s="769"/>
      <c r="AQ50" s="770"/>
    </row>
    <row r="51" spans="3:43" ht="15.95" customHeight="1">
      <c r="C51" s="768"/>
      <c r="D51" s="769"/>
      <c r="E51" s="769"/>
      <c r="F51" s="769"/>
      <c r="G51" s="769"/>
      <c r="H51" s="769"/>
      <c r="I51" s="769"/>
      <c r="J51" s="769"/>
      <c r="K51" s="769"/>
      <c r="L51" s="769"/>
      <c r="M51" s="769"/>
      <c r="N51" s="769"/>
      <c r="O51" s="769"/>
      <c r="P51" s="769"/>
      <c r="Q51" s="769"/>
      <c r="R51" s="769"/>
      <c r="S51" s="769"/>
      <c r="T51" s="769"/>
      <c r="U51" s="769"/>
      <c r="V51" s="769"/>
      <c r="W51" s="769"/>
      <c r="X51" s="769"/>
      <c r="Y51" s="769"/>
      <c r="Z51" s="769"/>
      <c r="AA51" s="769"/>
      <c r="AB51" s="769"/>
      <c r="AC51" s="769"/>
      <c r="AD51" s="769"/>
      <c r="AE51" s="769"/>
      <c r="AF51" s="769"/>
      <c r="AG51" s="769"/>
      <c r="AH51" s="769"/>
      <c r="AI51" s="769"/>
      <c r="AJ51" s="769"/>
      <c r="AK51" s="769"/>
      <c r="AL51" s="769"/>
      <c r="AM51" s="769"/>
      <c r="AN51" s="769"/>
      <c r="AO51" s="769"/>
      <c r="AP51" s="769"/>
      <c r="AQ51" s="770"/>
    </row>
    <row r="52" spans="3:43" ht="15.95" customHeight="1">
      <c r="C52" s="768"/>
      <c r="D52" s="769"/>
      <c r="E52" s="769"/>
      <c r="F52" s="769"/>
      <c r="G52" s="769"/>
      <c r="H52" s="769"/>
      <c r="I52" s="769"/>
      <c r="J52" s="769"/>
      <c r="K52" s="769"/>
      <c r="L52" s="769"/>
      <c r="M52" s="769"/>
      <c r="N52" s="769"/>
      <c r="O52" s="769"/>
      <c r="P52" s="769"/>
      <c r="Q52" s="769"/>
      <c r="R52" s="769"/>
      <c r="S52" s="769"/>
      <c r="T52" s="769"/>
      <c r="U52" s="769"/>
      <c r="V52" s="769"/>
      <c r="W52" s="769"/>
      <c r="X52" s="769"/>
      <c r="Y52" s="769"/>
      <c r="Z52" s="769"/>
      <c r="AA52" s="769"/>
      <c r="AB52" s="769"/>
      <c r="AC52" s="769"/>
      <c r="AD52" s="769"/>
      <c r="AE52" s="769"/>
      <c r="AF52" s="769"/>
      <c r="AG52" s="769"/>
      <c r="AH52" s="769"/>
      <c r="AI52" s="769"/>
      <c r="AJ52" s="769"/>
      <c r="AK52" s="769"/>
      <c r="AL52" s="769"/>
      <c r="AM52" s="769"/>
      <c r="AN52" s="769"/>
      <c r="AO52" s="769"/>
      <c r="AP52" s="769"/>
      <c r="AQ52" s="770"/>
    </row>
    <row r="53" spans="3:43" ht="15.95" customHeight="1">
      <c r="C53" s="768"/>
      <c r="D53" s="769"/>
      <c r="E53" s="769"/>
      <c r="F53" s="769"/>
      <c r="G53" s="769"/>
      <c r="H53" s="769"/>
      <c r="I53" s="769"/>
      <c r="J53" s="769"/>
      <c r="K53" s="769"/>
      <c r="L53" s="769"/>
      <c r="M53" s="769"/>
      <c r="N53" s="769"/>
      <c r="O53" s="769"/>
      <c r="P53" s="769"/>
      <c r="Q53" s="769"/>
      <c r="R53" s="769"/>
      <c r="S53" s="769"/>
      <c r="T53" s="769"/>
      <c r="U53" s="769"/>
      <c r="V53" s="769"/>
      <c r="W53" s="769"/>
      <c r="X53" s="769"/>
      <c r="Y53" s="769"/>
      <c r="Z53" s="769"/>
      <c r="AA53" s="769"/>
      <c r="AB53" s="769"/>
      <c r="AC53" s="769"/>
      <c r="AD53" s="769"/>
      <c r="AE53" s="769"/>
      <c r="AF53" s="769"/>
      <c r="AG53" s="769"/>
      <c r="AH53" s="769"/>
      <c r="AI53" s="769"/>
      <c r="AJ53" s="769"/>
      <c r="AK53" s="769"/>
      <c r="AL53" s="769"/>
      <c r="AM53" s="769"/>
      <c r="AN53" s="769"/>
      <c r="AO53" s="769"/>
      <c r="AP53" s="769"/>
      <c r="AQ53" s="770"/>
    </row>
    <row r="54" spans="3:43" ht="15.95" customHeight="1">
      <c r="C54" s="768"/>
      <c r="D54" s="769"/>
      <c r="E54" s="769"/>
      <c r="F54" s="769"/>
      <c r="G54" s="769"/>
      <c r="H54" s="769"/>
      <c r="I54" s="769"/>
      <c r="J54" s="769"/>
      <c r="K54" s="769"/>
      <c r="L54" s="769"/>
      <c r="M54" s="769"/>
      <c r="N54" s="769"/>
      <c r="O54" s="769"/>
      <c r="P54" s="769"/>
      <c r="Q54" s="769"/>
      <c r="R54" s="769"/>
      <c r="S54" s="769"/>
      <c r="T54" s="769"/>
      <c r="U54" s="769"/>
      <c r="V54" s="769"/>
      <c r="W54" s="769"/>
      <c r="X54" s="769"/>
      <c r="Y54" s="769"/>
      <c r="Z54" s="769"/>
      <c r="AA54" s="769"/>
      <c r="AB54" s="769"/>
      <c r="AC54" s="769"/>
      <c r="AD54" s="769"/>
      <c r="AE54" s="769"/>
      <c r="AF54" s="769"/>
      <c r="AG54" s="769"/>
      <c r="AH54" s="769"/>
      <c r="AI54" s="769"/>
      <c r="AJ54" s="769"/>
      <c r="AK54" s="769"/>
      <c r="AL54" s="769"/>
      <c r="AM54" s="769"/>
      <c r="AN54" s="769"/>
      <c r="AO54" s="769"/>
      <c r="AP54" s="769"/>
      <c r="AQ54" s="770"/>
    </row>
    <row r="55" spans="3:43" ht="15.95" customHeight="1">
      <c r="C55" s="768"/>
      <c r="D55" s="769"/>
      <c r="E55" s="769"/>
      <c r="F55" s="769"/>
      <c r="G55" s="769"/>
      <c r="H55" s="769"/>
      <c r="I55" s="769"/>
      <c r="J55" s="769"/>
      <c r="K55" s="769"/>
      <c r="L55" s="769"/>
      <c r="M55" s="769"/>
      <c r="N55" s="769"/>
      <c r="O55" s="769"/>
      <c r="P55" s="769"/>
      <c r="Q55" s="769"/>
      <c r="R55" s="769"/>
      <c r="S55" s="769"/>
      <c r="T55" s="769"/>
      <c r="U55" s="769"/>
      <c r="V55" s="769"/>
      <c r="W55" s="769"/>
      <c r="X55" s="769"/>
      <c r="Y55" s="769"/>
      <c r="Z55" s="769"/>
      <c r="AA55" s="769"/>
      <c r="AB55" s="769"/>
      <c r="AC55" s="769"/>
      <c r="AD55" s="769"/>
      <c r="AE55" s="769"/>
      <c r="AF55" s="769"/>
      <c r="AG55" s="769"/>
      <c r="AH55" s="769"/>
      <c r="AI55" s="769"/>
      <c r="AJ55" s="769"/>
      <c r="AK55" s="769"/>
      <c r="AL55" s="769"/>
      <c r="AM55" s="769"/>
      <c r="AN55" s="769"/>
      <c r="AO55" s="769"/>
      <c r="AP55" s="769"/>
      <c r="AQ55" s="770"/>
    </row>
    <row r="56" spans="3:43" ht="15.95" customHeight="1" thickBot="1">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2"/>
      <c r="AB56" s="772"/>
      <c r="AC56" s="772"/>
      <c r="AD56" s="772"/>
      <c r="AE56" s="772"/>
      <c r="AF56" s="772"/>
      <c r="AG56" s="772"/>
      <c r="AH56" s="772"/>
      <c r="AI56" s="772"/>
      <c r="AJ56" s="772"/>
      <c r="AK56" s="772"/>
      <c r="AL56" s="772"/>
      <c r="AM56" s="772"/>
      <c r="AN56" s="772"/>
      <c r="AO56" s="772"/>
      <c r="AP56" s="772"/>
      <c r="AQ56" s="773"/>
    </row>
    <row r="57" spans="3:43" ht="15.95" customHeight="1"/>
    <row r="58" spans="3:43" ht="15.95" hidden="1" customHeight="1"/>
    <row r="59" spans="3:43" ht="15.95" hidden="1" customHeight="1"/>
    <row r="60" spans="3:43" ht="15.95" hidden="1" customHeight="1"/>
    <row r="61" spans="3:43" ht="15.95" hidden="1" customHeight="1"/>
    <row r="62" spans="3:43" ht="15.95" hidden="1" customHeight="1"/>
    <row r="63" spans="3:43" ht="15.95" hidden="1" customHeight="1"/>
    <row r="64" spans="3:43"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56" t="str">
        <f>FOOT4</f>
        <v>NIPSCO’s energy efficiency programs are administered by TRC, a third‐party implementation specialist that helps homes and businesses save energy.</v>
      </c>
      <c r="N200" s="656"/>
      <c r="O200" s="656"/>
      <c r="P200" s="656"/>
      <c r="Q200" s="656"/>
      <c r="R200" s="656"/>
      <c r="S200" s="656"/>
      <c r="T200" s="656"/>
      <c r="U200" s="656"/>
      <c r="V200" s="656"/>
      <c r="W200" s="656"/>
      <c r="X200" s="656"/>
      <c r="Y200" s="656"/>
      <c r="Z200" s="656"/>
      <c r="AA200" s="656"/>
      <c r="AB200" s="656"/>
      <c r="AC200" s="656"/>
      <c r="AD200" s="656"/>
      <c r="AE200" s="656"/>
      <c r="AF200" s="656"/>
      <c r="AG200" s="656"/>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272"/>
      <c r="AI201" s="272"/>
      <c r="AJ201" s="272"/>
      <c r="AK201" s="272"/>
      <c r="AL201" s="272"/>
      <c r="AM201" s="272"/>
      <c r="AN201" s="272"/>
      <c r="AO201" s="272"/>
      <c r="AP201" s="272"/>
      <c r="AQ201" s="272"/>
      <c r="AR201" s="273" t="str">
        <f>FOOT5</f>
        <v/>
      </c>
    </row>
    <row r="202" spans="2:44" ht="15.95" customHeight="1">
      <c r="B202" s="281" t="s">
        <v>1551</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v3.7.0</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If83DaUxAqlBKmV+vdoYRHEq+c4QGW3aBKw2gQlsmdD1WdErS8dJOPFYV2u+mjGTDC/pLcfszWv82IyVfNa00A==" saltValue="QUZi1IMOM41qRH8qPAZn5A==" spinCount="100000" sheet="1" objects="1" scenarios="1" selectLockedCells="1"/>
  <mergeCells count="112">
    <mergeCell ref="X43:AC43"/>
    <mergeCell ref="Q39:V39"/>
    <mergeCell ref="C18:H18"/>
    <mergeCell ref="J18:O18"/>
    <mergeCell ref="AL18:AQ18"/>
    <mergeCell ref="J36:O36"/>
    <mergeCell ref="Q36:V36"/>
    <mergeCell ref="X36:AC36"/>
    <mergeCell ref="X42:AC42"/>
    <mergeCell ref="F26:AN26"/>
    <mergeCell ref="F27:AN28"/>
    <mergeCell ref="C30:H30"/>
    <mergeCell ref="J30:O30"/>
    <mergeCell ref="C31:H31"/>
    <mergeCell ref="J31:O31"/>
    <mergeCell ref="AB31:AC31"/>
    <mergeCell ref="AE33:AJ33"/>
    <mergeCell ref="C36:H36"/>
    <mergeCell ref="C37:H37"/>
    <mergeCell ref="C39:H39"/>
    <mergeCell ref="C40:H40"/>
    <mergeCell ref="C42:H42"/>
    <mergeCell ref="C33:H33"/>
    <mergeCell ref="C43:H43"/>
    <mergeCell ref="M200:AG201"/>
    <mergeCell ref="AL40:AQ40"/>
    <mergeCell ref="J39:O39"/>
    <mergeCell ref="AL36:AQ36"/>
    <mergeCell ref="X39:AC39"/>
    <mergeCell ref="AE39:AJ39"/>
    <mergeCell ref="AL39:AQ39"/>
    <mergeCell ref="J40:O40"/>
    <mergeCell ref="AL37:AQ37"/>
    <mergeCell ref="Q40:V40"/>
    <mergeCell ref="X40:AC40"/>
    <mergeCell ref="AE40:AJ40"/>
    <mergeCell ref="J42:O42"/>
    <mergeCell ref="AL46:AQ46"/>
    <mergeCell ref="AL45:AQ45"/>
    <mergeCell ref="X46:AC46"/>
    <mergeCell ref="Q37:V37"/>
    <mergeCell ref="X37:AC37"/>
    <mergeCell ref="AL42:AQ42"/>
    <mergeCell ref="J43:O43"/>
    <mergeCell ref="Q43:V43"/>
    <mergeCell ref="AL43:AQ43"/>
    <mergeCell ref="Q42:V42"/>
    <mergeCell ref="AE43:AJ43"/>
    <mergeCell ref="C45:H45"/>
    <mergeCell ref="J45:O45"/>
    <mergeCell ref="Q45:V45"/>
    <mergeCell ref="X45:AC45"/>
    <mergeCell ref="C46:H46"/>
    <mergeCell ref="J46:O46"/>
    <mergeCell ref="Q46:V46"/>
    <mergeCell ref="C48:H48"/>
    <mergeCell ref="C49:AQ56"/>
    <mergeCell ref="AE17:AJ17"/>
    <mergeCell ref="Q18:V18"/>
    <mergeCell ref="X18:AC18"/>
    <mergeCell ref="AE18:AJ18"/>
    <mergeCell ref="AL33:AQ33"/>
    <mergeCell ref="J33:O33"/>
    <mergeCell ref="Q33:V33"/>
    <mergeCell ref="X34:AC34"/>
    <mergeCell ref="AE34:AJ34"/>
    <mergeCell ref="AL34:AQ34"/>
    <mergeCell ref="X33:AC33"/>
    <mergeCell ref="C17:H17"/>
    <mergeCell ref="J17:O17"/>
    <mergeCell ref="Q17:V17"/>
    <mergeCell ref="X17:AC17"/>
    <mergeCell ref="C34:H34"/>
    <mergeCell ref="J34:O34"/>
    <mergeCell ref="Q34:V34"/>
    <mergeCell ref="J37:O37"/>
    <mergeCell ref="AE37:AJ37"/>
    <mergeCell ref="AE36:AJ36"/>
    <mergeCell ref="F20:AN20"/>
    <mergeCell ref="AL16:AQ17"/>
    <mergeCell ref="C24:O24"/>
    <mergeCell ref="Q24:V24"/>
    <mergeCell ref="X24:AC24"/>
    <mergeCell ref="AE24:AJ24"/>
    <mergeCell ref="AL24:AQ24"/>
    <mergeCell ref="F21:AN21"/>
    <mergeCell ref="C23:H23"/>
    <mergeCell ref="Q23:V23"/>
    <mergeCell ref="X23:AC23"/>
    <mergeCell ref="AE23:AJ23"/>
    <mergeCell ref="AL23:AQ23"/>
    <mergeCell ref="AP31:AQ31"/>
    <mergeCell ref="AL15:AQ15"/>
    <mergeCell ref="C15:H15"/>
    <mergeCell ref="J15:O15"/>
    <mergeCell ref="Q15:V15"/>
    <mergeCell ref="X15:AC15"/>
    <mergeCell ref="AE15:AJ15"/>
    <mergeCell ref="AQ1:AR1"/>
    <mergeCell ref="AQ2:AR3"/>
    <mergeCell ref="F10:AN10"/>
    <mergeCell ref="C14:H14"/>
    <mergeCell ref="J14:O14"/>
    <mergeCell ref="Q14:V14"/>
    <mergeCell ref="X14:AC14"/>
    <mergeCell ref="AE14:AJ14"/>
    <mergeCell ref="AL14:AQ14"/>
    <mergeCell ref="F11:AN12"/>
    <mergeCell ref="AH1:AK1"/>
    <mergeCell ref="AL1:AP1"/>
    <mergeCell ref="AH2:AK3"/>
    <mergeCell ref="AL2:AP3"/>
  </mergeCells>
  <conditionalFormatting sqref="C24">
    <cfRule type="expression" dxfId="255" priority="3">
      <formula>M02S02F48="Not Applicable"</formula>
    </cfRule>
  </conditionalFormatting>
  <conditionalFormatting sqref="C34:H34 J34:O34 Q34:V34 X34:AC34 AE34:AJ34 AL34:AQ34">
    <cfRule type="expression" dxfId="254" priority="2">
      <formula>M02S02F14="Yes"</formula>
    </cfRule>
  </conditionalFormatting>
  <conditionalFormatting sqref="J37:O37 Q37:V37 X37:AC37 AE37:AJ37">
    <cfRule type="expression" dxfId="253" priority="1">
      <formula>M02S02F15="Yes"</formula>
    </cfRule>
  </conditionalFormatting>
  <conditionalFormatting sqref="Q24:V24 X24:AC24 AE24:AJ24 AL24:AQ24">
    <cfRule type="expression" dxfId="252" priority="4">
      <formula>M02S02F48="Not Applicable"</formula>
    </cfRule>
  </conditionalFormatting>
  <conditionalFormatting sqref="AH2 AL2">
    <cfRule type="expression" dxfId="251" priority="6">
      <formula>PROJSTATUS=PROJSTATELI</formula>
    </cfRule>
    <cfRule type="expression" dxfId="250" priority="7">
      <formula>PROJSTATUS=PROJSTATREVIEW</formula>
    </cfRule>
    <cfRule type="expression" dxfId="249" priority="11">
      <formula>PROJSTATUS=PROJSTATPREAPPROVE</formula>
    </cfRule>
    <cfRule type="expression" dxfId="248" priority="12">
      <formula>PROJSTATUS=PROJSTATSTANDARD</formula>
    </cfRule>
    <cfRule type="expression" dxfId="247" priority="13">
      <formula>PROJSTATUS=PROJSTATEXP</formula>
    </cfRule>
  </conditionalFormatting>
  <conditionalFormatting sqref="AQ2:AR3">
    <cfRule type="cellIs" dxfId="246" priority="8" operator="equal">
      <formula>1</formula>
    </cfRule>
    <cfRule type="cellIs" dxfId="245" priority="9" operator="between">
      <formula>0.51</formula>
      <formula>0.99</formula>
    </cfRule>
    <cfRule type="cellIs" dxfId="244" priority="10" operator="lessThanOrEqual">
      <formula>0.5</formula>
    </cfRule>
  </conditionalFormatting>
  <dataValidations count="23">
    <dataValidation type="custom" allowBlank="1" showInputMessage="1" showErrorMessage="1" error="Please enter a valid email address." sqref="C18:H19 C22:E22 AL34:AQ34" xr:uid="{00000000-0002-0000-1000-000000000000}">
      <formula1>AND(FIND(".",C18),FIND("@",C18))</formula1>
    </dataValidation>
    <dataValidation type="list" allowBlank="1" showInputMessage="1" showErrorMessage="1" sqref="AB31:AC31 AP31:AQ31" xr:uid="{89E3FEA2-9521-4729-BAC7-2597D9FE4723}">
      <formula1>"Yes,No"</formula1>
    </dataValidation>
    <dataValidation type="list" allowBlank="1" showInputMessage="1" showErrorMessage="1" sqref="AL37:AQ37" xr:uid="{B27A6DA6-67E8-43BA-807C-5A9904BB39E7}">
      <formula1>"Owner,Tenant"</formula1>
    </dataValidation>
    <dataValidation type="list" allowBlank="1" showInputMessage="1" showErrorMessage="1" sqref="X18:AC19" xr:uid="{00000000-0002-0000-1000-000005000000}">
      <formula1>STATESABBREV</formula1>
    </dataValidation>
    <dataValidation type="list" allowBlank="1" showInputMessage="1" showErrorMessage="1" sqref="J40:O40" xr:uid="{F11D59D4-CE29-475F-AA97-7CBC48A0B4A3}">
      <formula1>BLDGSPCTypeList</formula1>
    </dataValidation>
    <dataValidation type="list" allowBlank="1" showInputMessage="1" showErrorMessage="1" sqref="C43:H43" xr:uid="{94B0CA54-061D-496F-A844-D9B1E917E656}">
      <formula1>SHEAT</formula1>
    </dataValidation>
    <dataValidation type="list" allowBlank="1" showInputMessage="1" showErrorMessage="1" sqref="J43:O43" xr:uid="{835AD309-D327-4340-9FEC-B3D633D37796}">
      <formula1>WHEAT</formula1>
    </dataValidation>
    <dataValidation type="list" allowBlank="1" showInputMessage="1" showErrorMessage="1" sqref="C31:H31" xr:uid="{5B76F627-2A2A-459B-89D3-44618E8DCAB3}">
      <formula1>PROGRAM</formula1>
    </dataValidation>
    <dataValidation allowBlank="1" showInputMessage="1" showErrorMessage="1" prompt="Provide a project name or ID for the project you are applying for." sqref="J31:O31" xr:uid="{3A2CBD3C-CF87-4EB0-98E6-A9E845F4F63A}"/>
    <dataValidation allowBlank="1" showInputMessage="1" showErrorMessage="1" prompt="Please consult your utility bill for your account rate (Use your total monthly cost divided by your total kWh).  This number is an estimate based on EIA data." sqref="Q43:V43 X43:AC43" xr:uid="{3E3029CF-D9A9-4378-835E-33A2DDB87EA4}"/>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 or dash." sqref="C46:H46 J46:O46" xr:uid="{0B4CB6B0-30F6-451A-B63D-38512766CC7D}">
      <formula1>10</formula1>
    </dataValidation>
    <dataValidation type="decimal" operator="greaterThanOrEqual" allowBlank="1" showErrorMessage="1" error="Please enter a valid numerical value." sqref="AL40:AQ40" xr:uid="{CE3E2C09-4029-44E4-9432-470BBF9D347D}">
      <formula1>0</formula1>
    </dataValidation>
    <dataValidation type="textLength" allowBlank="1" showInputMessage="1" showErrorMessage="1" error="Please enter a valid phone number." sqref="AE15:AJ15 AL15:AQ15" xr:uid="{00000000-0002-0000-1000-000010000000}">
      <formula1>7</formula1>
      <formula2>15</formula2>
    </dataValidation>
    <dataValidation type="list" allowBlank="1" showInputMessage="1" showErrorMessage="1" sqref="AL18:AQ18" xr:uid="{00000000-0002-0000-1000-000012000000}">
      <formula1>CUSTINFOLIST</formula1>
    </dataValidation>
    <dataValidation type="list" allowBlank="1" showInputMessage="1" showErrorMessage="1" sqref="C24" xr:uid="{371D2E5D-9B0B-4D69-B6CC-7F55AAB4B90A}">
      <formula1>DIVERSITYBUSTYPE</formula1>
    </dataValidation>
    <dataValidation type="list" allowBlank="1" showInputMessage="1" showErrorMessage="1" sqref="Q24:V24" xr:uid="{B636228D-FAFF-4B23-800D-74652E0A21B0}">
      <formula1>DIVERSITYORG</formula1>
    </dataValidation>
    <dataValidation type="date" operator="greaterThan" allowBlank="1" showInputMessage="1" showErrorMessage="1" sqref="AE24:AJ24" xr:uid="{9873EFD2-ED17-44D1-A34E-EC52C9069544}">
      <formula1>36526</formula1>
    </dataValidation>
    <dataValidation type="date" operator="lessThanOrEqual" allowBlank="1" showInputMessage="1" showErrorMessage="1" sqref="AL24:AQ24" xr:uid="{69B8874D-8256-410F-AFBC-F5A9292D168B}">
      <formula1>73051</formula1>
    </dataValidation>
    <dataValidation type="textLength" operator="lessThanOrEqual" allowBlank="1" showInputMessage="1" showErrorMessage="1" error="Please enter your 10 digit account number without the leading zeros." prompt="Please enter your 7 digit Meter Number as shown on your utility bill." sqref="X46:AC46 Q46:V46" xr:uid="{48F1B97F-22CD-451F-A7CC-168D55A98DA0}">
      <formula1>10</formula1>
    </dataValidation>
    <dataValidation allowBlank="1" showInputMessage="1" prompt="Provide a site name for this project for easy reference in future communications." sqref="C37:H37" xr:uid="{9DCA80A0-8E35-463A-B268-9177C6C77B79}"/>
    <dataValidation type="list" allowBlank="1" showInputMessage="1" showErrorMessage="1" sqref="X37:AC37" xr:uid="{FEA38A6A-72DE-417A-9E04-EFBF090C0AAF}">
      <formula1>"IN"</formula1>
    </dataValidation>
    <dataValidation type="whole" operator="lessThanOrEqual" allowBlank="1" showInputMessage="1" showErrorMessage="1" sqref="Q40:V40" xr:uid="{AD14AF0A-A210-4B49-953E-B668EDF829B5}">
      <formula1>8760</formula1>
    </dataValidation>
    <dataValidation type="list" allowBlank="1" showInputMessage="1" showErrorMessage="1" sqref="C40:H40" xr:uid="{C80DEDCF-E9A9-42CA-A1F4-641F9F2DECB5}">
      <formula1>IF(ISBLANK(M02S02F26),DTBuildingType,"")</formula1>
    </dataValidation>
  </dataValidations>
  <hyperlinks>
    <hyperlink ref="B202" r:id="rId1" xr:uid="{7A9B16B9-AFDF-4A19-B6DF-98413EF879B0}"/>
  </hyperlinks>
  <pageMargins left="0.25" right="0.25" top="0.25" bottom="0.25" header="0.25" footer="0.25"/>
  <pageSetup scale="62" fitToHeight="0"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F97CB64-F7D9-4DBE-89DE-728B92F56E2A}">
          <x14:formula1>
            <xm:f>'DATA TABLES'!$A$100:$A$102</xm:f>
          </x14:formula1>
          <xm:sqref>AE43:AJ43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pageSetUpPr fitToPage="1"/>
  </sheetPr>
  <dimension ref="A1:AS202"/>
  <sheetViews>
    <sheetView showGridLines="0" showRowColHeaders="0" zoomScale="85" zoomScaleNormal="85" workbookViewId="0">
      <selection activeCell="C14" sqref="C14:H14"/>
    </sheetView>
  </sheetViews>
  <sheetFormatPr defaultColWidth="0" defaultRowHeight="15" customHeight="1" zeroHeight="1"/>
  <cols>
    <col min="1" max="45" width="4.7109375" customWidth="1"/>
    <col min="46" max="78" width="9.140625" hidden="1" customWidth="1"/>
    <col min="79" max="16384" width="9.140625" hidden="1"/>
  </cols>
  <sheetData>
    <row r="1" spans="3:44" ht="15.95" customHeight="1">
      <c r="AH1" s="681" t="s">
        <v>471</v>
      </c>
      <c r="AI1" s="681"/>
      <c r="AJ1" s="681"/>
      <c r="AK1" s="681"/>
      <c r="AL1" s="682" t="s">
        <v>736</v>
      </c>
      <c r="AM1" s="682"/>
      <c r="AN1" s="682"/>
      <c r="AO1" s="682"/>
      <c r="AP1" s="682"/>
      <c r="AQ1" s="678" t="s">
        <v>474</v>
      </c>
      <c r="AR1" s="678"/>
    </row>
    <row r="2" spans="3:44" ht="15.95" customHeight="1">
      <c r="AH2" s="683" t="str">
        <f ca="1">INCENSTATUS</f>
        <v>---</v>
      </c>
      <c r="AI2" s="684"/>
      <c r="AJ2" s="684"/>
      <c r="AK2" s="684"/>
      <c r="AL2" s="685" t="str">
        <f ca="1">PROJSTATUS</f>
        <v>Enter Measures</v>
      </c>
      <c r="AM2" s="685"/>
      <c r="AN2" s="685"/>
      <c r="AO2" s="685"/>
      <c r="AP2" s="685"/>
      <c r="AQ2" s="679">
        <f ca="1">PROGRESSSTATUS</f>
        <v>2.8985507246376812E-2</v>
      </c>
      <c r="AR2" s="680"/>
    </row>
    <row r="3" spans="3:44" ht="15.95" customHeight="1">
      <c r="AH3" s="675"/>
      <c r="AI3" s="676"/>
      <c r="AJ3" s="676"/>
      <c r="AK3" s="676"/>
      <c r="AL3" s="668"/>
      <c r="AM3" s="668"/>
      <c r="AN3" s="668"/>
      <c r="AO3" s="668"/>
      <c r="AP3" s="668"/>
      <c r="AQ3" s="662"/>
      <c r="AR3" s="663"/>
    </row>
    <row r="4" spans="3:44" ht="15.95" customHeight="1">
      <c r="AR4" s="171"/>
    </row>
    <row r="5" spans="3:44" ht="15.95" customHeight="1"/>
    <row r="6" spans="3:44" ht="15.95" customHeight="1"/>
    <row r="7" spans="3:44" ht="15.95" customHeight="1"/>
    <row r="8" spans="3:44" ht="15.95" customHeight="1"/>
    <row r="9" spans="3:44" ht="15.95" customHeight="1">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row>
    <row r="10" spans="3:44" ht="15.95" customHeight="1">
      <c r="C10" s="59"/>
      <c r="D10" s="59"/>
      <c r="E10" s="59"/>
      <c r="F10" s="686" t="s">
        <v>851</v>
      </c>
      <c r="G10" s="686"/>
      <c r="H10" s="686"/>
      <c r="I10" s="686"/>
      <c r="J10" s="686"/>
      <c r="K10" s="686"/>
      <c r="L10" s="686"/>
      <c r="M10" s="686"/>
      <c r="N10" s="686"/>
      <c r="O10" s="686"/>
      <c r="P10" s="686"/>
      <c r="Q10" s="686"/>
      <c r="R10" s="686"/>
      <c r="S10" s="686"/>
      <c r="T10" s="686"/>
      <c r="U10" s="686"/>
      <c r="V10" s="686"/>
      <c r="W10" s="686"/>
      <c r="X10" s="686"/>
      <c r="Y10" s="686"/>
      <c r="Z10" s="686"/>
      <c r="AA10" s="686"/>
      <c r="AB10" s="686"/>
      <c r="AC10" s="686"/>
      <c r="AD10" s="686"/>
      <c r="AE10" s="686"/>
      <c r="AF10" s="686"/>
      <c r="AG10" s="686"/>
      <c r="AH10" s="686"/>
      <c r="AI10" s="686"/>
      <c r="AJ10" s="686"/>
      <c r="AK10" s="686"/>
      <c r="AL10" s="686"/>
      <c r="AM10" s="686"/>
      <c r="AN10" s="686"/>
      <c r="AO10" s="59"/>
      <c r="AP10" s="59"/>
      <c r="AQ10" s="59"/>
    </row>
    <row r="11" spans="3:44" ht="15.95" customHeight="1">
      <c r="C11" s="59"/>
      <c r="D11" s="59"/>
      <c r="E11" s="59"/>
      <c r="F11" s="788" t="s">
        <v>904</v>
      </c>
      <c r="G11" s="788"/>
      <c r="H11" s="788"/>
      <c r="I11" s="788"/>
      <c r="J11" s="788"/>
      <c r="K11" s="788"/>
      <c r="L11" s="788"/>
      <c r="M11" s="788"/>
      <c r="N11" s="788"/>
      <c r="O11" s="788"/>
      <c r="P11" s="788"/>
      <c r="Q11" s="788"/>
      <c r="R11" s="788"/>
      <c r="S11" s="788"/>
      <c r="T11" s="788"/>
      <c r="U11" s="788"/>
      <c r="V11" s="788"/>
      <c r="W11" s="788"/>
      <c r="X11" s="788"/>
      <c r="Y11" s="788"/>
      <c r="Z11" s="788"/>
      <c r="AA11" s="788"/>
      <c r="AB11" s="788"/>
      <c r="AC11" s="788"/>
      <c r="AD11" s="788"/>
      <c r="AE11" s="788"/>
      <c r="AF11" s="788"/>
      <c r="AG11" s="788"/>
      <c r="AH11" s="788"/>
      <c r="AI11" s="788"/>
      <c r="AJ11" s="788"/>
      <c r="AK11" s="788"/>
      <c r="AL11" s="788"/>
      <c r="AM11" s="788"/>
      <c r="AN11" s="788"/>
      <c r="AO11" s="59"/>
      <c r="AP11" s="59"/>
      <c r="AQ11" s="59"/>
    </row>
    <row r="12" spans="3:44" ht="15.95" customHeight="1">
      <c r="C12" s="59"/>
      <c r="D12" s="59"/>
      <c r="E12" s="59"/>
      <c r="F12" s="788"/>
      <c r="G12" s="788"/>
      <c r="H12" s="788"/>
      <c r="I12" s="788"/>
      <c r="J12" s="788"/>
      <c r="K12" s="788"/>
      <c r="L12" s="788"/>
      <c r="M12" s="788"/>
      <c r="N12" s="788"/>
      <c r="O12" s="788"/>
      <c r="P12" s="788"/>
      <c r="Q12" s="788"/>
      <c r="R12" s="788"/>
      <c r="S12" s="788"/>
      <c r="T12" s="788"/>
      <c r="U12" s="788"/>
      <c r="V12" s="788"/>
      <c r="W12" s="788"/>
      <c r="X12" s="788"/>
      <c r="Y12" s="788"/>
      <c r="Z12" s="788"/>
      <c r="AA12" s="788"/>
      <c r="AB12" s="788"/>
      <c r="AC12" s="788"/>
      <c r="AD12" s="788"/>
      <c r="AE12" s="788"/>
      <c r="AF12" s="788"/>
      <c r="AG12" s="788"/>
      <c r="AH12" s="788"/>
      <c r="AI12" s="788"/>
      <c r="AJ12" s="788"/>
      <c r="AK12" s="788"/>
      <c r="AL12" s="788"/>
      <c r="AM12" s="788"/>
      <c r="AN12" s="788"/>
      <c r="AO12" s="59"/>
      <c r="AP12" s="59"/>
      <c r="AQ12" s="59"/>
    </row>
    <row r="13" spans="3:44" ht="15.95" customHeight="1" thickBot="1">
      <c r="C13" s="59" t="s">
        <v>903</v>
      </c>
      <c r="D13" s="59"/>
      <c r="E13" s="59"/>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59"/>
      <c r="AP13" s="59"/>
      <c r="AQ13" s="59"/>
    </row>
    <row r="14" spans="3:44" ht="15.95" customHeight="1" thickBot="1">
      <c r="C14" s="755"/>
      <c r="D14" s="786"/>
      <c r="E14" s="786"/>
      <c r="F14" s="786"/>
      <c r="G14" s="786"/>
      <c r="H14" s="756"/>
      <c r="I14" s="59"/>
      <c r="P14" s="59"/>
      <c r="Q14" s="787"/>
      <c r="R14" s="787"/>
      <c r="S14" s="787"/>
      <c r="T14" s="787"/>
      <c r="U14" s="787"/>
      <c r="V14" s="787"/>
      <c r="W14" s="59"/>
      <c r="X14" s="787"/>
      <c r="Y14" s="787"/>
      <c r="Z14" s="787"/>
      <c r="AA14" s="787"/>
      <c r="AB14" s="787"/>
      <c r="AC14" s="787"/>
      <c r="AD14" s="59"/>
      <c r="AE14" s="787"/>
      <c r="AF14" s="787"/>
      <c r="AG14" s="787"/>
      <c r="AH14" s="787"/>
      <c r="AI14" s="787"/>
      <c r="AJ14" s="787"/>
      <c r="AK14" s="59"/>
      <c r="AL14" s="787"/>
      <c r="AM14" s="787"/>
      <c r="AN14" s="787"/>
      <c r="AO14" s="787"/>
      <c r="AP14" s="787"/>
      <c r="AQ14" s="787"/>
    </row>
    <row r="15" spans="3:44" ht="15.95" customHeight="1">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row>
    <row r="16" spans="3:44" ht="15.95" customHeight="1" thickBot="1">
      <c r="C16" s="719" t="s">
        <v>905</v>
      </c>
      <c r="D16" s="719"/>
      <c r="E16" s="719"/>
      <c r="F16" s="719"/>
      <c r="G16" s="719"/>
      <c r="H16" s="719"/>
      <c r="I16" s="61"/>
      <c r="J16" s="719" t="s">
        <v>740</v>
      </c>
      <c r="K16" s="719"/>
      <c r="L16" s="719"/>
      <c r="M16" s="719"/>
      <c r="N16" s="719"/>
      <c r="O16" s="719"/>
      <c r="P16" s="61"/>
      <c r="Q16" s="719" t="s">
        <v>741</v>
      </c>
      <c r="R16" s="719"/>
      <c r="S16" s="719"/>
      <c r="T16" s="719"/>
      <c r="U16" s="719"/>
      <c r="V16" s="719"/>
      <c r="W16" s="61"/>
      <c r="X16" s="719" t="s">
        <v>742</v>
      </c>
      <c r="Y16" s="719"/>
      <c r="Z16" s="719"/>
      <c r="AA16" s="719"/>
      <c r="AB16" s="719"/>
      <c r="AC16" s="719"/>
      <c r="AD16" s="61"/>
      <c r="AE16" s="719" t="s">
        <v>743</v>
      </c>
      <c r="AF16" s="719"/>
      <c r="AG16" s="719"/>
      <c r="AH16" s="719"/>
      <c r="AI16" s="719"/>
      <c r="AJ16" s="719"/>
      <c r="AK16" s="61"/>
      <c r="AL16" s="719" t="s">
        <v>80</v>
      </c>
      <c r="AM16" s="719"/>
      <c r="AN16" s="719"/>
      <c r="AO16" s="719"/>
      <c r="AP16" s="719"/>
      <c r="AQ16" s="719"/>
    </row>
    <row r="17" spans="3:43" ht="15.95" customHeight="1" thickBot="1">
      <c r="C17" s="721"/>
      <c r="D17" s="722"/>
      <c r="E17" s="722"/>
      <c r="F17" s="722"/>
      <c r="G17" s="722"/>
      <c r="H17" s="723"/>
      <c r="I17" s="61"/>
      <c r="J17" s="721"/>
      <c r="K17" s="722"/>
      <c r="L17" s="722"/>
      <c r="M17" s="722"/>
      <c r="N17" s="722"/>
      <c r="O17" s="723"/>
      <c r="P17" s="61"/>
      <c r="Q17" s="721"/>
      <c r="R17" s="722"/>
      <c r="S17" s="722"/>
      <c r="T17" s="722"/>
      <c r="U17" s="722"/>
      <c r="V17" s="723"/>
      <c r="W17" s="61"/>
      <c r="X17" s="721"/>
      <c r="Y17" s="722"/>
      <c r="Z17" s="722"/>
      <c r="AA17" s="722"/>
      <c r="AB17" s="722"/>
      <c r="AC17" s="723"/>
      <c r="AD17" s="61"/>
      <c r="AE17" s="732"/>
      <c r="AF17" s="733"/>
      <c r="AG17" s="733"/>
      <c r="AH17" s="733"/>
      <c r="AI17" s="733"/>
      <c r="AJ17" s="734"/>
      <c r="AK17" s="61"/>
      <c r="AL17" s="732"/>
      <c r="AM17" s="733"/>
      <c r="AN17" s="733"/>
      <c r="AO17" s="733"/>
      <c r="AP17" s="733"/>
      <c r="AQ17" s="734"/>
    </row>
    <row r="18" spans="3:43" ht="15.95" customHeight="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row>
    <row r="19" spans="3:43" ht="15.95" customHeight="1" thickBot="1">
      <c r="C19" s="719" t="s">
        <v>744</v>
      </c>
      <c r="D19" s="719"/>
      <c r="E19" s="719"/>
      <c r="F19" s="719"/>
      <c r="G19" s="719"/>
      <c r="H19" s="719"/>
      <c r="I19" s="61"/>
      <c r="J19" s="719" t="s">
        <v>759</v>
      </c>
      <c r="K19" s="719"/>
      <c r="L19" s="719"/>
      <c r="M19" s="719"/>
      <c r="N19" s="719"/>
      <c r="O19" s="719"/>
      <c r="P19" s="61"/>
      <c r="Q19" s="719" t="s">
        <v>746</v>
      </c>
      <c r="R19" s="719"/>
      <c r="S19" s="719"/>
      <c r="T19" s="719"/>
      <c r="U19" s="719"/>
      <c r="V19" s="719"/>
      <c r="W19" s="61"/>
      <c r="X19" s="719" t="s">
        <v>747</v>
      </c>
      <c r="Y19" s="719"/>
      <c r="Z19" s="719"/>
      <c r="AA19" s="719"/>
      <c r="AB19" s="719"/>
      <c r="AC19" s="719"/>
      <c r="AD19" s="61"/>
      <c r="AE19" s="719" t="s">
        <v>748</v>
      </c>
      <c r="AF19" s="719"/>
      <c r="AG19" s="719"/>
      <c r="AH19" s="719"/>
      <c r="AI19" s="719"/>
      <c r="AJ19" s="719"/>
      <c r="AK19" s="61"/>
      <c r="AL19" s="719"/>
      <c r="AM19" s="719"/>
      <c r="AN19" s="719"/>
      <c r="AO19" s="719"/>
      <c r="AP19" s="719"/>
      <c r="AQ19" s="719"/>
    </row>
    <row r="20" spans="3:43" ht="15.95" customHeight="1" thickBot="1">
      <c r="C20" s="784"/>
      <c r="D20" s="722"/>
      <c r="E20" s="722"/>
      <c r="F20" s="722"/>
      <c r="G20" s="722"/>
      <c r="H20" s="723"/>
      <c r="I20" s="61"/>
      <c r="J20" s="721"/>
      <c r="K20" s="722"/>
      <c r="L20" s="722"/>
      <c r="M20" s="722"/>
      <c r="N20" s="722"/>
      <c r="O20" s="723"/>
      <c r="P20" s="61"/>
      <c r="Q20" s="721"/>
      <c r="R20" s="722"/>
      <c r="S20" s="722"/>
      <c r="T20" s="722"/>
      <c r="U20" s="722"/>
      <c r="V20" s="723"/>
      <c r="W20" s="61"/>
      <c r="X20" s="721"/>
      <c r="Y20" s="722"/>
      <c r="Z20" s="722"/>
      <c r="AA20" s="722"/>
      <c r="AB20" s="722"/>
      <c r="AC20" s="723"/>
      <c r="AD20" s="61"/>
      <c r="AE20" s="757"/>
      <c r="AF20" s="758"/>
      <c r="AG20" s="758"/>
      <c r="AH20" s="758"/>
      <c r="AI20" s="758"/>
      <c r="AJ20" s="759"/>
      <c r="AK20" s="61"/>
      <c r="AL20" s="719"/>
      <c r="AM20" s="719"/>
      <c r="AN20" s="719"/>
      <c r="AO20" s="719"/>
      <c r="AP20" s="719"/>
      <c r="AQ20" s="719"/>
    </row>
    <row r="21" spans="3:43" ht="15.95" customHeight="1">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row>
    <row r="22" spans="3:43" ht="15.95" customHeight="1">
      <c r="C22" s="59"/>
      <c r="D22" s="59"/>
      <c r="E22" s="59"/>
      <c r="F22" s="742" t="s">
        <v>2091</v>
      </c>
      <c r="G22" s="742"/>
      <c r="H22" s="742"/>
      <c r="I22" s="742"/>
      <c r="J22" s="742"/>
      <c r="K22" s="742"/>
      <c r="L22" s="742"/>
      <c r="M22" s="742"/>
      <c r="N22" s="742"/>
      <c r="O22" s="742"/>
      <c r="P22" s="742"/>
      <c r="Q22" s="742"/>
      <c r="R22" s="742"/>
      <c r="S22" s="742"/>
      <c r="T22" s="742"/>
      <c r="U22" s="742"/>
      <c r="V22" s="742"/>
      <c r="W22" s="742"/>
      <c r="X22" s="742"/>
      <c r="Y22" s="742"/>
      <c r="Z22" s="742"/>
      <c r="AA22" s="742"/>
      <c r="AB22" s="742"/>
      <c r="AC22" s="742"/>
      <c r="AD22" s="742"/>
      <c r="AE22" s="742"/>
      <c r="AF22" s="742"/>
      <c r="AG22" s="742"/>
      <c r="AH22" s="742"/>
      <c r="AI22" s="742"/>
      <c r="AJ22" s="742"/>
      <c r="AK22" s="742"/>
      <c r="AL22" s="742"/>
      <c r="AM22" s="742"/>
      <c r="AN22" s="742"/>
      <c r="AO22" s="59"/>
      <c r="AP22" s="59"/>
      <c r="AQ22" s="59"/>
    </row>
    <row r="23" spans="3:43" ht="15.95" customHeight="1">
      <c r="C23" s="59"/>
      <c r="D23" s="59"/>
      <c r="E23" s="59"/>
      <c r="F23" s="754" t="s">
        <v>2084</v>
      </c>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4"/>
      <c r="AG23" s="754"/>
      <c r="AH23" s="754"/>
      <c r="AI23" s="754"/>
      <c r="AJ23" s="754"/>
      <c r="AK23" s="754"/>
      <c r="AL23" s="754"/>
      <c r="AM23" s="754"/>
      <c r="AN23" s="754"/>
      <c r="AO23" s="59"/>
      <c r="AP23" s="59"/>
      <c r="AQ23" s="59"/>
    </row>
    <row r="24" spans="3:43" ht="15.95" customHeight="1">
      <c r="C24" s="89"/>
      <c r="D24" s="61"/>
      <c r="E24" s="61"/>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61"/>
      <c r="AP24" s="61"/>
      <c r="AQ24" s="61"/>
    </row>
    <row r="25" spans="3:43" ht="15.95" customHeight="1" thickBot="1">
      <c r="C25" s="719" t="s">
        <v>2085</v>
      </c>
      <c r="D25" s="719"/>
      <c r="E25" s="719"/>
      <c r="F25" s="719"/>
      <c r="G25" s="719"/>
      <c r="H25" s="719"/>
      <c r="I25" s="167"/>
      <c r="P25" s="167"/>
      <c r="Q25" s="719" t="s">
        <v>2099</v>
      </c>
      <c r="R25" s="719"/>
      <c r="S25" s="719"/>
      <c r="T25" s="719"/>
      <c r="U25" s="719"/>
      <c r="V25" s="719"/>
      <c r="W25" s="167"/>
      <c r="X25" s="719" t="s">
        <v>2100</v>
      </c>
      <c r="Y25" s="719"/>
      <c r="Z25" s="719"/>
      <c r="AA25" s="719"/>
      <c r="AB25" s="719"/>
      <c r="AC25" s="719"/>
      <c r="AD25" s="167"/>
      <c r="AE25" s="719" t="s">
        <v>2101</v>
      </c>
      <c r="AF25" s="719"/>
      <c r="AG25" s="719"/>
      <c r="AH25" s="719"/>
      <c r="AI25" s="719"/>
      <c r="AJ25" s="719"/>
      <c r="AK25" s="167"/>
      <c r="AL25" s="719" t="s">
        <v>2102</v>
      </c>
      <c r="AM25" s="719"/>
      <c r="AN25" s="719"/>
      <c r="AO25" s="719"/>
      <c r="AP25" s="719"/>
      <c r="AQ25" s="719"/>
    </row>
    <row r="26" spans="3:43" ht="15.95" customHeight="1" thickBot="1">
      <c r="C26" s="745"/>
      <c r="D26" s="746"/>
      <c r="E26" s="746"/>
      <c r="F26" s="746"/>
      <c r="G26" s="746"/>
      <c r="H26" s="746"/>
      <c r="I26" s="746"/>
      <c r="J26" s="746"/>
      <c r="K26" s="746"/>
      <c r="L26" s="746"/>
      <c r="M26" s="746"/>
      <c r="N26" s="746"/>
      <c r="O26" s="747"/>
      <c r="P26" s="167"/>
      <c r="Q26" s="721"/>
      <c r="R26" s="722"/>
      <c r="S26" s="722"/>
      <c r="T26" s="722"/>
      <c r="U26" s="722"/>
      <c r="V26" s="723"/>
      <c r="W26" s="167"/>
      <c r="X26" s="748"/>
      <c r="Y26" s="749"/>
      <c r="Z26" s="749"/>
      <c r="AA26" s="749"/>
      <c r="AB26" s="749"/>
      <c r="AC26" s="750"/>
      <c r="AD26" s="167"/>
      <c r="AE26" s="751"/>
      <c r="AF26" s="752"/>
      <c r="AG26" s="752"/>
      <c r="AH26" s="752"/>
      <c r="AI26" s="752"/>
      <c r="AJ26" s="753"/>
      <c r="AK26" s="167"/>
      <c r="AL26" s="751"/>
      <c r="AM26" s="752"/>
      <c r="AN26" s="752"/>
      <c r="AO26" s="752"/>
      <c r="AP26" s="752"/>
      <c r="AQ26" s="753"/>
    </row>
    <row r="27" spans="3:43" ht="15.95" customHeight="1"/>
    <row r="28" spans="3:43" ht="15.95" customHeight="1"/>
    <row r="29" spans="3:43" ht="15.95" customHeight="1"/>
    <row r="30" spans="3:43" ht="15.95" customHeight="1"/>
    <row r="31" spans="3:43" ht="15.95" customHeight="1"/>
    <row r="32" spans="3:43" ht="15.95" customHeight="1"/>
    <row r="33" ht="15.95" customHeight="1"/>
    <row r="34" ht="15.95" customHeight="1"/>
    <row r="35" ht="15.95" hidden="1" customHeight="1"/>
    <row r="36" ht="15.95" hidden="1" customHeight="1"/>
    <row r="37" ht="15.95" hidden="1" customHeight="1"/>
    <row r="38" ht="15.95" hidden="1" customHeight="1"/>
    <row r="39" ht="15.95" hidden="1" customHeight="1"/>
    <row r="40" ht="15.95" hidden="1" customHeight="1"/>
    <row r="41" ht="15.95" hidden="1" customHeight="1"/>
    <row r="42" ht="15.95" hidden="1" customHeight="1"/>
    <row r="43" ht="15.95" hidden="1" customHeight="1"/>
    <row r="44" ht="15.95" hidden="1" customHeight="1"/>
    <row r="45" ht="15.95" hidden="1" customHeight="1"/>
    <row r="46" ht="15.95" hidden="1" customHeight="1"/>
    <row r="47" ht="15.95" hidden="1" customHeight="1"/>
    <row r="48"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56" t="str">
        <f>FOOT4</f>
        <v>NIPSCO’s energy efficiency programs are administered by TRC, a third‐party implementation specialist that helps homes and businesses save energy.</v>
      </c>
      <c r="N200" s="656"/>
      <c r="O200" s="656"/>
      <c r="P200" s="656"/>
      <c r="Q200" s="656"/>
      <c r="R200" s="656"/>
      <c r="S200" s="656"/>
      <c r="T200" s="656"/>
      <c r="U200" s="656"/>
      <c r="V200" s="656"/>
      <c r="W200" s="656"/>
      <c r="X200" s="656"/>
      <c r="Y200" s="656"/>
      <c r="Z200" s="656"/>
      <c r="AA200" s="656"/>
      <c r="AB200" s="656"/>
      <c r="AC200" s="656"/>
      <c r="AD200" s="656"/>
      <c r="AE200" s="656"/>
      <c r="AF200" s="656"/>
      <c r="AG200" s="656"/>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272"/>
      <c r="AI201" s="272"/>
      <c r="AJ201" s="272"/>
      <c r="AK201" s="272"/>
      <c r="AL201" s="272"/>
      <c r="AM201" s="272"/>
      <c r="AN201" s="272"/>
      <c r="AO201" s="272"/>
      <c r="AP201" s="272"/>
      <c r="AQ201" s="272"/>
      <c r="AR201" s="273" t="str">
        <f>FOOT5</f>
        <v/>
      </c>
    </row>
    <row r="202" spans="2:44" ht="15.95" customHeight="1">
      <c r="B202" s="281" t="s">
        <v>1551</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v3.7.0</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3EhbPvIC/3tXrXSmwaritUcY2sJxyPIsWeFLA5cDob74OUPUIvLBaRpqdGqMphDZq3DVl+5OO/uYt2mkYGtF2w==" saltValue="CXIMy0Mn2vBAeG173AvFjw==" spinCount="100000" sheet="1" objects="1" scenarios="1" selectLockedCells="1"/>
  <mergeCells count="50">
    <mergeCell ref="M200:AG201"/>
    <mergeCell ref="AL20:AQ20"/>
    <mergeCell ref="AL19:AQ19"/>
    <mergeCell ref="C20:H20"/>
    <mergeCell ref="J20:O20"/>
    <mergeCell ref="Q20:V20"/>
    <mergeCell ref="X20:AC20"/>
    <mergeCell ref="AE20:AJ20"/>
    <mergeCell ref="C19:H19"/>
    <mergeCell ref="J19:O19"/>
    <mergeCell ref="Q19:V19"/>
    <mergeCell ref="X19:AC19"/>
    <mergeCell ref="AE19:AJ19"/>
    <mergeCell ref="F22:AN22"/>
    <mergeCell ref="F23:AN23"/>
    <mergeCell ref="C25:H25"/>
    <mergeCell ref="AL17:AQ17"/>
    <mergeCell ref="C16:H16"/>
    <mergeCell ref="J16:O16"/>
    <mergeCell ref="Q16:V16"/>
    <mergeCell ref="X16:AC16"/>
    <mergeCell ref="AE16:AJ16"/>
    <mergeCell ref="AL16:AQ16"/>
    <mergeCell ref="C17:H17"/>
    <mergeCell ref="J17:O17"/>
    <mergeCell ref="Q17:V17"/>
    <mergeCell ref="X17:AC17"/>
    <mergeCell ref="AE17:AJ17"/>
    <mergeCell ref="F10:AN10"/>
    <mergeCell ref="C14:H14"/>
    <mergeCell ref="Q14:V14"/>
    <mergeCell ref="X14:AC14"/>
    <mergeCell ref="AE14:AJ14"/>
    <mergeCell ref="AL14:AQ14"/>
    <mergeCell ref="F11:AN12"/>
    <mergeCell ref="AQ1:AR1"/>
    <mergeCell ref="AQ2:AR3"/>
    <mergeCell ref="AH1:AK1"/>
    <mergeCell ref="AL1:AP1"/>
    <mergeCell ref="AH2:AK3"/>
    <mergeCell ref="AL2:AP3"/>
    <mergeCell ref="Q25:V25"/>
    <mergeCell ref="X25:AC25"/>
    <mergeCell ref="AE25:AJ25"/>
    <mergeCell ref="AL25:AQ25"/>
    <mergeCell ref="C26:O26"/>
    <mergeCell ref="Q26:V26"/>
    <mergeCell ref="X26:AC26"/>
    <mergeCell ref="AE26:AJ26"/>
    <mergeCell ref="AL26:AQ26"/>
  </mergeCells>
  <conditionalFormatting sqref="C14 C17 J17 Q17 X17 AE17 AL17 C20 J20 Q20 X20 AE20">
    <cfRule type="expression" dxfId="243" priority="89">
      <formula>M02S03F01="No"</formula>
    </cfRule>
  </conditionalFormatting>
  <conditionalFormatting sqref="C26">
    <cfRule type="expression" dxfId="242" priority="1">
      <formula>M02S02F11.1="Not Applicable"</formula>
    </cfRule>
  </conditionalFormatting>
  <conditionalFormatting sqref="Q26:V26 X26:AC26 AE26:AJ26 AL26:AQ26">
    <cfRule type="expression" dxfId="241" priority="2">
      <formula>M02S02F11.1="Not Applicable"</formula>
    </cfRule>
  </conditionalFormatting>
  <conditionalFormatting sqref="AH2 AL2">
    <cfRule type="expression" dxfId="240" priority="5">
      <formula>PROJSTATUS=PROJSTATELI</formula>
    </cfRule>
    <cfRule type="expression" dxfId="239" priority="6">
      <formula>PROJSTATUS=PROJSTATREVIEW</formula>
    </cfRule>
    <cfRule type="expression" dxfId="238" priority="10">
      <formula>PROJSTATUS=PROJSTATPREAPPROVE</formula>
    </cfRule>
    <cfRule type="expression" dxfId="237" priority="11">
      <formula>PROJSTATUS=PROJSTATSTANDARD</formula>
    </cfRule>
    <cfRule type="expression" dxfId="236" priority="12">
      <formula>PROJSTATUS=PROJSTATEXP</formula>
    </cfRule>
  </conditionalFormatting>
  <conditionalFormatting sqref="AQ2:AR3">
    <cfRule type="cellIs" dxfId="235" priority="7" operator="equal">
      <formula>1</formula>
    </cfRule>
    <cfRule type="cellIs" dxfId="234" priority="8" operator="between">
      <formula>0.51</formula>
      <formula>0.99</formula>
    </cfRule>
    <cfRule type="cellIs" dxfId="233" priority="9" operator="lessThanOrEqual">
      <formula>0.5</formula>
    </cfRule>
  </conditionalFormatting>
  <dataValidations count="9">
    <dataValidation type="list" allowBlank="1" showInputMessage="1" showErrorMessage="1" sqref="C14:H14" xr:uid="{00000000-0002-0000-1100-000000000000}">
      <formula1>"Yes,No"</formula1>
    </dataValidation>
    <dataValidation type="list" allowBlank="1" showInputMessage="1" showErrorMessage="1" sqref="X20:AC20" xr:uid="{00000000-0002-0000-1100-000001000000}">
      <formula1>STATESABBREV</formula1>
    </dataValidation>
    <dataValidation type="custom" allowBlank="1" showInputMessage="1" showErrorMessage="1" sqref="C20:H20" xr:uid="{00000000-0002-0000-1100-000002000000}">
      <formula1>AND(FIND(".",C20),FIND("@",C20))</formula1>
    </dataValidation>
    <dataValidation type="textLength" allowBlank="1" showInputMessage="1" showErrorMessage="1" error="Please enter a valid phone number." sqref="AE17:AJ17 AL17:AQ17" xr:uid="{00000000-0002-0000-1100-000003000000}">
      <formula1>7</formula1>
      <formula2>15</formula2>
    </dataValidation>
    <dataValidation type="custom" allowBlank="1" showInputMessage="1" showErrorMessage="1" error="Please enter a valid email address." sqref="C24:E24" xr:uid="{0DA3DDB6-F9B3-47BD-84A4-B136785C8BA4}">
      <formula1>AND(FIND(".",C24),FIND("@",C24))</formula1>
    </dataValidation>
    <dataValidation type="date" operator="lessThanOrEqual" allowBlank="1" showInputMessage="1" showErrorMessage="1" sqref="AL26:AQ26" xr:uid="{F0EDD7D8-25E3-40F1-AFE6-185CA8B7A94D}">
      <formula1>73051</formula1>
    </dataValidation>
    <dataValidation type="date" operator="greaterThan" allowBlank="1" showInputMessage="1" showErrorMessage="1" sqref="AE26:AJ26" xr:uid="{4DA25785-8F81-4133-8575-5BBDD1068D55}">
      <formula1>36526</formula1>
    </dataValidation>
    <dataValidation type="list" allowBlank="1" showInputMessage="1" showErrorMessage="1" sqref="Q26:V26" xr:uid="{1A4AE1D6-4CC6-441D-AF5A-E1F0DCE47DBC}">
      <formula1>DIVERSITYORG</formula1>
    </dataValidation>
    <dataValidation type="list" allowBlank="1" showInputMessage="1" showErrorMessage="1" sqref="C26" xr:uid="{2223A8CB-80EA-46EE-B07E-1547032B64D8}">
      <formula1>DIVERSITYBUSTYPE</formula1>
    </dataValidation>
  </dataValidations>
  <hyperlinks>
    <hyperlink ref="B202" r:id="rId1" xr:uid="{2F29D789-ADC1-42CE-B773-C6312C02EEA0}"/>
  </hyperlinks>
  <pageMargins left="0.25" right="0.25" top="0.25" bottom="0.25" header="0.25" footer="0.25"/>
  <pageSetup scale="62" fitToHeight="0" orientation="landscape" r:id="rId2"/>
  <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S202"/>
  <sheetViews>
    <sheetView showGridLines="0" showRowColHeaders="0" showZeros="0" zoomScale="85" zoomScaleNormal="85" workbookViewId="0">
      <selection activeCell="J13" sqref="J13:O13"/>
    </sheetView>
  </sheetViews>
  <sheetFormatPr defaultColWidth="0" defaultRowHeight="15" customHeight="1" zeroHeight="1"/>
  <cols>
    <col min="1" max="45" width="4.7109375" customWidth="1"/>
    <col min="46" max="78" width="9.140625" hidden="1" customWidth="1"/>
    <col min="79" max="16384" width="9.140625" hidden="1"/>
  </cols>
  <sheetData>
    <row r="1" spans="3:44" ht="15.95" customHeight="1">
      <c r="AH1" s="681" t="s">
        <v>471</v>
      </c>
      <c r="AI1" s="681"/>
      <c r="AJ1" s="681"/>
      <c r="AK1" s="681"/>
      <c r="AL1" s="682" t="s">
        <v>736</v>
      </c>
      <c r="AM1" s="682"/>
      <c r="AN1" s="682"/>
      <c r="AO1" s="682"/>
      <c r="AP1" s="682"/>
      <c r="AQ1" s="678" t="s">
        <v>474</v>
      </c>
      <c r="AR1" s="678"/>
    </row>
    <row r="2" spans="3:44" ht="15.95" customHeight="1">
      <c r="AH2" s="683" t="str">
        <f ca="1">INCENSTATUS</f>
        <v>---</v>
      </c>
      <c r="AI2" s="684"/>
      <c r="AJ2" s="684"/>
      <c r="AK2" s="684"/>
      <c r="AL2" s="685" t="str">
        <f ca="1">PROJSTATUS</f>
        <v>Enter Measures</v>
      </c>
      <c r="AM2" s="685"/>
      <c r="AN2" s="685"/>
      <c r="AO2" s="685"/>
      <c r="AP2" s="685"/>
      <c r="AQ2" s="789" t="str">
        <f ca="1">TEXT(PROGRESSSTATUS,"0%")</f>
        <v>3%</v>
      </c>
      <c r="AR2" s="790"/>
    </row>
    <row r="3" spans="3:44" ht="15.95" customHeight="1">
      <c r="AH3" s="675"/>
      <c r="AI3" s="676"/>
      <c r="AJ3" s="676"/>
      <c r="AK3" s="676"/>
      <c r="AL3" s="668"/>
      <c r="AM3" s="668"/>
      <c r="AN3" s="668"/>
      <c r="AO3" s="668"/>
      <c r="AP3" s="668"/>
      <c r="AQ3" s="791"/>
      <c r="AR3" s="792"/>
    </row>
    <row r="4" spans="3:44" ht="15.95" customHeight="1">
      <c r="AR4" s="171"/>
    </row>
    <row r="5" spans="3:44" ht="15.95" customHeight="1"/>
    <row r="6" spans="3:44" ht="15.95" customHeight="1"/>
    <row r="7" spans="3:44" ht="15.95" customHeight="1"/>
    <row r="8" spans="3:44" ht="15.95" customHeight="1"/>
    <row r="9" spans="3:44" ht="15.95" customHeight="1">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row>
    <row r="10" spans="3:44" ht="15.95" customHeight="1">
      <c r="C10" s="59"/>
      <c r="D10" s="59"/>
      <c r="E10" s="59"/>
      <c r="F10" s="686" t="s">
        <v>509</v>
      </c>
      <c r="G10" s="686"/>
      <c r="H10" s="686"/>
      <c r="I10" s="686"/>
      <c r="J10" s="686"/>
      <c r="K10" s="686"/>
      <c r="L10" s="686"/>
      <c r="M10" s="686"/>
      <c r="N10" s="686"/>
      <c r="O10" s="686"/>
      <c r="P10" s="686"/>
      <c r="Q10" s="686"/>
      <c r="R10" s="686"/>
      <c r="S10" s="686"/>
      <c r="T10" s="686"/>
      <c r="U10" s="686"/>
      <c r="V10" s="686"/>
      <c r="W10" s="686"/>
      <c r="X10" s="686"/>
      <c r="Y10" s="686"/>
      <c r="Z10" s="686"/>
      <c r="AA10" s="686"/>
      <c r="AB10" s="686"/>
      <c r="AC10" s="686"/>
      <c r="AD10" s="686"/>
      <c r="AE10" s="686"/>
      <c r="AF10" s="686"/>
      <c r="AG10" s="686"/>
      <c r="AH10" s="686"/>
      <c r="AI10" s="686"/>
      <c r="AJ10" s="686"/>
      <c r="AK10" s="686"/>
      <c r="AL10" s="686"/>
      <c r="AM10" s="686"/>
      <c r="AN10" s="686"/>
      <c r="AO10" s="59"/>
      <c r="AP10" s="59"/>
      <c r="AQ10" s="59"/>
    </row>
    <row r="11" spans="3:44" ht="15.95" customHeight="1">
      <c r="C11" s="59"/>
      <c r="D11" s="59"/>
      <c r="E11" s="59"/>
      <c r="F11" s="793" t="s">
        <v>452</v>
      </c>
      <c r="G11" s="793"/>
      <c r="H11" s="793"/>
      <c r="I11" s="793"/>
      <c r="J11" s="793"/>
      <c r="K11" s="793"/>
      <c r="L11" s="793"/>
      <c r="M11" s="793"/>
      <c r="N11" s="793"/>
      <c r="O11" s="793"/>
      <c r="P11" s="793"/>
      <c r="Q11" s="793"/>
      <c r="R11" s="793"/>
      <c r="S11" s="793"/>
      <c r="T11" s="793"/>
      <c r="U11" s="793"/>
      <c r="V11" s="793"/>
      <c r="W11" s="793"/>
      <c r="X11" s="793"/>
      <c r="Y11" s="793"/>
      <c r="Z11" s="793"/>
      <c r="AA11" s="793"/>
      <c r="AB11" s="793"/>
      <c r="AC11" s="793"/>
      <c r="AD11" s="793"/>
      <c r="AE11" s="793"/>
      <c r="AF11" s="793"/>
      <c r="AG11" s="793"/>
      <c r="AH11" s="793"/>
      <c r="AI11" s="793"/>
      <c r="AJ11" s="793"/>
      <c r="AK11" s="793"/>
      <c r="AL11" s="793"/>
      <c r="AM11" s="793"/>
      <c r="AN11" s="793"/>
      <c r="AO11" s="59"/>
      <c r="AP11" s="59"/>
      <c r="AQ11" s="59"/>
    </row>
    <row r="12" spans="3:44" ht="15.95" customHeight="1" thickBot="1">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row>
    <row r="13" spans="3:44" ht="15.95" customHeight="1" thickBot="1">
      <c r="C13" s="719" t="s">
        <v>890</v>
      </c>
      <c r="D13" s="719"/>
      <c r="E13" s="719"/>
      <c r="F13" s="719"/>
      <c r="G13" s="719"/>
      <c r="H13" s="719"/>
      <c r="I13" s="61"/>
      <c r="J13" s="721"/>
      <c r="K13" s="722"/>
      <c r="L13" s="722"/>
      <c r="M13" s="722"/>
      <c r="N13" s="722"/>
      <c r="O13" s="723"/>
      <c r="P13" s="61"/>
      <c r="Q13" s="719"/>
      <c r="R13" s="719"/>
      <c r="S13" s="719"/>
      <c r="T13" s="719"/>
      <c r="U13" s="719"/>
      <c r="V13" s="719"/>
      <c r="W13" s="61"/>
      <c r="X13" s="719"/>
      <c r="Y13" s="719"/>
      <c r="Z13" s="719"/>
      <c r="AA13" s="719"/>
      <c r="AB13" s="719"/>
      <c r="AC13" s="719"/>
      <c r="AD13" s="61"/>
      <c r="AE13" s="719"/>
      <c r="AF13" s="719"/>
      <c r="AG13" s="719"/>
      <c r="AH13" s="719"/>
      <c r="AI13" s="719"/>
      <c r="AJ13" s="719"/>
      <c r="AK13" s="61"/>
    </row>
    <row r="14" spans="3:44" ht="15.95" customHeight="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row>
    <row r="15" spans="3:44" ht="15.95" customHeight="1" thickBot="1">
      <c r="C15" s="719" t="s">
        <v>760</v>
      </c>
      <c r="D15" s="719"/>
      <c r="E15" s="719"/>
      <c r="F15" s="719"/>
      <c r="G15" s="719"/>
      <c r="H15" s="719"/>
      <c r="I15" s="61"/>
      <c r="J15" s="719" t="s">
        <v>761</v>
      </c>
      <c r="K15" s="719"/>
      <c r="L15" s="719"/>
      <c r="M15" s="719"/>
      <c r="N15" s="719"/>
      <c r="O15" s="719"/>
      <c r="P15" s="61"/>
      <c r="Q15" s="719" t="s">
        <v>762</v>
      </c>
      <c r="R15" s="719"/>
      <c r="S15" s="719"/>
      <c r="T15" s="719"/>
      <c r="U15" s="719"/>
      <c r="V15" s="719"/>
      <c r="W15" s="61"/>
      <c r="X15" s="719" t="s">
        <v>763</v>
      </c>
      <c r="Y15" s="719"/>
      <c r="Z15" s="719"/>
      <c r="AA15" s="719"/>
      <c r="AB15" s="719"/>
      <c r="AC15" s="719"/>
      <c r="AD15" s="61"/>
      <c r="AE15" s="719" t="s">
        <v>744</v>
      </c>
      <c r="AF15" s="719"/>
      <c r="AG15" s="719"/>
      <c r="AH15" s="719"/>
      <c r="AI15" s="719"/>
      <c r="AJ15" s="719"/>
      <c r="AK15" s="61"/>
    </row>
    <row r="16" spans="3:44" ht="15.95" customHeight="1" thickBot="1">
      <c r="C16" s="736" t="str">
        <f>IF(M02S04F01="","",INDEX(PAYMENT[Company],MATCH(M02S04F01,PAYMENT[Payment to],0)))</f>
        <v/>
      </c>
      <c r="D16" s="737"/>
      <c r="E16" s="737"/>
      <c r="F16" s="737"/>
      <c r="G16" s="737"/>
      <c r="H16" s="738"/>
      <c r="I16" s="61"/>
      <c r="J16" s="736" t="str">
        <f>IF(M02S04F01="","",INDEX(PAYMENT[First],MATCH(M02S04F01,PAYMENT[Payment to],0)))</f>
        <v/>
      </c>
      <c r="K16" s="737"/>
      <c r="L16" s="737"/>
      <c r="M16" s="737"/>
      <c r="N16" s="737"/>
      <c r="O16" s="738"/>
      <c r="P16" s="61"/>
      <c r="Q16" s="736" t="str">
        <f>IF(M02S04F01="","",INDEX(PAYMENT[Last],MATCH(M02S04F01,PAYMENT[Payment to],0)))</f>
        <v/>
      </c>
      <c r="R16" s="737"/>
      <c r="S16" s="737"/>
      <c r="T16" s="737"/>
      <c r="U16" s="737"/>
      <c r="V16" s="738"/>
      <c r="W16" s="61"/>
      <c r="X16" s="760" t="str">
        <f>IF(M02S04F01="","",INDEX(PAYMENT[Phone],MATCH(M02S04F01,PAYMENT[Payment to],0)))</f>
        <v/>
      </c>
      <c r="Y16" s="761"/>
      <c r="Z16" s="761"/>
      <c r="AA16" s="761"/>
      <c r="AB16" s="761"/>
      <c r="AC16" s="762"/>
      <c r="AD16" s="61"/>
      <c r="AE16" s="736" t="str">
        <f>IF(M02S04F01="","",INDEX(PAYMENT[Email],MATCH(M02S04F01,PAYMENT[Payment to],0)))</f>
        <v/>
      </c>
      <c r="AF16" s="737"/>
      <c r="AG16" s="737"/>
      <c r="AH16" s="737"/>
      <c r="AI16" s="737"/>
      <c r="AJ16" s="738"/>
      <c r="AK16" s="61"/>
    </row>
    <row r="17" spans="3:43" ht="15.95" customHeight="1">
      <c r="C17" s="61"/>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row>
    <row r="18" spans="3:43" ht="15.95" customHeight="1" thickBot="1">
      <c r="C18" s="719" t="s">
        <v>759</v>
      </c>
      <c r="D18" s="719"/>
      <c r="E18" s="719"/>
      <c r="F18" s="719"/>
      <c r="G18" s="719"/>
      <c r="H18" s="719"/>
      <c r="I18" s="61"/>
      <c r="J18" s="719" t="s">
        <v>746</v>
      </c>
      <c r="K18" s="719"/>
      <c r="L18" s="719"/>
      <c r="M18" s="719"/>
      <c r="N18" s="719"/>
      <c r="O18" s="719"/>
      <c r="P18" s="61"/>
      <c r="Q18" s="719" t="s">
        <v>747</v>
      </c>
      <c r="R18" s="719"/>
      <c r="S18" s="719"/>
      <c r="T18" s="719"/>
      <c r="U18" s="719"/>
      <c r="V18" s="719"/>
      <c r="W18" s="61"/>
      <c r="X18" s="719" t="s">
        <v>748</v>
      </c>
      <c r="Y18" s="719"/>
      <c r="Z18" s="719"/>
      <c r="AA18" s="719"/>
      <c r="AB18" s="719"/>
      <c r="AC18" s="719"/>
      <c r="AD18" s="61"/>
      <c r="AE18" s="719" t="s">
        <v>764</v>
      </c>
      <c r="AF18" s="719"/>
      <c r="AG18" s="719"/>
      <c r="AH18" s="719"/>
      <c r="AI18" s="719"/>
      <c r="AJ18" s="719"/>
      <c r="AK18" s="61"/>
      <c r="AL18" s="719" t="s">
        <v>765</v>
      </c>
      <c r="AM18" s="719"/>
      <c r="AN18" s="719"/>
      <c r="AO18" s="719"/>
      <c r="AP18" s="719"/>
      <c r="AQ18" s="719"/>
    </row>
    <row r="19" spans="3:43" ht="15.95" customHeight="1" thickBot="1">
      <c r="C19" s="736" t="str">
        <f>IF(M02S04F01="","",INDEX(PAYMENT[Address],MATCH(M02S04F01,PAYMENT[Payment to],0)))</f>
        <v/>
      </c>
      <c r="D19" s="737"/>
      <c r="E19" s="737"/>
      <c r="F19" s="737"/>
      <c r="G19" s="737"/>
      <c r="H19" s="738"/>
      <c r="I19" s="61"/>
      <c r="J19" s="736" t="str">
        <f>IF(M02S04F01="","",INDEX(PAYMENT[City],MATCH(M02S04F01,PAYMENT[Payment to],0)))</f>
        <v/>
      </c>
      <c r="K19" s="737"/>
      <c r="L19" s="737"/>
      <c r="M19" s="737"/>
      <c r="N19" s="737"/>
      <c r="O19" s="738"/>
      <c r="P19" s="61"/>
      <c r="Q19" s="736" t="str">
        <f>IF(M02S04F01="","",INDEX(PAYMENT[State],MATCH(M02S04F01,PAYMENT[Payment to],0)))</f>
        <v/>
      </c>
      <c r="R19" s="737"/>
      <c r="S19" s="737"/>
      <c r="T19" s="737"/>
      <c r="U19" s="737"/>
      <c r="V19" s="738"/>
      <c r="W19" s="61"/>
      <c r="X19" s="739" t="str">
        <f>IF(M02S04F01="","",INDEX(PAYMENT[Zip],MATCH(M02S04F01,PAYMENT[Payment to],0)))</f>
        <v/>
      </c>
      <c r="Y19" s="740"/>
      <c r="Z19" s="740"/>
      <c r="AA19" s="740"/>
      <c r="AB19" s="740"/>
      <c r="AC19" s="741"/>
      <c r="AD19" s="61"/>
      <c r="AE19" s="721"/>
      <c r="AF19" s="722"/>
      <c r="AG19" s="722"/>
      <c r="AH19" s="722"/>
      <c r="AI19" s="722"/>
      <c r="AJ19" s="723"/>
      <c r="AK19" s="61"/>
      <c r="AL19" s="63"/>
      <c r="AM19" s="91" t="s">
        <v>448</v>
      </c>
      <c r="AN19" s="749"/>
      <c r="AO19" s="749"/>
      <c r="AP19" s="749"/>
      <c r="AQ19" s="750"/>
    </row>
    <row r="20" spans="3:43" ht="15.95" customHeight="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row>
    <row r="21" spans="3:43" ht="15.95" customHeight="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row>
    <row r="22" spans="3:43" ht="15.95" customHeight="1">
      <c r="C22" s="59" t="s">
        <v>234</v>
      </c>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row>
    <row r="23" spans="3:43" ht="15.95" customHeight="1">
      <c r="C23" s="794" t="str">
        <f>IF(M02S04F01="","",INDEX(PAYMENT[Terms],MATCH(M02S04F01,PAYMENT[Payment to],0)))</f>
        <v/>
      </c>
      <c r="D23" s="795"/>
      <c r="E23" s="795"/>
      <c r="F23" s="795"/>
      <c r="G23" s="795"/>
      <c r="H23" s="795"/>
      <c r="I23" s="795"/>
      <c r="J23" s="795"/>
      <c r="K23" s="795"/>
      <c r="L23" s="795"/>
      <c r="M23" s="795"/>
      <c r="N23" s="795"/>
      <c r="O23" s="795"/>
      <c r="P23" s="795"/>
      <c r="Q23" s="795"/>
      <c r="R23" s="795"/>
      <c r="S23" s="795"/>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6"/>
    </row>
    <row r="24" spans="3:43" ht="15.95" customHeight="1">
      <c r="C24" s="797"/>
      <c r="D24" s="798"/>
      <c r="E24" s="798"/>
      <c r="F24" s="798"/>
      <c r="G24" s="798"/>
      <c r="H24" s="798"/>
      <c r="I24" s="798"/>
      <c r="J24" s="798"/>
      <c r="K24" s="798"/>
      <c r="L24" s="798"/>
      <c r="M24" s="798"/>
      <c r="N24" s="798"/>
      <c r="O24" s="798"/>
      <c r="P24" s="798"/>
      <c r="Q24" s="798"/>
      <c r="R24" s="798"/>
      <c r="S24" s="798"/>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9"/>
    </row>
    <row r="25" spans="3:43" ht="15.95" customHeight="1">
      <c r="C25" s="797"/>
      <c r="D25" s="798"/>
      <c r="E25" s="798"/>
      <c r="F25" s="798"/>
      <c r="G25" s="798"/>
      <c r="H25" s="798"/>
      <c r="I25" s="798"/>
      <c r="J25" s="798"/>
      <c r="K25" s="798"/>
      <c r="L25" s="798"/>
      <c r="M25" s="798"/>
      <c r="N25" s="798"/>
      <c r="O25" s="798"/>
      <c r="P25" s="798"/>
      <c r="Q25" s="798"/>
      <c r="R25" s="798"/>
      <c r="S25" s="798"/>
      <c r="T25" s="798"/>
      <c r="U25" s="798"/>
      <c r="V25" s="798"/>
      <c r="W25" s="798"/>
      <c r="X25" s="798"/>
      <c r="Y25" s="798"/>
      <c r="Z25" s="798"/>
      <c r="AA25" s="798"/>
      <c r="AB25" s="798"/>
      <c r="AC25" s="798"/>
      <c r="AD25" s="798"/>
      <c r="AE25" s="798"/>
      <c r="AF25" s="798"/>
      <c r="AG25" s="798"/>
      <c r="AH25" s="798"/>
      <c r="AI25" s="798"/>
      <c r="AJ25" s="798"/>
      <c r="AK25" s="798"/>
      <c r="AL25" s="798"/>
      <c r="AM25" s="798"/>
      <c r="AN25" s="798"/>
      <c r="AO25" s="798"/>
      <c r="AP25" s="798"/>
      <c r="AQ25" s="799"/>
    </row>
    <row r="26" spans="3:43" ht="15.95" customHeight="1">
      <c r="C26" s="797"/>
      <c r="D26" s="798"/>
      <c r="E26" s="798"/>
      <c r="F26" s="798"/>
      <c r="G26" s="798"/>
      <c r="H26" s="798"/>
      <c r="I26" s="798"/>
      <c r="J26" s="798"/>
      <c r="K26" s="798"/>
      <c r="L26" s="798"/>
      <c r="M26" s="798"/>
      <c r="N26" s="798"/>
      <c r="O26" s="798"/>
      <c r="P26" s="798"/>
      <c r="Q26" s="798"/>
      <c r="R26" s="798"/>
      <c r="S26" s="798"/>
      <c r="T26" s="798"/>
      <c r="U26" s="798"/>
      <c r="V26" s="798"/>
      <c r="W26" s="798"/>
      <c r="X26" s="798"/>
      <c r="Y26" s="798"/>
      <c r="Z26" s="798"/>
      <c r="AA26" s="798"/>
      <c r="AB26" s="798"/>
      <c r="AC26" s="798"/>
      <c r="AD26" s="798"/>
      <c r="AE26" s="798"/>
      <c r="AF26" s="798"/>
      <c r="AG26" s="798"/>
      <c r="AH26" s="798"/>
      <c r="AI26" s="798"/>
      <c r="AJ26" s="798"/>
      <c r="AK26" s="798"/>
      <c r="AL26" s="798"/>
      <c r="AM26" s="798"/>
      <c r="AN26" s="798"/>
      <c r="AO26" s="798"/>
      <c r="AP26" s="798"/>
      <c r="AQ26" s="799"/>
    </row>
    <row r="27" spans="3:43" ht="15.95" customHeight="1">
      <c r="C27" s="797"/>
      <c r="D27" s="798"/>
      <c r="E27" s="798"/>
      <c r="F27" s="798"/>
      <c r="G27" s="798"/>
      <c r="H27" s="798"/>
      <c r="I27" s="798"/>
      <c r="J27" s="798"/>
      <c r="K27" s="798"/>
      <c r="L27" s="798"/>
      <c r="M27" s="798"/>
      <c r="N27" s="798"/>
      <c r="O27" s="798"/>
      <c r="P27" s="798"/>
      <c r="Q27" s="798"/>
      <c r="R27" s="798"/>
      <c r="S27" s="798"/>
      <c r="T27" s="798"/>
      <c r="U27" s="798"/>
      <c r="V27" s="798"/>
      <c r="W27" s="798"/>
      <c r="X27" s="798"/>
      <c r="Y27" s="798"/>
      <c r="Z27" s="798"/>
      <c r="AA27" s="798"/>
      <c r="AB27" s="798"/>
      <c r="AC27" s="798"/>
      <c r="AD27" s="798"/>
      <c r="AE27" s="798"/>
      <c r="AF27" s="798"/>
      <c r="AG27" s="798"/>
      <c r="AH27" s="798"/>
      <c r="AI27" s="798"/>
      <c r="AJ27" s="798"/>
      <c r="AK27" s="798"/>
      <c r="AL27" s="798"/>
      <c r="AM27" s="798"/>
      <c r="AN27" s="798"/>
      <c r="AO27" s="798"/>
      <c r="AP27" s="798"/>
      <c r="AQ27" s="799"/>
    </row>
    <row r="28" spans="3:43" ht="15.95" customHeight="1">
      <c r="C28" s="797"/>
      <c r="D28" s="798"/>
      <c r="E28" s="798"/>
      <c r="F28" s="798"/>
      <c r="G28" s="798"/>
      <c r="H28" s="798"/>
      <c r="I28" s="798"/>
      <c r="J28" s="798"/>
      <c r="K28" s="798"/>
      <c r="L28" s="798"/>
      <c r="M28" s="798"/>
      <c r="N28" s="798"/>
      <c r="O28" s="798"/>
      <c r="P28" s="798"/>
      <c r="Q28" s="798"/>
      <c r="R28" s="798"/>
      <c r="S28" s="798"/>
      <c r="T28" s="798"/>
      <c r="U28" s="798"/>
      <c r="V28" s="798"/>
      <c r="W28" s="798"/>
      <c r="X28" s="798"/>
      <c r="Y28" s="798"/>
      <c r="Z28" s="798"/>
      <c r="AA28" s="798"/>
      <c r="AB28" s="798"/>
      <c r="AC28" s="798"/>
      <c r="AD28" s="798"/>
      <c r="AE28" s="798"/>
      <c r="AF28" s="798"/>
      <c r="AG28" s="798"/>
      <c r="AH28" s="798"/>
      <c r="AI28" s="798"/>
      <c r="AJ28" s="798"/>
      <c r="AK28" s="798"/>
      <c r="AL28" s="798"/>
      <c r="AM28" s="798"/>
      <c r="AN28" s="798"/>
      <c r="AO28" s="798"/>
      <c r="AP28" s="798"/>
      <c r="AQ28" s="799"/>
    </row>
    <row r="29" spans="3:43" ht="15.95" customHeight="1">
      <c r="C29" s="797"/>
      <c r="D29" s="798"/>
      <c r="E29" s="798"/>
      <c r="F29" s="798"/>
      <c r="G29" s="798"/>
      <c r="H29" s="798"/>
      <c r="I29" s="798"/>
      <c r="J29" s="798"/>
      <c r="K29" s="798"/>
      <c r="L29" s="798"/>
      <c r="M29" s="798"/>
      <c r="N29" s="798"/>
      <c r="O29" s="798"/>
      <c r="P29" s="798"/>
      <c r="Q29" s="798"/>
      <c r="R29" s="798"/>
      <c r="S29" s="798"/>
      <c r="T29" s="798"/>
      <c r="U29" s="798"/>
      <c r="V29" s="798"/>
      <c r="W29" s="798"/>
      <c r="X29" s="798"/>
      <c r="Y29" s="798"/>
      <c r="Z29" s="798"/>
      <c r="AA29" s="798"/>
      <c r="AB29" s="798"/>
      <c r="AC29" s="798"/>
      <c r="AD29" s="798"/>
      <c r="AE29" s="798"/>
      <c r="AF29" s="798"/>
      <c r="AG29" s="798"/>
      <c r="AH29" s="798"/>
      <c r="AI29" s="798"/>
      <c r="AJ29" s="798"/>
      <c r="AK29" s="798"/>
      <c r="AL29" s="798"/>
      <c r="AM29" s="798"/>
      <c r="AN29" s="798"/>
      <c r="AO29" s="798"/>
      <c r="AP29" s="798"/>
      <c r="AQ29" s="799"/>
    </row>
    <row r="30" spans="3:43" ht="15.95" customHeight="1">
      <c r="C30" s="800"/>
      <c r="D30" s="801"/>
      <c r="E30" s="801"/>
      <c r="F30" s="801"/>
      <c r="G30" s="801"/>
      <c r="H30" s="801"/>
      <c r="I30" s="801"/>
      <c r="J30" s="801"/>
      <c r="K30" s="801"/>
      <c r="L30" s="801"/>
      <c r="M30" s="801"/>
      <c r="N30" s="801"/>
      <c r="O30" s="801"/>
      <c r="P30" s="801"/>
      <c r="Q30" s="801"/>
      <c r="R30" s="801"/>
      <c r="S30" s="801"/>
      <c r="T30" s="801"/>
      <c r="U30" s="801"/>
      <c r="V30" s="801"/>
      <c r="W30" s="801"/>
      <c r="X30" s="801"/>
      <c r="Y30" s="801"/>
      <c r="Z30" s="801"/>
      <c r="AA30" s="801"/>
      <c r="AB30" s="801"/>
      <c r="AC30" s="801"/>
      <c r="AD30" s="801"/>
      <c r="AE30" s="801"/>
      <c r="AF30" s="801"/>
      <c r="AG30" s="801"/>
      <c r="AH30" s="801"/>
      <c r="AI30" s="801"/>
      <c r="AJ30" s="801"/>
      <c r="AK30" s="801"/>
      <c r="AL30" s="801"/>
      <c r="AM30" s="801"/>
      <c r="AN30" s="801"/>
      <c r="AO30" s="801"/>
      <c r="AP30" s="801"/>
      <c r="AQ30" s="802"/>
    </row>
    <row r="31" spans="3:43" ht="15.95" customHeight="1">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row>
    <row r="32" spans="3:43" ht="15.95" customHeight="1">
      <c r="C32" s="59"/>
      <c r="D32" s="803" t="s">
        <v>1113</v>
      </c>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803"/>
      <c r="AM32" s="803"/>
      <c r="AN32" s="803"/>
      <c r="AO32" s="803"/>
      <c r="AP32" s="803"/>
      <c r="AQ32" s="803"/>
    </row>
    <row r="33" spans="3:43" ht="15.95" customHeight="1">
      <c r="C33" s="64"/>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803"/>
      <c r="AM33" s="803"/>
      <c r="AN33" s="803"/>
      <c r="AO33" s="803"/>
      <c r="AP33" s="803"/>
      <c r="AQ33" s="803"/>
    </row>
    <row r="34" spans="3:43" ht="15.95" customHeight="1">
      <c r="C34" s="64"/>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row>
    <row r="35" spans="3:43" ht="15.95" hidden="1" customHeight="1">
      <c r="C35" s="10"/>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row>
    <row r="36" spans="3:43" ht="15.95" hidden="1" customHeight="1">
      <c r="C36" s="10"/>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row>
    <row r="37" spans="3:43" ht="15.95" hidden="1" customHeight="1">
      <c r="C37" s="10"/>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row>
    <row r="38" spans="3:43" ht="15.95" hidden="1" customHeight="1">
      <c r="C38" s="10"/>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row>
    <row r="39" spans="3:43" ht="15.95" hidden="1" customHeight="1">
      <c r="C39" s="10"/>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row>
    <row r="40" spans="3:43" ht="15.95" hidden="1" customHeight="1">
      <c r="C40" s="10"/>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row>
    <row r="41" spans="3:43" ht="15.95" hidden="1" customHeight="1">
      <c r="C41" s="10"/>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row>
    <row r="42" spans="3:43" ht="15.95" hidden="1" customHeight="1">
      <c r="C42" s="10"/>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row>
    <row r="43" spans="3:43" ht="15.95" hidden="1" customHeight="1">
      <c r="C43" s="10"/>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row>
    <row r="44" spans="3:43" ht="15.95" hidden="1" customHeight="1">
      <c r="C44" s="10"/>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row>
    <row r="45" spans="3:43" ht="15.95" hidden="1" customHeight="1">
      <c r="C45" s="10"/>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row>
    <row r="46" spans="3:43" ht="15.95" hidden="1" customHeight="1">
      <c r="C46" s="10"/>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row>
    <row r="47" spans="3:43" ht="15.95" hidden="1" customHeight="1">
      <c r="C47" s="10"/>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row>
    <row r="48" spans="3:43" ht="15.95" hidden="1" customHeight="1">
      <c r="C48" s="10"/>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row>
    <row r="49" spans="3:43" ht="15.95" hidden="1" customHeight="1">
      <c r="C49" s="10"/>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row>
    <row r="50" spans="3:43" ht="15.95" hidden="1" customHeight="1">
      <c r="C50" s="10"/>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row>
    <row r="51" spans="3:43" ht="15.95" hidden="1" customHeight="1">
      <c r="C51" s="10"/>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row>
    <row r="52" spans="3:43" ht="15.95" hidden="1" customHeight="1">
      <c r="C52" s="10"/>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row>
    <row r="53" spans="3:43" ht="15.95" hidden="1" customHeight="1">
      <c r="C53" s="10"/>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row>
    <row r="54" spans="3:43" ht="15.95" hidden="1" customHeight="1">
      <c r="C54" s="10"/>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row>
    <row r="55" spans="3:43" ht="15.95" hidden="1" customHeight="1">
      <c r="C55" s="10"/>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row>
    <row r="56" spans="3:43" ht="15.95" hidden="1" customHeight="1">
      <c r="C56" s="10"/>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row>
    <row r="57" spans="3:43" ht="15.95" hidden="1" customHeight="1">
      <c r="C57" s="10"/>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row>
    <row r="58" spans="3:43" ht="15.95" hidden="1" customHeight="1">
      <c r="C58" s="10"/>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row>
    <row r="59" spans="3:43" ht="15.95" hidden="1" customHeight="1">
      <c r="C59" s="10"/>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row>
    <row r="60" spans="3:43" ht="15.95" hidden="1" customHeight="1">
      <c r="C60" s="10"/>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row>
    <row r="61" spans="3:43" ht="15.95" hidden="1" customHeight="1">
      <c r="C61" s="10"/>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row>
    <row r="62" spans="3:43" ht="15.95" hidden="1" customHeight="1">
      <c r="C62" s="10"/>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row>
    <row r="63" spans="3:43" ht="15.95" hidden="1" customHeight="1">
      <c r="C63" s="10"/>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row>
    <row r="64" spans="3:43" ht="15.95" hidden="1" customHeight="1">
      <c r="C64" s="10"/>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row>
    <row r="65" spans="3:43" ht="15.95" hidden="1" customHeight="1">
      <c r="C65" s="10"/>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row>
    <row r="66" spans="3:43" ht="15.95" hidden="1" customHeight="1">
      <c r="C66" s="10"/>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row>
    <row r="67" spans="3:43" ht="15.95" hidden="1" customHeight="1">
      <c r="C67" s="10"/>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row>
    <row r="68" spans="3:43" ht="15.95" hidden="1" customHeight="1">
      <c r="C68" s="10"/>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row>
    <row r="69" spans="3:43" ht="15.95" hidden="1" customHeight="1">
      <c r="C69" s="10"/>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row>
    <row r="70" spans="3:43" ht="15.95" hidden="1" customHeight="1">
      <c r="C70" s="10"/>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row>
    <row r="71" spans="3:43" ht="15.95" hidden="1" customHeight="1">
      <c r="C71" s="10"/>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row>
    <row r="72" spans="3:43" ht="15.95" hidden="1" customHeight="1">
      <c r="C72" s="10"/>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row>
    <row r="73" spans="3:43" ht="15.95" hidden="1" customHeight="1">
      <c r="C73" s="10"/>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row>
    <row r="74" spans="3:43" ht="15.95" hidden="1" customHeight="1">
      <c r="C74" s="10"/>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row>
    <row r="75" spans="3:43" ht="15.95" hidden="1" customHeight="1">
      <c r="C75" s="10"/>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row>
    <row r="76" spans="3:43" ht="15.95" hidden="1" customHeight="1">
      <c r="C76" s="10"/>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row>
    <row r="77" spans="3:43" ht="15.95" hidden="1" customHeight="1">
      <c r="C77" s="10"/>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row>
    <row r="78" spans="3:43" ht="15.95" hidden="1" customHeight="1">
      <c r="C78" s="10"/>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row>
    <row r="79" spans="3:43" ht="15.95" hidden="1" customHeight="1">
      <c r="C79" s="10"/>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row>
    <row r="80" spans="3:43" ht="15.95" hidden="1" customHeight="1">
      <c r="C80" s="10"/>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row>
    <row r="81" spans="3:43" ht="15.95" hidden="1" customHeight="1">
      <c r="C81" s="10"/>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row>
    <row r="82" spans="3:43" ht="15.95" hidden="1" customHeight="1">
      <c r="C82" s="10"/>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row>
    <row r="83" spans="3:43" ht="15.95" hidden="1" customHeight="1">
      <c r="C83" s="10"/>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row>
    <row r="84" spans="3:43" ht="15.95" hidden="1" customHeight="1">
      <c r="C84" s="10"/>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row>
    <row r="85" spans="3:43" ht="15.95" hidden="1" customHeight="1">
      <c r="C85" s="10"/>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row>
    <row r="86" spans="3:43" ht="15.95" hidden="1" customHeight="1">
      <c r="C86" s="10"/>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row>
    <row r="87" spans="3:43" ht="15.95" hidden="1" customHeight="1">
      <c r="C87" s="10"/>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row>
    <row r="88" spans="3:43" ht="15.95" hidden="1" customHeight="1">
      <c r="C88" s="10"/>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row>
    <row r="89" spans="3:43" ht="15.95" hidden="1" customHeight="1">
      <c r="C89" s="10"/>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row>
    <row r="90" spans="3:43" ht="15.95" hidden="1" customHeight="1">
      <c r="C90" s="10"/>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row>
    <row r="91" spans="3:43" ht="15.95" hidden="1" customHeight="1">
      <c r="C91" s="10"/>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row>
    <row r="92" spans="3:43" ht="15.95" hidden="1" customHeight="1">
      <c r="C92" s="10"/>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row>
    <row r="93" spans="3:43" ht="15.95" hidden="1" customHeight="1">
      <c r="C93" s="10"/>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row>
    <row r="94" spans="3:43" ht="15.95" hidden="1" customHeight="1">
      <c r="C94" s="10"/>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row>
    <row r="95" spans="3:43" ht="15.95" hidden="1" customHeight="1">
      <c r="C95" s="10"/>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row>
    <row r="96" spans="3:43" ht="15.95" hidden="1" customHeight="1">
      <c r="C96" s="10"/>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row>
    <row r="97" spans="3:43" ht="15.95" hidden="1" customHeight="1">
      <c r="C97" s="10"/>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row>
    <row r="98" spans="3:43" ht="15.95" hidden="1" customHeight="1">
      <c r="C98" s="10"/>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row>
    <row r="99" spans="3:43" ht="15.95" hidden="1" customHeight="1">
      <c r="C99" s="10"/>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row>
    <row r="100" spans="3:43" ht="15.95" hidden="1" customHeight="1">
      <c r="C100" s="10"/>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row>
    <row r="101" spans="3:43" ht="15.95" hidden="1" customHeight="1">
      <c r="C101" s="10"/>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row>
    <row r="102" spans="3:43" ht="15.95" hidden="1" customHeight="1">
      <c r="C102" s="10"/>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row>
    <row r="103" spans="3:43" ht="15.95" hidden="1" customHeight="1">
      <c r="C103" s="10"/>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row>
    <row r="104" spans="3:43" ht="15.95" hidden="1" customHeight="1">
      <c r="C104" s="10"/>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row>
    <row r="105" spans="3:43" ht="15.95" hidden="1" customHeight="1">
      <c r="C105" s="10"/>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row>
    <row r="106" spans="3:43" ht="15.95" hidden="1" customHeight="1">
      <c r="C106" s="10"/>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row>
    <row r="107" spans="3:43" ht="15.95" hidden="1" customHeight="1">
      <c r="C107" s="10"/>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row>
    <row r="108" spans="3:43" ht="15.95" hidden="1" customHeight="1">
      <c r="C108" s="10"/>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row>
    <row r="109" spans="3:43" ht="15.95" hidden="1" customHeight="1">
      <c r="C109" s="10"/>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row>
    <row r="110" spans="3:43" ht="15.95" hidden="1" customHeight="1">
      <c r="C110" s="10"/>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row>
    <row r="111" spans="3:43" ht="15.95" hidden="1" customHeight="1">
      <c r="C111" s="10"/>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row>
    <row r="112" spans="3:43" ht="15.95" hidden="1" customHeight="1">
      <c r="C112" s="10"/>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row>
    <row r="113" spans="3:43" ht="15.95" hidden="1" customHeight="1">
      <c r="C113" s="10"/>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row>
    <row r="114" spans="3:43" ht="15.95" hidden="1" customHeight="1">
      <c r="C114" s="10"/>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row>
    <row r="115" spans="3:43" ht="15.95" hidden="1" customHeight="1">
      <c r="C115" s="10"/>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row>
    <row r="116" spans="3:43" ht="15.95" hidden="1" customHeight="1">
      <c r="C116" s="10"/>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row>
    <row r="117" spans="3:43" ht="15.95" hidden="1" customHeight="1">
      <c r="C117" s="10"/>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row>
    <row r="118" spans="3:43" ht="15.95" hidden="1" customHeight="1">
      <c r="C118" s="10"/>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row>
    <row r="119" spans="3:43" ht="15.95" hidden="1" customHeight="1">
      <c r="C119" s="10"/>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row>
    <row r="120" spans="3:43" ht="15.95" hidden="1" customHeight="1">
      <c r="C120" s="10"/>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row>
    <row r="121" spans="3:43" ht="15.95" hidden="1" customHeight="1">
      <c r="C121" s="10"/>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row>
    <row r="122" spans="3:43" ht="15.95" hidden="1" customHeight="1">
      <c r="C122" s="10"/>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row>
    <row r="123" spans="3:43" ht="15.95" hidden="1" customHeight="1">
      <c r="C123" s="10"/>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row>
    <row r="124" spans="3:43" ht="15.95" hidden="1" customHeight="1">
      <c r="C124" s="10"/>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row>
    <row r="125" spans="3:43" ht="15.95" hidden="1" customHeight="1">
      <c r="C125" s="10"/>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row>
    <row r="126" spans="3:43" ht="15.95" hidden="1" customHeight="1">
      <c r="C126" s="10"/>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row>
    <row r="127" spans="3:43" ht="15.95" hidden="1" customHeight="1">
      <c r="C127" s="10"/>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row>
    <row r="128" spans="3:43" ht="15.95" hidden="1" customHeight="1">
      <c r="C128" s="10"/>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row>
    <row r="129" spans="3:43" ht="15.95" hidden="1" customHeight="1">
      <c r="C129" s="10"/>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row>
    <row r="130" spans="3:43" ht="15.95" hidden="1" customHeight="1">
      <c r="C130" s="10"/>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row>
    <row r="131" spans="3:43" ht="15.95" hidden="1" customHeight="1">
      <c r="C131" s="10"/>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row>
    <row r="132" spans="3:43" ht="15.95" hidden="1" customHeight="1">
      <c r="C132" s="10"/>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row>
    <row r="133" spans="3:43" ht="15.95" hidden="1" customHeight="1">
      <c r="C133" s="10"/>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row>
    <row r="134" spans="3:43" ht="15.95" hidden="1" customHeight="1">
      <c r="C134" s="10"/>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row>
    <row r="135" spans="3:43" ht="15.95" hidden="1" customHeight="1">
      <c r="C135" s="10"/>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row>
    <row r="136" spans="3:43" ht="15.95" hidden="1" customHeight="1">
      <c r="C136" s="10"/>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row>
    <row r="137" spans="3:43" ht="15.95" hidden="1" customHeight="1">
      <c r="C137" s="10"/>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row>
    <row r="138" spans="3:43" ht="15.95" hidden="1" customHeight="1">
      <c r="C138" s="10"/>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row>
    <row r="139" spans="3:43" ht="15.95" hidden="1" customHeight="1">
      <c r="C139" s="10"/>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row>
    <row r="140" spans="3:43" ht="15.95" hidden="1" customHeight="1">
      <c r="C140" s="10"/>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row>
    <row r="141" spans="3:43" ht="15.95" hidden="1" customHeight="1">
      <c r="C141" s="10"/>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row>
    <row r="142" spans="3:43" ht="15.95" hidden="1" customHeight="1">
      <c r="C142" s="10"/>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row>
    <row r="143" spans="3:43" ht="15.95" hidden="1" customHeight="1">
      <c r="C143" s="10"/>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row>
    <row r="144" spans="3:43" ht="15.95" hidden="1" customHeight="1">
      <c r="C144" s="10"/>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row>
    <row r="145" spans="3:43" ht="15.95" hidden="1" customHeight="1">
      <c r="C145" s="10"/>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row>
    <row r="146" spans="3:43" ht="15.95" hidden="1" customHeight="1">
      <c r="C146" s="10"/>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row>
    <row r="147" spans="3:43" ht="15.95" hidden="1" customHeight="1">
      <c r="C147" s="10"/>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row>
    <row r="148" spans="3:43" ht="15.95" hidden="1" customHeight="1">
      <c r="C148" s="10"/>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row>
    <row r="149" spans="3:43" ht="15.95" hidden="1" customHeight="1">
      <c r="C149" s="10"/>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row>
    <row r="150" spans="3:43" ht="15.95" hidden="1" customHeight="1">
      <c r="C150" s="10"/>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row>
    <row r="151" spans="3:43" ht="15.95" hidden="1" customHeight="1">
      <c r="C151" s="10"/>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row>
    <row r="152" spans="3:43" ht="15.95" hidden="1" customHeight="1">
      <c r="C152" s="10"/>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row>
    <row r="153" spans="3:43" ht="15.95" hidden="1" customHeight="1">
      <c r="C153" s="10"/>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row>
    <row r="154" spans="3:43" ht="15.95" hidden="1" customHeight="1">
      <c r="C154" s="10"/>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row>
    <row r="155" spans="3:43" ht="15.95" hidden="1" customHeight="1">
      <c r="C155" s="10"/>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row>
    <row r="156" spans="3:43" ht="15.95" hidden="1" customHeight="1">
      <c r="C156" s="10"/>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row>
    <row r="157" spans="3:43" ht="15.95" hidden="1" customHeight="1">
      <c r="C157" s="10"/>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row>
    <row r="158" spans="3:43" ht="15.95" hidden="1" customHeight="1">
      <c r="C158" s="10"/>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row>
    <row r="159" spans="3:43" ht="15.95" hidden="1" customHeight="1">
      <c r="C159" s="10"/>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row>
    <row r="160" spans="3:43" ht="15.95" hidden="1" customHeight="1">
      <c r="C160" s="10"/>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row>
    <row r="161" spans="3:43" ht="15.95" hidden="1" customHeight="1">
      <c r="C161" s="10"/>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row>
    <row r="162" spans="3:43" ht="15.95" hidden="1" customHeight="1">
      <c r="C162" s="10"/>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row>
    <row r="163" spans="3:43" ht="15.95" hidden="1" customHeight="1">
      <c r="C163" s="10"/>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row>
    <row r="164" spans="3:43" ht="15.95" hidden="1" customHeight="1">
      <c r="C164" s="10"/>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row>
    <row r="165" spans="3:43" ht="15.95" hidden="1" customHeight="1">
      <c r="C165" s="10"/>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row>
    <row r="166" spans="3:43" ht="15.95" hidden="1" customHeight="1">
      <c r="C166" s="10"/>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row>
    <row r="167" spans="3:43" ht="15.95" hidden="1" customHeight="1">
      <c r="C167" s="10"/>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row>
    <row r="168" spans="3:43" ht="15.95" hidden="1" customHeight="1">
      <c r="C168" s="10"/>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row>
    <row r="169" spans="3:43" ht="15.95" hidden="1" customHeight="1">
      <c r="C169" s="10"/>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row>
    <row r="170" spans="3:43" ht="15.95" hidden="1" customHeight="1">
      <c r="C170" s="10"/>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row>
    <row r="171" spans="3:43" ht="15.95" hidden="1" customHeight="1">
      <c r="C171" s="10"/>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row>
    <row r="172" spans="3:43" ht="15.95" hidden="1" customHeight="1">
      <c r="C172" s="10"/>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row>
    <row r="173" spans="3:43" ht="15.95" hidden="1" customHeight="1">
      <c r="C173" s="10"/>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row>
    <row r="174" spans="3:43" ht="15.95" hidden="1" customHeight="1">
      <c r="C174" s="10"/>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row>
    <row r="175" spans="3:43" ht="15.95" hidden="1" customHeight="1">
      <c r="C175" s="10"/>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row>
    <row r="176" spans="3:43" ht="15.95" hidden="1" customHeight="1">
      <c r="C176" s="10"/>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row>
    <row r="177" spans="3:43" ht="15.95" hidden="1" customHeight="1">
      <c r="C177" s="10"/>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row>
    <row r="178" spans="3:43" ht="15.95" hidden="1" customHeight="1">
      <c r="C178" s="10"/>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row>
    <row r="179" spans="3:43" ht="15.95" hidden="1" customHeight="1">
      <c r="C179" s="10"/>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row>
    <row r="180" spans="3:43" ht="15.95" hidden="1" customHeight="1">
      <c r="C180" s="10"/>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row>
    <row r="181" spans="3:43" ht="15.95" hidden="1" customHeight="1">
      <c r="C181" s="10"/>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row>
    <row r="182" spans="3:43" ht="15.95" hidden="1" customHeight="1">
      <c r="C182" s="10"/>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row>
    <row r="183" spans="3:43" ht="15.95" hidden="1" customHeight="1">
      <c r="C183" s="10"/>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row>
    <row r="184" spans="3:43" ht="15.95" hidden="1" customHeight="1">
      <c r="C184" s="10"/>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row>
    <row r="185" spans="3:43" ht="15.95" hidden="1" customHeight="1">
      <c r="C185" s="10"/>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row>
    <row r="186" spans="3:43" ht="15.95" hidden="1" customHeight="1">
      <c r="C186" s="10"/>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row>
    <row r="187" spans="3:43" ht="15.95" hidden="1" customHeight="1">
      <c r="C187" s="10"/>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row>
    <row r="188" spans="3:43" ht="15.95" hidden="1" customHeight="1">
      <c r="C188" s="10"/>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row>
    <row r="189" spans="3:43" ht="15.95" hidden="1" customHeight="1">
      <c r="C189" s="10"/>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row>
    <row r="190" spans="3:43" ht="15.95" hidden="1" customHeight="1">
      <c r="C190" s="10"/>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row>
    <row r="191" spans="3:43" ht="15.95" hidden="1" customHeight="1">
      <c r="C191" s="10"/>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row>
    <row r="192" spans="3:43" ht="15.95" hidden="1" customHeight="1">
      <c r="C192" s="10"/>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row>
    <row r="193" spans="2:44" ht="15.95" hidden="1" customHeight="1">
      <c r="C193" s="10"/>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row>
    <row r="194" spans="2:44" ht="15.95" hidden="1" customHeight="1">
      <c r="C194" s="10"/>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row>
    <row r="195" spans="2:44" ht="15.95" hidden="1" customHeight="1">
      <c r="C195" s="10"/>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row>
    <row r="196" spans="2:44" ht="15.95" hidden="1" customHeight="1">
      <c r="C196" s="10"/>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row>
    <row r="197" spans="2:44" ht="15.95" hidden="1" customHeight="1">
      <c r="C197" s="10"/>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row>
    <row r="198" spans="2:44" ht="15.95" hidden="1" customHeight="1">
      <c r="C198" s="10"/>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row>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56" t="str">
        <f>FOOT4</f>
        <v>NIPSCO’s energy efficiency programs are administered by TRC, a third‐party implementation specialist that helps homes and businesses save energy.</v>
      </c>
      <c r="N200" s="656"/>
      <c r="O200" s="656"/>
      <c r="P200" s="656"/>
      <c r="Q200" s="656"/>
      <c r="R200" s="656"/>
      <c r="S200" s="656"/>
      <c r="T200" s="656"/>
      <c r="U200" s="656"/>
      <c r="V200" s="656"/>
      <c r="W200" s="656"/>
      <c r="X200" s="656"/>
      <c r="Y200" s="656"/>
      <c r="Z200" s="656"/>
      <c r="AA200" s="656"/>
      <c r="AB200" s="656"/>
      <c r="AC200" s="656"/>
      <c r="AD200" s="656"/>
      <c r="AE200" s="656"/>
      <c r="AF200" s="656"/>
      <c r="AG200" s="656"/>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272"/>
      <c r="AI201" s="272"/>
      <c r="AJ201" s="272"/>
      <c r="AK201" s="272"/>
      <c r="AL201" s="272"/>
      <c r="AM201" s="272"/>
      <c r="AN201" s="272"/>
      <c r="AO201" s="272"/>
      <c r="AP201" s="272"/>
      <c r="AQ201" s="272"/>
      <c r="AR201" s="273" t="str">
        <f>FOOT5</f>
        <v/>
      </c>
    </row>
    <row r="202" spans="2:44" ht="15.95" customHeight="1">
      <c r="B202" s="281" t="s">
        <v>1551</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v3.7.0</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eVC+rrSm/aPo6aFhZiinjK45BGFF1QlleBI8r4Hh4aVzmtY8z9Xs+QxFzS5CVIUAgm7b2rS665iqMXXjunlWLw==" saltValue="oYLo5iAd4sA5KMqARsQEFQ==" spinCount="100000" sheet="1" objects="1" scenarios="1" selectLockedCells="1"/>
  <mergeCells count="38">
    <mergeCell ref="M200:AG201"/>
    <mergeCell ref="C23:AQ30"/>
    <mergeCell ref="D32:AQ33"/>
    <mergeCell ref="AL18:AQ18"/>
    <mergeCell ref="C19:H19"/>
    <mergeCell ref="J19:O19"/>
    <mergeCell ref="Q19:V19"/>
    <mergeCell ref="X19:AC19"/>
    <mergeCell ref="AE19:AJ19"/>
    <mergeCell ref="AN19:AQ19"/>
    <mergeCell ref="C18:H18"/>
    <mergeCell ref="J18:O18"/>
    <mergeCell ref="Q18:V18"/>
    <mergeCell ref="X18:AC18"/>
    <mergeCell ref="AE18:AJ18"/>
    <mergeCell ref="C16:H16"/>
    <mergeCell ref="J16:O16"/>
    <mergeCell ref="Q16:V16"/>
    <mergeCell ref="X16:AC16"/>
    <mergeCell ref="AE16:AJ16"/>
    <mergeCell ref="C15:H15"/>
    <mergeCell ref="J15:O15"/>
    <mergeCell ref="Q15:V15"/>
    <mergeCell ref="X15:AC15"/>
    <mergeCell ref="AE15:AJ15"/>
    <mergeCell ref="F10:AN10"/>
    <mergeCell ref="F11:AN11"/>
    <mergeCell ref="C13:H13"/>
    <mergeCell ref="J13:O13"/>
    <mergeCell ref="Q13:V13"/>
    <mergeCell ref="X13:AC13"/>
    <mergeCell ref="AE13:AJ13"/>
    <mergeCell ref="AQ1:AR1"/>
    <mergeCell ref="AQ2:AR3"/>
    <mergeCell ref="AH1:AK1"/>
    <mergeCell ref="AL1:AP1"/>
    <mergeCell ref="AH2:AK3"/>
    <mergeCell ref="AL2:AP3"/>
  </mergeCells>
  <conditionalFormatting sqref="AH2 AL2">
    <cfRule type="expression" dxfId="232" priority="1">
      <formula>PROJSTATUS=PROJSTATELI</formula>
    </cfRule>
    <cfRule type="expression" dxfId="231" priority="2">
      <formula>PROJSTATUS=PROJSTATREVIEW</formula>
    </cfRule>
    <cfRule type="expression" dxfId="230" priority="6">
      <formula>PROJSTATUS=PROJSTATPREAPPROVE</formula>
    </cfRule>
    <cfRule type="expression" dxfId="229" priority="7">
      <formula>PROJSTATUS=PROJSTATSTANDARD</formula>
    </cfRule>
    <cfRule type="expression" dxfId="228" priority="8">
      <formula>PROJSTATUS=PROJSTATEXP</formula>
    </cfRule>
  </conditionalFormatting>
  <conditionalFormatting sqref="AQ2:AR3">
    <cfRule type="cellIs" dxfId="227" priority="3" operator="equal">
      <formula>1</formula>
    </cfRule>
    <cfRule type="cellIs" dxfId="226" priority="4" operator="between">
      <formula>0.51</formula>
      <formula>0.99</formula>
    </cfRule>
    <cfRule type="cellIs" dxfId="225" priority="5" operator="lessThanOrEqual">
      <formula>0.5</formula>
    </cfRule>
  </conditionalFormatting>
  <dataValidations count="5">
    <dataValidation type="list" allowBlank="1" showInputMessage="1" showErrorMessage="1" prompt="Selecting the Payment Type will autopopulate with selected option. If Other, enter in the payee manually." sqref="J13:O13" xr:uid="{00000000-0002-0000-1200-000000000000}">
      <formula1>PAYOPS</formula1>
    </dataValidation>
    <dataValidation type="textLength" operator="equal" allowBlank="1" showInputMessage="1" showErrorMessage="1" error="Please enter only the first 2 digits of the Tax ID" prompt="Please enter only the first 2 digits of the Tax ID" sqref="AL19" xr:uid="{00000000-0002-0000-1200-000001000000}">
      <formula1>2</formula1>
    </dataValidation>
    <dataValidation type="textLength" operator="equal" allowBlank="1" showInputMessage="1" showErrorMessage="1" error="Please enter only the last 7 digits of the Tax ID" prompt="Please enter only the last 7 digits of the Tax ID" sqref="AN19:AQ19" xr:uid="{00000000-0002-0000-1200-000002000000}">
      <formula1>7</formula1>
    </dataValidation>
    <dataValidation type="list" allowBlank="1" showInputMessage="1" showErrorMessage="1" sqref="AE19:AJ19" xr:uid="{00000000-0002-0000-1200-000003000000}">
      <formula1>TAX</formula1>
    </dataValidation>
    <dataValidation type="textLength" allowBlank="1" showInputMessage="1" showErrorMessage="1" error="Please enter a valid phone number." sqref="X16:AC16" xr:uid="{CE2E29E4-8C20-4BBD-A5A9-64508C798EA8}">
      <formula1>7</formula1>
      <formula2>15</formula2>
    </dataValidation>
  </dataValidations>
  <hyperlinks>
    <hyperlink ref="B202" r:id="rId1" xr:uid="{2EB26309-CB15-459A-B209-E7F5F0BCBBE3}"/>
  </hyperlinks>
  <pageMargins left="0.25" right="0.25" top="0.25" bottom="0.25" header="0.25" footer="0.25"/>
  <pageSetup scale="62"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5361" r:id="rId5" name="M02S04TB1">
              <controlPr defaultSize="0" autoFill="0" autoLine="0" autoPict="0">
                <anchor moveWithCells="1">
                  <from>
                    <xdr:col>2</xdr:col>
                    <xdr:colOff>38100</xdr:colOff>
                    <xdr:row>30</xdr:row>
                    <xdr:rowOff>200025</xdr:rowOff>
                  </from>
                  <to>
                    <xdr:col>3</xdr:col>
                    <xdr:colOff>38100</xdr:colOff>
                    <xdr:row>32</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5000000}">
          <x14:formula1>
            <xm:f>'DATA TABLES'!$F$5:$F$54</xm:f>
          </x14:formula1>
          <xm:sqref>Q19:V19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pageSetUpPr fitToPage="1"/>
  </sheetPr>
  <dimension ref="A1:BZ202"/>
  <sheetViews>
    <sheetView showGridLines="0" showRowColHeaders="0" zoomScale="85" zoomScaleNormal="85" workbookViewId="0">
      <selection activeCell="C16" sqref="C16:H17"/>
    </sheetView>
  </sheetViews>
  <sheetFormatPr defaultColWidth="0" defaultRowHeight="15" customHeight="1" zeroHeight="1"/>
  <cols>
    <col min="1" max="44" width="4.7109375" customWidth="1"/>
    <col min="45" max="45" width="4.7109375" style="59" customWidth="1"/>
    <col min="46" max="46" width="4.7109375" style="59" hidden="1" customWidth="1"/>
    <col min="47" max="54" width="9.140625" style="59" hidden="1" customWidth="1"/>
    <col min="55" max="55" width="15.85546875" style="59" hidden="1" customWidth="1"/>
    <col min="56" max="78" width="9.140625" style="59" hidden="1" customWidth="1"/>
    <col min="79" max="16384" width="9.140625" hidden="1"/>
  </cols>
  <sheetData>
    <row r="1" spans="2:59" ht="15.95" customHeight="1">
      <c r="AH1" s="681" t="s">
        <v>471</v>
      </c>
      <c r="AI1" s="681"/>
      <c r="AJ1" s="681"/>
      <c r="AK1" s="681"/>
      <c r="AL1" s="682" t="s">
        <v>736</v>
      </c>
      <c r="AM1" s="682"/>
      <c r="AN1" s="682"/>
      <c r="AO1" s="682"/>
      <c r="AP1" s="682"/>
      <c r="AQ1" s="678" t="s">
        <v>474</v>
      </c>
      <c r="AR1" s="678"/>
    </row>
    <row r="2" spans="2:59" ht="15.95" customHeight="1">
      <c r="AH2" s="683" t="str">
        <f ca="1">INCENSTATUS</f>
        <v>---</v>
      </c>
      <c r="AI2" s="684"/>
      <c r="AJ2" s="684"/>
      <c r="AK2" s="684"/>
      <c r="AL2" s="685" t="str">
        <f ca="1">PROJSTATUS</f>
        <v>Enter Measures</v>
      </c>
      <c r="AM2" s="685"/>
      <c r="AN2" s="685"/>
      <c r="AO2" s="685"/>
      <c r="AP2" s="685"/>
      <c r="AQ2" s="679">
        <f ca="1">PROGRESSSTATUS</f>
        <v>2.8985507246376812E-2</v>
      </c>
      <c r="AR2" s="680"/>
    </row>
    <row r="3" spans="2:59" ht="15.95" customHeight="1">
      <c r="AH3" s="675"/>
      <c r="AI3" s="676"/>
      <c r="AJ3" s="676"/>
      <c r="AK3" s="676"/>
      <c r="AL3" s="668"/>
      <c r="AM3" s="668"/>
      <c r="AN3" s="668"/>
      <c r="AO3" s="668"/>
      <c r="AP3" s="668"/>
      <c r="AQ3" s="662"/>
      <c r="AR3" s="663"/>
    </row>
    <row r="4" spans="2:59" ht="15.95" customHeight="1">
      <c r="AR4" s="171"/>
    </row>
    <row r="5" spans="2:59" ht="15.95" customHeight="1"/>
    <row r="6" spans="2:59" ht="15.95" customHeight="1">
      <c r="AU6" s="59" t="s">
        <v>907</v>
      </c>
      <c r="AV6" s="59">
        <f>PROJID</f>
        <v>0</v>
      </c>
    </row>
    <row r="7" spans="2:59" ht="15.95" customHeight="1">
      <c r="AU7" s="87"/>
      <c r="AV7" s="87" t="s">
        <v>866</v>
      </c>
      <c r="AW7" s="87" t="s">
        <v>231</v>
      </c>
      <c r="AX7" s="87" t="s">
        <v>892</v>
      </c>
      <c r="AZ7" s="410"/>
    </row>
    <row r="8" spans="2:59" ht="15.95" customHeight="1">
      <c r="AU8" s="87" t="s">
        <v>219</v>
      </c>
      <c r="AV8" s="87" t="str">
        <f ca="1">CBPRESE</f>
        <v>NA</v>
      </c>
      <c r="AW8" s="87" t="str">
        <f ca="1">CBCUSE</f>
        <v>NA</v>
      </c>
      <c r="AX8" s="87" t="str">
        <f ca="1">CBALL</f>
        <v>NA</v>
      </c>
    </row>
    <row r="9" spans="2:59" ht="15.95" customHeight="1">
      <c r="B9" s="59"/>
      <c r="C9" s="59"/>
      <c r="D9" s="59"/>
      <c r="E9" s="59"/>
      <c r="F9" s="59"/>
      <c r="G9" s="59"/>
      <c r="H9" s="59"/>
      <c r="I9" s="59"/>
      <c r="J9" s="59"/>
      <c r="K9" s="59"/>
      <c r="L9" s="59"/>
      <c r="M9" s="59"/>
      <c r="N9" s="59"/>
      <c r="O9" s="59"/>
      <c r="P9" s="59"/>
      <c r="Q9" s="59"/>
      <c r="R9" s="730" t="str">
        <f>CONCATENATE(M3S1," ","Summary")</f>
        <v>Lighting Summary</v>
      </c>
      <c r="S9" s="730"/>
      <c r="T9" s="730"/>
      <c r="U9" s="730"/>
      <c r="V9" s="730"/>
      <c r="W9" s="730"/>
      <c r="X9" s="730"/>
      <c r="Y9" s="730"/>
      <c r="Z9" s="730"/>
      <c r="AA9" s="730"/>
      <c r="AB9" s="730"/>
      <c r="AC9" s="730"/>
      <c r="AD9" s="59"/>
      <c r="AE9" s="59"/>
      <c r="AF9" s="59"/>
      <c r="AG9" s="59"/>
      <c r="AH9" s="59"/>
      <c r="AI9" s="59"/>
      <c r="AJ9" s="59"/>
      <c r="AK9" s="59"/>
      <c r="AL9" s="59"/>
      <c r="AM9" s="59"/>
      <c r="AN9" s="59"/>
      <c r="AO9" s="59"/>
      <c r="AP9" s="59"/>
      <c r="AQ9" s="59"/>
      <c r="AR9" s="59"/>
      <c r="AU9" s="87"/>
      <c r="AV9" s="87"/>
      <c r="AW9" s="87"/>
      <c r="AX9" s="87"/>
      <c r="BA9" s="415"/>
    </row>
    <row r="10" spans="2:59" ht="15.95" customHeight="1">
      <c r="B10" s="59"/>
      <c r="C10" s="59"/>
      <c r="D10" s="59"/>
      <c r="E10" s="59"/>
      <c r="F10" s="360"/>
      <c r="G10" s="360"/>
      <c r="H10" s="360"/>
      <c r="I10" s="360"/>
      <c r="J10" s="360"/>
      <c r="K10" s="360"/>
      <c r="L10" s="360"/>
      <c r="M10" s="360"/>
      <c r="N10" s="360"/>
      <c r="O10" s="360"/>
      <c r="P10" s="360"/>
      <c r="Q10" s="59"/>
      <c r="R10" s="730"/>
      <c r="S10" s="730"/>
      <c r="T10" s="730"/>
      <c r="U10" s="730"/>
      <c r="V10" s="730"/>
      <c r="W10" s="730"/>
      <c r="X10" s="730"/>
      <c r="Y10" s="730"/>
      <c r="Z10" s="730"/>
      <c r="AA10" s="730"/>
      <c r="AB10" s="730"/>
      <c r="AC10" s="730"/>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59" ht="15.95" customHeight="1">
      <c r="B11" s="59"/>
      <c r="C11" s="59"/>
      <c r="D11" s="59"/>
      <c r="E11" s="59"/>
      <c r="F11" s="360"/>
      <c r="G11" s="360"/>
      <c r="H11" s="492"/>
      <c r="I11" s="492"/>
      <c r="J11" s="492"/>
      <c r="K11" s="492"/>
      <c r="L11" s="492"/>
      <c r="M11" s="492"/>
      <c r="N11" s="492"/>
      <c r="O11" s="492"/>
      <c r="P11" s="360"/>
      <c r="Q11" s="59"/>
      <c r="R11" s="831" t="s">
        <v>68</v>
      </c>
      <c r="S11" s="831"/>
      <c r="T11" s="831"/>
      <c r="U11" s="831"/>
      <c r="V11" s="831" t="s">
        <v>69</v>
      </c>
      <c r="W11" s="831"/>
      <c r="X11" s="831"/>
      <c r="Y11" s="831"/>
      <c r="Z11" s="831" t="s">
        <v>70</v>
      </c>
      <c r="AA11" s="831"/>
      <c r="AB11" s="831"/>
      <c r="AC11" s="831"/>
      <c r="AD11" s="59"/>
      <c r="AE11" s="59"/>
      <c r="AF11" s="896" t="s">
        <v>2111</v>
      </c>
      <c r="AG11" s="896"/>
      <c r="AH11" s="896"/>
      <c r="AI11" s="896"/>
      <c r="AJ11" s="59"/>
      <c r="AK11" s="59"/>
      <c r="AL11" s="599"/>
      <c r="AM11" s="598"/>
      <c r="AN11" s="59"/>
      <c r="AO11" s="59"/>
      <c r="AP11" s="59"/>
      <c r="AQ11" s="59"/>
      <c r="AR11" s="59"/>
    </row>
    <row r="12" spans="2:59" ht="15.95" customHeight="1">
      <c r="B12" s="59"/>
      <c r="D12" s="59"/>
      <c r="E12" s="59"/>
      <c r="F12" s="360"/>
      <c r="G12" s="360"/>
      <c r="H12" s="492"/>
      <c r="I12" s="492"/>
      <c r="J12" s="492"/>
      <c r="K12" s="492"/>
      <c r="L12" s="492"/>
      <c r="M12" s="492"/>
      <c r="N12" s="492"/>
      <c r="O12" s="492"/>
      <c r="P12" s="360"/>
      <c r="Q12" s="59"/>
      <c r="R12" s="875">
        <f ca="1">SUM(AN16:AQ111)</f>
        <v>0</v>
      </c>
      <c r="S12" s="875"/>
      <c r="T12" s="875"/>
      <c r="U12" s="875"/>
      <c r="V12" s="875">
        <f ca="1">AU200</f>
        <v>0</v>
      </c>
      <c r="W12" s="875"/>
      <c r="X12" s="875"/>
      <c r="Y12" s="875"/>
      <c r="Z12" s="876">
        <f ca="1">SUMIF(AN16:AQ111,"&gt;0",AK16:AM111)</f>
        <v>0</v>
      </c>
      <c r="AA12" s="876"/>
      <c r="AB12" s="876"/>
      <c r="AC12" s="876"/>
      <c r="AD12" s="59"/>
      <c r="AE12" s="59"/>
      <c r="AF12" s="875">
        <f ca="1">IFERROR(IF(AND(AN114="",AN112="",AN110=""),0,AN112+AN114+AN110),0)</f>
        <v>0</v>
      </c>
      <c r="AG12" s="875"/>
      <c r="AH12" s="875"/>
      <c r="AI12" s="875"/>
      <c r="AJ12" s="59"/>
      <c r="AK12" s="642"/>
      <c r="AL12" s="59"/>
      <c r="AM12" s="59"/>
      <c r="AN12" s="59"/>
      <c r="AO12" s="59"/>
      <c r="AP12" s="59"/>
      <c r="AQ12" s="59"/>
      <c r="AR12" s="59"/>
    </row>
    <row r="13" spans="2:59" ht="15.95" customHeight="1">
      <c r="B13" s="59"/>
      <c r="D13" s="59"/>
      <c r="E13" s="59"/>
      <c r="F13" s="82"/>
      <c r="G13" s="82"/>
      <c r="H13" s="82"/>
      <c r="I13" s="82"/>
      <c r="J13" s="82"/>
      <c r="K13" s="82"/>
      <c r="L13" s="82"/>
      <c r="M13" s="82"/>
      <c r="N13" s="82"/>
      <c r="O13" s="82"/>
      <c r="P13" s="82"/>
      <c r="Q13" s="59"/>
      <c r="R13" s="875"/>
      <c r="S13" s="875"/>
      <c r="T13" s="875"/>
      <c r="U13" s="875"/>
      <c r="V13" s="875"/>
      <c r="W13" s="875"/>
      <c r="X13" s="875"/>
      <c r="Y13" s="875"/>
      <c r="Z13" s="876"/>
      <c r="AA13" s="876"/>
      <c r="AB13" s="876"/>
      <c r="AC13" s="876"/>
      <c r="AD13" s="59"/>
      <c r="AE13" s="59"/>
      <c r="AF13" s="875"/>
      <c r="AG13" s="875"/>
      <c r="AH13" s="875"/>
      <c r="AI13" s="875"/>
      <c r="AJ13" s="59"/>
      <c r="AK13" s="59"/>
      <c r="AL13" s="59"/>
      <c r="AM13" s="59"/>
      <c r="AN13" s="59"/>
      <c r="AO13" s="59"/>
      <c r="AP13" s="59"/>
      <c r="AQ13" s="59"/>
      <c r="AR13" s="59"/>
    </row>
    <row r="14" spans="2:59" ht="15.95" customHeight="1">
      <c r="B14" s="59"/>
      <c r="C14" s="804" t="s">
        <v>88</v>
      </c>
      <c r="D14" s="804"/>
      <c r="E14" s="804"/>
      <c r="F14" s="804"/>
      <c r="G14" s="804"/>
      <c r="H14" s="804"/>
      <c r="I14" s="804" t="s">
        <v>94</v>
      </c>
      <c r="J14" s="804"/>
      <c r="K14" s="804" t="s">
        <v>89</v>
      </c>
      <c r="L14" s="804"/>
      <c r="M14" s="804"/>
      <c r="N14" s="804"/>
      <c r="O14" s="804"/>
      <c r="P14" s="804"/>
      <c r="Q14" s="804" t="s">
        <v>90</v>
      </c>
      <c r="R14" s="804"/>
      <c r="S14" s="804" t="s">
        <v>91</v>
      </c>
      <c r="T14" s="804"/>
      <c r="U14" s="804" t="s">
        <v>115</v>
      </c>
      <c r="V14" s="804"/>
      <c r="W14" s="804"/>
      <c r="X14" s="804"/>
      <c r="Y14" s="804" t="s">
        <v>104</v>
      </c>
      <c r="Z14" s="804"/>
      <c r="AA14" s="804"/>
      <c r="AB14" s="804" t="s">
        <v>96</v>
      </c>
      <c r="AC14" s="804"/>
      <c r="AD14" s="804"/>
      <c r="AE14" s="804" t="s">
        <v>97</v>
      </c>
      <c r="AF14" s="804"/>
      <c r="AG14" s="804" t="s">
        <v>98</v>
      </c>
      <c r="AH14" s="804"/>
      <c r="AI14" s="804" t="s">
        <v>93</v>
      </c>
      <c r="AJ14" s="804"/>
      <c r="AK14" s="804" t="s">
        <v>92</v>
      </c>
      <c r="AL14" s="804"/>
      <c r="AM14" s="804"/>
      <c r="AN14" s="804" t="s">
        <v>108</v>
      </c>
      <c r="AO14" s="804"/>
      <c r="AP14" s="804"/>
      <c r="AQ14" s="804"/>
      <c r="AR14" s="59"/>
      <c r="AU14" s="804" t="s">
        <v>196</v>
      </c>
      <c r="AV14" s="804" t="s">
        <v>197</v>
      </c>
      <c r="AW14" s="804" t="s">
        <v>218</v>
      </c>
      <c r="AX14" s="804" t="s">
        <v>199</v>
      </c>
      <c r="AY14" s="804" t="s">
        <v>1700</v>
      </c>
      <c r="AZ14" s="804" t="s">
        <v>1699</v>
      </c>
      <c r="BA14" s="804" t="s">
        <v>1701</v>
      </c>
      <c r="BB14" s="804" t="s">
        <v>1010</v>
      </c>
      <c r="BC14" s="804" t="s">
        <v>489</v>
      </c>
      <c r="BE14" s="804" t="s">
        <v>2025</v>
      </c>
      <c r="BF14" s="804" t="s">
        <v>2025</v>
      </c>
      <c r="BG14" s="804" t="s">
        <v>2025</v>
      </c>
    </row>
    <row r="15" spans="2:59" ht="15.95" customHeight="1" thickBot="1">
      <c r="B15" s="59"/>
      <c r="C15" s="805"/>
      <c r="D15" s="805"/>
      <c r="E15" s="805"/>
      <c r="F15" s="805"/>
      <c r="G15" s="805"/>
      <c r="H15" s="805"/>
      <c r="I15" s="805"/>
      <c r="J15" s="805"/>
      <c r="K15" s="805"/>
      <c r="L15" s="805"/>
      <c r="M15" s="805"/>
      <c r="N15" s="805"/>
      <c r="O15" s="805"/>
      <c r="P15" s="805"/>
      <c r="Q15" s="805"/>
      <c r="R15" s="805"/>
      <c r="S15" s="805"/>
      <c r="T15" s="805"/>
      <c r="U15" s="805"/>
      <c r="V15" s="805"/>
      <c r="W15" s="805"/>
      <c r="X15" s="805"/>
      <c r="Y15" s="805"/>
      <c r="Z15" s="805"/>
      <c r="AA15" s="805"/>
      <c r="AB15" s="805"/>
      <c r="AC15" s="805"/>
      <c r="AD15" s="805"/>
      <c r="AE15" s="805"/>
      <c r="AF15" s="805"/>
      <c r="AG15" s="805"/>
      <c r="AH15" s="805"/>
      <c r="AI15" s="805"/>
      <c r="AJ15" s="805"/>
      <c r="AK15" s="805"/>
      <c r="AL15" s="805"/>
      <c r="AM15" s="805"/>
      <c r="AN15" s="805"/>
      <c r="AO15" s="805"/>
      <c r="AP15" s="805"/>
      <c r="AQ15" s="805"/>
      <c r="AR15" s="59"/>
      <c r="AU15" s="805"/>
      <c r="AV15" s="805"/>
      <c r="AW15" s="805"/>
      <c r="AX15" s="805"/>
      <c r="AY15" s="805"/>
      <c r="AZ15" s="805"/>
      <c r="BA15" s="805"/>
      <c r="BB15" s="805"/>
      <c r="BC15" s="805"/>
      <c r="BE15" s="805"/>
      <c r="BF15" s="805"/>
      <c r="BG15" s="805"/>
    </row>
    <row r="16" spans="2:59" ht="15.95" customHeight="1">
      <c r="B16" s="830">
        <v>1</v>
      </c>
      <c r="C16" s="832"/>
      <c r="D16" s="833"/>
      <c r="E16" s="833"/>
      <c r="F16" s="833"/>
      <c r="G16" s="833"/>
      <c r="H16" s="834"/>
      <c r="I16" s="838" t="str">
        <f>IFERROR(IF(C16="","",IF(INDEX(PMELIGHTTYPE[Base Autofill],MATCH(C16,PMELIGHTTYPE[Base Desc 1],0))="","",INDEX(PMELIGHTTYPE[Base Autofill],MATCH(C16,PMELIGHTTYPE[Base Desc 1],0)))),"")</f>
        <v/>
      </c>
      <c r="J16" s="839"/>
      <c r="K16" s="842"/>
      <c r="L16" s="833"/>
      <c r="M16" s="833"/>
      <c r="N16" s="833"/>
      <c r="O16" s="833"/>
      <c r="P16" s="834"/>
      <c r="Q16" s="838" t="str">
        <f t="shared" ref="Q16" si="0">IFERROR(IF(ISNUMBER(SEARCH("Removed",K16)),0,""),"")</f>
        <v/>
      </c>
      <c r="R16" s="844"/>
      <c r="S16" s="846"/>
      <c r="T16" s="847"/>
      <c r="U16" s="832"/>
      <c r="V16" s="833"/>
      <c r="W16" s="833"/>
      <c r="X16" s="833"/>
      <c r="Y16" s="850"/>
      <c r="Z16" s="833"/>
      <c r="AA16" s="834"/>
      <c r="AB16" s="846"/>
      <c r="AC16" s="852"/>
      <c r="AD16" s="847"/>
      <c r="AE16" s="854" t="str">
        <f t="shared" ref="AE16" si="1">IF(ISNUMBER(SEARCH("Removed",K16)),0,"")</f>
        <v/>
      </c>
      <c r="AF16" s="855"/>
      <c r="AG16" s="858"/>
      <c r="AH16" s="859"/>
      <c r="AI16" s="877" t="str">
        <f>IFERROR(IF(K16="","",IF(C16&lt;&gt;INDEX(PMELIGHT[Base Desc 1],MATCH(K16,PMELIGHT[Eff Desc 1],0)),0,INDEX(PMELIGHT[Inc Rate Unit],MATCH(K16,PMELIGHT[Eff Desc 1],0)))),"")</f>
        <v/>
      </c>
      <c r="AJ16" s="878"/>
      <c r="AK16" s="821" t="str">
        <f>IFERROR(IF(OR(C16="",I16="",K16="",Q16="",S16="",U16="",Y16="",AB16="",AE16="",AG16=""),"",IFERROR(ROUND(IF(I16-Q16&lt;=0,0,((((I16-Q16)*S16*AB16/1000)+AZ16)*BA16)+BB16),2),"")),"")</f>
        <v/>
      </c>
      <c r="AL16" s="822"/>
      <c r="AM16" s="827"/>
      <c r="AN16" s="815" t="str">
        <f>IFERROR(IF(OR(C16="",I16="",K16="",Q16="",S16="",U16="",Y16="",AB16="",AE16="",AG16=""),"",IF(BC16&lt;&gt;"",BC16,ROUND(IF(I16-Q16&lt;=0,0,MIN(AU16,AI16*S16)),2))),"")</f>
        <v/>
      </c>
      <c r="AO16" s="816"/>
      <c r="AP16" s="816"/>
      <c r="AQ16" s="817"/>
      <c r="AU16" s="808" t="str">
        <f>IF(OR(I16="",Q16="",S16="",U16="",Y16="",AB16="",AE16="",AG16=""),"",IF(AK16=0,"",(ROUND((AE16+AG16)*S16,2))))</f>
        <v/>
      </c>
      <c r="AV16" s="813" t="str">
        <f>IFERROR(IF(OR(I16="",Q16="",S16="",U16="",Y16="",AB16="",AE16="",AG16="",AK16=0),"",IF(ISNUMBER(SEARCH("Exterior",K16)),0,ROUND(((I16-Q16)*S16/1000)*INDEX(LightingWHF[Coincidence Factor CF],MATCH(M02S02F26,LightingWHF[Building/Space Type],0))*
IF(OR(M02S02F32="AC with Natural Gas Heat",M02S02F32="AC with Electric Heat",M02S02F32="Heat Pump"),INDEX(LightingWHF[Waste Heat Cooling Demand WHFd],MATCH(M02S02F26,LightingWHF[Building/Space Type],0)),1),3))),"")</f>
        <v/>
      </c>
      <c r="AW16" s="811" t="str">
        <f>IF(OR(I16="",Q16="",S16="",U16="",Y16="",AB16="",AE16="",AG16=""),"",ROUND(I16*S16*AB16/1000,0))</f>
        <v/>
      </c>
      <c r="AX16" s="811" t="str">
        <f>IF(OR(I16="",Q16="",S16="",U16="",Y16="",AB16="",AE16="",AG16=""),"",ROUND(Q16*S16*AB16/1000,0))</f>
        <v/>
      </c>
      <c r="AY16" s="811" t="str">
        <f>IF(OR(I16="",Q16="",S16="",U16="",Y16="",AB16="",AE16="",AG16=""),"",ROUND(IF(ISNUMBER(SEARCH("Exterior",K16)),0,IF(M02S02F46="Electric Only",0,IF(OR(M02S02F32="AC with Natural Gas Heat",M02S02F32="Natural Gas Heat Only"),(((I16-Q16)/1000)*S16*AB16*-INDEX(LightingWHF[Waste Heat Gas Heating IFTherms],MATCH(M02S02F26,LightingWHF[Building/Space Type],0))),0))),0))</f>
        <v/>
      </c>
      <c r="AZ16" s="811" t="str">
        <f>IF(OR(I16="",Q16="",S16="",U16="",Y16="",AB16="",AE16="",AG16=""),"",IF(M02S02F46="Gas Only",0,IF(ISNUMBER(SEARCH("Exterior",K16)),0,IF(M02S02F32="Heat Pump",(((I16-Q16)/1000)*S16*AB16*-INDEX(LightingWHF[Waste Heat Electric Heat Pump Heating IFkWh],MATCH(M02S02F26,LightingWHF[Building/Space Type],0))),
IF(OR(M02S02F32="AC with Electric Heat",M02S02F32="Electric Heat Only"),(((I16-Q16)/1000)*S16*AB16*-INDEX(LightingWHF[Waste Heat Electric Resistance Heating IFkWh],MATCH(M02S02F26,LightingWHF[Building/Space Type],0))),0
)))))</f>
        <v/>
      </c>
      <c r="BA16" s="810" t="str">
        <f>IF(OR(I16="",Q16="",S16="",U16="",Y16="",AB16="",AE16="",AG16=""),"",IF(M02S02F46="Gas Only",0,IF(ISNUMBER(SEARCH("Exterior",K16)),1,IF(OR(M02S02F32="Heat Pump",M02S02F32="AC with Natural Gas Heat",M02S02F32="AC with Electric Heat"),(INDEX(LightingWHF[Waste Heat Cooling Energy WHFe],MATCH(M02S02F26,LightingWHF[Building/Space Type],0))),1))))</f>
        <v/>
      </c>
      <c r="BB16" s="810" t="str">
        <f>IF(OR(I16="",Q16="",S16="",U16="",Y16="",AB16="",AE16="",AG16=""),"",IF(ISNUMBER(SEARCH("LLLC",K16)),((S16*Q16)/1000)*AB16*(0.49-0)*BA16,IF(ISNUMBER(SEARCH("sensor",K16)),((S16*Q16)/1000)*AB16*(0.24-0)*BA16,0)))</f>
        <v/>
      </c>
      <c r="BC16" s="825" t="str">
        <f>IFERROR(IF(OR(C16="",I16="",K16="",Q16="",S16="",U16="",Y16="",AB16="",AE16="",AG16=""),"",IF(OR(ISBLANK(M02S02F26),ISBLANK(M02S02F32),ISBLANK(M02S02F46)),MEASUREBLDG,IF((I16*S16)&lt;=(Q16*S16),MEASURESAVE,""))),MEASURESUBMIT)</f>
        <v/>
      </c>
      <c r="BE16" s="806" t="str">
        <f ca="1">IF(OR(I16="",Q16="",S16="",U16="",Y16="",AB16="",AE16="",AG16=""),"",IF('M01-S01'!$V$82&lt;TODAY(),0,IF(M02S02F46="Gas Only",0,IF(OR(AK16="",AK16&lt;0,AU16&lt;=AN16),0,IF(BF16&gt;0,MIN(AU16-AN16-BF16,ROUND((AN16+BF16)*0.2,2)),MIN(AU16-AN16,ROUND(AN16*0.2,2)))))))</f>
        <v/>
      </c>
      <c r="BF16" s="806" t="str">
        <f ca="1">IF(OR(I16="",Q16="",S16="",U16="",Y16="",AB16="",AE16="",AG16=""),"",IF('M01-S01'!$V$82&lt;TODAY(),0,IF(MSF20246="Gas Only",0,IF(OR(AK16="",AK16&lt;0,AU16&lt;=AN16),0,IF(ISNUMBER(SEARCH("LED Tube Relamp",K16)),MIN(AU16-AN16,ROUND(IF(ISNUMBER(SEARCH("1-Lamp 4FT Fluor.",C16)),(S16*2),0),2)),0)))))</f>
        <v/>
      </c>
      <c r="BG16" s="806" t="str">
        <f ca="1">IF(OR(I16="",Q16="",S16="",U16="",Y16="",AB16="",AE16="",AG16=""),"",IF('M01-S01'!$V$82&lt;TODAY(),0,IF(MSF20246="Gas Only",0,IF(OR(AK16="",AK16&lt;0,AU16&lt;=AN16),0,IF(ISNUMBER(SEARCH("LED Tube Relamp",K16)),MIN(AU16-AN16,ROUND(IF(ISNUMBER(SEARCH("1-Lamp 4FT HO Fluor.",C16)),(S16*1),0),2)),0)))))</f>
        <v/>
      </c>
    </row>
    <row r="17" spans="2:60" ht="15.95" customHeight="1">
      <c r="B17" s="830"/>
      <c r="C17" s="835"/>
      <c r="D17" s="836"/>
      <c r="E17" s="836"/>
      <c r="F17" s="836"/>
      <c r="G17" s="836"/>
      <c r="H17" s="837"/>
      <c r="I17" s="840"/>
      <c r="J17" s="841"/>
      <c r="K17" s="843"/>
      <c r="L17" s="836"/>
      <c r="M17" s="836"/>
      <c r="N17" s="836"/>
      <c r="O17" s="836"/>
      <c r="P17" s="837"/>
      <c r="Q17" s="840"/>
      <c r="R17" s="845"/>
      <c r="S17" s="848"/>
      <c r="T17" s="849"/>
      <c r="U17" s="835"/>
      <c r="V17" s="836"/>
      <c r="W17" s="836"/>
      <c r="X17" s="836"/>
      <c r="Y17" s="851"/>
      <c r="Z17" s="836"/>
      <c r="AA17" s="837"/>
      <c r="AB17" s="848"/>
      <c r="AC17" s="853"/>
      <c r="AD17" s="849"/>
      <c r="AE17" s="856"/>
      <c r="AF17" s="857"/>
      <c r="AG17" s="860"/>
      <c r="AH17" s="861"/>
      <c r="AI17" s="864"/>
      <c r="AJ17" s="865"/>
      <c r="AK17" s="823"/>
      <c r="AL17" s="824"/>
      <c r="AM17" s="828"/>
      <c r="AN17" s="818"/>
      <c r="AO17" s="819"/>
      <c r="AP17" s="819"/>
      <c r="AQ17" s="820"/>
      <c r="AU17" s="809"/>
      <c r="AV17" s="814"/>
      <c r="AW17" s="812"/>
      <c r="AX17" s="812"/>
      <c r="AY17" s="812"/>
      <c r="AZ17" s="812"/>
      <c r="BA17" s="807"/>
      <c r="BB17" s="807"/>
      <c r="BC17" s="826"/>
      <c r="BE17" s="807"/>
      <c r="BF17" s="807"/>
      <c r="BG17" s="807"/>
    </row>
    <row r="18" spans="2:60" ht="15.95" customHeight="1">
      <c r="B18" s="829">
        <v>2</v>
      </c>
      <c r="C18" s="832"/>
      <c r="D18" s="833"/>
      <c r="E18" s="833"/>
      <c r="F18" s="833"/>
      <c r="G18" s="833"/>
      <c r="H18" s="834"/>
      <c r="I18" s="838" t="str">
        <f>IFERROR(IF(C18="","",IF(INDEX(PMELIGHTTYPE[Base Autofill],MATCH(C18,PMELIGHTTYPE[Base Desc 1],0))="","",INDEX(PMELIGHTTYPE[Base Autofill],MATCH(C18,PMELIGHTTYPE[Base Desc 1],0)))),"")</f>
        <v/>
      </c>
      <c r="J18" s="839"/>
      <c r="K18" s="842"/>
      <c r="L18" s="833"/>
      <c r="M18" s="833"/>
      <c r="N18" s="833"/>
      <c r="O18" s="833"/>
      <c r="P18" s="834"/>
      <c r="Q18" s="838" t="str">
        <f t="shared" ref="Q18" si="2">IFERROR(IF(ISNUMBER(SEARCH("Removed",K18)),0,""),"")</f>
        <v/>
      </c>
      <c r="R18" s="844"/>
      <c r="S18" s="846"/>
      <c r="T18" s="847"/>
      <c r="U18" s="832"/>
      <c r="V18" s="833"/>
      <c r="W18" s="833"/>
      <c r="X18" s="833"/>
      <c r="Y18" s="850"/>
      <c r="Z18" s="833"/>
      <c r="AA18" s="834"/>
      <c r="AB18" s="846"/>
      <c r="AC18" s="852"/>
      <c r="AD18" s="847"/>
      <c r="AE18" s="854" t="str">
        <f t="shared" ref="AE18" si="3">IF(ISNUMBER(SEARCH("Removed",K18)),0,"")</f>
        <v/>
      </c>
      <c r="AF18" s="855"/>
      <c r="AG18" s="858"/>
      <c r="AH18" s="859"/>
      <c r="AI18" s="862" t="str">
        <f>IFERROR(IF(K18="","",IF(C18&lt;&gt;INDEX(PMELIGHT[Base Desc 1],MATCH(K18,PMELIGHT[Eff Desc 1],0)),0,INDEX(PMELIGHT[Inc Rate Unit],MATCH(K18,PMELIGHT[Eff Desc 1],0)))),"")</f>
        <v/>
      </c>
      <c r="AJ18" s="863"/>
      <c r="AK18" s="821" t="str">
        <f t="shared" ref="AK18" si="4">IFERROR(IF(OR(C18="",I18="",K18="",Q18="",S18="",U18="",Y18="",AB18="",AE18="",AG18=""),"",IFERROR(ROUND(IF(I18-Q18&lt;=0,0,((((I18-Q18)*S18*AB18/1000)+AZ18)*BA18)+BB18),2),"")),"")</f>
        <v/>
      </c>
      <c r="AL18" s="822"/>
      <c r="AM18" s="827"/>
      <c r="AN18" s="815" t="str">
        <f t="shared" ref="AN18" si="5">IFERROR(IF(OR(C18="",I18="",K18="",Q18="",S18="",U18="",Y18="",AB18="",AE18="",AG18=""),"",IF(BC18&lt;&gt;"",BC18,ROUND(IF(I18-Q18&lt;=0,0,MIN(AU18,AI18*S18)),2))),"")</f>
        <v/>
      </c>
      <c r="AO18" s="816"/>
      <c r="AP18" s="816"/>
      <c r="AQ18" s="817"/>
      <c r="AU18" s="808" t="str">
        <f t="shared" ref="AU18" si="6">IF(OR(I18="",Q18="",S18="",U18="",Y18="",AB18="",AE18="",AG18=""),"",IF(AK18=0,"",(ROUND((AE18+AG18)*S18,2))))</f>
        <v/>
      </c>
      <c r="AV18" s="813" t="str">
        <f>IFERROR(IF(OR(I18="",Q18="",S18="",U18="",Y18="",AB18="",AE18="",AG18="",AK18=0),"",IF(ISNUMBER(SEARCH("Exterior",K18)),0,ROUND(((I18-Q18)*S18/1000)*INDEX(LightingWHF[Coincidence Factor CF],MATCH(M02S02F26,LightingWHF[Building/Space Type],0))*
IF(OR(M02S02F32="AC with Natural Gas Heat",M02S02F32="AC with Electric Heat",M02S02F32="Heat Pump"),INDEX(LightingWHF[Waste Heat Cooling Demand WHFd],MATCH(M02S02F26,LightingWHF[Building/Space Type],0)),1),3))),"")</f>
        <v/>
      </c>
      <c r="AW18" s="811" t="str">
        <f t="shared" ref="AW18" si="7">IF(OR(I18="",Q18="",S18="",U18="",Y18="",AB18="",AE18="",AG18=""),"",ROUND(I18*S18*AB18/1000,0))</f>
        <v/>
      </c>
      <c r="AX18" s="811" t="str">
        <f t="shared" ref="AX18" si="8">IF(OR(I18="",Q18="",S18="",U18="",Y18="",AB18="",AE18="",AG18=""),"",ROUND(Q18*S18*AB18/1000,0))</f>
        <v/>
      </c>
      <c r="AY18" s="811" t="str">
        <f>IF(OR(I18="",Q18="",S18="",U18="",Y18="",AB18="",AE18="",AG18=""),"",ROUND(IF(ISNUMBER(SEARCH("Exterior",K18)),0,IF(M02S02F46="Electric Only",0,IF(OR(M02S02F32="AC with Natural Gas Heat",M02S02F32="Natural Gas Heat Only"),(((I18-Q18)/1000)*S18*AB18*-INDEX(LightingWHF[Waste Heat Gas Heating IFTherms],MATCH(M02S02F26,LightingWHF[Building/Space Type],0))),0))),0))</f>
        <v/>
      </c>
      <c r="AZ18" s="811" t="str">
        <f>IF(OR(I18="",Q18="",S18="",U18="",Y18="",AB18="",AE18="",AG18=""),"",IF(M02S02F46="Gas Only",0,IF(ISNUMBER(SEARCH("Exterior",K18)),0,IF(M02S02F32="Heat Pump",(((I18-Q18)/1000)*S18*AB18*-INDEX(LightingWHF[Waste Heat Electric Heat Pump Heating IFkWh],MATCH(M02S02F26,LightingWHF[Building/Space Type],0))),
IF(OR(M02S02F32="AC with Electric Heat",M02S02F32="Electric Heat Only"),(((I18-Q18)/1000)*S18*AB18*-INDEX(LightingWHF[Waste Heat Electric Resistance Heating IFkWh],MATCH(M02S02F26,LightingWHF[Building/Space Type],0))),0
)))))</f>
        <v/>
      </c>
      <c r="BA18" s="810" t="str">
        <f>IF(OR(I18="",Q18="",S18="",U18="",Y18="",AB18="",AE18="",AG18=""),"",IF(M02S02F46="Gas Only",0,IF(ISNUMBER(SEARCH("Exterior",K18)),1,IF(OR(M02S02F32="Heat Pump",M02S02F32="AC with Natural Gas Heat",M02S02F32="AC with Electric Heat"),(INDEX(LightingWHF[Waste Heat Cooling Energy WHFe],MATCH(M02S02F26,LightingWHF[Building/Space Type],0))),1))))</f>
        <v/>
      </c>
      <c r="BB18" s="810" t="str">
        <f t="shared" ref="BB18" si="9">IF(OR(I18="",Q18="",S18="",U18="",Y18="",AB18="",AE18="",AG18=""),"",IF(ISNUMBER(SEARCH("LLLC",K18)),((S18*Q18)/1000)*AB18*(0.49-0)*BA18,IF(ISNUMBER(SEARCH("sensor",K18)),((S18*Q18)/1000)*AB18*(0.24-0)*BA18,0)))</f>
        <v/>
      </c>
      <c r="BC18" s="825" t="str">
        <f>IFERROR(IF(OR(C18="",I18="",K18="",Q18="",S18="",U18="",Y18="",AB18="",AE18="",AG18=""),"",IF(OR(ISBLANK(M02S02F26),ISBLANK(M02S02F32),ISBLANK(M02S02F46)),MEASUREBLDG,IF((I18*S18)&lt;=(Q18*S18),MEASURESAVE,""))),MEASURESUBMIT)</f>
        <v/>
      </c>
      <c r="BE18" s="806" t="str">
        <f ca="1">IF(OR(I18="",Q18="",S18="",U18="",Y18="",AB18="",AE18="",AG18=""),"",IF('M01-S01'!$V$82&lt;TODAY(),0,IF(M02S02F46="Gas Only",0,IF(OR(AK18="",AK18&lt;0,AU18&lt;=AN18),0,IF(BF18&gt;0,MIN(AU18-AN18-BF18,ROUND((AN18+BF18)*0.2,2)),MIN(AU18-AN18,ROUND(AN18*0.2,2)))))))</f>
        <v/>
      </c>
      <c r="BF18" s="806" t="str">
        <f ca="1">IF(OR(I18="",Q18="",S18="",U18="",Y18="",AB18="",AE18="",AG18=""),"",IF('M01-S01'!$V$82&lt;TODAY(),0,IF(MSF20248="Gas Only",0,IF(OR(AK18="",AK18&lt;0,AU18&lt;=AN18),0,IF(ISNUMBER(SEARCH("LED Tube Relamp",K18)),MIN(AU18-AN18,ROUND(IF(ISNUMBER(SEARCH("1-Lamp 4FT Fluor.",C18)),(S18*2),0),2)),0)))))</f>
        <v/>
      </c>
      <c r="BG18" s="806" t="str">
        <f ca="1">IF(OR(I18="",Q18="",S18="",U18="",Y18="",AB18="",AE18="",AG18=""),"",IF('M01-S01'!$V$82&lt;TODAY(),0,IF(MSF20248="Gas Only",0,IF(OR(AK18="",AK18&lt;0,AU18&lt;=AN18),0,IF(ISNUMBER(SEARCH("LED Tube Relamp",K18)),MIN(AU18-AN18,ROUND(IF(ISNUMBER(SEARCH("1-Lamp 4FT HO Fluor.",C18)),(S18*1),0),2)),0)))))</f>
        <v/>
      </c>
    </row>
    <row r="19" spans="2:60" ht="15.95" customHeight="1">
      <c r="B19" s="829"/>
      <c r="C19" s="835"/>
      <c r="D19" s="836"/>
      <c r="E19" s="836"/>
      <c r="F19" s="836"/>
      <c r="G19" s="836"/>
      <c r="H19" s="837"/>
      <c r="I19" s="840"/>
      <c r="J19" s="841"/>
      <c r="K19" s="843"/>
      <c r="L19" s="836"/>
      <c r="M19" s="836"/>
      <c r="N19" s="836"/>
      <c r="O19" s="836"/>
      <c r="P19" s="837"/>
      <c r="Q19" s="840"/>
      <c r="R19" s="845"/>
      <c r="S19" s="848"/>
      <c r="T19" s="849"/>
      <c r="U19" s="835"/>
      <c r="V19" s="836"/>
      <c r="W19" s="836"/>
      <c r="X19" s="836"/>
      <c r="Y19" s="851"/>
      <c r="Z19" s="836"/>
      <c r="AA19" s="837"/>
      <c r="AB19" s="848"/>
      <c r="AC19" s="853"/>
      <c r="AD19" s="849"/>
      <c r="AE19" s="856"/>
      <c r="AF19" s="857"/>
      <c r="AG19" s="860"/>
      <c r="AH19" s="861"/>
      <c r="AI19" s="864"/>
      <c r="AJ19" s="865"/>
      <c r="AK19" s="823"/>
      <c r="AL19" s="824"/>
      <c r="AM19" s="828"/>
      <c r="AN19" s="818"/>
      <c r="AO19" s="819"/>
      <c r="AP19" s="819"/>
      <c r="AQ19" s="820"/>
      <c r="AU19" s="809"/>
      <c r="AV19" s="814"/>
      <c r="AW19" s="812"/>
      <c r="AX19" s="812"/>
      <c r="AY19" s="812"/>
      <c r="AZ19" s="812"/>
      <c r="BA19" s="807"/>
      <c r="BB19" s="807"/>
      <c r="BC19" s="826"/>
      <c r="BE19" s="807"/>
      <c r="BF19" s="807"/>
      <c r="BG19" s="807"/>
    </row>
    <row r="20" spans="2:60" ht="15.95" customHeight="1">
      <c r="B20" s="829">
        <v>3</v>
      </c>
      <c r="C20" s="832"/>
      <c r="D20" s="833"/>
      <c r="E20" s="833"/>
      <c r="F20" s="833"/>
      <c r="G20" s="833"/>
      <c r="H20" s="834"/>
      <c r="I20" s="838" t="str">
        <f>IFERROR(IF(C20="","",IF(INDEX(PMELIGHTTYPE[Base Autofill],MATCH(C20,PMELIGHTTYPE[Base Desc 1],0))="","",INDEX(PMELIGHTTYPE[Base Autofill],MATCH(C20,PMELIGHTTYPE[Base Desc 1],0)))),"")</f>
        <v/>
      </c>
      <c r="J20" s="839"/>
      <c r="K20" s="842"/>
      <c r="L20" s="833"/>
      <c r="M20" s="833"/>
      <c r="N20" s="833"/>
      <c r="O20" s="833"/>
      <c r="P20" s="834"/>
      <c r="Q20" s="838" t="str">
        <f t="shared" ref="Q20" si="10">IFERROR(IF(ISNUMBER(SEARCH("Removed",K20)),0,""),"")</f>
        <v/>
      </c>
      <c r="R20" s="844"/>
      <c r="S20" s="846"/>
      <c r="T20" s="847"/>
      <c r="U20" s="832"/>
      <c r="V20" s="833"/>
      <c r="W20" s="833"/>
      <c r="X20" s="834"/>
      <c r="Y20" s="850"/>
      <c r="Z20" s="833"/>
      <c r="AA20" s="834"/>
      <c r="AB20" s="846"/>
      <c r="AC20" s="852"/>
      <c r="AD20" s="847"/>
      <c r="AE20" s="854" t="str">
        <f t="shared" ref="AE20" si="11">IF(ISNUMBER(SEARCH("Removed",K20)),0,"")</f>
        <v/>
      </c>
      <c r="AF20" s="855"/>
      <c r="AG20" s="858"/>
      <c r="AH20" s="869"/>
      <c r="AI20" s="862" t="str">
        <f>IFERROR(IF(K20="","",IF(C20&lt;&gt;INDEX(PMELIGHT[Base Desc 1],MATCH(K20,PMELIGHT[Eff Desc 1],0)),0,INDEX(PMELIGHT[Inc Rate Unit],MATCH(K20,PMELIGHT[Eff Desc 1],0)))),"")</f>
        <v/>
      </c>
      <c r="AJ20" s="863"/>
      <c r="AK20" s="821" t="str">
        <f t="shared" ref="AK20" si="12">IFERROR(IF(OR(C20="",I20="",K20="",Q20="",S20="",U20="",Y20="",AB20="",AE20="",AG20=""),"",IFERROR(ROUND(IF(I20-Q20&lt;=0,0,((((I20-Q20)*S20*AB20/1000)+AZ20)*BA20)+BB20),2),"")),"")</f>
        <v/>
      </c>
      <c r="AL20" s="822"/>
      <c r="AM20" s="827"/>
      <c r="AN20" s="815" t="str">
        <f t="shared" ref="AN20" si="13">IFERROR(IF(OR(C20="",I20="",K20="",Q20="",S20="",U20="",Y20="",AB20="",AE20="",AG20=""),"",IF(BC20&lt;&gt;"",BC20,ROUND(IF(I20-Q20&lt;=0,0,MIN(AU20,AI20*S20)),2))),"")</f>
        <v/>
      </c>
      <c r="AO20" s="816"/>
      <c r="AP20" s="816"/>
      <c r="AQ20" s="817"/>
      <c r="AU20" s="808" t="str">
        <f t="shared" ref="AU20" si="14">IF(OR(I20="",Q20="",S20="",U20="",Y20="",AB20="",AE20="",AG20=""),"",IF(AK20=0,"",(ROUND((AE20+AG20)*S20,2))))</f>
        <v/>
      </c>
      <c r="AV20" s="813" t="str">
        <f>IFERROR(IF(OR(I20="",Q20="",S20="",U20="",Y20="",AB20="",AE20="",AG20="",AK20=0),"",IF(ISNUMBER(SEARCH("Exterior",K20)),0,ROUND(((I20-Q20)*S20/1000)*INDEX(LightingWHF[Coincidence Factor CF],MATCH(M02S02F26,LightingWHF[Building/Space Type],0))*
IF(OR(M02S02F32="AC with Natural Gas Heat",M02S02F32="AC with Electric Heat",M02S02F32="Heat Pump"),INDEX(LightingWHF[Waste Heat Cooling Demand WHFd],MATCH(M02S02F26,LightingWHF[Building/Space Type],0)),1),3))),"")</f>
        <v/>
      </c>
      <c r="AW20" s="811" t="str">
        <f t="shared" ref="AW20" si="15">IF(OR(I20="",Q20="",S20="",U20="",Y20="",AB20="",AE20="",AG20=""),"",ROUND(I20*S20*AB20/1000,0))</f>
        <v/>
      </c>
      <c r="AX20" s="811" t="str">
        <f t="shared" ref="AX20" si="16">IF(OR(I20="",Q20="",S20="",U20="",Y20="",AB20="",AE20="",AG20=""),"",ROUND(Q20*S20*AB20/1000,0))</f>
        <v/>
      </c>
      <c r="AY20" s="811" t="str">
        <f>IF(OR(I20="",Q20="",S20="",U20="",Y20="",AB20="",AE20="",AG20=""),"",ROUND(IF(ISNUMBER(SEARCH("Exterior",K20)),0,IF(M02S02F46="Electric Only",0,IF(OR(M02S02F32="AC with Natural Gas Heat",M02S02F32="Natural Gas Heat Only"),(((I20-Q20)/1000)*S20*AB20*-INDEX(LightingWHF[Waste Heat Gas Heating IFTherms],MATCH(M02S02F26,LightingWHF[Building/Space Type],0))),0))),0))</f>
        <v/>
      </c>
      <c r="AZ20" s="811" t="str">
        <f>IF(OR(I20="",Q20="",S20="",U20="",Y20="",AB20="",AE20="",AG20=""),"",IF(M02S02F46="Gas Only",0,IF(ISNUMBER(SEARCH("Exterior",K20)),0,IF(M02S02F32="Heat Pump",(((I20-Q20)/1000)*S20*AB20*-INDEX(LightingWHF[Waste Heat Electric Heat Pump Heating IFkWh],MATCH(M02S02F26,LightingWHF[Building/Space Type],0))),
IF(OR(M02S02F32="AC with Electric Heat",M02S02F32="Electric Heat Only"),(((I20-Q20)/1000)*S20*AB20*-INDEX(LightingWHF[Waste Heat Electric Resistance Heating IFkWh],MATCH(M02S02F26,LightingWHF[Building/Space Type],0))),0
)))))</f>
        <v/>
      </c>
      <c r="BA20" s="810" t="str">
        <f>IF(OR(I20="",Q20="",S20="",U20="",Y20="",AB20="",AE20="",AG20=""),"",IF(M02S02F46="Gas Only",0,IF(ISNUMBER(SEARCH("Exterior",K20)),1,IF(OR(M02S02F32="Heat Pump",M02S02F32="AC with Natural Gas Heat",M02S02F32="AC with Electric Heat"),(INDEX(LightingWHF[Waste Heat Cooling Energy WHFe],MATCH(M02S02F26,LightingWHF[Building/Space Type],0))),1))))</f>
        <v/>
      </c>
      <c r="BB20" s="810" t="str">
        <f t="shared" ref="BB20" si="17">IF(OR(I20="",Q20="",S20="",U20="",Y20="",AB20="",AE20="",AG20=""),"",IF(ISNUMBER(SEARCH("LLLC",K20)),((S20*Q20)/1000)*AB20*(0.49-0)*BA20,IF(ISNUMBER(SEARCH("sensor",K20)),((S20*Q20)/1000)*AB20*(0.24-0)*BA20,0)))</f>
        <v/>
      </c>
      <c r="BC20" s="825" t="str">
        <f>IFERROR(IF(OR(C20="",I20="",K20="",Q20="",S20="",U20="",Y20="",AB20="",AE20="",AG20=""),"",IF(OR(ISBLANK(M02S02F26),ISBLANK(M02S02F32),ISBLANK(M02S02F46)),MEASUREBLDG,IF((I20*S20)&lt;=(Q20*S20),MEASURESAVE,""))),MEASURESUBMIT)</f>
        <v/>
      </c>
      <c r="BE20" s="806" t="str">
        <f ca="1">IF(OR(I20="",Q20="",S20="",U20="",Y20="",AB20="",AE20="",AG20=""),"",IF('M01-S01'!$V$82&lt;TODAY(),0,IF(M02S02F46="Gas Only",0,IF(OR(AK20="",AK20&lt;0,AU20&lt;=AN20),0,IF(BF20&gt;0,MIN(AU20-AN20-BF20,ROUND((AN20+BF20)*0.2,2)),MIN(AU20-AN20,ROUND(AN20*0.2,2)))))))</f>
        <v/>
      </c>
      <c r="BF20" s="806" t="str">
        <f ca="1">IF(OR(I20="",Q20="",S20="",U20="",Y20="",AB20="",AE20="",AG20=""),"",IF('M01-S01'!$V$82&lt;TODAY(),0,IF(MSF20250="Gas Only",0,IF(OR(AK20="",AK20&lt;0,AU20&lt;=AN20),0,IF(ISNUMBER(SEARCH("LED Tube Relamp",K20)),MIN(AU20-AN20,ROUND(IF(ISNUMBER(SEARCH("1-Lamp 4FT Fluor.",C20)),(S20*2),0),2)),0)))))</f>
        <v/>
      </c>
      <c r="BG20" s="806" t="str">
        <f ca="1">IF(OR(I20="",Q20="",S20="",U20="",Y20="",AB20="",AE20="",AG20=""),"",IF('M01-S01'!$V$82&lt;TODAY(),0,IF(MSF20250="Gas Only",0,IF(OR(AK20="",AK20&lt;0,AU20&lt;=AN20),0,IF(ISNUMBER(SEARCH("LED Tube Relamp",K20)),MIN(AU20-AN20,ROUND(IF(ISNUMBER(SEARCH("1-Lamp 4FT HO Fluor.",C20)),(S20*1),0),2)),0)))))</f>
        <v/>
      </c>
    </row>
    <row r="21" spans="2:60" ht="15.95" customHeight="1">
      <c r="B21" s="829"/>
      <c r="C21" s="835"/>
      <c r="D21" s="836"/>
      <c r="E21" s="836"/>
      <c r="F21" s="836"/>
      <c r="G21" s="836"/>
      <c r="H21" s="837"/>
      <c r="I21" s="840"/>
      <c r="J21" s="841"/>
      <c r="K21" s="843"/>
      <c r="L21" s="836"/>
      <c r="M21" s="836"/>
      <c r="N21" s="836"/>
      <c r="O21" s="836"/>
      <c r="P21" s="837"/>
      <c r="Q21" s="840"/>
      <c r="R21" s="845"/>
      <c r="S21" s="848"/>
      <c r="T21" s="849"/>
      <c r="U21" s="835"/>
      <c r="V21" s="836"/>
      <c r="W21" s="836"/>
      <c r="X21" s="837"/>
      <c r="Y21" s="851"/>
      <c r="Z21" s="836"/>
      <c r="AA21" s="837"/>
      <c r="AB21" s="848"/>
      <c r="AC21" s="853"/>
      <c r="AD21" s="849"/>
      <c r="AE21" s="856"/>
      <c r="AF21" s="857"/>
      <c r="AG21" s="860"/>
      <c r="AH21" s="870"/>
      <c r="AI21" s="864"/>
      <c r="AJ21" s="865"/>
      <c r="AK21" s="823"/>
      <c r="AL21" s="824"/>
      <c r="AM21" s="828"/>
      <c r="AN21" s="818"/>
      <c r="AO21" s="819"/>
      <c r="AP21" s="819"/>
      <c r="AQ21" s="820"/>
      <c r="AU21" s="809"/>
      <c r="AV21" s="814"/>
      <c r="AW21" s="812"/>
      <c r="AX21" s="812"/>
      <c r="AY21" s="812"/>
      <c r="AZ21" s="812"/>
      <c r="BA21" s="807"/>
      <c r="BB21" s="807"/>
      <c r="BC21" s="826"/>
      <c r="BE21" s="807"/>
      <c r="BF21" s="807"/>
      <c r="BG21" s="807"/>
    </row>
    <row r="22" spans="2:60" ht="15.95" customHeight="1">
      <c r="B22" s="829">
        <v>4</v>
      </c>
      <c r="C22" s="832"/>
      <c r="D22" s="833"/>
      <c r="E22" s="833"/>
      <c r="F22" s="833"/>
      <c r="G22" s="833"/>
      <c r="H22" s="834"/>
      <c r="I22" s="838" t="str">
        <f>IFERROR(IF(C22="","",IF(INDEX(PMELIGHTTYPE[Base Autofill],MATCH(C22,PMELIGHTTYPE[Base Desc 1],0))="","",INDEX(PMELIGHTTYPE[Base Autofill],MATCH(C22,PMELIGHTTYPE[Base Desc 1],0)))),"")</f>
        <v/>
      </c>
      <c r="J22" s="839"/>
      <c r="K22" s="842"/>
      <c r="L22" s="833"/>
      <c r="M22" s="833"/>
      <c r="N22" s="833"/>
      <c r="O22" s="833"/>
      <c r="P22" s="834"/>
      <c r="Q22" s="838" t="str">
        <f t="shared" ref="Q22" si="18">IFERROR(IF(ISNUMBER(SEARCH("Removed",K22)),0,""),"")</f>
        <v/>
      </c>
      <c r="R22" s="844"/>
      <c r="S22" s="846"/>
      <c r="T22" s="847"/>
      <c r="U22" s="832"/>
      <c r="V22" s="833"/>
      <c r="W22" s="833"/>
      <c r="X22" s="834"/>
      <c r="Y22" s="850"/>
      <c r="Z22" s="833"/>
      <c r="AA22" s="834"/>
      <c r="AB22" s="846"/>
      <c r="AC22" s="852"/>
      <c r="AD22" s="847"/>
      <c r="AE22" s="854" t="str">
        <f t="shared" ref="AE22" si="19">IF(ISNUMBER(SEARCH("Removed",K22)),0,"")</f>
        <v/>
      </c>
      <c r="AF22" s="855"/>
      <c r="AG22" s="858"/>
      <c r="AH22" s="869"/>
      <c r="AI22" s="862" t="str">
        <f>IFERROR(IF(K22="","",IF(C22&lt;&gt;INDEX(PMELIGHT[Base Desc 1],MATCH(K22,PMELIGHT[Eff Desc 1],0)),0,INDEX(PMELIGHT[Inc Rate Unit],MATCH(K22,PMELIGHT[Eff Desc 1],0)))),"")</f>
        <v/>
      </c>
      <c r="AJ22" s="863"/>
      <c r="AK22" s="821" t="str">
        <f t="shared" ref="AK22" si="20">IFERROR(IF(OR(C22="",I22="",K22="",Q22="",S22="",U22="",Y22="",AB22="",AE22="",AG22=""),"",IFERROR(ROUND(IF(I22-Q22&lt;=0,0,((((I22-Q22)*S22*AB22/1000)+AZ22)*BA22)+BB22),2),"")),"")</f>
        <v/>
      </c>
      <c r="AL22" s="822"/>
      <c r="AM22" s="827"/>
      <c r="AN22" s="815" t="str">
        <f>IFERROR(IF(OR(C22="",I22="",K22="",Q22="",S22="",U22="",Y22="",AB22="",AE22="",AG22=""),"",IF(BC22&lt;&gt;"",BC22,ROUND(IF(I22-Q22&lt;=0,0,MIN(AU22,AI22*S22)),2))),"")</f>
        <v/>
      </c>
      <c r="AO22" s="816"/>
      <c r="AP22" s="816"/>
      <c r="AQ22" s="817"/>
      <c r="AU22" s="808" t="str">
        <f t="shared" ref="AU22" si="21">IF(OR(I22="",Q22="",S22="",U22="",Y22="",AB22="",AE22="",AG22=""),"",IF(AK22=0,"",(ROUND((AE22+AG22)*S22,2))))</f>
        <v/>
      </c>
      <c r="AV22" s="813" t="str">
        <f>IFERROR(IF(OR(I22="",Q22="",S22="",U22="",Y22="",AB22="",AE22="",AG22="",AK22=0),"",IF(ISNUMBER(SEARCH("Exterior",K22)),0,ROUND(((I22-Q22)*S22/1000)*INDEX(LightingWHF[Coincidence Factor CF],MATCH(M02S02F26,LightingWHF[Building/Space Type],0))*
IF(OR(M02S02F32="AC with Natural Gas Heat",M02S02F32="AC with Electric Heat",M02S02F32="Heat Pump"),INDEX(LightingWHF[Waste Heat Cooling Demand WHFd],MATCH(M02S02F26,LightingWHF[Building/Space Type],0)),1),3))),"")</f>
        <v/>
      </c>
      <c r="AW22" s="811" t="str">
        <f t="shared" ref="AW22" si="22">IF(OR(I22="",Q22="",S22="",U22="",Y22="",AB22="",AE22="",AG22=""),"",ROUND(I22*S22*AB22/1000,0))</f>
        <v/>
      </c>
      <c r="AX22" s="811" t="str">
        <f t="shared" ref="AX22" si="23">IF(OR(I22="",Q22="",S22="",U22="",Y22="",AB22="",AE22="",AG22=""),"",ROUND(Q22*S22*AB22/1000,0))</f>
        <v/>
      </c>
      <c r="AY22" s="811" t="str">
        <f>IF(OR(I22="",Q22="",S22="",U22="",Y22="",AB22="",AE22="",AG22=""),"",ROUND(IF(ISNUMBER(SEARCH("Exterior",K22)),0,IF(M02S02F46="Electric Only",0,IF(OR(M02S02F32="AC with Natural Gas Heat",M02S02F32="Natural Gas Heat Only"),(((I22-Q22)/1000)*S22*AB22*-INDEX(LightingWHF[Waste Heat Gas Heating IFTherms],MATCH(M02S02F26,LightingWHF[Building/Space Type],0))),0))),0))</f>
        <v/>
      </c>
      <c r="AZ22" s="811" t="str">
        <f>IF(OR(I22="",Q22="",S22="",U22="",Y22="",AB22="",AE22="",AG22=""),"",IF(M02S02F46="Gas Only",0,IF(ISNUMBER(SEARCH("Exterior",K22)),0,IF(M02S02F32="Heat Pump",(((I22-Q22)/1000)*S22*AB22*-INDEX(LightingWHF[Waste Heat Electric Heat Pump Heating IFkWh],MATCH(M02S02F26,LightingWHF[Building/Space Type],0))),
IF(OR(M02S02F32="AC with Electric Heat",M02S02F32="Electric Heat Only"),(((I22-Q22)/1000)*S22*AB22*-INDEX(LightingWHF[Waste Heat Electric Resistance Heating IFkWh],MATCH(M02S02F26,LightingWHF[Building/Space Type],0))),0
)))))</f>
        <v/>
      </c>
      <c r="BA22" s="810" t="str">
        <f>IF(OR(I22="",Q22="",S22="",U22="",Y22="",AB22="",AE22="",AG22=""),"",IF(M02S02F46="Gas Only",0,IF(ISNUMBER(SEARCH("Exterior",K22)),1,IF(OR(M02S02F32="Heat Pump",M02S02F32="AC with Natural Gas Heat",M02S02F32="AC with Electric Heat"),(INDEX(LightingWHF[Waste Heat Cooling Energy WHFe],MATCH(M02S02F26,LightingWHF[Building/Space Type],0))),1))))</f>
        <v/>
      </c>
      <c r="BB22" s="810" t="str">
        <f t="shared" ref="BB22" si="24">IF(OR(I22="",Q22="",S22="",U22="",Y22="",AB22="",AE22="",AG22=""),"",IF(ISNUMBER(SEARCH("LLLC",K22)),((S22*Q22)/1000)*AB22*(0.49-0)*BA22,IF(ISNUMBER(SEARCH("sensor",K22)),((S22*Q22)/1000)*AB22*(0.24-0)*BA22,0)))</f>
        <v/>
      </c>
      <c r="BC22" s="825" t="str">
        <f>IFERROR(IF(OR(C22="",I22="",K22="",Q22="",S22="",U22="",Y22="",AB22="",AE22="",AG22=""),"",IF(OR(ISBLANK(M02S02F26),ISBLANK(M02S02F32),ISBLANK(M02S02F46)),MEASUREBLDG,IF((I22*S22)&lt;=(Q22*S22),MEASURESAVE,""))),MEASURESUBMIT)</f>
        <v/>
      </c>
      <c r="BE22" s="806" t="str">
        <f ca="1">IF(OR(I22="",Q22="",S22="",U22="",Y22="",AB22="",AE22="",AG22=""),"",IF('M01-S01'!$V$82&lt;TODAY(),0,IF(M02S02F46="Gas Only",0,IF(OR(AK22="",AK22&lt;0,AU22&lt;=AN22),0,IF(BF22&gt;0,MIN(AU22-AN22-BF22,ROUND((AN22+BF22)*0.2,2)),MIN(AU22-AN22,ROUND(AN22*0.2,2)))))))</f>
        <v/>
      </c>
      <c r="BF22" s="806" t="str">
        <f ca="1">IF(OR(I22="",Q22="",S22="",U22="",Y22="",AB22="",AE22="",AG22=""),"",IF('M01-S01'!$V$82&lt;TODAY(),0,IF(MSF20252="Gas Only",0,IF(OR(AK22="",AK22&lt;0,AU22&lt;=AN22),0,IF(ISNUMBER(SEARCH("LED Tube Relamp",K22)),MIN(AU22-AN22,ROUND(IF(ISNUMBER(SEARCH("1-Lamp 4FT Fluor.",C22)),(S22*2),0),2)),0)))))</f>
        <v/>
      </c>
      <c r="BG22" s="806" t="str">
        <f ca="1">IF(OR(I22="",Q22="",S22="",U22="",Y22="",AB22="",AE22="",AG22=""),"",IF('M01-S01'!$V$82&lt;TODAY(),0,IF(MSF20252="Gas Only",0,IF(OR(AK22="",AK22&lt;0,AU22&lt;=AN22),0,IF(ISNUMBER(SEARCH("LED Tube Relamp",K22)),MIN(AU22-AN22,ROUND(IF(ISNUMBER(SEARCH("1-Lamp 4FT HO Fluor.",C22)),(S22*1),0),2)),0)))))</f>
        <v/>
      </c>
    </row>
    <row r="23" spans="2:60" ht="15.95" customHeight="1">
      <c r="B23" s="829"/>
      <c r="C23" s="835"/>
      <c r="D23" s="836"/>
      <c r="E23" s="836"/>
      <c r="F23" s="836"/>
      <c r="G23" s="836"/>
      <c r="H23" s="837"/>
      <c r="I23" s="840"/>
      <c r="J23" s="841"/>
      <c r="K23" s="843"/>
      <c r="L23" s="836"/>
      <c r="M23" s="836"/>
      <c r="N23" s="836"/>
      <c r="O23" s="836"/>
      <c r="P23" s="837"/>
      <c r="Q23" s="840"/>
      <c r="R23" s="845"/>
      <c r="S23" s="848"/>
      <c r="T23" s="849"/>
      <c r="U23" s="835"/>
      <c r="V23" s="836"/>
      <c r="W23" s="836"/>
      <c r="X23" s="837"/>
      <c r="Y23" s="851"/>
      <c r="Z23" s="836"/>
      <c r="AA23" s="837"/>
      <c r="AB23" s="848"/>
      <c r="AC23" s="853"/>
      <c r="AD23" s="849"/>
      <c r="AE23" s="856"/>
      <c r="AF23" s="857"/>
      <c r="AG23" s="860"/>
      <c r="AH23" s="870"/>
      <c r="AI23" s="864"/>
      <c r="AJ23" s="865"/>
      <c r="AK23" s="823"/>
      <c r="AL23" s="824"/>
      <c r="AM23" s="828"/>
      <c r="AN23" s="818"/>
      <c r="AO23" s="819"/>
      <c r="AP23" s="819"/>
      <c r="AQ23" s="820"/>
      <c r="AU23" s="809"/>
      <c r="AV23" s="814"/>
      <c r="AW23" s="812"/>
      <c r="AX23" s="812"/>
      <c r="AY23" s="812"/>
      <c r="AZ23" s="812"/>
      <c r="BA23" s="807"/>
      <c r="BB23" s="807"/>
      <c r="BC23" s="826"/>
      <c r="BE23" s="807"/>
      <c r="BF23" s="807"/>
      <c r="BG23" s="807"/>
      <c r="BH23" s="640"/>
    </row>
    <row r="24" spans="2:60" ht="15.95" customHeight="1">
      <c r="B24" s="829">
        <v>5</v>
      </c>
      <c r="C24" s="866"/>
      <c r="D24" s="867"/>
      <c r="E24" s="867"/>
      <c r="F24" s="867"/>
      <c r="G24" s="867"/>
      <c r="H24" s="868"/>
      <c r="I24" s="838" t="str">
        <f>IFERROR(IF(C24="","",IF(INDEX(PMELIGHTTYPE[Base Autofill],MATCH(C24,PMELIGHTTYPE[Base Desc 1],0))="","",INDEX(PMELIGHTTYPE[Base Autofill],MATCH(C24,PMELIGHTTYPE[Base Desc 1],0)))),"")</f>
        <v/>
      </c>
      <c r="J24" s="839"/>
      <c r="K24" s="842"/>
      <c r="L24" s="833"/>
      <c r="M24" s="833"/>
      <c r="N24" s="833"/>
      <c r="O24" s="833"/>
      <c r="P24" s="834"/>
      <c r="Q24" s="838" t="str">
        <f t="shared" ref="Q24" si="25">IFERROR(IF(ISNUMBER(SEARCH("Removed",K24)),0,""),"")</f>
        <v/>
      </c>
      <c r="R24" s="844"/>
      <c r="S24" s="846"/>
      <c r="T24" s="847"/>
      <c r="U24" s="832"/>
      <c r="V24" s="833"/>
      <c r="W24" s="833"/>
      <c r="X24" s="834"/>
      <c r="Y24" s="850"/>
      <c r="Z24" s="833"/>
      <c r="AA24" s="834"/>
      <c r="AB24" s="846"/>
      <c r="AC24" s="852"/>
      <c r="AD24" s="847"/>
      <c r="AE24" s="854" t="str">
        <f t="shared" ref="AE24" si="26">IF(ISNUMBER(SEARCH("Removed",K24)),0,"")</f>
        <v/>
      </c>
      <c r="AF24" s="855"/>
      <c r="AG24" s="858"/>
      <c r="AH24" s="869"/>
      <c r="AI24" s="862" t="str">
        <f>IFERROR(IF(K24="","",IF(C24&lt;&gt;INDEX(PMELIGHT[Base Desc 1],MATCH(K24,PMELIGHT[Eff Desc 1],0)),0,INDEX(PMELIGHT[Inc Rate Unit],MATCH(K24,PMELIGHT[Eff Desc 1],0)))),"")</f>
        <v/>
      </c>
      <c r="AJ24" s="863"/>
      <c r="AK24" s="821" t="str">
        <f t="shared" ref="AK24" si="27">IFERROR(IF(OR(C24="",I24="",K24="",Q24="",S24="",U24="",Y24="",AB24="",AE24="",AG24=""),"",IFERROR(ROUND(IF(I24-Q24&lt;=0,0,((((I24-Q24)*S24*AB24/1000)+AZ24)*BA24)+BB24),2),"")),"")</f>
        <v/>
      </c>
      <c r="AL24" s="822"/>
      <c r="AM24" s="827"/>
      <c r="AN24" s="815" t="str">
        <f t="shared" ref="AN24" si="28">IFERROR(IF(OR(C24="",I24="",K24="",Q24="",S24="",U24="",Y24="",AB24="",AE24="",AG24=""),"",IF(BC24&lt;&gt;"",BC24,ROUND(IF(I24-Q24&lt;=0,0,MIN(AU24,AI24*S24)),2))),"")</f>
        <v/>
      </c>
      <c r="AO24" s="816"/>
      <c r="AP24" s="816"/>
      <c r="AQ24" s="817"/>
      <c r="AU24" s="808" t="str">
        <f t="shared" ref="AU24" si="29">IF(OR(I24="",Q24="",S24="",U24="",Y24="",AB24="",AE24="",AG24=""),"",IF(AK24=0,"",(ROUND((AE24+AG24)*S24,2))))</f>
        <v/>
      </c>
      <c r="AV24" s="813" t="str">
        <f>IFERROR(IF(OR(I24="",Q24="",S24="",U24="",Y24="",AB24="",AE24="",AG24="",AK24=0),"",IF(ISNUMBER(SEARCH("Exterior",K24)),0,ROUND(((I24-Q24)*S24/1000)*INDEX(LightingWHF[Coincidence Factor CF],MATCH(M02S02F26,LightingWHF[Building/Space Type],0))*
IF(OR(M02S02F32="AC with Natural Gas Heat",M02S02F32="AC with Electric Heat",M02S02F32="Heat Pump"),INDEX(LightingWHF[Waste Heat Cooling Demand WHFd],MATCH(M02S02F26,LightingWHF[Building/Space Type],0)),1),3))),"")</f>
        <v/>
      </c>
      <c r="AW24" s="811" t="str">
        <f t="shared" ref="AW24" si="30">IF(OR(I24="",Q24="",S24="",U24="",Y24="",AB24="",AE24="",AG24=""),"",ROUND(I24*S24*AB24/1000,0))</f>
        <v/>
      </c>
      <c r="AX24" s="811" t="str">
        <f t="shared" ref="AX24" si="31">IF(OR(I24="",Q24="",S24="",U24="",Y24="",AB24="",AE24="",AG24=""),"",ROUND(Q24*S24*AB24/1000,0))</f>
        <v/>
      </c>
      <c r="AY24" s="811" t="str">
        <f>IF(OR(I24="",Q24="",S24="",U24="",Y24="",AB24="",AE24="",AG24=""),"",ROUND(IF(ISNUMBER(SEARCH("Exterior",K24)),0,IF(M02S02F46="Electric Only",0,IF(OR(M02S02F32="AC with Natural Gas Heat",M02S02F32="Natural Gas Heat Only"),(((I24-Q24)/1000)*S24*AB24*-INDEX(LightingWHF[Waste Heat Gas Heating IFTherms],MATCH(M02S02F26,LightingWHF[Building/Space Type],0))),0))),0))</f>
        <v/>
      </c>
      <c r="AZ24" s="811" t="str">
        <f>IF(OR(I24="",Q24="",S24="",U24="",Y24="",AB24="",AE24="",AG24=""),"",IF(M02S02F46="Gas Only",0,IF(ISNUMBER(SEARCH("Exterior",K24)),0,IF(M02S02F32="Heat Pump",(((I24-Q24)/1000)*S24*AB24*-INDEX(LightingWHF[Waste Heat Electric Heat Pump Heating IFkWh],MATCH(M02S02F26,LightingWHF[Building/Space Type],0))),
IF(OR(M02S02F32="AC with Electric Heat",M02S02F32="Electric Heat Only"),(((I24-Q24)/1000)*S24*AB24*-INDEX(LightingWHF[Waste Heat Electric Resistance Heating IFkWh],MATCH(M02S02F26,LightingWHF[Building/Space Type],0))),0
)))))</f>
        <v/>
      </c>
      <c r="BA24" s="810" t="str">
        <f>IF(OR(I24="",Q24="",S24="",U24="",Y24="",AB24="",AE24="",AG24=""),"",IF(M02S02F46="Gas Only",0,IF(ISNUMBER(SEARCH("Exterior",K24)),1,IF(OR(M02S02F32="Heat Pump",M02S02F32="AC with Natural Gas Heat",M02S02F32="AC with Electric Heat"),(INDEX(LightingWHF[Waste Heat Cooling Energy WHFe],MATCH(M02S02F26,LightingWHF[Building/Space Type],0))),1))))</f>
        <v/>
      </c>
      <c r="BB24" s="810" t="str">
        <f t="shared" ref="BB24" si="32">IF(OR(I24="",Q24="",S24="",U24="",Y24="",AB24="",AE24="",AG24=""),"",IF(ISNUMBER(SEARCH("LLLC",K24)),((S24*Q24)/1000)*AB24*(0.49-0)*BA24,IF(ISNUMBER(SEARCH("sensor",K24)),((S24*Q24)/1000)*AB24*(0.24-0)*BA24,0)))</f>
        <v/>
      </c>
      <c r="BC24" s="825" t="str">
        <f>IFERROR(IF(OR(C24="",I24="",K24="",Q24="",S24="",U24="",Y24="",AB24="",AE24="",AG24=""),"",IF(OR(ISBLANK(M02S02F26),ISBLANK(M02S02F32),ISBLANK(M02S02F46)),MEASUREBLDG,IF((I24*S24)&lt;=(Q24*S24),MEASURESAVE,""))),MEASURESUBMIT)</f>
        <v/>
      </c>
      <c r="BE24" s="806" t="str">
        <f ca="1">IF(OR(I24="",Q24="",S24="",U24="",Y24="",AB24="",AE24="",AG24=""),"",IF('M01-S01'!$V$82&lt;TODAY(),0,IF(M02S02F46="Gas Only",0,IF(OR(AK24="",AK24&lt;0,AU24&lt;=AN24),0,IF(BF24&gt;0,MIN(AU24-AN24-BF24,ROUND((AN24+BF24)*0.2,2)),MIN(AU24-AN24,ROUND(AN24*0.2,2)))))))</f>
        <v/>
      </c>
      <c r="BF24" s="806" t="str">
        <f ca="1">IF(OR(I24="",Q24="",S24="",U24="",Y24="",AB24="",AE24="",AG24=""),"",IF('M01-S01'!$V$82&lt;TODAY(),0,IF(MSF20254="Gas Only",0,IF(OR(AK24="",AK24&lt;0,AU24&lt;=AN24),0,IF(ISNUMBER(SEARCH("LED Tube Relamp",K24)),MIN(AU24-AN24,ROUND(IF(ISNUMBER(SEARCH("1-Lamp 4FT Fluor.",C24)),(S24*2),0),2)),0)))))</f>
        <v/>
      </c>
      <c r="BG24" s="806" t="str">
        <f ca="1">IF(OR(I24="",Q24="",S24="",U24="",Y24="",AB24="",AE24="",AG24=""),"",IF('M01-S01'!$V$82&lt;TODAY(),0,IF(MSF20254="Gas Only",0,IF(OR(AK24="",AK24&lt;0,AU24&lt;=AN24),0,IF(ISNUMBER(SEARCH("LED Tube Relamp",K24)),MIN(AU24-AN24,ROUND(IF(ISNUMBER(SEARCH("1-Lamp 4FT HO Fluor.",C24)),(S24*1),0),2)),0)))))</f>
        <v/>
      </c>
    </row>
    <row r="25" spans="2:60" ht="15.95" customHeight="1">
      <c r="B25" s="829"/>
      <c r="C25" s="835"/>
      <c r="D25" s="836"/>
      <c r="E25" s="836"/>
      <c r="F25" s="836"/>
      <c r="G25" s="836"/>
      <c r="H25" s="837"/>
      <c r="I25" s="840"/>
      <c r="J25" s="841"/>
      <c r="K25" s="843"/>
      <c r="L25" s="836"/>
      <c r="M25" s="836"/>
      <c r="N25" s="836"/>
      <c r="O25" s="836"/>
      <c r="P25" s="837"/>
      <c r="Q25" s="840"/>
      <c r="R25" s="845"/>
      <c r="S25" s="848"/>
      <c r="T25" s="849"/>
      <c r="U25" s="835"/>
      <c r="V25" s="836"/>
      <c r="W25" s="836"/>
      <c r="X25" s="837"/>
      <c r="Y25" s="851"/>
      <c r="Z25" s="836"/>
      <c r="AA25" s="837"/>
      <c r="AB25" s="848"/>
      <c r="AC25" s="853"/>
      <c r="AD25" s="849"/>
      <c r="AE25" s="856"/>
      <c r="AF25" s="857"/>
      <c r="AG25" s="860"/>
      <c r="AH25" s="870"/>
      <c r="AI25" s="864"/>
      <c r="AJ25" s="865"/>
      <c r="AK25" s="823"/>
      <c r="AL25" s="824"/>
      <c r="AM25" s="828"/>
      <c r="AN25" s="818"/>
      <c r="AO25" s="819"/>
      <c r="AP25" s="819"/>
      <c r="AQ25" s="820"/>
      <c r="AU25" s="809"/>
      <c r="AV25" s="814"/>
      <c r="AW25" s="812"/>
      <c r="AX25" s="812"/>
      <c r="AY25" s="812"/>
      <c r="AZ25" s="812"/>
      <c r="BA25" s="807"/>
      <c r="BB25" s="807"/>
      <c r="BC25" s="826"/>
      <c r="BE25" s="807"/>
      <c r="BF25" s="807"/>
      <c r="BG25" s="807"/>
    </row>
    <row r="26" spans="2:60" ht="15.95" customHeight="1">
      <c r="B26" s="829">
        <v>6</v>
      </c>
      <c r="C26" s="866"/>
      <c r="D26" s="867"/>
      <c r="E26" s="867"/>
      <c r="F26" s="867"/>
      <c r="G26" s="867"/>
      <c r="H26" s="868"/>
      <c r="I26" s="838" t="str">
        <f>IFERROR(IF(C26="","",IF(INDEX(PMELIGHTTYPE[Base Autofill],MATCH(C26,PMELIGHTTYPE[Base Desc 1],0))="","",INDEX(PMELIGHTTYPE[Base Autofill],MATCH(C26,PMELIGHTTYPE[Base Desc 1],0)))),"")</f>
        <v/>
      </c>
      <c r="J26" s="839"/>
      <c r="K26" s="842"/>
      <c r="L26" s="833"/>
      <c r="M26" s="833"/>
      <c r="N26" s="833"/>
      <c r="O26" s="833"/>
      <c r="P26" s="834"/>
      <c r="Q26" s="838" t="str">
        <f t="shared" ref="Q26" si="33">IFERROR(IF(ISNUMBER(SEARCH("Removed",K26)),0,""),"")</f>
        <v/>
      </c>
      <c r="R26" s="844"/>
      <c r="S26" s="846"/>
      <c r="T26" s="847"/>
      <c r="U26" s="832"/>
      <c r="V26" s="833"/>
      <c r="W26" s="833"/>
      <c r="X26" s="834"/>
      <c r="Y26" s="850"/>
      <c r="Z26" s="833"/>
      <c r="AA26" s="834"/>
      <c r="AB26" s="846"/>
      <c r="AC26" s="852"/>
      <c r="AD26" s="847"/>
      <c r="AE26" s="854" t="str">
        <f t="shared" ref="AE26" si="34">IF(ISNUMBER(SEARCH("Removed",K26)),0,"")</f>
        <v/>
      </c>
      <c r="AF26" s="855"/>
      <c r="AG26" s="858"/>
      <c r="AH26" s="869"/>
      <c r="AI26" s="862" t="str">
        <f>IFERROR(IF(K26="","",IF(C26&lt;&gt;INDEX(PMELIGHT[Base Desc 1],MATCH(K26,PMELIGHT[Eff Desc 1],0)),0,INDEX(PMELIGHT[Inc Rate Unit],MATCH(K26,PMELIGHT[Eff Desc 1],0)))),"")</f>
        <v/>
      </c>
      <c r="AJ26" s="863"/>
      <c r="AK26" s="821" t="str">
        <f t="shared" ref="AK26" si="35">IFERROR(IF(OR(C26="",I26="",K26="",Q26="",S26="",U26="",Y26="",AB26="",AE26="",AG26=""),"",IFERROR(ROUND(IF(I26-Q26&lt;=0,0,((((I26-Q26)*S26*AB26/1000)+AZ26)*BA26)+BB26),2),"")),"")</f>
        <v/>
      </c>
      <c r="AL26" s="822"/>
      <c r="AM26" s="827"/>
      <c r="AN26" s="815" t="str">
        <f t="shared" ref="AN26" si="36">IFERROR(IF(OR(C26="",I26="",K26="",Q26="",S26="",U26="",Y26="",AB26="",AE26="",AG26=""),"",IF(BC26&lt;&gt;"",BC26,ROUND(IF(I26-Q26&lt;=0,0,MIN(AU26,AI26*S26)),2))),"")</f>
        <v/>
      </c>
      <c r="AO26" s="816"/>
      <c r="AP26" s="816"/>
      <c r="AQ26" s="817"/>
      <c r="AU26" s="808" t="str">
        <f t="shared" ref="AU26" si="37">IF(OR(I26="",Q26="",S26="",U26="",Y26="",AB26="",AE26="",AG26=""),"",IF(AK26=0,"",(ROUND((AE26+AG26)*S26,2))))</f>
        <v/>
      </c>
      <c r="AV26" s="813" t="str">
        <f>IFERROR(IF(OR(I26="",Q26="",S26="",U26="",Y26="",AB26="",AE26="",AG26="",AK26=0),"",IF(ISNUMBER(SEARCH("Exterior",K26)),0,ROUND(((I26-Q26)*S26/1000)*INDEX(LightingWHF[Coincidence Factor CF],MATCH(M02S02F26,LightingWHF[Building/Space Type],0))*
IF(OR(M02S02F32="AC with Natural Gas Heat",M02S02F32="AC with Electric Heat",M02S02F32="Heat Pump"),INDEX(LightingWHF[Waste Heat Cooling Demand WHFd],MATCH(M02S02F26,LightingWHF[Building/Space Type],0)),1),3))),"")</f>
        <v/>
      </c>
      <c r="AW26" s="811" t="str">
        <f t="shared" ref="AW26" si="38">IF(OR(I26="",Q26="",S26="",U26="",Y26="",AB26="",AE26="",AG26=""),"",ROUND(I26*S26*AB26/1000,0))</f>
        <v/>
      </c>
      <c r="AX26" s="811" t="str">
        <f t="shared" ref="AX26" si="39">IF(OR(I26="",Q26="",S26="",U26="",Y26="",AB26="",AE26="",AG26=""),"",ROUND(Q26*S26*AB26/1000,0))</f>
        <v/>
      </c>
      <c r="AY26" s="811" t="str">
        <f>IF(OR(I26="",Q26="",S26="",U26="",Y26="",AB26="",AE26="",AG26=""),"",ROUND(IF(ISNUMBER(SEARCH("Exterior",K26)),0,IF(M02S02F46="Electric Only",0,IF(OR(M02S02F32="AC with Natural Gas Heat",M02S02F32="Natural Gas Heat Only"),(((I26-Q26)/1000)*S26*AB26*-INDEX(LightingWHF[Waste Heat Gas Heating IFTherms],MATCH(M02S02F26,LightingWHF[Building/Space Type],0))),0))),0))</f>
        <v/>
      </c>
      <c r="AZ26" s="811" t="str">
        <f>IF(OR(I26="",Q26="",S26="",U26="",Y26="",AB26="",AE26="",AG26=""),"",IF(M02S02F46="Gas Only",0,IF(ISNUMBER(SEARCH("Exterior",K26)),0,IF(M02S02F32="Heat Pump",(((I26-Q26)/1000)*S26*AB26*-INDEX(LightingWHF[Waste Heat Electric Heat Pump Heating IFkWh],MATCH(M02S02F26,LightingWHF[Building/Space Type],0))),
IF(OR(M02S02F32="AC with Electric Heat",M02S02F32="Electric Heat Only"),(((I26-Q26)/1000)*S26*AB26*-INDEX(LightingWHF[Waste Heat Electric Resistance Heating IFkWh],MATCH(M02S02F26,LightingWHF[Building/Space Type],0))),0
)))))</f>
        <v/>
      </c>
      <c r="BA26" s="810" t="str">
        <f>IF(OR(I26="",Q26="",S26="",U26="",Y26="",AB26="",AE26="",AG26=""),"",IF(M02S02F46="Gas Only",0,IF(ISNUMBER(SEARCH("Exterior",K26)),1,IF(OR(M02S02F32="Heat Pump",M02S02F32="AC with Natural Gas Heat",M02S02F32="AC with Electric Heat"),(INDEX(LightingWHF[Waste Heat Cooling Energy WHFe],MATCH(M02S02F26,LightingWHF[Building/Space Type],0))),1))))</f>
        <v/>
      </c>
      <c r="BB26" s="810" t="str">
        <f t="shared" ref="BB26" si="40">IF(OR(I26="",Q26="",S26="",U26="",Y26="",AB26="",AE26="",AG26=""),"",IF(ISNUMBER(SEARCH("LLLC",K26)),((S26*Q26)/1000)*AB26*(0.49-0)*BA26,IF(ISNUMBER(SEARCH("sensor",K26)),((S26*Q26)/1000)*AB26*(0.24-0)*BA26,0)))</f>
        <v/>
      </c>
      <c r="BC26" s="825" t="str">
        <f>IFERROR(IF(OR(C26="",I26="",K26="",Q26="",S26="",U26="",Y26="",AB26="",AE26="",AG26=""),"",IF(OR(ISBLANK(M02S02F26),ISBLANK(M02S02F32),ISBLANK(M02S02F46)),MEASUREBLDG,IF((I26*S26)&lt;=(Q26*S26),MEASURESAVE,""))),MEASURESUBMIT)</f>
        <v/>
      </c>
      <c r="BE26" s="806" t="str">
        <f ca="1">IF(OR(I26="",Q26="",S26="",U26="",Y26="",AB26="",AE26="",AG26=""),"",IF('M01-S01'!$V$82&lt;TODAY(),0,IF(M02S02F46="Gas Only",0,IF(OR(AK26="",AK26&lt;0,AU26&lt;=AN26),0,IF(BF26&gt;0,MIN(AU26-AN26-BF26,ROUND((AN26+BF26)*0.2,2)),MIN(AU26-AN26,ROUND(AN26*0.2,2)))))))</f>
        <v/>
      </c>
      <c r="BF26" s="806" t="str">
        <f ca="1">IF(OR(I26="",Q26="",S26="",U26="",Y26="",AB26="",AE26="",AG26=""),"",IF('M01-S01'!$V$82&lt;TODAY(),0,IF(MSF20256="Gas Only",0,IF(OR(AK26="",AK26&lt;0,AU26&lt;=AN26),0,IF(ISNUMBER(SEARCH("LED Tube Relamp",K26)),MIN(AU26-AN26,ROUND(IF(ISNUMBER(SEARCH("1-Lamp 4FT Fluor.",C26)),(S26*2),0),2)),0)))))</f>
        <v/>
      </c>
      <c r="BG26" s="806" t="str">
        <f ca="1">IF(OR(I26="",Q26="",S26="",U26="",Y26="",AB26="",AE26="",AG26=""),"",IF('M01-S01'!$V$82&lt;TODAY(),0,IF(MSF20256="Gas Only",0,IF(OR(AK26="",AK26&lt;0,AU26&lt;=AN26),0,IF(ISNUMBER(SEARCH("LED Tube Relamp",K26)),MIN(AU26-AN26,ROUND(IF(ISNUMBER(SEARCH("1-Lamp 4FT HO Fluor.",C26)),(S26*1),0),2)),0)))))</f>
        <v/>
      </c>
    </row>
    <row r="27" spans="2:60" ht="15.95" customHeight="1">
      <c r="B27" s="829"/>
      <c r="C27" s="835"/>
      <c r="D27" s="836"/>
      <c r="E27" s="836"/>
      <c r="F27" s="836"/>
      <c r="G27" s="836"/>
      <c r="H27" s="837"/>
      <c r="I27" s="840"/>
      <c r="J27" s="841"/>
      <c r="K27" s="843"/>
      <c r="L27" s="836"/>
      <c r="M27" s="836"/>
      <c r="N27" s="836"/>
      <c r="O27" s="836"/>
      <c r="P27" s="837"/>
      <c r="Q27" s="840"/>
      <c r="R27" s="845"/>
      <c r="S27" s="848"/>
      <c r="T27" s="849"/>
      <c r="U27" s="835"/>
      <c r="V27" s="836"/>
      <c r="W27" s="836"/>
      <c r="X27" s="837"/>
      <c r="Y27" s="851"/>
      <c r="Z27" s="836"/>
      <c r="AA27" s="837"/>
      <c r="AB27" s="848"/>
      <c r="AC27" s="853"/>
      <c r="AD27" s="849"/>
      <c r="AE27" s="856"/>
      <c r="AF27" s="857"/>
      <c r="AG27" s="860"/>
      <c r="AH27" s="870"/>
      <c r="AI27" s="864"/>
      <c r="AJ27" s="865"/>
      <c r="AK27" s="823"/>
      <c r="AL27" s="824"/>
      <c r="AM27" s="828"/>
      <c r="AN27" s="818"/>
      <c r="AO27" s="819"/>
      <c r="AP27" s="819"/>
      <c r="AQ27" s="820"/>
      <c r="AU27" s="809"/>
      <c r="AV27" s="814"/>
      <c r="AW27" s="812"/>
      <c r="AX27" s="812"/>
      <c r="AY27" s="812"/>
      <c r="AZ27" s="812"/>
      <c r="BA27" s="807"/>
      <c r="BB27" s="807"/>
      <c r="BC27" s="826"/>
      <c r="BE27" s="807"/>
      <c r="BF27" s="807"/>
      <c r="BG27" s="807"/>
    </row>
    <row r="28" spans="2:60" ht="15.95" customHeight="1">
      <c r="B28" s="829">
        <v>7</v>
      </c>
      <c r="C28" s="866"/>
      <c r="D28" s="867"/>
      <c r="E28" s="867"/>
      <c r="F28" s="867"/>
      <c r="G28" s="867"/>
      <c r="H28" s="868"/>
      <c r="I28" s="838" t="str">
        <f>IFERROR(IF(C28="","",IF(INDEX(PMELIGHTTYPE[Base Autofill],MATCH(C28,PMELIGHTTYPE[Base Desc 1],0))="","",INDEX(PMELIGHTTYPE[Base Autofill],MATCH(C28,PMELIGHTTYPE[Base Desc 1],0)))),"")</f>
        <v/>
      </c>
      <c r="J28" s="839"/>
      <c r="K28" s="842"/>
      <c r="L28" s="833"/>
      <c r="M28" s="833"/>
      <c r="N28" s="833"/>
      <c r="O28" s="833"/>
      <c r="P28" s="834"/>
      <c r="Q28" s="838" t="str">
        <f t="shared" ref="Q28" si="41">IFERROR(IF(ISNUMBER(SEARCH("Removed",K28)),0,""),"")</f>
        <v/>
      </c>
      <c r="R28" s="844"/>
      <c r="S28" s="871"/>
      <c r="T28" s="872"/>
      <c r="U28" s="832"/>
      <c r="V28" s="833"/>
      <c r="W28" s="833"/>
      <c r="X28" s="834"/>
      <c r="Y28" s="850"/>
      <c r="Z28" s="833"/>
      <c r="AA28" s="834"/>
      <c r="AB28" s="846"/>
      <c r="AC28" s="852"/>
      <c r="AD28" s="847"/>
      <c r="AE28" s="854" t="str">
        <f t="shared" ref="AE28" si="42">IF(ISNUMBER(SEARCH("Removed",K28)),0,"")</f>
        <v/>
      </c>
      <c r="AF28" s="855"/>
      <c r="AG28" s="858"/>
      <c r="AH28" s="869"/>
      <c r="AI28" s="862" t="str">
        <f>IFERROR(IF(K28="","",IF(C28&lt;&gt;INDEX(PMELIGHT[Base Desc 1],MATCH(K28,PMELIGHT[Eff Desc 1],0)),0,INDEX(PMELIGHT[Inc Rate Unit],MATCH(K28,PMELIGHT[Eff Desc 1],0)))),"")</f>
        <v/>
      </c>
      <c r="AJ28" s="863"/>
      <c r="AK28" s="821" t="str">
        <f t="shared" ref="AK28" si="43">IFERROR(IF(OR(C28="",I28="",K28="",Q28="",S28="",U28="",Y28="",AB28="",AE28="",AG28=""),"",IFERROR(ROUND(IF(I28-Q28&lt;=0,0,((((I28-Q28)*S28*AB28/1000)+AZ28)*BA28)+BB28),2),"")),"")</f>
        <v/>
      </c>
      <c r="AL28" s="822"/>
      <c r="AM28" s="827"/>
      <c r="AN28" s="815" t="str">
        <f t="shared" ref="AN28" si="44">IFERROR(IF(OR(C28="",I28="",K28="",Q28="",S28="",U28="",Y28="",AB28="",AE28="",AG28=""),"",IF(BC28&lt;&gt;"",BC28,ROUND(IF(I28-Q28&lt;=0,0,MIN(AU28,AI28*S28)),2))),"")</f>
        <v/>
      </c>
      <c r="AO28" s="816"/>
      <c r="AP28" s="816"/>
      <c r="AQ28" s="817"/>
      <c r="AU28" s="808" t="str">
        <f t="shared" ref="AU28" si="45">IF(OR(I28="",Q28="",S28="",U28="",Y28="",AB28="",AE28="",AG28=""),"",IF(AK28=0,"",(ROUND((AE28+AG28)*S28,2))))</f>
        <v/>
      </c>
      <c r="AV28" s="813" t="str">
        <f>IFERROR(IF(OR(I28="",Q28="",S28="",U28="",Y28="",AB28="",AE28="",AG28="",AK28=0),"",IF(ISNUMBER(SEARCH("Exterior",K28)),0,ROUND(((I28-Q28)*S28/1000)*INDEX(LightingWHF[Coincidence Factor CF],MATCH(M02S02F26,LightingWHF[Building/Space Type],0))*
IF(OR(M02S02F32="AC with Natural Gas Heat",M02S02F32="AC with Electric Heat",M02S02F32="Heat Pump"),INDEX(LightingWHF[Waste Heat Cooling Demand WHFd],MATCH(M02S02F26,LightingWHF[Building/Space Type],0)),1),3))),"")</f>
        <v/>
      </c>
      <c r="AW28" s="811" t="str">
        <f t="shared" ref="AW28" si="46">IF(OR(I28="",Q28="",S28="",U28="",Y28="",AB28="",AE28="",AG28=""),"",ROUND(I28*S28*AB28/1000,0))</f>
        <v/>
      </c>
      <c r="AX28" s="811" t="str">
        <f t="shared" ref="AX28" si="47">IF(OR(I28="",Q28="",S28="",U28="",Y28="",AB28="",AE28="",AG28=""),"",ROUND(Q28*S28*AB28/1000,0))</f>
        <v/>
      </c>
      <c r="AY28" s="811" t="str">
        <f>IF(OR(I28="",Q28="",S28="",U28="",Y28="",AB28="",AE28="",AG28=""),"",ROUND(IF(ISNUMBER(SEARCH("Exterior",K28)),0,IF(M02S02F46="Electric Only",0,IF(OR(M02S02F32="AC with Natural Gas Heat",M02S02F32="Natural Gas Heat Only"),(((I28-Q28)/1000)*S28*AB28*-INDEX(LightingWHF[Waste Heat Gas Heating IFTherms],MATCH(M02S02F26,LightingWHF[Building/Space Type],0))),0))),0))</f>
        <v/>
      </c>
      <c r="AZ28" s="811" t="str">
        <f>IF(OR(I28="",Q28="",S28="",U28="",Y28="",AB28="",AE28="",AG28=""),"",IF(M02S02F46="Gas Only",0,IF(ISNUMBER(SEARCH("Exterior",K28)),0,IF(M02S02F32="Heat Pump",(((I28-Q28)/1000)*S28*AB28*-INDEX(LightingWHF[Waste Heat Electric Heat Pump Heating IFkWh],MATCH(M02S02F26,LightingWHF[Building/Space Type],0))),
IF(OR(M02S02F32="AC with Electric Heat",M02S02F32="Electric Heat Only"),(((I28-Q28)/1000)*S28*AB28*-INDEX(LightingWHF[Waste Heat Electric Resistance Heating IFkWh],MATCH(M02S02F26,LightingWHF[Building/Space Type],0))),0
)))))</f>
        <v/>
      </c>
      <c r="BA28" s="810" t="str">
        <f>IF(OR(I28="",Q28="",S28="",U28="",Y28="",AB28="",AE28="",AG28=""),"",IF(M02S02F46="Gas Only",0,IF(ISNUMBER(SEARCH("Exterior",K28)),1,IF(OR(M02S02F32="Heat Pump",M02S02F32="AC with Natural Gas Heat",M02S02F32="AC with Electric Heat"),(INDEX(LightingWHF[Waste Heat Cooling Energy WHFe],MATCH(M02S02F26,LightingWHF[Building/Space Type],0))),1))))</f>
        <v/>
      </c>
      <c r="BB28" s="810" t="str">
        <f t="shared" ref="BB28" si="48">IF(OR(I28="",Q28="",S28="",U28="",Y28="",AB28="",AE28="",AG28=""),"",IF(ISNUMBER(SEARCH("LLLC",K28)),((S28*Q28)/1000)*AB28*(0.49-0)*BA28,IF(ISNUMBER(SEARCH("sensor",K28)),((S28*Q28)/1000)*AB28*(0.24-0)*BA28,0)))</f>
        <v/>
      </c>
      <c r="BC28" s="825" t="str">
        <f>IFERROR(IF(OR(C28="",I28="",K28="",Q28="",S28="",U28="",Y28="",AB28="",AE28="",AG28=""),"",IF(OR(ISBLANK(M02S02F26),ISBLANK(M02S02F32),ISBLANK(M02S02F46)),MEASUREBLDG,IF((I28*S28)&lt;=(Q28*S28),MEASURESAVE,""))),MEASURESUBMIT)</f>
        <v/>
      </c>
      <c r="BE28" s="806" t="str">
        <f ca="1">IF(OR(I28="",Q28="",S28="",U28="",Y28="",AB28="",AE28="",AG28=""),"",IF('M01-S01'!$V$82&lt;TODAY(),0,IF(M02S02F46="Gas Only",0,IF(OR(AK28="",AK28&lt;0,AU28&lt;=AN28),0,IF(BF28&gt;0,MIN(AU28-AN28-BF28,ROUND((AN28+BF28)*0.2,2)),MIN(AU28-AN28,ROUND(AN28*0.2,2)))))))</f>
        <v/>
      </c>
      <c r="BF28" s="806" t="str">
        <f ca="1">IF(OR(I28="",Q28="",S28="",U28="",Y28="",AB28="",AE28="",AG28=""),"",IF('M01-S01'!$V$82&lt;TODAY(),0,IF(MSF20258="Gas Only",0,IF(OR(AK28="",AK28&lt;0,AU28&lt;=AN28),0,IF(ISNUMBER(SEARCH("LED Tube Relamp",K28)),MIN(AU28-AN28,ROUND(IF(ISNUMBER(SEARCH("1-Lamp 4FT Fluor.",C28)),(S28*2),0),2)),0)))))</f>
        <v/>
      </c>
      <c r="BG28" s="806" t="str">
        <f ca="1">IF(OR(I28="",Q28="",S28="",U28="",Y28="",AB28="",AE28="",AG28=""),"",IF('M01-S01'!$V$82&lt;TODAY(),0,IF(MSF20258="Gas Only",0,IF(OR(AK28="",AK28&lt;0,AU28&lt;=AN28),0,IF(ISNUMBER(SEARCH("LED Tube Relamp",K28)),MIN(AU28-AN28,ROUND(IF(ISNUMBER(SEARCH("1-Lamp 4FT HO Fluor.",C28)),(S28*1),0),2)),0)))))</f>
        <v/>
      </c>
    </row>
    <row r="29" spans="2:60" ht="15.95" customHeight="1">
      <c r="B29" s="829"/>
      <c r="C29" s="835"/>
      <c r="D29" s="836"/>
      <c r="E29" s="836"/>
      <c r="F29" s="836"/>
      <c r="G29" s="836"/>
      <c r="H29" s="837"/>
      <c r="I29" s="840"/>
      <c r="J29" s="841"/>
      <c r="K29" s="843"/>
      <c r="L29" s="836"/>
      <c r="M29" s="836"/>
      <c r="N29" s="836"/>
      <c r="O29" s="836"/>
      <c r="P29" s="837"/>
      <c r="Q29" s="840"/>
      <c r="R29" s="845"/>
      <c r="S29" s="848"/>
      <c r="T29" s="849"/>
      <c r="U29" s="835"/>
      <c r="V29" s="836"/>
      <c r="W29" s="836"/>
      <c r="X29" s="837"/>
      <c r="Y29" s="851"/>
      <c r="Z29" s="836"/>
      <c r="AA29" s="837"/>
      <c r="AB29" s="848"/>
      <c r="AC29" s="853"/>
      <c r="AD29" s="849"/>
      <c r="AE29" s="856"/>
      <c r="AF29" s="857"/>
      <c r="AG29" s="860"/>
      <c r="AH29" s="870"/>
      <c r="AI29" s="864"/>
      <c r="AJ29" s="865"/>
      <c r="AK29" s="823"/>
      <c r="AL29" s="824"/>
      <c r="AM29" s="828"/>
      <c r="AN29" s="818"/>
      <c r="AO29" s="819"/>
      <c r="AP29" s="819"/>
      <c r="AQ29" s="820"/>
      <c r="AU29" s="809"/>
      <c r="AV29" s="814"/>
      <c r="AW29" s="812"/>
      <c r="AX29" s="812"/>
      <c r="AY29" s="812"/>
      <c r="AZ29" s="812"/>
      <c r="BA29" s="807"/>
      <c r="BB29" s="807"/>
      <c r="BC29" s="826"/>
      <c r="BE29" s="807"/>
      <c r="BF29" s="807"/>
      <c r="BG29" s="807"/>
    </row>
    <row r="30" spans="2:60" ht="15.95" customHeight="1">
      <c r="B30" s="829">
        <v>8</v>
      </c>
      <c r="C30" s="866"/>
      <c r="D30" s="867"/>
      <c r="E30" s="867"/>
      <c r="F30" s="867"/>
      <c r="G30" s="867"/>
      <c r="H30" s="868"/>
      <c r="I30" s="838" t="str">
        <f>IFERROR(IF(C30="","",IF(INDEX(PMELIGHTTYPE[Base Autofill],MATCH(C30,PMELIGHTTYPE[Base Desc 1],0))="","",INDEX(PMELIGHTTYPE[Base Autofill],MATCH(C30,PMELIGHTTYPE[Base Desc 1],0)))),"")</f>
        <v/>
      </c>
      <c r="J30" s="839"/>
      <c r="K30" s="842"/>
      <c r="L30" s="833"/>
      <c r="M30" s="833"/>
      <c r="N30" s="833"/>
      <c r="O30" s="833"/>
      <c r="P30" s="834"/>
      <c r="Q30" s="838" t="str">
        <f t="shared" ref="Q30" si="49">IFERROR(IF(ISNUMBER(SEARCH("Removed",K30)),0,""),"")</f>
        <v/>
      </c>
      <c r="R30" s="844"/>
      <c r="S30" s="846"/>
      <c r="T30" s="847"/>
      <c r="U30" s="832"/>
      <c r="V30" s="833"/>
      <c r="W30" s="833"/>
      <c r="X30" s="834"/>
      <c r="Y30" s="850"/>
      <c r="Z30" s="833"/>
      <c r="AA30" s="834"/>
      <c r="AB30" s="846"/>
      <c r="AC30" s="852"/>
      <c r="AD30" s="847"/>
      <c r="AE30" s="854" t="str">
        <f t="shared" ref="AE30" si="50">IF(ISNUMBER(SEARCH("Removed",K30)),0,"")</f>
        <v/>
      </c>
      <c r="AF30" s="855"/>
      <c r="AG30" s="858"/>
      <c r="AH30" s="869"/>
      <c r="AI30" s="862" t="str">
        <f>IFERROR(IF(K30="","",IF(C30&lt;&gt;INDEX(PMELIGHT[Base Desc 1],MATCH(K30,PMELIGHT[Eff Desc 1],0)),0,INDEX(PMELIGHT[Inc Rate Unit],MATCH(K30,PMELIGHT[Eff Desc 1],0)))),"")</f>
        <v/>
      </c>
      <c r="AJ30" s="863"/>
      <c r="AK30" s="821" t="str">
        <f t="shared" ref="AK30" si="51">IFERROR(IF(OR(C30="",I30="",K30="",Q30="",S30="",U30="",Y30="",AB30="",AE30="",AG30=""),"",IFERROR(ROUND(IF(I30-Q30&lt;=0,0,((((I30-Q30)*S30*AB30/1000)+AZ30)*BA30)+BB30),2),"")),"")</f>
        <v/>
      </c>
      <c r="AL30" s="822"/>
      <c r="AM30" s="827"/>
      <c r="AN30" s="815" t="str">
        <f t="shared" ref="AN30" si="52">IFERROR(IF(OR(C30="",I30="",K30="",Q30="",S30="",U30="",Y30="",AB30="",AE30="",AG30=""),"",IF(BC30&lt;&gt;"",BC30,ROUND(IF(I30-Q30&lt;=0,0,MIN(AU30,AI30*S30)),2))),"")</f>
        <v/>
      </c>
      <c r="AO30" s="816"/>
      <c r="AP30" s="816"/>
      <c r="AQ30" s="817"/>
      <c r="AU30" s="808" t="str">
        <f t="shared" ref="AU30" si="53">IF(OR(I30="",Q30="",S30="",U30="",Y30="",AB30="",AE30="",AG30=""),"",IF(AK30=0,"",(ROUND((AE30+AG30)*S30,2))))</f>
        <v/>
      </c>
      <c r="AV30" s="813" t="str">
        <f>IFERROR(IF(OR(I30="",Q30="",S30="",U30="",Y30="",AB30="",AE30="",AG30="",AK30=0),"",IF(ISNUMBER(SEARCH("Exterior",K30)),0,ROUND(((I30-Q30)*S30/1000)*INDEX(LightingWHF[Coincidence Factor CF],MATCH(M02S02F26,LightingWHF[Building/Space Type],0))*
IF(OR(M02S02F32="AC with Natural Gas Heat",M02S02F32="AC with Electric Heat",M02S02F32="Heat Pump"),INDEX(LightingWHF[Waste Heat Cooling Demand WHFd],MATCH(M02S02F26,LightingWHF[Building/Space Type],0)),1),3))),"")</f>
        <v/>
      </c>
      <c r="AW30" s="811" t="str">
        <f t="shared" ref="AW30" si="54">IF(OR(I30="",Q30="",S30="",U30="",Y30="",AB30="",AE30="",AG30=""),"",ROUND(I30*S30*AB30/1000,0))</f>
        <v/>
      </c>
      <c r="AX30" s="811" t="str">
        <f t="shared" ref="AX30" si="55">IF(OR(I30="",Q30="",S30="",U30="",Y30="",AB30="",AE30="",AG30=""),"",ROUND(Q30*S30*AB30/1000,0))</f>
        <v/>
      </c>
      <c r="AY30" s="811" t="str">
        <f>IF(OR(I30="",Q30="",S30="",U30="",Y30="",AB30="",AE30="",AG30=""),"",ROUND(IF(ISNUMBER(SEARCH("Exterior",K30)),0,IF(M02S02F46="Electric Only",0,IF(OR(M02S02F32="AC with Natural Gas Heat",M02S02F32="Natural Gas Heat Only"),(((I30-Q30)/1000)*S30*AB30*-INDEX(LightingWHF[Waste Heat Gas Heating IFTherms],MATCH(M02S02F26,LightingWHF[Building/Space Type],0))),0))),0))</f>
        <v/>
      </c>
      <c r="AZ30" s="811" t="str">
        <f>IF(OR(I30="",Q30="",S30="",U30="",Y30="",AB30="",AE30="",AG30=""),"",IF(M02S02F46="Gas Only",0,IF(ISNUMBER(SEARCH("Exterior",K30)),0,IF(M02S02F32="Heat Pump",(((I30-Q30)/1000)*S30*AB30*-INDEX(LightingWHF[Waste Heat Electric Heat Pump Heating IFkWh],MATCH(M02S02F26,LightingWHF[Building/Space Type],0))),
IF(OR(M02S02F32="AC with Electric Heat",M02S02F32="Electric Heat Only"),(((I30-Q30)/1000)*S30*AB30*-INDEX(LightingWHF[Waste Heat Electric Resistance Heating IFkWh],MATCH(M02S02F26,LightingWHF[Building/Space Type],0))),0
)))))</f>
        <v/>
      </c>
      <c r="BA30" s="810" t="str">
        <f>IF(OR(I30="",Q30="",S30="",U30="",Y30="",AB30="",AE30="",AG30=""),"",IF(M02S02F46="Gas Only",0,IF(ISNUMBER(SEARCH("Exterior",K30)),1,IF(OR(M02S02F32="Heat Pump",M02S02F32="AC with Natural Gas Heat",M02S02F32="AC with Electric Heat"),(INDEX(LightingWHF[Waste Heat Cooling Energy WHFe],MATCH(M02S02F26,LightingWHF[Building/Space Type],0))),1))))</f>
        <v/>
      </c>
      <c r="BB30" s="810" t="str">
        <f t="shared" ref="BB30" si="56">IF(OR(I30="",Q30="",S30="",U30="",Y30="",AB30="",AE30="",AG30=""),"",IF(ISNUMBER(SEARCH("LLLC",K30)),((S30*Q30)/1000)*AB30*(0.49-0)*BA30,IF(ISNUMBER(SEARCH("sensor",K30)),((S30*Q30)/1000)*AB30*(0.24-0)*BA30,0)))</f>
        <v/>
      </c>
      <c r="BC30" s="825" t="str">
        <f>IFERROR(IF(OR(C30="",I30="",K30="",Q30="",S30="",U30="",Y30="",AB30="",AE30="",AG30=""),"",IF(OR(ISBLANK(M02S02F26),ISBLANK(M02S02F32),ISBLANK(M02S02F46)),MEASUREBLDG,IF((I30*S30)&lt;=(Q30*S30),MEASURESAVE,""))),MEASURESUBMIT)</f>
        <v/>
      </c>
      <c r="BE30" s="806" t="str">
        <f ca="1">IF(OR(I30="",Q30="",S30="",U30="",Y30="",AB30="",AE30="",AG30=""),"",IF('M01-S01'!$V$82&lt;TODAY(),0,IF(M02S02F46="Gas Only",0,IF(OR(AK30="",AK30&lt;0,AU30&lt;=AN30),0,IF(BF30&gt;0,MIN(AU30-AN30-BF30,ROUND((AN30+BF30)*0.2,2)),MIN(AU30-AN30,ROUND(AN30*0.2,2)))))))</f>
        <v/>
      </c>
      <c r="BF30" s="806" t="str">
        <f ca="1">IF(OR(I30="",Q30="",S30="",U30="",Y30="",AB30="",AE30="",AG30=""),"",IF('M01-S01'!$V$82&lt;TODAY(),0,IF(MSF20260="Gas Only",0,IF(OR(AK30="",AK30&lt;0,AU30&lt;=AN30),0,IF(ISNUMBER(SEARCH("LED Tube Relamp",K30)),MIN(AU30-AN30,ROUND(IF(ISNUMBER(SEARCH("1-Lamp 4FT Fluor.",C30)),(S30*2),0),2)),0)))))</f>
        <v/>
      </c>
      <c r="BG30" s="806" t="str">
        <f ca="1">IF(OR(I30="",Q30="",S30="",U30="",Y30="",AB30="",AE30="",AG30=""),"",IF('M01-S01'!$V$82&lt;TODAY(),0,IF(MSF20260="Gas Only",0,IF(OR(AK30="",AK30&lt;0,AU30&lt;=AN30),0,IF(ISNUMBER(SEARCH("LED Tube Relamp",K30)),MIN(AU30-AN30,ROUND(IF(ISNUMBER(SEARCH("1-Lamp 4FT HO Fluor.",C30)),(S30*1),0),2)),0)))))</f>
        <v/>
      </c>
    </row>
    <row r="31" spans="2:60" ht="15.95" customHeight="1">
      <c r="B31" s="829"/>
      <c r="C31" s="835"/>
      <c r="D31" s="836"/>
      <c r="E31" s="836"/>
      <c r="F31" s="836"/>
      <c r="G31" s="836"/>
      <c r="H31" s="837"/>
      <c r="I31" s="840"/>
      <c r="J31" s="841"/>
      <c r="K31" s="843"/>
      <c r="L31" s="836"/>
      <c r="M31" s="836"/>
      <c r="N31" s="836"/>
      <c r="O31" s="836"/>
      <c r="P31" s="837"/>
      <c r="Q31" s="840"/>
      <c r="R31" s="845"/>
      <c r="S31" s="848"/>
      <c r="T31" s="849"/>
      <c r="U31" s="835"/>
      <c r="V31" s="836"/>
      <c r="W31" s="836"/>
      <c r="X31" s="837"/>
      <c r="Y31" s="851"/>
      <c r="Z31" s="836"/>
      <c r="AA31" s="837"/>
      <c r="AB31" s="848"/>
      <c r="AC31" s="853"/>
      <c r="AD31" s="849"/>
      <c r="AE31" s="856"/>
      <c r="AF31" s="857"/>
      <c r="AG31" s="860"/>
      <c r="AH31" s="870"/>
      <c r="AI31" s="864"/>
      <c r="AJ31" s="865"/>
      <c r="AK31" s="823"/>
      <c r="AL31" s="824"/>
      <c r="AM31" s="828"/>
      <c r="AN31" s="818"/>
      <c r="AO31" s="819"/>
      <c r="AP31" s="819"/>
      <c r="AQ31" s="820"/>
      <c r="AU31" s="809"/>
      <c r="AV31" s="814"/>
      <c r="AW31" s="812"/>
      <c r="AX31" s="812"/>
      <c r="AY31" s="812"/>
      <c r="AZ31" s="812"/>
      <c r="BA31" s="807"/>
      <c r="BB31" s="807"/>
      <c r="BC31" s="826"/>
      <c r="BE31" s="807"/>
      <c r="BF31" s="807"/>
      <c r="BG31" s="807"/>
    </row>
    <row r="32" spans="2:60" ht="15.95" customHeight="1">
      <c r="B32" s="829">
        <v>9</v>
      </c>
      <c r="C32" s="866"/>
      <c r="D32" s="867"/>
      <c r="E32" s="867"/>
      <c r="F32" s="867"/>
      <c r="G32" s="867"/>
      <c r="H32" s="868"/>
      <c r="I32" s="838" t="str">
        <f>IFERROR(IF(C32="","",IF(INDEX(PMELIGHTTYPE[Base Autofill],MATCH(C32,PMELIGHTTYPE[Base Desc 1],0))="","",INDEX(PMELIGHTTYPE[Base Autofill],MATCH(C32,PMELIGHTTYPE[Base Desc 1],0)))),"")</f>
        <v/>
      </c>
      <c r="J32" s="839"/>
      <c r="K32" s="842"/>
      <c r="L32" s="833"/>
      <c r="M32" s="833"/>
      <c r="N32" s="833"/>
      <c r="O32" s="833"/>
      <c r="P32" s="834"/>
      <c r="Q32" s="838" t="str">
        <f t="shared" ref="Q32" si="57">IFERROR(IF(ISNUMBER(SEARCH("Removed",K32)),0,""),"")</f>
        <v/>
      </c>
      <c r="R32" s="844"/>
      <c r="S32" s="846"/>
      <c r="T32" s="847"/>
      <c r="U32" s="832"/>
      <c r="V32" s="833"/>
      <c r="W32" s="833"/>
      <c r="X32" s="834"/>
      <c r="Y32" s="850"/>
      <c r="Z32" s="833"/>
      <c r="AA32" s="834"/>
      <c r="AB32" s="846"/>
      <c r="AC32" s="852"/>
      <c r="AD32" s="847"/>
      <c r="AE32" s="854" t="str">
        <f t="shared" ref="AE32" si="58">IF(ISNUMBER(SEARCH("Removed",K32)),0,"")</f>
        <v/>
      </c>
      <c r="AF32" s="855"/>
      <c r="AG32" s="858"/>
      <c r="AH32" s="869"/>
      <c r="AI32" s="862" t="str">
        <f>IFERROR(IF(K32="","",IF(C32&lt;&gt;INDEX(PMELIGHT[Base Desc 1],MATCH(K32,PMELIGHT[Eff Desc 1],0)),0,INDEX(PMELIGHT[Inc Rate Unit],MATCH(K32,PMELIGHT[Eff Desc 1],0)))),"")</f>
        <v/>
      </c>
      <c r="AJ32" s="863"/>
      <c r="AK32" s="821" t="str">
        <f t="shared" ref="AK32" si="59">IFERROR(IF(OR(C32="",I32="",K32="",Q32="",S32="",U32="",Y32="",AB32="",AE32="",AG32=""),"",IFERROR(ROUND(IF(I32-Q32&lt;=0,0,((((I32-Q32)*S32*AB32/1000)+AZ32)*BA32)+BB32),2),"")),"")</f>
        <v/>
      </c>
      <c r="AL32" s="822"/>
      <c r="AM32" s="827"/>
      <c r="AN32" s="815" t="str">
        <f t="shared" ref="AN32" si="60">IFERROR(IF(OR(C32="",I32="",K32="",Q32="",S32="",U32="",Y32="",AB32="",AE32="",AG32=""),"",IF(BC32&lt;&gt;"",BC32,ROUND(IF(I32-Q32&lt;=0,0,MIN(AU32,AI32*S32)),2))),"")</f>
        <v/>
      </c>
      <c r="AO32" s="816"/>
      <c r="AP32" s="816"/>
      <c r="AQ32" s="817"/>
      <c r="AU32" s="808" t="str">
        <f t="shared" ref="AU32" si="61">IF(OR(I32="",Q32="",S32="",U32="",Y32="",AB32="",AE32="",AG32=""),"",IF(AK32=0,"",(ROUND((AE32+AG32)*S32,2))))</f>
        <v/>
      </c>
      <c r="AV32" s="813" t="str">
        <f>IFERROR(IF(OR(I32="",Q32="",S32="",U32="",Y32="",AB32="",AE32="",AG32="",AK32=0),"",IF(ISNUMBER(SEARCH("Exterior",K32)),0,ROUND(((I32-Q32)*S32/1000)*INDEX(LightingWHF[Coincidence Factor CF],MATCH(M02S02F26,LightingWHF[Building/Space Type],0))*
IF(OR(M02S02F32="AC with Natural Gas Heat",M02S02F32="AC with Electric Heat",M02S02F32="Heat Pump"),INDEX(LightingWHF[Waste Heat Cooling Demand WHFd],MATCH(M02S02F26,LightingWHF[Building/Space Type],0)),1),3))),"")</f>
        <v/>
      </c>
      <c r="AW32" s="811" t="str">
        <f t="shared" ref="AW32" si="62">IF(OR(I32="",Q32="",S32="",U32="",Y32="",AB32="",AE32="",AG32=""),"",ROUND(I32*S32*AB32/1000,0))</f>
        <v/>
      </c>
      <c r="AX32" s="811" t="str">
        <f t="shared" ref="AX32" si="63">IF(OR(I32="",Q32="",S32="",U32="",Y32="",AB32="",AE32="",AG32=""),"",ROUND(Q32*S32*AB32/1000,0))</f>
        <v/>
      </c>
      <c r="AY32" s="811" t="str">
        <f>IF(OR(I32="",Q32="",S32="",U32="",Y32="",AB32="",AE32="",AG32=""),"",ROUND(IF(ISNUMBER(SEARCH("Exterior",K32)),0,IF(M02S02F46="Electric Only",0,IF(OR(M02S02F32="AC with Natural Gas Heat",M02S02F32="Natural Gas Heat Only"),(((I32-Q32)/1000)*S32*AB32*-INDEX(LightingWHF[Waste Heat Gas Heating IFTherms],MATCH(M02S02F26,LightingWHF[Building/Space Type],0))),0))),0))</f>
        <v/>
      </c>
      <c r="AZ32" s="811" t="str">
        <f>IF(OR(I32="",Q32="",S32="",U32="",Y32="",AB32="",AE32="",AG32=""),"",IF(M02S02F46="Gas Only",0,IF(ISNUMBER(SEARCH("Exterior",K32)),0,IF(M02S02F32="Heat Pump",(((I32-Q32)/1000)*S32*AB32*-INDEX(LightingWHF[Waste Heat Electric Heat Pump Heating IFkWh],MATCH(M02S02F26,LightingWHF[Building/Space Type],0))),
IF(OR(M02S02F32="AC with Electric Heat",M02S02F32="Electric Heat Only"),(((I32-Q32)/1000)*S32*AB32*-INDEX(LightingWHF[Waste Heat Electric Resistance Heating IFkWh],MATCH(M02S02F26,LightingWHF[Building/Space Type],0))),0
)))))</f>
        <v/>
      </c>
      <c r="BA32" s="810" t="str">
        <f>IF(OR(I32="",Q32="",S32="",U32="",Y32="",AB32="",AE32="",AG32=""),"",IF(M02S02F46="Gas Only",0,IF(ISNUMBER(SEARCH("Exterior",K32)),1,IF(OR(M02S02F32="Heat Pump",M02S02F32="AC with Natural Gas Heat",M02S02F32="AC with Electric Heat"),(INDEX(LightingWHF[Waste Heat Cooling Energy WHFe],MATCH(M02S02F26,LightingWHF[Building/Space Type],0))),1))))</f>
        <v/>
      </c>
      <c r="BB32" s="810" t="str">
        <f t="shared" ref="BB32" si="64">IF(OR(I32="",Q32="",S32="",U32="",Y32="",AB32="",AE32="",AG32=""),"",IF(ISNUMBER(SEARCH("LLLC",K32)),((S32*Q32)/1000)*AB32*(0.49-0)*BA32,IF(ISNUMBER(SEARCH("sensor",K32)),((S32*Q32)/1000)*AB32*(0.24-0)*BA32,0)))</f>
        <v/>
      </c>
      <c r="BC32" s="825" t="str">
        <f>IFERROR(IF(OR(C32="",I32="",K32="",Q32="",S32="",U32="",Y32="",AB32="",AE32="",AG32=""),"",IF(OR(ISBLANK(M02S02F26),ISBLANK(M02S02F32),ISBLANK(M02S02F46)),MEASUREBLDG,IF((I32*S32)&lt;=(Q32*S32),MEASURESAVE,""))),MEASURESUBMIT)</f>
        <v/>
      </c>
      <c r="BE32" s="806" t="str">
        <f ca="1">IF(OR(I32="",Q32="",S32="",U32="",Y32="",AB32="",AE32="",AG32=""),"",IF('M01-S01'!$V$82&lt;TODAY(),0,IF(M02S02F46="Gas Only",0,IF(OR(AK32="",AK32&lt;0,AU32&lt;=AN32),0,IF(BF32&gt;0,MIN(AU32-AN32-BF32,ROUND((AN32+BF32)*0.2,2)),MIN(AU32-AN32,ROUND(AN32*0.2,2)))))))</f>
        <v/>
      </c>
      <c r="BF32" s="806" t="str">
        <f ca="1">IF(OR(I32="",Q32="",S32="",U32="",Y32="",AB32="",AE32="",AG32=""),"",IF('M01-S01'!$V$82&lt;TODAY(),0,IF(MSF20262="Gas Only",0,IF(OR(AK32="",AK32&lt;0,AU32&lt;=AN32),0,IF(ISNUMBER(SEARCH("LED Tube Relamp",K32)),MIN(AU32-AN32,ROUND(IF(ISNUMBER(SEARCH("1-Lamp 4FT Fluor.",C32)),(S32*2),0),2)),0)))))</f>
        <v/>
      </c>
      <c r="BG32" s="806" t="str">
        <f ca="1">IF(OR(I32="",Q32="",S32="",U32="",Y32="",AB32="",AE32="",AG32=""),"",IF('M01-S01'!$V$82&lt;TODAY(),0,IF(MSF20262="Gas Only",0,IF(OR(AK32="",AK32&lt;0,AU32&lt;=AN32),0,IF(ISNUMBER(SEARCH("LED Tube Relamp",K32)),MIN(AU32-AN32,ROUND(IF(ISNUMBER(SEARCH("1-Lamp 4FT HO Fluor.",C32)),(S32*1),0),2)),0)))))</f>
        <v/>
      </c>
    </row>
    <row r="33" spans="2:59" ht="15.95" customHeight="1">
      <c r="B33" s="829"/>
      <c r="C33" s="835"/>
      <c r="D33" s="836"/>
      <c r="E33" s="836"/>
      <c r="F33" s="836"/>
      <c r="G33" s="836"/>
      <c r="H33" s="837"/>
      <c r="I33" s="840"/>
      <c r="J33" s="841"/>
      <c r="K33" s="843"/>
      <c r="L33" s="836"/>
      <c r="M33" s="836"/>
      <c r="N33" s="836"/>
      <c r="O33" s="836"/>
      <c r="P33" s="837"/>
      <c r="Q33" s="840"/>
      <c r="R33" s="845"/>
      <c r="S33" s="848"/>
      <c r="T33" s="849"/>
      <c r="U33" s="835"/>
      <c r="V33" s="836"/>
      <c r="W33" s="836"/>
      <c r="X33" s="837"/>
      <c r="Y33" s="851"/>
      <c r="Z33" s="836"/>
      <c r="AA33" s="837"/>
      <c r="AB33" s="848"/>
      <c r="AC33" s="853"/>
      <c r="AD33" s="849"/>
      <c r="AE33" s="856"/>
      <c r="AF33" s="857"/>
      <c r="AG33" s="860"/>
      <c r="AH33" s="870"/>
      <c r="AI33" s="864"/>
      <c r="AJ33" s="865"/>
      <c r="AK33" s="823"/>
      <c r="AL33" s="824"/>
      <c r="AM33" s="828"/>
      <c r="AN33" s="818"/>
      <c r="AO33" s="819"/>
      <c r="AP33" s="819"/>
      <c r="AQ33" s="820"/>
      <c r="AU33" s="809"/>
      <c r="AV33" s="814"/>
      <c r="AW33" s="812"/>
      <c r="AX33" s="812"/>
      <c r="AY33" s="812"/>
      <c r="AZ33" s="812"/>
      <c r="BA33" s="807"/>
      <c r="BB33" s="807"/>
      <c r="BC33" s="826"/>
      <c r="BE33" s="807"/>
      <c r="BF33" s="807"/>
      <c r="BG33" s="807"/>
    </row>
    <row r="34" spans="2:59" ht="15.95" customHeight="1">
      <c r="B34" s="829">
        <v>10</v>
      </c>
      <c r="C34" s="866"/>
      <c r="D34" s="867"/>
      <c r="E34" s="867"/>
      <c r="F34" s="867"/>
      <c r="G34" s="867"/>
      <c r="H34" s="868"/>
      <c r="I34" s="838" t="str">
        <f>IFERROR(IF(C34="","",IF(INDEX(PMELIGHTTYPE[Base Autofill],MATCH(C34,PMELIGHTTYPE[Base Desc 1],0))="","",INDEX(PMELIGHTTYPE[Base Autofill],MATCH(C34,PMELIGHTTYPE[Base Desc 1],0)))),"")</f>
        <v/>
      </c>
      <c r="J34" s="839"/>
      <c r="K34" s="842"/>
      <c r="L34" s="833"/>
      <c r="M34" s="833"/>
      <c r="N34" s="833"/>
      <c r="O34" s="833"/>
      <c r="P34" s="834"/>
      <c r="Q34" s="838" t="str">
        <f t="shared" ref="Q34" si="65">IFERROR(IF(ISNUMBER(SEARCH("Removed",K34)),0,""),"")</f>
        <v/>
      </c>
      <c r="R34" s="844"/>
      <c r="S34" s="846"/>
      <c r="T34" s="847"/>
      <c r="U34" s="832"/>
      <c r="V34" s="833"/>
      <c r="W34" s="833"/>
      <c r="X34" s="834"/>
      <c r="Y34" s="850"/>
      <c r="Z34" s="833"/>
      <c r="AA34" s="834"/>
      <c r="AB34" s="846"/>
      <c r="AC34" s="852"/>
      <c r="AD34" s="847"/>
      <c r="AE34" s="854" t="str">
        <f t="shared" ref="AE34" si="66">IF(ISNUMBER(SEARCH("Removed",K34)),0,"")</f>
        <v/>
      </c>
      <c r="AF34" s="855"/>
      <c r="AG34" s="858"/>
      <c r="AH34" s="869"/>
      <c r="AI34" s="862" t="str">
        <f>IFERROR(IF(K34="","",IF(C34&lt;&gt;INDEX(PMELIGHT[Base Desc 1],MATCH(K34,PMELIGHT[Eff Desc 1],0)),0,INDEX(PMELIGHT[Inc Rate Unit],MATCH(K34,PMELIGHT[Eff Desc 1],0)))),"")</f>
        <v/>
      </c>
      <c r="AJ34" s="863"/>
      <c r="AK34" s="821" t="str">
        <f t="shared" ref="AK34" si="67">IFERROR(IF(OR(C34="",I34="",K34="",Q34="",S34="",U34="",Y34="",AB34="",AE34="",AG34=""),"",IFERROR(ROUND(IF(I34-Q34&lt;=0,0,((((I34-Q34)*S34*AB34/1000)+AZ34)*BA34)+BB34),2),"")),"")</f>
        <v/>
      </c>
      <c r="AL34" s="822"/>
      <c r="AM34" s="827"/>
      <c r="AN34" s="815" t="str">
        <f t="shared" ref="AN34" si="68">IFERROR(IF(OR(C34="",I34="",K34="",Q34="",S34="",U34="",Y34="",AB34="",AE34="",AG34=""),"",IF(BC34&lt;&gt;"",BC34,ROUND(IF(I34-Q34&lt;=0,0,MIN(AU34,AI34*S34)),2))),"")</f>
        <v/>
      </c>
      <c r="AO34" s="816"/>
      <c r="AP34" s="816"/>
      <c r="AQ34" s="817"/>
      <c r="AU34" s="808" t="str">
        <f t="shared" ref="AU34" si="69">IF(OR(I34="",Q34="",S34="",U34="",Y34="",AB34="",AE34="",AG34=""),"",IF(AK34=0,"",(ROUND((AE34+AG34)*S34,2))))</f>
        <v/>
      </c>
      <c r="AV34" s="813" t="str">
        <f>IFERROR(IF(OR(I34="",Q34="",S34="",U34="",Y34="",AB34="",AE34="",AG34="",AK34=0),"",IF(ISNUMBER(SEARCH("Exterior",K34)),0,ROUND(((I34-Q34)*S34/1000)*INDEX(LightingWHF[Coincidence Factor CF],MATCH(M02S02F26,LightingWHF[Building/Space Type],0))*
IF(OR(M02S02F32="AC with Natural Gas Heat",M02S02F32="AC with Electric Heat",M02S02F32="Heat Pump"),INDEX(LightingWHF[Waste Heat Cooling Demand WHFd],MATCH(M02S02F26,LightingWHF[Building/Space Type],0)),1),3))),"")</f>
        <v/>
      </c>
      <c r="AW34" s="811" t="str">
        <f t="shared" ref="AW34" si="70">IF(OR(I34="",Q34="",S34="",U34="",Y34="",AB34="",AE34="",AG34=""),"",ROUND(I34*S34*AB34/1000,0))</f>
        <v/>
      </c>
      <c r="AX34" s="811" t="str">
        <f t="shared" ref="AX34" si="71">IF(OR(I34="",Q34="",S34="",U34="",Y34="",AB34="",AE34="",AG34=""),"",ROUND(Q34*S34*AB34/1000,0))</f>
        <v/>
      </c>
      <c r="AY34" s="811" t="str">
        <f>IF(OR(I34="",Q34="",S34="",U34="",Y34="",AB34="",AE34="",AG34=""),"",ROUND(IF(ISNUMBER(SEARCH("Exterior",K34)),0,IF(M02S02F46="Electric Only",0,IF(OR(M02S02F32="AC with Natural Gas Heat",M02S02F32="Natural Gas Heat Only"),(((I34-Q34)/1000)*S34*AB34*-INDEX(LightingWHF[Waste Heat Gas Heating IFTherms],MATCH(M02S02F26,LightingWHF[Building/Space Type],0))),0))),0))</f>
        <v/>
      </c>
      <c r="AZ34" s="811" t="str">
        <f>IF(OR(I34="",Q34="",S34="",U34="",Y34="",AB34="",AE34="",AG34=""),"",IF(M02S02F46="Gas Only",0,IF(ISNUMBER(SEARCH("Exterior",K34)),0,IF(M02S02F32="Heat Pump",(((I34-Q34)/1000)*S34*AB34*-INDEX(LightingWHF[Waste Heat Electric Heat Pump Heating IFkWh],MATCH(M02S02F26,LightingWHF[Building/Space Type],0))),
IF(OR(M02S02F32="AC with Electric Heat",M02S02F32="Electric Heat Only"),(((I34-Q34)/1000)*S34*AB34*-INDEX(LightingWHF[Waste Heat Electric Resistance Heating IFkWh],MATCH(M02S02F26,LightingWHF[Building/Space Type],0))),0
)))))</f>
        <v/>
      </c>
      <c r="BA34" s="810" t="str">
        <f>IF(OR(I34="",Q34="",S34="",U34="",Y34="",AB34="",AE34="",AG34=""),"",IF(M02S02F46="Gas Only",0,IF(ISNUMBER(SEARCH("Exterior",K34)),1,IF(OR(M02S02F32="Heat Pump",M02S02F32="AC with Natural Gas Heat",M02S02F32="AC with Electric Heat"),(INDEX(LightingWHF[Waste Heat Cooling Energy WHFe],MATCH(M02S02F26,LightingWHF[Building/Space Type],0))),1))))</f>
        <v/>
      </c>
      <c r="BB34" s="810" t="str">
        <f t="shared" ref="BB34" si="72">IF(OR(I34="",Q34="",S34="",U34="",Y34="",AB34="",AE34="",AG34=""),"",IF(ISNUMBER(SEARCH("LLLC",K34)),((S34*Q34)/1000)*AB34*(0.49-0)*BA34,IF(ISNUMBER(SEARCH("sensor",K34)),((S34*Q34)/1000)*AB34*(0.24-0)*BA34,0)))</f>
        <v/>
      </c>
      <c r="BC34" s="825" t="str">
        <f>IFERROR(IF(OR(C34="",I34="",K34="",Q34="",S34="",U34="",Y34="",AB34="",AE34="",AG34=""),"",IF(OR(ISBLANK(M02S02F26),ISBLANK(M02S02F32),ISBLANK(M02S02F46)),MEASUREBLDG,IF((I34*S34)&lt;=(Q34*S34),MEASURESAVE,""))),MEASURESUBMIT)</f>
        <v/>
      </c>
      <c r="BE34" s="806" t="str">
        <f ca="1">IF(OR(I34="",Q34="",S34="",U34="",Y34="",AB34="",AE34="",AG34=""),"",IF('M01-S01'!$V$82&lt;TODAY(),0,IF(M02S02F46="Gas Only",0,IF(OR(AK34="",AK34&lt;0,AU34&lt;=AN34),0,IF(BF34&gt;0,MIN(AU34-AN34-BF34,ROUND((AN34+BF34)*0.2,2)),MIN(AU34-AN34,ROUND(AN34*0.2,2)))))))</f>
        <v/>
      </c>
      <c r="BF34" s="806" t="str">
        <f ca="1">IF(OR(I34="",Q34="",S34="",U34="",Y34="",AB34="",AE34="",AG34=""),"",IF('M01-S01'!$V$82&lt;TODAY(),0,IF(MSF20264="Gas Only",0,IF(OR(AK34="",AK34&lt;0,AU34&lt;=AN34),0,IF(ISNUMBER(SEARCH("LED Tube Relamp",K34)),MIN(AU34-AN34,ROUND(IF(ISNUMBER(SEARCH("1-Lamp 4FT Fluor.",C34)),(S34*2),0),2)),0)))))</f>
        <v/>
      </c>
      <c r="BG34" s="806" t="str">
        <f ca="1">IF(OR(I34="",Q34="",S34="",U34="",Y34="",AB34="",AE34="",AG34=""),"",IF('M01-S01'!$V$82&lt;TODAY(),0,IF(MSF20264="Gas Only",0,IF(OR(AK34="",AK34&lt;0,AU34&lt;=AN34),0,IF(ISNUMBER(SEARCH("LED Tube Relamp",K34)),MIN(AU34-AN34,ROUND(IF(ISNUMBER(SEARCH("1-Lamp 4FT HO Fluor.",C34)),(S34*1),0),2)),0)))))</f>
        <v/>
      </c>
    </row>
    <row r="35" spans="2:59" ht="15.95" customHeight="1">
      <c r="B35" s="829"/>
      <c r="C35" s="835"/>
      <c r="D35" s="836"/>
      <c r="E35" s="836"/>
      <c r="F35" s="836"/>
      <c r="G35" s="836"/>
      <c r="H35" s="837"/>
      <c r="I35" s="840"/>
      <c r="J35" s="841"/>
      <c r="K35" s="843"/>
      <c r="L35" s="836"/>
      <c r="M35" s="836"/>
      <c r="N35" s="836"/>
      <c r="O35" s="836"/>
      <c r="P35" s="837"/>
      <c r="Q35" s="840"/>
      <c r="R35" s="845"/>
      <c r="S35" s="848"/>
      <c r="T35" s="849"/>
      <c r="U35" s="835"/>
      <c r="V35" s="836"/>
      <c r="W35" s="836"/>
      <c r="X35" s="837"/>
      <c r="Y35" s="851"/>
      <c r="Z35" s="836"/>
      <c r="AA35" s="837"/>
      <c r="AB35" s="848"/>
      <c r="AC35" s="853"/>
      <c r="AD35" s="849"/>
      <c r="AE35" s="856"/>
      <c r="AF35" s="857"/>
      <c r="AG35" s="860"/>
      <c r="AH35" s="870"/>
      <c r="AI35" s="864"/>
      <c r="AJ35" s="865"/>
      <c r="AK35" s="823"/>
      <c r="AL35" s="824"/>
      <c r="AM35" s="828"/>
      <c r="AN35" s="818"/>
      <c r="AO35" s="819"/>
      <c r="AP35" s="819"/>
      <c r="AQ35" s="820"/>
      <c r="AU35" s="809"/>
      <c r="AV35" s="814"/>
      <c r="AW35" s="812"/>
      <c r="AX35" s="812"/>
      <c r="AY35" s="812"/>
      <c r="AZ35" s="812"/>
      <c r="BA35" s="807"/>
      <c r="BB35" s="807"/>
      <c r="BC35" s="826"/>
      <c r="BE35" s="807"/>
      <c r="BF35" s="807"/>
      <c r="BG35" s="807"/>
    </row>
    <row r="36" spans="2:59" ht="15.95" customHeight="1">
      <c r="B36" s="829">
        <v>11</v>
      </c>
      <c r="C36" s="866"/>
      <c r="D36" s="867"/>
      <c r="E36" s="867"/>
      <c r="F36" s="867"/>
      <c r="G36" s="867"/>
      <c r="H36" s="868"/>
      <c r="I36" s="838" t="str">
        <f>IFERROR(IF(C36="","",IF(INDEX(PMELIGHTTYPE[Base Autofill],MATCH(C36,PMELIGHTTYPE[Base Desc 1],0))="","",INDEX(PMELIGHTTYPE[Base Autofill],MATCH(C36,PMELIGHTTYPE[Base Desc 1],0)))),"")</f>
        <v/>
      </c>
      <c r="J36" s="839"/>
      <c r="K36" s="842"/>
      <c r="L36" s="833"/>
      <c r="M36" s="833"/>
      <c r="N36" s="833"/>
      <c r="O36" s="833"/>
      <c r="P36" s="834"/>
      <c r="Q36" s="838" t="str">
        <f t="shared" ref="Q36" si="73">IFERROR(IF(ISNUMBER(SEARCH("Removed",K36)),0,""),"")</f>
        <v/>
      </c>
      <c r="R36" s="844"/>
      <c r="S36" s="846"/>
      <c r="T36" s="847"/>
      <c r="U36" s="832"/>
      <c r="V36" s="833"/>
      <c r="W36" s="833"/>
      <c r="X36" s="834"/>
      <c r="Y36" s="850"/>
      <c r="Z36" s="833"/>
      <c r="AA36" s="834"/>
      <c r="AB36" s="846"/>
      <c r="AC36" s="852"/>
      <c r="AD36" s="847"/>
      <c r="AE36" s="854" t="str">
        <f t="shared" ref="AE36" si="74">IF(ISNUMBER(SEARCH("Removed",K36)),0,"")</f>
        <v/>
      </c>
      <c r="AF36" s="855"/>
      <c r="AG36" s="858"/>
      <c r="AH36" s="869"/>
      <c r="AI36" s="862" t="str">
        <f>IFERROR(IF(K36="","",IF(C36&lt;&gt;INDEX(PMELIGHT[Base Desc 1],MATCH(K36,PMELIGHT[Eff Desc 1],0)),0,INDEX(PMELIGHT[Inc Rate Unit],MATCH(K36,PMELIGHT[Eff Desc 1],0)))),"")</f>
        <v/>
      </c>
      <c r="AJ36" s="863"/>
      <c r="AK36" s="821" t="str">
        <f t="shared" ref="AK36" si="75">IFERROR(IF(OR(C36="",I36="",K36="",Q36="",S36="",U36="",Y36="",AB36="",AE36="",AG36=""),"",IFERROR(ROUND(IF(I36-Q36&lt;=0,0,((((I36-Q36)*S36*AB36/1000)+AZ36)*BA36)+BB36),2),"")),"")</f>
        <v/>
      </c>
      <c r="AL36" s="822"/>
      <c r="AM36" s="827"/>
      <c r="AN36" s="815" t="str">
        <f t="shared" ref="AN36" si="76">IFERROR(IF(OR(C36="",I36="",K36="",Q36="",S36="",U36="",Y36="",AB36="",AE36="",AG36=""),"",IF(BC36&lt;&gt;"",BC36,ROUND(IF(I36-Q36&lt;=0,0,MIN(AU36,AI36*S36)),2))),"")</f>
        <v/>
      </c>
      <c r="AO36" s="816"/>
      <c r="AP36" s="816"/>
      <c r="AQ36" s="817"/>
      <c r="AU36" s="808" t="str">
        <f t="shared" ref="AU36" si="77">IF(OR(I36="",Q36="",S36="",U36="",Y36="",AB36="",AE36="",AG36=""),"",IF(AK36=0,"",(ROUND((AE36+AG36)*S36,2))))</f>
        <v/>
      </c>
      <c r="AV36" s="813" t="str">
        <f>IFERROR(IF(OR(I36="",Q36="",S36="",U36="",Y36="",AB36="",AE36="",AG36="",AK36=0),"",IF(ISNUMBER(SEARCH("Exterior",K36)),0,ROUND(((I36-Q36)*S36/1000)*INDEX(LightingWHF[Coincidence Factor CF],MATCH(M02S02F26,LightingWHF[Building/Space Type],0))*
IF(OR(M02S02F32="AC with Natural Gas Heat",M02S02F32="AC with Electric Heat",M02S02F32="Heat Pump"),INDEX(LightingWHF[Waste Heat Cooling Demand WHFd],MATCH(M02S02F26,LightingWHF[Building/Space Type],0)),1),3))),"")</f>
        <v/>
      </c>
      <c r="AW36" s="811" t="str">
        <f t="shared" ref="AW36" si="78">IF(OR(I36="",Q36="",S36="",U36="",Y36="",AB36="",AE36="",AG36=""),"",ROUND(I36*S36*AB36/1000,0))</f>
        <v/>
      </c>
      <c r="AX36" s="811" t="str">
        <f t="shared" ref="AX36" si="79">IF(OR(I36="",Q36="",S36="",U36="",Y36="",AB36="",AE36="",AG36=""),"",ROUND(Q36*S36*AB36/1000,0))</f>
        <v/>
      </c>
      <c r="AY36" s="811" t="str">
        <f>IF(OR(I36="",Q36="",S36="",U36="",Y36="",AB36="",AE36="",AG36=""),"",ROUND(IF(ISNUMBER(SEARCH("Exterior",K36)),0,IF(M02S02F46="Electric Only",0,IF(OR(M02S02F32="AC with Natural Gas Heat",M02S02F32="Natural Gas Heat Only"),(((I36-Q36)/1000)*S36*AB36*-INDEX(LightingWHF[Waste Heat Gas Heating IFTherms],MATCH(M02S02F26,LightingWHF[Building/Space Type],0))),0))),0))</f>
        <v/>
      </c>
      <c r="AZ36" s="811" t="str">
        <f>IF(OR(I36="",Q36="",S36="",U36="",Y36="",AB36="",AE36="",AG36=""),"",IF(M02S02F46="Gas Only",0,IF(ISNUMBER(SEARCH("Exterior",K36)),0,IF(M02S02F32="Heat Pump",(((I36-Q36)/1000)*S36*AB36*-INDEX(LightingWHF[Waste Heat Electric Heat Pump Heating IFkWh],MATCH(M02S02F26,LightingWHF[Building/Space Type],0))),
IF(OR(M02S02F32="AC with Electric Heat",M02S02F32="Electric Heat Only"),(((I36-Q36)/1000)*S36*AB36*-INDEX(LightingWHF[Waste Heat Electric Resistance Heating IFkWh],MATCH(M02S02F26,LightingWHF[Building/Space Type],0))),0
)))))</f>
        <v/>
      </c>
      <c r="BA36" s="810" t="str">
        <f>IF(OR(I36="",Q36="",S36="",U36="",Y36="",AB36="",AE36="",AG36=""),"",IF(M02S02F46="Gas Only",0,IF(ISNUMBER(SEARCH("Exterior",K36)),1,IF(OR(M02S02F32="Heat Pump",M02S02F32="AC with Natural Gas Heat",M02S02F32="AC with Electric Heat"),(INDEX(LightingWHF[Waste Heat Cooling Energy WHFe],MATCH(M02S02F26,LightingWHF[Building/Space Type],0))),1))))</f>
        <v/>
      </c>
      <c r="BB36" s="810" t="str">
        <f t="shared" ref="BB36" si="80">IF(OR(I36="",Q36="",S36="",U36="",Y36="",AB36="",AE36="",AG36=""),"",IF(ISNUMBER(SEARCH("LLLC",K36)),((S36*Q36)/1000)*AB36*(0.49-0)*BA36,IF(ISNUMBER(SEARCH("sensor",K36)),((S36*Q36)/1000)*AB36*(0.24-0)*BA36,0)))</f>
        <v/>
      </c>
      <c r="BC36" s="825" t="str">
        <f>IFERROR(IF(OR(C36="",I36="",K36="",Q36="",S36="",U36="",Y36="",AB36="",AE36="",AG36=""),"",IF(OR(ISBLANK(M02S02F26),ISBLANK(M02S02F32),ISBLANK(M02S02F46)),MEASUREBLDG,IF((I36*S36)&lt;=(Q36*S36),MEASURESAVE,""))),MEASURESUBMIT)</f>
        <v/>
      </c>
      <c r="BE36" s="806" t="str">
        <f ca="1">IF(OR(I36="",Q36="",S36="",U36="",Y36="",AB36="",AE36="",AG36=""),"",IF('M01-S01'!$V$82&lt;TODAY(),0,IF(M02S02F46="Gas Only",0,IF(OR(AK36="",AK36&lt;0,AU36&lt;=AN36),0,IF(BF36&gt;0,MIN(AU36-AN36-BF36,ROUND((AN36+BF36)*0.2,2)),MIN(AU36-AN36,ROUND(AN36*0.2,2)))))))</f>
        <v/>
      </c>
      <c r="BF36" s="806" t="str">
        <f ca="1">IF(OR(I36="",Q36="",S36="",U36="",Y36="",AB36="",AE36="",AG36=""),"",IF('M01-S01'!$V$82&lt;TODAY(),0,IF(MSF20266="Gas Only",0,IF(OR(AK36="",AK36&lt;0,AU36&lt;=AN36),0,IF(ISNUMBER(SEARCH("LED Tube Relamp",K36)),MIN(AU36-AN36,ROUND(IF(ISNUMBER(SEARCH("1-Lamp 4FT Fluor.",C36)),(S36*2),0),2)),0)))))</f>
        <v/>
      </c>
      <c r="BG36" s="806" t="str">
        <f ca="1">IF(OR(I36="",Q36="",S36="",U36="",Y36="",AB36="",AE36="",AG36=""),"",IF('M01-S01'!$V$82&lt;TODAY(),0,IF(MSF20266="Gas Only",0,IF(OR(AK36="",AK36&lt;0,AU36&lt;=AN36),0,IF(ISNUMBER(SEARCH("LED Tube Relamp",K36)),MIN(AU36-AN36,ROUND(IF(ISNUMBER(SEARCH("1-Lamp 4FT HO Fluor.",C36)),(S36*1),0),2)),0)))))</f>
        <v/>
      </c>
    </row>
    <row r="37" spans="2:59" ht="15.95" customHeight="1">
      <c r="B37" s="829"/>
      <c r="C37" s="835"/>
      <c r="D37" s="836"/>
      <c r="E37" s="836"/>
      <c r="F37" s="836"/>
      <c r="G37" s="836"/>
      <c r="H37" s="837"/>
      <c r="I37" s="840"/>
      <c r="J37" s="841"/>
      <c r="K37" s="843"/>
      <c r="L37" s="836"/>
      <c r="M37" s="836"/>
      <c r="N37" s="836"/>
      <c r="O37" s="836"/>
      <c r="P37" s="837"/>
      <c r="Q37" s="840"/>
      <c r="R37" s="845"/>
      <c r="S37" s="848"/>
      <c r="T37" s="849"/>
      <c r="U37" s="835"/>
      <c r="V37" s="836"/>
      <c r="W37" s="836"/>
      <c r="X37" s="837"/>
      <c r="Y37" s="851"/>
      <c r="Z37" s="836"/>
      <c r="AA37" s="837"/>
      <c r="AB37" s="848"/>
      <c r="AC37" s="853"/>
      <c r="AD37" s="849"/>
      <c r="AE37" s="856"/>
      <c r="AF37" s="857"/>
      <c r="AG37" s="860"/>
      <c r="AH37" s="870"/>
      <c r="AI37" s="864"/>
      <c r="AJ37" s="865"/>
      <c r="AK37" s="823"/>
      <c r="AL37" s="824"/>
      <c r="AM37" s="828"/>
      <c r="AN37" s="818"/>
      <c r="AO37" s="819"/>
      <c r="AP37" s="819"/>
      <c r="AQ37" s="820"/>
      <c r="AU37" s="809"/>
      <c r="AV37" s="814"/>
      <c r="AW37" s="812"/>
      <c r="AX37" s="812"/>
      <c r="AY37" s="812"/>
      <c r="AZ37" s="812"/>
      <c r="BA37" s="807"/>
      <c r="BB37" s="807"/>
      <c r="BC37" s="826"/>
      <c r="BE37" s="807"/>
      <c r="BF37" s="807"/>
      <c r="BG37" s="807"/>
    </row>
    <row r="38" spans="2:59" ht="15.95" customHeight="1">
      <c r="B38" s="829">
        <v>12</v>
      </c>
      <c r="C38" s="866"/>
      <c r="D38" s="867"/>
      <c r="E38" s="867"/>
      <c r="F38" s="867"/>
      <c r="G38" s="867"/>
      <c r="H38" s="868"/>
      <c r="I38" s="838" t="str">
        <f>IFERROR(IF(C38="","",IF(INDEX(PMELIGHTTYPE[Base Autofill],MATCH(C38,PMELIGHTTYPE[Base Desc 1],0))="","",INDEX(PMELIGHTTYPE[Base Autofill],MATCH(C38,PMELIGHTTYPE[Base Desc 1],0)))),"")</f>
        <v/>
      </c>
      <c r="J38" s="839"/>
      <c r="K38" s="842"/>
      <c r="L38" s="833"/>
      <c r="M38" s="833"/>
      <c r="N38" s="833"/>
      <c r="O38" s="833"/>
      <c r="P38" s="834"/>
      <c r="Q38" s="838" t="str">
        <f t="shared" ref="Q38" si="81">IFERROR(IF(ISNUMBER(SEARCH("Removed",K38)),0,""),"")</f>
        <v/>
      </c>
      <c r="R38" s="844"/>
      <c r="S38" s="846"/>
      <c r="T38" s="847"/>
      <c r="U38" s="832"/>
      <c r="V38" s="833"/>
      <c r="W38" s="833"/>
      <c r="X38" s="834"/>
      <c r="Y38" s="850"/>
      <c r="Z38" s="833"/>
      <c r="AA38" s="834"/>
      <c r="AB38" s="846"/>
      <c r="AC38" s="852"/>
      <c r="AD38" s="847"/>
      <c r="AE38" s="854" t="str">
        <f t="shared" ref="AE38" si="82">IF(ISNUMBER(SEARCH("Removed",K38)),0,"")</f>
        <v/>
      </c>
      <c r="AF38" s="855"/>
      <c r="AG38" s="858"/>
      <c r="AH38" s="869"/>
      <c r="AI38" s="862" t="str">
        <f>IFERROR(IF(K38="","",IF(C38&lt;&gt;INDEX(PMELIGHT[Base Desc 1],MATCH(K38,PMELIGHT[Eff Desc 1],0)),0,INDEX(PMELIGHT[Inc Rate Unit],MATCH(K38,PMELIGHT[Eff Desc 1],0)))),"")</f>
        <v/>
      </c>
      <c r="AJ38" s="863"/>
      <c r="AK38" s="821" t="str">
        <f t="shared" ref="AK38" si="83">IFERROR(IF(OR(C38="",I38="",K38="",Q38="",S38="",U38="",Y38="",AB38="",AE38="",AG38=""),"",IFERROR(ROUND(IF(I38-Q38&lt;=0,0,((((I38-Q38)*S38*AB38/1000)+AZ38)*BA38)+BB38),2),"")),"")</f>
        <v/>
      </c>
      <c r="AL38" s="822"/>
      <c r="AM38" s="827"/>
      <c r="AN38" s="815" t="str">
        <f t="shared" ref="AN38" si="84">IFERROR(IF(OR(C38="",I38="",K38="",Q38="",S38="",U38="",Y38="",AB38="",AE38="",AG38=""),"",IF(BC38&lt;&gt;"",BC38,ROUND(IF(I38-Q38&lt;=0,0,MIN(AU38,AI38*S38)),2))),"")</f>
        <v/>
      </c>
      <c r="AO38" s="816"/>
      <c r="AP38" s="816"/>
      <c r="AQ38" s="817"/>
      <c r="AU38" s="808" t="str">
        <f t="shared" ref="AU38" si="85">IF(OR(I38="",Q38="",S38="",U38="",Y38="",AB38="",AE38="",AG38=""),"",IF(AK38=0,"",(ROUND((AE38+AG38)*S38,2))))</f>
        <v/>
      </c>
      <c r="AV38" s="813" t="str">
        <f>IFERROR(IF(OR(I38="",Q38="",S38="",U38="",Y38="",AB38="",AE38="",AG38="",AK38=0),"",IF(ISNUMBER(SEARCH("Exterior",K38)),0,ROUND(((I38-Q38)*S38/1000)*INDEX(LightingWHF[Coincidence Factor CF],MATCH(M02S02F26,LightingWHF[Building/Space Type],0))*
IF(OR(M02S02F32="AC with Natural Gas Heat",M02S02F32="AC with Electric Heat",M02S02F32="Heat Pump"),INDEX(LightingWHF[Waste Heat Cooling Demand WHFd],MATCH(M02S02F26,LightingWHF[Building/Space Type],0)),1),3))),"")</f>
        <v/>
      </c>
      <c r="AW38" s="811" t="str">
        <f t="shared" ref="AW38" si="86">IF(OR(I38="",Q38="",S38="",U38="",Y38="",AB38="",AE38="",AG38=""),"",ROUND(I38*S38*AB38/1000,0))</f>
        <v/>
      </c>
      <c r="AX38" s="811" t="str">
        <f t="shared" ref="AX38" si="87">IF(OR(I38="",Q38="",S38="",U38="",Y38="",AB38="",AE38="",AG38=""),"",ROUND(Q38*S38*AB38/1000,0))</f>
        <v/>
      </c>
      <c r="AY38" s="811" t="str">
        <f>IF(OR(I38="",Q38="",S38="",U38="",Y38="",AB38="",AE38="",AG38=""),"",ROUND(IF(ISNUMBER(SEARCH("Exterior",K38)),0,IF(M02S02F46="Electric Only",0,IF(OR(M02S02F32="AC with Natural Gas Heat",M02S02F32="Natural Gas Heat Only"),(((I38-Q38)/1000)*S38*AB38*-INDEX(LightingWHF[Waste Heat Gas Heating IFTherms],MATCH(M02S02F26,LightingWHF[Building/Space Type],0))),0))),0))</f>
        <v/>
      </c>
      <c r="AZ38" s="811" t="str">
        <f>IF(OR(I38="",Q38="",S38="",U38="",Y38="",AB38="",AE38="",AG38=""),"",IF(M02S02F46="Gas Only",0,IF(ISNUMBER(SEARCH("Exterior",K38)),0,IF(M02S02F32="Heat Pump",(((I38-Q38)/1000)*S38*AB38*-INDEX(LightingWHF[Waste Heat Electric Heat Pump Heating IFkWh],MATCH(M02S02F26,LightingWHF[Building/Space Type],0))),
IF(OR(M02S02F32="AC with Electric Heat",M02S02F32="Electric Heat Only"),(((I38-Q38)/1000)*S38*AB38*-INDEX(LightingWHF[Waste Heat Electric Resistance Heating IFkWh],MATCH(M02S02F26,LightingWHF[Building/Space Type],0))),0
)))))</f>
        <v/>
      </c>
      <c r="BA38" s="810" t="str">
        <f>IF(OR(I38="",Q38="",S38="",U38="",Y38="",AB38="",AE38="",AG38=""),"",IF(M02S02F46="Gas Only",0,IF(ISNUMBER(SEARCH("Exterior",K38)),1,IF(OR(M02S02F32="Heat Pump",M02S02F32="AC with Natural Gas Heat",M02S02F32="AC with Electric Heat"),(INDEX(LightingWHF[Waste Heat Cooling Energy WHFe],MATCH(M02S02F26,LightingWHF[Building/Space Type],0))),1))))</f>
        <v/>
      </c>
      <c r="BB38" s="810" t="str">
        <f t="shared" ref="BB38" si="88">IF(OR(I38="",Q38="",S38="",U38="",Y38="",AB38="",AE38="",AG38=""),"",IF(ISNUMBER(SEARCH("LLLC",K38)),((S38*Q38)/1000)*AB38*(0.49-0)*BA38,IF(ISNUMBER(SEARCH("sensor",K38)),((S38*Q38)/1000)*AB38*(0.24-0)*BA38,0)))</f>
        <v/>
      </c>
      <c r="BC38" s="825" t="str">
        <f>IFERROR(IF(OR(C38="",I38="",K38="",Q38="",S38="",U38="",Y38="",AB38="",AE38="",AG38=""),"",IF(OR(ISBLANK(M02S02F26),ISBLANK(M02S02F32),ISBLANK(M02S02F46)),MEASUREBLDG,IF((I38*S38)&lt;=(Q38*S38),MEASURESAVE,""))),MEASURESUBMIT)</f>
        <v/>
      </c>
      <c r="BE38" s="806" t="str">
        <f ca="1">IF(OR(I38="",Q38="",S38="",U38="",Y38="",AB38="",AE38="",AG38=""),"",IF('M01-S01'!$V$82&lt;TODAY(),0,IF(M02S02F46="Gas Only",0,IF(OR(AK38="",AK38&lt;0,AU38&lt;=AN38),0,IF(BF38&gt;0,MIN(AU38-AN38-BF38,ROUND((AN38+BF38)*0.2,2)),MIN(AU38-AN38,ROUND(AN38*0.2,2)))))))</f>
        <v/>
      </c>
      <c r="BF38" s="806" t="str">
        <f ca="1">IF(OR(I38="",Q38="",S38="",U38="",Y38="",AB38="",AE38="",AG38=""),"",IF('M01-S01'!$V$82&lt;TODAY(),0,IF(MSF20268="Gas Only",0,IF(OR(AK38="",AK38&lt;0,AU38&lt;=AN38),0,IF(ISNUMBER(SEARCH("LED Tube Relamp",K38)),MIN(AU38-AN38,ROUND(IF(ISNUMBER(SEARCH("1-Lamp 4FT Fluor.",C38)),(S38*2),0),2)),0)))))</f>
        <v/>
      </c>
      <c r="BG38" s="806" t="str">
        <f ca="1">IF(OR(I38="",Q38="",S38="",U38="",Y38="",AB38="",AE38="",AG38=""),"",IF('M01-S01'!$V$82&lt;TODAY(),0,IF(MSF20268="Gas Only",0,IF(OR(AK38="",AK38&lt;0,AU38&lt;=AN38),0,IF(ISNUMBER(SEARCH("LED Tube Relamp",K38)),MIN(AU38-AN38,ROUND(IF(ISNUMBER(SEARCH("1-Lamp 4FT HO Fluor.",C38)),(S38*1),0),2)),0)))))</f>
        <v/>
      </c>
    </row>
    <row r="39" spans="2:59" ht="15.95" customHeight="1">
      <c r="B39" s="829"/>
      <c r="C39" s="835"/>
      <c r="D39" s="836"/>
      <c r="E39" s="836"/>
      <c r="F39" s="836"/>
      <c r="G39" s="836"/>
      <c r="H39" s="837"/>
      <c r="I39" s="840"/>
      <c r="J39" s="841"/>
      <c r="K39" s="843"/>
      <c r="L39" s="836"/>
      <c r="M39" s="836"/>
      <c r="N39" s="836"/>
      <c r="O39" s="836"/>
      <c r="P39" s="837"/>
      <c r="Q39" s="840"/>
      <c r="R39" s="845"/>
      <c r="S39" s="848"/>
      <c r="T39" s="849"/>
      <c r="U39" s="835"/>
      <c r="V39" s="836"/>
      <c r="W39" s="836"/>
      <c r="X39" s="837"/>
      <c r="Y39" s="851"/>
      <c r="Z39" s="836"/>
      <c r="AA39" s="837"/>
      <c r="AB39" s="848"/>
      <c r="AC39" s="853"/>
      <c r="AD39" s="849"/>
      <c r="AE39" s="856"/>
      <c r="AF39" s="857"/>
      <c r="AG39" s="860"/>
      <c r="AH39" s="870"/>
      <c r="AI39" s="864"/>
      <c r="AJ39" s="865"/>
      <c r="AK39" s="823"/>
      <c r="AL39" s="824"/>
      <c r="AM39" s="828"/>
      <c r="AN39" s="818"/>
      <c r="AO39" s="819"/>
      <c r="AP39" s="819"/>
      <c r="AQ39" s="820"/>
      <c r="AU39" s="809"/>
      <c r="AV39" s="814"/>
      <c r="AW39" s="812"/>
      <c r="AX39" s="812"/>
      <c r="AY39" s="812"/>
      <c r="AZ39" s="812"/>
      <c r="BA39" s="807"/>
      <c r="BB39" s="807"/>
      <c r="BC39" s="826"/>
      <c r="BE39" s="807"/>
      <c r="BF39" s="807"/>
      <c r="BG39" s="807"/>
    </row>
    <row r="40" spans="2:59" ht="15.95" customHeight="1">
      <c r="B40" s="829">
        <v>13</v>
      </c>
      <c r="C40" s="866"/>
      <c r="D40" s="867"/>
      <c r="E40" s="867"/>
      <c r="F40" s="867"/>
      <c r="G40" s="867"/>
      <c r="H40" s="868"/>
      <c r="I40" s="838" t="str">
        <f>IFERROR(IF(C40="","",IF(INDEX(PMELIGHTTYPE[Base Autofill],MATCH(C40,PMELIGHTTYPE[Base Desc 1],0))="","",INDEX(PMELIGHTTYPE[Base Autofill],MATCH(C40,PMELIGHTTYPE[Base Desc 1],0)))),"")</f>
        <v/>
      </c>
      <c r="J40" s="839"/>
      <c r="K40" s="842"/>
      <c r="L40" s="833"/>
      <c r="M40" s="833"/>
      <c r="N40" s="833"/>
      <c r="O40" s="833"/>
      <c r="P40" s="834"/>
      <c r="Q40" s="838" t="str">
        <f t="shared" ref="Q40" si="89">IFERROR(IF(ISNUMBER(SEARCH("Removed",K40)),0,""),"")</f>
        <v/>
      </c>
      <c r="R40" s="844"/>
      <c r="S40" s="846"/>
      <c r="T40" s="847"/>
      <c r="U40" s="832"/>
      <c r="V40" s="833"/>
      <c r="W40" s="833"/>
      <c r="X40" s="834"/>
      <c r="Y40" s="850"/>
      <c r="Z40" s="833"/>
      <c r="AA40" s="834"/>
      <c r="AB40" s="846"/>
      <c r="AC40" s="852"/>
      <c r="AD40" s="847"/>
      <c r="AE40" s="854" t="str">
        <f t="shared" ref="AE40" si="90">IF(ISNUMBER(SEARCH("Removed",K40)),0,"")</f>
        <v/>
      </c>
      <c r="AF40" s="855"/>
      <c r="AG40" s="858"/>
      <c r="AH40" s="869"/>
      <c r="AI40" s="862" t="str">
        <f>IFERROR(IF(K40="","",IF(C40&lt;&gt;INDEX(PMELIGHT[Base Desc 1],MATCH(K40,PMELIGHT[Eff Desc 1],0)),0,INDEX(PMELIGHT[Inc Rate Unit],MATCH(K40,PMELIGHT[Eff Desc 1],0)))),"")</f>
        <v/>
      </c>
      <c r="AJ40" s="863"/>
      <c r="AK40" s="821" t="str">
        <f t="shared" ref="AK40" si="91">IFERROR(IF(OR(C40="",I40="",K40="",Q40="",S40="",U40="",Y40="",AB40="",AE40="",AG40=""),"",IFERROR(ROUND(IF(I40-Q40&lt;=0,0,((((I40-Q40)*S40*AB40/1000)+AZ40)*BA40)+BB40),2),"")),"")</f>
        <v/>
      </c>
      <c r="AL40" s="822"/>
      <c r="AM40" s="827"/>
      <c r="AN40" s="815" t="str">
        <f t="shared" ref="AN40" si="92">IFERROR(IF(OR(C40="",I40="",K40="",Q40="",S40="",U40="",Y40="",AB40="",AE40="",AG40=""),"",IF(BC40&lt;&gt;"",BC40,ROUND(IF(I40-Q40&lt;=0,0,MIN(AU40,AI40*S40)),2))),"")</f>
        <v/>
      </c>
      <c r="AO40" s="816"/>
      <c r="AP40" s="816"/>
      <c r="AQ40" s="817"/>
      <c r="AU40" s="808" t="str">
        <f t="shared" ref="AU40" si="93">IF(OR(I40="",Q40="",S40="",U40="",Y40="",AB40="",AE40="",AG40=""),"",IF(AK40=0,"",(ROUND((AE40+AG40)*S40,2))))</f>
        <v/>
      </c>
      <c r="AV40" s="813" t="str">
        <f>IFERROR(IF(OR(I40="",Q40="",S40="",U40="",Y40="",AB40="",AE40="",AG40="",AK40=0),"",IF(ISNUMBER(SEARCH("Exterior",K40)),0,ROUND(((I40-Q40)*S40/1000)*INDEX(LightingWHF[Coincidence Factor CF],MATCH(M02S02F26,LightingWHF[Building/Space Type],0))*
IF(OR(M02S02F32="AC with Natural Gas Heat",M02S02F32="AC with Electric Heat",M02S02F32="Heat Pump"),INDEX(LightingWHF[Waste Heat Cooling Demand WHFd],MATCH(M02S02F26,LightingWHF[Building/Space Type],0)),1),3))),"")</f>
        <v/>
      </c>
      <c r="AW40" s="811" t="str">
        <f t="shared" ref="AW40" si="94">IF(OR(I40="",Q40="",S40="",U40="",Y40="",AB40="",AE40="",AG40=""),"",ROUND(I40*S40*AB40/1000,0))</f>
        <v/>
      </c>
      <c r="AX40" s="811" t="str">
        <f t="shared" ref="AX40" si="95">IF(OR(I40="",Q40="",S40="",U40="",Y40="",AB40="",AE40="",AG40=""),"",ROUND(Q40*S40*AB40/1000,0))</f>
        <v/>
      </c>
      <c r="AY40" s="811" t="str">
        <f>IF(OR(I40="",Q40="",S40="",U40="",Y40="",AB40="",AE40="",AG40=""),"",ROUND(IF(ISNUMBER(SEARCH("Exterior",K40)),0,IF(M02S02F46="Electric Only",0,IF(OR(M02S02F32="AC with Natural Gas Heat",M02S02F32="Natural Gas Heat Only"),(((I40-Q40)/1000)*S40*AB40*-INDEX(LightingWHF[Waste Heat Gas Heating IFTherms],MATCH(M02S02F26,LightingWHF[Building/Space Type],0))),0))),0))</f>
        <v/>
      </c>
      <c r="AZ40" s="811" t="str">
        <f>IF(OR(I40="",Q40="",S40="",U40="",Y40="",AB40="",AE40="",AG40=""),"",IF(M02S02F46="Gas Only",0,IF(ISNUMBER(SEARCH("Exterior",K40)),0,IF(M02S02F32="Heat Pump",(((I40-Q40)/1000)*S40*AB40*-INDEX(LightingWHF[Waste Heat Electric Heat Pump Heating IFkWh],MATCH(M02S02F26,LightingWHF[Building/Space Type],0))),
IF(OR(M02S02F32="AC with Electric Heat",M02S02F32="Electric Heat Only"),(((I40-Q40)/1000)*S40*AB40*-INDEX(LightingWHF[Waste Heat Electric Resistance Heating IFkWh],MATCH(M02S02F26,LightingWHF[Building/Space Type],0))),0
)))))</f>
        <v/>
      </c>
      <c r="BA40" s="810" t="str">
        <f>IF(OR(I40="",Q40="",S40="",U40="",Y40="",AB40="",AE40="",AG40=""),"",IF(M02S02F46="Gas Only",0,IF(ISNUMBER(SEARCH("Exterior",K40)),1,IF(OR(M02S02F32="Heat Pump",M02S02F32="AC with Natural Gas Heat",M02S02F32="AC with Electric Heat"),(INDEX(LightingWHF[Waste Heat Cooling Energy WHFe],MATCH(M02S02F26,LightingWHF[Building/Space Type],0))),1))))</f>
        <v/>
      </c>
      <c r="BB40" s="810" t="str">
        <f t="shared" ref="BB40" si="96">IF(OR(I40="",Q40="",S40="",U40="",Y40="",AB40="",AE40="",AG40=""),"",IF(ISNUMBER(SEARCH("LLLC",K40)),((S40*Q40)/1000)*AB40*(0.49-0)*BA40,IF(ISNUMBER(SEARCH("sensor",K40)),((S40*Q40)/1000)*AB40*(0.24-0)*BA40,0)))</f>
        <v/>
      </c>
      <c r="BC40" s="825" t="str">
        <f>IFERROR(IF(OR(C40="",I40="",K40="",Q40="",S40="",U40="",Y40="",AB40="",AE40="",AG40=""),"",IF(OR(ISBLANK(M02S02F26),ISBLANK(M02S02F32),ISBLANK(M02S02F46)),MEASUREBLDG,IF((I40*S40)&lt;=(Q40*S40),MEASURESAVE,""))),MEASURESUBMIT)</f>
        <v/>
      </c>
      <c r="BE40" s="806" t="str">
        <f ca="1">IF(OR(I40="",Q40="",S40="",U40="",Y40="",AB40="",AE40="",AG40=""),"",IF('M01-S01'!$V$82&lt;TODAY(),0,IF(M02S02F46="Gas Only",0,IF(OR(AK40="",AK40&lt;0,AU40&lt;=AN40),0,IF(BF40&gt;0,MIN(AU40-AN40-BF40,ROUND((AN40+BF40)*0.2,2)),MIN(AU40-AN40,ROUND(AN40*0.2,2)))))))</f>
        <v/>
      </c>
      <c r="BF40" s="806" t="str">
        <f ca="1">IF(OR(I40="",Q40="",S40="",U40="",Y40="",AB40="",AE40="",AG40=""),"",IF('M01-S01'!$V$82&lt;TODAY(),0,IF(MSF20270="Gas Only",0,IF(OR(AK40="",AK40&lt;0,AU40&lt;=AN40),0,IF(ISNUMBER(SEARCH("LED Tube Relamp",K40)),MIN(AU40-AN40,ROUND(IF(ISNUMBER(SEARCH("1-Lamp 4FT Fluor.",C40)),(S40*2),0),2)),0)))))</f>
        <v/>
      </c>
      <c r="BG40" s="806" t="str">
        <f ca="1">IF(OR(I40="",Q40="",S40="",U40="",Y40="",AB40="",AE40="",AG40=""),"",IF('M01-S01'!$V$82&lt;TODAY(),0,IF(MSF20270="Gas Only",0,IF(OR(AK40="",AK40&lt;0,AU40&lt;=AN40),0,IF(ISNUMBER(SEARCH("LED Tube Relamp",K40)),MIN(AU40-AN40,ROUND(IF(ISNUMBER(SEARCH("1-Lamp 4FT HO Fluor.",C40)),(S40*1),0),2)),0)))))</f>
        <v/>
      </c>
    </row>
    <row r="41" spans="2:59" ht="15.95" customHeight="1">
      <c r="B41" s="829"/>
      <c r="C41" s="835"/>
      <c r="D41" s="836"/>
      <c r="E41" s="836"/>
      <c r="F41" s="836"/>
      <c r="G41" s="836"/>
      <c r="H41" s="837"/>
      <c r="I41" s="840"/>
      <c r="J41" s="841"/>
      <c r="K41" s="843"/>
      <c r="L41" s="836"/>
      <c r="M41" s="836"/>
      <c r="N41" s="836"/>
      <c r="O41" s="836"/>
      <c r="P41" s="837"/>
      <c r="Q41" s="840"/>
      <c r="R41" s="845"/>
      <c r="S41" s="848"/>
      <c r="T41" s="849"/>
      <c r="U41" s="835"/>
      <c r="V41" s="836"/>
      <c r="W41" s="836"/>
      <c r="X41" s="837"/>
      <c r="Y41" s="851"/>
      <c r="Z41" s="836"/>
      <c r="AA41" s="837"/>
      <c r="AB41" s="848"/>
      <c r="AC41" s="853"/>
      <c r="AD41" s="849"/>
      <c r="AE41" s="856"/>
      <c r="AF41" s="857"/>
      <c r="AG41" s="860"/>
      <c r="AH41" s="870"/>
      <c r="AI41" s="864"/>
      <c r="AJ41" s="865"/>
      <c r="AK41" s="823"/>
      <c r="AL41" s="824"/>
      <c r="AM41" s="828"/>
      <c r="AN41" s="818"/>
      <c r="AO41" s="819"/>
      <c r="AP41" s="819"/>
      <c r="AQ41" s="820"/>
      <c r="AU41" s="809"/>
      <c r="AV41" s="814"/>
      <c r="AW41" s="812"/>
      <c r="AX41" s="812"/>
      <c r="AY41" s="812"/>
      <c r="AZ41" s="812"/>
      <c r="BA41" s="807"/>
      <c r="BB41" s="807"/>
      <c r="BC41" s="826"/>
      <c r="BE41" s="807"/>
      <c r="BF41" s="807"/>
      <c r="BG41" s="807"/>
    </row>
    <row r="42" spans="2:59" ht="15.95" customHeight="1">
      <c r="B42" s="829">
        <v>14</v>
      </c>
      <c r="C42" s="832"/>
      <c r="D42" s="833"/>
      <c r="E42" s="833"/>
      <c r="F42" s="833"/>
      <c r="G42" s="833"/>
      <c r="H42" s="834"/>
      <c r="I42" s="838" t="str">
        <f>IFERROR(IF(C42="","",IF(INDEX(PMELIGHTTYPE[Base Autofill],MATCH(C42,PMELIGHTTYPE[Base Desc 1],0))="","",INDEX(PMELIGHTTYPE[Base Autofill],MATCH(C42,PMELIGHTTYPE[Base Desc 1],0)))),"")</f>
        <v/>
      </c>
      <c r="J42" s="839"/>
      <c r="K42" s="842"/>
      <c r="L42" s="833"/>
      <c r="M42" s="833"/>
      <c r="N42" s="833"/>
      <c r="O42" s="833"/>
      <c r="P42" s="834"/>
      <c r="Q42" s="838" t="str">
        <f t="shared" ref="Q42" si="97">IFERROR(IF(ISNUMBER(SEARCH("Removed",K42)),0,""),"")</f>
        <v/>
      </c>
      <c r="R42" s="844"/>
      <c r="S42" s="846"/>
      <c r="T42" s="847"/>
      <c r="U42" s="832"/>
      <c r="V42" s="833"/>
      <c r="W42" s="833"/>
      <c r="X42" s="834"/>
      <c r="Y42" s="850"/>
      <c r="Z42" s="833"/>
      <c r="AA42" s="834"/>
      <c r="AB42" s="846"/>
      <c r="AC42" s="852"/>
      <c r="AD42" s="847"/>
      <c r="AE42" s="854" t="str">
        <f t="shared" ref="AE42" si="98">IF(ISNUMBER(SEARCH("Removed",K42)),0,"")</f>
        <v/>
      </c>
      <c r="AF42" s="855"/>
      <c r="AG42" s="858"/>
      <c r="AH42" s="869"/>
      <c r="AI42" s="862" t="str">
        <f>IFERROR(IF(K42="","",IF(C42&lt;&gt;INDEX(PMELIGHT[Base Desc 1],MATCH(K42,PMELIGHT[Eff Desc 1],0)),0,INDEX(PMELIGHT[Inc Rate Unit],MATCH(K42,PMELIGHT[Eff Desc 1],0)))),"")</f>
        <v/>
      </c>
      <c r="AJ42" s="863"/>
      <c r="AK42" s="821" t="str">
        <f t="shared" ref="AK42" si="99">IFERROR(IF(OR(C42="",I42="",K42="",Q42="",S42="",U42="",Y42="",AB42="",AE42="",AG42=""),"",IFERROR(ROUND(IF(I42-Q42&lt;=0,0,((((I42-Q42)*S42*AB42/1000)+AZ42)*BA42)+BB42),2),"")),"")</f>
        <v/>
      </c>
      <c r="AL42" s="822"/>
      <c r="AM42" s="827"/>
      <c r="AN42" s="815" t="str">
        <f t="shared" ref="AN42" si="100">IFERROR(IF(OR(C42="",I42="",K42="",Q42="",S42="",U42="",Y42="",AB42="",AE42="",AG42=""),"",IF(BC42&lt;&gt;"",BC42,ROUND(IF(I42-Q42&lt;=0,0,MIN(AU42,AI42*S42)),2))),"")</f>
        <v/>
      </c>
      <c r="AO42" s="816"/>
      <c r="AP42" s="816"/>
      <c r="AQ42" s="817"/>
      <c r="AU42" s="808" t="str">
        <f t="shared" ref="AU42" si="101">IF(OR(I42="",Q42="",S42="",U42="",Y42="",AB42="",AE42="",AG42=""),"",IF(AK42=0,"",(ROUND((AE42+AG42)*S42,2))))</f>
        <v/>
      </c>
      <c r="AV42" s="813" t="str">
        <f>IFERROR(IF(OR(I42="",Q42="",S42="",U42="",Y42="",AB42="",AE42="",AG42="",AK42=0),"",IF(ISNUMBER(SEARCH("Exterior",K42)),0,ROUND(((I42-Q42)*S42/1000)*INDEX(LightingWHF[Coincidence Factor CF],MATCH(M02S02F26,LightingWHF[Building/Space Type],0))*
IF(OR(M02S02F32="AC with Natural Gas Heat",M02S02F32="AC with Electric Heat",M02S02F32="Heat Pump"),INDEX(LightingWHF[Waste Heat Cooling Demand WHFd],MATCH(M02S02F26,LightingWHF[Building/Space Type],0)),1),3))),"")</f>
        <v/>
      </c>
      <c r="AW42" s="811" t="str">
        <f t="shared" ref="AW42" si="102">IF(OR(I42="",Q42="",S42="",U42="",Y42="",AB42="",AE42="",AG42=""),"",ROUND(I42*S42*AB42/1000,0))</f>
        <v/>
      </c>
      <c r="AX42" s="811" t="str">
        <f t="shared" ref="AX42" si="103">IF(OR(I42="",Q42="",S42="",U42="",Y42="",AB42="",AE42="",AG42=""),"",ROUND(Q42*S42*AB42/1000,0))</f>
        <v/>
      </c>
      <c r="AY42" s="811" t="str">
        <f>IF(OR(I42="",Q42="",S42="",U42="",Y42="",AB42="",AE42="",AG42=""),"",ROUND(IF(ISNUMBER(SEARCH("Exterior",K42)),0,IF(M02S02F46="Electric Only",0,IF(OR(M02S02F32="AC with Natural Gas Heat",M02S02F32="Natural Gas Heat Only"),(((I42-Q42)/1000)*S42*AB42*-INDEX(LightingWHF[Waste Heat Gas Heating IFTherms],MATCH(M02S02F26,LightingWHF[Building/Space Type],0))),0))),0))</f>
        <v/>
      </c>
      <c r="AZ42" s="811" t="str">
        <f>IF(OR(I42="",Q42="",S42="",U42="",Y42="",AB42="",AE42="",AG42=""),"",IF(M02S02F46="Gas Only",0,IF(ISNUMBER(SEARCH("Exterior",K42)),0,IF(M02S02F32="Heat Pump",(((I42-Q42)/1000)*S42*AB42*-INDEX(LightingWHF[Waste Heat Electric Heat Pump Heating IFkWh],MATCH(M02S02F26,LightingWHF[Building/Space Type],0))),
IF(OR(M02S02F32="AC with Electric Heat",M02S02F32="Electric Heat Only"),(((I42-Q42)/1000)*S42*AB42*-INDEX(LightingWHF[Waste Heat Electric Resistance Heating IFkWh],MATCH(M02S02F26,LightingWHF[Building/Space Type],0))),0
)))))</f>
        <v/>
      </c>
      <c r="BA42" s="810" t="str">
        <f>IF(OR(I42="",Q42="",S42="",U42="",Y42="",AB42="",AE42="",AG42=""),"",IF(M02S02F46="Gas Only",0,IF(ISNUMBER(SEARCH("Exterior",K42)),1,IF(OR(M02S02F32="Heat Pump",M02S02F32="AC with Natural Gas Heat",M02S02F32="AC with Electric Heat"),(INDEX(LightingWHF[Waste Heat Cooling Energy WHFe],MATCH(M02S02F26,LightingWHF[Building/Space Type],0))),1))))</f>
        <v/>
      </c>
      <c r="BB42" s="810" t="str">
        <f t="shared" ref="BB42" si="104">IF(OR(I42="",Q42="",S42="",U42="",Y42="",AB42="",AE42="",AG42=""),"",IF(ISNUMBER(SEARCH("LLLC",K42)),((S42*Q42)/1000)*AB42*(0.49-0)*BA42,IF(ISNUMBER(SEARCH("sensor",K42)),((S42*Q42)/1000)*AB42*(0.24-0)*BA42,0)))</f>
        <v/>
      </c>
      <c r="BC42" s="825" t="str">
        <f>IFERROR(IF(OR(C42="",I42="",K42="",Q42="",S42="",U42="",Y42="",AB42="",AE42="",AG42=""),"",IF(OR(ISBLANK(M02S02F26),ISBLANK(M02S02F32),ISBLANK(M02S02F46)),MEASUREBLDG,IF((I42*S42)&lt;=(Q42*S42),MEASURESAVE,""))),MEASURESUBMIT)</f>
        <v/>
      </c>
      <c r="BE42" s="806" t="str">
        <f ca="1">IF(OR(I42="",Q42="",S42="",U42="",Y42="",AB42="",AE42="",AG42=""),"",IF('M01-S01'!$V$82&lt;TODAY(),0,IF(M02S02F46="Gas Only",0,IF(OR(AK42="",AK42&lt;0,AU42&lt;=AN42),0,IF(BF42&gt;0,MIN(AU42-AN42-BF42,ROUND((AN42+BF42)*0.2,2)),MIN(AU42-AN42,ROUND(AN42*0.2,2)))))))</f>
        <v/>
      </c>
      <c r="BF42" s="806" t="str">
        <f ca="1">IF(OR(I42="",Q42="",S42="",U42="",Y42="",AB42="",AE42="",AG42=""),"",IF('M01-S01'!$V$82&lt;TODAY(),0,IF(MSF20272="Gas Only",0,IF(OR(AK42="",AK42&lt;0,AU42&lt;=AN42),0,IF(ISNUMBER(SEARCH("LED Tube Relamp",K42)),MIN(AU42-AN42,ROUND(IF(ISNUMBER(SEARCH("1-Lamp 4FT Fluor.",C42)),(S42*2),0),2)),0)))))</f>
        <v/>
      </c>
      <c r="BG42" s="806" t="str">
        <f ca="1">IF(OR(I42="",Q42="",S42="",U42="",Y42="",AB42="",AE42="",AG42=""),"",IF('M01-S01'!$V$82&lt;TODAY(),0,IF(MSF20272="Gas Only",0,IF(OR(AK42="",AK42&lt;0,AU42&lt;=AN42),0,IF(ISNUMBER(SEARCH("LED Tube Relamp",K42)),MIN(AU42-AN42,ROUND(IF(ISNUMBER(SEARCH("1-Lamp 4FT HO Fluor.",C42)),(S42*1),0),2)),0)))))</f>
        <v/>
      </c>
    </row>
    <row r="43" spans="2:59" ht="15.95" customHeight="1">
      <c r="B43" s="829"/>
      <c r="C43" s="835"/>
      <c r="D43" s="836"/>
      <c r="E43" s="836"/>
      <c r="F43" s="836"/>
      <c r="G43" s="836"/>
      <c r="H43" s="837"/>
      <c r="I43" s="840"/>
      <c r="J43" s="841"/>
      <c r="K43" s="843"/>
      <c r="L43" s="836"/>
      <c r="M43" s="836"/>
      <c r="N43" s="836"/>
      <c r="O43" s="836"/>
      <c r="P43" s="837"/>
      <c r="Q43" s="840"/>
      <c r="R43" s="845"/>
      <c r="S43" s="848"/>
      <c r="T43" s="849"/>
      <c r="U43" s="835"/>
      <c r="V43" s="836"/>
      <c r="W43" s="836"/>
      <c r="X43" s="837"/>
      <c r="Y43" s="851"/>
      <c r="Z43" s="836"/>
      <c r="AA43" s="837"/>
      <c r="AB43" s="848"/>
      <c r="AC43" s="853"/>
      <c r="AD43" s="849"/>
      <c r="AE43" s="856"/>
      <c r="AF43" s="857"/>
      <c r="AG43" s="860"/>
      <c r="AH43" s="870"/>
      <c r="AI43" s="864"/>
      <c r="AJ43" s="865"/>
      <c r="AK43" s="823"/>
      <c r="AL43" s="824"/>
      <c r="AM43" s="828"/>
      <c r="AN43" s="818"/>
      <c r="AO43" s="819"/>
      <c r="AP43" s="819"/>
      <c r="AQ43" s="820"/>
      <c r="AU43" s="809"/>
      <c r="AV43" s="814"/>
      <c r="AW43" s="812"/>
      <c r="AX43" s="812"/>
      <c r="AY43" s="812"/>
      <c r="AZ43" s="812"/>
      <c r="BA43" s="807"/>
      <c r="BB43" s="807"/>
      <c r="BC43" s="826"/>
      <c r="BE43" s="807"/>
      <c r="BF43" s="807"/>
      <c r="BG43" s="807"/>
    </row>
    <row r="44" spans="2:59" ht="15.95" customHeight="1">
      <c r="B44" s="829">
        <v>15</v>
      </c>
      <c r="C44" s="832"/>
      <c r="D44" s="833"/>
      <c r="E44" s="833"/>
      <c r="F44" s="833"/>
      <c r="G44" s="833"/>
      <c r="H44" s="834"/>
      <c r="I44" s="838" t="str">
        <f>IFERROR(IF(C44="","",IF(INDEX(PMELIGHTTYPE[Base Autofill],MATCH(C44,PMELIGHTTYPE[Base Desc 1],0))="","",INDEX(PMELIGHTTYPE[Base Autofill],MATCH(C44,PMELIGHTTYPE[Base Desc 1],0)))),"")</f>
        <v/>
      </c>
      <c r="J44" s="839"/>
      <c r="K44" s="842"/>
      <c r="L44" s="833"/>
      <c r="M44" s="833"/>
      <c r="N44" s="833"/>
      <c r="O44" s="833"/>
      <c r="P44" s="834"/>
      <c r="Q44" s="838" t="str">
        <f t="shared" ref="Q44" si="105">IFERROR(IF(ISNUMBER(SEARCH("Removed",K44)),0,""),"")</f>
        <v/>
      </c>
      <c r="R44" s="844"/>
      <c r="S44" s="846"/>
      <c r="T44" s="847"/>
      <c r="U44" s="832"/>
      <c r="V44" s="833"/>
      <c r="W44" s="833"/>
      <c r="X44" s="834"/>
      <c r="Y44" s="850"/>
      <c r="Z44" s="833"/>
      <c r="AA44" s="834"/>
      <c r="AB44" s="846"/>
      <c r="AC44" s="852"/>
      <c r="AD44" s="847"/>
      <c r="AE44" s="854" t="str">
        <f t="shared" ref="AE44" si="106">IF(ISNUMBER(SEARCH("Removed",K44)),0,"")</f>
        <v/>
      </c>
      <c r="AF44" s="855"/>
      <c r="AG44" s="858"/>
      <c r="AH44" s="869"/>
      <c r="AI44" s="862" t="str">
        <f>IFERROR(IF(K44="","",IF(C44&lt;&gt;INDEX(PMELIGHT[Base Desc 1],MATCH(K44,PMELIGHT[Eff Desc 1],0)),0,INDEX(PMELIGHT[Inc Rate Unit],MATCH(K44,PMELIGHT[Eff Desc 1],0)))),"")</f>
        <v/>
      </c>
      <c r="AJ44" s="863"/>
      <c r="AK44" s="821" t="str">
        <f t="shared" ref="AK44" si="107">IFERROR(IF(OR(C44="",I44="",K44="",Q44="",S44="",U44="",Y44="",AB44="",AE44="",AG44=""),"",IFERROR(ROUND(IF(I44-Q44&lt;=0,0,((((I44-Q44)*S44*AB44/1000)+AZ44)*BA44)+BB44),2),"")),"")</f>
        <v/>
      </c>
      <c r="AL44" s="822"/>
      <c r="AM44" s="827"/>
      <c r="AN44" s="815" t="str">
        <f t="shared" ref="AN44" si="108">IFERROR(IF(OR(C44="",I44="",K44="",Q44="",S44="",U44="",Y44="",AB44="",AE44="",AG44=""),"",IF(BC44&lt;&gt;"",BC44,ROUND(IF(I44-Q44&lt;=0,0,MIN(AU44,AI44*S44)),2))),"")</f>
        <v/>
      </c>
      <c r="AO44" s="816"/>
      <c r="AP44" s="816"/>
      <c r="AQ44" s="817"/>
      <c r="AU44" s="808" t="str">
        <f t="shared" ref="AU44" si="109">IF(OR(I44="",Q44="",S44="",U44="",Y44="",AB44="",AE44="",AG44=""),"",IF(AK44=0,"",(ROUND((AE44+AG44)*S44,2))))</f>
        <v/>
      </c>
      <c r="AV44" s="813" t="str">
        <f>IFERROR(IF(OR(I44="",Q44="",S44="",U44="",Y44="",AB44="",AE44="",AG44="",AK44=0),"",IF(ISNUMBER(SEARCH("Exterior",K44)),0,ROUND(((I44-Q44)*S44/1000)*INDEX(LightingWHF[Coincidence Factor CF],MATCH(M02S02F26,LightingWHF[Building/Space Type],0))*
IF(OR(M02S02F32="AC with Natural Gas Heat",M02S02F32="AC with Electric Heat",M02S02F32="Heat Pump"),INDEX(LightingWHF[Waste Heat Cooling Demand WHFd],MATCH(M02S02F26,LightingWHF[Building/Space Type],0)),1),3))),"")</f>
        <v/>
      </c>
      <c r="AW44" s="811" t="str">
        <f t="shared" ref="AW44" si="110">IF(OR(I44="",Q44="",S44="",U44="",Y44="",AB44="",AE44="",AG44=""),"",ROUND(I44*S44*AB44/1000,0))</f>
        <v/>
      </c>
      <c r="AX44" s="811" t="str">
        <f t="shared" ref="AX44" si="111">IF(OR(I44="",Q44="",S44="",U44="",Y44="",AB44="",AE44="",AG44=""),"",ROUND(Q44*S44*AB44/1000,0))</f>
        <v/>
      </c>
      <c r="AY44" s="811" t="str">
        <f>IF(OR(I44="",Q44="",S44="",U44="",Y44="",AB44="",AE44="",AG44=""),"",ROUND(IF(ISNUMBER(SEARCH("Exterior",K44)),0,IF(M02S02F46="Electric Only",0,IF(OR(M02S02F32="AC with Natural Gas Heat",M02S02F32="Natural Gas Heat Only"),(((I44-Q44)/1000)*S44*AB44*-INDEX(LightingWHF[Waste Heat Gas Heating IFTherms],MATCH(M02S02F26,LightingWHF[Building/Space Type],0))),0))),0))</f>
        <v/>
      </c>
      <c r="AZ44" s="811" t="str">
        <f>IF(OR(I44="",Q44="",S44="",U44="",Y44="",AB44="",AE44="",AG44=""),"",IF(M02S02F46="Gas Only",0,IF(ISNUMBER(SEARCH("Exterior",K44)),0,IF(M02S02F32="Heat Pump",(((I44-Q44)/1000)*S44*AB44*-INDEX(LightingWHF[Waste Heat Electric Heat Pump Heating IFkWh],MATCH(M02S02F26,LightingWHF[Building/Space Type],0))),
IF(OR(M02S02F32="AC with Electric Heat",M02S02F32="Electric Heat Only"),(((I44-Q44)/1000)*S44*AB44*-INDEX(LightingWHF[Waste Heat Electric Resistance Heating IFkWh],MATCH(M02S02F26,LightingWHF[Building/Space Type],0))),0
)))))</f>
        <v/>
      </c>
      <c r="BA44" s="810" t="str">
        <f>IF(OR(I44="",Q44="",S44="",U44="",Y44="",AB44="",AE44="",AG44=""),"",IF(M02S02F46="Gas Only",0,IF(ISNUMBER(SEARCH("Exterior",K44)),1,IF(OR(M02S02F32="Heat Pump",M02S02F32="AC with Natural Gas Heat",M02S02F32="AC with Electric Heat"),(INDEX(LightingWHF[Waste Heat Cooling Energy WHFe],MATCH(M02S02F26,LightingWHF[Building/Space Type],0))),1))))</f>
        <v/>
      </c>
      <c r="BB44" s="810" t="str">
        <f t="shared" ref="BB44" si="112">IF(OR(I44="",Q44="",S44="",U44="",Y44="",AB44="",AE44="",AG44=""),"",IF(ISNUMBER(SEARCH("LLLC",K44)),((S44*Q44)/1000)*AB44*(0.49-0)*BA44,IF(ISNUMBER(SEARCH("sensor",K44)),((S44*Q44)/1000)*AB44*(0.24-0)*BA44,0)))</f>
        <v/>
      </c>
      <c r="BC44" s="825" t="str">
        <f>IFERROR(IF(OR(C44="",I44="",K44="",Q44="",S44="",U44="",Y44="",AB44="",AE44="",AG44=""),"",IF(OR(ISBLANK(M02S02F26),ISBLANK(M02S02F32),ISBLANK(M02S02F46)),MEASUREBLDG,IF((I44*S44)&lt;=(Q44*S44),MEASURESAVE,""))),MEASURESUBMIT)</f>
        <v/>
      </c>
      <c r="BE44" s="806" t="str">
        <f ca="1">IF(OR(I44="",Q44="",S44="",U44="",Y44="",AB44="",AE44="",AG44=""),"",IF('M01-S01'!$V$82&lt;TODAY(),0,IF(M02S02F46="Gas Only",0,IF(OR(AK44="",AK44&lt;0,AU44&lt;=AN44),0,IF(BF44&gt;0,MIN(AU44-AN44-BF44,ROUND((AN44+BF44)*0.2,2)),MIN(AU44-AN44,ROUND(AN44*0.2,2)))))))</f>
        <v/>
      </c>
      <c r="BF44" s="806" t="str">
        <f ca="1">IF(OR(I44="",Q44="",S44="",U44="",Y44="",AB44="",AE44="",AG44=""),"",IF('M01-S01'!$V$82&lt;TODAY(),0,IF(MSF20274="Gas Only",0,IF(OR(AK44="",AK44&lt;0,AU44&lt;=AN44),0,IF(ISNUMBER(SEARCH("LED Tube Relamp",K44)),MIN(AU44-AN44,ROUND(IF(ISNUMBER(SEARCH("1-Lamp 4FT Fluor.",C44)),(S44*2),0),2)),0)))))</f>
        <v/>
      </c>
      <c r="BG44" s="806" t="str">
        <f ca="1">IF(OR(I44="",Q44="",S44="",U44="",Y44="",AB44="",AE44="",AG44=""),"",IF('M01-S01'!$V$82&lt;TODAY(),0,IF(MSF20274="Gas Only",0,IF(OR(AK44="",AK44&lt;0,AU44&lt;=AN44),0,IF(ISNUMBER(SEARCH("LED Tube Relamp",K44)),MIN(AU44-AN44,ROUND(IF(ISNUMBER(SEARCH("1-Lamp 4FT HO Fluor.",C44)),(S44*1),0),2)),0)))))</f>
        <v/>
      </c>
    </row>
    <row r="45" spans="2:59" ht="15.95" customHeight="1">
      <c r="B45" s="829"/>
      <c r="C45" s="835"/>
      <c r="D45" s="836"/>
      <c r="E45" s="836"/>
      <c r="F45" s="836"/>
      <c r="G45" s="836"/>
      <c r="H45" s="837"/>
      <c r="I45" s="840"/>
      <c r="J45" s="841"/>
      <c r="K45" s="843"/>
      <c r="L45" s="836"/>
      <c r="M45" s="836"/>
      <c r="N45" s="836"/>
      <c r="O45" s="836"/>
      <c r="P45" s="837"/>
      <c r="Q45" s="840"/>
      <c r="R45" s="845"/>
      <c r="S45" s="848"/>
      <c r="T45" s="849"/>
      <c r="U45" s="835"/>
      <c r="V45" s="836"/>
      <c r="W45" s="836"/>
      <c r="X45" s="837"/>
      <c r="Y45" s="851"/>
      <c r="Z45" s="836"/>
      <c r="AA45" s="837"/>
      <c r="AB45" s="848"/>
      <c r="AC45" s="853"/>
      <c r="AD45" s="849"/>
      <c r="AE45" s="856"/>
      <c r="AF45" s="857"/>
      <c r="AG45" s="860"/>
      <c r="AH45" s="870"/>
      <c r="AI45" s="864"/>
      <c r="AJ45" s="865"/>
      <c r="AK45" s="823"/>
      <c r="AL45" s="824"/>
      <c r="AM45" s="828"/>
      <c r="AN45" s="818"/>
      <c r="AO45" s="819"/>
      <c r="AP45" s="819"/>
      <c r="AQ45" s="820"/>
      <c r="AU45" s="809"/>
      <c r="AV45" s="814"/>
      <c r="AW45" s="812"/>
      <c r="AX45" s="812"/>
      <c r="AY45" s="812"/>
      <c r="AZ45" s="812"/>
      <c r="BA45" s="807"/>
      <c r="BB45" s="807"/>
      <c r="BC45" s="826"/>
      <c r="BE45" s="807"/>
      <c r="BF45" s="807"/>
      <c r="BG45" s="807"/>
    </row>
    <row r="46" spans="2:59" ht="15.75" hidden="1" customHeight="1">
      <c r="B46" s="829">
        <v>16</v>
      </c>
      <c r="C46" s="832"/>
      <c r="D46" s="833"/>
      <c r="E46" s="833"/>
      <c r="F46" s="833"/>
      <c r="G46" s="833"/>
      <c r="H46" s="834"/>
      <c r="I46" s="838" t="str">
        <f>IFERROR(IF(C46="","",IF(INDEX(PMELIGHTTYPE[Base Autofill],MATCH(C46,PMELIGHTTYPE[Base Desc 1],0))="","",INDEX(PMELIGHTTYPE[Base Autofill],MATCH(C46,PMELIGHTTYPE[Base Desc 1],0)))),"")</f>
        <v/>
      </c>
      <c r="J46" s="839"/>
      <c r="K46" s="842"/>
      <c r="L46" s="833"/>
      <c r="M46" s="833"/>
      <c r="N46" s="833"/>
      <c r="O46" s="833"/>
      <c r="P46" s="834"/>
      <c r="Q46" s="838" t="str">
        <f t="shared" ref="Q46" si="113">IFERROR(IF(ISNUMBER(SEARCH("Removed",K46)),0,""),"")</f>
        <v/>
      </c>
      <c r="R46" s="844"/>
      <c r="S46" s="846"/>
      <c r="T46" s="847"/>
      <c r="U46" s="832"/>
      <c r="V46" s="833"/>
      <c r="W46" s="833"/>
      <c r="X46" s="834"/>
      <c r="Y46" s="850"/>
      <c r="Z46" s="833"/>
      <c r="AA46" s="834"/>
      <c r="AB46" s="846"/>
      <c r="AC46" s="852"/>
      <c r="AD46" s="847"/>
      <c r="AE46" s="854" t="str">
        <f t="shared" ref="AE46" si="114">IF(ISNUMBER(SEARCH("Removed",K46)),0,"")</f>
        <v/>
      </c>
      <c r="AF46" s="855"/>
      <c r="AG46" s="858"/>
      <c r="AH46" s="869"/>
      <c r="AI46" s="862" t="str">
        <f>IFERROR(IF(K46="","",IF(C46&lt;&gt;INDEX(PMELIGHT[Base Desc 1],MATCH(K46,PMELIGHT[Eff Desc 1],0)),0,INDEX(PMELIGHT[Inc Rate Unit],MATCH(K46,PMELIGHT[Eff Desc 1],0)))),"")</f>
        <v/>
      </c>
      <c r="AJ46" s="863"/>
      <c r="AK46" s="821" t="str">
        <f t="shared" ref="AK46" si="115">IFERROR(IF(OR(C46="",I46="",K46="",Q46="",S46="",U46="",Y46="",AB46="",AE46="",AG46=""),"",IFERROR(ROUND(IF(I46-Q46&lt;=0,0,(I46-Q46)*S46*AB46/1000),2),"")),"")</f>
        <v/>
      </c>
      <c r="AL46" s="822"/>
      <c r="AM46" s="822"/>
      <c r="AN46" s="815" t="str">
        <f t="shared" ref="AN46" si="116">IFERROR(IF(OR(C46="",I46="",K46="",Q46="",S46="",U46="",Y46="",AB46="",AE46="",AG46=""),"",IF(BC46&lt;&gt;"",BC46,ROUND(IF(I46-Q46&lt;=0,0,MIN(AU46,AI46*S46)),2))),"")</f>
        <v/>
      </c>
      <c r="AO46" s="816"/>
      <c r="AP46" s="816"/>
      <c r="AQ46" s="817"/>
      <c r="AU46" s="808" t="str">
        <f t="shared" ref="AU46:AU106" si="117">IF(OR(I46="",Q46="",S46="",U46="",Y46="",AB46="",AE46="",AG46=""),"",IF(AK46=0,"",(ROUND((AE46+AG46)*S46,2))))</f>
        <v/>
      </c>
      <c r="AV46" s="813" t="str">
        <f>IFERROR(IF(OR(I46="",Q46="",S46="",U46="",Y46="",AB46="",AE46="",AG46="",AK46=0),"",IF(ISNUMBER(SEARCH("Exterior",K46)),0,ROUND(((I46-Q46)*S46/1000)*INDEX(BUILDINGTYPE[Lighting Coincidence Factor],MATCH(M02S02F26,BUILDINGTYPE[Building Type],0)),3))),"")</f>
        <v/>
      </c>
      <c r="AW46" s="811" t="str">
        <f t="shared" ref="AW46:AW106" si="118">IF(OR(I46="",Q46="",S46="",U46="",Y46="",AB46="",AE46="",AG46=""),"",ROUND(I46*S46*AB46/1000,2))</f>
        <v/>
      </c>
      <c r="AX46" s="811" t="str">
        <f t="shared" ref="AX46:AX106" si="119">IF(OR(I46="",Q46="",S46="",U46="",Y46="",AB46="",AE46="",AG46=""),"",ROUND(Q46*S46*AB46/1000,2))</f>
        <v/>
      </c>
      <c r="BC46" s="825" t="str">
        <f>IFERROR(IF(OR(C46="",I46="",K46="",Q46="",S46="",U46="",Y46="",AB46="",AE46="",AG46=""),"",IF(ISBLANK(M02S02F26),MEASUREBLDG,IF((I46*S46)&lt;=(Q46*S46),MEASURESAVE,""))),MEASURESUBMIT)</f>
        <v/>
      </c>
    </row>
    <row r="47" spans="2:59" ht="15.95" hidden="1" customHeight="1">
      <c r="B47" s="829"/>
      <c r="C47" s="835"/>
      <c r="D47" s="836"/>
      <c r="E47" s="836"/>
      <c r="F47" s="836"/>
      <c r="G47" s="836"/>
      <c r="H47" s="837"/>
      <c r="I47" s="840"/>
      <c r="J47" s="841"/>
      <c r="K47" s="843"/>
      <c r="L47" s="836"/>
      <c r="M47" s="836"/>
      <c r="N47" s="836"/>
      <c r="O47" s="836"/>
      <c r="P47" s="837"/>
      <c r="Q47" s="840"/>
      <c r="R47" s="845"/>
      <c r="S47" s="848"/>
      <c r="T47" s="849"/>
      <c r="U47" s="835"/>
      <c r="V47" s="836"/>
      <c r="W47" s="836"/>
      <c r="X47" s="837"/>
      <c r="Y47" s="851"/>
      <c r="Z47" s="836"/>
      <c r="AA47" s="837"/>
      <c r="AB47" s="848"/>
      <c r="AC47" s="853"/>
      <c r="AD47" s="849"/>
      <c r="AE47" s="856"/>
      <c r="AF47" s="857"/>
      <c r="AG47" s="860"/>
      <c r="AH47" s="870"/>
      <c r="AI47" s="864"/>
      <c r="AJ47" s="865"/>
      <c r="AK47" s="823"/>
      <c r="AL47" s="824"/>
      <c r="AM47" s="824"/>
      <c r="AN47" s="818"/>
      <c r="AO47" s="819"/>
      <c r="AP47" s="819"/>
      <c r="AQ47" s="820"/>
      <c r="AU47" s="809"/>
      <c r="AV47" s="814"/>
      <c r="AW47" s="812"/>
      <c r="AX47" s="812"/>
      <c r="BC47" s="826"/>
    </row>
    <row r="48" spans="2:59" ht="15.95" hidden="1" customHeight="1">
      <c r="B48" s="829">
        <v>17</v>
      </c>
      <c r="C48" s="832"/>
      <c r="D48" s="833"/>
      <c r="E48" s="833"/>
      <c r="F48" s="833"/>
      <c r="G48" s="833"/>
      <c r="H48" s="834"/>
      <c r="I48" s="838" t="str">
        <f>IFERROR(IF(C48="","",IF(INDEX(PMELIGHTTYPE[Base Autofill],MATCH(C48,PMELIGHTTYPE[Base Desc 1],0))="","",INDEX(PMELIGHTTYPE[Base Autofill],MATCH(C48,PMELIGHTTYPE[Base Desc 1],0)))),"")</f>
        <v/>
      </c>
      <c r="J48" s="839"/>
      <c r="K48" s="842"/>
      <c r="L48" s="833"/>
      <c r="M48" s="833"/>
      <c r="N48" s="833"/>
      <c r="O48" s="833"/>
      <c r="P48" s="834"/>
      <c r="Q48" s="838" t="str">
        <f t="shared" ref="Q48" si="120">IFERROR(IF(ISNUMBER(SEARCH("Removed",K48)),0,""),"")</f>
        <v/>
      </c>
      <c r="R48" s="844"/>
      <c r="S48" s="846"/>
      <c r="T48" s="847"/>
      <c r="U48" s="832"/>
      <c r="V48" s="833"/>
      <c r="W48" s="833"/>
      <c r="X48" s="834"/>
      <c r="Y48" s="850"/>
      <c r="Z48" s="833"/>
      <c r="AA48" s="834"/>
      <c r="AB48" s="846"/>
      <c r="AC48" s="852"/>
      <c r="AD48" s="847"/>
      <c r="AE48" s="854" t="str">
        <f t="shared" ref="AE48" si="121">IF(ISNUMBER(SEARCH("Removed",K48)),0,"")</f>
        <v/>
      </c>
      <c r="AF48" s="855"/>
      <c r="AG48" s="858"/>
      <c r="AH48" s="869"/>
      <c r="AI48" s="862" t="str">
        <f>IFERROR(IF(K48="","",IF(C48&lt;&gt;INDEX(PMELIGHT[Base Desc 1],MATCH(K48,PMELIGHT[Eff Desc 1],0)),0,INDEX(PMELIGHT[Inc Rate Unit],MATCH(K48,PMELIGHT[Eff Desc 1],0)))),"")</f>
        <v/>
      </c>
      <c r="AJ48" s="863"/>
      <c r="AK48" s="821" t="str">
        <f t="shared" ref="AK48" si="122">IFERROR(IF(OR(C48="",I48="",K48="",Q48="",S48="",U48="",Y48="",AB48="",AE48="",AG48=""),"",IFERROR(ROUND(IF(I48-Q48&lt;=0,0,(I48-Q48)*S48*AB48/1000),2),"")),"")</f>
        <v/>
      </c>
      <c r="AL48" s="822"/>
      <c r="AM48" s="822"/>
      <c r="AN48" s="815" t="str">
        <f t="shared" ref="AN48" si="123">IFERROR(IF(OR(C48="",I48="",K48="",Q48="",S48="",U48="",Y48="",AB48="",AE48="",AG48=""),"",IF(BC48&lt;&gt;"",BC48,ROUND(IF(I48-Q48&lt;=0,0,MIN(AU48,AI48*S48)),2))),"")</f>
        <v/>
      </c>
      <c r="AO48" s="816"/>
      <c r="AP48" s="816"/>
      <c r="AQ48" s="817"/>
      <c r="AU48" s="808" t="str">
        <f t="shared" si="117"/>
        <v/>
      </c>
      <c r="AV48" s="813" t="str">
        <f>IFERROR(IF(OR(I48="",Q48="",S48="",U48="",Y48="",AB48="",AE48="",AG48="",AK48=0),"",IF(ISNUMBER(SEARCH("Exterior",K48)),0,ROUND(((I48-Q48)*S48/1000)*INDEX(BUILDINGTYPE[Lighting Coincidence Factor],MATCH(M02S02F26,BUILDINGTYPE[Building Type],0)),3))),"")</f>
        <v/>
      </c>
      <c r="AW48" s="811" t="str">
        <f t="shared" si="118"/>
        <v/>
      </c>
      <c r="AX48" s="811" t="str">
        <f t="shared" si="119"/>
        <v/>
      </c>
      <c r="BC48" s="825" t="str">
        <f>IFERROR(IF(OR(C48="",I48="",K48="",Q48="",S48="",U48="",Y48="",AB48="",AE48="",AG48=""),"",IF(ISBLANK(M02S02F26),MEASUREBLDG,IF((I48*S48)&lt;=(Q48*S48),MEASURESAVE,""))),MEASURESUBMIT)</f>
        <v/>
      </c>
    </row>
    <row r="49" spans="2:55" ht="15.95" hidden="1" customHeight="1">
      <c r="B49" s="829"/>
      <c r="C49" s="835"/>
      <c r="D49" s="836"/>
      <c r="E49" s="836"/>
      <c r="F49" s="836"/>
      <c r="G49" s="836"/>
      <c r="H49" s="837"/>
      <c r="I49" s="840"/>
      <c r="J49" s="841"/>
      <c r="K49" s="843"/>
      <c r="L49" s="836"/>
      <c r="M49" s="836"/>
      <c r="N49" s="836"/>
      <c r="O49" s="836"/>
      <c r="P49" s="837"/>
      <c r="Q49" s="840"/>
      <c r="R49" s="845"/>
      <c r="S49" s="848"/>
      <c r="T49" s="849"/>
      <c r="U49" s="835"/>
      <c r="V49" s="836"/>
      <c r="W49" s="836"/>
      <c r="X49" s="837"/>
      <c r="Y49" s="851"/>
      <c r="Z49" s="836"/>
      <c r="AA49" s="837"/>
      <c r="AB49" s="848"/>
      <c r="AC49" s="853"/>
      <c r="AD49" s="849"/>
      <c r="AE49" s="856"/>
      <c r="AF49" s="857"/>
      <c r="AG49" s="860"/>
      <c r="AH49" s="870"/>
      <c r="AI49" s="864"/>
      <c r="AJ49" s="865"/>
      <c r="AK49" s="823"/>
      <c r="AL49" s="824"/>
      <c r="AM49" s="824"/>
      <c r="AN49" s="818"/>
      <c r="AO49" s="819"/>
      <c r="AP49" s="819"/>
      <c r="AQ49" s="820"/>
      <c r="AU49" s="809"/>
      <c r="AV49" s="814"/>
      <c r="AW49" s="812"/>
      <c r="AX49" s="812"/>
      <c r="BC49" s="826"/>
    </row>
    <row r="50" spans="2:55" ht="15.95" hidden="1" customHeight="1">
      <c r="B50" s="829">
        <v>18</v>
      </c>
      <c r="C50" s="832"/>
      <c r="D50" s="833"/>
      <c r="E50" s="833"/>
      <c r="F50" s="833"/>
      <c r="G50" s="833"/>
      <c r="H50" s="834"/>
      <c r="I50" s="838" t="str">
        <f>IFERROR(IF(C50="","",IF(INDEX(PMELIGHTTYPE[Base Autofill],MATCH(C50,PMELIGHTTYPE[Base Desc 1],0))="","",INDEX(PMELIGHTTYPE[Base Autofill],MATCH(C50,PMELIGHTTYPE[Base Desc 1],0)))),"")</f>
        <v/>
      </c>
      <c r="J50" s="839"/>
      <c r="K50" s="842"/>
      <c r="L50" s="833"/>
      <c r="M50" s="833"/>
      <c r="N50" s="833"/>
      <c r="O50" s="833"/>
      <c r="P50" s="834"/>
      <c r="Q50" s="838" t="str">
        <f t="shared" ref="Q50" si="124">IFERROR(IF(ISNUMBER(SEARCH("Removed",K50)),0,""),"")</f>
        <v/>
      </c>
      <c r="R50" s="844"/>
      <c r="S50" s="846"/>
      <c r="T50" s="847"/>
      <c r="U50" s="832"/>
      <c r="V50" s="833"/>
      <c r="W50" s="833"/>
      <c r="X50" s="834"/>
      <c r="Y50" s="850"/>
      <c r="Z50" s="833"/>
      <c r="AA50" s="834"/>
      <c r="AB50" s="846"/>
      <c r="AC50" s="852"/>
      <c r="AD50" s="847"/>
      <c r="AE50" s="854" t="str">
        <f t="shared" ref="AE50" si="125">IF(ISNUMBER(SEARCH("Removed",K50)),0,"")</f>
        <v/>
      </c>
      <c r="AF50" s="855"/>
      <c r="AG50" s="858"/>
      <c r="AH50" s="869"/>
      <c r="AI50" s="862" t="str">
        <f>IFERROR(IF(K50="","",IF(C50&lt;&gt;INDEX(PMELIGHT[Base Desc 1],MATCH(K50,PMELIGHT[Eff Desc 1],0)),0,INDEX(PMELIGHT[Inc Rate Unit],MATCH(K50,PMELIGHT[Eff Desc 1],0)))),"")</f>
        <v/>
      </c>
      <c r="AJ50" s="863"/>
      <c r="AK50" s="821" t="str">
        <f t="shared" ref="AK50" si="126">IFERROR(IF(OR(C50="",I50="",K50="",Q50="",S50="",U50="",Y50="",AB50="",AE50="",AG50=""),"",IFERROR(ROUND(IF(I50-Q50&lt;=0,0,(I50-Q50)*S50*AB50/1000),2),"")),"")</f>
        <v/>
      </c>
      <c r="AL50" s="822"/>
      <c r="AM50" s="822"/>
      <c r="AN50" s="815" t="str">
        <f t="shared" ref="AN50" si="127">IFERROR(IF(OR(C50="",I50="",K50="",Q50="",S50="",U50="",Y50="",AB50="",AE50="",AG50=""),"",IF(BC50&lt;&gt;"",BC50,ROUND(IF(I50-Q50&lt;=0,0,MIN(AU50,AI50*S50)),2))),"")</f>
        <v/>
      </c>
      <c r="AO50" s="816"/>
      <c r="AP50" s="816"/>
      <c r="AQ50" s="817"/>
      <c r="AU50" s="808" t="str">
        <f t="shared" si="117"/>
        <v/>
      </c>
      <c r="AV50" s="813" t="str">
        <f>IFERROR(IF(OR(I50="",Q50="",S50="",U50="",Y50="",AB50="",AE50="",AG50="",AK50=0),"",IF(ISNUMBER(SEARCH("Exterior",K50)),0,ROUND(((I50-Q50)*S50/1000)*INDEX(BUILDINGTYPE[Lighting Coincidence Factor],MATCH(M02S02F26,BUILDINGTYPE[Building Type],0)),3))),"")</f>
        <v/>
      </c>
      <c r="AW50" s="811" t="str">
        <f t="shared" si="118"/>
        <v/>
      </c>
      <c r="AX50" s="811" t="str">
        <f t="shared" si="119"/>
        <v/>
      </c>
      <c r="BC50" s="825" t="str">
        <f>IFERROR(IF(OR(C50="",I50="",K50="",Q50="",S50="",U50="",Y50="",AB50="",AE50="",AG50=""),"",IF(ISBLANK(M02S02F26),MEASUREBLDG,IF((I50*S50)&lt;=(Q50*S50),MEASURESAVE,""))),MEASURESUBMIT)</f>
        <v/>
      </c>
    </row>
    <row r="51" spans="2:55" ht="15.95" hidden="1" customHeight="1">
      <c r="B51" s="829"/>
      <c r="C51" s="835"/>
      <c r="D51" s="836"/>
      <c r="E51" s="836"/>
      <c r="F51" s="836"/>
      <c r="G51" s="836"/>
      <c r="H51" s="837"/>
      <c r="I51" s="840"/>
      <c r="J51" s="841"/>
      <c r="K51" s="843"/>
      <c r="L51" s="836"/>
      <c r="M51" s="836"/>
      <c r="N51" s="836"/>
      <c r="O51" s="836"/>
      <c r="P51" s="837"/>
      <c r="Q51" s="840"/>
      <c r="R51" s="845"/>
      <c r="S51" s="848"/>
      <c r="T51" s="849"/>
      <c r="U51" s="835"/>
      <c r="V51" s="836"/>
      <c r="W51" s="836"/>
      <c r="X51" s="837"/>
      <c r="Y51" s="851"/>
      <c r="Z51" s="836"/>
      <c r="AA51" s="837"/>
      <c r="AB51" s="848"/>
      <c r="AC51" s="853"/>
      <c r="AD51" s="849"/>
      <c r="AE51" s="856"/>
      <c r="AF51" s="857"/>
      <c r="AG51" s="860"/>
      <c r="AH51" s="870"/>
      <c r="AI51" s="864"/>
      <c r="AJ51" s="865"/>
      <c r="AK51" s="823"/>
      <c r="AL51" s="824"/>
      <c r="AM51" s="824"/>
      <c r="AN51" s="818"/>
      <c r="AO51" s="819"/>
      <c r="AP51" s="819"/>
      <c r="AQ51" s="820"/>
      <c r="AU51" s="809"/>
      <c r="AV51" s="814"/>
      <c r="AW51" s="812"/>
      <c r="AX51" s="812"/>
      <c r="BC51" s="826"/>
    </row>
    <row r="52" spans="2:55" ht="15.95" hidden="1" customHeight="1">
      <c r="B52" s="829">
        <v>19</v>
      </c>
      <c r="C52" s="832"/>
      <c r="D52" s="833"/>
      <c r="E52" s="833"/>
      <c r="F52" s="833"/>
      <c r="G52" s="833"/>
      <c r="H52" s="834"/>
      <c r="I52" s="838" t="str">
        <f>IFERROR(IF(C52="","",IF(INDEX(PMELIGHTTYPE[Base Autofill],MATCH(C52,PMELIGHTTYPE[Base Desc 1],0))="","",INDEX(PMELIGHTTYPE[Base Autofill],MATCH(C52,PMELIGHTTYPE[Base Desc 1],0)))),"")</f>
        <v/>
      </c>
      <c r="J52" s="839"/>
      <c r="K52" s="842"/>
      <c r="L52" s="833"/>
      <c r="M52" s="833"/>
      <c r="N52" s="833"/>
      <c r="O52" s="833"/>
      <c r="P52" s="834"/>
      <c r="Q52" s="838" t="str">
        <f t="shared" ref="Q52" si="128">IFERROR(IF(ISNUMBER(SEARCH("Removed",K52)),0,""),"")</f>
        <v/>
      </c>
      <c r="R52" s="844"/>
      <c r="S52" s="846"/>
      <c r="T52" s="847"/>
      <c r="U52" s="832"/>
      <c r="V52" s="833"/>
      <c r="W52" s="833"/>
      <c r="X52" s="834"/>
      <c r="Y52" s="850"/>
      <c r="Z52" s="833"/>
      <c r="AA52" s="834"/>
      <c r="AB52" s="846"/>
      <c r="AC52" s="852"/>
      <c r="AD52" s="847"/>
      <c r="AE52" s="854" t="str">
        <f t="shared" ref="AE52" si="129">IF(ISNUMBER(SEARCH("Removed",K52)),0,"")</f>
        <v/>
      </c>
      <c r="AF52" s="855"/>
      <c r="AG52" s="858"/>
      <c r="AH52" s="869"/>
      <c r="AI52" s="862" t="str">
        <f>IFERROR(IF(K52="","",IF(C52&lt;&gt;INDEX(PMELIGHT[Base Desc 1],MATCH(K52,PMELIGHT[Eff Desc 1],0)),0,INDEX(PMELIGHT[Inc Rate Unit],MATCH(K52,PMELIGHT[Eff Desc 1],0)))),"")</f>
        <v/>
      </c>
      <c r="AJ52" s="863"/>
      <c r="AK52" s="821" t="str">
        <f t="shared" ref="AK52" si="130">IFERROR(IF(OR(C52="",I52="",K52="",Q52="",S52="",U52="",Y52="",AB52="",AE52="",AG52=""),"",IFERROR(ROUND(IF(I52-Q52&lt;=0,0,(I52-Q52)*S52*AB52/1000),2),"")),"")</f>
        <v/>
      </c>
      <c r="AL52" s="822"/>
      <c r="AM52" s="822"/>
      <c r="AN52" s="815" t="str">
        <f t="shared" ref="AN52" si="131">IFERROR(IF(OR(C52="",I52="",K52="",Q52="",S52="",U52="",Y52="",AB52="",AE52="",AG52=""),"",IF(BC52&lt;&gt;"",BC52,ROUND(IF(I52-Q52&lt;=0,0,MIN(AU52,AI52*S52)),2))),"")</f>
        <v/>
      </c>
      <c r="AO52" s="816"/>
      <c r="AP52" s="816"/>
      <c r="AQ52" s="817"/>
      <c r="AU52" s="808" t="str">
        <f t="shared" si="117"/>
        <v/>
      </c>
      <c r="AV52" s="813" t="str">
        <f>IFERROR(IF(OR(I52="",Q52="",S52="",U52="",Y52="",AB52="",AE52="",AG52="",AK52=0),"",IF(ISNUMBER(SEARCH("Exterior",K52)),0,ROUND(((I52-Q52)*S52/1000)*INDEX(BUILDINGTYPE[Lighting Coincidence Factor],MATCH(M02S02F26,BUILDINGTYPE[Building Type],0)),3))),"")</f>
        <v/>
      </c>
      <c r="AW52" s="811" t="str">
        <f t="shared" si="118"/>
        <v/>
      </c>
      <c r="AX52" s="811" t="str">
        <f t="shared" si="119"/>
        <v/>
      </c>
      <c r="BC52" s="825" t="str">
        <f>IFERROR(IF(OR(C52="",I52="",K52="",Q52="",S52="",U52="",Y52="",AB52="",AE52="",AG52=""),"",IF(ISBLANK(M02S02F26),MEASUREBLDG,IF((I52*S52)&lt;=(Q52*S52),MEASURESAVE,""))),MEASURESUBMIT)</f>
        <v/>
      </c>
    </row>
    <row r="53" spans="2:55" ht="15.95" hidden="1" customHeight="1">
      <c r="B53" s="829"/>
      <c r="C53" s="835"/>
      <c r="D53" s="836"/>
      <c r="E53" s="836"/>
      <c r="F53" s="836"/>
      <c r="G53" s="836"/>
      <c r="H53" s="837"/>
      <c r="I53" s="840"/>
      <c r="J53" s="841"/>
      <c r="K53" s="843"/>
      <c r="L53" s="836"/>
      <c r="M53" s="836"/>
      <c r="N53" s="836"/>
      <c r="O53" s="836"/>
      <c r="P53" s="837"/>
      <c r="Q53" s="840"/>
      <c r="R53" s="845"/>
      <c r="S53" s="848"/>
      <c r="T53" s="849"/>
      <c r="U53" s="835"/>
      <c r="V53" s="836"/>
      <c r="W53" s="836"/>
      <c r="X53" s="837"/>
      <c r="Y53" s="851"/>
      <c r="Z53" s="836"/>
      <c r="AA53" s="837"/>
      <c r="AB53" s="848"/>
      <c r="AC53" s="853"/>
      <c r="AD53" s="849"/>
      <c r="AE53" s="856"/>
      <c r="AF53" s="857"/>
      <c r="AG53" s="860"/>
      <c r="AH53" s="870"/>
      <c r="AI53" s="864"/>
      <c r="AJ53" s="865"/>
      <c r="AK53" s="823"/>
      <c r="AL53" s="824"/>
      <c r="AM53" s="824"/>
      <c r="AN53" s="818"/>
      <c r="AO53" s="819"/>
      <c r="AP53" s="819"/>
      <c r="AQ53" s="820"/>
      <c r="AU53" s="809"/>
      <c r="AV53" s="814"/>
      <c r="AW53" s="812"/>
      <c r="AX53" s="812"/>
      <c r="BC53" s="826"/>
    </row>
    <row r="54" spans="2:55" ht="15.95" hidden="1" customHeight="1">
      <c r="B54" s="829">
        <v>20</v>
      </c>
      <c r="C54" s="832"/>
      <c r="D54" s="833"/>
      <c r="E54" s="833"/>
      <c r="F54" s="833"/>
      <c r="G54" s="833"/>
      <c r="H54" s="834"/>
      <c r="I54" s="838" t="str">
        <f>IFERROR(IF(C54="","",IF(INDEX(PMELIGHTTYPE[Base Autofill],MATCH(C54,PMELIGHTTYPE[Base Desc 1],0))="","",INDEX(PMELIGHTTYPE[Base Autofill],MATCH(C54,PMELIGHTTYPE[Base Desc 1],0)))),"")</f>
        <v/>
      </c>
      <c r="J54" s="839"/>
      <c r="K54" s="842"/>
      <c r="L54" s="833"/>
      <c r="M54" s="833"/>
      <c r="N54" s="833"/>
      <c r="O54" s="833"/>
      <c r="P54" s="834"/>
      <c r="Q54" s="838" t="str">
        <f t="shared" ref="Q54" si="132">IFERROR(IF(ISNUMBER(SEARCH("Removed",K54)),0,""),"")</f>
        <v/>
      </c>
      <c r="R54" s="844"/>
      <c r="S54" s="846"/>
      <c r="T54" s="847"/>
      <c r="U54" s="832"/>
      <c r="V54" s="833"/>
      <c r="W54" s="833"/>
      <c r="X54" s="834"/>
      <c r="Y54" s="850"/>
      <c r="Z54" s="833"/>
      <c r="AA54" s="834"/>
      <c r="AB54" s="846"/>
      <c r="AC54" s="852"/>
      <c r="AD54" s="847"/>
      <c r="AE54" s="854" t="str">
        <f t="shared" ref="AE54" si="133">IF(ISNUMBER(SEARCH("Removed",K54)),0,"")</f>
        <v/>
      </c>
      <c r="AF54" s="855"/>
      <c r="AG54" s="858"/>
      <c r="AH54" s="869"/>
      <c r="AI54" s="862" t="str">
        <f>IFERROR(IF(K54="","",IF(C54&lt;&gt;INDEX(PMELIGHT[Base Desc 1],MATCH(K54,PMELIGHT[Eff Desc 1],0)),0,INDEX(PMELIGHT[Inc Rate Unit],MATCH(K54,PMELIGHT[Eff Desc 1],0)))),"")</f>
        <v/>
      </c>
      <c r="AJ54" s="863"/>
      <c r="AK54" s="821" t="str">
        <f t="shared" ref="AK54" si="134">IFERROR(IF(OR(C54="",I54="",K54="",Q54="",S54="",U54="",Y54="",AB54="",AE54="",AG54=""),"",IFERROR(ROUND(IF(I54-Q54&lt;=0,0,(I54-Q54)*S54*AB54/1000),2),"")),"")</f>
        <v/>
      </c>
      <c r="AL54" s="822"/>
      <c r="AM54" s="822"/>
      <c r="AN54" s="815" t="str">
        <f t="shared" ref="AN54" si="135">IFERROR(IF(OR(C54="",I54="",K54="",Q54="",S54="",U54="",Y54="",AB54="",AE54="",AG54=""),"",IF(BC54&lt;&gt;"",BC54,ROUND(IF(I54-Q54&lt;=0,0,MIN(AU54,AI54*S54)),2))),"")</f>
        <v/>
      </c>
      <c r="AO54" s="816"/>
      <c r="AP54" s="816"/>
      <c r="AQ54" s="817"/>
      <c r="AU54" s="808" t="str">
        <f t="shared" si="117"/>
        <v/>
      </c>
      <c r="AV54" s="813" t="str">
        <f>IFERROR(IF(OR(I54="",Q54="",S54="",U54="",Y54="",AB54="",AE54="",AG54="",AK54=0),"",IF(ISNUMBER(SEARCH("Exterior",K54)),0,ROUND(((I54-Q54)*S54/1000)*INDEX(BUILDINGTYPE[Lighting Coincidence Factor],MATCH(M02S02F26,BUILDINGTYPE[Building Type],0)),3))),"")</f>
        <v/>
      </c>
      <c r="AW54" s="811" t="str">
        <f t="shared" si="118"/>
        <v/>
      </c>
      <c r="AX54" s="811" t="str">
        <f t="shared" si="119"/>
        <v/>
      </c>
      <c r="BC54" s="825" t="str">
        <f>IFERROR(IF(OR(C54="",I54="",K54="",Q54="",S54="",U54="",Y54="",AB54="",AE54="",AG54=""),"",IF(ISBLANK(M02S02F26),MEASUREBLDG,IF((I54*S54)&lt;=(Q54*S54),MEASURESAVE,""))),MEASURESUBMIT)</f>
        <v/>
      </c>
    </row>
    <row r="55" spans="2:55" ht="15.95" hidden="1" customHeight="1">
      <c r="B55" s="829"/>
      <c r="C55" s="835"/>
      <c r="D55" s="836"/>
      <c r="E55" s="836"/>
      <c r="F55" s="836"/>
      <c r="G55" s="836"/>
      <c r="H55" s="837"/>
      <c r="I55" s="840"/>
      <c r="J55" s="841"/>
      <c r="K55" s="843"/>
      <c r="L55" s="836"/>
      <c r="M55" s="836"/>
      <c r="N55" s="836"/>
      <c r="O55" s="836"/>
      <c r="P55" s="837"/>
      <c r="Q55" s="840"/>
      <c r="R55" s="845"/>
      <c r="S55" s="848"/>
      <c r="T55" s="849"/>
      <c r="U55" s="835"/>
      <c r="V55" s="836"/>
      <c r="W55" s="836"/>
      <c r="X55" s="837"/>
      <c r="Y55" s="851"/>
      <c r="Z55" s="836"/>
      <c r="AA55" s="837"/>
      <c r="AB55" s="848"/>
      <c r="AC55" s="853"/>
      <c r="AD55" s="849"/>
      <c r="AE55" s="856"/>
      <c r="AF55" s="857"/>
      <c r="AG55" s="860"/>
      <c r="AH55" s="870"/>
      <c r="AI55" s="864"/>
      <c r="AJ55" s="865"/>
      <c r="AK55" s="823"/>
      <c r="AL55" s="824"/>
      <c r="AM55" s="824"/>
      <c r="AN55" s="818"/>
      <c r="AO55" s="819"/>
      <c r="AP55" s="819"/>
      <c r="AQ55" s="820"/>
      <c r="AU55" s="809"/>
      <c r="AV55" s="814"/>
      <c r="AW55" s="812"/>
      <c r="AX55" s="812"/>
      <c r="BC55" s="826"/>
    </row>
    <row r="56" spans="2:55" ht="15.95" hidden="1" customHeight="1">
      <c r="B56" s="829">
        <v>21</v>
      </c>
      <c r="C56" s="832"/>
      <c r="D56" s="833"/>
      <c r="E56" s="833"/>
      <c r="F56" s="833"/>
      <c r="G56" s="833"/>
      <c r="H56" s="834"/>
      <c r="I56" s="838" t="str">
        <f>IFERROR(IF(C56="","",IF(INDEX(PMELIGHTTYPE[Base Autofill],MATCH(C56,PMELIGHTTYPE[Base Desc 1],0))="","",INDEX(PMELIGHTTYPE[Base Autofill],MATCH(C56,PMELIGHTTYPE[Base Desc 1],0)))),"")</f>
        <v/>
      </c>
      <c r="J56" s="839"/>
      <c r="K56" s="842"/>
      <c r="L56" s="833"/>
      <c r="M56" s="833"/>
      <c r="N56" s="833"/>
      <c r="O56" s="833"/>
      <c r="P56" s="834"/>
      <c r="Q56" s="838" t="str">
        <f t="shared" ref="Q56" si="136">IFERROR(IF(ISNUMBER(SEARCH("Removed",K56)),0,""),"")</f>
        <v/>
      </c>
      <c r="R56" s="844"/>
      <c r="S56" s="846"/>
      <c r="T56" s="847"/>
      <c r="U56" s="832"/>
      <c r="V56" s="833"/>
      <c r="W56" s="833"/>
      <c r="X56" s="834"/>
      <c r="Y56" s="850"/>
      <c r="Z56" s="833"/>
      <c r="AA56" s="834"/>
      <c r="AB56" s="846"/>
      <c r="AC56" s="852"/>
      <c r="AD56" s="847"/>
      <c r="AE56" s="854" t="str">
        <f t="shared" ref="AE56" si="137">IF(ISNUMBER(SEARCH("Removed",K56)),0,"")</f>
        <v/>
      </c>
      <c r="AF56" s="855"/>
      <c r="AG56" s="858"/>
      <c r="AH56" s="869"/>
      <c r="AI56" s="862" t="str">
        <f>IFERROR(IF(K56="","",IF(C56&lt;&gt;INDEX(PMELIGHT[Base Desc 1],MATCH(K56,PMELIGHT[Eff Desc 1],0)),0,INDEX(PMELIGHT[Inc Rate Unit],MATCH(K56,PMELIGHT[Eff Desc 1],0)))),"")</f>
        <v/>
      </c>
      <c r="AJ56" s="863"/>
      <c r="AK56" s="821" t="str">
        <f t="shared" ref="AK56" si="138">IFERROR(IF(OR(C56="",I56="",K56="",Q56="",S56="",U56="",Y56="",AB56="",AE56="",AG56=""),"",IFERROR(ROUND(IF(I56-Q56&lt;=0,0,(I56-Q56)*S56*AB56/1000),2),"")),"")</f>
        <v/>
      </c>
      <c r="AL56" s="822"/>
      <c r="AM56" s="822"/>
      <c r="AN56" s="815" t="str">
        <f t="shared" ref="AN56" si="139">IFERROR(IF(OR(C56="",I56="",K56="",Q56="",S56="",U56="",Y56="",AB56="",AE56="",AG56=""),"",IF(BC56&lt;&gt;"",BC56,ROUND(IF(I56-Q56&lt;=0,0,MIN(AU56,AI56*S56)),2))),"")</f>
        <v/>
      </c>
      <c r="AO56" s="816"/>
      <c r="AP56" s="816"/>
      <c r="AQ56" s="817"/>
      <c r="AU56" s="808" t="str">
        <f t="shared" si="117"/>
        <v/>
      </c>
      <c r="AV56" s="813" t="str">
        <f>IFERROR(IF(OR(I56="",Q56="",S56="",U56="",Y56="",AB56="",AE56="",AG56="",AK56=0),"",IF(ISNUMBER(SEARCH("Exterior",K56)),0,ROUND(((I56-Q56)*S56/1000)*INDEX(BUILDINGTYPE[Lighting Coincidence Factor],MATCH(M02S02F26,BUILDINGTYPE[Building Type],0)),3))),"")</f>
        <v/>
      </c>
      <c r="AW56" s="811" t="str">
        <f t="shared" si="118"/>
        <v/>
      </c>
      <c r="AX56" s="811" t="str">
        <f t="shared" si="119"/>
        <v/>
      </c>
      <c r="BC56" s="825" t="str">
        <f>IFERROR(IF(OR(C56="",I56="",K56="",Q56="",S56="",U56="",Y56="",AB56="",AE56="",AG56=""),"",IF(ISBLANK(M02S02F26),MEASUREBLDG,IF((I56*S56)&lt;=(Q56*S56),MEASURESAVE,""))),MEASURESUBMIT)</f>
        <v/>
      </c>
    </row>
    <row r="57" spans="2:55" ht="15.95" hidden="1" customHeight="1">
      <c r="B57" s="829"/>
      <c r="C57" s="835"/>
      <c r="D57" s="836"/>
      <c r="E57" s="836"/>
      <c r="F57" s="836"/>
      <c r="G57" s="836"/>
      <c r="H57" s="837"/>
      <c r="I57" s="840"/>
      <c r="J57" s="841"/>
      <c r="K57" s="843"/>
      <c r="L57" s="836"/>
      <c r="M57" s="836"/>
      <c r="N57" s="836"/>
      <c r="O57" s="836"/>
      <c r="P57" s="837"/>
      <c r="Q57" s="840"/>
      <c r="R57" s="845"/>
      <c r="S57" s="848"/>
      <c r="T57" s="849"/>
      <c r="U57" s="835"/>
      <c r="V57" s="836"/>
      <c r="W57" s="836"/>
      <c r="X57" s="837"/>
      <c r="Y57" s="851"/>
      <c r="Z57" s="836"/>
      <c r="AA57" s="837"/>
      <c r="AB57" s="848"/>
      <c r="AC57" s="853"/>
      <c r="AD57" s="849"/>
      <c r="AE57" s="856"/>
      <c r="AF57" s="857"/>
      <c r="AG57" s="860"/>
      <c r="AH57" s="870"/>
      <c r="AI57" s="864"/>
      <c r="AJ57" s="865"/>
      <c r="AK57" s="823"/>
      <c r="AL57" s="824"/>
      <c r="AM57" s="824"/>
      <c r="AN57" s="818"/>
      <c r="AO57" s="819"/>
      <c r="AP57" s="819"/>
      <c r="AQ57" s="820"/>
      <c r="AU57" s="809"/>
      <c r="AV57" s="814"/>
      <c r="AW57" s="812"/>
      <c r="AX57" s="812"/>
      <c r="BC57" s="826"/>
    </row>
    <row r="58" spans="2:55" ht="15.95" hidden="1" customHeight="1">
      <c r="B58" s="829">
        <v>22</v>
      </c>
      <c r="C58" s="832"/>
      <c r="D58" s="833"/>
      <c r="E58" s="833"/>
      <c r="F58" s="833"/>
      <c r="G58" s="833"/>
      <c r="H58" s="834"/>
      <c r="I58" s="838" t="str">
        <f>IFERROR(IF(C58="","",IF(INDEX(PMELIGHTTYPE[Base Autofill],MATCH(C58,PMELIGHTTYPE[Base Desc 1],0))="","",INDEX(PMELIGHTTYPE[Base Autofill],MATCH(C58,PMELIGHTTYPE[Base Desc 1],0)))),"")</f>
        <v/>
      </c>
      <c r="J58" s="839"/>
      <c r="K58" s="842"/>
      <c r="L58" s="833"/>
      <c r="M58" s="833"/>
      <c r="N58" s="833"/>
      <c r="O58" s="833"/>
      <c r="P58" s="834"/>
      <c r="Q58" s="838" t="str">
        <f t="shared" ref="Q58" si="140">IFERROR(IF(ISNUMBER(SEARCH("Removed",K58)),0,""),"")</f>
        <v/>
      </c>
      <c r="R58" s="844"/>
      <c r="S58" s="846"/>
      <c r="T58" s="847"/>
      <c r="U58" s="832"/>
      <c r="V58" s="833"/>
      <c r="W58" s="833"/>
      <c r="X58" s="834"/>
      <c r="Y58" s="850"/>
      <c r="Z58" s="833"/>
      <c r="AA58" s="834"/>
      <c r="AB58" s="846"/>
      <c r="AC58" s="852"/>
      <c r="AD58" s="847"/>
      <c r="AE58" s="854" t="str">
        <f t="shared" ref="AE58" si="141">IF(ISNUMBER(SEARCH("Removed",K58)),0,"")</f>
        <v/>
      </c>
      <c r="AF58" s="855"/>
      <c r="AG58" s="858"/>
      <c r="AH58" s="869"/>
      <c r="AI58" s="862" t="str">
        <f>IFERROR(IF(K58="","",IF(C58&lt;&gt;INDEX(PMELIGHT[Base Desc 1],MATCH(K58,PMELIGHT[Eff Desc 1],0)),0,INDEX(PMELIGHT[Inc Rate Unit],MATCH(K58,PMELIGHT[Eff Desc 1],0)))),"")</f>
        <v/>
      </c>
      <c r="AJ58" s="863"/>
      <c r="AK58" s="821" t="str">
        <f t="shared" ref="AK58" si="142">IFERROR(IF(OR(C58="",I58="",K58="",Q58="",S58="",U58="",Y58="",AB58="",AE58="",AG58=""),"",IFERROR(ROUND(IF(I58-Q58&lt;=0,0,(I58-Q58)*S58*AB58/1000),2),"")),"")</f>
        <v/>
      </c>
      <c r="AL58" s="822"/>
      <c r="AM58" s="822"/>
      <c r="AN58" s="815" t="str">
        <f t="shared" ref="AN58" si="143">IFERROR(IF(OR(C58="",I58="",K58="",Q58="",S58="",U58="",Y58="",AB58="",AE58="",AG58=""),"",IF(BC58&lt;&gt;"",BC58,ROUND(IF(I58-Q58&lt;=0,0,MIN(AU58,AI58*S58)),2))),"")</f>
        <v/>
      </c>
      <c r="AO58" s="816"/>
      <c r="AP58" s="816"/>
      <c r="AQ58" s="817"/>
      <c r="AU58" s="808" t="str">
        <f t="shared" si="117"/>
        <v/>
      </c>
      <c r="AV58" s="813" t="str">
        <f>IFERROR(IF(OR(I58="",Q58="",S58="",U58="",Y58="",AB58="",AE58="",AG58="",AK58=0),"",IF(ISNUMBER(SEARCH("Exterior",K58)),0,ROUND(((I58-Q58)*S58/1000)*INDEX(BUILDINGTYPE[Lighting Coincidence Factor],MATCH(M02S02F26,BUILDINGTYPE[Building Type],0)),3))),"")</f>
        <v/>
      </c>
      <c r="AW58" s="811" t="str">
        <f t="shared" si="118"/>
        <v/>
      </c>
      <c r="AX58" s="811" t="str">
        <f t="shared" si="119"/>
        <v/>
      </c>
      <c r="BC58" s="825" t="str">
        <f>IFERROR(IF(OR(C58="",I58="",K58="",Q58="",S58="",U58="",Y58="",AB58="",AE58="",AG58=""),"",IF(ISBLANK(M02S02F26),MEASUREBLDG,IF((I58*S58)&lt;=(Q58*S58),MEASURESAVE,""))),MEASURESUBMIT)</f>
        <v/>
      </c>
    </row>
    <row r="59" spans="2:55" ht="15.95" hidden="1" customHeight="1">
      <c r="B59" s="829"/>
      <c r="C59" s="835"/>
      <c r="D59" s="836"/>
      <c r="E59" s="836"/>
      <c r="F59" s="836"/>
      <c r="G59" s="836"/>
      <c r="H59" s="837"/>
      <c r="I59" s="840"/>
      <c r="J59" s="841"/>
      <c r="K59" s="843"/>
      <c r="L59" s="836"/>
      <c r="M59" s="836"/>
      <c r="N59" s="836"/>
      <c r="O59" s="836"/>
      <c r="P59" s="837"/>
      <c r="Q59" s="840"/>
      <c r="R59" s="845"/>
      <c r="S59" s="848"/>
      <c r="T59" s="849"/>
      <c r="U59" s="835"/>
      <c r="V59" s="836"/>
      <c r="W59" s="836"/>
      <c r="X59" s="837"/>
      <c r="Y59" s="851"/>
      <c r="Z59" s="836"/>
      <c r="AA59" s="837"/>
      <c r="AB59" s="848"/>
      <c r="AC59" s="853"/>
      <c r="AD59" s="849"/>
      <c r="AE59" s="856"/>
      <c r="AF59" s="857"/>
      <c r="AG59" s="860"/>
      <c r="AH59" s="870"/>
      <c r="AI59" s="864"/>
      <c r="AJ59" s="865"/>
      <c r="AK59" s="823"/>
      <c r="AL59" s="824"/>
      <c r="AM59" s="824"/>
      <c r="AN59" s="818"/>
      <c r="AO59" s="819"/>
      <c r="AP59" s="819"/>
      <c r="AQ59" s="820"/>
      <c r="AU59" s="809"/>
      <c r="AV59" s="814"/>
      <c r="AW59" s="812"/>
      <c r="AX59" s="812"/>
      <c r="BC59" s="826"/>
    </row>
    <row r="60" spans="2:55" ht="15.95" hidden="1" customHeight="1">
      <c r="B60" s="829">
        <v>23</v>
      </c>
      <c r="C60" s="832"/>
      <c r="D60" s="833"/>
      <c r="E60" s="833"/>
      <c r="F60" s="833"/>
      <c r="G60" s="833"/>
      <c r="H60" s="834"/>
      <c r="I60" s="838" t="str">
        <f>IFERROR(IF(C60="","",IF(INDEX(PMELIGHTTYPE[Base Autofill],MATCH(C60,PMELIGHTTYPE[Base Desc 1],0))="","",INDEX(PMELIGHTTYPE[Base Autofill],MATCH(C60,PMELIGHTTYPE[Base Desc 1],0)))),"")</f>
        <v/>
      </c>
      <c r="J60" s="839"/>
      <c r="K60" s="842"/>
      <c r="L60" s="833"/>
      <c r="M60" s="833"/>
      <c r="N60" s="833"/>
      <c r="O60" s="833"/>
      <c r="P60" s="834"/>
      <c r="Q60" s="838" t="str">
        <f t="shared" ref="Q60" si="144">IFERROR(IF(ISNUMBER(SEARCH("Removed",K60)),0,""),"")</f>
        <v/>
      </c>
      <c r="R60" s="844"/>
      <c r="S60" s="846"/>
      <c r="T60" s="847"/>
      <c r="U60" s="832"/>
      <c r="V60" s="833"/>
      <c r="W60" s="833"/>
      <c r="X60" s="834"/>
      <c r="Y60" s="850"/>
      <c r="Z60" s="833"/>
      <c r="AA60" s="834"/>
      <c r="AB60" s="846"/>
      <c r="AC60" s="852"/>
      <c r="AD60" s="847"/>
      <c r="AE60" s="854" t="str">
        <f t="shared" ref="AE60" si="145">IF(ISNUMBER(SEARCH("Removed",K60)),0,"")</f>
        <v/>
      </c>
      <c r="AF60" s="855"/>
      <c r="AG60" s="858"/>
      <c r="AH60" s="869"/>
      <c r="AI60" s="862" t="str">
        <f>IFERROR(IF(K60="","",IF(C60&lt;&gt;INDEX(PMELIGHT[Base Desc 1],MATCH(K60,PMELIGHT[Eff Desc 1],0)),0,INDEX(PMELIGHT[Inc Rate Unit],MATCH(K60,PMELIGHT[Eff Desc 1],0)))),"")</f>
        <v/>
      </c>
      <c r="AJ60" s="863"/>
      <c r="AK60" s="821" t="str">
        <f t="shared" ref="AK60" si="146">IFERROR(IF(OR(C60="",I60="",K60="",Q60="",S60="",U60="",Y60="",AB60="",AE60="",AG60=""),"",IFERROR(ROUND(IF(I60-Q60&lt;=0,0,(I60-Q60)*S60*AB60/1000),2),"")),"")</f>
        <v/>
      </c>
      <c r="AL60" s="822"/>
      <c r="AM60" s="822"/>
      <c r="AN60" s="815" t="str">
        <f t="shared" ref="AN60" si="147">IFERROR(IF(OR(C60="",I60="",K60="",Q60="",S60="",U60="",Y60="",AB60="",AE60="",AG60=""),"",IF(BC60&lt;&gt;"",BC60,ROUND(IF(I60-Q60&lt;=0,0,MIN(AU60,AI60*S60)),2))),"")</f>
        <v/>
      </c>
      <c r="AO60" s="816"/>
      <c r="AP60" s="816"/>
      <c r="AQ60" s="817"/>
      <c r="AU60" s="808" t="str">
        <f t="shared" si="117"/>
        <v/>
      </c>
      <c r="AV60" s="813" t="str">
        <f>IFERROR(IF(OR(I60="",Q60="",S60="",U60="",Y60="",AB60="",AE60="",AG60="",AK60=0),"",IF(ISNUMBER(SEARCH("Exterior",K60)),0,ROUND(((I60-Q60)*S60/1000)*INDEX(BUILDINGTYPE[Lighting Coincidence Factor],MATCH(M02S02F26,BUILDINGTYPE[Building Type],0)),3))),"")</f>
        <v/>
      </c>
      <c r="AW60" s="811" t="str">
        <f t="shared" si="118"/>
        <v/>
      </c>
      <c r="AX60" s="811" t="str">
        <f t="shared" si="119"/>
        <v/>
      </c>
      <c r="BC60" s="825" t="str">
        <f>IFERROR(IF(OR(C60="",I60="",K60="",Q60="",S60="",U60="",Y60="",AB60="",AE60="",AG60=""),"",IF(ISBLANK(M02S02F26),MEASUREBLDG,IF((I60*S60)&lt;=(Q60*S60),MEASURESAVE,""))),MEASURESUBMIT)</f>
        <v/>
      </c>
    </row>
    <row r="61" spans="2:55" ht="15.95" hidden="1" customHeight="1">
      <c r="B61" s="829"/>
      <c r="C61" s="835"/>
      <c r="D61" s="836"/>
      <c r="E61" s="836"/>
      <c r="F61" s="836"/>
      <c r="G61" s="836"/>
      <c r="H61" s="837"/>
      <c r="I61" s="840"/>
      <c r="J61" s="841"/>
      <c r="K61" s="843"/>
      <c r="L61" s="836"/>
      <c r="M61" s="836"/>
      <c r="N61" s="836"/>
      <c r="O61" s="836"/>
      <c r="P61" s="837"/>
      <c r="Q61" s="840"/>
      <c r="R61" s="845"/>
      <c r="S61" s="848"/>
      <c r="T61" s="849"/>
      <c r="U61" s="835"/>
      <c r="V61" s="836"/>
      <c r="W61" s="836"/>
      <c r="X61" s="837"/>
      <c r="Y61" s="851"/>
      <c r="Z61" s="836"/>
      <c r="AA61" s="837"/>
      <c r="AB61" s="848"/>
      <c r="AC61" s="853"/>
      <c r="AD61" s="849"/>
      <c r="AE61" s="856"/>
      <c r="AF61" s="857"/>
      <c r="AG61" s="860"/>
      <c r="AH61" s="870"/>
      <c r="AI61" s="864"/>
      <c r="AJ61" s="865"/>
      <c r="AK61" s="823"/>
      <c r="AL61" s="824"/>
      <c r="AM61" s="824"/>
      <c r="AN61" s="818"/>
      <c r="AO61" s="819"/>
      <c r="AP61" s="819"/>
      <c r="AQ61" s="820"/>
      <c r="AU61" s="809"/>
      <c r="AV61" s="814"/>
      <c r="AW61" s="812"/>
      <c r="AX61" s="812"/>
      <c r="BC61" s="826"/>
    </row>
    <row r="62" spans="2:55" ht="15.95" hidden="1" customHeight="1">
      <c r="B62" s="829">
        <v>24</v>
      </c>
      <c r="C62" s="832"/>
      <c r="D62" s="833"/>
      <c r="E62" s="833"/>
      <c r="F62" s="833"/>
      <c r="G62" s="833"/>
      <c r="H62" s="834"/>
      <c r="I62" s="838" t="str">
        <f>IFERROR(IF(C62="","",IF(INDEX(PMELIGHTTYPE[Base Autofill],MATCH(C62,PMELIGHTTYPE[Base Desc 1],0))="","",INDEX(PMELIGHTTYPE[Base Autofill],MATCH(C62,PMELIGHTTYPE[Base Desc 1],0)))),"")</f>
        <v/>
      </c>
      <c r="J62" s="839"/>
      <c r="K62" s="842"/>
      <c r="L62" s="833"/>
      <c r="M62" s="833"/>
      <c r="N62" s="833"/>
      <c r="O62" s="833"/>
      <c r="P62" s="834"/>
      <c r="Q62" s="838" t="str">
        <f t="shared" ref="Q62" si="148">IFERROR(IF(ISNUMBER(SEARCH("Removed",K62)),0,""),"")</f>
        <v/>
      </c>
      <c r="R62" s="844"/>
      <c r="S62" s="846"/>
      <c r="T62" s="847"/>
      <c r="U62" s="832"/>
      <c r="V62" s="833"/>
      <c r="W62" s="833"/>
      <c r="X62" s="834"/>
      <c r="Y62" s="850"/>
      <c r="Z62" s="833"/>
      <c r="AA62" s="834"/>
      <c r="AB62" s="846"/>
      <c r="AC62" s="852"/>
      <c r="AD62" s="847"/>
      <c r="AE62" s="854" t="str">
        <f t="shared" ref="AE62" si="149">IF(ISNUMBER(SEARCH("Removed",K62)),0,"")</f>
        <v/>
      </c>
      <c r="AF62" s="855"/>
      <c r="AG62" s="858"/>
      <c r="AH62" s="869"/>
      <c r="AI62" s="862" t="str">
        <f>IFERROR(IF(K62="","",IF(C62&lt;&gt;INDEX(PMELIGHT[Base Desc 1],MATCH(K62,PMELIGHT[Eff Desc 1],0)),0,INDEX(PMELIGHT[Inc Rate Unit],MATCH(K62,PMELIGHT[Eff Desc 1],0)))),"")</f>
        <v/>
      </c>
      <c r="AJ62" s="863"/>
      <c r="AK62" s="821" t="str">
        <f t="shared" ref="AK62" si="150">IFERROR(IF(OR(C62="",I62="",K62="",Q62="",S62="",U62="",Y62="",AB62="",AE62="",AG62=""),"",IFERROR(ROUND(IF(I62-Q62&lt;=0,0,(I62-Q62)*S62*AB62/1000),2),"")),"")</f>
        <v/>
      </c>
      <c r="AL62" s="822"/>
      <c r="AM62" s="822"/>
      <c r="AN62" s="815" t="str">
        <f t="shared" ref="AN62" si="151">IFERROR(IF(OR(C62="",I62="",K62="",Q62="",S62="",U62="",Y62="",AB62="",AE62="",AG62=""),"",IF(BC62&lt;&gt;"",BC62,ROUND(IF(I62-Q62&lt;=0,0,MIN(AU62,AI62*S62)),2))),"")</f>
        <v/>
      </c>
      <c r="AO62" s="816"/>
      <c r="AP62" s="816"/>
      <c r="AQ62" s="817"/>
      <c r="AU62" s="808" t="str">
        <f t="shared" si="117"/>
        <v/>
      </c>
      <c r="AV62" s="813" t="str">
        <f>IFERROR(IF(OR(I62="",Q62="",S62="",U62="",Y62="",AB62="",AE62="",AG62="",AK62=0),"",IF(ISNUMBER(SEARCH("Exterior",K62)),0,ROUND(((I62-Q62)*S62/1000)*INDEX(BUILDINGTYPE[Lighting Coincidence Factor],MATCH(M02S02F26,BUILDINGTYPE[Building Type],0)),3))),"")</f>
        <v/>
      </c>
      <c r="AW62" s="811" t="str">
        <f t="shared" si="118"/>
        <v/>
      </c>
      <c r="AX62" s="811" t="str">
        <f t="shared" si="119"/>
        <v/>
      </c>
      <c r="BC62" s="825" t="str">
        <f>IFERROR(IF(OR(C62="",I62="",K62="",Q62="",S62="",U62="",Y62="",AB62="",AE62="",AG62=""),"",IF(ISBLANK(M02S02F26),MEASUREBLDG,IF((I62*S62)&lt;=(Q62*S62),MEASURESAVE,""))),MEASURESUBMIT)</f>
        <v/>
      </c>
    </row>
    <row r="63" spans="2:55" ht="15.95" hidden="1" customHeight="1">
      <c r="B63" s="829"/>
      <c r="C63" s="835"/>
      <c r="D63" s="836"/>
      <c r="E63" s="836"/>
      <c r="F63" s="836"/>
      <c r="G63" s="836"/>
      <c r="H63" s="837"/>
      <c r="I63" s="840"/>
      <c r="J63" s="841"/>
      <c r="K63" s="843"/>
      <c r="L63" s="836"/>
      <c r="M63" s="836"/>
      <c r="N63" s="836"/>
      <c r="O63" s="836"/>
      <c r="P63" s="837"/>
      <c r="Q63" s="840"/>
      <c r="R63" s="845"/>
      <c r="S63" s="848"/>
      <c r="T63" s="849"/>
      <c r="U63" s="835"/>
      <c r="V63" s="836"/>
      <c r="W63" s="836"/>
      <c r="X63" s="837"/>
      <c r="Y63" s="851"/>
      <c r="Z63" s="836"/>
      <c r="AA63" s="837"/>
      <c r="AB63" s="848"/>
      <c r="AC63" s="853"/>
      <c r="AD63" s="849"/>
      <c r="AE63" s="856"/>
      <c r="AF63" s="857"/>
      <c r="AG63" s="860"/>
      <c r="AH63" s="870"/>
      <c r="AI63" s="864"/>
      <c r="AJ63" s="865"/>
      <c r="AK63" s="823"/>
      <c r="AL63" s="824"/>
      <c r="AM63" s="824"/>
      <c r="AN63" s="818"/>
      <c r="AO63" s="819"/>
      <c r="AP63" s="819"/>
      <c r="AQ63" s="820"/>
      <c r="AU63" s="809"/>
      <c r="AV63" s="814"/>
      <c r="AW63" s="812"/>
      <c r="AX63" s="812"/>
      <c r="BC63" s="826"/>
    </row>
    <row r="64" spans="2:55" ht="15.95" hidden="1" customHeight="1">
      <c r="B64" s="829">
        <v>25</v>
      </c>
      <c r="C64" s="832"/>
      <c r="D64" s="833"/>
      <c r="E64" s="833"/>
      <c r="F64" s="833"/>
      <c r="G64" s="833"/>
      <c r="H64" s="834"/>
      <c r="I64" s="838" t="str">
        <f>IFERROR(IF(C64="","",IF(INDEX(PMELIGHTTYPE[Base Autofill],MATCH(C64,PMELIGHTTYPE[Base Desc 1],0))="","",INDEX(PMELIGHTTYPE[Base Autofill],MATCH(C64,PMELIGHTTYPE[Base Desc 1],0)))),"")</f>
        <v/>
      </c>
      <c r="J64" s="839"/>
      <c r="K64" s="842"/>
      <c r="L64" s="833"/>
      <c r="M64" s="833"/>
      <c r="N64" s="833"/>
      <c r="O64" s="833"/>
      <c r="P64" s="834"/>
      <c r="Q64" s="838" t="str">
        <f t="shared" ref="Q64" si="152">IFERROR(IF(ISNUMBER(SEARCH("Removed",K64)),0,""),"")</f>
        <v/>
      </c>
      <c r="R64" s="844"/>
      <c r="S64" s="846"/>
      <c r="T64" s="847"/>
      <c r="U64" s="832"/>
      <c r="V64" s="833"/>
      <c r="W64" s="833"/>
      <c r="X64" s="834"/>
      <c r="Y64" s="850"/>
      <c r="Z64" s="833"/>
      <c r="AA64" s="834"/>
      <c r="AB64" s="846"/>
      <c r="AC64" s="852"/>
      <c r="AD64" s="847"/>
      <c r="AE64" s="854" t="str">
        <f t="shared" ref="AE64" si="153">IF(ISNUMBER(SEARCH("Removed",K64)),0,"")</f>
        <v/>
      </c>
      <c r="AF64" s="855"/>
      <c r="AG64" s="858"/>
      <c r="AH64" s="869"/>
      <c r="AI64" s="862" t="str">
        <f>IFERROR(IF(K64="","",IF(C64&lt;&gt;INDEX(PMELIGHT[Base Desc 1],MATCH(K64,PMELIGHT[Eff Desc 1],0)),0,INDEX(PMELIGHT[Inc Rate Unit],MATCH(K64,PMELIGHT[Eff Desc 1],0)))),"")</f>
        <v/>
      </c>
      <c r="AJ64" s="863"/>
      <c r="AK64" s="821" t="str">
        <f t="shared" ref="AK64" si="154">IFERROR(IF(OR(C64="",I64="",K64="",Q64="",S64="",U64="",Y64="",AB64="",AE64="",AG64=""),"",IFERROR(ROUND(IF(I64-Q64&lt;=0,0,(I64-Q64)*S64*AB64/1000),2),"")),"")</f>
        <v/>
      </c>
      <c r="AL64" s="822"/>
      <c r="AM64" s="822"/>
      <c r="AN64" s="815" t="str">
        <f t="shared" ref="AN64" si="155">IFERROR(IF(OR(C64="",I64="",K64="",Q64="",S64="",U64="",Y64="",AB64="",AE64="",AG64=""),"",IF(BC64&lt;&gt;"",BC64,ROUND(IF(I64-Q64&lt;=0,0,MIN(AU64,AI64*S64)),2))),"")</f>
        <v/>
      </c>
      <c r="AO64" s="816"/>
      <c r="AP64" s="816"/>
      <c r="AQ64" s="817"/>
      <c r="AU64" s="808" t="str">
        <f t="shared" si="117"/>
        <v/>
      </c>
      <c r="AV64" s="813" t="str">
        <f>IFERROR(IF(OR(I64="",Q64="",S64="",U64="",Y64="",AB64="",AE64="",AG64="",AK64=0),"",IF(ISNUMBER(SEARCH("Exterior",K64)),0,ROUND(((I64-Q64)*S64/1000)*INDEX(BUILDINGTYPE[Lighting Coincidence Factor],MATCH(M02S02F26,BUILDINGTYPE[Building Type],0)),3))),"")</f>
        <v/>
      </c>
      <c r="AW64" s="811" t="str">
        <f t="shared" si="118"/>
        <v/>
      </c>
      <c r="AX64" s="811" t="str">
        <f t="shared" si="119"/>
        <v/>
      </c>
      <c r="BC64" s="825" t="str">
        <f>IFERROR(IF(OR(C64="",I64="",K64="",Q64="",S64="",U64="",Y64="",AB64="",AE64="",AG64=""),"",IF(ISBLANK(M02S02F26),MEASUREBLDG,IF((I64*S64)&lt;=(Q64*S64),MEASURESAVE,""))),MEASURESUBMIT)</f>
        <v/>
      </c>
    </row>
    <row r="65" spans="2:55" ht="15.95" hidden="1" customHeight="1">
      <c r="B65" s="829"/>
      <c r="C65" s="835"/>
      <c r="D65" s="836"/>
      <c r="E65" s="836"/>
      <c r="F65" s="836"/>
      <c r="G65" s="836"/>
      <c r="H65" s="837"/>
      <c r="I65" s="840"/>
      <c r="J65" s="841"/>
      <c r="K65" s="843"/>
      <c r="L65" s="836"/>
      <c r="M65" s="836"/>
      <c r="N65" s="836"/>
      <c r="O65" s="836"/>
      <c r="P65" s="837"/>
      <c r="Q65" s="840"/>
      <c r="R65" s="845"/>
      <c r="S65" s="848"/>
      <c r="T65" s="849"/>
      <c r="U65" s="835"/>
      <c r="V65" s="836"/>
      <c r="W65" s="836"/>
      <c r="X65" s="837"/>
      <c r="Y65" s="851"/>
      <c r="Z65" s="836"/>
      <c r="AA65" s="837"/>
      <c r="AB65" s="848"/>
      <c r="AC65" s="853"/>
      <c r="AD65" s="849"/>
      <c r="AE65" s="856"/>
      <c r="AF65" s="857"/>
      <c r="AG65" s="860"/>
      <c r="AH65" s="870"/>
      <c r="AI65" s="864"/>
      <c r="AJ65" s="865"/>
      <c r="AK65" s="823"/>
      <c r="AL65" s="824"/>
      <c r="AM65" s="824"/>
      <c r="AN65" s="818"/>
      <c r="AO65" s="819"/>
      <c r="AP65" s="819"/>
      <c r="AQ65" s="820"/>
      <c r="AU65" s="809"/>
      <c r="AV65" s="814"/>
      <c r="AW65" s="812"/>
      <c r="AX65" s="812"/>
      <c r="BC65" s="826"/>
    </row>
    <row r="66" spans="2:55" ht="15.95" hidden="1" customHeight="1">
      <c r="B66" s="829">
        <v>26</v>
      </c>
      <c r="C66" s="832"/>
      <c r="D66" s="833"/>
      <c r="E66" s="833"/>
      <c r="F66" s="833"/>
      <c r="G66" s="833"/>
      <c r="H66" s="834"/>
      <c r="I66" s="838" t="str">
        <f>IFERROR(IF(C66="","",IF(INDEX(PMELIGHTTYPE[Base Autofill],MATCH(C66,PMELIGHTTYPE[Base Desc 1],0))="","",INDEX(PMELIGHTTYPE[Base Autofill],MATCH(C66,PMELIGHTTYPE[Base Desc 1],0)))),"")</f>
        <v/>
      </c>
      <c r="J66" s="839"/>
      <c r="K66" s="842"/>
      <c r="L66" s="833"/>
      <c r="M66" s="833"/>
      <c r="N66" s="833"/>
      <c r="O66" s="833"/>
      <c r="P66" s="834"/>
      <c r="Q66" s="838" t="str">
        <f t="shared" ref="Q66" si="156">IFERROR(IF(ISNUMBER(SEARCH("Removed",K66)),0,""),"")</f>
        <v/>
      </c>
      <c r="R66" s="844"/>
      <c r="S66" s="846"/>
      <c r="T66" s="847"/>
      <c r="U66" s="832"/>
      <c r="V66" s="833"/>
      <c r="W66" s="833"/>
      <c r="X66" s="834"/>
      <c r="Y66" s="850"/>
      <c r="Z66" s="833"/>
      <c r="AA66" s="834"/>
      <c r="AB66" s="846"/>
      <c r="AC66" s="852"/>
      <c r="AD66" s="847"/>
      <c r="AE66" s="854" t="str">
        <f t="shared" ref="AE66" si="157">IF(ISNUMBER(SEARCH("Removed",K66)),0,"")</f>
        <v/>
      </c>
      <c r="AF66" s="855"/>
      <c r="AG66" s="858"/>
      <c r="AH66" s="869"/>
      <c r="AI66" s="862" t="str">
        <f>IFERROR(IF(K66="","",IF(C66&lt;&gt;INDEX(PMELIGHT[Base Desc 1],MATCH(K66,PMELIGHT[Eff Desc 1],0)),0,INDEX(PMELIGHT[Inc Rate Unit],MATCH(K66,PMELIGHT[Eff Desc 1],0)))),"")</f>
        <v/>
      </c>
      <c r="AJ66" s="863"/>
      <c r="AK66" s="821" t="str">
        <f t="shared" ref="AK66" si="158">IFERROR(IF(OR(C66="",I66="",K66="",Q66="",S66="",U66="",Y66="",AB66="",AE66="",AG66=""),"",IFERROR(ROUND(IF(I66-Q66&lt;=0,0,(I66-Q66)*S66*AB66/1000),2),"")),"")</f>
        <v/>
      </c>
      <c r="AL66" s="822"/>
      <c r="AM66" s="822"/>
      <c r="AN66" s="815" t="str">
        <f t="shared" ref="AN66" si="159">IFERROR(IF(OR(C66="",I66="",K66="",Q66="",S66="",U66="",Y66="",AB66="",AE66="",AG66=""),"",IF(BC66&lt;&gt;"",BC66,ROUND(IF(I66-Q66&lt;=0,0,MIN(AU66,AI66*S66)),2))),"")</f>
        <v/>
      </c>
      <c r="AO66" s="816"/>
      <c r="AP66" s="816"/>
      <c r="AQ66" s="817"/>
      <c r="AU66" s="808" t="str">
        <f t="shared" si="117"/>
        <v/>
      </c>
      <c r="AV66" s="813" t="str">
        <f>IFERROR(IF(OR(I66="",Q66="",S66="",U66="",Y66="",AB66="",AE66="",AG66="",AK66=0),"",IF(ISNUMBER(SEARCH("Exterior",K66)),0,ROUND(((I66-Q66)*S66/1000)*INDEX(BUILDINGTYPE[Lighting Coincidence Factor],MATCH(M02S02F26,BUILDINGTYPE[Building Type],0)),3))),"")</f>
        <v/>
      </c>
      <c r="AW66" s="811" t="str">
        <f t="shared" si="118"/>
        <v/>
      </c>
      <c r="AX66" s="811" t="str">
        <f t="shared" si="119"/>
        <v/>
      </c>
      <c r="BC66" s="825" t="str">
        <f>IFERROR(IF(OR(C66="",I66="",K66="",Q66="",S66="",U66="",Y66="",AB66="",AE66="",AG66=""),"",IF(ISBLANK(M02S02F26),MEASUREBLDG,IF((I66*S66)&lt;=(Q66*S66),MEASURESAVE,""))),MEASURESUBMIT)</f>
        <v/>
      </c>
    </row>
    <row r="67" spans="2:55" ht="15.95" hidden="1" customHeight="1">
      <c r="B67" s="829"/>
      <c r="C67" s="835"/>
      <c r="D67" s="836"/>
      <c r="E67" s="836"/>
      <c r="F67" s="836"/>
      <c r="G67" s="836"/>
      <c r="H67" s="837"/>
      <c r="I67" s="840"/>
      <c r="J67" s="841"/>
      <c r="K67" s="843"/>
      <c r="L67" s="836"/>
      <c r="M67" s="836"/>
      <c r="N67" s="836"/>
      <c r="O67" s="836"/>
      <c r="P67" s="837"/>
      <c r="Q67" s="840"/>
      <c r="R67" s="845"/>
      <c r="S67" s="848"/>
      <c r="T67" s="849"/>
      <c r="U67" s="835"/>
      <c r="V67" s="836"/>
      <c r="W67" s="836"/>
      <c r="X67" s="837"/>
      <c r="Y67" s="851"/>
      <c r="Z67" s="836"/>
      <c r="AA67" s="837"/>
      <c r="AB67" s="848"/>
      <c r="AC67" s="853"/>
      <c r="AD67" s="849"/>
      <c r="AE67" s="856"/>
      <c r="AF67" s="857"/>
      <c r="AG67" s="860"/>
      <c r="AH67" s="870"/>
      <c r="AI67" s="864"/>
      <c r="AJ67" s="865"/>
      <c r="AK67" s="823"/>
      <c r="AL67" s="824"/>
      <c r="AM67" s="824"/>
      <c r="AN67" s="818"/>
      <c r="AO67" s="819"/>
      <c r="AP67" s="819"/>
      <c r="AQ67" s="820"/>
      <c r="AU67" s="809"/>
      <c r="AV67" s="814"/>
      <c r="AW67" s="812"/>
      <c r="AX67" s="812"/>
      <c r="BC67" s="826"/>
    </row>
    <row r="68" spans="2:55" ht="15.95" hidden="1" customHeight="1">
      <c r="B68" s="829">
        <v>27</v>
      </c>
      <c r="C68" s="832"/>
      <c r="D68" s="833"/>
      <c r="E68" s="833"/>
      <c r="F68" s="833"/>
      <c r="G68" s="833"/>
      <c r="H68" s="834"/>
      <c r="I68" s="838" t="str">
        <f>IFERROR(IF(C68="","",IF(INDEX(PMELIGHTTYPE[Base Autofill],MATCH(C68,PMELIGHTTYPE[Base Desc 1],0))="","",INDEX(PMELIGHTTYPE[Base Autofill],MATCH(C68,PMELIGHTTYPE[Base Desc 1],0)))),"")</f>
        <v/>
      </c>
      <c r="J68" s="839"/>
      <c r="K68" s="842"/>
      <c r="L68" s="833"/>
      <c r="M68" s="833"/>
      <c r="N68" s="833"/>
      <c r="O68" s="833"/>
      <c r="P68" s="834"/>
      <c r="Q68" s="838" t="str">
        <f t="shared" ref="Q68" si="160">IFERROR(IF(ISNUMBER(SEARCH("Removed",K68)),0,""),"")</f>
        <v/>
      </c>
      <c r="R68" s="844"/>
      <c r="S68" s="846"/>
      <c r="T68" s="847"/>
      <c r="U68" s="832"/>
      <c r="V68" s="833"/>
      <c r="W68" s="833"/>
      <c r="X68" s="834"/>
      <c r="Y68" s="850"/>
      <c r="Z68" s="833"/>
      <c r="AA68" s="834"/>
      <c r="AB68" s="846"/>
      <c r="AC68" s="852"/>
      <c r="AD68" s="847"/>
      <c r="AE68" s="854" t="str">
        <f t="shared" ref="AE68" si="161">IF(ISNUMBER(SEARCH("Removed",K68)),0,"")</f>
        <v/>
      </c>
      <c r="AF68" s="855"/>
      <c r="AG68" s="858"/>
      <c r="AH68" s="869"/>
      <c r="AI68" s="862" t="str">
        <f>IFERROR(IF(K68="","",IF(C68&lt;&gt;INDEX(PMELIGHT[Base Desc 1],MATCH(K68,PMELIGHT[Eff Desc 1],0)),0,INDEX(PMELIGHT[Inc Rate Unit],MATCH(K68,PMELIGHT[Eff Desc 1],0)))),"")</f>
        <v/>
      </c>
      <c r="AJ68" s="863"/>
      <c r="AK68" s="821" t="str">
        <f t="shared" ref="AK68" si="162">IFERROR(IF(OR(C68="",I68="",K68="",Q68="",S68="",U68="",Y68="",AB68="",AE68="",AG68=""),"",IFERROR(ROUND(IF(I68-Q68&lt;=0,0,(I68-Q68)*S68*AB68/1000),2),"")),"")</f>
        <v/>
      </c>
      <c r="AL68" s="822"/>
      <c r="AM68" s="822"/>
      <c r="AN68" s="815" t="str">
        <f t="shared" ref="AN68" si="163">IFERROR(IF(OR(C68="",I68="",K68="",Q68="",S68="",U68="",Y68="",AB68="",AE68="",AG68=""),"",IF(BC68&lt;&gt;"",BC68,ROUND(IF(I68-Q68&lt;=0,0,MIN(AU68,AI68*S68)),2))),"")</f>
        <v/>
      </c>
      <c r="AO68" s="816"/>
      <c r="AP68" s="816"/>
      <c r="AQ68" s="817"/>
      <c r="AU68" s="808" t="str">
        <f t="shared" si="117"/>
        <v/>
      </c>
      <c r="AV68" s="813" t="str">
        <f>IFERROR(IF(OR(I68="",Q68="",S68="",U68="",Y68="",AB68="",AE68="",AG68="",AK68=0),"",IF(ISNUMBER(SEARCH("Exterior",K68)),0,ROUND(((I68-Q68)*S68/1000)*INDEX(BUILDINGTYPE[Lighting Coincidence Factor],MATCH(M02S02F26,BUILDINGTYPE[Building Type],0)),3))),"")</f>
        <v/>
      </c>
      <c r="AW68" s="811" t="str">
        <f t="shared" si="118"/>
        <v/>
      </c>
      <c r="AX68" s="811" t="str">
        <f t="shared" si="119"/>
        <v/>
      </c>
      <c r="BC68" s="825" t="str">
        <f>IFERROR(IF(OR(C68="",I68="",K68="",Q68="",S68="",U68="",Y68="",AB68="",AE68="",AG68=""),"",IF(ISBLANK(M02S02F26),MEASUREBLDG,IF((I68*S68)&lt;=(Q68*S68),MEASURESAVE,""))),MEASURESUBMIT)</f>
        <v/>
      </c>
    </row>
    <row r="69" spans="2:55" ht="15.95" hidden="1" customHeight="1">
      <c r="B69" s="829"/>
      <c r="C69" s="835"/>
      <c r="D69" s="836"/>
      <c r="E69" s="836"/>
      <c r="F69" s="836"/>
      <c r="G69" s="836"/>
      <c r="H69" s="837"/>
      <c r="I69" s="840"/>
      <c r="J69" s="841"/>
      <c r="K69" s="843"/>
      <c r="L69" s="836"/>
      <c r="M69" s="836"/>
      <c r="N69" s="836"/>
      <c r="O69" s="836"/>
      <c r="P69" s="837"/>
      <c r="Q69" s="840"/>
      <c r="R69" s="845"/>
      <c r="S69" s="848"/>
      <c r="T69" s="849"/>
      <c r="U69" s="835"/>
      <c r="V69" s="836"/>
      <c r="W69" s="836"/>
      <c r="X69" s="837"/>
      <c r="Y69" s="851"/>
      <c r="Z69" s="836"/>
      <c r="AA69" s="837"/>
      <c r="AB69" s="848"/>
      <c r="AC69" s="853"/>
      <c r="AD69" s="849"/>
      <c r="AE69" s="856"/>
      <c r="AF69" s="857"/>
      <c r="AG69" s="860"/>
      <c r="AH69" s="870"/>
      <c r="AI69" s="864"/>
      <c r="AJ69" s="865"/>
      <c r="AK69" s="823"/>
      <c r="AL69" s="824"/>
      <c r="AM69" s="824"/>
      <c r="AN69" s="818"/>
      <c r="AO69" s="819"/>
      <c r="AP69" s="819"/>
      <c r="AQ69" s="820"/>
      <c r="AU69" s="809"/>
      <c r="AV69" s="814"/>
      <c r="AW69" s="812"/>
      <c r="AX69" s="812"/>
      <c r="BC69" s="826"/>
    </row>
    <row r="70" spans="2:55" ht="15.95" hidden="1" customHeight="1">
      <c r="B70" s="829">
        <v>28</v>
      </c>
      <c r="C70" s="832"/>
      <c r="D70" s="833"/>
      <c r="E70" s="833"/>
      <c r="F70" s="833"/>
      <c r="G70" s="833"/>
      <c r="H70" s="834"/>
      <c r="I70" s="838" t="str">
        <f>IFERROR(IF(C70="","",IF(INDEX(PMELIGHTTYPE[Base Autofill],MATCH(C70,PMELIGHTTYPE[Base Desc 1],0))="","",INDEX(PMELIGHTTYPE[Base Autofill],MATCH(C70,PMELIGHTTYPE[Base Desc 1],0)))),"")</f>
        <v/>
      </c>
      <c r="J70" s="839"/>
      <c r="K70" s="842"/>
      <c r="L70" s="833"/>
      <c r="M70" s="833"/>
      <c r="N70" s="833"/>
      <c r="O70" s="833"/>
      <c r="P70" s="834"/>
      <c r="Q70" s="838" t="str">
        <f t="shared" ref="Q70" si="164">IFERROR(IF(ISNUMBER(SEARCH("Removed",K70)),0,""),"")</f>
        <v/>
      </c>
      <c r="R70" s="844"/>
      <c r="S70" s="846"/>
      <c r="T70" s="847"/>
      <c r="U70" s="832"/>
      <c r="V70" s="833"/>
      <c r="W70" s="833"/>
      <c r="X70" s="834"/>
      <c r="Y70" s="850"/>
      <c r="Z70" s="833"/>
      <c r="AA70" s="834"/>
      <c r="AB70" s="846"/>
      <c r="AC70" s="852"/>
      <c r="AD70" s="847"/>
      <c r="AE70" s="854" t="str">
        <f t="shared" ref="AE70" si="165">IF(ISNUMBER(SEARCH("Removed",K70)),0,"")</f>
        <v/>
      </c>
      <c r="AF70" s="855"/>
      <c r="AG70" s="858"/>
      <c r="AH70" s="869"/>
      <c r="AI70" s="862" t="str">
        <f>IFERROR(IF(K70="","",IF(C70&lt;&gt;INDEX(PMELIGHT[Base Desc 1],MATCH(K70,PMELIGHT[Eff Desc 1],0)),0,INDEX(PMELIGHT[Inc Rate Unit],MATCH(K70,PMELIGHT[Eff Desc 1],0)))),"")</f>
        <v/>
      </c>
      <c r="AJ70" s="863"/>
      <c r="AK70" s="821" t="str">
        <f t="shared" ref="AK70" si="166">IFERROR(IF(OR(C70="",I70="",K70="",Q70="",S70="",U70="",Y70="",AB70="",AE70="",AG70=""),"",IFERROR(ROUND(IF(I70-Q70&lt;=0,0,(I70-Q70)*S70*AB70/1000),2),"")),"")</f>
        <v/>
      </c>
      <c r="AL70" s="822"/>
      <c r="AM70" s="822"/>
      <c r="AN70" s="815" t="str">
        <f t="shared" ref="AN70" si="167">IFERROR(IF(OR(C70="",I70="",K70="",Q70="",S70="",U70="",Y70="",AB70="",AE70="",AG70=""),"",IF(BC70&lt;&gt;"",BC70,ROUND(IF(I70-Q70&lt;=0,0,MIN(AU70,AI70*S70)),2))),"")</f>
        <v/>
      </c>
      <c r="AO70" s="816"/>
      <c r="AP70" s="816"/>
      <c r="AQ70" s="817"/>
      <c r="AU70" s="808" t="str">
        <f t="shared" si="117"/>
        <v/>
      </c>
      <c r="AV70" s="813" t="str">
        <f>IFERROR(IF(OR(I70="",Q70="",S70="",U70="",Y70="",AB70="",AE70="",AG70="",AK70=0),"",IF(ISNUMBER(SEARCH("Exterior",K70)),0,ROUND(((I70-Q70)*S70/1000)*INDEX(BUILDINGTYPE[Lighting Coincidence Factor],MATCH(M02S02F26,BUILDINGTYPE[Building Type],0)),3))),"")</f>
        <v/>
      </c>
      <c r="AW70" s="811" t="str">
        <f t="shared" si="118"/>
        <v/>
      </c>
      <c r="AX70" s="811" t="str">
        <f t="shared" si="119"/>
        <v/>
      </c>
      <c r="BC70" s="825" t="str">
        <f>IFERROR(IF(OR(C70="",I70="",K70="",Q70="",S70="",U70="",Y70="",AB70="",AE70="",AG70=""),"",IF(ISBLANK(M02S02F26),MEASUREBLDG,IF((I70*S70)&lt;=(Q70*S70),MEASURESAVE,""))),MEASURESUBMIT)</f>
        <v/>
      </c>
    </row>
    <row r="71" spans="2:55" ht="15.95" hidden="1" customHeight="1">
      <c r="B71" s="829"/>
      <c r="C71" s="835"/>
      <c r="D71" s="836"/>
      <c r="E71" s="836"/>
      <c r="F71" s="836"/>
      <c r="G71" s="836"/>
      <c r="H71" s="837"/>
      <c r="I71" s="840"/>
      <c r="J71" s="841"/>
      <c r="K71" s="843"/>
      <c r="L71" s="836"/>
      <c r="M71" s="836"/>
      <c r="N71" s="836"/>
      <c r="O71" s="836"/>
      <c r="P71" s="837"/>
      <c r="Q71" s="840"/>
      <c r="R71" s="845"/>
      <c r="S71" s="848"/>
      <c r="T71" s="849"/>
      <c r="U71" s="835"/>
      <c r="V71" s="836"/>
      <c r="W71" s="836"/>
      <c r="X71" s="837"/>
      <c r="Y71" s="851"/>
      <c r="Z71" s="836"/>
      <c r="AA71" s="837"/>
      <c r="AB71" s="848"/>
      <c r="AC71" s="853"/>
      <c r="AD71" s="849"/>
      <c r="AE71" s="856"/>
      <c r="AF71" s="857"/>
      <c r="AG71" s="860"/>
      <c r="AH71" s="870"/>
      <c r="AI71" s="864"/>
      <c r="AJ71" s="865"/>
      <c r="AK71" s="823"/>
      <c r="AL71" s="824"/>
      <c r="AM71" s="824"/>
      <c r="AN71" s="818"/>
      <c r="AO71" s="819"/>
      <c r="AP71" s="819"/>
      <c r="AQ71" s="820"/>
      <c r="AU71" s="809"/>
      <c r="AV71" s="814"/>
      <c r="AW71" s="812"/>
      <c r="AX71" s="812"/>
      <c r="BC71" s="826"/>
    </row>
    <row r="72" spans="2:55" ht="15.95" hidden="1" customHeight="1">
      <c r="B72" s="829">
        <v>29</v>
      </c>
      <c r="C72" s="832"/>
      <c r="D72" s="833"/>
      <c r="E72" s="833"/>
      <c r="F72" s="833"/>
      <c r="G72" s="833"/>
      <c r="H72" s="834"/>
      <c r="I72" s="838" t="str">
        <f>IFERROR(IF(C72="","",IF(INDEX(PMELIGHTTYPE[Base Autofill],MATCH(C72,PMELIGHTTYPE[Base Desc 1],0))="","",INDEX(PMELIGHTTYPE[Base Autofill],MATCH(C72,PMELIGHTTYPE[Base Desc 1],0)))),"")</f>
        <v/>
      </c>
      <c r="J72" s="839"/>
      <c r="K72" s="842"/>
      <c r="L72" s="833"/>
      <c r="M72" s="833"/>
      <c r="N72" s="833"/>
      <c r="O72" s="833"/>
      <c r="P72" s="834"/>
      <c r="Q72" s="838" t="str">
        <f t="shared" ref="Q72" si="168">IFERROR(IF(ISNUMBER(SEARCH("Removed",K72)),0,""),"")</f>
        <v/>
      </c>
      <c r="R72" s="844"/>
      <c r="S72" s="846"/>
      <c r="T72" s="847"/>
      <c r="U72" s="832"/>
      <c r="V72" s="833"/>
      <c r="W72" s="833"/>
      <c r="X72" s="834"/>
      <c r="Y72" s="850"/>
      <c r="Z72" s="833"/>
      <c r="AA72" s="834"/>
      <c r="AB72" s="846"/>
      <c r="AC72" s="852"/>
      <c r="AD72" s="847"/>
      <c r="AE72" s="854" t="str">
        <f t="shared" ref="AE72" si="169">IF(ISNUMBER(SEARCH("Removed",K72)),0,"")</f>
        <v/>
      </c>
      <c r="AF72" s="855"/>
      <c r="AG72" s="858"/>
      <c r="AH72" s="869"/>
      <c r="AI72" s="862" t="str">
        <f>IFERROR(IF(K72="","",IF(C72&lt;&gt;INDEX(PMELIGHT[Base Desc 1],MATCH(K72,PMELIGHT[Eff Desc 1],0)),0,INDEX(PMELIGHT[Inc Rate Unit],MATCH(K72,PMELIGHT[Eff Desc 1],0)))),"")</f>
        <v/>
      </c>
      <c r="AJ72" s="863"/>
      <c r="AK72" s="821" t="str">
        <f t="shared" ref="AK72" si="170">IFERROR(IF(OR(C72="",I72="",K72="",Q72="",S72="",U72="",Y72="",AB72="",AE72="",AG72=""),"",IFERROR(ROUND(IF(I72-Q72&lt;=0,0,(I72-Q72)*S72*AB72/1000),2),"")),"")</f>
        <v/>
      </c>
      <c r="AL72" s="822"/>
      <c r="AM72" s="822"/>
      <c r="AN72" s="815" t="str">
        <f t="shared" ref="AN72" si="171">IFERROR(IF(OR(C72="",I72="",K72="",Q72="",S72="",U72="",Y72="",AB72="",AE72="",AG72=""),"",IF(BC72&lt;&gt;"",BC72,ROUND(IF(I72-Q72&lt;=0,0,MIN(AU72,AI72*S72)),2))),"")</f>
        <v/>
      </c>
      <c r="AO72" s="816"/>
      <c r="AP72" s="816"/>
      <c r="AQ72" s="817"/>
      <c r="AU72" s="808" t="str">
        <f t="shared" si="117"/>
        <v/>
      </c>
      <c r="AV72" s="813" t="str">
        <f>IFERROR(IF(OR(I72="",Q72="",S72="",U72="",Y72="",AB72="",AE72="",AG72="",AK72=0),"",IF(ISNUMBER(SEARCH("Exterior",K72)),0,ROUND(((I72-Q72)*S72/1000)*INDEX(BUILDINGTYPE[Lighting Coincidence Factor],MATCH(M02S02F26,BUILDINGTYPE[Building Type],0)),3))),"")</f>
        <v/>
      </c>
      <c r="AW72" s="811" t="str">
        <f t="shared" si="118"/>
        <v/>
      </c>
      <c r="AX72" s="811" t="str">
        <f t="shared" si="119"/>
        <v/>
      </c>
      <c r="BC72" s="825" t="str">
        <f>IFERROR(IF(OR(C72="",I72="",K72="",Q72="",S72="",U72="",Y72="",AB72="",AE72="",AG72=""),"",IF(ISBLANK(M02S02F26),MEASUREBLDG,IF((I72*S72)&lt;=(Q72*S72),MEASURESAVE,""))),MEASURESUBMIT)</f>
        <v/>
      </c>
    </row>
    <row r="73" spans="2:55" ht="15.95" hidden="1" customHeight="1">
      <c r="B73" s="829"/>
      <c r="C73" s="835"/>
      <c r="D73" s="836"/>
      <c r="E73" s="836"/>
      <c r="F73" s="836"/>
      <c r="G73" s="836"/>
      <c r="H73" s="837"/>
      <c r="I73" s="840"/>
      <c r="J73" s="841"/>
      <c r="K73" s="843"/>
      <c r="L73" s="836"/>
      <c r="M73" s="836"/>
      <c r="N73" s="836"/>
      <c r="O73" s="836"/>
      <c r="P73" s="837"/>
      <c r="Q73" s="840"/>
      <c r="R73" s="845"/>
      <c r="S73" s="848"/>
      <c r="T73" s="849"/>
      <c r="U73" s="835"/>
      <c r="V73" s="836"/>
      <c r="W73" s="836"/>
      <c r="X73" s="837"/>
      <c r="Y73" s="851"/>
      <c r="Z73" s="836"/>
      <c r="AA73" s="837"/>
      <c r="AB73" s="848"/>
      <c r="AC73" s="853"/>
      <c r="AD73" s="849"/>
      <c r="AE73" s="856"/>
      <c r="AF73" s="857"/>
      <c r="AG73" s="860"/>
      <c r="AH73" s="870"/>
      <c r="AI73" s="864"/>
      <c r="AJ73" s="865"/>
      <c r="AK73" s="823"/>
      <c r="AL73" s="824"/>
      <c r="AM73" s="824"/>
      <c r="AN73" s="818"/>
      <c r="AO73" s="819"/>
      <c r="AP73" s="819"/>
      <c r="AQ73" s="820"/>
      <c r="AU73" s="809"/>
      <c r="AV73" s="814"/>
      <c r="AW73" s="812"/>
      <c r="AX73" s="812"/>
      <c r="BC73" s="826"/>
    </row>
    <row r="74" spans="2:55" ht="15.95" hidden="1" customHeight="1">
      <c r="B74" s="829">
        <v>30</v>
      </c>
      <c r="C74" s="832"/>
      <c r="D74" s="833"/>
      <c r="E74" s="833"/>
      <c r="F74" s="833"/>
      <c r="G74" s="833"/>
      <c r="H74" s="834"/>
      <c r="I74" s="838" t="str">
        <f>IFERROR(IF(C74="","",IF(INDEX(PMELIGHTTYPE[Base Autofill],MATCH(C74,PMELIGHTTYPE[Base Desc 1],0))="","",INDEX(PMELIGHTTYPE[Base Autofill],MATCH(C74,PMELIGHTTYPE[Base Desc 1],0)))),"")</f>
        <v/>
      </c>
      <c r="J74" s="839"/>
      <c r="K74" s="842"/>
      <c r="L74" s="833"/>
      <c r="M74" s="833"/>
      <c r="N74" s="833"/>
      <c r="O74" s="833"/>
      <c r="P74" s="834"/>
      <c r="Q74" s="838" t="str">
        <f t="shared" ref="Q74" si="172">IFERROR(IF(ISNUMBER(SEARCH("Removed",K74)),0,""),"")</f>
        <v/>
      </c>
      <c r="R74" s="844"/>
      <c r="S74" s="846"/>
      <c r="T74" s="847"/>
      <c r="U74" s="832"/>
      <c r="V74" s="833"/>
      <c r="W74" s="833"/>
      <c r="X74" s="834"/>
      <c r="Y74" s="850"/>
      <c r="Z74" s="833"/>
      <c r="AA74" s="834"/>
      <c r="AB74" s="846"/>
      <c r="AC74" s="852"/>
      <c r="AD74" s="847"/>
      <c r="AE74" s="854" t="str">
        <f t="shared" ref="AE74" si="173">IF(ISNUMBER(SEARCH("Removed",K74)),0,"")</f>
        <v/>
      </c>
      <c r="AF74" s="855"/>
      <c r="AG74" s="858"/>
      <c r="AH74" s="869"/>
      <c r="AI74" s="862" t="str">
        <f>IFERROR(IF(K74="","",IF(C74&lt;&gt;INDEX(PMELIGHT[Base Desc 1],MATCH(K74,PMELIGHT[Eff Desc 1],0)),0,INDEX(PMELIGHT[Inc Rate Unit],MATCH(K74,PMELIGHT[Eff Desc 1],0)))),"")</f>
        <v/>
      </c>
      <c r="AJ74" s="863"/>
      <c r="AK74" s="821" t="str">
        <f t="shared" ref="AK74" si="174">IFERROR(IF(OR(C74="",I74="",K74="",Q74="",S74="",U74="",Y74="",AB74="",AE74="",AG74=""),"",IFERROR(ROUND(IF(I74-Q74&lt;=0,0,(I74-Q74)*S74*AB74/1000),2),"")),"")</f>
        <v/>
      </c>
      <c r="AL74" s="822"/>
      <c r="AM74" s="822"/>
      <c r="AN74" s="815" t="str">
        <f t="shared" ref="AN74" si="175">IFERROR(IF(OR(C74="",I74="",K74="",Q74="",S74="",U74="",Y74="",AB74="",AE74="",AG74=""),"",IF(BC74&lt;&gt;"",BC74,ROUND(IF(I74-Q74&lt;=0,0,MIN(AU74,AI74*S74)),2))),"")</f>
        <v/>
      </c>
      <c r="AO74" s="816"/>
      <c r="AP74" s="816"/>
      <c r="AQ74" s="817"/>
      <c r="AU74" s="808" t="str">
        <f t="shared" si="117"/>
        <v/>
      </c>
      <c r="AV74" s="813" t="str">
        <f>IFERROR(IF(OR(I74="",Q74="",S74="",U74="",Y74="",AB74="",AE74="",AG74="",AK74=0),"",IF(ISNUMBER(SEARCH("Exterior",K74)),0,ROUND(((I74-Q74)*S74/1000)*INDEX(BUILDINGTYPE[Lighting Coincidence Factor],MATCH(M02S02F26,BUILDINGTYPE[Building Type],0)),3))),"")</f>
        <v/>
      </c>
      <c r="AW74" s="811" t="str">
        <f t="shared" si="118"/>
        <v/>
      </c>
      <c r="AX74" s="811" t="str">
        <f t="shared" si="119"/>
        <v/>
      </c>
      <c r="BC74" s="825" t="str">
        <f>IFERROR(IF(OR(C74="",I74="",K74="",Q74="",S74="",U74="",Y74="",AB74="",AE74="",AG74=""),"",IF(ISBLANK(M02S02F26),MEASUREBLDG,IF((I74*S74)&lt;=(Q74*S74),MEASURESAVE,""))),MEASURESUBMIT)</f>
        <v/>
      </c>
    </row>
    <row r="75" spans="2:55" ht="15.95" hidden="1" customHeight="1">
      <c r="B75" s="829"/>
      <c r="C75" s="835"/>
      <c r="D75" s="836"/>
      <c r="E75" s="836"/>
      <c r="F75" s="836"/>
      <c r="G75" s="836"/>
      <c r="H75" s="837"/>
      <c r="I75" s="840"/>
      <c r="J75" s="841"/>
      <c r="K75" s="843"/>
      <c r="L75" s="836"/>
      <c r="M75" s="836"/>
      <c r="N75" s="836"/>
      <c r="O75" s="836"/>
      <c r="P75" s="837"/>
      <c r="Q75" s="840"/>
      <c r="R75" s="845"/>
      <c r="S75" s="848"/>
      <c r="T75" s="849"/>
      <c r="U75" s="835"/>
      <c r="V75" s="836"/>
      <c r="W75" s="836"/>
      <c r="X75" s="837"/>
      <c r="Y75" s="851"/>
      <c r="Z75" s="836"/>
      <c r="AA75" s="837"/>
      <c r="AB75" s="848"/>
      <c r="AC75" s="853"/>
      <c r="AD75" s="849"/>
      <c r="AE75" s="856"/>
      <c r="AF75" s="857"/>
      <c r="AG75" s="860"/>
      <c r="AH75" s="870"/>
      <c r="AI75" s="864"/>
      <c r="AJ75" s="865"/>
      <c r="AK75" s="823"/>
      <c r="AL75" s="824"/>
      <c r="AM75" s="824"/>
      <c r="AN75" s="818"/>
      <c r="AO75" s="819"/>
      <c r="AP75" s="819"/>
      <c r="AQ75" s="820"/>
      <c r="AU75" s="809"/>
      <c r="AV75" s="814"/>
      <c r="AW75" s="812"/>
      <c r="AX75" s="812"/>
      <c r="BC75" s="826"/>
    </row>
    <row r="76" spans="2:55" ht="15.95" hidden="1" customHeight="1">
      <c r="B76" s="829">
        <v>31</v>
      </c>
      <c r="C76" s="832"/>
      <c r="D76" s="833"/>
      <c r="E76" s="833"/>
      <c r="F76" s="833"/>
      <c r="G76" s="833"/>
      <c r="H76" s="834"/>
      <c r="I76" s="838" t="str">
        <f>IFERROR(IF(C76="","",IF(INDEX(PMELIGHTTYPE[Base Autofill],MATCH(C76,PMELIGHTTYPE[Base Desc 1],0))="","",INDEX(PMELIGHTTYPE[Base Autofill],MATCH(C76,PMELIGHTTYPE[Base Desc 1],0)))),"")</f>
        <v/>
      </c>
      <c r="J76" s="839"/>
      <c r="K76" s="842"/>
      <c r="L76" s="833"/>
      <c r="M76" s="833"/>
      <c r="N76" s="833"/>
      <c r="O76" s="833"/>
      <c r="P76" s="834"/>
      <c r="Q76" s="838" t="str">
        <f t="shared" ref="Q76" si="176">IFERROR(IF(ISNUMBER(SEARCH("Removed",K76)),0,""),"")</f>
        <v/>
      </c>
      <c r="R76" s="844"/>
      <c r="S76" s="846"/>
      <c r="T76" s="847"/>
      <c r="U76" s="832"/>
      <c r="V76" s="833"/>
      <c r="W76" s="833"/>
      <c r="X76" s="834"/>
      <c r="Y76" s="850"/>
      <c r="Z76" s="833"/>
      <c r="AA76" s="834"/>
      <c r="AB76" s="846"/>
      <c r="AC76" s="852"/>
      <c r="AD76" s="847"/>
      <c r="AE76" s="854" t="str">
        <f t="shared" ref="AE76" si="177">IF(ISNUMBER(SEARCH("Removed",K76)),0,"")</f>
        <v/>
      </c>
      <c r="AF76" s="855"/>
      <c r="AG76" s="858"/>
      <c r="AH76" s="869"/>
      <c r="AI76" s="862" t="str">
        <f>IFERROR(IF(K76="","",IF(C76&lt;&gt;INDEX(PMELIGHT[Base Desc 1],MATCH(K76,PMELIGHT[Eff Desc 1],0)),0,INDEX(PMELIGHT[Inc Rate Unit],MATCH(K76,PMELIGHT[Eff Desc 1],0)))),"")</f>
        <v/>
      </c>
      <c r="AJ76" s="863"/>
      <c r="AK76" s="821" t="str">
        <f t="shared" ref="AK76" si="178">IFERROR(IF(OR(C76="",I76="",K76="",Q76="",S76="",U76="",Y76="",AB76="",AE76="",AG76=""),"",IFERROR(ROUND(IF(I76-Q76&lt;=0,0,(I76-Q76)*S76*AB76/1000),2),"")),"")</f>
        <v/>
      </c>
      <c r="AL76" s="822"/>
      <c r="AM76" s="822"/>
      <c r="AN76" s="815" t="str">
        <f t="shared" ref="AN76" si="179">IFERROR(IF(OR(C76="",I76="",K76="",Q76="",S76="",U76="",Y76="",AB76="",AE76="",AG76=""),"",IF(BC76&lt;&gt;"",BC76,ROUND(IF(I76-Q76&lt;=0,0,MIN(AU76,AI76*S76)),2))),"")</f>
        <v/>
      </c>
      <c r="AO76" s="816"/>
      <c r="AP76" s="816"/>
      <c r="AQ76" s="817"/>
      <c r="AS76"/>
      <c r="AT76"/>
      <c r="AU76" s="808" t="str">
        <f t="shared" si="117"/>
        <v/>
      </c>
      <c r="AV76" s="813" t="str">
        <f>IFERROR(IF(OR(I76="",Q76="",S76="",U76="",Y76="",AB76="",AE76="",AG76="",AK76=0),"",IF(ISNUMBER(SEARCH("Exterior",K76)),0,ROUND(((I76-Q76)*S76/1000)*INDEX(BUILDINGTYPE[Lighting Coincidence Factor],MATCH(M02S02F26,BUILDINGTYPE[Building Type],0)),3))),"")</f>
        <v/>
      </c>
      <c r="AW76" s="811" t="str">
        <f t="shared" si="118"/>
        <v/>
      </c>
      <c r="AX76" s="811" t="str">
        <f t="shared" si="119"/>
        <v/>
      </c>
      <c r="AY76"/>
      <c r="AZ76"/>
      <c r="BA76"/>
      <c r="BB76"/>
      <c r="BC76" s="825" t="str">
        <f>IFERROR(IF(OR(C76="",I76="",K76="",Q76="",S76="",U76="",Y76="",AB76="",AE76="",AG76=""),"",IF(ISBLANK(M02S02F26),MEASUREBLDG,IF((I76*S76)&lt;=(Q76*S76),MEASURESAVE,""))),MEASURESUBMIT)</f>
        <v/>
      </c>
    </row>
    <row r="77" spans="2:55" ht="15.95" hidden="1" customHeight="1">
      <c r="B77" s="829"/>
      <c r="C77" s="835"/>
      <c r="D77" s="836"/>
      <c r="E77" s="836"/>
      <c r="F77" s="836"/>
      <c r="G77" s="836"/>
      <c r="H77" s="837"/>
      <c r="I77" s="840"/>
      <c r="J77" s="841"/>
      <c r="K77" s="843"/>
      <c r="L77" s="836"/>
      <c r="M77" s="836"/>
      <c r="N77" s="836"/>
      <c r="O77" s="836"/>
      <c r="P77" s="837"/>
      <c r="Q77" s="840"/>
      <c r="R77" s="845"/>
      <c r="S77" s="848"/>
      <c r="T77" s="849"/>
      <c r="U77" s="835"/>
      <c r="V77" s="836"/>
      <c r="W77" s="836"/>
      <c r="X77" s="837"/>
      <c r="Y77" s="851"/>
      <c r="Z77" s="836"/>
      <c r="AA77" s="837"/>
      <c r="AB77" s="848"/>
      <c r="AC77" s="853"/>
      <c r="AD77" s="849"/>
      <c r="AE77" s="856"/>
      <c r="AF77" s="857"/>
      <c r="AG77" s="860"/>
      <c r="AH77" s="870"/>
      <c r="AI77" s="864"/>
      <c r="AJ77" s="865"/>
      <c r="AK77" s="823"/>
      <c r="AL77" s="824"/>
      <c r="AM77" s="824"/>
      <c r="AN77" s="818"/>
      <c r="AO77" s="819"/>
      <c r="AP77" s="819"/>
      <c r="AQ77" s="820"/>
      <c r="AS77"/>
      <c r="AT77"/>
      <c r="AU77" s="809"/>
      <c r="AV77" s="814"/>
      <c r="AW77" s="812"/>
      <c r="AX77" s="812"/>
      <c r="AY77"/>
      <c r="AZ77"/>
      <c r="BA77"/>
      <c r="BB77"/>
      <c r="BC77" s="826"/>
    </row>
    <row r="78" spans="2:55" ht="15.95" hidden="1" customHeight="1">
      <c r="B78" s="829">
        <v>32</v>
      </c>
      <c r="C78" s="832"/>
      <c r="D78" s="833"/>
      <c r="E78" s="833"/>
      <c r="F78" s="833"/>
      <c r="G78" s="833"/>
      <c r="H78" s="834"/>
      <c r="I78" s="838" t="str">
        <f>IFERROR(IF(C78="","",IF(INDEX(PMELIGHTTYPE[Base Autofill],MATCH(C78,PMELIGHTTYPE[Base Desc 1],0))="","",INDEX(PMELIGHTTYPE[Base Autofill],MATCH(C78,PMELIGHTTYPE[Base Desc 1],0)))),"")</f>
        <v/>
      </c>
      <c r="J78" s="839"/>
      <c r="K78" s="842"/>
      <c r="L78" s="833"/>
      <c r="M78" s="833"/>
      <c r="N78" s="833"/>
      <c r="O78" s="833"/>
      <c r="P78" s="834"/>
      <c r="Q78" s="838" t="str">
        <f t="shared" ref="Q78" si="180">IFERROR(IF(ISNUMBER(SEARCH("Removed",K78)),0,""),"")</f>
        <v/>
      </c>
      <c r="R78" s="844"/>
      <c r="S78" s="846"/>
      <c r="T78" s="847"/>
      <c r="U78" s="832"/>
      <c r="V78" s="833"/>
      <c r="W78" s="833"/>
      <c r="X78" s="834"/>
      <c r="Y78" s="850"/>
      <c r="Z78" s="833"/>
      <c r="AA78" s="834"/>
      <c r="AB78" s="846"/>
      <c r="AC78" s="852"/>
      <c r="AD78" s="847"/>
      <c r="AE78" s="854" t="str">
        <f t="shared" ref="AE78" si="181">IF(ISNUMBER(SEARCH("Removed",K78)),0,"")</f>
        <v/>
      </c>
      <c r="AF78" s="855"/>
      <c r="AG78" s="858"/>
      <c r="AH78" s="869"/>
      <c r="AI78" s="862" t="str">
        <f>IFERROR(IF(K78="","",IF(C78&lt;&gt;INDEX(PMELIGHT[Base Desc 1],MATCH(K78,PMELIGHT[Eff Desc 1],0)),0,INDEX(PMELIGHT[Inc Rate Unit],MATCH(K78,PMELIGHT[Eff Desc 1],0)))),"")</f>
        <v/>
      </c>
      <c r="AJ78" s="863"/>
      <c r="AK78" s="821" t="str">
        <f t="shared" ref="AK78" si="182">IFERROR(IF(OR(C78="",I78="",K78="",Q78="",S78="",U78="",Y78="",AB78="",AE78="",AG78=""),"",IFERROR(ROUND(IF(I78-Q78&lt;=0,0,(I78-Q78)*S78*AB78/1000),2),"")),"")</f>
        <v/>
      </c>
      <c r="AL78" s="822"/>
      <c r="AM78" s="822"/>
      <c r="AN78" s="815" t="str">
        <f t="shared" ref="AN78" si="183">IFERROR(IF(OR(C78="",I78="",K78="",Q78="",S78="",U78="",Y78="",AB78="",AE78="",AG78=""),"",IF(BC78&lt;&gt;"",BC78,ROUND(IF(I78-Q78&lt;=0,0,MIN(AU78,AI78*S78)),2))),"")</f>
        <v/>
      </c>
      <c r="AO78" s="816"/>
      <c r="AP78" s="816"/>
      <c r="AQ78" s="817"/>
      <c r="AS78"/>
      <c r="AT78"/>
      <c r="AU78" s="808" t="str">
        <f t="shared" si="117"/>
        <v/>
      </c>
      <c r="AV78" s="813" t="str">
        <f>IFERROR(IF(OR(I78="",Q78="",S78="",U78="",Y78="",AB78="",AE78="",AG78="",AK78=0),"",IF(ISNUMBER(SEARCH("Exterior",K78)),0,ROUND(((I78-Q78)*S78/1000)*INDEX(BUILDINGTYPE[Lighting Coincidence Factor],MATCH(M02S02F26,BUILDINGTYPE[Building Type],0)),3))),"")</f>
        <v/>
      </c>
      <c r="AW78" s="811" t="str">
        <f t="shared" si="118"/>
        <v/>
      </c>
      <c r="AX78" s="811" t="str">
        <f t="shared" si="119"/>
        <v/>
      </c>
      <c r="AY78"/>
      <c r="AZ78"/>
      <c r="BA78"/>
      <c r="BB78"/>
      <c r="BC78" s="825" t="str">
        <f>IFERROR(IF(OR(C78="",I78="",K78="",Q78="",S78="",U78="",Y78="",AB78="",AE78="",AG78=""),"",IF(ISBLANK(M02S02F26),MEASUREBLDG,IF((I78*S78)&lt;=(Q78*S78),MEASURESAVE,""))),MEASURESUBMIT)</f>
        <v/>
      </c>
    </row>
    <row r="79" spans="2:55" ht="15.95" hidden="1" customHeight="1">
      <c r="B79" s="829"/>
      <c r="C79" s="835"/>
      <c r="D79" s="836"/>
      <c r="E79" s="836"/>
      <c r="F79" s="836"/>
      <c r="G79" s="836"/>
      <c r="H79" s="837"/>
      <c r="I79" s="840"/>
      <c r="J79" s="841"/>
      <c r="K79" s="843"/>
      <c r="L79" s="836"/>
      <c r="M79" s="836"/>
      <c r="N79" s="836"/>
      <c r="O79" s="836"/>
      <c r="P79" s="837"/>
      <c r="Q79" s="840"/>
      <c r="R79" s="845"/>
      <c r="S79" s="848"/>
      <c r="T79" s="849"/>
      <c r="U79" s="835"/>
      <c r="V79" s="836"/>
      <c r="W79" s="836"/>
      <c r="X79" s="837"/>
      <c r="Y79" s="851"/>
      <c r="Z79" s="836"/>
      <c r="AA79" s="837"/>
      <c r="AB79" s="848"/>
      <c r="AC79" s="853"/>
      <c r="AD79" s="849"/>
      <c r="AE79" s="856"/>
      <c r="AF79" s="857"/>
      <c r="AG79" s="860"/>
      <c r="AH79" s="870"/>
      <c r="AI79" s="864"/>
      <c r="AJ79" s="865"/>
      <c r="AK79" s="823"/>
      <c r="AL79" s="824"/>
      <c r="AM79" s="824"/>
      <c r="AN79" s="818"/>
      <c r="AO79" s="819"/>
      <c r="AP79" s="819"/>
      <c r="AQ79" s="820"/>
      <c r="AS79"/>
      <c r="AT79"/>
      <c r="AU79" s="809"/>
      <c r="AV79" s="814"/>
      <c r="AW79" s="812"/>
      <c r="AX79" s="812"/>
      <c r="AY79"/>
      <c r="AZ79"/>
      <c r="BA79"/>
      <c r="BB79"/>
      <c r="BC79" s="826"/>
    </row>
    <row r="80" spans="2:55" ht="15.95" hidden="1" customHeight="1">
      <c r="B80" s="829">
        <v>33</v>
      </c>
      <c r="C80" s="832"/>
      <c r="D80" s="833"/>
      <c r="E80" s="833"/>
      <c r="F80" s="833"/>
      <c r="G80" s="833"/>
      <c r="H80" s="834"/>
      <c r="I80" s="838" t="str">
        <f>IFERROR(IF(C80="","",IF(INDEX(PMELIGHTTYPE[Base Autofill],MATCH(C80,PMELIGHTTYPE[Base Desc 1],0))="","",INDEX(PMELIGHTTYPE[Base Autofill],MATCH(C80,PMELIGHTTYPE[Base Desc 1],0)))),"")</f>
        <v/>
      </c>
      <c r="J80" s="839"/>
      <c r="K80" s="842"/>
      <c r="L80" s="833"/>
      <c r="M80" s="833"/>
      <c r="N80" s="833"/>
      <c r="O80" s="833"/>
      <c r="P80" s="834"/>
      <c r="Q80" s="838" t="str">
        <f t="shared" ref="Q80" si="184">IFERROR(IF(ISNUMBER(SEARCH("Removed",K80)),0,""),"")</f>
        <v/>
      </c>
      <c r="R80" s="844"/>
      <c r="S80" s="846"/>
      <c r="T80" s="847"/>
      <c r="U80" s="832"/>
      <c r="V80" s="833"/>
      <c r="W80" s="833"/>
      <c r="X80" s="834"/>
      <c r="Y80" s="850"/>
      <c r="Z80" s="833"/>
      <c r="AA80" s="834"/>
      <c r="AB80" s="846"/>
      <c r="AC80" s="852"/>
      <c r="AD80" s="847"/>
      <c r="AE80" s="854" t="str">
        <f t="shared" ref="AE80" si="185">IF(ISNUMBER(SEARCH("Removed",K80)),0,"")</f>
        <v/>
      </c>
      <c r="AF80" s="855"/>
      <c r="AG80" s="858"/>
      <c r="AH80" s="869"/>
      <c r="AI80" s="862" t="str">
        <f>IFERROR(IF(K80="","",IF(C80&lt;&gt;INDEX(PMELIGHT[Base Desc 1],MATCH(K80,PMELIGHT[Eff Desc 1],0)),0,INDEX(PMELIGHT[Inc Rate Unit],MATCH(K80,PMELIGHT[Eff Desc 1],0)))),"")</f>
        <v/>
      </c>
      <c r="AJ80" s="863"/>
      <c r="AK80" s="821" t="str">
        <f t="shared" ref="AK80" si="186">IFERROR(IF(OR(C80="",I80="",K80="",Q80="",S80="",U80="",Y80="",AB80="",AE80="",AG80=""),"",IFERROR(ROUND(IF(I80-Q80&lt;=0,0,(I80-Q80)*S80*AB80/1000),2),"")),"")</f>
        <v/>
      </c>
      <c r="AL80" s="822"/>
      <c r="AM80" s="822"/>
      <c r="AN80" s="815" t="str">
        <f t="shared" ref="AN80" si="187">IFERROR(IF(OR(C80="",I80="",K80="",Q80="",S80="",U80="",Y80="",AB80="",AE80="",AG80=""),"",IF(BC80&lt;&gt;"",BC80,ROUND(IF(I80-Q80&lt;=0,0,MIN(AU80,AI80*S80)),2))),"")</f>
        <v/>
      </c>
      <c r="AO80" s="816"/>
      <c r="AP80" s="816"/>
      <c r="AQ80" s="817"/>
      <c r="AS80"/>
      <c r="AT80"/>
      <c r="AU80" s="808" t="str">
        <f t="shared" si="117"/>
        <v/>
      </c>
      <c r="AV80" s="813" t="str">
        <f>IFERROR(IF(OR(I80="",Q80="",S80="",U80="",Y80="",AB80="",AE80="",AG80="",AK80=0),"",IF(ISNUMBER(SEARCH("Exterior",K80)),0,ROUND(((I80-Q80)*S80/1000)*INDEX(BUILDINGTYPE[Lighting Coincidence Factor],MATCH(M02S02F26,BUILDINGTYPE[Building Type],0)),3))),"")</f>
        <v/>
      </c>
      <c r="AW80" s="811" t="str">
        <f t="shared" si="118"/>
        <v/>
      </c>
      <c r="AX80" s="811" t="str">
        <f t="shared" si="119"/>
        <v/>
      </c>
      <c r="AY80"/>
      <c r="AZ80"/>
      <c r="BA80"/>
      <c r="BB80"/>
      <c r="BC80" s="825" t="str">
        <f>IFERROR(IF(OR(C80="",I80="",K80="",Q80="",S80="",U80="",Y80="",AB80="",AE80="",AG80=""),"",IF(ISBLANK(M02S02F26),MEASUREBLDG,IF((I80*S80)&lt;=(Q80*S80),MEASURESAVE,""))),MEASURESUBMIT)</f>
        <v/>
      </c>
    </row>
    <row r="81" spans="2:55" ht="15.95" hidden="1" customHeight="1">
      <c r="B81" s="829"/>
      <c r="C81" s="835"/>
      <c r="D81" s="836"/>
      <c r="E81" s="836"/>
      <c r="F81" s="836"/>
      <c r="G81" s="836"/>
      <c r="H81" s="837"/>
      <c r="I81" s="840"/>
      <c r="J81" s="841"/>
      <c r="K81" s="843"/>
      <c r="L81" s="836"/>
      <c r="M81" s="836"/>
      <c r="N81" s="836"/>
      <c r="O81" s="836"/>
      <c r="P81" s="837"/>
      <c r="Q81" s="840"/>
      <c r="R81" s="845"/>
      <c r="S81" s="848"/>
      <c r="T81" s="849"/>
      <c r="U81" s="835"/>
      <c r="V81" s="836"/>
      <c r="W81" s="836"/>
      <c r="X81" s="837"/>
      <c r="Y81" s="851"/>
      <c r="Z81" s="836"/>
      <c r="AA81" s="837"/>
      <c r="AB81" s="848"/>
      <c r="AC81" s="853"/>
      <c r="AD81" s="849"/>
      <c r="AE81" s="856"/>
      <c r="AF81" s="857"/>
      <c r="AG81" s="860"/>
      <c r="AH81" s="870"/>
      <c r="AI81" s="864"/>
      <c r="AJ81" s="865"/>
      <c r="AK81" s="823"/>
      <c r="AL81" s="824"/>
      <c r="AM81" s="824"/>
      <c r="AN81" s="818"/>
      <c r="AO81" s="819"/>
      <c r="AP81" s="819"/>
      <c r="AQ81" s="820"/>
      <c r="AS81"/>
      <c r="AT81"/>
      <c r="AU81" s="809"/>
      <c r="AV81" s="814"/>
      <c r="AW81" s="812"/>
      <c r="AX81" s="812"/>
      <c r="AY81"/>
      <c r="AZ81"/>
      <c r="BA81"/>
      <c r="BB81"/>
      <c r="BC81" s="826"/>
    </row>
    <row r="82" spans="2:55" ht="15.95" hidden="1" customHeight="1">
      <c r="B82" s="829">
        <v>34</v>
      </c>
      <c r="C82" s="832"/>
      <c r="D82" s="833"/>
      <c r="E82" s="833"/>
      <c r="F82" s="833"/>
      <c r="G82" s="833"/>
      <c r="H82" s="834"/>
      <c r="I82" s="838" t="str">
        <f>IFERROR(IF(C82="","",IF(INDEX(PMELIGHTTYPE[Base Autofill],MATCH(C82,PMELIGHTTYPE[Base Desc 1],0))="","",INDEX(PMELIGHTTYPE[Base Autofill],MATCH(C82,PMELIGHTTYPE[Base Desc 1],0)))),"")</f>
        <v/>
      </c>
      <c r="J82" s="839"/>
      <c r="K82" s="842"/>
      <c r="L82" s="833"/>
      <c r="M82" s="833"/>
      <c r="N82" s="833"/>
      <c r="O82" s="833"/>
      <c r="P82" s="834"/>
      <c r="Q82" s="838" t="str">
        <f t="shared" ref="Q82" si="188">IFERROR(IF(ISNUMBER(SEARCH("Removed",K82)),0,""),"")</f>
        <v/>
      </c>
      <c r="R82" s="844"/>
      <c r="S82" s="846"/>
      <c r="T82" s="847"/>
      <c r="U82" s="832"/>
      <c r="V82" s="833"/>
      <c r="W82" s="833"/>
      <c r="X82" s="834"/>
      <c r="Y82" s="850"/>
      <c r="Z82" s="833"/>
      <c r="AA82" s="834"/>
      <c r="AB82" s="846"/>
      <c r="AC82" s="852"/>
      <c r="AD82" s="847"/>
      <c r="AE82" s="854" t="str">
        <f t="shared" ref="AE82" si="189">IF(ISNUMBER(SEARCH("Removed",K82)),0,"")</f>
        <v/>
      </c>
      <c r="AF82" s="855"/>
      <c r="AG82" s="858"/>
      <c r="AH82" s="869"/>
      <c r="AI82" s="862" t="str">
        <f>IFERROR(IF(K82="","",IF(C82&lt;&gt;INDEX(PMELIGHT[Base Desc 1],MATCH(K82,PMELIGHT[Eff Desc 1],0)),0,INDEX(PMELIGHT[Inc Rate Unit],MATCH(K82,PMELIGHT[Eff Desc 1],0)))),"")</f>
        <v/>
      </c>
      <c r="AJ82" s="863"/>
      <c r="AK82" s="821" t="str">
        <f t="shared" ref="AK82" si="190">IFERROR(IF(OR(C82="",I82="",K82="",Q82="",S82="",U82="",Y82="",AB82="",AE82="",AG82=""),"",IFERROR(ROUND(IF(I82-Q82&lt;=0,0,(I82-Q82)*S82*AB82/1000),2),"")),"")</f>
        <v/>
      </c>
      <c r="AL82" s="822"/>
      <c r="AM82" s="822"/>
      <c r="AN82" s="815" t="str">
        <f t="shared" ref="AN82" si="191">IFERROR(IF(OR(C82="",I82="",K82="",Q82="",S82="",U82="",Y82="",AB82="",AE82="",AG82=""),"",IF(BC82&lt;&gt;"",BC82,ROUND(IF(I82-Q82&lt;=0,0,MIN(AU82,AI82*S82)),2))),"")</f>
        <v/>
      </c>
      <c r="AO82" s="816"/>
      <c r="AP82" s="816"/>
      <c r="AQ82" s="817"/>
      <c r="AS82"/>
      <c r="AT82"/>
      <c r="AU82" s="808" t="str">
        <f t="shared" si="117"/>
        <v/>
      </c>
      <c r="AV82" s="813" t="str">
        <f>IFERROR(IF(OR(I82="",Q82="",S82="",U82="",Y82="",AB82="",AE82="",AG82="",AK82=0),"",IF(ISNUMBER(SEARCH("Exterior",K82)),0,ROUND(((I82-Q82)*S82/1000)*INDEX(BUILDINGTYPE[Lighting Coincidence Factor],MATCH(M02S02F26,BUILDINGTYPE[Building Type],0)),3))),"")</f>
        <v/>
      </c>
      <c r="AW82" s="811" t="str">
        <f t="shared" si="118"/>
        <v/>
      </c>
      <c r="AX82" s="811" t="str">
        <f t="shared" si="119"/>
        <v/>
      </c>
      <c r="AY82"/>
      <c r="AZ82"/>
      <c r="BA82"/>
      <c r="BB82"/>
      <c r="BC82" s="825" t="str">
        <f>IFERROR(IF(OR(C82="",I82="",K82="",Q82="",S82="",U82="",Y82="",AB82="",AE82="",AG82=""),"",IF(ISBLANK(M02S02F26),MEASUREBLDG,IF((I82*S82)&lt;=(Q82*S82),MEASURESAVE,""))),MEASURESUBMIT)</f>
        <v/>
      </c>
    </row>
    <row r="83" spans="2:55" ht="15.95" hidden="1" customHeight="1">
      <c r="B83" s="829"/>
      <c r="C83" s="835"/>
      <c r="D83" s="836"/>
      <c r="E83" s="836"/>
      <c r="F83" s="836"/>
      <c r="G83" s="836"/>
      <c r="H83" s="837"/>
      <c r="I83" s="840"/>
      <c r="J83" s="841"/>
      <c r="K83" s="843"/>
      <c r="L83" s="836"/>
      <c r="M83" s="836"/>
      <c r="N83" s="836"/>
      <c r="O83" s="836"/>
      <c r="P83" s="837"/>
      <c r="Q83" s="840"/>
      <c r="R83" s="845"/>
      <c r="S83" s="848"/>
      <c r="T83" s="849"/>
      <c r="U83" s="835"/>
      <c r="V83" s="836"/>
      <c r="W83" s="836"/>
      <c r="X83" s="837"/>
      <c r="Y83" s="851"/>
      <c r="Z83" s="836"/>
      <c r="AA83" s="837"/>
      <c r="AB83" s="848"/>
      <c r="AC83" s="853"/>
      <c r="AD83" s="849"/>
      <c r="AE83" s="856"/>
      <c r="AF83" s="857"/>
      <c r="AG83" s="860"/>
      <c r="AH83" s="870"/>
      <c r="AI83" s="864"/>
      <c r="AJ83" s="865"/>
      <c r="AK83" s="823"/>
      <c r="AL83" s="824"/>
      <c r="AM83" s="824"/>
      <c r="AN83" s="818"/>
      <c r="AO83" s="819"/>
      <c r="AP83" s="819"/>
      <c r="AQ83" s="820"/>
      <c r="AS83"/>
      <c r="AT83"/>
      <c r="AU83" s="809"/>
      <c r="AV83" s="814"/>
      <c r="AW83" s="812"/>
      <c r="AX83" s="812"/>
      <c r="AY83"/>
      <c r="AZ83"/>
      <c r="BA83"/>
      <c r="BB83"/>
      <c r="BC83" s="826"/>
    </row>
    <row r="84" spans="2:55" ht="15.95" hidden="1" customHeight="1">
      <c r="B84" s="829">
        <v>35</v>
      </c>
      <c r="C84" s="832"/>
      <c r="D84" s="833"/>
      <c r="E84" s="833"/>
      <c r="F84" s="833"/>
      <c r="G84" s="833"/>
      <c r="H84" s="834"/>
      <c r="I84" s="838" t="str">
        <f>IFERROR(IF(C84="","",IF(INDEX(PMELIGHTTYPE[Base Autofill],MATCH(C84,PMELIGHTTYPE[Base Desc 1],0))="","",INDEX(PMELIGHTTYPE[Base Autofill],MATCH(C84,PMELIGHTTYPE[Base Desc 1],0)))),"")</f>
        <v/>
      </c>
      <c r="J84" s="839"/>
      <c r="K84" s="842"/>
      <c r="L84" s="833"/>
      <c r="M84" s="833"/>
      <c r="N84" s="833"/>
      <c r="O84" s="833"/>
      <c r="P84" s="834"/>
      <c r="Q84" s="838" t="str">
        <f t="shared" ref="Q84" si="192">IFERROR(IF(ISNUMBER(SEARCH("Removed",K84)),0,""),"")</f>
        <v/>
      </c>
      <c r="R84" s="844"/>
      <c r="S84" s="846"/>
      <c r="T84" s="847"/>
      <c r="U84" s="832"/>
      <c r="V84" s="833"/>
      <c r="W84" s="833"/>
      <c r="X84" s="834"/>
      <c r="Y84" s="850"/>
      <c r="Z84" s="833"/>
      <c r="AA84" s="834"/>
      <c r="AB84" s="846"/>
      <c r="AC84" s="852"/>
      <c r="AD84" s="847"/>
      <c r="AE84" s="854" t="str">
        <f t="shared" ref="AE84" si="193">IF(ISNUMBER(SEARCH("Removed",K84)),0,"")</f>
        <v/>
      </c>
      <c r="AF84" s="855"/>
      <c r="AG84" s="858"/>
      <c r="AH84" s="869"/>
      <c r="AI84" s="862" t="str">
        <f>IFERROR(IF(K84="","",IF(C84&lt;&gt;INDEX(PMELIGHT[Base Desc 1],MATCH(K84,PMELIGHT[Eff Desc 1],0)),0,INDEX(PMELIGHT[Inc Rate Unit],MATCH(K84,PMELIGHT[Eff Desc 1],0)))),"")</f>
        <v/>
      </c>
      <c r="AJ84" s="863"/>
      <c r="AK84" s="821" t="str">
        <f t="shared" ref="AK84" si="194">IFERROR(IF(OR(C84="",I84="",K84="",Q84="",S84="",U84="",Y84="",AB84="",AE84="",AG84=""),"",IFERROR(ROUND(IF(I84-Q84&lt;=0,0,(I84-Q84)*S84*AB84/1000),2),"")),"")</f>
        <v/>
      </c>
      <c r="AL84" s="822"/>
      <c r="AM84" s="822"/>
      <c r="AN84" s="815" t="str">
        <f t="shared" ref="AN84" si="195">IFERROR(IF(OR(C84="",I84="",K84="",Q84="",S84="",U84="",Y84="",AB84="",AE84="",AG84=""),"",IF(BC84&lt;&gt;"",BC84,ROUND(IF(I84-Q84&lt;=0,0,MIN(AU84,AI84*S84)),2))),"")</f>
        <v/>
      </c>
      <c r="AO84" s="816"/>
      <c r="AP84" s="816"/>
      <c r="AQ84" s="817"/>
      <c r="AU84" s="808" t="str">
        <f t="shared" si="117"/>
        <v/>
      </c>
      <c r="AV84" s="813" t="str">
        <f>IFERROR(IF(OR(I84="",Q84="",S84="",U84="",Y84="",AB84="",AE84="",AG84="",AK84=0),"",IF(ISNUMBER(SEARCH("Exterior",K84)),0,ROUND(((I84-Q84)*S84/1000)*INDEX(BUILDINGTYPE[Lighting Coincidence Factor],MATCH(M02S02F26,BUILDINGTYPE[Building Type],0)),3))),"")</f>
        <v/>
      </c>
      <c r="AW84" s="811" t="str">
        <f t="shared" si="118"/>
        <v/>
      </c>
      <c r="AX84" s="811" t="str">
        <f t="shared" si="119"/>
        <v/>
      </c>
      <c r="BC84" s="825" t="str">
        <f>IFERROR(IF(OR(C84="",I84="",K84="",Q84="",S84="",U84="",Y84="",AB84="",AE84="",AG84=""),"",IF(ISBLANK(M02S02F26),MEASUREBLDG,IF((I84*S84)&lt;=(Q84*S84),MEASURESAVE,""))),MEASURESUBMIT)</f>
        <v/>
      </c>
    </row>
    <row r="85" spans="2:55" ht="15.95" hidden="1" customHeight="1">
      <c r="B85" s="829"/>
      <c r="C85" s="835"/>
      <c r="D85" s="836"/>
      <c r="E85" s="836"/>
      <c r="F85" s="836"/>
      <c r="G85" s="836"/>
      <c r="H85" s="837"/>
      <c r="I85" s="840"/>
      <c r="J85" s="841"/>
      <c r="K85" s="843"/>
      <c r="L85" s="836"/>
      <c r="M85" s="836"/>
      <c r="N85" s="836"/>
      <c r="O85" s="836"/>
      <c r="P85" s="837"/>
      <c r="Q85" s="840"/>
      <c r="R85" s="845"/>
      <c r="S85" s="848"/>
      <c r="T85" s="849"/>
      <c r="U85" s="835"/>
      <c r="V85" s="836"/>
      <c r="W85" s="836"/>
      <c r="X85" s="837"/>
      <c r="Y85" s="851"/>
      <c r="Z85" s="836"/>
      <c r="AA85" s="837"/>
      <c r="AB85" s="848"/>
      <c r="AC85" s="853"/>
      <c r="AD85" s="849"/>
      <c r="AE85" s="856"/>
      <c r="AF85" s="857"/>
      <c r="AG85" s="860"/>
      <c r="AH85" s="870"/>
      <c r="AI85" s="864"/>
      <c r="AJ85" s="865"/>
      <c r="AK85" s="823"/>
      <c r="AL85" s="824"/>
      <c r="AM85" s="824"/>
      <c r="AN85" s="818"/>
      <c r="AO85" s="819"/>
      <c r="AP85" s="819"/>
      <c r="AQ85" s="820"/>
      <c r="AU85" s="809"/>
      <c r="AV85" s="814"/>
      <c r="AW85" s="812"/>
      <c r="AX85" s="812"/>
      <c r="BC85" s="826"/>
    </row>
    <row r="86" spans="2:55" ht="15.95" hidden="1" customHeight="1">
      <c r="B86" s="829">
        <v>36</v>
      </c>
      <c r="C86" s="832"/>
      <c r="D86" s="833"/>
      <c r="E86" s="833"/>
      <c r="F86" s="833"/>
      <c r="G86" s="833"/>
      <c r="H86" s="834"/>
      <c r="I86" s="838" t="str">
        <f>IFERROR(IF(C86="","",IF(INDEX(PMELIGHTTYPE[Base Autofill],MATCH(C86,PMELIGHTTYPE[Base Desc 1],0))="","",INDEX(PMELIGHTTYPE[Base Autofill],MATCH(C86,PMELIGHTTYPE[Base Desc 1],0)))),"")</f>
        <v/>
      </c>
      <c r="J86" s="839"/>
      <c r="K86" s="842"/>
      <c r="L86" s="833"/>
      <c r="M86" s="833"/>
      <c r="N86" s="833"/>
      <c r="O86" s="833"/>
      <c r="P86" s="834"/>
      <c r="Q86" s="838" t="str">
        <f t="shared" ref="Q86" si="196">IFERROR(IF(ISNUMBER(SEARCH("Removed",K86)),0,""),"")</f>
        <v/>
      </c>
      <c r="R86" s="844"/>
      <c r="S86" s="846"/>
      <c r="T86" s="847"/>
      <c r="U86" s="832"/>
      <c r="V86" s="833"/>
      <c r="W86" s="833"/>
      <c r="X86" s="834"/>
      <c r="Y86" s="850"/>
      <c r="Z86" s="833"/>
      <c r="AA86" s="834"/>
      <c r="AB86" s="846"/>
      <c r="AC86" s="852"/>
      <c r="AD86" s="847"/>
      <c r="AE86" s="854" t="str">
        <f t="shared" ref="AE86" si="197">IF(ISNUMBER(SEARCH("Removed",K86)),0,"")</f>
        <v/>
      </c>
      <c r="AF86" s="855"/>
      <c r="AG86" s="858"/>
      <c r="AH86" s="869"/>
      <c r="AI86" s="862" t="str">
        <f>IFERROR(IF(K86="","",IF(C86&lt;&gt;INDEX(PMELIGHT[Base Desc 1],MATCH(K86,PMELIGHT[Eff Desc 1],0)),0,INDEX(PMELIGHT[Inc Rate Unit],MATCH(K86,PMELIGHT[Eff Desc 1],0)))),"")</f>
        <v/>
      </c>
      <c r="AJ86" s="863"/>
      <c r="AK86" s="821" t="str">
        <f t="shared" ref="AK86" si="198">IFERROR(IF(OR(C86="",I86="",K86="",Q86="",S86="",U86="",Y86="",AB86="",AE86="",AG86=""),"",IFERROR(ROUND(IF(I86-Q86&lt;=0,0,(I86-Q86)*S86*AB86/1000),2),"")),"")</f>
        <v/>
      </c>
      <c r="AL86" s="822"/>
      <c r="AM86" s="822"/>
      <c r="AN86" s="815" t="str">
        <f t="shared" ref="AN86" si="199">IFERROR(IF(OR(C86="",I86="",K86="",Q86="",S86="",U86="",Y86="",AB86="",AE86="",AG86=""),"",IF(BC86&lt;&gt;"",BC86,ROUND(IF(I86-Q86&lt;=0,0,MIN(AU86,AI86*S86)),2))),"")</f>
        <v/>
      </c>
      <c r="AO86" s="816"/>
      <c r="AP86" s="816"/>
      <c r="AQ86" s="817"/>
      <c r="AU86" s="808" t="str">
        <f t="shared" si="117"/>
        <v/>
      </c>
      <c r="AV86" s="813" t="str">
        <f>IFERROR(IF(OR(I86="",Q86="",S86="",U86="",Y86="",AB86="",AE86="",AG86="",AK86=0),"",IF(ISNUMBER(SEARCH("Exterior",K86)),0,ROUND(((I86-Q86)*S86/1000)*INDEX(BUILDINGTYPE[Lighting Coincidence Factor],MATCH(M02S02F26,BUILDINGTYPE[Building Type],0)),3))),"")</f>
        <v/>
      </c>
      <c r="AW86" s="811" t="str">
        <f t="shared" si="118"/>
        <v/>
      </c>
      <c r="AX86" s="811" t="str">
        <f t="shared" si="119"/>
        <v/>
      </c>
      <c r="BC86" s="825" t="str">
        <f>IFERROR(IF(OR(C86="",I86="",K86="",Q86="",S86="",U86="",Y86="",AB86="",AE86="",AG86=""),"",IF(ISBLANK(M02S02F26),MEASUREBLDG,IF((I86*S86)&lt;=(Q86*S86),MEASURESAVE,""))),MEASURESUBMIT)</f>
        <v/>
      </c>
    </row>
    <row r="87" spans="2:55" ht="15.95" hidden="1" customHeight="1">
      <c r="B87" s="829"/>
      <c r="C87" s="835"/>
      <c r="D87" s="836"/>
      <c r="E87" s="836"/>
      <c r="F87" s="836"/>
      <c r="G87" s="836"/>
      <c r="H87" s="837"/>
      <c r="I87" s="840"/>
      <c r="J87" s="841"/>
      <c r="K87" s="843"/>
      <c r="L87" s="836"/>
      <c r="M87" s="836"/>
      <c r="N87" s="836"/>
      <c r="O87" s="836"/>
      <c r="P87" s="837"/>
      <c r="Q87" s="840"/>
      <c r="R87" s="845"/>
      <c r="S87" s="848"/>
      <c r="T87" s="849"/>
      <c r="U87" s="835"/>
      <c r="V87" s="836"/>
      <c r="W87" s="836"/>
      <c r="X87" s="837"/>
      <c r="Y87" s="851"/>
      <c r="Z87" s="836"/>
      <c r="AA87" s="837"/>
      <c r="AB87" s="848"/>
      <c r="AC87" s="853"/>
      <c r="AD87" s="849"/>
      <c r="AE87" s="856"/>
      <c r="AF87" s="857"/>
      <c r="AG87" s="860"/>
      <c r="AH87" s="870"/>
      <c r="AI87" s="864"/>
      <c r="AJ87" s="865"/>
      <c r="AK87" s="823"/>
      <c r="AL87" s="824"/>
      <c r="AM87" s="824"/>
      <c r="AN87" s="818"/>
      <c r="AO87" s="819"/>
      <c r="AP87" s="819"/>
      <c r="AQ87" s="820"/>
      <c r="AU87" s="809"/>
      <c r="AV87" s="814"/>
      <c r="AW87" s="812"/>
      <c r="AX87" s="812"/>
      <c r="BC87" s="826"/>
    </row>
    <row r="88" spans="2:55" ht="15.95" hidden="1" customHeight="1">
      <c r="B88" s="829">
        <v>37</v>
      </c>
      <c r="C88" s="832"/>
      <c r="D88" s="833"/>
      <c r="E88" s="833"/>
      <c r="F88" s="833"/>
      <c r="G88" s="833"/>
      <c r="H88" s="834"/>
      <c r="I88" s="838" t="str">
        <f>IFERROR(IF(C88="","",IF(INDEX(PMELIGHTTYPE[Base Autofill],MATCH(C88,PMELIGHTTYPE[Base Desc 1],0))="","",INDEX(PMELIGHTTYPE[Base Autofill],MATCH(C88,PMELIGHTTYPE[Base Desc 1],0)))),"")</f>
        <v/>
      </c>
      <c r="J88" s="839"/>
      <c r="K88" s="842"/>
      <c r="L88" s="833"/>
      <c r="M88" s="833"/>
      <c r="N88" s="833"/>
      <c r="O88" s="833"/>
      <c r="P88" s="834"/>
      <c r="Q88" s="838" t="str">
        <f t="shared" ref="Q88" si="200">IFERROR(IF(ISNUMBER(SEARCH("Removed",K88)),0,""),"")</f>
        <v/>
      </c>
      <c r="R88" s="844"/>
      <c r="S88" s="846"/>
      <c r="T88" s="847"/>
      <c r="U88" s="832"/>
      <c r="V88" s="833"/>
      <c r="W88" s="833"/>
      <c r="X88" s="834"/>
      <c r="Y88" s="850"/>
      <c r="Z88" s="833"/>
      <c r="AA88" s="834"/>
      <c r="AB88" s="846"/>
      <c r="AC88" s="852"/>
      <c r="AD88" s="847"/>
      <c r="AE88" s="854" t="str">
        <f t="shared" ref="AE88" si="201">IF(ISNUMBER(SEARCH("Removed",K88)),0,"")</f>
        <v/>
      </c>
      <c r="AF88" s="855"/>
      <c r="AG88" s="858"/>
      <c r="AH88" s="869"/>
      <c r="AI88" s="862" t="str">
        <f>IFERROR(IF(K88="","",IF(C88&lt;&gt;INDEX(PMELIGHT[Base Desc 1],MATCH(K88,PMELIGHT[Eff Desc 1],0)),0,INDEX(PMELIGHT[Inc Rate Unit],MATCH(K88,PMELIGHT[Eff Desc 1],0)))),"")</f>
        <v/>
      </c>
      <c r="AJ88" s="863"/>
      <c r="AK88" s="821" t="str">
        <f t="shared" ref="AK88" si="202">IFERROR(IF(OR(C88="",I88="",K88="",Q88="",S88="",U88="",Y88="",AB88="",AE88="",AG88=""),"",IFERROR(ROUND(IF(I88-Q88&lt;=0,0,(I88-Q88)*S88*AB88/1000),2),"")),"")</f>
        <v/>
      </c>
      <c r="AL88" s="822"/>
      <c r="AM88" s="822"/>
      <c r="AN88" s="815" t="str">
        <f t="shared" ref="AN88" si="203">IFERROR(IF(OR(C88="",I88="",K88="",Q88="",S88="",U88="",Y88="",AB88="",AE88="",AG88=""),"",IF(BC88&lt;&gt;"",BC88,ROUND(IF(I88-Q88&lt;=0,0,MIN(AU88,AI88*S88)),2))),"")</f>
        <v/>
      </c>
      <c r="AO88" s="816"/>
      <c r="AP88" s="816"/>
      <c r="AQ88" s="817"/>
      <c r="AU88" s="808" t="str">
        <f t="shared" si="117"/>
        <v/>
      </c>
      <c r="AV88" s="813" t="str">
        <f>IFERROR(IF(OR(I88="",Q88="",S88="",U88="",Y88="",AB88="",AE88="",AG88="",AK88=0),"",IF(ISNUMBER(SEARCH("Exterior",K88)),0,ROUND(((I88-Q88)*S88/1000)*INDEX(BUILDINGTYPE[Lighting Coincidence Factor],MATCH(M02S02F26,BUILDINGTYPE[Building Type],0)),3))),"")</f>
        <v/>
      </c>
      <c r="AW88" s="811" t="str">
        <f t="shared" si="118"/>
        <v/>
      </c>
      <c r="AX88" s="811" t="str">
        <f t="shared" si="119"/>
        <v/>
      </c>
      <c r="BC88" s="825" t="str">
        <f>IFERROR(IF(OR(C88="",I88="",K88="",Q88="",S88="",U88="",Y88="",AB88="",AE88="",AG88=""),"",IF(ISBLANK(M02S02F26),MEASUREBLDG,IF((I88*S88)&lt;=(Q88*S88),MEASURESAVE,""))),MEASURESUBMIT)</f>
        <v/>
      </c>
    </row>
    <row r="89" spans="2:55" ht="15.95" hidden="1" customHeight="1">
      <c r="B89" s="829"/>
      <c r="C89" s="835"/>
      <c r="D89" s="836"/>
      <c r="E89" s="836"/>
      <c r="F89" s="836"/>
      <c r="G89" s="836"/>
      <c r="H89" s="837"/>
      <c r="I89" s="840"/>
      <c r="J89" s="841"/>
      <c r="K89" s="843"/>
      <c r="L89" s="836"/>
      <c r="M89" s="836"/>
      <c r="N89" s="836"/>
      <c r="O89" s="836"/>
      <c r="P89" s="837"/>
      <c r="Q89" s="840"/>
      <c r="R89" s="845"/>
      <c r="S89" s="848"/>
      <c r="T89" s="849"/>
      <c r="U89" s="835"/>
      <c r="V89" s="836"/>
      <c r="W89" s="836"/>
      <c r="X89" s="837"/>
      <c r="Y89" s="851"/>
      <c r="Z89" s="836"/>
      <c r="AA89" s="837"/>
      <c r="AB89" s="848"/>
      <c r="AC89" s="853"/>
      <c r="AD89" s="849"/>
      <c r="AE89" s="856"/>
      <c r="AF89" s="857"/>
      <c r="AG89" s="860"/>
      <c r="AH89" s="870"/>
      <c r="AI89" s="864"/>
      <c r="AJ89" s="865"/>
      <c r="AK89" s="823"/>
      <c r="AL89" s="824"/>
      <c r="AM89" s="824"/>
      <c r="AN89" s="818"/>
      <c r="AO89" s="819"/>
      <c r="AP89" s="819"/>
      <c r="AQ89" s="820"/>
      <c r="AU89" s="809"/>
      <c r="AV89" s="814"/>
      <c r="AW89" s="812"/>
      <c r="AX89" s="812"/>
      <c r="BC89" s="826"/>
    </row>
    <row r="90" spans="2:55" ht="15.95" hidden="1" customHeight="1">
      <c r="B90" s="829">
        <v>38</v>
      </c>
      <c r="C90" s="832"/>
      <c r="D90" s="833"/>
      <c r="E90" s="833"/>
      <c r="F90" s="833"/>
      <c r="G90" s="833"/>
      <c r="H90" s="834"/>
      <c r="I90" s="838" t="str">
        <f>IFERROR(IF(C90="","",IF(INDEX(PMELIGHTTYPE[Base Autofill],MATCH(C90,PMELIGHTTYPE[Base Desc 1],0))="","",INDEX(PMELIGHTTYPE[Base Autofill],MATCH(C90,PMELIGHTTYPE[Base Desc 1],0)))),"")</f>
        <v/>
      </c>
      <c r="J90" s="839"/>
      <c r="K90" s="842"/>
      <c r="L90" s="833"/>
      <c r="M90" s="833"/>
      <c r="N90" s="833"/>
      <c r="O90" s="833"/>
      <c r="P90" s="834"/>
      <c r="Q90" s="838" t="str">
        <f t="shared" ref="Q90" si="204">IFERROR(IF(ISNUMBER(SEARCH("Removed",K90)),0,""),"")</f>
        <v/>
      </c>
      <c r="R90" s="844"/>
      <c r="S90" s="846"/>
      <c r="T90" s="847"/>
      <c r="U90" s="832"/>
      <c r="V90" s="833"/>
      <c r="W90" s="833"/>
      <c r="X90" s="834"/>
      <c r="Y90" s="850"/>
      <c r="Z90" s="833"/>
      <c r="AA90" s="834"/>
      <c r="AB90" s="846"/>
      <c r="AC90" s="852"/>
      <c r="AD90" s="847"/>
      <c r="AE90" s="854" t="str">
        <f t="shared" ref="AE90" si="205">IF(ISNUMBER(SEARCH("Removed",K90)),0,"")</f>
        <v/>
      </c>
      <c r="AF90" s="855"/>
      <c r="AG90" s="858"/>
      <c r="AH90" s="869"/>
      <c r="AI90" s="862" t="str">
        <f>IFERROR(IF(K90="","",IF(C90&lt;&gt;INDEX(PMELIGHT[Base Desc 1],MATCH(K90,PMELIGHT[Eff Desc 1],0)),0,INDEX(PMELIGHT[Inc Rate Unit],MATCH(K90,PMELIGHT[Eff Desc 1],0)))),"")</f>
        <v/>
      </c>
      <c r="AJ90" s="863"/>
      <c r="AK90" s="821" t="str">
        <f t="shared" ref="AK90" si="206">IFERROR(IF(OR(C90="",I90="",K90="",Q90="",S90="",U90="",Y90="",AB90="",AE90="",AG90=""),"",IFERROR(ROUND(IF(I90-Q90&lt;=0,0,(I90-Q90)*S90*AB90/1000),2),"")),"")</f>
        <v/>
      </c>
      <c r="AL90" s="822"/>
      <c r="AM90" s="822"/>
      <c r="AN90" s="815" t="str">
        <f t="shared" ref="AN90" si="207">IFERROR(IF(OR(C90="",I90="",K90="",Q90="",S90="",U90="",Y90="",AB90="",AE90="",AG90=""),"",IF(BC90&lt;&gt;"",BC90,ROUND(IF(I90-Q90&lt;=0,0,MIN(AU90,AI90*S90)),2))),"")</f>
        <v/>
      </c>
      <c r="AO90" s="816"/>
      <c r="AP90" s="816"/>
      <c r="AQ90" s="817"/>
      <c r="AU90" s="808" t="str">
        <f t="shared" si="117"/>
        <v/>
      </c>
      <c r="AV90" s="813" t="str">
        <f>IFERROR(IF(OR(I90="",Q90="",S90="",U90="",Y90="",AB90="",AE90="",AG90="",AK90=0),"",IF(ISNUMBER(SEARCH("Exterior",K90)),0,ROUND(((I90-Q90)*S90/1000)*INDEX(BUILDINGTYPE[Lighting Coincidence Factor],MATCH(M02S02F26,BUILDINGTYPE[Building Type],0)),3))),"")</f>
        <v/>
      </c>
      <c r="AW90" s="811" t="str">
        <f t="shared" si="118"/>
        <v/>
      </c>
      <c r="AX90" s="811" t="str">
        <f t="shared" si="119"/>
        <v/>
      </c>
      <c r="BC90" s="825" t="str">
        <f>IFERROR(IF(OR(C90="",I90="",K90="",Q90="",S90="",U90="",Y90="",AB90="",AE90="",AG90=""),"",IF(ISBLANK(M02S02F26),MEASUREBLDG,IF((I90*S90)&lt;=(Q90*S90),MEASURESAVE,""))),MEASURESUBMIT)</f>
        <v/>
      </c>
    </row>
    <row r="91" spans="2:55" ht="15.95" hidden="1" customHeight="1">
      <c r="B91" s="829"/>
      <c r="C91" s="835"/>
      <c r="D91" s="836"/>
      <c r="E91" s="836"/>
      <c r="F91" s="836"/>
      <c r="G91" s="836"/>
      <c r="H91" s="837"/>
      <c r="I91" s="840"/>
      <c r="J91" s="841"/>
      <c r="K91" s="843"/>
      <c r="L91" s="836"/>
      <c r="M91" s="836"/>
      <c r="N91" s="836"/>
      <c r="O91" s="836"/>
      <c r="P91" s="837"/>
      <c r="Q91" s="840"/>
      <c r="R91" s="845"/>
      <c r="S91" s="848"/>
      <c r="T91" s="849"/>
      <c r="U91" s="835"/>
      <c r="V91" s="836"/>
      <c r="W91" s="836"/>
      <c r="X91" s="837"/>
      <c r="Y91" s="851"/>
      <c r="Z91" s="836"/>
      <c r="AA91" s="837"/>
      <c r="AB91" s="848"/>
      <c r="AC91" s="853"/>
      <c r="AD91" s="849"/>
      <c r="AE91" s="856"/>
      <c r="AF91" s="857"/>
      <c r="AG91" s="860"/>
      <c r="AH91" s="870"/>
      <c r="AI91" s="864"/>
      <c r="AJ91" s="865"/>
      <c r="AK91" s="823"/>
      <c r="AL91" s="824"/>
      <c r="AM91" s="824"/>
      <c r="AN91" s="818"/>
      <c r="AO91" s="819"/>
      <c r="AP91" s="819"/>
      <c r="AQ91" s="820"/>
      <c r="AU91" s="809"/>
      <c r="AV91" s="814"/>
      <c r="AW91" s="812"/>
      <c r="AX91" s="812"/>
      <c r="BC91" s="826"/>
    </row>
    <row r="92" spans="2:55" ht="15.95" hidden="1" customHeight="1">
      <c r="B92" s="829">
        <v>39</v>
      </c>
      <c r="C92" s="832"/>
      <c r="D92" s="833"/>
      <c r="E92" s="833"/>
      <c r="F92" s="833"/>
      <c r="G92" s="833"/>
      <c r="H92" s="834"/>
      <c r="I92" s="838" t="str">
        <f>IFERROR(IF(C92="","",IF(INDEX(PMELIGHTTYPE[Base Autofill],MATCH(C92,PMELIGHTTYPE[Base Desc 1],0))="","",INDEX(PMELIGHTTYPE[Base Autofill],MATCH(C92,PMELIGHTTYPE[Base Desc 1],0)))),"")</f>
        <v/>
      </c>
      <c r="J92" s="839"/>
      <c r="K92" s="842"/>
      <c r="L92" s="833"/>
      <c r="M92" s="833"/>
      <c r="N92" s="833"/>
      <c r="O92" s="833"/>
      <c r="P92" s="834"/>
      <c r="Q92" s="838" t="str">
        <f t="shared" ref="Q92" si="208">IFERROR(IF(ISNUMBER(SEARCH("Removed",K92)),0,""),"")</f>
        <v/>
      </c>
      <c r="R92" s="844"/>
      <c r="S92" s="846"/>
      <c r="T92" s="847"/>
      <c r="U92" s="832"/>
      <c r="V92" s="833"/>
      <c r="W92" s="833"/>
      <c r="X92" s="834"/>
      <c r="Y92" s="850"/>
      <c r="Z92" s="833"/>
      <c r="AA92" s="834"/>
      <c r="AB92" s="846"/>
      <c r="AC92" s="852"/>
      <c r="AD92" s="847"/>
      <c r="AE92" s="854" t="str">
        <f t="shared" ref="AE92" si="209">IF(ISNUMBER(SEARCH("Removed",K92)),0,"")</f>
        <v/>
      </c>
      <c r="AF92" s="855"/>
      <c r="AG92" s="858"/>
      <c r="AH92" s="869"/>
      <c r="AI92" s="862" t="str">
        <f>IFERROR(IF(K92="","",IF(C92&lt;&gt;INDEX(PMELIGHT[Base Desc 1],MATCH(K92,PMELIGHT[Eff Desc 1],0)),0,INDEX(PMELIGHT[Inc Rate Unit],MATCH(K92,PMELIGHT[Eff Desc 1],0)))),"")</f>
        <v/>
      </c>
      <c r="AJ92" s="863"/>
      <c r="AK92" s="821" t="str">
        <f t="shared" ref="AK92" si="210">IFERROR(IF(OR(C92="",I92="",K92="",Q92="",S92="",U92="",Y92="",AB92="",AE92="",AG92=""),"",IFERROR(ROUND(IF(I92-Q92&lt;=0,0,(I92-Q92)*S92*AB92/1000),2),"")),"")</f>
        <v/>
      </c>
      <c r="AL92" s="822"/>
      <c r="AM92" s="822"/>
      <c r="AN92" s="815" t="str">
        <f t="shared" ref="AN92" si="211">IFERROR(IF(OR(C92="",I92="",K92="",Q92="",S92="",U92="",Y92="",AB92="",AE92="",AG92=""),"",IF(BC92&lt;&gt;"",BC92,ROUND(IF(I92-Q92&lt;=0,0,MIN(AU92,AI92*S92)),2))),"")</f>
        <v/>
      </c>
      <c r="AO92" s="816"/>
      <c r="AP92" s="816"/>
      <c r="AQ92" s="817"/>
      <c r="AU92" s="808" t="str">
        <f t="shared" si="117"/>
        <v/>
      </c>
      <c r="AV92" s="813" t="str">
        <f>IFERROR(IF(OR(I92="",Q92="",S92="",U92="",Y92="",AB92="",AE92="",AG92="",AK92=0),"",IF(ISNUMBER(SEARCH("Exterior",K92)),0,ROUND(((I92-Q92)*S92/1000)*INDEX(BUILDINGTYPE[Lighting Coincidence Factor],MATCH(M02S02F26,BUILDINGTYPE[Building Type],0)),3))),"")</f>
        <v/>
      </c>
      <c r="AW92" s="811" t="str">
        <f t="shared" si="118"/>
        <v/>
      </c>
      <c r="AX92" s="811" t="str">
        <f t="shared" si="119"/>
        <v/>
      </c>
      <c r="BC92" s="825" t="str">
        <f>IFERROR(IF(OR(C92="",I92="",K92="",Q92="",S92="",U92="",Y92="",AB92="",AE92="",AG92=""),"",IF(ISBLANK(M02S02F26),MEASUREBLDG,IF((I92*S92)&lt;=(Q92*S92),MEASURESAVE,""))),MEASURESUBMIT)</f>
        <v/>
      </c>
    </row>
    <row r="93" spans="2:55" ht="15.95" hidden="1" customHeight="1">
      <c r="B93" s="829"/>
      <c r="C93" s="835"/>
      <c r="D93" s="836"/>
      <c r="E93" s="836"/>
      <c r="F93" s="836"/>
      <c r="G93" s="836"/>
      <c r="H93" s="837"/>
      <c r="I93" s="840"/>
      <c r="J93" s="841"/>
      <c r="K93" s="843"/>
      <c r="L93" s="836"/>
      <c r="M93" s="836"/>
      <c r="N93" s="836"/>
      <c r="O93" s="836"/>
      <c r="P93" s="837"/>
      <c r="Q93" s="840"/>
      <c r="R93" s="845"/>
      <c r="S93" s="848"/>
      <c r="T93" s="849"/>
      <c r="U93" s="835"/>
      <c r="V93" s="836"/>
      <c r="W93" s="836"/>
      <c r="X93" s="837"/>
      <c r="Y93" s="851"/>
      <c r="Z93" s="836"/>
      <c r="AA93" s="837"/>
      <c r="AB93" s="848"/>
      <c r="AC93" s="853"/>
      <c r="AD93" s="849"/>
      <c r="AE93" s="856"/>
      <c r="AF93" s="857"/>
      <c r="AG93" s="860"/>
      <c r="AH93" s="870"/>
      <c r="AI93" s="864"/>
      <c r="AJ93" s="865"/>
      <c r="AK93" s="823"/>
      <c r="AL93" s="824"/>
      <c r="AM93" s="824"/>
      <c r="AN93" s="818"/>
      <c r="AO93" s="819"/>
      <c r="AP93" s="819"/>
      <c r="AQ93" s="820"/>
      <c r="AU93" s="809"/>
      <c r="AV93" s="814"/>
      <c r="AW93" s="812"/>
      <c r="AX93" s="812"/>
      <c r="BC93" s="826"/>
    </row>
    <row r="94" spans="2:55" ht="15.95" hidden="1" customHeight="1">
      <c r="B94" s="829">
        <v>40</v>
      </c>
      <c r="C94" s="832"/>
      <c r="D94" s="833"/>
      <c r="E94" s="833"/>
      <c r="F94" s="833"/>
      <c r="G94" s="833"/>
      <c r="H94" s="834"/>
      <c r="I94" s="838" t="str">
        <f>IFERROR(IF(C94="","",IF(INDEX(PMELIGHTTYPE[Base Autofill],MATCH(C94,PMELIGHTTYPE[Base Desc 1],0))="","",INDEX(PMELIGHTTYPE[Base Autofill],MATCH(C94,PMELIGHTTYPE[Base Desc 1],0)))),"")</f>
        <v/>
      </c>
      <c r="J94" s="839"/>
      <c r="K94" s="842"/>
      <c r="L94" s="833"/>
      <c r="M94" s="833"/>
      <c r="N94" s="833"/>
      <c r="O94" s="833"/>
      <c r="P94" s="834"/>
      <c r="Q94" s="838" t="str">
        <f t="shared" ref="Q94" si="212">IFERROR(IF(ISNUMBER(SEARCH("Removed",K94)),0,""),"")</f>
        <v/>
      </c>
      <c r="R94" s="844"/>
      <c r="S94" s="846"/>
      <c r="T94" s="847"/>
      <c r="U94" s="832"/>
      <c r="V94" s="833"/>
      <c r="W94" s="833"/>
      <c r="X94" s="834"/>
      <c r="Y94" s="850"/>
      <c r="Z94" s="833"/>
      <c r="AA94" s="834"/>
      <c r="AB94" s="846"/>
      <c r="AC94" s="852"/>
      <c r="AD94" s="847"/>
      <c r="AE94" s="854" t="str">
        <f t="shared" ref="AE94" si="213">IF(ISNUMBER(SEARCH("Removed",K94)),0,"")</f>
        <v/>
      </c>
      <c r="AF94" s="855"/>
      <c r="AG94" s="858"/>
      <c r="AH94" s="869"/>
      <c r="AI94" s="862" t="str">
        <f>IFERROR(IF(K94="","",IF(C94&lt;&gt;INDEX(PMELIGHT[Base Desc 1],MATCH(K94,PMELIGHT[Eff Desc 1],0)),0,INDEX(PMELIGHT[Inc Rate Unit],MATCH(K94,PMELIGHT[Eff Desc 1],0)))),"")</f>
        <v/>
      </c>
      <c r="AJ94" s="863"/>
      <c r="AK94" s="821" t="str">
        <f t="shared" ref="AK94" si="214">IFERROR(IF(OR(C94="",I94="",K94="",Q94="",S94="",U94="",Y94="",AB94="",AE94="",AG94=""),"",IFERROR(ROUND(IF(I94-Q94&lt;=0,0,(I94-Q94)*S94*AB94/1000),2),"")),"")</f>
        <v/>
      </c>
      <c r="AL94" s="822"/>
      <c r="AM94" s="822"/>
      <c r="AN94" s="815" t="str">
        <f t="shared" ref="AN94" si="215">IFERROR(IF(OR(C94="",I94="",K94="",Q94="",S94="",U94="",Y94="",AB94="",AE94="",AG94=""),"",IF(BC94&lt;&gt;"",BC94,ROUND(IF(I94-Q94&lt;=0,0,MIN(AU94,AI94*S94)),2))),"")</f>
        <v/>
      </c>
      <c r="AO94" s="816"/>
      <c r="AP94" s="816"/>
      <c r="AQ94" s="817"/>
      <c r="AU94" s="808" t="str">
        <f t="shared" si="117"/>
        <v/>
      </c>
      <c r="AV94" s="813" t="str">
        <f>IFERROR(IF(OR(I94="",Q94="",S94="",U94="",Y94="",AB94="",AE94="",AG94="",AK94=0),"",IF(ISNUMBER(SEARCH("Exterior",K94)),0,ROUND(((I94-Q94)*S94/1000)*INDEX(BUILDINGTYPE[Lighting Coincidence Factor],MATCH(M02S02F26,BUILDINGTYPE[Building Type],0)),3))),"")</f>
        <v/>
      </c>
      <c r="AW94" s="811" t="str">
        <f t="shared" si="118"/>
        <v/>
      </c>
      <c r="AX94" s="811" t="str">
        <f t="shared" si="119"/>
        <v/>
      </c>
      <c r="BC94" s="825" t="str">
        <f>IFERROR(IF(OR(C94="",I94="",K94="",Q94="",S94="",U94="",Y94="",AB94="",AE94="",AG94=""),"",IF(ISBLANK(M02S02F26),MEASUREBLDG,IF((I94*S94)&lt;=(Q94*S94),MEASURESAVE,""))),MEASURESUBMIT)</f>
        <v/>
      </c>
    </row>
    <row r="95" spans="2:55" ht="15.95" hidden="1" customHeight="1">
      <c r="B95" s="829"/>
      <c r="C95" s="835"/>
      <c r="D95" s="836"/>
      <c r="E95" s="836"/>
      <c r="F95" s="836"/>
      <c r="G95" s="836"/>
      <c r="H95" s="837"/>
      <c r="I95" s="840"/>
      <c r="J95" s="841"/>
      <c r="K95" s="843"/>
      <c r="L95" s="836"/>
      <c r="M95" s="836"/>
      <c r="N95" s="836"/>
      <c r="O95" s="836"/>
      <c r="P95" s="837"/>
      <c r="Q95" s="840"/>
      <c r="R95" s="845"/>
      <c r="S95" s="848"/>
      <c r="T95" s="849"/>
      <c r="U95" s="835"/>
      <c r="V95" s="836"/>
      <c r="W95" s="836"/>
      <c r="X95" s="837"/>
      <c r="Y95" s="851"/>
      <c r="Z95" s="836"/>
      <c r="AA95" s="837"/>
      <c r="AB95" s="848"/>
      <c r="AC95" s="853"/>
      <c r="AD95" s="849"/>
      <c r="AE95" s="856"/>
      <c r="AF95" s="857"/>
      <c r="AG95" s="860"/>
      <c r="AH95" s="870"/>
      <c r="AI95" s="864"/>
      <c r="AJ95" s="865"/>
      <c r="AK95" s="823"/>
      <c r="AL95" s="824"/>
      <c r="AM95" s="824"/>
      <c r="AN95" s="818"/>
      <c r="AO95" s="819"/>
      <c r="AP95" s="819"/>
      <c r="AQ95" s="820"/>
      <c r="AU95" s="809"/>
      <c r="AV95" s="814"/>
      <c r="AW95" s="812"/>
      <c r="AX95" s="812"/>
      <c r="BC95" s="826"/>
    </row>
    <row r="96" spans="2:55" ht="15.95" hidden="1" customHeight="1">
      <c r="B96" s="829">
        <v>41</v>
      </c>
      <c r="C96" s="832"/>
      <c r="D96" s="833"/>
      <c r="E96" s="833"/>
      <c r="F96" s="833"/>
      <c r="G96" s="833"/>
      <c r="H96" s="834"/>
      <c r="I96" s="838" t="str">
        <f>IFERROR(IF(C96="","",IF(INDEX(PMELIGHTTYPE[Base Autofill],MATCH(C96,PMELIGHTTYPE[Base Desc 1],0))="","",INDEX(PMELIGHTTYPE[Base Autofill],MATCH(C96,PMELIGHTTYPE[Base Desc 1],0)))),"")</f>
        <v/>
      </c>
      <c r="J96" s="839"/>
      <c r="K96" s="842"/>
      <c r="L96" s="833"/>
      <c r="M96" s="833"/>
      <c r="N96" s="833"/>
      <c r="O96" s="833"/>
      <c r="P96" s="834"/>
      <c r="Q96" s="838" t="str">
        <f t="shared" ref="Q96" si="216">IFERROR(IF(ISNUMBER(SEARCH("Removed",K96)),0,""),"")</f>
        <v/>
      </c>
      <c r="R96" s="844"/>
      <c r="S96" s="846"/>
      <c r="T96" s="847"/>
      <c r="U96" s="832"/>
      <c r="V96" s="833"/>
      <c r="W96" s="833"/>
      <c r="X96" s="834"/>
      <c r="Y96" s="850"/>
      <c r="Z96" s="833"/>
      <c r="AA96" s="834"/>
      <c r="AB96" s="846"/>
      <c r="AC96" s="852"/>
      <c r="AD96" s="847"/>
      <c r="AE96" s="854" t="str">
        <f t="shared" ref="AE96" si="217">IF(ISNUMBER(SEARCH("Removed",K96)),0,"")</f>
        <v/>
      </c>
      <c r="AF96" s="855"/>
      <c r="AG96" s="858"/>
      <c r="AH96" s="869"/>
      <c r="AI96" s="862" t="str">
        <f>IFERROR(IF(K96="","",IF(C96&lt;&gt;INDEX(PMELIGHT[Base Desc 1],MATCH(K96,PMELIGHT[Eff Desc 1],0)),0,INDEX(PMELIGHT[Inc Rate Unit],MATCH(K96,PMELIGHT[Eff Desc 1],0)))),"")</f>
        <v/>
      </c>
      <c r="AJ96" s="863"/>
      <c r="AK96" s="821" t="str">
        <f t="shared" ref="AK96" si="218">IFERROR(IF(OR(C96="",I96="",K96="",Q96="",S96="",U96="",Y96="",AB96="",AE96="",AG96=""),"",IFERROR(ROUND(IF(I96-Q96&lt;=0,0,(I96-Q96)*S96*AB96/1000),2),"")),"")</f>
        <v/>
      </c>
      <c r="AL96" s="822"/>
      <c r="AM96" s="822"/>
      <c r="AN96" s="815" t="str">
        <f t="shared" ref="AN96" si="219">IFERROR(IF(OR(C96="",I96="",K96="",Q96="",S96="",U96="",Y96="",AB96="",AE96="",AG96=""),"",IF(BC96&lt;&gt;"",BC96,ROUND(IF(I96-Q96&lt;=0,0,MIN(AU96,AI96*S96)),2))),"")</f>
        <v/>
      </c>
      <c r="AO96" s="816"/>
      <c r="AP96" s="816"/>
      <c r="AQ96" s="817"/>
      <c r="AU96" s="808" t="str">
        <f t="shared" si="117"/>
        <v/>
      </c>
      <c r="AV96" s="813" t="str">
        <f>IFERROR(IF(OR(I96="",Q96="",S96="",U96="",Y96="",AB96="",AE96="",AG96="",AK96=0),"",IF(ISNUMBER(SEARCH("Exterior",K96)),0,ROUND(((I96-Q96)*S96/1000)*INDEX(BUILDINGTYPE[Lighting Coincidence Factor],MATCH(M02S02F26,BUILDINGTYPE[Building Type],0)),3))),"")</f>
        <v/>
      </c>
      <c r="AW96" s="811" t="str">
        <f t="shared" si="118"/>
        <v/>
      </c>
      <c r="AX96" s="811" t="str">
        <f t="shared" si="119"/>
        <v/>
      </c>
      <c r="BC96" s="825" t="str">
        <f>IFERROR(IF(OR(C96="",I96="",K96="",Q96="",S96="",U96="",Y96="",AB96="",AE96="",AG96=""),"",IF(ISBLANK(M02S02F26),MEASUREBLDG,IF((I96*S96)&lt;=(Q96*S96),MEASURESAVE,""))),MEASURESUBMIT)</f>
        <v/>
      </c>
    </row>
    <row r="97" spans="2:55" ht="15.95" hidden="1" customHeight="1">
      <c r="B97" s="829"/>
      <c r="C97" s="835"/>
      <c r="D97" s="836"/>
      <c r="E97" s="836"/>
      <c r="F97" s="836"/>
      <c r="G97" s="836"/>
      <c r="H97" s="837"/>
      <c r="I97" s="840"/>
      <c r="J97" s="841"/>
      <c r="K97" s="843"/>
      <c r="L97" s="836"/>
      <c r="M97" s="836"/>
      <c r="N97" s="836"/>
      <c r="O97" s="836"/>
      <c r="P97" s="837"/>
      <c r="Q97" s="840"/>
      <c r="R97" s="845"/>
      <c r="S97" s="848"/>
      <c r="T97" s="849"/>
      <c r="U97" s="835"/>
      <c r="V97" s="836"/>
      <c r="W97" s="836"/>
      <c r="X97" s="837"/>
      <c r="Y97" s="851"/>
      <c r="Z97" s="836"/>
      <c r="AA97" s="837"/>
      <c r="AB97" s="848"/>
      <c r="AC97" s="853"/>
      <c r="AD97" s="849"/>
      <c r="AE97" s="856"/>
      <c r="AF97" s="857"/>
      <c r="AG97" s="860"/>
      <c r="AH97" s="870"/>
      <c r="AI97" s="864"/>
      <c r="AJ97" s="865"/>
      <c r="AK97" s="823"/>
      <c r="AL97" s="824"/>
      <c r="AM97" s="824"/>
      <c r="AN97" s="818"/>
      <c r="AO97" s="819"/>
      <c r="AP97" s="819"/>
      <c r="AQ97" s="820"/>
      <c r="AU97" s="809"/>
      <c r="AV97" s="814"/>
      <c r="AW97" s="812"/>
      <c r="AX97" s="812"/>
      <c r="BC97" s="826"/>
    </row>
    <row r="98" spans="2:55" ht="15.95" hidden="1" customHeight="1">
      <c r="B98" s="829">
        <v>42</v>
      </c>
      <c r="C98" s="832"/>
      <c r="D98" s="833"/>
      <c r="E98" s="833"/>
      <c r="F98" s="833"/>
      <c r="G98" s="833"/>
      <c r="H98" s="834"/>
      <c r="I98" s="838" t="str">
        <f>IFERROR(IF(C98="","",IF(INDEX(PMELIGHTTYPE[Base Autofill],MATCH(C98,PMELIGHTTYPE[Base Desc 1],0))="","",INDEX(PMELIGHTTYPE[Base Autofill],MATCH(C98,PMELIGHTTYPE[Base Desc 1],0)))),"")</f>
        <v/>
      </c>
      <c r="J98" s="839"/>
      <c r="K98" s="842"/>
      <c r="L98" s="833"/>
      <c r="M98" s="833"/>
      <c r="N98" s="833"/>
      <c r="O98" s="833"/>
      <c r="P98" s="834"/>
      <c r="Q98" s="838" t="str">
        <f t="shared" ref="Q98" si="220">IFERROR(IF(ISNUMBER(SEARCH("Removed",K98)),0,""),"")</f>
        <v/>
      </c>
      <c r="R98" s="844"/>
      <c r="S98" s="846"/>
      <c r="T98" s="847"/>
      <c r="U98" s="832"/>
      <c r="V98" s="833"/>
      <c r="W98" s="833"/>
      <c r="X98" s="834"/>
      <c r="Y98" s="850"/>
      <c r="Z98" s="833"/>
      <c r="AA98" s="834"/>
      <c r="AB98" s="846"/>
      <c r="AC98" s="852"/>
      <c r="AD98" s="847"/>
      <c r="AE98" s="854" t="str">
        <f t="shared" ref="AE98" si="221">IF(ISNUMBER(SEARCH("Removed",K98)),0,"")</f>
        <v/>
      </c>
      <c r="AF98" s="855"/>
      <c r="AG98" s="858"/>
      <c r="AH98" s="869"/>
      <c r="AI98" s="862" t="str">
        <f>IFERROR(IF(K98="","",IF(C98&lt;&gt;INDEX(PMELIGHT[Base Desc 1],MATCH(K98,PMELIGHT[Eff Desc 1],0)),0,INDEX(PMELIGHT[Inc Rate Unit],MATCH(K98,PMELIGHT[Eff Desc 1],0)))),"")</f>
        <v/>
      </c>
      <c r="AJ98" s="863"/>
      <c r="AK98" s="821" t="str">
        <f t="shared" ref="AK98" si="222">IFERROR(IF(OR(C98="",I98="",K98="",Q98="",S98="",U98="",Y98="",AB98="",AE98="",AG98=""),"",IFERROR(ROUND(IF(I98-Q98&lt;=0,0,(I98-Q98)*S98*AB98/1000),2),"")),"")</f>
        <v/>
      </c>
      <c r="AL98" s="822"/>
      <c r="AM98" s="822"/>
      <c r="AN98" s="815" t="str">
        <f t="shared" ref="AN98" si="223">IFERROR(IF(OR(C98="",I98="",K98="",Q98="",S98="",U98="",Y98="",AB98="",AE98="",AG98=""),"",IF(BC98&lt;&gt;"",BC98,ROUND(IF(I98-Q98&lt;=0,0,MIN(AU98,AI98*S98)),2))),"")</f>
        <v/>
      </c>
      <c r="AO98" s="816"/>
      <c r="AP98" s="816"/>
      <c r="AQ98" s="817"/>
      <c r="AU98" s="808" t="str">
        <f t="shared" si="117"/>
        <v/>
      </c>
      <c r="AV98" s="813" t="str">
        <f>IFERROR(IF(OR(I98="",Q98="",S98="",U98="",Y98="",AB98="",AE98="",AG98="",AK98=0),"",IF(ISNUMBER(SEARCH("Exterior",K98)),0,ROUND(((I98-Q98)*S98/1000)*INDEX(BUILDINGTYPE[Lighting Coincidence Factor],MATCH(M02S02F26,BUILDINGTYPE[Building Type],0)),3))),"")</f>
        <v/>
      </c>
      <c r="AW98" s="811" t="str">
        <f t="shared" si="118"/>
        <v/>
      </c>
      <c r="AX98" s="811" t="str">
        <f t="shared" si="119"/>
        <v/>
      </c>
      <c r="BC98" s="825" t="str">
        <f>IFERROR(IF(OR(C98="",I98="",K98="",Q98="",S98="",U98="",Y98="",AB98="",AE98="",AG98=""),"",IF(ISBLANK(M02S02F26),MEASUREBLDG,IF((I98*S98)&lt;=(Q98*S98),MEASURESAVE,""))),MEASURESUBMIT)</f>
        <v/>
      </c>
    </row>
    <row r="99" spans="2:55" ht="15.95" hidden="1" customHeight="1">
      <c r="B99" s="829"/>
      <c r="C99" s="835"/>
      <c r="D99" s="836"/>
      <c r="E99" s="836"/>
      <c r="F99" s="836"/>
      <c r="G99" s="836"/>
      <c r="H99" s="837"/>
      <c r="I99" s="840"/>
      <c r="J99" s="841"/>
      <c r="K99" s="843"/>
      <c r="L99" s="836"/>
      <c r="M99" s="836"/>
      <c r="N99" s="836"/>
      <c r="O99" s="836"/>
      <c r="P99" s="837"/>
      <c r="Q99" s="840"/>
      <c r="R99" s="845"/>
      <c r="S99" s="848"/>
      <c r="T99" s="849"/>
      <c r="U99" s="835"/>
      <c r="V99" s="836"/>
      <c r="W99" s="836"/>
      <c r="X99" s="837"/>
      <c r="Y99" s="851"/>
      <c r="Z99" s="836"/>
      <c r="AA99" s="837"/>
      <c r="AB99" s="848"/>
      <c r="AC99" s="853"/>
      <c r="AD99" s="849"/>
      <c r="AE99" s="856"/>
      <c r="AF99" s="857"/>
      <c r="AG99" s="860"/>
      <c r="AH99" s="870"/>
      <c r="AI99" s="864"/>
      <c r="AJ99" s="865"/>
      <c r="AK99" s="823"/>
      <c r="AL99" s="824"/>
      <c r="AM99" s="824"/>
      <c r="AN99" s="818"/>
      <c r="AO99" s="819"/>
      <c r="AP99" s="819"/>
      <c r="AQ99" s="820"/>
      <c r="AU99" s="809"/>
      <c r="AV99" s="814"/>
      <c r="AW99" s="812"/>
      <c r="AX99" s="812"/>
      <c r="BC99" s="826"/>
    </row>
    <row r="100" spans="2:55" ht="15.95" hidden="1" customHeight="1">
      <c r="B100" s="829">
        <v>43</v>
      </c>
      <c r="C100" s="832"/>
      <c r="D100" s="833"/>
      <c r="E100" s="833"/>
      <c r="F100" s="833"/>
      <c r="G100" s="833"/>
      <c r="H100" s="834"/>
      <c r="I100" s="838" t="str">
        <f>IFERROR(IF(C100="","",IF(INDEX(PMELIGHTTYPE[Base Autofill],MATCH(C100,PMELIGHTTYPE[Base Desc 1],0))="","",INDEX(PMELIGHTTYPE[Base Autofill],MATCH(C100,PMELIGHTTYPE[Base Desc 1],0)))),"")</f>
        <v/>
      </c>
      <c r="J100" s="839"/>
      <c r="K100" s="842"/>
      <c r="L100" s="833"/>
      <c r="M100" s="833"/>
      <c r="N100" s="833"/>
      <c r="O100" s="833"/>
      <c r="P100" s="834"/>
      <c r="Q100" s="838" t="str">
        <f t="shared" ref="Q100" si="224">IFERROR(IF(ISNUMBER(SEARCH("Removed",K100)),0,""),"")</f>
        <v/>
      </c>
      <c r="R100" s="844"/>
      <c r="S100" s="846"/>
      <c r="T100" s="847"/>
      <c r="U100" s="832"/>
      <c r="V100" s="833"/>
      <c r="W100" s="833"/>
      <c r="X100" s="834"/>
      <c r="Y100" s="850"/>
      <c r="Z100" s="833"/>
      <c r="AA100" s="834"/>
      <c r="AB100" s="846"/>
      <c r="AC100" s="852"/>
      <c r="AD100" s="847"/>
      <c r="AE100" s="854" t="str">
        <f t="shared" ref="AE100" si="225">IF(ISNUMBER(SEARCH("Removed",K100)),0,"")</f>
        <v/>
      </c>
      <c r="AF100" s="855"/>
      <c r="AG100" s="858"/>
      <c r="AH100" s="869"/>
      <c r="AI100" s="862" t="str">
        <f>IFERROR(IF(K100="","",IF(C100&lt;&gt;INDEX(PMELIGHT[Base Desc 1],MATCH(K100,PMELIGHT[Eff Desc 1],0)),0,INDEX(PMELIGHT[Inc Rate Unit],MATCH(K100,PMELIGHT[Eff Desc 1],0)))),"")</f>
        <v/>
      </c>
      <c r="AJ100" s="863"/>
      <c r="AK100" s="821" t="str">
        <f t="shared" ref="AK100" si="226">IFERROR(IF(OR(C100="",I100="",K100="",Q100="",S100="",U100="",Y100="",AB100="",AE100="",AG100=""),"",IFERROR(ROUND(IF(I100-Q100&lt;=0,0,(I100-Q100)*S100*AB100/1000),2),"")),"")</f>
        <v/>
      </c>
      <c r="AL100" s="822"/>
      <c r="AM100" s="822"/>
      <c r="AN100" s="815" t="str">
        <f t="shared" ref="AN100" si="227">IFERROR(IF(OR(C100="",I100="",K100="",Q100="",S100="",U100="",Y100="",AB100="",AE100="",AG100=""),"",IF(BC100&lt;&gt;"",BC100,ROUND(IF(I100-Q100&lt;=0,0,MIN(AU100,AI100*S100)),2))),"")</f>
        <v/>
      </c>
      <c r="AO100" s="816"/>
      <c r="AP100" s="816"/>
      <c r="AQ100" s="817"/>
      <c r="AU100" s="808" t="str">
        <f t="shared" si="117"/>
        <v/>
      </c>
      <c r="AV100" s="813" t="str">
        <f>IFERROR(IF(OR(I100="",Q100="",S100="",U100="",Y100="",AB100="",AE100="",AG100="",AK100=0),"",IF(ISNUMBER(SEARCH("Exterior",K100)),0,ROUND(((I100-Q100)*S100/1000)*INDEX(BUILDINGTYPE[Lighting Coincidence Factor],MATCH(M02S02F26,BUILDINGTYPE[Building Type],0)),3))),"")</f>
        <v/>
      </c>
      <c r="AW100" s="811" t="str">
        <f t="shared" si="118"/>
        <v/>
      </c>
      <c r="AX100" s="811" t="str">
        <f t="shared" si="119"/>
        <v/>
      </c>
      <c r="BC100" s="825" t="str">
        <f>IFERROR(IF(OR(C100="",I100="",K100="",Q100="",S100="",U100="",Y100="",AB100="",AE100="",AG100=""),"",IF(ISBLANK(M02S02F26),MEASUREBLDG,IF((I100*S100)&lt;=(Q100*S100),MEASURESAVE,""))),MEASURESUBMIT)</f>
        <v/>
      </c>
    </row>
    <row r="101" spans="2:55" ht="15.95" hidden="1" customHeight="1">
      <c r="B101" s="829"/>
      <c r="C101" s="835"/>
      <c r="D101" s="836"/>
      <c r="E101" s="836"/>
      <c r="F101" s="836"/>
      <c r="G101" s="836"/>
      <c r="H101" s="837"/>
      <c r="I101" s="840"/>
      <c r="J101" s="841"/>
      <c r="K101" s="843"/>
      <c r="L101" s="836"/>
      <c r="M101" s="836"/>
      <c r="N101" s="836"/>
      <c r="O101" s="836"/>
      <c r="P101" s="837"/>
      <c r="Q101" s="840"/>
      <c r="R101" s="845"/>
      <c r="S101" s="848"/>
      <c r="T101" s="849"/>
      <c r="U101" s="835"/>
      <c r="V101" s="836"/>
      <c r="W101" s="836"/>
      <c r="X101" s="837"/>
      <c r="Y101" s="851"/>
      <c r="Z101" s="836"/>
      <c r="AA101" s="837"/>
      <c r="AB101" s="848"/>
      <c r="AC101" s="853"/>
      <c r="AD101" s="849"/>
      <c r="AE101" s="856"/>
      <c r="AF101" s="857"/>
      <c r="AG101" s="860"/>
      <c r="AH101" s="870"/>
      <c r="AI101" s="864"/>
      <c r="AJ101" s="865"/>
      <c r="AK101" s="823"/>
      <c r="AL101" s="824"/>
      <c r="AM101" s="824"/>
      <c r="AN101" s="818"/>
      <c r="AO101" s="819"/>
      <c r="AP101" s="819"/>
      <c r="AQ101" s="820"/>
      <c r="AU101" s="809"/>
      <c r="AV101" s="814"/>
      <c r="AW101" s="812"/>
      <c r="AX101" s="812"/>
      <c r="BC101" s="826"/>
    </row>
    <row r="102" spans="2:55" ht="15.95" hidden="1" customHeight="1">
      <c r="B102" s="829">
        <v>44</v>
      </c>
      <c r="C102" s="832"/>
      <c r="D102" s="833"/>
      <c r="E102" s="833"/>
      <c r="F102" s="833"/>
      <c r="G102" s="833"/>
      <c r="H102" s="834"/>
      <c r="I102" s="838" t="str">
        <f>IFERROR(IF(C102="","",IF(INDEX(PMELIGHTTYPE[Base Autofill],MATCH(C102,PMELIGHTTYPE[Base Desc 1],0))="","",INDEX(PMELIGHTTYPE[Base Autofill],MATCH(C102,PMELIGHTTYPE[Base Desc 1],0)))),"")</f>
        <v/>
      </c>
      <c r="J102" s="839"/>
      <c r="K102" s="842"/>
      <c r="L102" s="833"/>
      <c r="M102" s="833"/>
      <c r="N102" s="833"/>
      <c r="O102" s="833"/>
      <c r="P102" s="834"/>
      <c r="Q102" s="838" t="str">
        <f t="shared" ref="Q102" si="228">IFERROR(IF(ISNUMBER(SEARCH("Removed",K102)),0,""),"")</f>
        <v/>
      </c>
      <c r="R102" s="844"/>
      <c r="S102" s="846"/>
      <c r="T102" s="847"/>
      <c r="U102" s="832"/>
      <c r="V102" s="833"/>
      <c r="W102" s="833"/>
      <c r="X102" s="834"/>
      <c r="Y102" s="850"/>
      <c r="Z102" s="833"/>
      <c r="AA102" s="834"/>
      <c r="AB102" s="846"/>
      <c r="AC102" s="852"/>
      <c r="AD102" s="847"/>
      <c r="AE102" s="854" t="str">
        <f t="shared" ref="AE102" si="229">IF(ISNUMBER(SEARCH("Removed",K102)),0,"")</f>
        <v/>
      </c>
      <c r="AF102" s="855"/>
      <c r="AG102" s="858"/>
      <c r="AH102" s="869"/>
      <c r="AI102" s="862" t="str">
        <f>IFERROR(IF(K102="","",IF(C102&lt;&gt;INDEX(PMELIGHT[Base Desc 1],MATCH(K102,PMELIGHT[Eff Desc 1],0)),0,INDEX(PMELIGHT[Inc Rate Unit],MATCH(K102,PMELIGHT[Eff Desc 1],0)))),"")</f>
        <v/>
      </c>
      <c r="AJ102" s="863"/>
      <c r="AK102" s="821" t="str">
        <f t="shared" ref="AK102" si="230">IFERROR(IF(OR(C102="",I102="",K102="",Q102="",S102="",U102="",Y102="",AB102="",AE102="",AG102=""),"",IFERROR(ROUND(IF(I102-Q102&lt;=0,0,(I102-Q102)*S102*AB102/1000),2),"")),"")</f>
        <v/>
      </c>
      <c r="AL102" s="822"/>
      <c r="AM102" s="822"/>
      <c r="AN102" s="815" t="str">
        <f t="shared" ref="AN102" si="231">IFERROR(IF(OR(C102="",I102="",K102="",Q102="",S102="",U102="",Y102="",AB102="",AE102="",AG102=""),"",IF(BC102&lt;&gt;"",BC102,ROUND(IF(I102-Q102&lt;=0,0,MIN(AU102,AI102*S102)),2))),"")</f>
        <v/>
      </c>
      <c r="AO102" s="816"/>
      <c r="AP102" s="816"/>
      <c r="AQ102" s="817"/>
      <c r="AU102" s="808" t="str">
        <f t="shared" si="117"/>
        <v/>
      </c>
      <c r="AV102" s="813" t="str">
        <f>IFERROR(IF(OR(I102="",Q102="",S102="",U102="",Y102="",AB102="",AE102="",AG102="",AK102=0),"",IF(ISNUMBER(SEARCH("Exterior",K102)),0,ROUND(((I102-Q102)*S102/1000)*INDEX(BUILDINGTYPE[Lighting Coincidence Factor],MATCH(M02S02F26,BUILDINGTYPE[Building Type],0)),3))),"")</f>
        <v/>
      </c>
      <c r="AW102" s="811" t="str">
        <f t="shared" si="118"/>
        <v/>
      </c>
      <c r="AX102" s="811" t="str">
        <f t="shared" si="119"/>
        <v/>
      </c>
      <c r="BC102" s="825" t="str">
        <f>IFERROR(IF(OR(C102="",I102="",K102="",Q102="",S102="",U102="",Y102="",AB102="",AE102="",AG102=""),"",IF(ISBLANK(M02S02F26),MEASUREBLDG,IF((I102*S102)&lt;=(Q102*S102),MEASURESAVE,""))),MEASURESUBMIT)</f>
        <v/>
      </c>
    </row>
    <row r="103" spans="2:55" ht="15.95" hidden="1" customHeight="1">
      <c r="B103" s="829"/>
      <c r="C103" s="835"/>
      <c r="D103" s="836"/>
      <c r="E103" s="836"/>
      <c r="F103" s="836"/>
      <c r="G103" s="836"/>
      <c r="H103" s="837"/>
      <c r="I103" s="840"/>
      <c r="J103" s="841"/>
      <c r="K103" s="843"/>
      <c r="L103" s="836"/>
      <c r="M103" s="836"/>
      <c r="N103" s="836"/>
      <c r="O103" s="836"/>
      <c r="P103" s="837"/>
      <c r="Q103" s="840"/>
      <c r="R103" s="845"/>
      <c r="S103" s="848"/>
      <c r="T103" s="849"/>
      <c r="U103" s="835"/>
      <c r="V103" s="836"/>
      <c r="W103" s="836"/>
      <c r="X103" s="837"/>
      <c r="Y103" s="851"/>
      <c r="Z103" s="836"/>
      <c r="AA103" s="837"/>
      <c r="AB103" s="848"/>
      <c r="AC103" s="853"/>
      <c r="AD103" s="849"/>
      <c r="AE103" s="856"/>
      <c r="AF103" s="857"/>
      <c r="AG103" s="860"/>
      <c r="AH103" s="870"/>
      <c r="AI103" s="864"/>
      <c r="AJ103" s="865"/>
      <c r="AK103" s="823"/>
      <c r="AL103" s="824"/>
      <c r="AM103" s="824"/>
      <c r="AN103" s="818"/>
      <c r="AO103" s="819"/>
      <c r="AP103" s="819"/>
      <c r="AQ103" s="820"/>
      <c r="AU103" s="809"/>
      <c r="AV103" s="814"/>
      <c r="AW103" s="812"/>
      <c r="AX103" s="812"/>
      <c r="BC103" s="826"/>
    </row>
    <row r="104" spans="2:55" ht="15.95" hidden="1" customHeight="1">
      <c r="B104" s="829">
        <v>45</v>
      </c>
      <c r="C104" s="832"/>
      <c r="D104" s="833"/>
      <c r="E104" s="833"/>
      <c r="F104" s="833"/>
      <c r="G104" s="833"/>
      <c r="H104" s="834"/>
      <c r="I104" s="838" t="str">
        <f>IFERROR(IF(C104="","",IF(INDEX(PMELIGHTTYPE[Base Autofill],MATCH(C104,PMELIGHTTYPE[Base Desc 1],0))="","",INDEX(PMELIGHTTYPE[Base Autofill],MATCH(C104,PMELIGHTTYPE[Base Desc 1],0)))),"")</f>
        <v/>
      </c>
      <c r="J104" s="839"/>
      <c r="K104" s="842"/>
      <c r="L104" s="833"/>
      <c r="M104" s="833"/>
      <c r="N104" s="833"/>
      <c r="O104" s="833"/>
      <c r="P104" s="834"/>
      <c r="Q104" s="838" t="str">
        <f t="shared" ref="Q104" si="232">IFERROR(IF(ISNUMBER(SEARCH("Removed",K104)),0,""),"")</f>
        <v/>
      </c>
      <c r="R104" s="844"/>
      <c r="S104" s="846"/>
      <c r="T104" s="847"/>
      <c r="U104" s="832"/>
      <c r="V104" s="833"/>
      <c r="W104" s="833"/>
      <c r="X104" s="834"/>
      <c r="Y104" s="850"/>
      <c r="Z104" s="833"/>
      <c r="AA104" s="834"/>
      <c r="AB104" s="846"/>
      <c r="AC104" s="852"/>
      <c r="AD104" s="847"/>
      <c r="AE104" s="854"/>
      <c r="AF104" s="855"/>
      <c r="AG104" s="858"/>
      <c r="AH104" s="869"/>
      <c r="AI104" s="862" t="str">
        <f>IFERROR(IF(K104="","",IF(C104&lt;&gt;INDEX(PMELIGHT[Base Desc 1],MATCH(K104,PMELIGHT[Eff Desc 1],0)),0,INDEX(PMELIGHT[Inc Rate Unit],MATCH(K104,PMELIGHT[Eff Desc 1],0)))),"")</f>
        <v/>
      </c>
      <c r="AJ104" s="863"/>
      <c r="AK104" s="821" t="str">
        <f t="shared" ref="AK104" si="233">IFERROR(IF(OR(C104="",I104="",K104="",Q104="",S104="",U104="",Y104="",AB104="",AE104="",AG104=""),"",IFERROR(ROUND(IF(I104-Q104&lt;=0,0,(I104-Q104)*S104*AB104/1000),2),"")),"")</f>
        <v/>
      </c>
      <c r="AL104" s="822"/>
      <c r="AM104" s="822"/>
      <c r="AN104" s="815" t="str">
        <f t="shared" ref="AN104" si="234">IFERROR(IF(OR(C104="",I104="",K104="",Q104="",S104="",U104="",Y104="",AB104="",AE104="",AG104=""),"",IF(BC104&lt;&gt;"",BC104,ROUND(IF(I104-Q104&lt;=0,0,MIN(AU104,AI104*S104)),2))),"")</f>
        <v/>
      </c>
      <c r="AO104" s="816"/>
      <c r="AP104" s="816"/>
      <c r="AQ104" s="817"/>
      <c r="AU104" s="808" t="str">
        <f t="shared" si="117"/>
        <v/>
      </c>
      <c r="AV104" s="813" t="str">
        <f>IFERROR(IF(OR(I104="",Q104="",S104="",U104="",Y104="",AB104="",AE104="",AG104="",AK104=0),"",IF(ISNUMBER(SEARCH("Exterior",K104)),0,ROUND(((I104-Q104)*S104/1000)*INDEX(BUILDINGTYPE[Lighting Coincidence Factor],MATCH(M02S02F26,BUILDINGTYPE[Building Type],0)),3))),"")</f>
        <v/>
      </c>
      <c r="AW104" s="811" t="str">
        <f t="shared" si="118"/>
        <v/>
      </c>
      <c r="AX104" s="811" t="str">
        <f t="shared" si="119"/>
        <v/>
      </c>
      <c r="BC104" s="825" t="str">
        <f>IFERROR(IF(OR(C104="",I104="",K104="",Q104="",S104="",U104="",Y104="",AB104="",AE104="",AG104=""),"",IF(ISBLANK(M02S02F26),MEASUREBLDG,IF((I104*S104)&lt;=(Q104*S104),MEASURESAVE,""))),MEASURESUBMIT)</f>
        <v/>
      </c>
    </row>
    <row r="105" spans="2:55" ht="15.95" hidden="1" customHeight="1">
      <c r="B105" s="829"/>
      <c r="C105" s="835"/>
      <c r="D105" s="836"/>
      <c r="E105" s="836"/>
      <c r="F105" s="836"/>
      <c r="G105" s="836"/>
      <c r="H105" s="837"/>
      <c r="I105" s="840"/>
      <c r="J105" s="841"/>
      <c r="K105" s="843"/>
      <c r="L105" s="836"/>
      <c r="M105" s="836"/>
      <c r="N105" s="836"/>
      <c r="O105" s="836"/>
      <c r="P105" s="837"/>
      <c r="Q105" s="840"/>
      <c r="R105" s="845"/>
      <c r="S105" s="848"/>
      <c r="T105" s="849"/>
      <c r="U105" s="835"/>
      <c r="V105" s="836"/>
      <c r="W105" s="836"/>
      <c r="X105" s="837"/>
      <c r="Y105" s="851"/>
      <c r="Z105" s="836"/>
      <c r="AA105" s="837"/>
      <c r="AB105" s="848"/>
      <c r="AC105" s="853"/>
      <c r="AD105" s="849"/>
      <c r="AE105" s="856"/>
      <c r="AF105" s="857"/>
      <c r="AG105" s="860"/>
      <c r="AH105" s="870"/>
      <c r="AI105" s="864"/>
      <c r="AJ105" s="865"/>
      <c r="AK105" s="823"/>
      <c r="AL105" s="824"/>
      <c r="AM105" s="824"/>
      <c r="AN105" s="818"/>
      <c r="AO105" s="819"/>
      <c r="AP105" s="819"/>
      <c r="AQ105" s="820"/>
      <c r="AU105" s="809"/>
      <c r="AV105" s="814"/>
      <c r="AW105" s="812"/>
      <c r="AX105" s="812"/>
      <c r="BC105" s="826"/>
    </row>
    <row r="106" spans="2:55" ht="15.95" hidden="1" customHeight="1">
      <c r="B106" s="829">
        <v>46</v>
      </c>
      <c r="C106" s="832"/>
      <c r="D106" s="833"/>
      <c r="E106" s="833"/>
      <c r="F106" s="833"/>
      <c r="G106" s="833"/>
      <c r="H106" s="834"/>
      <c r="I106" s="838" t="str">
        <f>IFERROR(IF(C106="","",IF(INDEX(PMELIGHTTYPE[Base Autofill],MATCH(C106,PMELIGHTTYPE[Base Desc 1],0))="","",INDEX(PMELIGHTTYPE[Base Autofill],MATCH(C106,PMELIGHTTYPE[Base Desc 1],0)))),"")</f>
        <v/>
      </c>
      <c r="J106" s="839"/>
      <c r="K106" s="842"/>
      <c r="L106" s="833"/>
      <c r="M106" s="833"/>
      <c r="N106" s="833"/>
      <c r="O106" s="833"/>
      <c r="P106" s="834"/>
      <c r="Q106" s="838" t="str">
        <f t="shared" ref="Q106" si="235">IFERROR(IF(ISNUMBER(SEARCH("Removed",K106)),0,""),"")</f>
        <v/>
      </c>
      <c r="R106" s="844"/>
      <c r="S106" s="846"/>
      <c r="T106" s="847"/>
      <c r="U106" s="832"/>
      <c r="V106" s="833"/>
      <c r="W106" s="833"/>
      <c r="X106" s="834"/>
      <c r="Y106" s="850"/>
      <c r="Z106" s="833"/>
      <c r="AA106" s="834"/>
      <c r="AB106" s="846"/>
      <c r="AC106" s="852"/>
      <c r="AD106" s="847"/>
      <c r="AE106" s="854" t="str">
        <f t="shared" ref="AE106" si="236">IF(ISNUMBER(SEARCH("Removed",K106)),0,"")</f>
        <v/>
      </c>
      <c r="AF106" s="855"/>
      <c r="AG106" s="858"/>
      <c r="AH106" s="869"/>
      <c r="AI106" s="862" t="str">
        <f>IFERROR(IF(K106="","",IF(C106&lt;&gt;INDEX(PMELIGHT[Base Desc 1],MATCH(K106,PMELIGHT[Eff Desc 1],0)),0,INDEX(PMELIGHT[Inc Rate Unit],MATCH(K106,PMELIGHT[Eff Desc 1],0)))),"")</f>
        <v/>
      </c>
      <c r="AJ106" s="863"/>
      <c r="AK106" s="821" t="str">
        <f t="shared" ref="AK106" si="237">IFERROR(IF(OR(C106="",I106="",K106="",Q106="",S106="",U106="",Y106="",AB106="",AE106="",AG106=""),"",IFERROR(ROUND(IF(I106-Q106&lt;=0,0,(I106-Q106)*S106*AB106/1000),2),"")),"")</f>
        <v/>
      </c>
      <c r="AL106" s="822"/>
      <c r="AM106" s="822"/>
      <c r="AN106" s="815" t="str">
        <f t="shared" ref="AN106" si="238">IFERROR(IF(OR(C106="",I106="",K106="",Q106="",S106="",U106="",Y106="",AB106="",AE106="",AG106=""),"",IF(BC106&lt;&gt;"",BC106,ROUND(IF(I106-Q106&lt;=0,0,MIN(AU106,AI106*S106)),2))),"")</f>
        <v/>
      </c>
      <c r="AO106" s="816"/>
      <c r="AP106" s="816"/>
      <c r="AQ106" s="817"/>
      <c r="AU106" s="808" t="str">
        <f t="shared" si="117"/>
        <v/>
      </c>
      <c r="AV106" s="813" t="str">
        <f>IFERROR(IF(OR(I106="",Q106="",S106="",U106="",Y106="",AB106="",AE106="",AG106="",AK106=0),"",IF(ISNUMBER(SEARCH("Exterior",K106)),0,ROUND(((I106-Q106)*S106/1000)*INDEX(BUILDINGTYPE[Lighting Coincidence Factor],MATCH(M02S02F26,BUILDINGTYPE[Building Type],0)),3))),"")</f>
        <v/>
      </c>
      <c r="AW106" s="811" t="str">
        <f t="shared" si="118"/>
        <v/>
      </c>
      <c r="AX106" s="811" t="str">
        <f t="shared" si="119"/>
        <v/>
      </c>
      <c r="BC106" s="825" t="str">
        <f>IFERROR(IF(OR(C106="",I106="",K106="",Q106="",S106="",U106="",Y106="",AB106="",AE106="",AG106=""),"",IF(ISBLANK(M02S02F26),MEASUREBLDG,IF((I106*S106)&lt;=(Q106*S106),MEASURESAVE,""))),MEASURESUBMIT)</f>
        <v/>
      </c>
    </row>
    <row r="107" spans="2:55" ht="15.95" hidden="1" customHeight="1">
      <c r="B107" s="829"/>
      <c r="C107" s="835"/>
      <c r="D107" s="836"/>
      <c r="E107" s="836"/>
      <c r="F107" s="836"/>
      <c r="G107" s="836"/>
      <c r="H107" s="837"/>
      <c r="I107" s="840"/>
      <c r="J107" s="841"/>
      <c r="K107" s="843"/>
      <c r="L107" s="836"/>
      <c r="M107" s="836"/>
      <c r="N107" s="836"/>
      <c r="O107" s="836"/>
      <c r="P107" s="837"/>
      <c r="Q107" s="840"/>
      <c r="R107" s="845"/>
      <c r="S107" s="848"/>
      <c r="T107" s="849"/>
      <c r="U107" s="835"/>
      <c r="V107" s="836"/>
      <c r="W107" s="836"/>
      <c r="X107" s="837"/>
      <c r="Y107" s="851"/>
      <c r="Z107" s="836"/>
      <c r="AA107" s="837"/>
      <c r="AB107" s="848"/>
      <c r="AC107" s="853"/>
      <c r="AD107" s="849"/>
      <c r="AE107" s="856"/>
      <c r="AF107" s="857"/>
      <c r="AG107" s="860"/>
      <c r="AH107" s="870"/>
      <c r="AI107" s="864"/>
      <c r="AJ107" s="865"/>
      <c r="AK107" s="823"/>
      <c r="AL107" s="824"/>
      <c r="AM107" s="824"/>
      <c r="AN107" s="818"/>
      <c r="AO107" s="819"/>
      <c r="AP107" s="819"/>
      <c r="AQ107" s="820"/>
      <c r="AU107" s="809"/>
      <c r="AV107" s="814"/>
      <c r="AW107" s="812"/>
      <c r="AX107" s="812"/>
      <c r="BC107" s="826"/>
    </row>
    <row r="108" spans="2:55" ht="15.95" hidden="1" customHeight="1">
      <c r="B108" s="829">
        <v>47</v>
      </c>
      <c r="C108" s="832"/>
      <c r="D108" s="833"/>
      <c r="E108" s="833"/>
      <c r="F108" s="833"/>
      <c r="G108" s="833"/>
      <c r="H108" s="834"/>
      <c r="I108" s="838" t="str">
        <f>IFERROR(IF(C108="","",IF(INDEX(PMELIGHTTYPE[Base Autofill],MATCH(C108,PMELIGHTTYPE[Base Desc 1],0))="","",INDEX(PMELIGHTTYPE[Base Autofill],MATCH(C108,PMELIGHTTYPE[Base Desc 1],0)))),"")</f>
        <v/>
      </c>
      <c r="J108" s="839"/>
      <c r="K108" s="842"/>
      <c r="L108" s="833"/>
      <c r="M108" s="833"/>
      <c r="N108" s="833"/>
      <c r="O108" s="833"/>
      <c r="P108" s="834"/>
      <c r="Q108" s="838" t="str">
        <f t="shared" ref="Q108" si="239">IFERROR(IF(ISNUMBER(SEARCH("Removed",K108)),0,""),"")</f>
        <v/>
      </c>
      <c r="R108" s="844"/>
      <c r="S108" s="846"/>
      <c r="T108" s="847"/>
      <c r="U108" s="832"/>
      <c r="V108" s="833"/>
      <c r="W108" s="833"/>
      <c r="X108" s="834"/>
      <c r="Y108" s="850"/>
      <c r="Z108" s="833"/>
      <c r="AA108" s="834"/>
      <c r="AB108" s="846"/>
      <c r="AC108" s="852"/>
      <c r="AD108" s="847"/>
      <c r="AE108" s="854" t="str">
        <f t="shared" ref="AE108" si="240">IF(ISNUMBER(SEARCH("Removed",K108)),0,"")</f>
        <v/>
      </c>
      <c r="AF108" s="855"/>
      <c r="AG108" s="858"/>
      <c r="AH108" s="869"/>
      <c r="AI108" s="862" t="str">
        <f>IFERROR(IF(K108="","",IF(C108&lt;&gt;INDEX(PMELIGHT[Base Desc 1],MATCH(K108,PMELIGHT[Eff Desc 1],0)),0,INDEX(PMELIGHT[Inc Rate Unit],MATCH(K108,PMELIGHT[Eff Desc 1],0)))),"")</f>
        <v/>
      </c>
      <c r="AJ108" s="863"/>
      <c r="AK108" s="821" t="str">
        <f t="shared" ref="AK108" si="241">IFERROR(IF(OR(C108="",I108="",K108="",Q108="",S108="",U108="",Y108="",AB108="",AE108="",AG108=""),"",IFERROR(ROUND(IF(I108-Q108&lt;=0,0,(I108-Q108)*S108*AB108/1000),2),"")),"")</f>
        <v/>
      </c>
      <c r="AL108" s="822"/>
      <c r="AM108" s="822"/>
      <c r="AN108" s="815" t="str">
        <f t="shared" ref="AN108" si="242">IFERROR(IF(OR(C108="",I108="",K108="",Q108="",S108="",U108="",Y108="",AB108="",AE108="",AG108=""),"",IF(BC108&lt;&gt;"",BC108,ROUND(IF(I108-Q108&lt;=0,0,MIN(AU108,AI108*S108)),2))),"")</f>
        <v/>
      </c>
      <c r="AO108" s="816"/>
      <c r="AP108" s="816"/>
      <c r="AQ108" s="817"/>
      <c r="AU108" s="808" t="str">
        <f t="shared" ref="AU108" si="243">IF(OR(I108="",Q108="",S108="",U108="",Y108="",AB108="",AE108="",AG108=""),"",IF(AK108=0,"",(ROUND((AE108+AG108)*S108,2))))</f>
        <v/>
      </c>
      <c r="AV108" s="813" t="str">
        <f>IFERROR(IF(OR(I108="",Q108="",S108="",U108="",Y108="",AB108="",AE108="",AG108="",AK108=0),"",IF(ISNUMBER(SEARCH("Exterior",K108)),0,ROUND(((I108-Q108)*S108/1000)*INDEX(BUILDINGTYPE[Lighting Coincidence Factor],MATCH(M02S02F26,BUILDINGTYPE[Building Type],0)),3))),"")</f>
        <v/>
      </c>
      <c r="AW108" s="811" t="str">
        <f t="shared" ref="AW108" si="244">IF(OR(I108="",Q108="",S108="",U108="",Y108="",AB108="",AE108="",AG108=""),"",ROUND(I108*S108*AB108/1000,2))</f>
        <v/>
      </c>
      <c r="AX108" s="811" t="str">
        <f t="shared" ref="AX108" si="245">IF(OR(I108="",Q108="",S108="",U108="",Y108="",AB108="",AE108="",AG108=""),"",ROUND(Q108*S108*AB108/1000,2))</f>
        <v/>
      </c>
      <c r="BC108" s="825" t="str">
        <f>IFERROR(IF(OR(C108="",I108="",K108="",Q108="",S108="",U108="",Y108="",AB108="",AE108="",AG108=""),"",IF(ISBLANK(M02S02F26),MEASUREBLDG,IF((I108*S108)&lt;=(Q108*S108),MEASURESAVE,""))),MEASURESUBMIT)</f>
        <v/>
      </c>
    </row>
    <row r="109" spans="2:55" ht="15.95" hidden="1" customHeight="1">
      <c r="B109" s="829"/>
      <c r="C109" s="835"/>
      <c r="D109" s="836"/>
      <c r="E109" s="836"/>
      <c r="F109" s="836"/>
      <c r="G109" s="836"/>
      <c r="H109" s="837"/>
      <c r="I109" s="840"/>
      <c r="J109" s="841"/>
      <c r="K109" s="843"/>
      <c r="L109" s="836"/>
      <c r="M109" s="836"/>
      <c r="N109" s="836"/>
      <c r="O109" s="836"/>
      <c r="P109" s="837"/>
      <c r="Q109" s="840"/>
      <c r="R109" s="845"/>
      <c r="S109" s="848"/>
      <c r="T109" s="849"/>
      <c r="U109" s="835"/>
      <c r="V109" s="836"/>
      <c r="W109" s="836"/>
      <c r="X109" s="837"/>
      <c r="Y109" s="851"/>
      <c r="Z109" s="836"/>
      <c r="AA109" s="837"/>
      <c r="AB109" s="848"/>
      <c r="AC109" s="853"/>
      <c r="AD109" s="849"/>
      <c r="AE109" s="856"/>
      <c r="AF109" s="857"/>
      <c r="AG109" s="860"/>
      <c r="AH109" s="870"/>
      <c r="AI109" s="864"/>
      <c r="AJ109" s="865"/>
      <c r="AK109" s="823"/>
      <c r="AL109" s="824"/>
      <c r="AM109" s="824"/>
      <c r="AN109" s="818"/>
      <c r="AO109" s="819"/>
      <c r="AP109" s="819"/>
      <c r="AQ109" s="820"/>
      <c r="AU109" s="809"/>
      <c r="AV109" s="814"/>
      <c r="AW109" s="812"/>
      <c r="AX109" s="812"/>
      <c r="BC109" s="826"/>
    </row>
    <row r="110" spans="2:55" ht="15.95" hidden="1" customHeight="1">
      <c r="B110" s="829">
        <v>48</v>
      </c>
      <c r="C110" s="832">
        <f ca="1">IF(SUM(BG14:BG111)=0,0,INDEX(PMEBONUS[],6,3))</f>
        <v>0</v>
      </c>
      <c r="D110" s="833"/>
      <c r="E110" s="833"/>
      <c r="F110" s="833"/>
      <c r="G110" s="833"/>
      <c r="H110" s="834"/>
      <c r="I110" s="838" t="str">
        <f ca="1">IFERROR(IF(C110="","",IF(INDEX(PMELIGHTTYPE[Base Autofill],MATCH(C110,PMELIGHTTYPE[Base Desc 1],0))="","",INDEX(PMELIGHTTYPE[Base Autofill],MATCH(C110,PMELIGHTTYPE[Base Desc 1],0)))),"")</f>
        <v/>
      </c>
      <c r="J110" s="839"/>
      <c r="K110" s="842">
        <f ca="1">IF(SUM(BE14:BE109)=0,0,INDEX(PMEBONUS[],1,30))</f>
        <v>0</v>
      </c>
      <c r="L110" s="833"/>
      <c r="M110" s="833"/>
      <c r="N110" s="833"/>
      <c r="O110" s="833"/>
      <c r="P110" s="834"/>
      <c r="Q110" s="838" t="str">
        <f t="shared" ref="Q110" ca="1" si="246">IFERROR(IF(ISNUMBER(SEARCH("Removed",K110)),0,""),"")</f>
        <v/>
      </c>
      <c r="R110" s="844"/>
      <c r="S110" s="871">
        <f ca="1">IF(K110=0,0,1)</f>
        <v>0</v>
      </c>
      <c r="T110" s="872"/>
      <c r="U110" s="832"/>
      <c r="V110" s="833"/>
      <c r="W110" s="833"/>
      <c r="X110" s="834"/>
      <c r="Y110" s="850"/>
      <c r="Z110" s="833"/>
      <c r="AA110" s="834"/>
      <c r="AB110" s="846"/>
      <c r="AC110" s="852"/>
      <c r="AD110" s="847"/>
      <c r="AE110" s="854" t="str">
        <f t="shared" ref="AE110" ca="1" si="247">IF(ISNUMBER(SEARCH("Removed",K110)),0,"")</f>
        <v/>
      </c>
      <c r="AF110" s="855"/>
      <c r="AG110" s="858"/>
      <c r="AH110" s="869"/>
      <c r="AI110" s="862" t="str">
        <f ca="1">IFERROR(IF(K110="","",IF(C110&lt;&gt;INDEX(PMELIGHT[Base Desc 1],MATCH(K110,PMELIGHT[Eff Desc 1],0)),0,INDEX(PMELIGHT[Inc Rate Unit],MATCH(K110,PMELIGHT[Eff Desc 1],0)))),"")</f>
        <v/>
      </c>
      <c r="AJ110" s="863"/>
      <c r="AK110" s="821" t="str">
        <f t="shared" ref="AK110" ca="1" si="248">IFERROR(IF(OR(C110="",I110="",K110="",Q110="",S110="",U110="",Y110="",AB110="",AE110="",AG110=""),"",IFERROR(ROUND(IF(I110-Q110&lt;=0,0,(I110-Q110)*S110*AB110/1000),2),"")),"")</f>
        <v/>
      </c>
      <c r="AL110" s="822"/>
      <c r="AM110" s="822"/>
      <c r="AN110" s="815">
        <f ca="1">IF(AY110="",0,AY110)</f>
        <v>0</v>
      </c>
      <c r="AO110" s="816"/>
      <c r="AP110" s="816"/>
      <c r="AQ110" s="817"/>
      <c r="AU110" s="808" t="str">
        <f t="shared" ref="AU110" ca="1" si="249">IF(OR(I110="",Q110="",S110="",U110="",Y110="",AB110="",AE110="",AG110=""),"",IF(AK110=0,"",(ROUND((AE110+AG110)*S110,2))))</f>
        <v/>
      </c>
      <c r="AV110" s="813" t="str">
        <f ca="1">IFERROR(IF(OR(I110="",Q110="",S110="",U110="",Y110="",AB110="",AE110="",AG110="",AK110=0),"",IF(ISNUMBER(SEARCH("Exterior",K110)),0,ROUND(((I110-Q110)*S110/1000)*INDEX(BUILDINGTYPE[Lighting Coincidence Factor],MATCH(M02S02F26,BUILDINGTYPE[Building Type],0)),3))),"")</f>
        <v/>
      </c>
      <c r="AW110" s="811" t="str">
        <f t="shared" ref="AW110" ca="1" si="250">IF(OR(I110="",Q110="",S110="",U110="",Y110="",AB110="",AE110="",AG110=""),"",ROUND(I110*S110*AB110/1000,2))</f>
        <v/>
      </c>
      <c r="AX110" s="811" t="str">
        <f t="shared" ref="AX110" ca="1" si="251">IF(OR(I110="",Q110="",S110="",U110="",Y110="",AB110="",AE110="",AG110=""),"",ROUND(Q110*S110*AB110/1000,2))</f>
        <v/>
      </c>
      <c r="AY110" s="808" t="str">
        <f ca="1">IFERROR(IF(OR(C110="",K110="",SUM(AK14:AM109)=0,SUM(BG14:BG109)=0),"",SUM(BG14:BG109)),"")</f>
        <v/>
      </c>
      <c r="BC110" s="825" t="str">
        <f ca="1">IFERROR(IF(OR(C110="",I110="",K110="",Q110="",S110="",U110="",Y110="",AB110="",AE110="",AG110=""),"",IF(ISBLANK(M02S02F26),MEASUREBLDG,IF((I110*S110)&lt;=(Q110*S110),MEASURESAVE,""))),MEASURESUBMIT)</f>
        <v/>
      </c>
    </row>
    <row r="111" spans="2:55" ht="15.95" hidden="1" customHeight="1">
      <c r="B111" s="829"/>
      <c r="C111" s="835"/>
      <c r="D111" s="836"/>
      <c r="E111" s="836"/>
      <c r="F111" s="836"/>
      <c r="G111" s="836"/>
      <c r="H111" s="837"/>
      <c r="I111" s="840"/>
      <c r="J111" s="841"/>
      <c r="K111" s="843"/>
      <c r="L111" s="836"/>
      <c r="M111" s="836"/>
      <c r="N111" s="836"/>
      <c r="O111" s="836"/>
      <c r="P111" s="837"/>
      <c r="Q111" s="840"/>
      <c r="R111" s="845"/>
      <c r="S111" s="848"/>
      <c r="T111" s="849"/>
      <c r="U111" s="835"/>
      <c r="V111" s="836"/>
      <c r="W111" s="836"/>
      <c r="X111" s="837"/>
      <c r="Y111" s="851"/>
      <c r="Z111" s="836"/>
      <c r="AA111" s="837"/>
      <c r="AB111" s="848"/>
      <c r="AC111" s="853"/>
      <c r="AD111" s="849"/>
      <c r="AE111" s="856"/>
      <c r="AF111" s="857"/>
      <c r="AG111" s="860"/>
      <c r="AH111" s="870"/>
      <c r="AI111" s="864"/>
      <c r="AJ111" s="865"/>
      <c r="AK111" s="823"/>
      <c r="AL111" s="824"/>
      <c r="AM111" s="824"/>
      <c r="AN111" s="818"/>
      <c r="AO111" s="819"/>
      <c r="AP111" s="819"/>
      <c r="AQ111" s="820"/>
      <c r="AU111" s="809"/>
      <c r="AV111" s="814"/>
      <c r="AW111" s="812"/>
      <c r="AX111" s="812"/>
      <c r="AY111" s="809"/>
      <c r="BC111" s="826"/>
    </row>
    <row r="112" spans="2:55" ht="15.95" hidden="1" customHeight="1">
      <c r="B112" s="829">
        <v>49</v>
      </c>
      <c r="C112" s="832">
        <f ca="1">IF(SUM(BF16:BF113)=0,0,INDEX(PMEBONUS[],1,3))</f>
        <v>0</v>
      </c>
      <c r="D112" s="833"/>
      <c r="E112" s="833"/>
      <c r="F112" s="833"/>
      <c r="G112" s="833"/>
      <c r="H112" s="834"/>
      <c r="I112" s="838" t="str">
        <f ca="1">IFERROR(IF(C112="","",IF(INDEX(PMELIGHTTYPE[Base Autofill],MATCH(C112,PMELIGHTTYPE[Base Desc 1],0))="","",INDEX(PMELIGHTTYPE[Base Autofill],MATCH(C112,PMELIGHTTYPE[Base Desc 1],0)))),"")</f>
        <v/>
      </c>
      <c r="J112" s="839"/>
      <c r="K112" s="842">
        <f ca="1">IF(SUM(BE16:BE111)=0,0,INDEX(PMEBONUS[],1,30))</f>
        <v>0</v>
      </c>
      <c r="L112" s="833"/>
      <c r="M112" s="833"/>
      <c r="N112" s="833"/>
      <c r="O112" s="833"/>
      <c r="P112" s="834"/>
      <c r="Q112" s="838" t="str">
        <f t="shared" ref="Q112" ca="1" si="252">IFERROR(IF(ISNUMBER(SEARCH("Removed",K112)),0,""),"")</f>
        <v/>
      </c>
      <c r="R112" s="844"/>
      <c r="S112" s="871">
        <f ca="1">IF(K112=0,0,1)</f>
        <v>0</v>
      </c>
      <c r="T112" s="872"/>
      <c r="U112" s="832"/>
      <c r="V112" s="833"/>
      <c r="W112" s="833"/>
      <c r="X112" s="834"/>
      <c r="Y112" s="850"/>
      <c r="Z112" s="833"/>
      <c r="AA112" s="834"/>
      <c r="AB112" s="846"/>
      <c r="AC112" s="852"/>
      <c r="AD112" s="847"/>
      <c r="AE112" s="854" t="str">
        <f t="shared" ref="AE112" ca="1" si="253">IF(ISNUMBER(SEARCH("Removed",K112)),0,"")</f>
        <v/>
      </c>
      <c r="AF112" s="855"/>
      <c r="AG112" s="858"/>
      <c r="AH112" s="869"/>
      <c r="AI112" s="862" t="str">
        <f ca="1">IFERROR(IF(K112="","",IF(C112&lt;&gt;INDEX(PMELIGHT[Base Desc 1],MATCH(K112,PMELIGHT[Eff Desc 1],0)),0,INDEX(PMELIGHT[Inc Rate Unit],MATCH(K112,PMELIGHT[Eff Desc 1],0)))),"")</f>
        <v/>
      </c>
      <c r="AJ112" s="863"/>
      <c r="AK112" s="821" t="str">
        <f t="shared" ref="AK112" ca="1" si="254">IFERROR(IF(OR(C112="",I112="",K112="",Q112="",S112="",U112="",Y112="",AB112="",AE112="",AG112=""),"",IFERROR(ROUND(IF(I112-Q112&lt;=0,0,(I112-Q112)*S112*AB112/1000),2),"")),"")</f>
        <v/>
      </c>
      <c r="AL112" s="822"/>
      <c r="AM112" s="822"/>
      <c r="AN112" s="815">
        <f ca="1">IF(AY112="",0,AY112)</f>
        <v>0</v>
      </c>
      <c r="AO112" s="816"/>
      <c r="AP112" s="816"/>
      <c r="AQ112" s="817"/>
      <c r="AU112" s="808" t="str">
        <f t="shared" ref="AU112" ca="1" si="255">IF(OR(I112="",Q112="",S112="",U112="",Y112="",AB112="",AE112="",AG112=""),"",IF(AK112=0,"",(ROUND((AE112+AG112)*S112,2))))</f>
        <v/>
      </c>
      <c r="AV112" s="813" t="str">
        <f ca="1">IFERROR(IF(OR(I112="",Q112="",S112="",U112="",Y112="",AB112="",AE112="",AG112="",AK112=0),"",IF(ISNUMBER(SEARCH("Exterior",K112)),0,ROUND(((I112-Q112)*S112/1000)*INDEX(BUILDINGTYPE[Lighting Coincidence Factor],MATCH(M02S02F26,BUILDINGTYPE[Building Type],0)),3))),"")</f>
        <v/>
      </c>
      <c r="AW112" s="811" t="str">
        <f t="shared" ref="AW112" ca="1" si="256">IF(OR(I112="",Q112="",S112="",U112="",Y112="",AB112="",AE112="",AG112=""),"",ROUND(I112*S112*AB112/1000,2))</f>
        <v/>
      </c>
      <c r="AX112" s="811" t="str">
        <f t="shared" ref="AX112" ca="1" si="257">IF(OR(I112="",Q112="",S112="",U112="",Y112="",AB112="",AE112="",AG112=""),"",ROUND(Q112*S112*AB112/1000,2))</f>
        <v/>
      </c>
      <c r="AY112" s="808" t="str">
        <f ca="1">IFERROR(IF(OR(C112="",K112="",SUM(AK16:AM109)=0,SUM(BF16:BF109)=0),"",SUM(BF16:BF109)),"")</f>
        <v/>
      </c>
      <c r="AZ112" s="808"/>
      <c r="BA112" s="808"/>
      <c r="BB112" s="808"/>
      <c r="BC112" s="825" t="str">
        <f ca="1">IFERROR(IF(OR(C112="",I112="",K112="",Q112="",S112="",U112="",Y112="",AB112="",AE112="",AG112=""),"",IF(ISBLANK(M02S02F26),MEASUREBLDG,IF((I112*S112)&lt;=(Q112*S112),MEASURESAVE,""))),MEASURESUBMIT)</f>
        <v/>
      </c>
    </row>
    <row r="113" spans="2:55" ht="15.95" hidden="1" customHeight="1">
      <c r="B113" s="829"/>
      <c r="C113" s="835"/>
      <c r="D113" s="836"/>
      <c r="E113" s="836"/>
      <c r="F113" s="836"/>
      <c r="G113" s="836"/>
      <c r="H113" s="837"/>
      <c r="I113" s="840"/>
      <c r="J113" s="841"/>
      <c r="K113" s="843"/>
      <c r="L113" s="836"/>
      <c r="M113" s="836"/>
      <c r="N113" s="836"/>
      <c r="O113" s="836"/>
      <c r="P113" s="837"/>
      <c r="Q113" s="840"/>
      <c r="R113" s="845"/>
      <c r="S113" s="848"/>
      <c r="T113" s="849"/>
      <c r="U113" s="835"/>
      <c r="V113" s="836"/>
      <c r="W113" s="836"/>
      <c r="X113" s="837"/>
      <c r="Y113" s="851"/>
      <c r="Z113" s="836"/>
      <c r="AA113" s="837"/>
      <c r="AB113" s="848"/>
      <c r="AC113" s="853"/>
      <c r="AD113" s="849"/>
      <c r="AE113" s="856"/>
      <c r="AF113" s="857"/>
      <c r="AG113" s="860"/>
      <c r="AH113" s="870"/>
      <c r="AI113" s="864"/>
      <c r="AJ113" s="865"/>
      <c r="AK113" s="823"/>
      <c r="AL113" s="824"/>
      <c r="AM113" s="824"/>
      <c r="AN113" s="818"/>
      <c r="AO113" s="819"/>
      <c r="AP113" s="819"/>
      <c r="AQ113" s="820"/>
      <c r="AU113" s="809"/>
      <c r="AV113" s="814"/>
      <c r="AW113" s="812"/>
      <c r="AX113" s="812"/>
      <c r="AY113" s="809"/>
      <c r="AZ113" s="809"/>
      <c r="BA113" s="809"/>
      <c r="BB113" s="809"/>
      <c r="BC113" s="826"/>
    </row>
    <row r="114" spans="2:55" ht="15.95" hidden="1" customHeight="1">
      <c r="B114" s="829">
        <v>50</v>
      </c>
      <c r="C114" s="832">
        <f ca="1">IF(SUM(BE16:BE113)=0,0,INDEX(PMEBONUS[],3,3))</f>
        <v>0</v>
      </c>
      <c r="D114" s="833"/>
      <c r="E114" s="833"/>
      <c r="F114" s="833"/>
      <c r="G114" s="833"/>
      <c r="H114" s="834"/>
      <c r="I114" s="879" t="str">
        <f ca="1">IFERROR(IF(C114="","",IF(INDEX(PMELIGHTTYPE[Base Autofill],MATCH(C114,PMELIGHTTYPE[Base Desc 1],0))="","",INDEX(PMELIGHTTYPE[Base Autofill],MATCH(C114,PMELIGHTTYPE[Base Desc 1],0)))),"")</f>
        <v/>
      </c>
      <c r="J114" s="880"/>
      <c r="K114" s="842">
        <f ca="1">IF(SUM(BE16:BE113)=0,0,INDEX(PMEBONUS[],3,30))</f>
        <v>0</v>
      </c>
      <c r="L114" s="833"/>
      <c r="M114" s="833"/>
      <c r="N114" s="833"/>
      <c r="O114" s="833"/>
      <c r="P114" s="834"/>
      <c r="Q114" s="879" t="str">
        <f t="shared" ref="Q114" ca="1" si="258">IFERROR(IF(ISNUMBER(SEARCH("Removed",K114)),0,""),"")</f>
        <v/>
      </c>
      <c r="R114" s="882"/>
      <c r="S114" s="871">
        <f ca="1">IF(K114=0,0,1)</f>
        <v>0</v>
      </c>
      <c r="T114" s="872"/>
      <c r="U114" s="866"/>
      <c r="V114" s="867"/>
      <c r="W114" s="867"/>
      <c r="X114" s="883"/>
      <c r="Y114" s="885"/>
      <c r="Z114" s="867"/>
      <c r="AA114" s="868"/>
      <c r="AB114" s="871"/>
      <c r="AC114" s="886"/>
      <c r="AD114" s="872"/>
      <c r="AE114" s="887" t="str">
        <f t="shared" ref="AE114" ca="1" si="259">IF(ISNUMBER(SEARCH("Removed",K114)),0,"")</f>
        <v/>
      </c>
      <c r="AF114" s="888"/>
      <c r="AG114" s="889"/>
      <c r="AH114" s="890"/>
      <c r="AI114" s="862" t="str">
        <f ca="1">IFERROR(IF(K114="","",IF(C114&lt;&gt;INDEX(PMELIGHT[Base Desc 1],MATCH(K114,PMELIGHT[Eff Desc 1],0)),0,INDEX(PMELIGHT[Inc Rate Unit],MATCH(K114,PMELIGHT[Eff Desc 1],0)))),"")</f>
        <v/>
      </c>
      <c r="AJ114" s="863"/>
      <c r="AK114" s="821" t="str">
        <f ca="1">IFERROR(IF(OR(C114="",I114="",K114="",Q114="",S114="",U114="",Y114="",AB114="",AE114="",AG114=""),"",IFERROR(ROUND(IF(I114-Q114&lt;=0,0,(I114-Q114)*S114*AB114/1000),2),"")),"")</f>
        <v/>
      </c>
      <c r="AL114" s="822"/>
      <c r="AM114" s="827"/>
      <c r="AN114" s="815">
        <f ca="1">IF(AY114="",0,AY114)</f>
        <v>0</v>
      </c>
      <c r="AO114" s="816"/>
      <c r="AP114" s="816"/>
      <c r="AQ114" s="817"/>
      <c r="AU114" s="893" t="str">
        <f ca="1">IF(OR(I114="",Q114="",S114="",U114="",Y114="",AB114="",AE114="",AG114=""),"",IF(AK114=0,"",(ROUND((AE114+AG114)*S114,2))))</f>
        <v/>
      </c>
      <c r="AV114" s="894" t="str">
        <f ca="1">IFERROR(IF(OR(I114="",Q114="",S114="",U114="",Y114="",AB114="",AE114="",AG114="",AK114=0),"",IF(ISNUMBER(SEARCH("Exterior",K114)),0,ROUND(((I114-Q114)*S114/1000)*INDEX(BUILDINGTYPE[Lighting Coincidence Factor],MATCH(M02S02F26,BUILDINGTYPE[Building Type],0)),3))),"")</f>
        <v/>
      </c>
      <c r="AW114" s="895" t="str">
        <f ca="1">IF(OR(I114="",Q114="",S114="",U114="",Y114="",AB114="",AE114="",AG114=""),"",ROUND(I114*S114*AB114/1000,2))</f>
        <v/>
      </c>
      <c r="AX114" s="895" t="str">
        <f ca="1">IF(OR(I114="",Q114="",S114="",U114="",Y114="",AB114="",AE114="",AG114=""),"",ROUND(Q114*S114*AB114/1000,2))</f>
        <v/>
      </c>
      <c r="AY114" s="808" t="str">
        <f ca="1">IFERROR(IF(OR(C114="",K114="",SUM(AK16:AM109)=0,SUM(BE16:BE109)=0),"",SUM(BE16:BE109)),"")</f>
        <v/>
      </c>
      <c r="AZ114" s="808"/>
      <c r="BA114" s="808"/>
      <c r="BB114" s="808"/>
      <c r="BC114" s="892" t="str">
        <f ca="1">IFERROR(IF(OR(C114="",I114="",K114="",Q114="",S114="",U114="",Y114="",AB114="",AE114="",AG114=""),"",IF(ISBLANK(M02S02F26),MEASUREBLDG,IF((I114*S114)&lt;=(Q114*S114),MEASURESAVE,""))),MEASURESUBMIT)</f>
        <v/>
      </c>
    </row>
    <row r="115" spans="2:55" ht="15.95" hidden="1" customHeight="1">
      <c r="B115" s="829"/>
      <c r="C115" s="835"/>
      <c r="D115" s="836"/>
      <c r="E115" s="836"/>
      <c r="F115" s="836"/>
      <c r="G115" s="836"/>
      <c r="H115" s="837"/>
      <c r="I115" s="840"/>
      <c r="J115" s="881"/>
      <c r="K115" s="843"/>
      <c r="L115" s="836"/>
      <c r="M115" s="836"/>
      <c r="N115" s="836"/>
      <c r="O115" s="836"/>
      <c r="P115" s="837"/>
      <c r="Q115" s="840"/>
      <c r="R115" s="845"/>
      <c r="S115" s="848"/>
      <c r="T115" s="849"/>
      <c r="U115" s="835"/>
      <c r="V115" s="836"/>
      <c r="W115" s="836"/>
      <c r="X115" s="884"/>
      <c r="Y115" s="851"/>
      <c r="Z115" s="836"/>
      <c r="AA115" s="837"/>
      <c r="AB115" s="848"/>
      <c r="AC115" s="853"/>
      <c r="AD115" s="849"/>
      <c r="AE115" s="856"/>
      <c r="AF115" s="857"/>
      <c r="AG115" s="860"/>
      <c r="AH115" s="891"/>
      <c r="AI115" s="864"/>
      <c r="AJ115" s="865"/>
      <c r="AK115" s="823"/>
      <c r="AL115" s="824"/>
      <c r="AM115" s="828"/>
      <c r="AN115" s="818"/>
      <c r="AO115" s="819"/>
      <c r="AP115" s="819"/>
      <c r="AQ115" s="820"/>
      <c r="AU115" s="809"/>
      <c r="AV115" s="814"/>
      <c r="AW115" s="812"/>
      <c r="AX115" s="812"/>
      <c r="AY115" s="809"/>
      <c r="AZ115" s="809"/>
      <c r="BA115" s="809"/>
      <c r="BB115" s="809"/>
      <c r="BC115" s="826"/>
    </row>
    <row r="116" spans="2:55" ht="15.95" hidden="1" customHeight="1">
      <c r="B116" s="82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55" ht="15.95" hidden="1" customHeight="1">
      <c r="B117" s="82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55" ht="15.95" hidden="1" customHeight="1">
      <c r="B118" s="82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55" ht="15.95" hidden="1" customHeight="1">
      <c r="B119" s="82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55" ht="15.95" hidden="1" customHeight="1">
      <c r="B120" s="82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55" ht="15.95" hidden="1" customHeight="1">
      <c r="B121" s="82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55" ht="15.95" hidden="1" customHeight="1">
      <c r="B122" s="82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55" ht="15.95" hidden="1" customHeight="1">
      <c r="B123" s="82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55" ht="15.95" hidden="1" customHeight="1">
      <c r="B124" s="82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55" ht="15.95" hidden="1" customHeight="1">
      <c r="B125" s="82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55" ht="15.95" hidden="1" customHeight="1">
      <c r="B126" s="82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55" ht="15.95" hidden="1" customHeight="1">
      <c r="B127" s="82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55" ht="15.95" hidden="1" customHeight="1">
      <c r="B128" s="82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82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82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82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82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82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82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82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82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82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82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82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82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82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82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82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82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82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82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82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82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82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82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82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82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82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82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82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82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82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82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82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82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82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82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82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82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82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82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82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82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82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82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82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82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82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82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82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82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82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82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82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82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82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82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82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82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82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82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82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82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82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82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82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82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8" ht="15.95" hidden="1" customHeight="1">
      <c r="B193" s="82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8" ht="15.95" hidden="1" customHeight="1">
      <c r="B194" s="82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8" ht="15.95" hidden="1" customHeight="1">
      <c r="B195" s="82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8" ht="15.95" hidden="1" customHeight="1">
      <c r="B196" s="82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8" ht="15.95" hidden="1" customHeight="1">
      <c r="B197" s="82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8" ht="15.95" hidden="1" customHeight="1">
      <c r="B198" s="82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8" ht="15.95" hidden="1" customHeight="1">
      <c r="B199" s="82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8" ht="15.95" customHeight="1">
      <c r="B200" s="272" t="str">
        <f>FOOT1</f>
        <v>NIPSCO Energy Efficiency Program</v>
      </c>
      <c r="C200" s="272"/>
      <c r="D200" s="272"/>
      <c r="E200" s="272"/>
      <c r="F200" s="272"/>
      <c r="G200" s="272"/>
      <c r="H200" s="272"/>
      <c r="I200" s="272"/>
      <c r="J200" s="272"/>
      <c r="K200" s="272"/>
      <c r="L200" s="272"/>
      <c r="M200" s="656" t="str">
        <f>FOOT4</f>
        <v>NIPSCO’s energy efficiency programs are administered by TRC, a third‐party implementation specialist that helps homes and businesses save energy.</v>
      </c>
      <c r="N200" s="656"/>
      <c r="O200" s="656"/>
      <c r="P200" s="656"/>
      <c r="Q200" s="656"/>
      <c r="R200" s="656"/>
      <c r="S200" s="656"/>
      <c r="T200" s="656"/>
      <c r="U200" s="656"/>
      <c r="V200" s="656"/>
      <c r="W200" s="656"/>
      <c r="X200" s="656"/>
      <c r="Y200" s="656"/>
      <c r="Z200" s="656"/>
      <c r="AA200" s="656"/>
      <c r="AB200" s="656"/>
      <c r="AC200" s="656"/>
      <c r="AD200" s="656"/>
      <c r="AE200" s="656"/>
      <c r="AF200" s="656"/>
      <c r="AG200" s="656"/>
      <c r="AH200" s="272"/>
      <c r="AI200" s="272"/>
      <c r="AJ200" s="272"/>
      <c r="AK200" s="272"/>
      <c r="AL200" s="272"/>
      <c r="AM200" s="272"/>
      <c r="AN200" s="272"/>
      <c r="AO200" s="272"/>
      <c r="AP200" s="272"/>
      <c r="AQ200" s="272"/>
      <c r="AR200" s="273" t="str">
        <f>FOOTDISCLAIM</f>
        <v/>
      </c>
      <c r="AU200" s="808">
        <f ca="1">SUM(AU16:AU199)</f>
        <v>0</v>
      </c>
      <c r="AV200" s="873">
        <f ca="1">SUM(AV16:AV199)</f>
        <v>0</v>
      </c>
    </row>
    <row r="201" spans="2:48" ht="15.95" customHeight="1">
      <c r="B201" s="272" t="str">
        <f>FOOT2</f>
        <v>Toll-Free 800-299-2501</v>
      </c>
      <c r="C201" s="272"/>
      <c r="D201" s="272"/>
      <c r="E201" s="272"/>
      <c r="F201" s="272"/>
      <c r="G201" s="272"/>
      <c r="H201" s="272"/>
      <c r="I201" s="272"/>
      <c r="J201" s="272"/>
      <c r="K201" s="272"/>
      <c r="L201" s="272"/>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272"/>
      <c r="AI201" s="272"/>
      <c r="AJ201" s="272"/>
      <c r="AK201" s="272"/>
      <c r="AL201" s="272"/>
      <c r="AM201" s="272"/>
      <c r="AN201" s="272"/>
      <c r="AO201" s="272"/>
      <c r="AP201" s="272"/>
      <c r="AQ201" s="272"/>
      <c r="AR201" s="273" t="str">
        <f>FOOT5</f>
        <v/>
      </c>
      <c r="AU201" s="809"/>
      <c r="AV201" s="874"/>
    </row>
    <row r="202" spans="2:48" ht="15.95" customHeight="1">
      <c r="B202" s="281" t="s">
        <v>1551</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v3.7.0</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pQDVki6k5cOtjy+1AbyUdML6JnBDKKQEVXehnpsn2FE5XZVQFiLW1FY0KJmMjOhyBJsOM6TncfcXpOYfHOGUmA==" saltValue="0e2+JAKtTYI1NrbitisUVw==" spinCount="100000" sheet="1" objects="1" scenarios="1" selectLockedCells="1"/>
  <mergeCells count="1149">
    <mergeCell ref="BG14:BG15"/>
    <mergeCell ref="BG16:BG17"/>
    <mergeCell ref="BG18:BG19"/>
    <mergeCell ref="BG20:BG21"/>
    <mergeCell ref="BG22:BG23"/>
    <mergeCell ref="BG24:BG25"/>
    <mergeCell ref="BG26:BG27"/>
    <mergeCell ref="BG28:BG29"/>
    <mergeCell ref="BG30:BG31"/>
    <mergeCell ref="BG32:BG33"/>
    <mergeCell ref="BG34:BG35"/>
    <mergeCell ref="BG36:BG37"/>
    <mergeCell ref="BG38:BG39"/>
    <mergeCell ref="BG40:BG41"/>
    <mergeCell ref="BG42:BG43"/>
    <mergeCell ref="BG44:BG45"/>
    <mergeCell ref="AY110:AY111"/>
    <mergeCell ref="BB14:BB15"/>
    <mergeCell ref="BB16:BB17"/>
    <mergeCell ref="BB18:BB19"/>
    <mergeCell ref="BB20:BB21"/>
    <mergeCell ref="BB22:BB23"/>
    <mergeCell ref="BB24:BB25"/>
    <mergeCell ref="BB26:BB27"/>
    <mergeCell ref="BB28:BB29"/>
    <mergeCell ref="BB30:BB31"/>
    <mergeCell ref="BB32:BB33"/>
    <mergeCell ref="BB34:BB35"/>
    <mergeCell ref="BB36:BB37"/>
    <mergeCell ref="BB38:BB39"/>
    <mergeCell ref="BB40:BB41"/>
    <mergeCell ref="BB42:BB43"/>
    <mergeCell ref="BB44:BB45"/>
    <mergeCell ref="AF11:AI11"/>
    <mergeCell ref="AF12:AI13"/>
    <mergeCell ref="AV30:AV31"/>
    <mergeCell ref="AU32:AU33"/>
    <mergeCell ref="AV32:AV33"/>
    <mergeCell ref="AU34:AU35"/>
    <mergeCell ref="AX14:AX15"/>
    <mergeCell ref="AW16:AW17"/>
    <mergeCell ref="AX16:AX17"/>
    <mergeCell ref="AW18:AW19"/>
    <mergeCell ref="AW20:AW21"/>
    <mergeCell ref="AW22:AW23"/>
    <mergeCell ref="AX18:AX19"/>
    <mergeCell ref="AX20:AX21"/>
    <mergeCell ref="AX22:AX23"/>
    <mergeCell ref="AW36:AW37"/>
    <mergeCell ref="AG36:AH37"/>
    <mergeCell ref="AI36:AJ37"/>
    <mergeCell ref="AG40:AH41"/>
    <mergeCell ref="AI40:AJ41"/>
    <mergeCell ref="AG38:AH39"/>
    <mergeCell ref="AI38:AJ39"/>
    <mergeCell ref="AZ38:AZ39"/>
    <mergeCell ref="AZ40:AZ41"/>
    <mergeCell ref="AZ42:AZ43"/>
    <mergeCell ref="AZ44:AZ45"/>
    <mergeCell ref="AV34:AV35"/>
    <mergeCell ref="AV36:AV37"/>
    <mergeCell ref="AV38:AV39"/>
    <mergeCell ref="AV40:AV41"/>
    <mergeCell ref="AV42:AV43"/>
    <mergeCell ref="BE44:BE45"/>
    <mergeCell ref="BE14:BE15"/>
    <mergeCell ref="BE16:BE17"/>
    <mergeCell ref="BE18:BE19"/>
    <mergeCell ref="BE20:BE21"/>
    <mergeCell ref="BE22:BE23"/>
    <mergeCell ref="BE24:BE25"/>
    <mergeCell ref="BE26:BE27"/>
    <mergeCell ref="BE28:BE29"/>
    <mergeCell ref="BE30:BE31"/>
    <mergeCell ref="BE32:BE33"/>
    <mergeCell ref="BE34:BE35"/>
    <mergeCell ref="BE36:BE37"/>
    <mergeCell ref="BE38:BE39"/>
    <mergeCell ref="BE40:BE41"/>
    <mergeCell ref="BE42:BE43"/>
    <mergeCell ref="AU14:AU15"/>
    <mergeCell ref="AV14:AV15"/>
    <mergeCell ref="AU16:AU17"/>
    <mergeCell ref="AV16:AV17"/>
    <mergeCell ref="AU18:AU19"/>
    <mergeCell ref="AV18:AV19"/>
    <mergeCell ref="AU20:AU21"/>
    <mergeCell ref="AV20:AV21"/>
    <mergeCell ref="AU22:AU23"/>
    <mergeCell ref="AV22:AV23"/>
    <mergeCell ref="AV44:AV45"/>
    <mergeCell ref="AU26:AU27"/>
    <mergeCell ref="AV26:AV27"/>
    <mergeCell ref="AU28:AU29"/>
    <mergeCell ref="AV28:AV29"/>
    <mergeCell ref="AU30:AU31"/>
    <mergeCell ref="AZ114:AZ115"/>
    <mergeCell ref="BA114:BA115"/>
    <mergeCell ref="BB114:BB115"/>
    <mergeCell ref="AY114:AY115"/>
    <mergeCell ref="BC108:BC109"/>
    <mergeCell ref="BC110:BC111"/>
    <mergeCell ref="BC112:BC113"/>
    <mergeCell ref="BC114:BC115"/>
    <mergeCell ref="AU112:AU113"/>
    <mergeCell ref="AV112:AV113"/>
    <mergeCell ref="AW112:AW113"/>
    <mergeCell ref="AX112:AX113"/>
    <mergeCell ref="AU114:AU115"/>
    <mergeCell ref="AV114:AV115"/>
    <mergeCell ref="AW114:AW115"/>
    <mergeCell ref="AX114:AX115"/>
    <mergeCell ref="BC76:BC77"/>
    <mergeCell ref="BC78:BC79"/>
    <mergeCell ref="BC80:BC81"/>
    <mergeCell ref="BC82:BC83"/>
    <mergeCell ref="BC84:BC85"/>
    <mergeCell ref="BC86:BC87"/>
    <mergeCell ref="BC88:BC89"/>
    <mergeCell ref="BC90:BC91"/>
    <mergeCell ref="BC92:BC93"/>
    <mergeCell ref="BC94:BC95"/>
    <mergeCell ref="BC96:BC97"/>
    <mergeCell ref="BC98:BC99"/>
    <mergeCell ref="BC100:BC101"/>
    <mergeCell ref="BC102:BC103"/>
    <mergeCell ref="BC104:BC105"/>
    <mergeCell ref="BC106:BC107"/>
    <mergeCell ref="AU106:AU107"/>
    <mergeCell ref="AV106:AV107"/>
    <mergeCell ref="AW106:AW107"/>
    <mergeCell ref="AX106:AX107"/>
    <mergeCell ref="AU108:AU109"/>
    <mergeCell ref="AV108:AV109"/>
    <mergeCell ref="AW108:AW109"/>
    <mergeCell ref="AX108:AX109"/>
    <mergeCell ref="AU110:AU111"/>
    <mergeCell ref="AV110:AV111"/>
    <mergeCell ref="AW110:AW111"/>
    <mergeCell ref="AX110:AX111"/>
    <mergeCell ref="AU100:AU101"/>
    <mergeCell ref="AV100:AV101"/>
    <mergeCell ref="AW100:AW101"/>
    <mergeCell ref="AX100:AX101"/>
    <mergeCell ref="AU102:AU103"/>
    <mergeCell ref="AV102:AV103"/>
    <mergeCell ref="AW102:AW103"/>
    <mergeCell ref="AX102:AX103"/>
    <mergeCell ref="AU104:AU105"/>
    <mergeCell ref="AV104:AV105"/>
    <mergeCell ref="AW104:AW105"/>
    <mergeCell ref="AX104:AX105"/>
    <mergeCell ref="AU94:AU95"/>
    <mergeCell ref="AV94:AV95"/>
    <mergeCell ref="AW94:AW95"/>
    <mergeCell ref="AX94:AX95"/>
    <mergeCell ref="AU96:AU97"/>
    <mergeCell ref="AV96:AV97"/>
    <mergeCell ref="AW96:AW97"/>
    <mergeCell ref="AX96:AX97"/>
    <mergeCell ref="AU98:AU99"/>
    <mergeCell ref="AV98:AV99"/>
    <mergeCell ref="AW98:AW99"/>
    <mergeCell ref="AX98:AX99"/>
    <mergeCell ref="AU88:AU89"/>
    <mergeCell ref="AV88:AV89"/>
    <mergeCell ref="AW88:AW89"/>
    <mergeCell ref="AX88:AX89"/>
    <mergeCell ref="AU90:AU91"/>
    <mergeCell ref="AV90:AV91"/>
    <mergeCell ref="AW90:AW91"/>
    <mergeCell ref="AX90:AX91"/>
    <mergeCell ref="AU92:AU93"/>
    <mergeCell ref="AV92:AV93"/>
    <mergeCell ref="AW92:AW93"/>
    <mergeCell ref="AX92:AX93"/>
    <mergeCell ref="AU82:AU83"/>
    <mergeCell ref="AV82:AV83"/>
    <mergeCell ref="AW82:AW83"/>
    <mergeCell ref="AX82:AX83"/>
    <mergeCell ref="AU84:AU85"/>
    <mergeCell ref="AV84:AV85"/>
    <mergeCell ref="AW84:AW85"/>
    <mergeCell ref="AX84:AX85"/>
    <mergeCell ref="AU86:AU87"/>
    <mergeCell ref="AV86:AV87"/>
    <mergeCell ref="AW86:AW87"/>
    <mergeCell ref="AX86:AX87"/>
    <mergeCell ref="AU76:AU77"/>
    <mergeCell ref="AV76:AV77"/>
    <mergeCell ref="AW76:AW77"/>
    <mergeCell ref="AX76:AX77"/>
    <mergeCell ref="AU78:AU79"/>
    <mergeCell ref="AV78:AV79"/>
    <mergeCell ref="AW78:AW79"/>
    <mergeCell ref="AX78:AX79"/>
    <mergeCell ref="AU80:AU81"/>
    <mergeCell ref="AV80:AV81"/>
    <mergeCell ref="AW80:AW81"/>
    <mergeCell ref="AX80:AX81"/>
    <mergeCell ref="AK112:AM113"/>
    <mergeCell ref="AK114:AM115"/>
    <mergeCell ref="AN76:AQ77"/>
    <mergeCell ref="AN78:AQ79"/>
    <mergeCell ref="AN80:AQ81"/>
    <mergeCell ref="AN82:AQ83"/>
    <mergeCell ref="AN84:AQ85"/>
    <mergeCell ref="AN86:AQ87"/>
    <mergeCell ref="AN88:AQ89"/>
    <mergeCell ref="AN90:AQ91"/>
    <mergeCell ref="AN92:AQ93"/>
    <mergeCell ref="AN94:AQ95"/>
    <mergeCell ref="AN96:AQ97"/>
    <mergeCell ref="AN98:AQ99"/>
    <mergeCell ref="AN100:AQ101"/>
    <mergeCell ref="AN102:AQ103"/>
    <mergeCell ref="AN104:AQ105"/>
    <mergeCell ref="AN106:AQ107"/>
    <mergeCell ref="AN108:AQ109"/>
    <mergeCell ref="AN110:AQ111"/>
    <mergeCell ref="AN112:AQ113"/>
    <mergeCell ref="AN114:AQ115"/>
    <mergeCell ref="AK94:AM95"/>
    <mergeCell ref="AK96:AM97"/>
    <mergeCell ref="AK98:AM99"/>
    <mergeCell ref="AK100:AM101"/>
    <mergeCell ref="AK102:AM103"/>
    <mergeCell ref="AK104:AM105"/>
    <mergeCell ref="AK106:AM107"/>
    <mergeCell ref="AK108:AM109"/>
    <mergeCell ref="AK110:AM111"/>
    <mergeCell ref="AK76:AM77"/>
    <mergeCell ref="AK78:AM79"/>
    <mergeCell ref="AK80:AM81"/>
    <mergeCell ref="AK82:AM83"/>
    <mergeCell ref="AK84:AM85"/>
    <mergeCell ref="AK86:AM87"/>
    <mergeCell ref="AK88:AM89"/>
    <mergeCell ref="AK90:AM91"/>
    <mergeCell ref="AK92:AM93"/>
    <mergeCell ref="AE110:AF111"/>
    <mergeCell ref="AG110:AH111"/>
    <mergeCell ref="AI110:AJ111"/>
    <mergeCell ref="AE112:AF113"/>
    <mergeCell ref="AG112:AH113"/>
    <mergeCell ref="AI112:AJ113"/>
    <mergeCell ref="AE114:AF115"/>
    <mergeCell ref="AG114:AH115"/>
    <mergeCell ref="AI114:AJ115"/>
    <mergeCell ref="AE104:AF105"/>
    <mergeCell ref="AG104:AH105"/>
    <mergeCell ref="AI104:AJ105"/>
    <mergeCell ref="AE106:AF107"/>
    <mergeCell ref="AG106:AH107"/>
    <mergeCell ref="AI106:AJ107"/>
    <mergeCell ref="AE108:AF109"/>
    <mergeCell ref="AG108:AH109"/>
    <mergeCell ref="AI108:AJ109"/>
    <mergeCell ref="AE98:AF99"/>
    <mergeCell ref="AG98:AH99"/>
    <mergeCell ref="AI98:AJ99"/>
    <mergeCell ref="AE100:AF101"/>
    <mergeCell ref="AG100:AH101"/>
    <mergeCell ref="AI100:AJ101"/>
    <mergeCell ref="AB112:AD113"/>
    <mergeCell ref="AB114:AD115"/>
    <mergeCell ref="AE76:AF77"/>
    <mergeCell ref="AG76:AH77"/>
    <mergeCell ref="AI76:AJ77"/>
    <mergeCell ref="AE78:AF79"/>
    <mergeCell ref="AG78:AH79"/>
    <mergeCell ref="AI78:AJ79"/>
    <mergeCell ref="AE80:AF81"/>
    <mergeCell ref="AG80:AH81"/>
    <mergeCell ref="AI80:AJ81"/>
    <mergeCell ref="AE82:AF83"/>
    <mergeCell ref="AG82:AH83"/>
    <mergeCell ref="AI82:AJ83"/>
    <mergeCell ref="AE84:AF85"/>
    <mergeCell ref="AG84:AH85"/>
    <mergeCell ref="AI84:AJ85"/>
    <mergeCell ref="AE86:AF87"/>
    <mergeCell ref="AG86:AH87"/>
    <mergeCell ref="AI86:AJ87"/>
    <mergeCell ref="AE88:AF89"/>
    <mergeCell ref="AG88:AH89"/>
    <mergeCell ref="AI88:AJ89"/>
    <mergeCell ref="AE90:AF91"/>
    <mergeCell ref="AB94:AD95"/>
    <mergeCell ref="AB96:AD97"/>
    <mergeCell ref="AB100:AD101"/>
    <mergeCell ref="AB104:AD105"/>
    <mergeCell ref="AB106:AD107"/>
    <mergeCell ref="AB108:AD109"/>
    <mergeCell ref="AB110:AD111"/>
    <mergeCell ref="AB76:AD77"/>
    <mergeCell ref="AB78:AD79"/>
    <mergeCell ref="AB80:AD81"/>
    <mergeCell ref="AB82:AD83"/>
    <mergeCell ref="AB84:AD85"/>
    <mergeCell ref="AB86:AD87"/>
    <mergeCell ref="AB88:AD89"/>
    <mergeCell ref="AB90:AD91"/>
    <mergeCell ref="AB92:AD93"/>
    <mergeCell ref="AE102:AF103"/>
    <mergeCell ref="AE94:AF95"/>
    <mergeCell ref="AG102:AH103"/>
    <mergeCell ref="AG94:AH95"/>
    <mergeCell ref="AI102:AJ103"/>
    <mergeCell ref="AG90:AH91"/>
    <mergeCell ref="AI90:AJ91"/>
    <mergeCell ref="AE92:AF93"/>
    <mergeCell ref="AG92:AH93"/>
    <mergeCell ref="AI92:AJ93"/>
    <mergeCell ref="AB98:AD99"/>
    <mergeCell ref="AB102:AD103"/>
    <mergeCell ref="AI94:AJ95"/>
    <mergeCell ref="AE96:AF97"/>
    <mergeCell ref="AG96:AH97"/>
    <mergeCell ref="AI96:AJ97"/>
    <mergeCell ref="U108:X109"/>
    <mergeCell ref="U110:X111"/>
    <mergeCell ref="U112:X113"/>
    <mergeCell ref="U114:X115"/>
    <mergeCell ref="Y76:AA77"/>
    <mergeCell ref="Y78:AA79"/>
    <mergeCell ref="Y80:AA81"/>
    <mergeCell ref="Y82:AA83"/>
    <mergeCell ref="Y84:AA85"/>
    <mergeCell ref="Y86:AA87"/>
    <mergeCell ref="Y88:AA89"/>
    <mergeCell ref="Y90:AA91"/>
    <mergeCell ref="Y92:AA93"/>
    <mergeCell ref="Y94:AA95"/>
    <mergeCell ref="Y96:AA97"/>
    <mergeCell ref="Y98:AA99"/>
    <mergeCell ref="Y100:AA101"/>
    <mergeCell ref="Y102:AA103"/>
    <mergeCell ref="Y104:AA105"/>
    <mergeCell ref="Y106:AA107"/>
    <mergeCell ref="Y108:AA109"/>
    <mergeCell ref="Y110:AA111"/>
    <mergeCell ref="Y112:AA113"/>
    <mergeCell ref="Y114:AA115"/>
    <mergeCell ref="Q108:R109"/>
    <mergeCell ref="S108:T109"/>
    <mergeCell ref="Q110:R111"/>
    <mergeCell ref="S110:T111"/>
    <mergeCell ref="Q112:R113"/>
    <mergeCell ref="S112:T113"/>
    <mergeCell ref="Q114:R115"/>
    <mergeCell ref="S114:T115"/>
    <mergeCell ref="U76:X77"/>
    <mergeCell ref="U78:X79"/>
    <mergeCell ref="U80:X81"/>
    <mergeCell ref="U82:X83"/>
    <mergeCell ref="U84:X85"/>
    <mergeCell ref="U86:X87"/>
    <mergeCell ref="U88:X89"/>
    <mergeCell ref="U90:X91"/>
    <mergeCell ref="U92:X93"/>
    <mergeCell ref="U94:X95"/>
    <mergeCell ref="U96:X97"/>
    <mergeCell ref="U98:X99"/>
    <mergeCell ref="U100:X101"/>
    <mergeCell ref="U102:X103"/>
    <mergeCell ref="U104:X105"/>
    <mergeCell ref="U106:X107"/>
    <mergeCell ref="Q98:R99"/>
    <mergeCell ref="S98:T99"/>
    <mergeCell ref="Q100:R101"/>
    <mergeCell ref="S100:T101"/>
    <mergeCell ref="Q102:R103"/>
    <mergeCell ref="S102:T103"/>
    <mergeCell ref="Q104:R105"/>
    <mergeCell ref="S104:T105"/>
    <mergeCell ref="Q106:R107"/>
    <mergeCell ref="S106:T107"/>
    <mergeCell ref="K112:P113"/>
    <mergeCell ref="K114:P115"/>
    <mergeCell ref="Q76:R77"/>
    <mergeCell ref="S76:T77"/>
    <mergeCell ref="Q78:R79"/>
    <mergeCell ref="S78:T79"/>
    <mergeCell ref="Q80:R81"/>
    <mergeCell ref="S80:T81"/>
    <mergeCell ref="Q82:R83"/>
    <mergeCell ref="S82:T83"/>
    <mergeCell ref="Q84:R85"/>
    <mergeCell ref="S84:T85"/>
    <mergeCell ref="Q86:R87"/>
    <mergeCell ref="S86:T87"/>
    <mergeCell ref="Q88:R89"/>
    <mergeCell ref="S88:T89"/>
    <mergeCell ref="Q90:R91"/>
    <mergeCell ref="S90:T91"/>
    <mergeCell ref="Q92:R93"/>
    <mergeCell ref="S92:T93"/>
    <mergeCell ref="Q94:R95"/>
    <mergeCell ref="S94:T95"/>
    <mergeCell ref="Q96:R97"/>
    <mergeCell ref="S96:T97"/>
    <mergeCell ref="K94:P95"/>
    <mergeCell ref="K96:P97"/>
    <mergeCell ref="K98:P99"/>
    <mergeCell ref="K100:P101"/>
    <mergeCell ref="K102:P103"/>
    <mergeCell ref="K104:P105"/>
    <mergeCell ref="K106:P107"/>
    <mergeCell ref="K108:P109"/>
    <mergeCell ref="K110:P111"/>
    <mergeCell ref="K76:P77"/>
    <mergeCell ref="K78:P79"/>
    <mergeCell ref="K80:P81"/>
    <mergeCell ref="K82:P83"/>
    <mergeCell ref="K84:P85"/>
    <mergeCell ref="K86:P87"/>
    <mergeCell ref="K88:P89"/>
    <mergeCell ref="K90:P91"/>
    <mergeCell ref="K92:P93"/>
    <mergeCell ref="C112:H113"/>
    <mergeCell ref="C114:H115"/>
    <mergeCell ref="I76:J77"/>
    <mergeCell ref="I78:J79"/>
    <mergeCell ref="I80:J81"/>
    <mergeCell ref="I82:J83"/>
    <mergeCell ref="I84:J85"/>
    <mergeCell ref="I86:J87"/>
    <mergeCell ref="I88:J89"/>
    <mergeCell ref="I90:J91"/>
    <mergeCell ref="I92:J93"/>
    <mergeCell ref="I94:J95"/>
    <mergeCell ref="I96:J97"/>
    <mergeCell ref="I98:J99"/>
    <mergeCell ref="I100:J101"/>
    <mergeCell ref="I102:J103"/>
    <mergeCell ref="I104:J105"/>
    <mergeCell ref="I106:J107"/>
    <mergeCell ref="I108:J109"/>
    <mergeCell ref="I110:J111"/>
    <mergeCell ref="I112:J113"/>
    <mergeCell ref="I114:J115"/>
    <mergeCell ref="C94:H95"/>
    <mergeCell ref="C96:H97"/>
    <mergeCell ref="C98:H99"/>
    <mergeCell ref="C100:H101"/>
    <mergeCell ref="C102:H103"/>
    <mergeCell ref="C104:H105"/>
    <mergeCell ref="C106:H107"/>
    <mergeCell ref="C108:H109"/>
    <mergeCell ref="C110:H111"/>
    <mergeCell ref="C76:H77"/>
    <mergeCell ref="C78:H79"/>
    <mergeCell ref="C80:H81"/>
    <mergeCell ref="C82:H83"/>
    <mergeCell ref="C84:H85"/>
    <mergeCell ref="C86:H87"/>
    <mergeCell ref="C88:H89"/>
    <mergeCell ref="C90:H91"/>
    <mergeCell ref="C92:H93"/>
    <mergeCell ref="AW70:AW71"/>
    <mergeCell ref="AW72:AW73"/>
    <mergeCell ref="AU62:AU63"/>
    <mergeCell ref="AU64:AU65"/>
    <mergeCell ref="AU66:AU67"/>
    <mergeCell ref="AU68:AU69"/>
    <mergeCell ref="AU70:AU71"/>
    <mergeCell ref="AU72:AU73"/>
    <mergeCell ref="AU74:AU75"/>
    <mergeCell ref="AV62:AV63"/>
    <mergeCell ref="AV64:AV65"/>
    <mergeCell ref="AV66:AV67"/>
    <mergeCell ref="AV68:AV69"/>
    <mergeCell ref="AV70:AV71"/>
    <mergeCell ref="AV58:AV59"/>
    <mergeCell ref="AV60:AV61"/>
    <mergeCell ref="AU46:AU47"/>
    <mergeCell ref="AQ1:AR1"/>
    <mergeCell ref="AQ2:AR3"/>
    <mergeCell ref="R9:AC10"/>
    <mergeCell ref="R12:U13"/>
    <mergeCell ref="V12:Y13"/>
    <mergeCell ref="Z12:AC13"/>
    <mergeCell ref="AH1:AK1"/>
    <mergeCell ref="AL1:AP1"/>
    <mergeCell ref="AH2:AK3"/>
    <mergeCell ref="AL2:AP3"/>
    <mergeCell ref="AU44:AU45"/>
    <mergeCell ref="AE40:AF41"/>
    <mergeCell ref="Y36:AA37"/>
    <mergeCell ref="AB36:AD37"/>
    <mergeCell ref="AE36:AF37"/>
    <mergeCell ref="AB28:AD29"/>
    <mergeCell ref="AE28:AF29"/>
    <mergeCell ref="AG32:AH33"/>
    <mergeCell ref="AI32:AJ33"/>
    <mergeCell ref="AI22:AJ23"/>
    <mergeCell ref="AG20:AH21"/>
    <mergeCell ref="AI20:AJ21"/>
    <mergeCell ref="AG16:AH17"/>
    <mergeCell ref="AI16:AJ17"/>
    <mergeCell ref="AU38:AU39"/>
    <mergeCell ref="AU40:AU41"/>
    <mergeCell ref="AU42:AU43"/>
    <mergeCell ref="AU24:AU25"/>
    <mergeCell ref="AX68:AX69"/>
    <mergeCell ref="AW56:AW57"/>
    <mergeCell ref="AW68:AW69"/>
    <mergeCell ref="AW30:AW31"/>
    <mergeCell ref="AX70:AX71"/>
    <mergeCell ref="AX72:AX73"/>
    <mergeCell ref="AX74:AX75"/>
    <mergeCell ref="AU48:AU49"/>
    <mergeCell ref="AU50:AU51"/>
    <mergeCell ref="AU52:AU53"/>
    <mergeCell ref="AU54:AU55"/>
    <mergeCell ref="AU56:AU57"/>
    <mergeCell ref="AU58:AU59"/>
    <mergeCell ref="AU60:AU61"/>
    <mergeCell ref="AG56:AH57"/>
    <mergeCell ref="AI56:AJ57"/>
    <mergeCell ref="AG58:AH59"/>
    <mergeCell ref="AI58:AJ59"/>
    <mergeCell ref="AG52:AH53"/>
    <mergeCell ref="AI52:AJ53"/>
    <mergeCell ref="AG54:AH55"/>
    <mergeCell ref="AI54:AJ55"/>
    <mergeCell ref="AG60:AH61"/>
    <mergeCell ref="AI60:AJ61"/>
    <mergeCell ref="AN56:AQ57"/>
    <mergeCell ref="AN58:AQ59"/>
    <mergeCell ref="AN60:AQ61"/>
    <mergeCell ref="AK56:AM57"/>
    <mergeCell ref="AK58:AM59"/>
    <mergeCell ref="AK60:AM61"/>
    <mergeCell ref="AI48:AJ49"/>
    <mergeCell ref="AW74:AW75"/>
    <mergeCell ref="C66:H67"/>
    <mergeCell ref="I66:J67"/>
    <mergeCell ref="K66:P67"/>
    <mergeCell ref="C64:H65"/>
    <mergeCell ref="I64:J65"/>
    <mergeCell ref="K64:P65"/>
    <mergeCell ref="C62:H63"/>
    <mergeCell ref="AV56:AV57"/>
    <mergeCell ref="AV72:AV73"/>
    <mergeCell ref="AV74:AV75"/>
    <mergeCell ref="AX24:AX25"/>
    <mergeCell ref="AX26:AX27"/>
    <mergeCell ref="AX28:AX29"/>
    <mergeCell ref="AX30:AX31"/>
    <mergeCell ref="AX32:AX33"/>
    <mergeCell ref="AX34:AX35"/>
    <mergeCell ref="AX36:AX37"/>
    <mergeCell ref="AX38:AX39"/>
    <mergeCell ref="AX40:AX41"/>
    <mergeCell ref="AX42:AX43"/>
    <mergeCell ref="AX44:AX45"/>
    <mergeCell ref="AX46:AX47"/>
    <mergeCell ref="AX48:AX49"/>
    <mergeCell ref="AX50:AX51"/>
    <mergeCell ref="AX52:AX53"/>
    <mergeCell ref="AX54:AX55"/>
    <mergeCell ref="AX56:AX57"/>
    <mergeCell ref="AX58:AX59"/>
    <mergeCell ref="AX60:AX61"/>
    <mergeCell ref="AX62:AX63"/>
    <mergeCell ref="AX64:AX65"/>
    <mergeCell ref="AX66:AX67"/>
    <mergeCell ref="AG68:AH69"/>
    <mergeCell ref="AI68:AJ69"/>
    <mergeCell ref="C70:H71"/>
    <mergeCell ref="I70:J71"/>
    <mergeCell ref="K70:P71"/>
    <mergeCell ref="Q70:R71"/>
    <mergeCell ref="S70:T71"/>
    <mergeCell ref="U70:X71"/>
    <mergeCell ref="Y70:AA71"/>
    <mergeCell ref="C68:H69"/>
    <mergeCell ref="I68:J69"/>
    <mergeCell ref="K68:P69"/>
    <mergeCell ref="Q68:R69"/>
    <mergeCell ref="S68:T69"/>
    <mergeCell ref="U68:X69"/>
    <mergeCell ref="Y68:AA69"/>
    <mergeCell ref="AB68:AD69"/>
    <mergeCell ref="AE68:AF69"/>
    <mergeCell ref="AU200:AU201"/>
    <mergeCell ref="AV200:AV201"/>
    <mergeCell ref="AW14:AW15"/>
    <mergeCell ref="AW52:AW53"/>
    <mergeCell ref="AW54:AW55"/>
    <mergeCell ref="AU36:AU37"/>
    <mergeCell ref="AG74:AH75"/>
    <mergeCell ref="AI74:AJ75"/>
    <mergeCell ref="C72:H73"/>
    <mergeCell ref="I72:J73"/>
    <mergeCell ref="K72:P73"/>
    <mergeCell ref="Q72:R73"/>
    <mergeCell ref="S72:T73"/>
    <mergeCell ref="U72:X73"/>
    <mergeCell ref="Y72:AA73"/>
    <mergeCell ref="C74:H75"/>
    <mergeCell ref="I74:J75"/>
    <mergeCell ref="K74:P75"/>
    <mergeCell ref="Q74:R75"/>
    <mergeCell ref="S74:T75"/>
    <mergeCell ref="U74:X75"/>
    <mergeCell ref="Y74:AA75"/>
    <mergeCell ref="AB74:AD75"/>
    <mergeCell ref="AE74:AF75"/>
    <mergeCell ref="AB72:AD73"/>
    <mergeCell ref="AE72:AF73"/>
    <mergeCell ref="AG72:AH73"/>
    <mergeCell ref="AI72:AJ73"/>
    <mergeCell ref="AB70:AD71"/>
    <mergeCell ref="AE70:AF71"/>
    <mergeCell ref="AG70:AH71"/>
    <mergeCell ref="AI70:AJ71"/>
    <mergeCell ref="Q66:R67"/>
    <mergeCell ref="S66:T67"/>
    <mergeCell ref="U66:X67"/>
    <mergeCell ref="Y66:AA67"/>
    <mergeCell ref="AB66:AD67"/>
    <mergeCell ref="AE66:AF67"/>
    <mergeCell ref="AG66:AH67"/>
    <mergeCell ref="AI66:AJ67"/>
    <mergeCell ref="Q64:R65"/>
    <mergeCell ref="S64:T65"/>
    <mergeCell ref="U64:X65"/>
    <mergeCell ref="Y64:AA65"/>
    <mergeCell ref="AB64:AD65"/>
    <mergeCell ref="AE64:AF65"/>
    <mergeCell ref="AG62:AH63"/>
    <mergeCell ref="AI62:AJ63"/>
    <mergeCell ref="AE42:AF43"/>
    <mergeCell ref="U44:X45"/>
    <mergeCell ref="Y44:AA45"/>
    <mergeCell ref="AB44:AD45"/>
    <mergeCell ref="AE44:AF45"/>
    <mergeCell ref="AG42:AH43"/>
    <mergeCell ref="AI42:AJ43"/>
    <mergeCell ref="AI50:AJ51"/>
    <mergeCell ref="AG48:AH49"/>
    <mergeCell ref="AG50:AH51"/>
    <mergeCell ref="AG64:AH65"/>
    <mergeCell ref="AI64:AJ65"/>
    <mergeCell ref="I62:J63"/>
    <mergeCell ref="K62:P63"/>
    <mergeCell ref="Q62:R63"/>
    <mergeCell ref="S62:T63"/>
    <mergeCell ref="U62:X63"/>
    <mergeCell ref="Y62:AA63"/>
    <mergeCell ref="AB62:AD63"/>
    <mergeCell ref="AE62:AF63"/>
    <mergeCell ref="C60:H61"/>
    <mergeCell ref="I60:J61"/>
    <mergeCell ref="K60:P61"/>
    <mergeCell ref="Q60:R61"/>
    <mergeCell ref="S60:T61"/>
    <mergeCell ref="U60:X61"/>
    <mergeCell ref="Y60:AA61"/>
    <mergeCell ref="AB60:AD61"/>
    <mergeCell ref="AE60:AF61"/>
    <mergeCell ref="C58:H59"/>
    <mergeCell ref="I58:J59"/>
    <mergeCell ref="K58:P59"/>
    <mergeCell ref="Q58:R59"/>
    <mergeCell ref="S58:T59"/>
    <mergeCell ref="U58:X59"/>
    <mergeCell ref="Y58:AA59"/>
    <mergeCell ref="AB58:AD59"/>
    <mergeCell ref="AE58:AF59"/>
    <mergeCell ref="C56:H57"/>
    <mergeCell ref="I56:J57"/>
    <mergeCell ref="K56:P57"/>
    <mergeCell ref="Q56:R57"/>
    <mergeCell ref="S56:T57"/>
    <mergeCell ref="U56:X57"/>
    <mergeCell ref="Y56:AA57"/>
    <mergeCell ref="AB56:AD57"/>
    <mergeCell ref="AE56:AF57"/>
    <mergeCell ref="C52:H53"/>
    <mergeCell ref="I52:J53"/>
    <mergeCell ref="K52:P53"/>
    <mergeCell ref="Q52:R53"/>
    <mergeCell ref="S52:T53"/>
    <mergeCell ref="U52:X53"/>
    <mergeCell ref="Y52:AA53"/>
    <mergeCell ref="AB52:AD53"/>
    <mergeCell ref="AE52:AF53"/>
    <mergeCell ref="S44:T45"/>
    <mergeCell ref="AE50:AF51"/>
    <mergeCell ref="C54:H55"/>
    <mergeCell ref="I54:J55"/>
    <mergeCell ref="K54:P55"/>
    <mergeCell ref="Q54:R55"/>
    <mergeCell ref="S54:T55"/>
    <mergeCell ref="U54:X55"/>
    <mergeCell ref="Y54:AA55"/>
    <mergeCell ref="AB54:AD55"/>
    <mergeCell ref="AE54:AF55"/>
    <mergeCell ref="I42:J43"/>
    <mergeCell ref="K42:P43"/>
    <mergeCell ref="Q42:R43"/>
    <mergeCell ref="S42:T43"/>
    <mergeCell ref="U42:X43"/>
    <mergeCell ref="Y42:AA43"/>
    <mergeCell ref="AB42:AD43"/>
    <mergeCell ref="Q40:R41"/>
    <mergeCell ref="S40:T41"/>
    <mergeCell ref="C50:H51"/>
    <mergeCell ref="I50:J51"/>
    <mergeCell ref="K50:P51"/>
    <mergeCell ref="Q50:R51"/>
    <mergeCell ref="S50:T51"/>
    <mergeCell ref="U50:X51"/>
    <mergeCell ref="Y50:AA51"/>
    <mergeCell ref="AB50:AD51"/>
    <mergeCell ref="U40:X41"/>
    <mergeCell ref="Y40:AA41"/>
    <mergeCell ref="AB40:AD41"/>
    <mergeCell ref="C48:H49"/>
    <mergeCell ref="I48:J49"/>
    <mergeCell ref="K48:P49"/>
    <mergeCell ref="Q48:R49"/>
    <mergeCell ref="S48:T49"/>
    <mergeCell ref="U48:X49"/>
    <mergeCell ref="Y48:AA49"/>
    <mergeCell ref="C38:H39"/>
    <mergeCell ref="I38:J39"/>
    <mergeCell ref="K38:P39"/>
    <mergeCell ref="Q38:R39"/>
    <mergeCell ref="S38:T39"/>
    <mergeCell ref="U38:X39"/>
    <mergeCell ref="Y38:AA39"/>
    <mergeCell ref="AB38:AD39"/>
    <mergeCell ref="AE38:AF39"/>
    <mergeCell ref="K40:P41"/>
    <mergeCell ref="AB48:AD49"/>
    <mergeCell ref="AE48:AF49"/>
    <mergeCell ref="AG44:AH45"/>
    <mergeCell ref="AI44:AJ45"/>
    <mergeCell ref="C46:H47"/>
    <mergeCell ref="I46:J47"/>
    <mergeCell ref="K46:P47"/>
    <mergeCell ref="Q46:R47"/>
    <mergeCell ref="S46:T47"/>
    <mergeCell ref="U46:X47"/>
    <mergeCell ref="Y46:AA47"/>
    <mergeCell ref="AB46:AD47"/>
    <mergeCell ref="AE46:AF47"/>
    <mergeCell ref="AG46:AH47"/>
    <mergeCell ref="AI46:AJ47"/>
    <mergeCell ref="C44:H45"/>
    <mergeCell ref="I44:J45"/>
    <mergeCell ref="K44:P45"/>
    <mergeCell ref="Q44:R45"/>
    <mergeCell ref="C40:H41"/>
    <mergeCell ref="I40:J41"/>
    <mergeCell ref="C42:H43"/>
    <mergeCell ref="C34:H35"/>
    <mergeCell ref="I34:J35"/>
    <mergeCell ref="K34:P35"/>
    <mergeCell ref="Q34:R35"/>
    <mergeCell ref="S34:T35"/>
    <mergeCell ref="U34:X35"/>
    <mergeCell ref="Y34:AA35"/>
    <mergeCell ref="AB34:AD35"/>
    <mergeCell ref="AE34:AF35"/>
    <mergeCell ref="AG34:AH35"/>
    <mergeCell ref="AI34:AJ35"/>
    <mergeCell ref="C32:H33"/>
    <mergeCell ref="I32:J33"/>
    <mergeCell ref="K32:P33"/>
    <mergeCell ref="Y32:AA33"/>
    <mergeCell ref="AB32:AD33"/>
    <mergeCell ref="AE32:AF33"/>
    <mergeCell ref="Q32:R33"/>
    <mergeCell ref="S32:T33"/>
    <mergeCell ref="U32:X33"/>
    <mergeCell ref="C36:H37"/>
    <mergeCell ref="I36:J37"/>
    <mergeCell ref="K36:P37"/>
    <mergeCell ref="Q36:R37"/>
    <mergeCell ref="S36:T37"/>
    <mergeCell ref="U36:X37"/>
    <mergeCell ref="AG24:AH25"/>
    <mergeCell ref="AI24:AJ25"/>
    <mergeCell ref="AG26:AH27"/>
    <mergeCell ref="AI26:AJ27"/>
    <mergeCell ref="AG28:AH29"/>
    <mergeCell ref="AI28:AJ29"/>
    <mergeCell ref="AG30:AH31"/>
    <mergeCell ref="AI30:AJ31"/>
    <mergeCell ref="C28:H29"/>
    <mergeCell ref="I28:J29"/>
    <mergeCell ref="K28:P29"/>
    <mergeCell ref="Q28:R29"/>
    <mergeCell ref="S28:T29"/>
    <mergeCell ref="U28:X29"/>
    <mergeCell ref="Y28:AA29"/>
    <mergeCell ref="C30:H31"/>
    <mergeCell ref="I30:J31"/>
    <mergeCell ref="K30:P31"/>
    <mergeCell ref="Q30:R31"/>
    <mergeCell ref="S30:T31"/>
    <mergeCell ref="U30:X31"/>
    <mergeCell ref="Y30:AA31"/>
    <mergeCell ref="AB30:AD31"/>
    <mergeCell ref="AE30:AF31"/>
    <mergeCell ref="C26:H27"/>
    <mergeCell ref="I26:J27"/>
    <mergeCell ref="K26:P27"/>
    <mergeCell ref="Q26:R27"/>
    <mergeCell ref="S26:T27"/>
    <mergeCell ref="U26:X27"/>
    <mergeCell ref="Y26:AA27"/>
    <mergeCell ref="AB26:AD27"/>
    <mergeCell ref="AE26:AF27"/>
    <mergeCell ref="C24:H25"/>
    <mergeCell ref="I24:J25"/>
    <mergeCell ref="K24:P25"/>
    <mergeCell ref="Q24:R25"/>
    <mergeCell ref="S24:T25"/>
    <mergeCell ref="U24:X25"/>
    <mergeCell ref="Y24:AA25"/>
    <mergeCell ref="AB24:AD25"/>
    <mergeCell ref="AE24:AF25"/>
    <mergeCell ref="AG22:AH23"/>
    <mergeCell ref="C20:H21"/>
    <mergeCell ref="I20:J21"/>
    <mergeCell ref="K20:P21"/>
    <mergeCell ref="Q20:R21"/>
    <mergeCell ref="S20:T21"/>
    <mergeCell ref="U20:X21"/>
    <mergeCell ref="Y20:AA21"/>
    <mergeCell ref="C22:H23"/>
    <mergeCell ref="I22:J23"/>
    <mergeCell ref="K22:P23"/>
    <mergeCell ref="Q22:R23"/>
    <mergeCell ref="S22:T23"/>
    <mergeCell ref="U22:X23"/>
    <mergeCell ref="Y22:AA23"/>
    <mergeCell ref="AB22:AD23"/>
    <mergeCell ref="AE22:AF23"/>
    <mergeCell ref="AB20:AD21"/>
    <mergeCell ref="AE20:AF21"/>
    <mergeCell ref="C18:H19"/>
    <mergeCell ref="I18:J19"/>
    <mergeCell ref="K18:P19"/>
    <mergeCell ref="Q18:R19"/>
    <mergeCell ref="S18:T19"/>
    <mergeCell ref="U18:X19"/>
    <mergeCell ref="Y18:AA19"/>
    <mergeCell ref="AB18:AD19"/>
    <mergeCell ref="AE18:AF19"/>
    <mergeCell ref="AG18:AH19"/>
    <mergeCell ref="AI18:AJ19"/>
    <mergeCell ref="C16:H17"/>
    <mergeCell ref="I16:J17"/>
    <mergeCell ref="K16:P17"/>
    <mergeCell ref="Q16:R17"/>
    <mergeCell ref="S16:T17"/>
    <mergeCell ref="AB16:AD17"/>
    <mergeCell ref="AE16:AF17"/>
    <mergeCell ref="U16:X17"/>
    <mergeCell ref="Y16:AA17"/>
    <mergeCell ref="I14:J15"/>
    <mergeCell ref="C14:H15"/>
    <mergeCell ref="AE14:AF15"/>
    <mergeCell ref="AG14:AH15"/>
    <mergeCell ref="AB14:AD15"/>
    <mergeCell ref="Y14:AA15"/>
    <mergeCell ref="U14:X15"/>
    <mergeCell ref="S14:T15"/>
    <mergeCell ref="Q14:R15"/>
    <mergeCell ref="K14:P15"/>
    <mergeCell ref="AI14:AJ15"/>
    <mergeCell ref="M200:AG201"/>
    <mergeCell ref="B16:B17"/>
    <mergeCell ref="R11:U11"/>
    <mergeCell ref="V11:Y11"/>
    <mergeCell ref="Z11:AC11"/>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B182:B183"/>
    <mergeCell ref="BC14:BC15"/>
    <mergeCell ref="BC16:BC17"/>
    <mergeCell ref="BC18:BC19"/>
    <mergeCell ref="BC20:BC21"/>
    <mergeCell ref="BC22:BC23"/>
    <mergeCell ref="BC24:BC25"/>
    <mergeCell ref="BC26:BC27"/>
    <mergeCell ref="BC28:BC29"/>
    <mergeCell ref="BC30:BC31"/>
    <mergeCell ref="BC56:BC57"/>
    <mergeCell ref="BC58:BC59"/>
    <mergeCell ref="BC60:BC61"/>
    <mergeCell ref="BC62:BC63"/>
    <mergeCell ref="BC64:BC65"/>
    <mergeCell ref="BC66:BC67"/>
    <mergeCell ref="BC32:BC33"/>
    <mergeCell ref="BC34:BC35"/>
    <mergeCell ref="BC36:BC37"/>
    <mergeCell ref="BC38:BC39"/>
    <mergeCell ref="BC40:BC41"/>
    <mergeCell ref="BC42:BC43"/>
    <mergeCell ref="BC44:BC45"/>
    <mergeCell ref="BC46:BC47"/>
    <mergeCell ref="BC48:BC49"/>
    <mergeCell ref="BC74:BC75"/>
    <mergeCell ref="AK16:AM17"/>
    <mergeCell ref="AK18:AM19"/>
    <mergeCell ref="AK20:AM21"/>
    <mergeCell ref="AK22:AM23"/>
    <mergeCell ref="AK24:AM25"/>
    <mergeCell ref="AK26:AM27"/>
    <mergeCell ref="AK28:AM29"/>
    <mergeCell ref="AK30:AM31"/>
    <mergeCell ref="AK32:AM33"/>
    <mergeCell ref="AK34:AM35"/>
    <mergeCell ref="AK36:AM37"/>
    <mergeCell ref="AK38:AM39"/>
    <mergeCell ref="AK40:AM41"/>
    <mergeCell ref="AK42:AM43"/>
    <mergeCell ref="AK44:AM45"/>
    <mergeCell ref="AK46:AM47"/>
    <mergeCell ref="AK48:AM49"/>
    <mergeCell ref="AK50:AM51"/>
    <mergeCell ref="AK52:AM53"/>
    <mergeCell ref="AK54:AM55"/>
    <mergeCell ref="BC50:BC51"/>
    <mergeCell ref="BC52:BC53"/>
    <mergeCell ref="BC54:BC55"/>
    <mergeCell ref="AK68:AM69"/>
    <mergeCell ref="AK70:AM71"/>
    <mergeCell ref="AK72:AM73"/>
    <mergeCell ref="BC68:BC69"/>
    <mergeCell ref="BC70:BC71"/>
    <mergeCell ref="BC72:BC73"/>
    <mergeCell ref="AN62:AQ63"/>
    <mergeCell ref="AN64:AQ65"/>
    <mergeCell ref="AN68:AQ69"/>
    <mergeCell ref="AN70:AQ71"/>
    <mergeCell ref="AN72:AQ73"/>
    <mergeCell ref="AK62:AM63"/>
    <mergeCell ref="AK64:AM65"/>
    <mergeCell ref="AK66:AM67"/>
    <mergeCell ref="AN74:AQ75"/>
    <mergeCell ref="AK14:AM15"/>
    <mergeCell ref="AN14:AQ15"/>
    <mergeCell ref="AK74:AM75"/>
    <mergeCell ref="AN16:AQ17"/>
    <mergeCell ref="AN18:AQ19"/>
    <mergeCell ref="AN20:AQ21"/>
    <mergeCell ref="AN22:AQ23"/>
    <mergeCell ref="AN24:AQ25"/>
    <mergeCell ref="AN26:AQ27"/>
    <mergeCell ref="AN28:AQ29"/>
    <mergeCell ref="AN30:AQ31"/>
    <mergeCell ref="AN32:AQ33"/>
    <mergeCell ref="AN34:AQ35"/>
    <mergeCell ref="AN36:AQ37"/>
    <mergeCell ref="AN38:AQ39"/>
    <mergeCell ref="AN40:AQ41"/>
    <mergeCell ref="AN42:AQ43"/>
    <mergeCell ref="AN44:AQ45"/>
    <mergeCell ref="AN46:AQ47"/>
    <mergeCell ref="AN48:AQ49"/>
    <mergeCell ref="AN50:AQ51"/>
    <mergeCell ref="AN52:AQ53"/>
    <mergeCell ref="AN54:AQ55"/>
    <mergeCell ref="AN66:AQ67"/>
    <mergeCell ref="AV24:AV25"/>
    <mergeCell ref="AW58:AW59"/>
    <mergeCell ref="AW60:AW61"/>
    <mergeCell ref="AW62:AW63"/>
    <mergeCell ref="AW64:AW65"/>
    <mergeCell ref="AW66:AW67"/>
    <mergeCell ref="AW38:AW39"/>
    <mergeCell ref="AW40:AW41"/>
    <mergeCell ref="AW42:AW43"/>
    <mergeCell ref="AW44:AW45"/>
    <mergeCell ref="AW46:AW47"/>
    <mergeCell ref="AW48:AW49"/>
    <mergeCell ref="AW50:AW51"/>
    <mergeCell ref="AW32:AW33"/>
    <mergeCell ref="AW34:AW35"/>
    <mergeCell ref="AW24:AW25"/>
    <mergeCell ref="AW26:AW27"/>
    <mergeCell ref="AW28:AW29"/>
    <mergeCell ref="AV46:AV47"/>
    <mergeCell ref="AV48:AV49"/>
    <mergeCell ref="AV50:AV51"/>
    <mergeCell ref="AV52:AV53"/>
    <mergeCell ref="AV54:AV55"/>
    <mergeCell ref="BA38:BA39"/>
    <mergeCell ref="BA40:BA41"/>
    <mergeCell ref="BA42:BA43"/>
    <mergeCell ref="BA44:BA45"/>
    <mergeCell ref="AY14:AY15"/>
    <mergeCell ref="AY16:AY17"/>
    <mergeCell ref="AY18:AY19"/>
    <mergeCell ref="AY20:AY21"/>
    <mergeCell ref="AY22:AY23"/>
    <mergeCell ref="AY24:AY25"/>
    <mergeCell ref="AY26:AY27"/>
    <mergeCell ref="AY28:AY29"/>
    <mergeCell ref="AY30:AY31"/>
    <mergeCell ref="AY32:AY33"/>
    <mergeCell ref="AY34:AY35"/>
    <mergeCell ref="AY36:AY37"/>
    <mergeCell ref="AY38:AY39"/>
    <mergeCell ref="AY40:AY41"/>
    <mergeCell ref="AY42:AY43"/>
    <mergeCell ref="AY44:AY45"/>
    <mergeCell ref="AZ14:AZ15"/>
    <mergeCell ref="AZ16:AZ17"/>
    <mergeCell ref="AZ18:AZ19"/>
    <mergeCell ref="AZ20:AZ21"/>
    <mergeCell ref="AZ22:AZ23"/>
    <mergeCell ref="AZ24:AZ25"/>
    <mergeCell ref="AZ26:AZ27"/>
    <mergeCell ref="AZ28:AZ29"/>
    <mergeCell ref="AZ30:AZ31"/>
    <mergeCell ref="AZ32:AZ33"/>
    <mergeCell ref="AZ34:AZ35"/>
    <mergeCell ref="AZ36:AZ37"/>
    <mergeCell ref="BF14:BF15"/>
    <mergeCell ref="BF16:BF17"/>
    <mergeCell ref="BF18:BF19"/>
    <mergeCell ref="BF20:BF21"/>
    <mergeCell ref="BF22:BF23"/>
    <mergeCell ref="BF24:BF25"/>
    <mergeCell ref="BF26:BF27"/>
    <mergeCell ref="BF28:BF29"/>
    <mergeCell ref="BF30:BF31"/>
    <mergeCell ref="BF32:BF33"/>
    <mergeCell ref="BF34:BF35"/>
    <mergeCell ref="BF36:BF37"/>
    <mergeCell ref="BF38:BF39"/>
    <mergeCell ref="BF40:BF41"/>
    <mergeCell ref="BF42:BF43"/>
    <mergeCell ref="BF44:BF45"/>
    <mergeCell ref="AY112:AY113"/>
    <mergeCell ref="AZ112:AZ113"/>
    <mergeCell ref="BA112:BA113"/>
    <mergeCell ref="BB112:BB113"/>
    <mergeCell ref="BA14:BA15"/>
    <mergeCell ref="BA16:BA17"/>
    <mergeCell ref="BA18:BA19"/>
    <mergeCell ref="BA20:BA21"/>
    <mergeCell ref="BA22:BA23"/>
    <mergeCell ref="BA24:BA25"/>
    <mergeCell ref="BA26:BA27"/>
    <mergeCell ref="BA28:BA29"/>
    <mergeCell ref="BA30:BA31"/>
    <mergeCell ref="BA32:BA33"/>
    <mergeCell ref="BA34:BA35"/>
    <mergeCell ref="BA36:BA37"/>
  </mergeCells>
  <conditionalFormatting sqref="I16:J115 Q16:R115">
    <cfRule type="expression" dxfId="224" priority="14">
      <formula>MOD(I16,1)&lt;&gt;0</formula>
    </cfRule>
  </conditionalFormatting>
  <conditionalFormatting sqref="I16:J115">
    <cfRule type="expression" dxfId="223" priority="69">
      <formula>$I16&lt;&gt;INDEX(PMELIGHTBASEAUTO,MATCH(C16,PMELIGHTBASE1,0))</formula>
    </cfRule>
  </conditionalFormatting>
  <conditionalFormatting sqref="I16:AH45">
    <cfRule type="expression" dxfId="222" priority="86">
      <formula>AND(ISBLANK($C16)=FALSE,OR(ISBLANK(I16)=TRUE,I16=""))</formula>
    </cfRule>
  </conditionalFormatting>
  <conditionalFormatting sqref="AH2 AL2">
    <cfRule type="expression" dxfId="221" priority="4">
      <formula>PROJSTATUS=PROJSTATELI</formula>
    </cfRule>
    <cfRule type="expression" dxfId="220" priority="7">
      <formula>PROJSTATUS=PROJSTATREVIEW</formula>
    </cfRule>
    <cfRule type="expression" dxfId="219" priority="11">
      <formula>PROJSTATUS=PROJSTATPREAPPROVE</formula>
    </cfRule>
    <cfRule type="expression" dxfId="218" priority="12">
      <formula>PROJSTATUS=PROJSTATSTANDARD</formula>
    </cfRule>
    <cfRule type="expression" dxfId="217" priority="13">
      <formula>PROJSTATUS=PROJSTATEXP</formula>
    </cfRule>
  </conditionalFormatting>
  <conditionalFormatting sqref="AN16 AN18 AN20 AN22 AN24 AN26 AN28 AN30 AN32 AN34 AN36 AN38 AN40 AN42 AN44 AN46 AN48 AN50 AN52 AN54 AN56 AN58 AN60 AN62 AN64 AN66 AN68 AN70 AN72 AN74 AN76 AN78 AN80 AN82 AN84 AN86 AN88 AN90 AN92 AN94 AN96 AN98 AN100 AN102 AN104 AN106 AN108 AN110 AN112 AN114">
    <cfRule type="expression" dxfId="216" priority="1">
      <formula>ISNUMBER(AN16)=FALSE</formula>
    </cfRule>
  </conditionalFormatting>
  <conditionalFormatting sqref="AQ2:AR3">
    <cfRule type="cellIs" dxfId="215" priority="8" operator="equal">
      <formula>1</formula>
    </cfRule>
    <cfRule type="cellIs" dxfId="214" priority="9" operator="between">
      <formula>0.51</formula>
      <formula>0.99</formula>
    </cfRule>
    <cfRule type="cellIs" dxfId="213" priority="10" operator="lessThanOrEqual">
      <formula>0.5</formula>
    </cfRule>
  </conditionalFormatting>
  <dataValidations xWindow="191" yWindow="734" count="9">
    <dataValidation type="list" allowBlank="1" showInputMessage="1" showErrorMessage="1" prompt="Select lighting. If you do not see your lamp/fixture listed, it may qualify as a Custom Measure._x000a__x000a_If you want to change this measure you must first delete the Efficient Lighting selction. Then it will allow you to select a new Inefficient Measure." sqref="C16:H109" xr:uid="{00000000-0002-0000-1400-000000000000}">
      <formula1>IF(ISBLANK(K16),PMELIGHTBASE1,"")</formula1>
    </dataValidation>
    <dataValidation type="list" allowBlank="1" showInputMessage="1" showErrorMessage="1" sqref="K16:P109" xr:uid="{00000000-0002-0000-1400-000001000000}">
      <formula1>PMELIGHTEFF1</formula1>
    </dataValidation>
    <dataValidation type="whole" allowBlank="1" showInputMessage="1" showErrorMessage="1" error="The maximum allowable hours value is 8,760.  The minimum allowable hours value is 1,000.  Measures with hours outside of this range are custom." prompt="Please enter the annual operating hours for the line item.  The allowable annual hours range is 1,000 - 8,760.  Measures outside this hours range are custom." sqref="AB16:AD113" xr:uid="{00000000-0002-0000-1400-000002000000}">
      <formula1>INDEX(PMELIGHTOPHR1,MATCH(K16,PMELIGHTEFFLIST,0))</formula1>
      <formula2>8760</formula2>
    </dataValidation>
    <dataValidation type="decimal" allowBlank="1" showInputMessage="1" showErrorMessage="1" error="Please enter a numerical value" prompt="Enter per unit labor cost as identified on the invoice._x000a__x000a_For in-house installaltions enter an estimated labor cost." sqref="AG16:AH113" xr:uid="{00000000-0002-0000-1400-000003000000}">
      <formula1>0</formula1>
      <formula2>999999</formula2>
    </dataValidation>
    <dataValidation type="whole" allowBlank="1" showInputMessage="1" showErrorMessage="1" error="Please enter a numerical value" prompt="Enter the total number of units." sqref="S16:T109" xr:uid="{00000000-0002-0000-1400-000004000000}">
      <formula1>0</formula1>
      <formula2>99999</formula2>
    </dataValidation>
    <dataValidation type="decimal" allowBlank="1" showInputMessage="1" showErrorMessage="1" error="Please enter a numerical value" prompt="Enter per unit material cost as identified on the invoice." sqref="AE16:AF113" xr:uid="{00000000-0002-0000-1400-000005000000}">
      <formula1>0</formula1>
      <formula2>999999</formula2>
    </dataValidation>
    <dataValidation type="decimal" showInputMessage="1" showErrorMessage="1" error="Please enter a numerical value within the designated range" prompt="Enter inefficient lamp/fixture wattage." sqref="I46:J113" xr:uid="{00000000-0002-0000-1400-000006000000}">
      <formula1>INDEX(PMELIGHTBASEW1,MATCH(C46,PMELIGHTBASE1,0))</formula1>
      <formula2>INDEX(PMELIGHTBASEW2,MATCH(C46,PMELIGHTBASE1,0))</formula2>
    </dataValidation>
    <dataValidation type="decimal" allowBlank="1" showInputMessage="1" showErrorMessage="1" sqref="Q16:R113" xr:uid="{00000000-0002-0000-1400-000007000000}">
      <formula1>0</formula1>
      <formula2>INDEX(PMELIGHTEFFW2,MATCH(K16,PMELIGHTEFFLIST,0))</formula2>
    </dataValidation>
    <dataValidation type="decimal" showInputMessage="1" showErrorMessage="1" error="Please enter a numerical value within the designated range.  If no range is shown, wattage entered may be too high for selected measure." prompt="Enter inefficient lamp/fixture wattage." sqref="I16:J45" xr:uid="{60D1876E-FCD1-4933-97BD-4C5D4CCEB406}">
      <formula1>INDEX(PMELIGHTBASEW1,MATCH(C16,PMELIGHTBASE1,0))</formula1>
      <formula2>INDEX(PMELIGHTBASEW2,MATCH(C16,PMELIGHTBASE1,0))</formula2>
    </dataValidation>
  </dataValidations>
  <hyperlinks>
    <hyperlink ref="B202" r:id="rId1" xr:uid="{6486688E-6038-4A95-9CD1-79366723FF06}"/>
  </hyperlinks>
  <pageMargins left="0.25" right="0.25" top="0.25" bottom="0.25" header="0.25" footer="0.25"/>
  <pageSetup scale="53" fitToHeight="0" orientation="landscape"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pageSetUpPr fitToPage="1"/>
  </sheetPr>
  <dimension ref="A1:BZ202"/>
  <sheetViews>
    <sheetView showGridLines="0" showRowColHeaders="0" zoomScale="85" zoomScaleNormal="85" workbookViewId="0">
      <selection activeCell="C16" sqref="C16:H17"/>
    </sheetView>
  </sheetViews>
  <sheetFormatPr defaultColWidth="0" defaultRowHeight="15"/>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7" ht="15.95" customHeight="1">
      <c r="AH1" s="681" t="s">
        <v>471</v>
      </c>
      <c r="AI1" s="681"/>
      <c r="AJ1" s="681"/>
      <c r="AK1" s="681"/>
      <c r="AL1" s="682" t="s">
        <v>736</v>
      </c>
      <c r="AM1" s="682"/>
      <c r="AN1" s="682"/>
      <c r="AO1" s="682"/>
      <c r="AP1" s="682"/>
      <c r="AQ1" s="678" t="s">
        <v>474</v>
      </c>
      <c r="AR1" s="678"/>
    </row>
    <row r="2" spans="2:57" ht="15.95" customHeight="1">
      <c r="AH2" s="683" t="str">
        <f ca="1">INCENSTATUS</f>
        <v>---</v>
      </c>
      <c r="AI2" s="684"/>
      <c r="AJ2" s="684"/>
      <c r="AK2" s="684"/>
      <c r="AL2" s="685" t="str">
        <f ca="1">PROJSTATUS</f>
        <v>Enter Measures</v>
      </c>
      <c r="AM2" s="685"/>
      <c r="AN2" s="685"/>
      <c r="AO2" s="685"/>
      <c r="AP2" s="685"/>
      <c r="AQ2" s="679">
        <f ca="1">PROGRESSSTATUS</f>
        <v>2.8985507246376812E-2</v>
      </c>
      <c r="AR2" s="680"/>
    </row>
    <row r="3" spans="2:57" ht="15.95" customHeight="1">
      <c r="AH3" s="675"/>
      <c r="AI3" s="676"/>
      <c r="AJ3" s="676"/>
      <c r="AK3" s="676"/>
      <c r="AL3" s="668"/>
      <c r="AM3" s="668"/>
      <c r="AN3" s="668"/>
      <c r="AO3" s="668"/>
      <c r="AP3" s="668"/>
      <c r="AQ3" s="662"/>
      <c r="AR3" s="663"/>
    </row>
    <row r="4" spans="2:57" ht="15.95" customHeight="1">
      <c r="AR4" s="171"/>
    </row>
    <row r="5" spans="2:57" ht="15.95" customHeight="1"/>
    <row r="6" spans="2:57" ht="15.95" customHeight="1">
      <c r="AU6" s="59" t="s">
        <v>907</v>
      </c>
      <c r="AV6" s="59">
        <f>PROJID</f>
        <v>0</v>
      </c>
    </row>
    <row r="7" spans="2:57" ht="15.95" customHeight="1">
      <c r="AU7" s="87"/>
      <c r="AV7" s="87" t="s">
        <v>866</v>
      </c>
      <c r="AW7" s="87" t="s">
        <v>231</v>
      </c>
      <c r="AX7" s="87" t="s">
        <v>892</v>
      </c>
    </row>
    <row r="8" spans="2:57" ht="15.95" customHeight="1">
      <c r="AU8" s="87" t="s">
        <v>219</v>
      </c>
      <c r="AV8" s="87" t="str">
        <f ca="1">CBPRESE</f>
        <v>NA</v>
      </c>
      <c r="AW8" s="87" t="str">
        <f ca="1">CBCUSE</f>
        <v>NA</v>
      </c>
      <c r="AX8" s="87" t="str">
        <f ca="1">CBALL</f>
        <v>NA</v>
      </c>
    </row>
    <row r="9" spans="2:57" ht="15.95" customHeight="1">
      <c r="B9" s="59"/>
      <c r="C9" s="59"/>
      <c r="D9" s="59"/>
      <c r="E9" s="59"/>
      <c r="F9" s="59"/>
      <c r="G9" s="59"/>
      <c r="H9" s="59"/>
      <c r="I9" s="59"/>
      <c r="J9" s="59"/>
      <c r="K9" s="59"/>
      <c r="L9" s="59"/>
      <c r="M9" s="59"/>
      <c r="N9" s="59"/>
      <c r="O9" s="59"/>
      <c r="P9" s="59"/>
      <c r="Q9" s="59"/>
      <c r="R9" s="730" t="str">
        <f>CONCATENATE(M3S2," ","Summary")</f>
        <v>Lighting Controls Summary</v>
      </c>
      <c r="S9" s="730"/>
      <c r="T9" s="730"/>
      <c r="U9" s="730"/>
      <c r="V9" s="730"/>
      <c r="W9" s="730"/>
      <c r="X9" s="730"/>
      <c r="Y9" s="730"/>
      <c r="Z9" s="730"/>
      <c r="AA9" s="730"/>
      <c r="AB9" s="730"/>
      <c r="AC9" s="730"/>
      <c r="AD9" s="59"/>
      <c r="AE9" s="59"/>
      <c r="AF9" s="59"/>
      <c r="AG9" s="59"/>
      <c r="AH9" s="59"/>
      <c r="AI9" s="59"/>
      <c r="AJ9" s="59"/>
      <c r="AK9" s="59"/>
      <c r="AL9" s="59"/>
      <c r="AM9" s="59"/>
      <c r="AN9" s="59"/>
      <c r="AO9" s="59"/>
      <c r="AP9" s="59"/>
      <c r="AQ9" s="59"/>
      <c r="AR9" s="59"/>
      <c r="AU9" s="87"/>
      <c r="AV9" s="87"/>
      <c r="AW9" s="87"/>
      <c r="AX9" s="87"/>
    </row>
    <row r="10" spans="2:57" ht="15.95" customHeight="1">
      <c r="B10" s="59"/>
      <c r="C10" s="59"/>
      <c r="D10" s="59"/>
      <c r="E10" s="59"/>
      <c r="F10" s="59"/>
      <c r="G10" s="59"/>
      <c r="H10" s="59"/>
      <c r="I10" s="59"/>
      <c r="J10" s="59"/>
      <c r="K10" s="59"/>
      <c r="L10" s="59"/>
      <c r="M10" s="59"/>
      <c r="N10" s="59"/>
      <c r="O10" s="59"/>
      <c r="P10" s="59"/>
      <c r="Q10" s="59"/>
      <c r="R10" s="730"/>
      <c r="S10" s="730"/>
      <c r="T10" s="730"/>
      <c r="U10" s="730"/>
      <c r="V10" s="730"/>
      <c r="W10" s="730"/>
      <c r="X10" s="730"/>
      <c r="Y10" s="730"/>
      <c r="Z10" s="730"/>
      <c r="AA10" s="730"/>
      <c r="AB10" s="730"/>
      <c r="AC10" s="730"/>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8" t="str">
        <f ca="1">PAYALL</f>
        <v>NA</v>
      </c>
    </row>
    <row r="11" spans="2:57" ht="15.95" customHeight="1">
      <c r="B11" s="59"/>
      <c r="C11" s="59"/>
      <c r="D11" s="59"/>
      <c r="E11" s="59"/>
      <c r="F11" s="59"/>
      <c r="G11" s="59"/>
      <c r="H11" s="492"/>
      <c r="I11" s="492"/>
      <c r="J11" s="492"/>
      <c r="K11" s="492"/>
      <c r="L11" s="492"/>
      <c r="M11" s="492"/>
      <c r="N11" s="492"/>
      <c r="O11" s="492"/>
      <c r="P11" s="59"/>
      <c r="Q11" s="59"/>
      <c r="R11" s="831" t="s">
        <v>68</v>
      </c>
      <c r="S11" s="831"/>
      <c r="T11" s="831"/>
      <c r="U11" s="831"/>
      <c r="V11" s="831" t="s">
        <v>69</v>
      </c>
      <c r="W11" s="831"/>
      <c r="X11" s="831"/>
      <c r="Y11" s="831"/>
      <c r="Z11" s="831" t="s">
        <v>70</v>
      </c>
      <c r="AA11" s="831"/>
      <c r="AB11" s="831"/>
      <c r="AC11" s="831"/>
      <c r="AD11" s="59"/>
      <c r="AE11" s="59"/>
      <c r="AF11" s="896" t="s">
        <v>2111</v>
      </c>
      <c r="AG11" s="896"/>
      <c r="AH11" s="896"/>
      <c r="AI11" s="896"/>
      <c r="AK11" s="59"/>
      <c r="AL11" s="59"/>
      <c r="AM11" s="59"/>
      <c r="AN11" s="59"/>
      <c r="AO11" s="59"/>
      <c r="AP11" s="59"/>
      <c r="AQ11" s="59"/>
      <c r="AR11" s="59"/>
    </row>
    <row r="12" spans="2:57" ht="15.95" customHeight="1">
      <c r="B12" s="59"/>
      <c r="C12" s="59"/>
      <c r="D12" s="59"/>
      <c r="E12" s="59"/>
      <c r="F12" s="59"/>
      <c r="G12" s="59"/>
      <c r="H12" s="492"/>
      <c r="I12" s="492"/>
      <c r="J12" s="492"/>
      <c r="K12" s="492"/>
      <c r="L12" s="492"/>
      <c r="M12" s="492"/>
      <c r="N12" s="492"/>
      <c r="O12" s="492"/>
      <c r="P12" s="59"/>
      <c r="Q12" s="59"/>
      <c r="R12" s="875">
        <f>SUM(AN16:AQ35)</f>
        <v>0</v>
      </c>
      <c r="S12" s="875"/>
      <c r="T12" s="875"/>
      <c r="U12" s="875"/>
      <c r="V12" s="875">
        <f ca="1">AU200</f>
        <v>0</v>
      </c>
      <c r="W12" s="875"/>
      <c r="X12" s="875"/>
      <c r="Y12" s="875"/>
      <c r="Z12" s="876">
        <f ca="1">SUMIF(AN16:AQ113,"&gt;0",AK16:AM113)</f>
        <v>0</v>
      </c>
      <c r="AA12" s="876"/>
      <c r="AB12" s="876"/>
      <c r="AC12" s="876"/>
      <c r="AD12" s="59"/>
      <c r="AE12" s="59"/>
      <c r="AF12" s="875">
        <f ca="1">IFERROR(IF(AN54="",0,AN54),0)</f>
        <v>0</v>
      </c>
      <c r="AG12" s="875"/>
      <c r="AH12" s="875"/>
      <c r="AI12" s="875"/>
      <c r="AK12" s="59"/>
      <c r="AL12" s="59"/>
      <c r="AM12" s="59"/>
      <c r="AN12" s="59"/>
      <c r="AO12" s="59"/>
      <c r="AP12" s="59"/>
      <c r="AQ12" s="59"/>
      <c r="AR12" s="59"/>
    </row>
    <row r="13" spans="2:57" ht="15.95" customHeight="1">
      <c r="B13" s="59"/>
      <c r="C13" s="59"/>
      <c r="D13" s="59"/>
      <c r="E13" s="59"/>
      <c r="F13" s="59"/>
      <c r="G13" s="59"/>
      <c r="H13" s="59"/>
      <c r="I13" s="59"/>
      <c r="J13" s="59"/>
      <c r="K13" s="59"/>
      <c r="L13" s="59"/>
      <c r="M13" s="59"/>
      <c r="N13" s="59"/>
      <c r="O13" s="59"/>
      <c r="P13" s="59"/>
      <c r="Q13" s="59"/>
      <c r="R13" s="875"/>
      <c r="S13" s="875"/>
      <c r="T13" s="875"/>
      <c r="U13" s="875"/>
      <c r="V13" s="875"/>
      <c r="W13" s="875"/>
      <c r="X13" s="875"/>
      <c r="Y13" s="875"/>
      <c r="Z13" s="876"/>
      <c r="AA13" s="876"/>
      <c r="AB13" s="876"/>
      <c r="AC13" s="876"/>
      <c r="AD13" s="59"/>
      <c r="AE13" s="59"/>
      <c r="AF13" s="875"/>
      <c r="AG13" s="875"/>
      <c r="AH13" s="875"/>
      <c r="AI13" s="875"/>
      <c r="AK13" s="59"/>
      <c r="AL13" s="59"/>
      <c r="AM13" s="59"/>
      <c r="AN13" s="59"/>
      <c r="AO13" s="59"/>
      <c r="AP13" s="59"/>
      <c r="AQ13" s="59"/>
      <c r="AR13" s="59"/>
    </row>
    <row r="14" spans="2:57" ht="15.95" customHeight="1">
      <c r="B14" s="59"/>
      <c r="C14" s="804" t="s">
        <v>99</v>
      </c>
      <c r="D14" s="804"/>
      <c r="E14" s="804"/>
      <c r="F14" s="804"/>
      <c r="G14" s="804"/>
      <c r="H14" s="804"/>
      <c r="I14" s="804" t="s">
        <v>102</v>
      </c>
      <c r="J14" s="804"/>
      <c r="K14" s="804"/>
      <c r="L14" s="804"/>
      <c r="M14" s="804" t="s">
        <v>100</v>
      </c>
      <c r="N14" s="804"/>
      <c r="O14" s="804"/>
      <c r="P14" s="804"/>
      <c r="Q14" s="804" t="s">
        <v>1798</v>
      </c>
      <c r="R14" s="804"/>
      <c r="S14" s="804"/>
      <c r="T14" s="804"/>
      <c r="U14" s="804"/>
      <c r="V14" s="804" t="s">
        <v>911</v>
      </c>
      <c r="W14" s="804"/>
      <c r="X14" s="804" t="s">
        <v>115</v>
      </c>
      <c r="Y14" s="804"/>
      <c r="Z14" s="804"/>
      <c r="AA14" s="804"/>
      <c r="AB14" s="804" t="s">
        <v>104</v>
      </c>
      <c r="AC14" s="804"/>
      <c r="AD14" s="804"/>
      <c r="AE14" s="920" t="s">
        <v>1587</v>
      </c>
      <c r="AF14" s="920"/>
      <c r="AG14" s="920"/>
      <c r="AH14" s="920"/>
      <c r="AI14" s="804" t="s">
        <v>93</v>
      </c>
      <c r="AJ14" s="804"/>
      <c r="AK14" s="804" t="s">
        <v>92</v>
      </c>
      <c r="AL14" s="804"/>
      <c r="AM14" s="804"/>
      <c r="AN14" s="804" t="s">
        <v>108</v>
      </c>
      <c r="AO14" s="804"/>
      <c r="AP14" s="804"/>
      <c r="AQ14" s="804"/>
      <c r="AR14" s="59"/>
      <c r="AU14" s="804" t="s">
        <v>196</v>
      </c>
      <c r="AV14" s="804" t="s">
        <v>197</v>
      </c>
      <c r="AW14" s="804" t="s">
        <v>1166</v>
      </c>
      <c r="AX14" s="804" t="s">
        <v>1700</v>
      </c>
      <c r="AY14" s="804" t="s">
        <v>1699</v>
      </c>
      <c r="AZ14" s="804" t="s">
        <v>1701</v>
      </c>
      <c r="BC14" s="804" t="s">
        <v>489</v>
      </c>
      <c r="BE14" s="804" t="s">
        <v>2025</v>
      </c>
    </row>
    <row r="15" spans="2:57" ht="15.95" customHeight="1" thickBot="1">
      <c r="B15" s="59"/>
      <c r="C15" s="805"/>
      <c r="D15" s="805"/>
      <c r="E15" s="805"/>
      <c r="F15" s="805"/>
      <c r="G15" s="805"/>
      <c r="H15" s="805"/>
      <c r="I15" s="805"/>
      <c r="J15" s="805"/>
      <c r="K15" s="805"/>
      <c r="L15" s="805"/>
      <c r="M15" s="805"/>
      <c r="N15" s="805"/>
      <c r="O15" s="805"/>
      <c r="P15" s="805"/>
      <c r="Q15" s="805"/>
      <c r="R15" s="805"/>
      <c r="S15" s="805"/>
      <c r="T15" s="805"/>
      <c r="U15" s="805"/>
      <c r="V15" s="805"/>
      <c r="W15" s="805"/>
      <c r="X15" s="805"/>
      <c r="Y15" s="805"/>
      <c r="Z15" s="805"/>
      <c r="AA15" s="805"/>
      <c r="AB15" s="805"/>
      <c r="AC15" s="805"/>
      <c r="AD15" s="805"/>
      <c r="AE15" s="921" t="s">
        <v>110</v>
      </c>
      <c r="AF15" s="921"/>
      <c r="AG15" s="921" t="s">
        <v>111</v>
      </c>
      <c r="AH15" s="921"/>
      <c r="AI15" s="805"/>
      <c r="AJ15" s="805"/>
      <c r="AK15" s="805"/>
      <c r="AL15" s="805"/>
      <c r="AM15" s="805"/>
      <c r="AN15" s="805"/>
      <c r="AO15" s="805"/>
      <c r="AP15" s="805"/>
      <c r="AQ15" s="805"/>
      <c r="AR15" s="59"/>
      <c r="AU15" s="805"/>
      <c r="AV15" s="805"/>
      <c r="AW15" s="805"/>
      <c r="AX15" s="805"/>
      <c r="AY15" s="805"/>
      <c r="AZ15" s="805"/>
      <c r="BC15" s="805"/>
      <c r="BE15" s="805"/>
    </row>
    <row r="16" spans="2:57" ht="15.95" customHeight="1">
      <c r="B16" s="830">
        <v>1</v>
      </c>
      <c r="C16" s="832"/>
      <c r="D16" s="833"/>
      <c r="E16" s="833"/>
      <c r="F16" s="833"/>
      <c r="G16" s="833"/>
      <c r="H16" s="834"/>
      <c r="I16" s="908" t="str">
        <f>IFERROR(IF(C16="","",INDEX(PMELIGHTCON[Base Desc 1],MATCH(C16,PMELIGHTCON[Eff Desc 1],0))),"")</f>
        <v/>
      </c>
      <c r="J16" s="909"/>
      <c r="K16" s="909"/>
      <c r="L16" s="910"/>
      <c r="M16" s="908" t="str">
        <f>IFERROR(IF(C16="","",INDEX(PMELIGHTCON[Unit of Measure],MATCH(C16,PMELIGHTCON[Eff Desc 1],0))),"")</f>
        <v/>
      </c>
      <c r="N16" s="909"/>
      <c r="O16" s="909"/>
      <c r="P16" s="910"/>
      <c r="Q16" s="897"/>
      <c r="R16" s="898"/>
      <c r="S16" s="898"/>
      <c r="T16" s="898"/>
      <c r="U16" s="899"/>
      <c r="V16" s="846" t="str">
        <f>IFERROR(IF(C16="","",INDEX(LightingWHF[Fixture Annual Operating Hours],MATCH(M02S02F26,LightingWHF[Building/Space Type],0))),"")</f>
        <v/>
      </c>
      <c r="W16" s="847"/>
      <c r="X16" s="832"/>
      <c r="Y16" s="833"/>
      <c r="Z16" s="833"/>
      <c r="AA16" s="834"/>
      <c r="AB16" s="832"/>
      <c r="AC16" s="833"/>
      <c r="AD16" s="834"/>
      <c r="AE16" s="858"/>
      <c r="AF16" s="869"/>
      <c r="AG16" s="858"/>
      <c r="AH16" s="869"/>
      <c r="AI16" s="917" t="str">
        <f>IFERROR(IF(C16="","",INDEX(PMELIGHTCON[Inc Rate Unit],MATCH(C16,PMELIGHTCON[Eff Desc 1],0))),"")</f>
        <v/>
      </c>
      <c r="AJ16" s="918"/>
      <c r="AK16" s="904" t="str">
        <f>IF(OR(C16="",Q16=""="",X16="",AB16="",AE16="",AG16="",V16=""),"",ROUND((AW16+AY16),0))</f>
        <v/>
      </c>
      <c r="AL16" s="905"/>
      <c r="AM16" s="905"/>
      <c r="AN16" s="815" t="str">
        <f>IF(OR(C16="",Q16="",X16="",AB16="",AE16="",AG16="",V16=""),"",IF(BC16&lt;&gt;"",BC16,MIN(AU16,ROUND((Q16)*AI16,2))))</f>
        <v/>
      </c>
      <c r="AO16" s="816"/>
      <c r="AP16" s="816"/>
      <c r="AQ16" s="817"/>
      <c r="AR16" s="59"/>
      <c r="AU16" s="808" t="str">
        <f>IF(OR(C16="",Q16="",X16="",AB16="",AE16="",AG16="",V16=""),"",(ROUND((AE16+AG16),2)))</f>
        <v/>
      </c>
      <c r="AV16" s="922" t="str">
        <f>IFERROR(IF(OR(C16="",I16="",Q16="",V16="",X16="",AB16="",AE16="",AG16="",AK16=0),"",IF(ISNUMBER(SEARCH("Exterior",C16)),0,ROUND((Q16/1000)*(INDEX(LightingWHF[Coincidence Factor CF],MATCH(M02S02F26,LightingWHF[Building/Space Type],0))-0.15)*
IF(OR(M02S02F32="AC with Natural Gas Heat",M02S02F32="AC with Electric Heat",M02S02F32="Heat Pump"),INDEX(LightingWHF[Waste Heat Cooling Demand WHFd],MATCH(M02S02F26,LightingWHF[Building/Space Type],0)),1),3))),"")</f>
        <v/>
      </c>
      <c r="AW16" s="902" t="str">
        <f>IF(OR(C16="",Q16="",X16="",AB16="",AE16="",AG16="",V16=""),"",ROUND(((Q16/1000)*V16*INDEX(PMELIGHTCON[Eff Desc 2],MATCH(C16,PMELIGHTCON[Eff Desc 1],0))*AZ16),0))</f>
        <v/>
      </c>
      <c r="AX16" s="811" t="str">
        <f>IF(OR(C16="",Q16="",X16="",AB16="",AE16="",AG16="",V16=""),"",IF(ISNUMBER(SEARCH("Exterior",C16)),0,IF(M02S02F46="Electric Only",0,IF(OR(M02S02F32="AC with Natural Gas Heat",M02S02F32="Natural Gas Heat Only"),(((Q16/1000)*V16*INDEX(PMELIGHTCON[Eff Desc 2],MATCH(C16,PMELIGHTCON[Eff Desc 1],0))*-INDEX(LightingWHF[Waste Heat Gas Heating IFTherms],MATCH(M02S02F26,LightingWHF[Building/Space Type],0)))),0))))</f>
        <v/>
      </c>
      <c r="AY16" s="811" t="str">
        <f>IF(OR(C16="",Q16="",X16="",AB16="",AE16="",AG16="",V16=""),"",IF(M02S02F46="Gas Only",0,IF(ISNUMBER(SEARCH("Exterior",C16)),0,IF(M02S02F32="Heat Pump",(((Q16/1000)*V16*INDEX(PMELIGHTCON[Eff Desc 2],MATCH(C16,PMELIGHTCON[Eff Desc 1],0)))*-INDEX(LightingWHF[Waste Heat Electric Heat Pump Heating IFkWh],MATCH(M02S02F26,LightingWHF[Building/Space Type],0))),
IF(OR(M02S02F32="AC with Electric Heat",M02S02F32="Electric Heat Only"),(((Q16/1000)*V16*INDEX(PMELIGHTCON[Eff Desc 2],MATCH(C16,PMELIGHTCON[Eff Desc 1],0)))*-INDEX(LightingWHF[Waste Heat Electric Resistance Heating IFkWh],MATCH(M02S02F26,LightingWHF[Building/Space Type],0))),0
)))))</f>
        <v/>
      </c>
      <c r="AZ16" s="810" t="str">
        <f>IF(OR(C16="",Q16="",X16="",AB16="",AE16="",AG16="",V16=""),"",IF(M02S02F46="Gas Only",0,IF(ISNUMBER(SEARCH("Exterior",C16)),1,IF(OR(M02S02F32="Heat Pump",M02S02F32="AC with Natural Gas Heat",M02S02F32="AC with Electric Heat"),(INDEX(LightingWHF[Waste Heat Cooling Energy WHFe],MATCH(M02S02F26,LightingWHF[Building/Space Type],0))),1))))</f>
        <v/>
      </c>
      <c r="BC16" s="825" t="str">
        <f>IF(OR(I16="",Q16="",C16="",V16="",X16="",AB16="",AE16="",AG16=""),"",IF(OR(ISBLANK(M02S02F26),ISBLANK(M02S02F32),ISBLANK(M02S02F46)),MEASUREBLDG,""))</f>
        <v/>
      </c>
      <c r="BE16" s="806" t="str">
        <f ca="1">IF(OR(I16="",Q16="",C16="",V16="",X16="",AB16="",AE16="",AG16=""),"",IF('M01-S01'!$V$82&lt;TODAY(),0,IF(M02S02F46="Gas Only",0,IF(OR(AK16="",AK16&lt;0,AU16&lt;=AN16),0,MIN(AU16-AN16,ROUND(AN16*0.2,2))))))</f>
        <v/>
      </c>
    </row>
    <row r="17" spans="2:57" ht="15.95" customHeight="1">
      <c r="B17" s="830"/>
      <c r="C17" s="835"/>
      <c r="D17" s="836"/>
      <c r="E17" s="836"/>
      <c r="F17" s="836"/>
      <c r="G17" s="836"/>
      <c r="H17" s="837"/>
      <c r="I17" s="911"/>
      <c r="J17" s="912"/>
      <c r="K17" s="912"/>
      <c r="L17" s="913"/>
      <c r="M17" s="911"/>
      <c r="N17" s="912"/>
      <c r="O17" s="912"/>
      <c r="P17" s="913"/>
      <c r="Q17" s="835"/>
      <c r="R17" s="836"/>
      <c r="S17" s="836"/>
      <c r="T17" s="836"/>
      <c r="U17" s="837"/>
      <c r="V17" s="848"/>
      <c r="W17" s="849"/>
      <c r="X17" s="835"/>
      <c r="Y17" s="836"/>
      <c r="Z17" s="836"/>
      <c r="AA17" s="837"/>
      <c r="AB17" s="835"/>
      <c r="AC17" s="836"/>
      <c r="AD17" s="837"/>
      <c r="AE17" s="860"/>
      <c r="AF17" s="870"/>
      <c r="AG17" s="860"/>
      <c r="AH17" s="870"/>
      <c r="AI17" s="919"/>
      <c r="AJ17" s="865"/>
      <c r="AK17" s="906"/>
      <c r="AL17" s="907"/>
      <c r="AM17" s="907"/>
      <c r="AN17" s="818"/>
      <c r="AO17" s="819"/>
      <c r="AP17" s="819"/>
      <c r="AQ17" s="820"/>
      <c r="AR17" s="59"/>
      <c r="AU17" s="809"/>
      <c r="AV17" s="901"/>
      <c r="AW17" s="903"/>
      <c r="AX17" s="812"/>
      <c r="AY17" s="812"/>
      <c r="AZ17" s="807"/>
      <c r="BC17" s="826"/>
      <c r="BE17" s="807"/>
    </row>
    <row r="18" spans="2:57" ht="15.95" customHeight="1">
      <c r="B18" s="829">
        <v>2</v>
      </c>
      <c r="C18" s="832"/>
      <c r="D18" s="833"/>
      <c r="E18" s="833"/>
      <c r="F18" s="833"/>
      <c r="G18" s="833"/>
      <c r="H18" s="834"/>
      <c r="I18" s="908" t="str">
        <f>IFERROR(IF(C18="","",INDEX(PMELIGHTCON[Base Desc 1],MATCH(C18,PMELIGHTCON[Eff Desc 1],0))),"")</f>
        <v/>
      </c>
      <c r="J18" s="909"/>
      <c r="K18" s="909"/>
      <c r="L18" s="910"/>
      <c r="M18" s="914" t="str">
        <f>IFERROR(IF(C18="","",INDEX(PMELIGHTCON[Unit of Measure],MATCH(C18,PMELIGHTCON[Eff Desc 1],0))),"")</f>
        <v/>
      </c>
      <c r="N18" s="915"/>
      <c r="O18" s="915"/>
      <c r="P18" s="916"/>
      <c r="Q18" s="866"/>
      <c r="R18" s="867"/>
      <c r="S18" s="867"/>
      <c r="T18" s="867"/>
      <c r="U18" s="868"/>
      <c r="V18" s="871" t="str">
        <f>IFERROR(IF(C18="","",INDEX(LightingWHF[Fixture Annual Operating Hours],MATCH(M02S02F26,LightingWHF[Building/Space Type],0))),"")</f>
        <v/>
      </c>
      <c r="W18" s="872"/>
      <c r="X18" s="832"/>
      <c r="Y18" s="833"/>
      <c r="Z18" s="833"/>
      <c r="AA18" s="834"/>
      <c r="AB18" s="832"/>
      <c r="AC18" s="833"/>
      <c r="AD18" s="834"/>
      <c r="AE18" s="858"/>
      <c r="AF18" s="869"/>
      <c r="AG18" s="858"/>
      <c r="AH18" s="869"/>
      <c r="AI18" s="917" t="str">
        <f>IFERROR(IF(C18="","",INDEX(PMELIGHTCON[Inc Rate Unit],MATCH(C18,PMELIGHTCON[Eff Desc 1],0))),"")</f>
        <v/>
      </c>
      <c r="AJ18" s="918"/>
      <c r="AK18" s="904" t="str">
        <f t="shared" ref="AK18" si="0">IF(OR(C18="",Q18=""="",X18="",AB18="",AE18="",AG18="",V18=""),"",ROUND((AW18+AY18),0))</f>
        <v/>
      </c>
      <c r="AL18" s="905"/>
      <c r="AM18" s="905"/>
      <c r="AN18" s="815" t="str">
        <f t="shared" ref="AN18" si="1">IF(OR(C18="",Q18="",X18="",AB18="",AE18="",AG18="",V18=""),"",IF(BC18&lt;&gt;"",BC18,MIN(AU18,ROUND((Q18)*AI18,2))))</f>
        <v/>
      </c>
      <c r="AO18" s="816"/>
      <c r="AP18" s="816"/>
      <c r="AQ18" s="817"/>
      <c r="AR18" s="59"/>
      <c r="AU18" s="893" t="str">
        <f t="shared" ref="AU18" si="2">IF(OR(C18="",Q18="",X18="",AB18="",AE18="",AG18="",V18=""),"",(ROUND((AE18+AG18),2)))</f>
        <v/>
      </c>
      <c r="AV18" s="900" t="str">
        <f>IFERROR(IF(OR(C18="",I18="",Q18="",V18="",X18="",AB18="",AE18="",AG18="",AK18=0),"",IF(ISNUMBER(SEARCH("Exterior",C18)),0,ROUND((Q18/1000)*(INDEX(LightingWHF[Coincidence Factor CF],MATCH(M02S02F26,LightingWHF[Building/Space Type],0))-0.15)*
IF(OR(M02S02F32="AC with Natural Gas Heat",M02S02F32="AC with Electric Heat",M02S02F32="Heat Pump"),INDEX(LightingWHF[Waste Heat Cooling Demand WHFd],MATCH(M02S02F26,LightingWHF[Building/Space Type],0)),1),3))),"")</f>
        <v/>
      </c>
      <c r="AW18" s="900" t="str">
        <f>IF(OR(C18="",Q18="",X18="",AB18="",AE18="",AG18="",V18=""),"",ROUND(((Q18/1000)*V18*INDEX(PMELIGHTCON[Eff Desc 2],MATCH(C18,PMELIGHTCON[Eff Desc 1],0))*AZ18),0))</f>
        <v/>
      </c>
      <c r="AX18" s="895" t="str">
        <f>IF(OR(C18="",Q18="",X18="",AB18="",AE18="",AG18="",V18=""),"",IF(ISNUMBER(SEARCH("Exterior",C18)),0,IF(M02S02F46="Electric Only",0,IF(OR(M02S02F32="AC with Natural Gas Heat",M02S02F32="Natural Gas Heat Only"),(((Q18/1000)*V18*INDEX(PMELIGHTCON[Eff Desc 2],MATCH(C18,PMELIGHTCON[Eff Desc 1],0))*-INDEX(LightingWHF[Waste Heat Gas Heating IFTherms],MATCH(M02S02F26,LightingWHF[Building/Space Type],0)))),0))))</f>
        <v/>
      </c>
      <c r="AY18" s="895" t="str">
        <f>IF(OR(C18="",Q18="",X18="",AB18="",AE18="",AG18="",V18=""),"",IF(M02S02F46="Gas Only",0,IF(ISNUMBER(SEARCH("Exterior",C18)),0,IF(M02S02F32="Heat Pump",(((Q18/1000)*V18*INDEX(PMELIGHTCON[Eff Desc 2],MATCH(C18,PMELIGHTCON[Eff Desc 1],0)))*-INDEX(LightingWHF[Waste Heat Electric Heat Pump Heating IFkWh],MATCH(M02S02F26,LightingWHF[Building/Space Type],0))),
IF(OR(M02S02F32="AC with Electric Heat",M02S02F32="Electric Heat Only"),(((Q18/1000)*V18*INDEX(PMELIGHTCON[Eff Desc 2],MATCH(C18,PMELIGHTCON[Eff Desc 1],0)))*-INDEX(LightingWHF[Waste Heat Electric Resistance Heating IFkWh],MATCH(M02S02F26,LightingWHF[Building/Space Type],0))),0
)))))</f>
        <v/>
      </c>
      <c r="AZ18" s="895" t="str">
        <f>IF(OR(C18="",Q18="",X18="",AB18="",AE18="",AG18="",V18=""),"",IF(M02S02F46="Gas Only",0,IF(ISNUMBER(SEARCH("Exterior",C18)),1,IF(OR(M02S02F32="Heat Pump",M02S02F32="AC with Natural Gas Heat",M02S02F32="AC with Electric Heat"),(INDEX(LightingWHF[Waste Heat Cooling Energy WHFe],MATCH(M02S02F26,LightingWHF[Building/Space Type],0))),1))))</f>
        <v/>
      </c>
      <c r="BC18" s="825" t="str">
        <f>IF(OR(I18="",Q18="",C18="",V18="",X18="",AB18="",AE18="",AG18=""),"",IF(OR(ISBLANK(M02S02F26),ISBLANK(M02S02F32),ISBLANK(M02S02F46)),MEASUREBLDG,""))</f>
        <v/>
      </c>
      <c r="BE18" s="806" t="str">
        <f ca="1">IF(OR(I18="",Q18="",C18="",V18="",X18="",AB18="",AE18="",AG18=""),"",IF('M01-S01'!$V$82&lt;TODAY(),0,IF(M02S02F46="Gas Only",0,IF(OR(AK18="",AK18&lt;0,AU18&lt;=AN18),0,MIN(AU18-AN18,ROUND(AN18*0.2,2))))))</f>
        <v/>
      </c>
    </row>
    <row r="19" spans="2:57" ht="15.95" customHeight="1">
      <c r="B19" s="829"/>
      <c r="C19" s="835"/>
      <c r="D19" s="836"/>
      <c r="E19" s="836"/>
      <c r="F19" s="836"/>
      <c r="G19" s="836"/>
      <c r="H19" s="837"/>
      <c r="I19" s="911"/>
      <c r="J19" s="912"/>
      <c r="K19" s="912"/>
      <c r="L19" s="913"/>
      <c r="M19" s="911"/>
      <c r="N19" s="912"/>
      <c r="O19" s="912"/>
      <c r="P19" s="913"/>
      <c r="Q19" s="835"/>
      <c r="R19" s="836"/>
      <c r="S19" s="836"/>
      <c r="T19" s="836"/>
      <c r="U19" s="837"/>
      <c r="V19" s="848"/>
      <c r="W19" s="849"/>
      <c r="X19" s="835"/>
      <c r="Y19" s="836"/>
      <c r="Z19" s="836"/>
      <c r="AA19" s="837"/>
      <c r="AB19" s="835"/>
      <c r="AC19" s="836"/>
      <c r="AD19" s="837"/>
      <c r="AE19" s="860"/>
      <c r="AF19" s="870"/>
      <c r="AG19" s="860"/>
      <c r="AH19" s="870"/>
      <c r="AI19" s="919"/>
      <c r="AJ19" s="865"/>
      <c r="AK19" s="906"/>
      <c r="AL19" s="907"/>
      <c r="AM19" s="907"/>
      <c r="AN19" s="818"/>
      <c r="AO19" s="819"/>
      <c r="AP19" s="819"/>
      <c r="AQ19" s="820"/>
      <c r="AR19" s="59"/>
      <c r="AU19" s="809"/>
      <c r="AV19" s="901"/>
      <c r="AW19" s="901"/>
      <c r="AX19" s="812"/>
      <c r="AY19" s="812"/>
      <c r="AZ19" s="812"/>
      <c r="BC19" s="826"/>
      <c r="BE19" s="807"/>
    </row>
    <row r="20" spans="2:57" ht="15.95" customHeight="1">
      <c r="B20" s="829">
        <v>3</v>
      </c>
      <c r="C20" s="832"/>
      <c r="D20" s="833"/>
      <c r="E20" s="833"/>
      <c r="F20" s="833"/>
      <c r="G20" s="833"/>
      <c r="H20" s="834"/>
      <c r="I20" s="908" t="str">
        <f>IFERROR(IF(C20="","",INDEX(PMELIGHTCON[Base Desc 1],MATCH(C20,PMELIGHTCON[Eff Desc 1],0))),"")</f>
        <v/>
      </c>
      <c r="J20" s="909"/>
      <c r="K20" s="909"/>
      <c r="L20" s="910"/>
      <c r="M20" s="914" t="str">
        <f>IFERROR(IF(C20="","",INDEX(PMELIGHTCON[Unit of Measure],MATCH(C20,PMELIGHTCON[Eff Desc 1],0))),"")</f>
        <v/>
      </c>
      <c r="N20" s="915"/>
      <c r="O20" s="915"/>
      <c r="P20" s="916"/>
      <c r="Q20" s="866"/>
      <c r="R20" s="867"/>
      <c r="S20" s="867"/>
      <c r="T20" s="867"/>
      <c r="U20" s="868"/>
      <c r="V20" s="871" t="str">
        <f>IFERROR(IF(C20="","",INDEX(LightingWHF[Fixture Annual Operating Hours],MATCH(M02S02F26,LightingWHF[Building/Space Type],0))),"")</f>
        <v/>
      </c>
      <c r="W20" s="872"/>
      <c r="X20" s="832"/>
      <c r="Y20" s="833"/>
      <c r="Z20" s="833"/>
      <c r="AA20" s="834"/>
      <c r="AB20" s="832"/>
      <c r="AC20" s="833"/>
      <c r="AD20" s="834"/>
      <c r="AE20" s="858"/>
      <c r="AF20" s="869"/>
      <c r="AG20" s="858"/>
      <c r="AH20" s="869"/>
      <c r="AI20" s="917" t="str">
        <f>IFERROR(IF(C20="","",INDEX(PMELIGHTCON[Inc Rate Unit],MATCH(C20,PMELIGHTCON[Eff Desc 1],0))),"")</f>
        <v/>
      </c>
      <c r="AJ20" s="918"/>
      <c r="AK20" s="904" t="str">
        <f t="shared" ref="AK20" si="3">IF(OR(C20="",Q20=""="",X20="",AB20="",AE20="",AG20="",V20=""),"",ROUND((AW20+AY20),0))</f>
        <v/>
      </c>
      <c r="AL20" s="905"/>
      <c r="AM20" s="905"/>
      <c r="AN20" s="815" t="str">
        <f t="shared" ref="AN20" si="4">IF(OR(C20="",Q20="",X20="",AB20="",AE20="",AG20="",V20=""),"",IF(BC20&lt;&gt;"",BC20,MIN(AU20,ROUND((Q20)*AI20,2))))</f>
        <v/>
      </c>
      <c r="AO20" s="816"/>
      <c r="AP20" s="816"/>
      <c r="AQ20" s="817"/>
      <c r="AR20" s="59"/>
      <c r="AU20" s="893" t="str">
        <f t="shared" ref="AU20" si="5">IF(OR(C20="",Q20="",X20="",AB20="",AE20="",AG20="",V20=""),"",(ROUND((AE20+AG20),2)))</f>
        <v/>
      </c>
      <c r="AV20" s="900" t="str">
        <f>IFERROR(IF(OR(C20="",I20="",Q20="",V20="",X20="",AB20="",AE20="",AG20="",AK20=0),"",IF(ISNUMBER(SEARCH("Exterior",C20)),0,ROUND((Q20/1000)*(INDEX(LightingWHF[Coincidence Factor CF],MATCH(M02S02F26,LightingWHF[Building/Space Type],0))-0.15)*
IF(OR(M02S02F32="AC with Natural Gas Heat",M02S02F32="AC with Electric Heat",M02S02F32="Heat Pump"),INDEX(LightingWHF[Waste Heat Cooling Demand WHFd],MATCH(M02S02F26,LightingWHF[Building/Space Type],0)),1),3))),"")</f>
        <v/>
      </c>
      <c r="AW20" s="900" t="str">
        <f>IF(OR(C20="",Q20="",X20="",AB20="",AE20="",AG20="",V20=""),"",ROUND(((Q20/1000)*V20*INDEX(PMELIGHTCON[Eff Desc 2],MATCH(C20,PMELIGHTCON[Eff Desc 1],0))*AZ20),0))</f>
        <v/>
      </c>
      <c r="AX20" s="895" t="str">
        <f>IF(OR(C20="",Q20="",X20="",AB20="",AE20="",AG20="",V20=""),"",IF(ISNUMBER(SEARCH("Exterior",C20)),0,IF(M02S02F46="Electric Only",0,IF(OR(M02S02F32="AC with Natural Gas Heat",M02S02F32="Natural Gas Heat Only"),(((Q20/1000)*V20*INDEX(PMELIGHTCON[Eff Desc 2],MATCH(C20,PMELIGHTCON[Eff Desc 1],0))*-INDEX(LightingWHF[Waste Heat Gas Heating IFTherms],MATCH(M02S02F26,LightingWHF[Building/Space Type],0)))),0))))</f>
        <v/>
      </c>
      <c r="AY20" s="895" t="str">
        <f>IF(OR(C20="",Q20="",X20="",AB20="",AE20="",AG20="",V20=""),"",IF(M02S02F46="Gas Only",0,IF(ISNUMBER(SEARCH("Exterior",C20)),0,IF(M02S02F32="Heat Pump",(((Q20/1000)*V20*INDEX(PMELIGHTCON[Eff Desc 2],MATCH(C20,PMELIGHTCON[Eff Desc 1],0)))*-INDEX(LightingWHF[Waste Heat Electric Heat Pump Heating IFkWh],MATCH(M02S02F26,LightingWHF[Building/Space Type],0))),
IF(OR(M02S02F32="AC with Electric Heat",M02S02F32="Electric Heat Only"),(((Q20/1000)*V20*INDEX(PMELIGHTCON[Eff Desc 2],MATCH(C20,PMELIGHTCON[Eff Desc 1],0)))*-INDEX(LightingWHF[Waste Heat Electric Resistance Heating IFkWh],MATCH(M02S02F26,LightingWHF[Building/Space Type],0))),0
)))))</f>
        <v/>
      </c>
      <c r="AZ20" s="895" t="str">
        <f>IF(OR(C20="",Q20="",X20="",AB20="",AE20="",AG20="",V20=""),"",IF(M02S02F46="Gas Only",0,IF(ISNUMBER(SEARCH("Exterior",C20)),1,IF(OR(M02S02F32="Heat Pump",M02S02F32="AC with Natural Gas Heat",M02S02F32="AC with Electric Heat"),(INDEX(LightingWHF[Waste Heat Cooling Energy WHFe],MATCH(M02S02F26,LightingWHF[Building/Space Type],0))),1))))</f>
        <v/>
      </c>
      <c r="BC20" s="825" t="str">
        <f>IF(OR(I20="",Q20="",C20="",V20="",X20="",AB20="",AE20="",AG20=""),"",IF(OR(ISBLANK(M02S02F26),ISBLANK(M02S02F32),ISBLANK(M02S02F46)),MEASUREBLDG,""))</f>
        <v/>
      </c>
      <c r="BE20" s="806" t="str">
        <f ca="1">IF(OR(I20="",Q20="",C20="",V20="",X20="",AB20="",AE20="",AG20=""),"",IF('M01-S01'!$V$82&lt;TODAY(),0,IF(M02S02F46="Gas Only",0,IF(OR(AK20="",AK20&lt;0,AU20&lt;=AN20),0,MIN(AU20-AN20,ROUND(AN20*0.2,2))))))</f>
        <v/>
      </c>
    </row>
    <row r="21" spans="2:57" ht="15.95" customHeight="1">
      <c r="B21" s="829"/>
      <c r="C21" s="835"/>
      <c r="D21" s="836"/>
      <c r="E21" s="836"/>
      <c r="F21" s="836"/>
      <c r="G21" s="836"/>
      <c r="H21" s="837"/>
      <c r="I21" s="911"/>
      <c r="J21" s="912"/>
      <c r="K21" s="912"/>
      <c r="L21" s="913"/>
      <c r="M21" s="911"/>
      <c r="N21" s="912"/>
      <c r="O21" s="912"/>
      <c r="P21" s="913"/>
      <c r="Q21" s="835"/>
      <c r="R21" s="836"/>
      <c r="S21" s="836"/>
      <c r="T21" s="836"/>
      <c r="U21" s="837"/>
      <c r="V21" s="848"/>
      <c r="W21" s="849"/>
      <c r="X21" s="835"/>
      <c r="Y21" s="836"/>
      <c r="Z21" s="836"/>
      <c r="AA21" s="837"/>
      <c r="AB21" s="835"/>
      <c r="AC21" s="836"/>
      <c r="AD21" s="837"/>
      <c r="AE21" s="860"/>
      <c r="AF21" s="870"/>
      <c r="AG21" s="860"/>
      <c r="AH21" s="870"/>
      <c r="AI21" s="919"/>
      <c r="AJ21" s="865"/>
      <c r="AK21" s="906"/>
      <c r="AL21" s="907"/>
      <c r="AM21" s="907"/>
      <c r="AN21" s="818"/>
      <c r="AO21" s="819"/>
      <c r="AP21" s="819"/>
      <c r="AQ21" s="820"/>
      <c r="AR21" s="59"/>
      <c r="AU21" s="809"/>
      <c r="AV21" s="901"/>
      <c r="AW21" s="901"/>
      <c r="AX21" s="812"/>
      <c r="AY21" s="812"/>
      <c r="AZ21" s="812"/>
      <c r="BC21" s="826"/>
      <c r="BE21" s="807"/>
    </row>
    <row r="22" spans="2:57" ht="15.95" customHeight="1">
      <c r="B22" s="829">
        <v>4</v>
      </c>
      <c r="C22" s="832"/>
      <c r="D22" s="833"/>
      <c r="E22" s="833"/>
      <c r="F22" s="833"/>
      <c r="G22" s="833"/>
      <c r="H22" s="834"/>
      <c r="I22" s="908" t="str">
        <f>IFERROR(IF(C22="","",INDEX(PMELIGHTCON[Base Desc 1],MATCH(C22,PMELIGHTCON[Eff Desc 1],0))),"")</f>
        <v/>
      </c>
      <c r="J22" s="909"/>
      <c r="K22" s="909"/>
      <c r="L22" s="910"/>
      <c r="M22" s="914" t="str">
        <f>IFERROR(IF(C22="","",INDEX(PMELIGHTCON[Unit of Measure],MATCH(C22,PMELIGHTCON[Eff Desc 1],0))),"")</f>
        <v/>
      </c>
      <c r="N22" s="915"/>
      <c r="O22" s="915"/>
      <c r="P22" s="916"/>
      <c r="Q22" s="866"/>
      <c r="R22" s="867"/>
      <c r="S22" s="867"/>
      <c r="T22" s="867"/>
      <c r="U22" s="868"/>
      <c r="V22" s="871" t="str">
        <f>IFERROR(IF(C22="","",INDEX(LightingWHF[Fixture Annual Operating Hours],MATCH(M02S02F26,LightingWHF[Building/Space Type],0))),"")</f>
        <v/>
      </c>
      <c r="W22" s="872"/>
      <c r="X22" s="832"/>
      <c r="Y22" s="833"/>
      <c r="Z22" s="833"/>
      <c r="AA22" s="834"/>
      <c r="AB22" s="832"/>
      <c r="AC22" s="833"/>
      <c r="AD22" s="834"/>
      <c r="AE22" s="858"/>
      <c r="AF22" s="869"/>
      <c r="AG22" s="858"/>
      <c r="AH22" s="869"/>
      <c r="AI22" s="917" t="str">
        <f>IFERROR(IF(C22="","",INDEX(PMELIGHTCON[Inc Rate Unit],MATCH(C22,PMELIGHTCON[Eff Desc 1],0))),"")</f>
        <v/>
      </c>
      <c r="AJ22" s="918"/>
      <c r="AK22" s="904" t="str">
        <f t="shared" ref="AK22" si="6">IF(OR(C22="",Q22=""="",X22="",AB22="",AE22="",AG22="",V22=""),"",ROUND((AW22+AY22),0))</f>
        <v/>
      </c>
      <c r="AL22" s="905"/>
      <c r="AM22" s="905"/>
      <c r="AN22" s="815" t="str">
        <f t="shared" ref="AN22" si="7">IF(OR(C22="",Q22="",X22="",AB22="",AE22="",AG22="",V22=""),"",IF(BC22&lt;&gt;"",BC22,MIN(AU22,ROUND((Q22)*AI22,2))))</f>
        <v/>
      </c>
      <c r="AO22" s="816"/>
      <c r="AP22" s="816"/>
      <c r="AQ22" s="817"/>
      <c r="AR22" s="59"/>
      <c r="AU22" s="893" t="str">
        <f t="shared" ref="AU22" si="8">IF(OR(C22="",Q22="",X22="",AB22="",AE22="",AG22="",V22=""),"",(ROUND((AE22+AG22),2)))</f>
        <v/>
      </c>
      <c r="AV22" s="900" t="str">
        <f>IFERROR(IF(OR(C22="",I22="",Q22="",V22="",X22="",AB22="",AE22="",AG22="",AK22=0),"",IF(ISNUMBER(SEARCH("Exterior",C22)),0,ROUND((Q22/1000)*(INDEX(LightingWHF[Coincidence Factor CF],MATCH(M02S02F26,LightingWHF[Building/Space Type],0))-0.15)*
IF(OR(M02S02F32="AC with Natural Gas Heat",M02S02F32="AC with Electric Heat",M02S02F32="Heat Pump"),INDEX(LightingWHF[Waste Heat Cooling Demand WHFd],MATCH(M02S02F26,LightingWHF[Building/Space Type],0)),1),3))),"")</f>
        <v/>
      </c>
      <c r="AW22" s="900" t="str">
        <f>IF(OR(C22="",Q22="",X22="",AB22="",AE22="",AG22="",V22=""),"",ROUND(((Q22/1000)*V22*INDEX(PMELIGHTCON[Eff Desc 2],MATCH(C22,PMELIGHTCON[Eff Desc 1],0))*AZ22),0))</f>
        <v/>
      </c>
      <c r="AX22" s="895" t="str">
        <f>IF(OR(C22="",Q22="",X22="",AB22="",AE22="",AG22="",V22=""),"",IF(ISNUMBER(SEARCH("Exterior",C22)),0,IF(M02S02F46="Electric Only",0,IF(OR(M02S02F32="AC with Natural Gas Heat",M02S02F32="Natural Gas Heat Only"),(((Q22/1000)*V22*INDEX(PMELIGHTCON[Eff Desc 2],MATCH(C22,PMELIGHTCON[Eff Desc 1],0))*-INDEX(LightingWHF[Waste Heat Gas Heating IFTherms],MATCH(M02S02F26,LightingWHF[Building/Space Type],0)))),0))))</f>
        <v/>
      </c>
      <c r="AY22" s="895" t="str">
        <f>IF(OR(C22="",Q22="",X22="",AB22="",AE22="",AG22="",V22=""),"",IF(M02S02F46="Gas Only",0,IF(ISNUMBER(SEARCH("Exterior",C22)),0,IF(M02S02F32="Heat Pump",(((Q22/1000)*V22*INDEX(PMELIGHTCON[Eff Desc 2],MATCH(C22,PMELIGHTCON[Eff Desc 1],0)))*-INDEX(LightingWHF[Waste Heat Electric Heat Pump Heating IFkWh],MATCH(M02S02F26,LightingWHF[Building/Space Type],0))),
IF(OR(M02S02F32="AC with Electric Heat",M02S02F32="Electric Heat Only"),(((Q22/1000)*V22*INDEX(PMELIGHTCON[Eff Desc 2],MATCH(C22,PMELIGHTCON[Eff Desc 1],0)))*-INDEX(LightingWHF[Waste Heat Electric Resistance Heating IFkWh],MATCH(M02S02F26,LightingWHF[Building/Space Type],0))),0
)))))</f>
        <v/>
      </c>
      <c r="AZ22" s="895" t="str">
        <f>IF(OR(C22="",Q22="",X22="",AB22="",AE22="",AG22="",V22=""),"",IF(M02S02F46="Gas Only",0,IF(ISNUMBER(SEARCH("Exterior",C22)),1,IF(OR(M02S02F32="Heat Pump",M02S02F32="AC with Natural Gas Heat",M02S02F32="AC with Electric Heat"),(INDEX(LightingWHF[Waste Heat Cooling Energy WHFe],MATCH(M02S02F26,LightingWHF[Building/Space Type],0))),1))))</f>
        <v/>
      </c>
      <c r="BC22" s="825" t="str">
        <f>IF(OR(I22="",Q22="",C22="",V22="",X22="",AB22="",AE22="",AG22=""),"",IF(OR(ISBLANK(M02S02F26),ISBLANK(M02S02F32),ISBLANK(M02S02F46)),MEASUREBLDG,""))</f>
        <v/>
      </c>
      <c r="BE22" s="806" t="str">
        <f ca="1">IF(OR(I22="",Q22="",C22="",V22="",X22="",AB22="",AE22="",AG22=""),"",IF('M01-S01'!$V$82&lt;TODAY(),0,IF(M02S02F46="Gas Only",0,IF(OR(AK22="",AK22&lt;0,AU22&lt;=AN22),0,MIN(AU22-AN22,ROUND(AN22*0.2,2))))))</f>
        <v/>
      </c>
    </row>
    <row r="23" spans="2:57" ht="15.95" customHeight="1">
      <c r="B23" s="829"/>
      <c r="C23" s="835"/>
      <c r="D23" s="836"/>
      <c r="E23" s="836"/>
      <c r="F23" s="836"/>
      <c r="G23" s="836"/>
      <c r="H23" s="837"/>
      <c r="I23" s="911"/>
      <c r="J23" s="912"/>
      <c r="K23" s="912"/>
      <c r="L23" s="913"/>
      <c r="M23" s="911"/>
      <c r="N23" s="912"/>
      <c r="O23" s="912"/>
      <c r="P23" s="913"/>
      <c r="Q23" s="835"/>
      <c r="R23" s="836"/>
      <c r="S23" s="836"/>
      <c r="T23" s="836"/>
      <c r="U23" s="837"/>
      <c r="V23" s="848"/>
      <c r="W23" s="849"/>
      <c r="X23" s="835"/>
      <c r="Y23" s="836"/>
      <c r="Z23" s="836"/>
      <c r="AA23" s="837"/>
      <c r="AB23" s="835"/>
      <c r="AC23" s="836"/>
      <c r="AD23" s="837"/>
      <c r="AE23" s="860"/>
      <c r="AF23" s="870"/>
      <c r="AG23" s="860"/>
      <c r="AH23" s="870"/>
      <c r="AI23" s="919"/>
      <c r="AJ23" s="865"/>
      <c r="AK23" s="906"/>
      <c r="AL23" s="907"/>
      <c r="AM23" s="907"/>
      <c r="AN23" s="818"/>
      <c r="AO23" s="819"/>
      <c r="AP23" s="819"/>
      <c r="AQ23" s="820"/>
      <c r="AR23" s="59"/>
      <c r="AU23" s="809"/>
      <c r="AV23" s="901"/>
      <c r="AW23" s="901"/>
      <c r="AX23" s="812"/>
      <c r="AY23" s="812"/>
      <c r="AZ23" s="812"/>
      <c r="BC23" s="826"/>
      <c r="BE23" s="807"/>
    </row>
    <row r="24" spans="2:57" ht="15.95" customHeight="1">
      <c r="B24" s="829">
        <v>5</v>
      </c>
      <c r="C24" s="832"/>
      <c r="D24" s="833"/>
      <c r="E24" s="833"/>
      <c r="F24" s="833"/>
      <c r="G24" s="833"/>
      <c r="H24" s="834"/>
      <c r="I24" s="908" t="str">
        <f>IFERROR(IF(C24="","",INDEX(PMELIGHTCON[Base Desc 1],MATCH(C24,PMELIGHTCON[Eff Desc 1],0))),"")</f>
        <v/>
      </c>
      <c r="J24" s="909"/>
      <c r="K24" s="909"/>
      <c r="L24" s="910"/>
      <c r="M24" s="914" t="str">
        <f>IFERROR(IF(C24="","",INDEX(PMELIGHTCON[Unit of Measure],MATCH(C24,PMELIGHTCON[Eff Desc 1],0))),"")</f>
        <v/>
      </c>
      <c r="N24" s="915"/>
      <c r="O24" s="915"/>
      <c r="P24" s="916"/>
      <c r="Q24" s="866"/>
      <c r="R24" s="867"/>
      <c r="S24" s="867"/>
      <c r="T24" s="867"/>
      <c r="U24" s="868"/>
      <c r="V24" s="871" t="str">
        <f>IFERROR(IF(C24="","",INDEX(LightingWHF[Fixture Annual Operating Hours],MATCH(M02S02F26,LightingWHF[Building/Space Type],0))),"")</f>
        <v/>
      </c>
      <c r="W24" s="872"/>
      <c r="X24" s="832"/>
      <c r="Y24" s="833"/>
      <c r="Z24" s="833"/>
      <c r="AA24" s="834"/>
      <c r="AB24" s="832"/>
      <c r="AC24" s="833"/>
      <c r="AD24" s="834"/>
      <c r="AE24" s="858"/>
      <c r="AF24" s="869"/>
      <c r="AG24" s="858"/>
      <c r="AH24" s="869"/>
      <c r="AI24" s="917" t="str">
        <f>IFERROR(IF(C24="","",INDEX(PMELIGHTCON[Inc Rate Unit],MATCH(C24,PMELIGHTCON[Eff Desc 1],0))),"")</f>
        <v/>
      </c>
      <c r="AJ24" s="918"/>
      <c r="AK24" s="904" t="str">
        <f t="shared" ref="AK24" si="9">IF(OR(C24="",Q24=""="",X24="",AB24="",AE24="",AG24="",V24=""),"",ROUND((AW24+AY24),0))</f>
        <v/>
      </c>
      <c r="AL24" s="905"/>
      <c r="AM24" s="905"/>
      <c r="AN24" s="815" t="str">
        <f t="shared" ref="AN24" si="10">IF(OR(C24="",Q24="",X24="",AB24="",AE24="",AG24="",V24=""),"",IF(BC24&lt;&gt;"",BC24,MIN(AU24,ROUND((Q24)*AI24,2))))</f>
        <v/>
      </c>
      <c r="AO24" s="816"/>
      <c r="AP24" s="816"/>
      <c r="AQ24" s="817"/>
      <c r="AR24" s="59"/>
      <c r="AU24" s="893" t="str">
        <f t="shared" ref="AU24" si="11">IF(OR(C24="",Q24="",X24="",AB24="",AE24="",AG24="",V24=""),"",(ROUND((AE24+AG24),2)))</f>
        <v/>
      </c>
      <c r="AV24" s="900" t="str">
        <f>IFERROR(IF(OR(C24="",I24="",Q24="",V24="",X24="",AB24="",AE24="",AG24="",AK24=0),"",IF(ISNUMBER(SEARCH("Exterior",C24)),0,ROUND((Q24/1000)*(INDEX(LightingWHF[Coincidence Factor CF],MATCH(M02S02F26,LightingWHF[Building/Space Type],0))-0.15)*
IF(OR(M02S02F32="AC with Natural Gas Heat",M02S02F32="AC with Electric Heat",M02S02F32="Heat Pump"),INDEX(LightingWHF[Waste Heat Cooling Demand WHFd],MATCH(M02S02F26,LightingWHF[Building/Space Type],0)),1),3))),"")</f>
        <v/>
      </c>
      <c r="AW24" s="900" t="str">
        <f>IF(OR(C24="",Q24="",X24="",AB24="",AE24="",AG24="",V24=""),"",ROUND(((Q24/1000)*V24*INDEX(PMELIGHTCON[Eff Desc 2],MATCH(C24,PMELIGHTCON[Eff Desc 1],0))*AZ24),0))</f>
        <v/>
      </c>
      <c r="AX24" s="895" t="str">
        <f>IF(OR(C24="",Q24="",X24="",AB24="",AE24="",AG24="",V24=""),"",IF(ISNUMBER(SEARCH("Exterior",C24)),0,IF(M02S02F46="Electric Only",0,IF(OR(M02S02F32="AC with Natural Gas Heat",M02S02F32="Natural Gas Heat Only"),(((Q24/1000)*V24*INDEX(PMELIGHTCON[Eff Desc 2],MATCH(C24,PMELIGHTCON[Eff Desc 1],0))*-INDEX(LightingWHF[Waste Heat Gas Heating IFTherms],MATCH(M02S02F26,LightingWHF[Building/Space Type],0)))),0))))</f>
        <v/>
      </c>
      <c r="AY24" s="895" t="str">
        <f>IF(OR(C24="",Q24="",X24="",AB24="",AE24="",AG24="",V24=""),"",IF(M02S02F46="Gas Only",0,IF(ISNUMBER(SEARCH("Exterior",C24)),0,IF(M02S02F32="Heat Pump",(((Q24/1000)*V24*INDEX(PMELIGHTCON[Eff Desc 2],MATCH(C24,PMELIGHTCON[Eff Desc 1],0)))*-INDEX(LightingWHF[Waste Heat Electric Heat Pump Heating IFkWh],MATCH(M02S02F26,LightingWHF[Building/Space Type],0))),
IF(OR(M02S02F32="AC with Electric Heat",M02S02F32="Electric Heat Only"),(((Q24/1000)*V24*INDEX(PMELIGHTCON[Eff Desc 2],MATCH(C24,PMELIGHTCON[Eff Desc 1],0)))*-INDEX(LightingWHF[Waste Heat Electric Resistance Heating IFkWh],MATCH(M02S02F26,LightingWHF[Building/Space Type],0))),0
)))))</f>
        <v/>
      </c>
      <c r="AZ24" s="895" t="str">
        <f>IF(OR(C24="",Q24="",X24="",AB24="",AE24="",AG24="",V24=""),"",IF(M02S02F46="Gas Only",0,IF(ISNUMBER(SEARCH("Exterior",C24)),1,IF(OR(M02S02F32="Heat Pump",M02S02F32="AC with Natural Gas Heat",M02S02F32="AC with Electric Heat"),(INDEX(LightingWHF[Waste Heat Cooling Energy WHFe],MATCH(M02S02F26,LightingWHF[Building/Space Type],0))),1))))</f>
        <v/>
      </c>
      <c r="BC24" s="825" t="str">
        <f>IF(OR(I24="",Q24="",C24="",V24="",X24="",AB24="",AE24="",AG24=""),"",IF(OR(ISBLANK(M02S02F26),ISBLANK(M02S02F32),ISBLANK(M02S02F46)),MEASUREBLDG,""))</f>
        <v/>
      </c>
      <c r="BE24" s="806" t="str">
        <f ca="1">IF(OR(I24="",Q24="",C24="",V24="",X24="",AB24="",AE24="",AG24=""),"",IF('M01-S01'!$V$82&lt;TODAY(),0,IF(M02S02F46="Gas Only",0,IF(OR(AK24="",AK24&lt;0,AU24&lt;=AN24),0,MIN(AU24-AN24,ROUND(AN24*0.2,2))))))</f>
        <v/>
      </c>
    </row>
    <row r="25" spans="2:57" ht="15.95" customHeight="1">
      <c r="B25" s="829"/>
      <c r="C25" s="835"/>
      <c r="D25" s="836"/>
      <c r="E25" s="836"/>
      <c r="F25" s="836"/>
      <c r="G25" s="836"/>
      <c r="H25" s="837"/>
      <c r="I25" s="911"/>
      <c r="J25" s="912"/>
      <c r="K25" s="912"/>
      <c r="L25" s="913"/>
      <c r="M25" s="911"/>
      <c r="N25" s="912"/>
      <c r="O25" s="912"/>
      <c r="P25" s="913"/>
      <c r="Q25" s="835"/>
      <c r="R25" s="836"/>
      <c r="S25" s="836"/>
      <c r="T25" s="836"/>
      <c r="U25" s="837"/>
      <c r="V25" s="848"/>
      <c r="W25" s="849"/>
      <c r="X25" s="835"/>
      <c r="Y25" s="836"/>
      <c r="Z25" s="836"/>
      <c r="AA25" s="837"/>
      <c r="AB25" s="835"/>
      <c r="AC25" s="836"/>
      <c r="AD25" s="837"/>
      <c r="AE25" s="860"/>
      <c r="AF25" s="870"/>
      <c r="AG25" s="860"/>
      <c r="AH25" s="870"/>
      <c r="AI25" s="919"/>
      <c r="AJ25" s="865"/>
      <c r="AK25" s="906"/>
      <c r="AL25" s="907"/>
      <c r="AM25" s="907"/>
      <c r="AN25" s="818"/>
      <c r="AO25" s="819"/>
      <c r="AP25" s="819"/>
      <c r="AQ25" s="820"/>
      <c r="AR25" s="59"/>
      <c r="AU25" s="809"/>
      <c r="AV25" s="901"/>
      <c r="AW25" s="901"/>
      <c r="AX25" s="812"/>
      <c r="AY25" s="812"/>
      <c r="AZ25" s="812"/>
      <c r="BC25" s="826"/>
      <c r="BE25" s="807"/>
    </row>
    <row r="26" spans="2:57" ht="15.95" customHeight="1">
      <c r="B26" s="829">
        <v>6</v>
      </c>
      <c r="C26" s="832"/>
      <c r="D26" s="833"/>
      <c r="E26" s="833"/>
      <c r="F26" s="833"/>
      <c r="G26" s="833"/>
      <c r="H26" s="834"/>
      <c r="I26" s="908" t="str">
        <f>IFERROR(IF(C26="","",INDEX(PMELIGHTCON[Base Desc 1],MATCH(C26,PMELIGHTCON[Eff Desc 1],0))),"")</f>
        <v/>
      </c>
      <c r="J26" s="909"/>
      <c r="K26" s="909"/>
      <c r="L26" s="910"/>
      <c r="M26" s="914" t="str">
        <f>IFERROR(IF(C26="","",INDEX(PMELIGHTCON[Unit of Measure],MATCH(C26,PMELIGHTCON[Eff Desc 1],0))),"")</f>
        <v/>
      </c>
      <c r="N26" s="915"/>
      <c r="O26" s="915"/>
      <c r="P26" s="916"/>
      <c r="Q26" s="866"/>
      <c r="R26" s="867"/>
      <c r="S26" s="867"/>
      <c r="T26" s="867"/>
      <c r="U26" s="868"/>
      <c r="V26" s="871" t="str">
        <f>IFERROR(IF(C26="","",INDEX(LightingWHF[Fixture Annual Operating Hours],MATCH(M02S02F26,LightingWHF[Building/Space Type],0))),"")</f>
        <v/>
      </c>
      <c r="W26" s="872"/>
      <c r="X26" s="832"/>
      <c r="Y26" s="833"/>
      <c r="Z26" s="833"/>
      <c r="AA26" s="834"/>
      <c r="AB26" s="832"/>
      <c r="AC26" s="833"/>
      <c r="AD26" s="834"/>
      <c r="AE26" s="858"/>
      <c r="AF26" s="869"/>
      <c r="AG26" s="858"/>
      <c r="AH26" s="869"/>
      <c r="AI26" s="917" t="str">
        <f>IFERROR(IF(C26="","",INDEX(PMELIGHTCON[Inc Rate Unit],MATCH(C26,PMELIGHTCON[Eff Desc 1],0))),"")</f>
        <v/>
      </c>
      <c r="AJ26" s="918"/>
      <c r="AK26" s="904" t="str">
        <f t="shared" ref="AK26" si="12">IF(OR(C26="",Q26=""="",X26="",AB26="",AE26="",AG26="",V26=""),"",ROUND((AW26+AY26),0))</f>
        <v/>
      </c>
      <c r="AL26" s="905"/>
      <c r="AM26" s="905"/>
      <c r="AN26" s="815" t="str">
        <f t="shared" ref="AN26" si="13">IF(OR(C26="",Q26="",X26="",AB26="",AE26="",AG26="",V26=""),"",IF(BC26&lt;&gt;"",BC26,MIN(AU26,ROUND((Q26)*AI26,2))))</f>
        <v/>
      </c>
      <c r="AO26" s="816"/>
      <c r="AP26" s="816"/>
      <c r="AQ26" s="817"/>
      <c r="AR26" s="59"/>
      <c r="AU26" s="893" t="str">
        <f t="shared" ref="AU26" si="14">IF(OR(C26="",Q26="",X26="",AB26="",AE26="",AG26="",V26=""),"",(ROUND((AE26+AG26),2)))</f>
        <v/>
      </c>
      <c r="AV26" s="900" t="str">
        <f>IFERROR(IF(OR(C26="",I26="",Q26="",V26="",X26="",AB26="",AE26="",AG26="",AK26=0),"",IF(ISNUMBER(SEARCH("Exterior",C26)),0,ROUND((Q26/1000)*(INDEX(LightingWHF[Coincidence Factor CF],MATCH(M02S02F26,LightingWHF[Building/Space Type],0))-0.15)*
IF(OR(M02S02F32="AC with Natural Gas Heat",M02S02F32="AC with Electric Heat",M02S02F32="Heat Pump"),INDEX(LightingWHF[Waste Heat Cooling Demand WHFd],MATCH(M02S02F26,LightingWHF[Building/Space Type],0)),1),3))),"")</f>
        <v/>
      </c>
      <c r="AW26" s="900" t="str">
        <f>IF(OR(C26="",Q26="",X26="",AB26="",AE26="",AG26="",V26=""),"",ROUND(((Q26/1000)*V26*INDEX(PMELIGHTCON[Eff Desc 2],MATCH(C26,PMELIGHTCON[Eff Desc 1],0))*AZ26),0))</f>
        <v/>
      </c>
      <c r="AX26" s="895" t="str">
        <f>IF(OR(C26="",Q26="",X26="",AB26="",AE26="",AG26="",V26=""),"",IF(ISNUMBER(SEARCH("Exterior",C26)),0,IF(M02S02F46="Electric Only",0,IF(OR(M02S02F32="AC with Natural Gas Heat",M02S02F32="Natural Gas Heat Only"),(((Q26/1000)*V26*INDEX(PMELIGHTCON[Eff Desc 2],MATCH(C26,PMELIGHTCON[Eff Desc 1],0))*-INDEX(LightingWHF[Waste Heat Gas Heating IFTherms],MATCH(M02S02F26,LightingWHF[Building/Space Type],0)))),0))))</f>
        <v/>
      </c>
      <c r="AY26" s="895" t="str">
        <f>IF(OR(C26="",Q26="",X26="",AB26="",AE26="",AG26="",V26=""),"",IF(M02S02F46="Gas Only",0,IF(ISNUMBER(SEARCH("Exterior",C26)),0,IF(M02S02F32="Heat Pump",(((Q26/1000)*V26*INDEX(PMELIGHTCON[Eff Desc 2],MATCH(C26,PMELIGHTCON[Eff Desc 1],0)))*-INDEX(LightingWHF[Waste Heat Electric Heat Pump Heating IFkWh],MATCH(M02S02F26,LightingWHF[Building/Space Type],0))),
IF(OR(M02S02F32="AC with Electric Heat",M02S02F32="Electric Heat Only"),(((Q26/1000)*V26*INDEX(PMELIGHTCON[Eff Desc 2],MATCH(C26,PMELIGHTCON[Eff Desc 1],0)))*-INDEX(LightingWHF[Waste Heat Electric Resistance Heating IFkWh],MATCH(M02S02F26,LightingWHF[Building/Space Type],0))),0
)))))</f>
        <v/>
      </c>
      <c r="AZ26" s="895" t="str">
        <f>IF(OR(C26="",Q26="",X26="",AB26="",AE26="",AG26="",V26=""),"",IF(M02S02F46="Gas Only",0,IF(ISNUMBER(SEARCH("Exterior",C26)),1,IF(OR(M02S02F32="Heat Pump",M02S02F32="AC with Natural Gas Heat",M02S02F32="AC with Electric Heat"),(INDEX(LightingWHF[Waste Heat Cooling Energy WHFe],MATCH(M02S02F26,LightingWHF[Building/Space Type],0))),1))))</f>
        <v/>
      </c>
      <c r="BC26" s="825" t="str">
        <f>IF(OR(I26="",Q26="",C26="",V26="",X26="",AB26="",AE26="",AG26=""),"",IF(OR(ISBLANK(M02S02F26),ISBLANK(M02S02F32),ISBLANK(M02S02F46)),MEASUREBLDG,""))</f>
        <v/>
      </c>
      <c r="BE26" s="806" t="str">
        <f ca="1">IF(OR(I26="",Q26="",C26="",V26="",X26="",AB26="",AE26="",AG26=""),"",IF('M01-S01'!$V$82&lt;TODAY(),0,IF(M02S02F46="Gas Only",0,IF(OR(AK26="",AK26&lt;0,AU26&lt;=AN26),0,MIN(AU26-AN26,ROUND(AN26*0.2,2))))))</f>
        <v/>
      </c>
    </row>
    <row r="27" spans="2:57" ht="15.95" customHeight="1">
      <c r="B27" s="829"/>
      <c r="C27" s="835"/>
      <c r="D27" s="836"/>
      <c r="E27" s="836"/>
      <c r="F27" s="836"/>
      <c r="G27" s="836"/>
      <c r="H27" s="837"/>
      <c r="I27" s="911"/>
      <c r="J27" s="912"/>
      <c r="K27" s="912"/>
      <c r="L27" s="913"/>
      <c r="M27" s="911"/>
      <c r="N27" s="912"/>
      <c r="O27" s="912"/>
      <c r="P27" s="913"/>
      <c r="Q27" s="835"/>
      <c r="R27" s="836"/>
      <c r="S27" s="836"/>
      <c r="T27" s="836"/>
      <c r="U27" s="837"/>
      <c r="V27" s="848"/>
      <c r="W27" s="849"/>
      <c r="X27" s="835"/>
      <c r="Y27" s="836"/>
      <c r="Z27" s="836"/>
      <c r="AA27" s="837"/>
      <c r="AB27" s="835"/>
      <c r="AC27" s="836"/>
      <c r="AD27" s="837"/>
      <c r="AE27" s="860"/>
      <c r="AF27" s="870"/>
      <c r="AG27" s="860"/>
      <c r="AH27" s="870"/>
      <c r="AI27" s="919"/>
      <c r="AJ27" s="865"/>
      <c r="AK27" s="906"/>
      <c r="AL27" s="907"/>
      <c r="AM27" s="907"/>
      <c r="AN27" s="818"/>
      <c r="AO27" s="819"/>
      <c r="AP27" s="819"/>
      <c r="AQ27" s="820"/>
      <c r="AR27" s="59"/>
      <c r="AU27" s="809"/>
      <c r="AV27" s="901"/>
      <c r="AW27" s="901"/>
      <c r="AX27" s="812"/>
      <c r="AY27" s="812"/>
      <c r="AZ27" s="812"/>
      <c r="BC27" s="826"/>
      <c r="BE27" s="807"/>
    </row>
    <row r="28" spans="2:57" ht="15.95" customHeight="1">
      <c r="B28" s="829">
        <v>7</v>
      </c>
      <c r="C28" s="832"/>
      <c r="D28" s="833"/>
      <c r="E28" s="833"/>
      <c r="F28" s="833"/>
      <c r="G28" s="833"/>
      <c r="H28" s="834"/>
      <c r="I28" s="908" t="str">
        <f>IFERROR(IF(C28="","",INDEX(PMELIGHTCON[Base Desc 1],MATCH(C28,PMELIGHTCON[Eff Desc 1],0))),"")</f>
        <v/>
      </c>
      <c r="J28" s="909"/>
      <c r="K28" s="909"/>
      <c r="L28" s="910"/>
      <c r="M28" s="914" t="str">
        <f>IFERROR(IF(C28="","",INDEX(PMELIGHTCON[Unit of Measure],MATCH(C28,PMELIGHTCON[Eff Desc 1],0))),"")</f>
        <v/>
      </c>
      <c r="N28" s="915"/>
      <c r="O28" s="915"/>
      <c r="P28" s="916"/>
      <c r="Q28" s="866"/>
      <c r="R28" s="867"/>
      <c r="S28" s="867"/>
      <c r="T28" s="867"/>
      <c r="U28" s="868"/>
      <c r="V28" s="871" t="str">
        <f>IFERROR(IF(C28="","",INDEX(LightingWHF[Fixture Annual Operating Hours],MATCH(M02S02F26,LightingWHF[Building/Space Type],0))),"")</f>
        <v/>
      </c>
      <c r="W28" s="872"/>
      <c r="X28" s="832"/>
      <c r="Y28" s="833"/>
      <c r="Z28" s="833"/>
      <c r="AA28" s="834"/>
      <c r="AB28" s="832"/>
      <c r="AC28" s="833"/>
      <c r="AD28" s="834"/>
      <c r="AE28" s="858"/>
      <c r="AF28" s="869"/>
      <c r="AG28" s="858"/>
      <c r="AH28" s="869"/>
      <c r="AI28" s="917" t="str">
        <f>IFERROR(IF(C28="","",INDEX(PMELIGHTCON[Inc Rate Unit],MATCH(C28,PMELIGHTCON[Eff Desc 1],0))),"")</f>
        <v/>
      </c>
      <c r="AJ28" s="918"/>
      <c r="AK28" s="904" t="str">
        <f t="shared" ref="AK28" si="15">IF(OR(C28="",Q28=""="",X28="",AB28="",AE28="",AG28="",V28=""),"",ROUND((AW28+AY28),0))</f>
        <v/>
      </c>
      <c r="AL28" s="905"/>
      <c r="AM28" s="905"/>
      <c r="AN28" s="815" t="str">
        <f t="shared" ref="AN28" si="16">IF(OR(C28="",Q28="",X28="",AB28="",AE28="",AG28="",V28=""),"",IF(BC28&lt;&gt;"",BC28,MIN(AU28,ROUND((Q28)*AI28,2))))</f>
        <v/>
      </c>
      <c r="AO28" s="816"/>
      <c r="AP28" s="816"/>
      <c r="AQ28" s="817"/>
      <c r="AR28" s="59"/>
      <c r="AU28" s="893" t="str">
        <f t="shared" ref="AU28" si="17">IF(OR(C28="",Q28="",X28="",AB28="",AE28="",AG28="",V28=""),"",(ROUND((AE28+AG28),2)))</f>
        <v/>
      </c>
      <c r="AV28" s="900" t="str">
        <f>IFERROR(IF(OR(C28="",I28="",Q28="",V28="",X28="",AB28="",AE28="",AG28="",AK28=0),"",IF(ISNUMBER(SEARCH("Exterior",C28)),0,ROUND((Q28/1000)*(INDEX(LightingWHF[Coincidence Factor CF],MATCH(M02S02F26,LightingWHF[Building/Space Type],0))-0.15)*
IF(OR(M02S02F32="AC with Natural Gas Heat",M02S02F32="AC with Electric Heat",M02S02F32="Heat Pump"),INDEX(LightingWHF[Waste Heat Cooling Demand WHFd],MATCH(M02S02F26,LightingWHF[Building/Space Type],0)),1),3))),"")</f>
        <v/>
      </c>
      <c r="AW28" s="900" t="str">
        <f>IF(OR(C28="",Q28="",X28="",AB28="",AE28="",AG28="",V28=""),"",ROUND(((Q28/1000)*V28*INDEX(PMELIGHTCON[Eff Desc 2],MATCH(C28,PMELIGHTCON[Eff Desc 1],0))*AZ28),0))</f>
        <v/>
      </c>
      <c r="AX28" s="895" t="str">
        <f>IF(OR(C28="",Q28="",X28="",AB28="",AE28="",AG28="",V28=""),"",IF(ISNUMBER(SEARCH("Exterior",C28)),0,IF(M02S02F46="Electric Only",0,IF(OR(M02S02F32="AC with Natural Gas Heat",M02S02F32="Natural Gas Heat Only"),(((Q28/1000)*V28*INDEX(PMELIGHTCON[Eff Desc 2],MATCH(C28,PMELIGHTCON[Eff Desc 1],0))*-INDEX(LightingWHF[Waste Heat Gas Heating IFTherms],MATCH(M02S02F26,LightingWHF[Building/Space Type],0)))),0))))</f>
        <v/>
      </c>
      <c r="AY28" s="895" t="str">
        <f>IF(OR(C28="",Q28="",X28="",AB28="",AE28="",AG28="",V28=""),"",IF(M02S02F46="Gas Only",0,IF(ISNUMBER(SEARCH("Exterior",C28)),0,IF(M02S02F32="Heat Pump",(((Q28/1000)*V28*INDEX(PMELIGHTCON[Eff Desc 2],MATCH(C28,PMELIGHTCON[Eff Desc 1],0)))*-INDEX(LightingWHF[Waste Heat Electric Heat Pump Heating IFkWh],MATCH(M02S02F26,LightingWHF[Building/Space Type],0))),
IF(OR(M02S02F32="AC with Electric Heat",M02S02F32="Electric Heat Only"),(((Q28/1000)*V28*INDEX(PMELIGHTCON[Eff Desc 2],MATCH(C28,PMELIGHTCON[Eff Desc 1],0)))*-INDEX(LightingWHF[Waste Heat Electric Resistance Heating IFkWh],MATCH(M02S02F26,LightingWHF[Building/Space Type],0))),0
)))))</f>
        <v/>
      </c>
      <c r="AZ28" s="895" t="str">
        <f>IF(OR(C28="",Q28="",X28="",AB28="",AE28="",AG28="",V28=""),"",IF(M02S02F46="Gas Only",0,IF(ISNUMBER(SEARCH("Exterior",C28)),1,IF(OR(M02S02F32="Heat Pump",M02S02F32="AC with Natural Gas Heat",M02S02F32="AC with Electric Heat"),(INDEX(LightingWHF[Waste Heat Cooling Energy WHFe],MATCH(M02S02F26,LightingWHF[Building/Space Type],0))),1))))</f>
        <v/>
      </c>
      <c r="BC28" s="825" t="str">
        <f>IF(OR(I28="",Q28="",C28="",V28="",X28="",AB28="",AE28="",AG28=""),"",IF(OR(ISBLANK(M02S02F26),ISBLANK(M02S02F32),ISBLANK(M02S02F46)),MEASUREBLDG,""))</f>
        <v/>
      </c>
      <c r="BE28" s="806" t="str">
        <f ca="1">IF(OR(I28="",Q28="",C28="",V28="",X28="",AB28="",AE28="",AG28=""),"",IF('M01-S01'!$V$82&lt;TODAY(),0,IF(M02S02F46="Gas Only",0,IF(OR(AK28="",AK28&lt;0,AU28&lt;=AN28),0,MIN(AU28-AN28,ROUND(AN28*0.2,2))))))</f>
        <v/>
      </c>
    </row>
    <row r="29" spans="2:57" ht="15.95" customHeight="1">
      <c r="B29" s="829"/>
      <c r="C29" s="835"/>
      <c r="D29" s="836"/>
      <c r="E29" s="836"/>
      <c r="F29" s="836"/>
      <c r="G29" s="836"/>
      <c r="H29" s="837"/>
      <c r="I29" s="911"/>
      <c r="J29" s="912"/>
      <c r="K29" s="912"/>
      <c r="L29" s="913"/>
      <c r="M29" s="911"/>
      <c r="N29" s="912"/>
      <c r="O29" s="912"/>
      <c r="P29" s="913"/>
      <c r="Q29" s="835"/>
      <c r="R29" s="836"/>
      <c r="S29" s="836"/>
      <c r="T29" s="836"/>
      <c r="U29" s="837"/>
      <c r="V29" s="848"/>
      <c r="W29" s="849"/>
      <c r="X29" s="835"/>
      <c r="Y29" s="836"/>
      <c r="Z29" s="836"/>
      <c r="AA29" s="837"/>
      <c r="AB29" s="835"/>
      <c r="AC29" s="836"/>
      <c r="AD29" s="837"/>
      <c r="AE29" s="860"/>
      <c r="AF29" s="870"/>
      <c r="AG29" s="860"/>
      <c r="AH29" s="870"/>
      <c r="AI29" s="919"/>
      <c r="AJ29" s="865"/>
      <c r="AK29" s="906"/>
      <c r="AL29" s="907"/>
      <c r="AM29" s="907"/>
      <c r="AN29" s="818"/>
      <c r="AO29" s="819"/>
      <c r="AP29" s="819"/>
      <c r="AQ29" s="820"/>
      <c r="AR29" s="59"/>
      <c r="AU29" s="809"/>
      <c r="AV29" s="901"/>
      <c r="AW29" s="901"/>
      <c r="AX29" s="812"/>
      <c r="AY29" s="812"/>
      <c r="AZ29" s="812"/>
      <c r="BC29" s="826"/>
      <c r="BE29" s="807"/>
    </row>
    <row r="30" spans="2:57" ht="15.95" customHeight="1">
      <c r="B30" s="829">
        <v>8</v>
      </c>
      <c r="C30" s="832"/>
      <c r="D30" s="833"/>
      <c r="E30" s="833"/>
      <c r="F30" s="833"/>
      <c r="G30" s="833"/>
      <c r="H30" s="834"/>
      <c r="I30" s="908" t="str">
        <f>IFERROR(IF(C30="","",INDEX(PMELIGHTCON[Base Desc 1],MATCH(C30,PMELIGHTCON[Eff Desc 1],0))),"")</f>
        <v/>
      </c>
      <c r="J30" s="909"/>
      <c r="K30" s="909"/>
      <c r="L30" s="910"/>
      <c r="M30" s="914" t="str">
        <f>IFERROR(IF(C30="","",INDEX(PMELIGHTCON[Unit of Measure],MATCH(C30,PMELIGHTCON[Eff Desc 1],0))),"")</f>
        <v/>
      </c>
      <c r="N30" s="915"/>
      <c r="O30" s="915"/>
      <c r="P30" s="916"/>
      <c r="Q30" s="866"/>
      <c r="R30" s="867"/>
      <c r="S30" s="867"/>
      <c r="T30" s="867"/>
      <c r="U30" s="868"/>
      <c r="V30" s="871" t="str">
        <f>IFERROR(IF(C30="","",INDEX(LightingWHF[Fixture Annual Operating Hours],MATCH(M02S02F26,LightingWHF[Building/Space Type],0))),"")</f>
        <v/>
      </c>
      <c r="W30" s="872"/>
      <c r="X30" s="832"/>
      <c r="Y30" s="833"/>
      <c r="Z30" s="833"/>
      <c r="AA30" s="834"/>
      <c r="AB30" s="832"/>
      <c r="AC30" s="833"/>
      <c r="AD30" s="834"/>
      <c r="AE30" s="858"/>
      <c r="AF30" s="869"/>
      <c r="AG30" s="858"/>
      <c r="AH30" s="869"/>
      <c r="AI30" s="917" t="str">
        <f>IFERROR(IF(C30="","",INDEX(PMELIGHTCON[Inc Rate Unit],MATCH(C30,PMELIGHTCON[Eff Desc 1],0))),"")</f>
        <v/>
      </c>
      <c r="AJ30" s="918"/>
      <c r="AK30" s="904" t="str">
        <f t="shared" ref="AK30" si="18">IF(OR(C30="",Q30=""="",X30="",AB30="",AE30="",AG30="",V30=""),"",ROUND((AW30+AY30),0))</f>
        <v/>
      </c>
      <c r="AL30" s="905"/>
      <c r="AM30" s="905"/>
      <c r="AN30" s="815" t="str">
        <f t="shared" ref="AN30" si="19">IF(OR(C30="",Q30="",X30="",AB30="",AE30="",AG30="",V30=""),"",IF(BC30&lt;&gt;"",BC30,MIN(AU30,ROUND((Q30)*AI30,2))))</f>
        <v/>
      </c>
      <c r="AO30" s="816"/>
      <c r="AP30" s="816"/>
      <c r="AQ30" s="817"/>
      <c r="AR30" s="59"/>
      <c r="AU30" s="893" t="str">
        <f t="shared" ref="AU30" si="20">IF(OR(C30="",Q30="",X30="",AB30="",AE30="",AG30="",V30=""),"",(ROUND((AE30+AG30),2)))</f>
        <v/>
      </c>
      <c r="AV30" s="900" t="str">
        <f>IFERROR(IF(OR(C30="",I30="",Q30="",V30="",X30="",AB30="",AE30="",AG30="",AK30=0),"",IF(ISNUMBER(SEARCH("Exterior",C30)),0,ROUND((Q30/1000)*(INDEX(LightingWHF[Coincidence Factor CF],MATCH(M02S02F26,LightingWHF[Building/Space Type],0))-0.15)*
IF(OR(M02S02F32="AC with Natural Gas Heat",M02S02F32="AC with Electric Heat",M02S02F32="Heat Pump"),INDEX(LightingWHF[Waste Heat Cooling Demand WHFd],MATCH(M02S02F26,LightingWHF[Building/Space Type],0)),1),3))),"")</f>
        <v/>
      </c>
      <c r="AW30" s="900" t="str">
        <f>IF(OR(C30="",Q30="",X30="",AB30="",AE30="",AG30="",V30=""),"",ROUND(((Q30/1000)*V30*INDEX(PMELIGHTCON[Eff Desc 2],MATCH(C30,PMELIGHTCON[Eff Desc 1],0))*AZ30),0))</f>
        <v/>
      </c>
      <c r="AX30" s="895" t="str">
        <f>IF(OR(C30="",Q30="",X30="",AB30="",AE30="",AG30="",V30=""),"",IF(ISNUMBER(SEARCH("Exterior",C30)),0,IF(M02S02F46="Electric Only",0,IF(OR(M02S02F32="AC with Natural Gas Heat",M02S02F32="Natural Gas Heat Only"),(((Q30/1000)*V30*INDEX(PMELIGHTCON[Eff Desc 2],MATCH(C30,PMELIGHTCON[Eff Desc 1],0))*-INDEX(LightingWHF[Waste Heat Gas Heating IFTherms],MATCH(M02S02F26,LightingWHF[Building/Space Type],0)))),0))))</f>
        <v/>
      </c>
      <c r="AY30" s="895" t="str">
        <f>IF(OR(C30="",Q30="",X30="",AB30="",AE30="",AG30="",V30=""),"",IF(M02S02F46="Gas Only",0,IF(ISNUMBER(SEARCH("Exterior",C30)),0,IF(M02S02F32="Heat Pump",(((Q30/1000)*V30*INDEX(PMELIGHTCON[Eff Desc 2],MATCH(C30,PMELIGHTCON[Eff Desc 1],0)))*-INDEX(LightingWHF[Waste Heat Electric Heat Pump Heating IFkWh],MATCH(M02S02F26,LightingWHF[Building/Space Type],0))),
IF(OR(M02S02F32="AC with Electric Heat",M02S02F32="Electric Heat Only"),(((Q30/1000)*V30*INDEX(PMELIGHTCON[Eff Desc 2],MATCH(C30,PMELIGHTCON[Eff Desc 1],0)))*-INDEX(LightingWHF[Waste Heat Electric Resistance Heating IFkWh],MATCH(M02S02F26,LightingWHF[Building/Space Type],0))),0
)))))</f>
        <v/>
      </c>
      <c r="AZ30" s="895" t="str">
        <f>IF(OR(C30="",Q30="",X30="",AB30="",AE30="",AG30="",V30=""),"",IF(M02S02F46="Gas Only",0,IF(ISNUMBER(SEARCH("Exterior",C30)),1,IF(OR(M02S02F32="Heat Pump",M02S02F32="AC with Natural Gas Heat",M02S02F32="AC with Electric Heat"),(INDEX(LightingWHF[Waste Heat Cooling Energy WHFe],MATCH(M02S02F26,LightingWHF[Building/Space Type],0))),1))))</f>
        <v/>
      </c>
      <c r="BC30" s="825" t="str">
        <f>IF(OR(I30="",Q30="",C30="",V30="",X30="",AB30="",AE30="",AG30=""),"",IF(OR(ISBLANK(M02S02F26),ISBLANK(M02S02F32),ISBLANK(M02S02F46)),MEASUREBLDG,""))</f>
        <v/>
      </c>
      <c r="BE30" s="806" t="str">
        <f ca="1">IF(OR(I30="",Q30="",C30="",V30="",X30="",AB30="",AE30="",AG30=""),"",IF('M01-S01'!$V$82&lt;TODAY(),0,IF(M02S02F46="Gas Only",0,IF(OR(AK30="",AK30&lt;0,AU30&lt;=AN30),0,MIN(AU30-AN30,ROUND(AN30*0.2,2))))))</f>
        <v/>
      </c>
    </row>
    <row r="31" spans="2:57" ht="15.95" customHeight="1">
      <c r="B31" s="829"/>
      <c r="C31" s="835"/>
      <c r="D31" s="836"/>
      <c r="E31" s="836"/>
      <c r="F31" s="836"/>
      <c r="G31" s="836"/>
      <c r="H31" s="837"/>
      <c r="I31" s="911"/>
      <c r="J31" s="912"/>
      <c r="K31" s="912"/>
      <c r="L31" s="913"/>
      <c r="M31" s="911"/>
      <c r="N31" s="912"/>
      <c r="O31" s="912"/>
      <c r="P31" s="913"/>
      <c r="Q31" s="835"/>
      <c r="R31" s="836"/>
      <c r="S31" s="836"/>
      <c r="T31" s="836"/>
      <c r="U31" s="837"/>
      <c r="V31" s="848"/>
      <c r="W31" s="849"/>
      <c r="X31" s="835"/>
      <c r="Y31" s="836"/>
      <c r="Z31" s="836"/>
      <c r="AA31" s="837"/>
      <c r="AB31" s="835"/>
      <c r="AC31" s="836"/>
      <c r="AD31" s="837"/>
      <c r="AE31" s="860"/>
      <c r="AF31" s="870"/>
      <c r="AG31" s="860"/>
      <c r="AH31" s="870"/>
      <c r="AI31" s="919"/>
      <c r="AJ31" s="865"/>
      <c r="AK31" s="906"/>
      <c r="AL31" s="907"/>
      <c r="AM31" s="907"/>
      <c r="AN31" s="818"/>
      <c r="AO31" s="819"/>
      <c r="AP31" s="819"/>
      <c r="AQ31" s="820"/>
      <c r="AR31" s="59"/>
      <c r="AU31" s="809"/>
      <c r="AV31" s="901"/>
      <c r="AW31" s="901"/>
      <c r="AX31" s="812"/>
      <c r="AY31" s="812"/>
      <c r="AZ31" s="812"/>
      <c r="BC31" s="826"/>
      <c r="BE31" s="807"/>
    </row>
    <row r="32" spans="2:57" ht="15.95" customHeight="1">
      <c r="B32" s="829">
        <v>9</v>
      </c>
      <c r="C32" s="832"/>
      <c r="D32" s="833"/>
      <c r="E32" s="833"/>
      <c r="F32" s="833"/>
      <c r="G32" s="833"/>
      <c r="H32" s="834"/>
      <c r="I32" s="908" t="str">
        <f>IFERROR(IF(C32="","",INDEX(PMELIGHTCON[Base Desc 1],MATCH(C32,PMELIGHTCON[Eff Desc 1],0))),"")</f>
        <v/>
      </c>
      <c r="J32" s="909"/>
      <c r="K32" s="909"/>
      <c r="L32" s="910"/>
      <c r="M32" s="914" t="str">
        <f>IFERROR(IF(C32="","",INDEX(PMELIGHTCON[Unit of Measure],MATCH(C32,PMELIGHTCON[Eff Desc 1],0))),"")</f>
        <v/>
      </c>
      <c r="N32" s="915"/>
      <c r="O32" s="915"/>
      <c r="P32" s="916"/>
      <c r="Q32" s="866"/>
      <c r="R32" s="867"/>
      <c r="S32" s="867"/>
      <c r="T32" s="867"/>
      <c r="U32" s="868"/>
      <c r="V32" s="871" t="str">
        <f>IFERROR(IF(C32="","",INDEX(LightingWHF[Fixture Annual Operating Hours],MATCH(M02S02F26,LightingWHF[Building/Space Type],0))),"")</f>
        <v/>
      </c>
      <c r="W32" s="872"/>
      <c r="X32" s="832"/>
      <c r="Y32" s="833"/>
      <c r="Z32" s="833"/>
      <c r="AA32" s="834"/>
      <c r="AB32" s="832"/>
      <c r="AC32" s="833"/>
      <c r="AD32" s="834"/>
      <c r="AE32" s="858"/>
      <c r="AF32" s="869"/>
      <c r="AG32" s="858"/>
      <c r="AH32" s="869"/>
      <c r="AI32" s="917" t="str">
        <f>IFERROR(IF(C32="","",INDEX(PMELIGHTCON[Inc Rate Unit],MATCH(C32,PMELIGHTCON[Eff Desc 1],0))),"")</f>
        <v/>
      </c>
      <c r="AJ32" s="918"/>
      <c r="AK32" s="904" t="str">
        <f t="shared" ref="AK32" si="21">IF(OR(C32="",Q32=""="",X32="",AB32="",AE32="",AG32="",V32=""),"",ROUND((AW32+AY32),0))</f>
        <v/>
      </c>
      <c r="AL32" s="905"/>
      <c r="AM32" s="905"/>
      <c r="AN32" s="815" t="str">
        <f t="shared" ref="AN32" si="22">IF(OR(C32="",Q32="",X32="",AB32="",AE32="",AG32="",V32=""),"",IF(BC32&lt;&gt;"",BC32,MIN(AU32,ROUND((Q32)*AI32,2))))</f>
        <v/>
      </c>
      <c r="AO32" s="816"/>
      <c r="AP32" s="816"/>
      <c r="AQ32" s="817"/>
      <c r="AR32" s="59"/>
      <c r="AU32" s="893" t="str">
        <f t="shared" ref="AU32" si="23">IF(OR(C32="",Q32="",X32="",AB32="",AE32="",AG32="",V32=""),"",(ROUND((AE32+AG32),2)))</f>
        <v/>
      </c>
      <c r="AV32" s="900" t="str">
        <f>IFERROR(IF(OR(C32="",I32="",Q32="",V32="",X32="",AB32="",AE32="",AG32="",AK32=0),"",IF(ISNUMBER(SEARCH("Exterior",C32)),0,ROUND((Q32/1000)*(INDEX(LightingWHF[Coincidence Factor CF],MATCH(M02S02F26,LightingWHF[Building/Space Type],0))-0.15)*
IF(OR(M02S02F32="AC with Natural Gas Heat",M02S02F32="AC with Electric Heat",M02S02F32="Heat Pump"),INDEX(LightingWHF[Waste Heat Cooling Demand WHFd],MATCH(M02S02F26,LightingWHF[Building/Space Type],0)),1),3))),"")</f>
        <v/>
      </c>
      <c r="AW32" s="900" t="str">
        <f>IF(OR(C32="",Q32="",X32="",AB32="",AE32="",AG32="",V32=""),"",ROUND(((Q32/1000)*V32*INDEX(PMELIGHTCON[Eff Desc 2],MATCH(C32,PMELIGHTCON[Eff Desc 1],0))*AZ32),0))</f>
        <v/>
      </c>
      <c r="AX32" s="895" t="str">
        <f>IF(OR(C32="",Q32="",X32="",AB32="",AE32="",AG32="",V32=""),"",IF(ISNUMBER(SEARCH("Exterior",C32)),0,IF(M02S02F46="Electric Only",0,IF(OR(M02S02F32="AC with Natural Gas Heat",M02S02F32="Natural Gas Heat Only"),(((Q32/1000)*V32*INDEX(PMELIGHTCON[Eff Desc 2],MATCH(C32,PMELIGHTCON[Eff Desc 1],0))*-INDEX(LightingWHF[Waste Heat Gas Heating IFTherms],MATCH(M02S02F26,LightingWHF[Building/Space Type],0)))),0))))</f>
        <v/>
      </c>
      <c r="AY32" s="895" t="str">
        <f>IF(OR(C32="",Q32="",X32="",AB32="",AE32="",AG32="",V32=""),"",IF(M02S02F46="Gas Only",0,IF(ISNUMBER(SEARCH("Exterior",C32)),0,IF(M02S02F32="Heat Pump",(((Q32/1000)*V32*INDEX(PMELIGHTCON[Eff Desc 2],MATCH(C32,PMELIGHTCON[Eff Desc 1],0)))*-INDEX(LightingWHF[Waste Heat Electric Heat Pump Heating IFkWh],MATCH(M02S02F26,LightingWHF[Building/Space Type],0))),
IF(OR(M02S02F32="AC with Electric Heat",M02S02F32="Electric Heat Only"),(((Q32/1000)*V32*INDEX(PMELIGHTCON[Eff Desc 2],MATCH(C32,PMELIGHTCON[Eff Desc 1],0)))*-INDEX(LightingWHF[Waste Heat Electric Resistance Heating IFkWh],MATCH(M02S02F26,LightingWHF[Building/Space Type],0))),0
)))))</f>
        <v/>
      </c>
      <c r="AZ32" s="895" t="str">
        <f>IF(OR(C32="",Q32="",X32="",AB32="",AE32="",AG32="",V32=""),"",IF(M02S02F46="Gas Only",0,IF(ISNUMBER(SEARCH("Exterior",C32)),1,IF(OR(M02S02F32="Heat Pump",M02S02F32="AC with Natural Gas Heat",M02S02F32="AC with Electric Heat"),(INDEX(LightingWHF[Waste Heat Cooling Energy WHFe],MATCH(M02S02F26,LightingWHF[Building/Space Type],0))),1))))</f>
        <v/>
      </c>
      <c r="BC32" s="825" t="str">
        <f>IF(OR(I32="",Q32="",C32="",V32="",X32="",AB32="",AE32="",AG32=""),"",IF(OR(ISBLANK(M02S02F26),ISBLANK(M02S02F32),ISBLANK(M02S02F46)),MEASUREBLDG,""))</f>
        <v/>
      </c>
      <c r="BE32" s="806" t="str">
        <f ca="1">IF(OR(I32="",Q32="",C32="",V32="",X32="",AB32="",AE32="",AG32=""),"",IF('M01-S01'!$V$82&lt;TODAY(),0,IF(M02S02F46="Gas Only",0,IF(OR(AK32="",AK32&lt;0,AU32&lt;=AN32),0,MIN(AU32-AN32,ROUND(AN32*0.2,2))))))</f>
        <v/>
      </c>
    </row>
    <row r="33" spans="2:57" ht="15.95" customHeight="1">
      <c r="B33" s="829"/>
      <c r="C33" s="835"/>
      <c r="D33" s="836"/>
      <c r="E33" s="836"/>
      <c r="F33" s="836"/>
      <c r="G33" s="836"/>
      <c r="H33" s="837"/>
      <c r="I33" s="911"/>
      <c r="J33" s="912"/>
      <c r="K33" s="912"/>
      <c r="L33" s="913"/>
      <c r="M33" s="911"/>
      <c r="N33" s="912"/>
      <c r="O33" s="912"/>
      <c r="P33" s="913"/>
      <c r="Q33" s="835"/>
      <c r="R33" s="836"/>
      <c r="S33" s="836"/>
      <c r="T33" s="836"/>
      <c r="U33" s="837"/>
      <c r="V33" s="848"/>
      <c r="W33" s="849"/>
      <c r="X33" s="835"/>
      <c r="Y33" s="836"/>
      <c r="Z33" s="836"/>
      <c r="AA33" s="837"/>
      <c r="AB33" s="835"/>
      <c r="AC33" s="836"/>
      <c r="AD33" s="837"/>
      <c r="AE33" s="860"/>
      <c r="AF33" s="870"/>
      <c r="AG33" s="860"/>
      <c r="AH33" s="870"/>
      <c r="AI33" s="919"/>
      <c r="AJ33" s="865"/>
      <c r="AK33" s="906"/>
      <c r="AL33" s="907"/>
      <c r="AM33" s="907"/>
      <c r="AN33" s="818"/>
      <c r="AO33" s="819"/>
      <c r="AP33" s="819"/>
      <c r="AQ33" s="820"/>
      <c r="AR33" s="59"/>
      <c r="AU33" s="809"/>
      <c r="AV33" s="901"/>
      <c r="AW33" s="901"/>
      <c r="AX33" s="812"/>
      <c r="AY33" s="812"/>
      <c r="AZ33" s="812"/>
      <c r="BC33" s="826"/>
      <c r="BE33" s="807"/>
    </row>
    <row r="34" spans="2:57" ht="15.95" customHeight="1">
      <c r="B34" s="829">
        <v>10</v>
      </c>
      <c r="C34" s="832"/>
      <c r="D34" s="833"/>
      <c r="E34" s="833"/>
      <c r="F34" s="833"/>
      <c r="G34" s="833"/>
      <c r="H34" s="834"/>
      <c r="I34" s="908" t="str">
        <f>IFERROR(IF(C34="","",INDEX(PMELIGHTCON[Base Desc 1],MATCH(C34,PMELIGHTCON[Eff Desc 1],0))),"")</f>
        <v/>
      </c>
      <c r="J34" s="909"/>
      <c r="K34" s="909"/>
      <c r="L34" s="910"/>
      <c r="M34" s="914" t="str">
        <f>IFERROR(IF(C34="","",INDEX(PMELIGHTCON[Unit of Measure],MATCH(C34,PMELIGHTCON[Eff Desc 1],0))),"")</f>
        <v/>
      </c>
      <c r="N34" s="915"/>
      <c r="O34" s="915"/>
      <c r="P34" s="916"/>
      <c r="Q34" s="866"/>
      <c r="R34" s="867"/>
      <c r="S34" s="867"/>
      <c r="T34" s="867"/>
      <c r="U34" s="868"/>
      <c r="V34" s="871" t="str">
        <f>IFERROR(IF(C34="","",INDEX(LightingWHF[Fixture Annual Operating Hours],MATCH(M02S02F26,LightingWHF[Building/Space Type],0))),"")</f>
        <v/>
      </c>
      <c r="W34" s="872"/>
      <c r="X34" s="832"/>
      <c r="Y34" s="833"/>
      <c r="Z34" s="833"/>
      <c r="AA34" s="834"/>
      <c r="AB34" s="832"/>
      <c r="AC34" s="833"/>
      <c r="AD34" s="834"/>
      <c r="AE34" s="858"/>
      <c r="AF34" s="869"/>
      <c r="AG34" s="858"/>
      <c r="AH34" s="869"/>
      <c r="AI34" s="917" t="str">
        <f>IFERROR(IF(C34="","",INDEX(PMELIGHTCON[Inc Rate Unit],MATCH(C34,PMELIGHTCON[Eff Desc 1],0))),"")</f>
        <v/>
      </c>
      <c r="AJ34" s="918"/>
      <c r="AK34" s="904" t="str">
        <f t="shared" ref="AK34" si="24">IF(OR(C34="",Q34=""="",X34="",AB34="",AE34="",AG34="",V34=""),"",ROUND((AW34+AY34),0))</f>
        <v/>
      </c>
      <c r="AL34" s="905"/>
      <c r="AM34" s="905"/>
      <c r="AN34" s="815" t="str">
        <f t="shared" ref="AN34" si="25">IF(OR(C34="",Q34="",X34="",AB34="",AE34="",AG34="",V34=""),"",IF(BC34&lt;&gt;"",BC34,MIN(AU34,ROUND((Q34)*AI34,2))))</f>
        <v/>
      </c>
      <c r="AO34" s="816"/>
      <c r="AP34" s="816"/>
      <c r="AQ34" s="817"/>
      <c r="AR34" s="59"/>
      <c r="AU34" s="893" t="str">
        <f t="shared" ref="AU34" si="26">IF(OR(C34="",Q34="",X34="",AB34="",AE34="",AG34="",V34=""),"",(ROUND((AE34+AG34),2)))</f>
        <v/>
      </c>
      <c r="AV34" s="900" t="str">
        <f>IFERROR(IF(OR(C34="",I34="",Q34="",V34="",X34="",AB34="",AE34="",AG34="",AK34=0),"",IF(ISNUMBER(SEARCH("Exterior",C34)),0,ROUND((Q34/1000)*(INDEX(LightingWHF[Coincidence Factor CF],MATCH(M02S02F26,LightingWHF[Building/Space Type],0))-0.15)*
IF(OR(M02S02F32="AC with Natural Gas Heat",M02S02F32="AC with Electric Heat",M02S02F32="Heat Pump"),INDEX(LightingWHF[Waste Heat Cooling Demand WHFd],MATCH(M02S02F26,LightingWHF[Building/Space Type],0)),1),3))),"")</f>
        <v/>
      </c>
      <c r="AW34" s="900" t="str">
        <f>IF(OR(C34="",Q34="",X34="",AB34="",AE34="",AG34="",V34=""),"",ROUND(((Q34/1000)*V34*INDEX(PMELIGHTCON[Eff Desc 2],MATCH(C34,PMELIGHTCON[Eff Desc 1],0))*AZ34),0))</f>
        <v/>
      </c>
      <c r="AX34" s="895" t="str">
        <f>IF(OR(C34="",Q34="",X34="",AB34="",AE34="",AG34="",V34=""),"",IF(ISNUMBER(SEARCH("Exterior",C34)),0,IF(M02S02F46="Electric Only",0,IF(OR(M02S02F32="AC with Natural Gas Heat",M02S02F32="Natural Gas Heat Only"),(((Q34/1000)*V34*INDEX(PMELIGHTCON[Eff Desc 2],MATCH(C34,PMELIGHTCON[Eff Desc 1],0))*-INDEX(LightingWHF[Waste Heat Gas Heating IFTherms],MATCH(M02S02F26,LightingWHF[Building/Space Type],0)))),0))))</f>
        <v/>
      </c>
      <c r="AY34" s="895" t="str">
        <f>IF(OR(C34="",Q34="",X34="",AB34="",AE34="",AG34="",V34=""),"",IF(M02S02F46="Gas Only",0,IF(ISNUMBER(SEARCH("Exterior",C34)),0,IF(M02S02F32="Heat Pump",(((Q34/1000)*V34*INDEX(PMELIGHTCON[Eff Desc 2],MATCH(C34,PMELIGHTCON[Eff Desc 1],0)))*-INDEX(LightingWHF[Waste Heat Electric Heat Pump Heating IFkWh],MATCH(M02S02F26,LightingWHF[Building/Space Type],0))),
IF(OR(M02S02F32="AC with Electric Heat",M02S02F32="Electric Heat Only"),(((Q34/1000)*V34*INDEX(PMELIGHTCON[Eff Desc 2],MATCH(C34,PMELIGHTCON[Eff Desc 1],0)))*-INDEX(LightingWHF[Waste Heat Electric Resistance Heating IFkWh],MATCH(M02S02F26,LightingWHF[Building/Space Type],0))),0
)))))</f>
        <v/>
      </c>
      <c r="AZ34" s="895" t="str">
        <f>IF(OR(C34="",Q34="",X34="",AB34="",AE34="",AG34="",V34=""),"",IF(M02S02F46="Gas Only",0,IF(ISNUMBER(SEARCH("Exterior",C34)),1,IF(OR(M02S02F32="Heat Pump",M02S02F32="AC with Natural Gas Heat",M02S02F32="AC with Electric Heat"),(INDEX(LightingWHF[Waste Heat Cooling Energy WHFe],MATCH(M02S02F26,LightingWHF[Building/Space Type],0))),1))))</f>
        <v/>
      </c>
      <c r="BC34" s="825" t="str">
        <f>IF(OR(I34="",Q34="",C34="",V34="",X34="",AB34="",AE34="",AG34=""),"",IF(OR(ISBLANK(M02S02F26),ISBLANK(M02S02F32),ISBLANK(M02S02F46)),MEASUREBLDG,""))</f>
        <v/>
      </c>
      <c r="BE34" s="806" t="str">
        <f ca="1">IF(OR(I34="",Q34="",C34="",V34="",X34="",AB34="",AE34="",AG34=""),"",IF('M01-S01'!$V$82&lt;TODAY(),0,IF(M02S02F46="Gas Only",0,IF(OR(AK34="",AK34&lt;0,AU34&lt;=AN34),0,MIN(AU34-AN34,ROUND(AN34*0.2,2))))))</f>
        <v/>
      </c>
    </row>
    <row r="35" spans="2:57" ht="15.75" customHeight="1">
      <c r="B35" s="829"/>
      <c r="C35" s="835"/>
      <c r="D35" s="836"/>
      <c r="E35" s="836"/>
      <c r="F35" s="836"/>
      <c r="G35" s="836"/>
      <c r="H35" s="837"/>
      <c r="I35" s="911"/>
      <c r="J35" s="912"/>
      <c r="K35" s="912"/>
      <c r="L35" s="913"/>
      <c r="M35" s="911"/>
      <c r="N35" s="912"/>
      <c r="O35" s="912"/>
      <c r="P35" s="913"/>
      <c r="Q35" s="835"/>
      <c r="R35" s="836"/>
      <c r="S35" s="836"/>
      <c r="T35" s="836"/>
      <c r="U35" s="837"/>
      <c r="V35" s="848"/>
      <c r="W35" s="849"/>
      <c r="X35" s="835"/>
      <c r="Y35" s="836"/>
      <c r="Z35" s="836"/>
      <c r="AA35" s="837"/>
      <c r="AB35" s="835"/>
      <c r="AC35" s="836"/>
      <c r="AD35" s="837"/>
      <c r="AE35" s="860"/>
      <c r="AF35" s="870"/>
      <c r="AG35" s="860"/>
      <c r="AH35" s="870"/>
      <c r="AI35" s="919"/>
      <c r="AJ35" s="865"/>
      <c r="AK35" s="906"/>
      <c r="AL35" s="907"/>
      <c r="AM35" s="907"/>
      <c r="AN35" s="818"/>
      <c r="AO35" s="819"/>
      <c r="AP35" s="819"/>
      <c r="AQ35" s="820"/>
      <c r="AR35" s="59"/>
      <c r="AU35" s="809"/>
      <c r="AV35" s="901"/>
      <c r="AW35" s="901"/>
      <c r="AX35" s="812"/>
      <c r="AY35" s="812"/>
      <c r="AZ35" s="812"/>
      <c r="BC35" s="826"/>
      <c r="BE35" s="807"/>
    </row>
    <row r="36" spans="2:57" ht="15.95" hidden="1" customHeight="1">
      <c r="B36" s="829">
        <v>11</v>
      </c>
      <c r="C36" s="832"/>
      <c r="D36" s="833"/>
      <c r="E36" s="833"/>
      <c r="F36" s="833"/>
      <c r="G36" s="833"/>
      <c r="H36" s="834"/>
      <c r="I36" s="908" t="str">
        <f>IFERROR(IF(C36="","",INDEX(PMELIGHTCON[Base Desc 1],MATCH(C36,PMELIGHTCON[Eff Desc 1],0))),"")</f>
        <v/>
      </c>
      <c r="J36" s="909"/>
      <c r="K36" s="909"/>
      <c r="L36" s="910"/>
      <c r="M36" s="908" t="str">
        <f>IFERROR(IF(C36="","",INDEX(PMELIGHTCON[Eff Desc 2],MATCH(C36,PMELIGHTCON[Eff Desc 1],0))),"")</f>
        <v/>
      </c>
      <c r="N36" s="909"/>
      <c r="O36" s="909"/>
      <c r="P36" s="910"/>
      <c r="Q36" s="927"/>
      <c r="R36" s="928"/>
      <c r="S36" s="929"/>
      <c r="T36" s="908" t="str">
        <f>IFERROR(IF(C36="","",INDEX(PMELIGHTCON[Unit of Measure],MATCH(C36,PMELIGHTCON[Eff Desc 1],0))),"")</f>
        <v/>
      </c>
      <c r="U36" s="910"/>
      <c r="V36" s="846"/>
      <c r="W36" s="847"/>
      <c r="X36" s="832"/>
      <c r="Y36" s="833"/>
      <c r="Z36" s="833"/>
      <c r="AA36" s="834"/>
      <c r="AB36" s="832"/>
      <c r="AC36" s="833"/>
      <c r="AD36" s="834"/>
      <c r="AE36" s="858"/>
      <c r="AF36" s="869"/>
      <c r="AG36" s="858"/>
      <c r="AH36" s="869"/>
      <c r="AI36" s="917" t="str">
        <f>IFERROR(IF(C36="","",INDEX(PMELIGHTCON[Inc Rate Unit],MATCH(C36,PMELIGHTCON[Eff Desc 1],0))),"")</f>
        <v/>
      </c>
      <c r="AJ36" s="918"/>
      <c r="AK36" s="904" t="str">
        <f>IF(OR(C36="",Q36="",V36="",X36="",AB36="",AE36="",AG36=""),"",ROUND(V36*INDEX(PMELIGHTCON[Savings per Unit kWh],MATCH(C36,PMELIGHTCON[Eff Desc 1],0)),2))</f>
        <v/>
      </c>
      <c r="AL36" s="905"/>
      <c r="AM36" s="905"/>
      <c r="AN36" s="924" t="str">
        <f t="shared" ref="AN36" si="27">IF(OR(C36="",Q36="",V36="",X36="",AB36="",AE36="",AG36=""),"",IF(BC36&lt;&gt;"",BC36,MIN(AU36,ROUND(V36*AI36,2))))</f>
        <v/>
      </c>
      <c r="AO36" s="925"/>
      <c r="AP36" s="925"/>
      <c r="AQ36" s="863"/>
      <c r="AR36" s="59"/>
      <c r="AU36" s="808" t="str">
        <f t="shared" ref="AU36" si="28">IF(OR(C36="",Q36="",V36="",X36="",AB36="",AE36="",AG36=""),"",(ROUND((AE36+AG36)*V36,2)))</f>
        <v/>
      </c>
      <c r="AV36" s="922" t="str">
        <f>IF(OR(C36="",Q36="",V36="",X36="",AB36="",AE36="",AG36=""),"",ROUND((V36*INDEX(PMELIGHTCON[Savings per Unit kW],MATCH(C36,PMELIGHTCON[Eff Desc 1],0)))*INDEX(ENDUSEALL[Lighting Coincidence Factor],MATCH("Lighting Controls",ENDUSEALL[End Use],0)),3))</f>
        <v/>
      </c>
      <c r="AX36" s="895"/>
      <c r="AY36" s="895"/>
      <c r="BC36" s="825"/>
    </row>
    <row r="37" spans="2:57" ht="15.95" hidden="1" customHeight="1">
      <c r="B37" s="829"/>
      <c r="C37" s="835"/>
      <c r="D37" s="836"/>
      <c r="E37" s="836"/>
      <c r="F37" s="836"/>
      <c r="G37" s="836"/>
      <c r="H37" s="837"/>
      <c r="I37" s="911"/>
      <c r="J37" s="912"/>
      <c r="K37" s="912"/>
      <c r="L37" s="913"/>
      <c r="M37" s="911"/>
      <c r="N37" s="912"/>
      <c r="O37" s="912"/>
      <c r="P37" s="913"/>
      <c r="Q37" s="930"/>
      <c r="R37" s="931"/>
      <c r="S37" s="932"/>
      <c r="T37" s="911"/>
      <c r="U37" s="913"/>
      <c r="V37" s="848"/>
      <c r="W37" s="849"/>
      <c r="X37" s="835"/>
      <c r="Y37" s="836"/>
      <c r="Z37" s="836"/>
      <c r="AA37" s="837"/>
      <c r="AB37" s="835"/>
      <c r="AC37" s="836"/>
      <c r="AD37" s="837"/>
      <c r="AE37" s="860"/>
      <c r="AF37" s="870"/>
      <c r="AG37" s="860"/>
      <c r="AH37" s="870"/>
      <c r="AI37" s="919"/>
      <c r="AJ37" s="865"/>
      <c r="AK37" s="906"/>
      <c r="AL37" s="907"/>
      <c r="AM37" s="907"/>
      <c r="AN37" s="919"/>
      <c r="AO37" s="926"/>
      <c r="AP37" s="926"/>
      <c r="AQ37" s="865"/>
      <c r="AR37" s="59"/>
      <c r="AU37" s="809"/>
      <c r="AV37" s="901"/>
      <c r="AX37" s="812"/>
      <c r="AY37" s="812"/>
      <c r="BC37" s="826"/>
    </row>
    <row r="38" spans="2:57" ht="15.95" hidden="1" customHeight="1">
      <c r="B38" s="829">
        <v>12</v>
      </c>
      <c r="C38" s="832"/>
      <c r="D38" s="833"/>
      <c r="E38" s="833"/>
      <c r="F38" s="833"/>
      <c r="G38" s="833"/>
      <c r="H38" s="834"/>
      <c r="I38" s="908" t="str">
        <f>IFERROR(IF(C38="","",INDEX(PMELIGHTCON[Base Desc 1],MATCH(C38,PMELIGHTCON[Eff Desc 1],0))),"")</f>
        <v/>
      </c>
      <c r="J38" s="909"/>
      <c r="K38" s="909"/>
      <c r="L38" s="910"/>
      <c r="M38" s="908" t="str">
        <f>IFERROR(IF(C38="","",INDEX(PMELIGHTCON[Eff Desc 2],MATCH(C38,PMELIGHTCON[Eff Desc 1],0))),"")</f>
        <v/>
      </c>
      <c r="N38" s="909"/>
      <c r="O38" s="909"/>
      <c r="P38" s="910"/>
      <c r="Q38" s="927"/>
      <c r="R38" s="928"/>
      <c r="S38" s="929"/>
      <c r="T38" s="908" t="str">
        <f>IFERROR(IF(C38="","",INDEX(PMELIGHTCON[Unit of Measure],MATCH(C38,PMELIGHTCON[Eff Desc 1],0))),"")</f>
        <v/>
      </c>
      <c r="U38" s="910"/>
      <c r="V38" s="846"/>
      <c r="W38" s="847"/>
      <c r="X38" s="832"/>
      <c r="Y38" s="833"/>
      <c r="Z38" s="833"/>
      <c r="AA38" s="834"/>
      <c r="AB38" s="832"/>
      <c r="AC38" s="833"/>
      <c r="AD38" s="834"/>
      <c r="AE38" s="858"/>
      <c r="AF38" s="869"/>
      <c r="AG38" s="858"/>
      <c r="AH38" s="869"/>
      <c r="AI38" s="917" t="str">
        <f>IFERROR(IF(C38="","",INDEX(PMELIGHTCON[Inc Rate Unit],MATCH(C38,PMELIGHTCON[Eff Desc 1],0))),"")</f>
        <v/>
      </c>
      <c r="AJ38" s="918"/>
      <c r="AK38" s="904" t="str">
        <f>IF(OR(C38="",Q38="",V38="",X38="",AB38="",AE38="",AG38=""),"",ROUND(V38*INDEX(PMELIGHTCON[Savings per Unit kWh],MATCH(C38,PMELIGHTCON[Eff Desc 1],0)),2))</f>
        <v/>
      </c>
      <c r="AL38" s="905"/>
      <c r="AM38" s="905"/>
      <c r="AN38" s="924" t="str">
        <f t="shared" ref="AN38" si="29">IF(OR(C38="",Q38="",V38="",X38="",AB38="",AE38="",AG38=""),"",IF(BC38&lt;&gt;"",BC38,MIN(AU38,ROUND(V38*AI38,2))))</f>
        <v/>
      </c>
      <c r="AO38" s="925"/>
      <c r="AP38" s="925"/>
      <c r="AQ38" s="863"/>
      <c r="AR38" s="59"/>
      <c r="AU38" s="808" t="str">
        <f t="shared" ref="AU38" si="30">IF(OR(C38="",Q38="",V38="",X38="",AB38="",AE38="",AG38=""),"",(ROUND((AE38+AG38)*V38,2)))</f>
        <v/>
      </c>
      <c r="AV38" s="922" t="str">
        <f>IF(OR(C38="",Q38="",V38="",X38="",AB38="",AE38="",AG38=""),"",ROUND((V38*INDEX(PMELIGHTCON[Savings per Unit kW],MATCH(C38,PMELIGHTCON[Eff Desc 1],0)))*INDEX(ENDUSEALL[Lighting Coincidence Factor],MATCH("Lighting Controls",ENDUSEALL[End Use],0)),3))</f>
        <v/>
      </c>
      <c r="AX38" s="895"/>
      <c r="AY38" s="895"/>
      <c r="BC38" s="825"/>
    </row>
    <row r="39" spans="2:57" ht="15.95" hidden="1" customHeight="1">
      <c r="B39" s="829"/>
      <c r="C39" s="835"/>
      <c r="D39" s="836"/>
      <c r="E39" s="836"/>
      <c r="F39" s="836"/>
      <c r="G39" s="836"/>
      <c r="H39" s="837"/>
      <c r="I39" s="911"/>
      <c r="J39" s="912"/>
      <c r="K39" s="912"/>
      <c r="L39" s="913"/>
      <c r="M39" s="911"/>
      <c r="N39" s="912"/>
      <c r="O39" s="912"/>
      <c r="P39" s="913"/>
      <c r="Q39" s="930"/>
      <c r="R39" s="931"/>
      <c r="S39" s="932"/>
      <c r="T39" s="911"/>
      <c r="U39" s="913"/>
      <c r="V39" s="848"/>
      <c r="W39" s="849"/>
      <c r="X39" s="835"/>
      <c r="Y39" s="836"/>
      <c r="Z39" s="836"/>
      <c r="AA39" s="837"/>
      <c r="AB39" s="835"/>
      <c r="AC39" s="836"/>
      <c r="AD39" s="837"/>
      <c r="AE39" s="860"/>
      <c r="AF39" s="870"/>
      <c r="AG39" s="860"/>
      <c r="AH39" s="870"/>
      <c r="AI39" s="919"/>
      <c r="AJ39" s="865"/>
      <c r="AK39" s="906"/>
      <c r="AL39" s="907"/>
      <c r="AM39" s="907"/>
      <c r="AN39" s="919"/>
      <c r="AO39" s="926"/>
      <c r="AP39" s="926"/>
      <c r="AQ39" s="865"/>
      <c r="AR39" s="59"/>
      <c r="AU39" s="809"/>
      <c r="AV39" s="901"/>
      <c r="AX39" s="812"/>
      <c r="AY39" s="812"/>
      <c r="BC39" s="826"/>
    </row>
    <row r="40" spans="2:57" ht="15.95" hidden="1" customHeight="1">
      <c r="B40" s="829">
        <v>13</v>
      </c>
      <c r="C40" s="832"/>
      <c r="D40" s="833"/>
      <c r="E40" s="833"/>
      <c r="F40" s="833"/>
      <c r="G40" s="833"/>
      <c r="H40" s="834"/>
      <c r="I40" s="908" t="str">
        <f>IFERROR(IF(C40="","",INDEX(PMELIGHTCON[Base Desc 1],MATCH(C40,PMELIGHTCON[Eff Desc 1],0))),"")</f>
        <v/>
      </c>
      <c r="J40" s="909"/>
      <c r="K40" s="909"/>
      <c r="L40" s="910"/>
      <c r="M40" s="908" t="str">
        <f>IFERROR(IF(C40="","",INDEX(PMELIGHTCON[Eff Desc 2],MATCH(C40,PMELIGHTCON[Eff Desc 1],0))),"")</f>
        <v/>
      </c>
      <c r="N40" s="909"/>
      <c r="O40" s="909"/>
      <c r="P40" s="910"/>
      <c r="Q40" s="927"/>
      <c r="R40" s="928"/>
      <c r="S40" s="929"/>
      <c r="T40" s="908" t="str">
        <f>IFERROR(IF(C40="","",INDEX(PMELIGHTCON[Unit of Measure],MATCH(C40,PMELIGHTCON[Eff Desc 1],0))),"")</f>
        <v/>
      </c>
      <c r="U40" s="910"/>
      <c r="V40" s="846"/>
      <c r="W40" s="847"/>
      <c r="X40" s="832"/>
      <c r="Y40" s="833"/>
      <c r="Z40" s="833"/>
      <c r="AA40" s="834"/>
      <c r="AB40" s="832"/>
      <c r="AC40" s="833"/>
      <c r="AD40" s="834"/>
      <c r="AE40" s="858"/>
      <c r="AF40" s="869"/>
      <c r="AG40" s="858"/>
      <c r="AH40" s="869"/>
      <c r="AI40" s="917" t="str">
        <f>IFERROR(IF(C40="","",INDEX(PMELIGHTCON[Inc Rate Unit],MATCH(C40,PMELIGHTCON[Eff Desc 1],0))),"")</f>
        <v/>
      </c>
      <c r="AJ40" s="918"/>
      <c r="AK40" s="904" t="str">
        <f>IF(OR(C40="",Q40="",V40="",X40="",AB40="",AE40="",AG40=""),"",ROUND(V40*INDEX(PMELIGHTCON[Savings per Unit kWh],MATCH(C40,PMELIGHTCON[Eff Desc 1],0)),2))</f>
        <v/>
      </c>
      <c r="AL40" s="905"/>
      <c r="AM40" s="905"/>
      <c r="AN40" s="924" t="str">
        <f t="shared" ref="AN40" si="31">IF(OR(C40="",Q40="",V40="",X40="",AB40="",AE40="",AG40=""),"",IF(BC40&lt;&gt;"",BC40,MIN(AU40,ROUND(V40*AI40,2))))</f>
        <v/>
      </c>
      <c r="AO40" s="925"/>
      <c r="AP40" s="925"/>
      <c r="AQ40" s="863"/>
      <c r="AR40" s="59"/>
      <c r="AU40" s="808" t="str">
        <f t="shared" ref="AU40" si="32">IF(OR(C40="",Q40="",V40="",X40="",AB40="",AE40="",AG40=""),"",(ROUND((AE40+AG40)*V40,2)))</f>
        <v/>
      </c>
      <c r="AV40" s="922" t="str">
        <f>IF(OR(C40="",Q40="",V40="",X40="",AB40="",AE40="",AG40=""),"",ROUND((V40*INDEX(PMELIGHTCON[Savings per Unit kW],MATCH(C40,PMELIGHTCON[Eff Desc 1],0)))*INDEX(ENDUSEALL[Lighting Coincidence Factor],MATCH("Lighting Controls",ENDUSEALL[End Use],0)),3))</f>
        <v/>
      </c>
      <c r="AX40" s="895"/>
      <c r="AY40" s="895"/>
      <c r="BC40" s="825"/>
    </row>
    <row r="41" spans="2:57" ht="15.95" hidden="1" customHeight="1">
      <c r="B41" s="829"/>
      <c r="C41" s="835"/>
      <c r="D41" s="836"/>
      <c r="E41" s="836"/>
      <c r="F41" s="836"/>
      <c r="G41" s="836"/>
      <c r="H41" s="837"/>
      <c r="I41" s="911"/>
      <c r="J41" s="912"/>
      <c r="K41" s="912"/>
      <c r="L41" s="913"/>
      <c r="M41" s="911"/>
      <c r="N41" s="912"/>
      <c r="O41" s="912"/>
      <c r="P41" s="913"/>
      <c r="Q41" s="930"/>
      <c r="R41" s="931"/>
      <c r="S41" s="932"/>
      <c r="T41" s="911"/>
      <c r="U41" s="913"/>
      <c r="V41" s="848"/>
      <c r="W41" s="849"/>
      <c r="X41" s="835"/>
      <c r="Y41" s="836"/>
      <c r="Z41" s="836"/>
      <c r="AA41" s="837"/>
      <c r="AB41" s="835"/>
      <c r="AC41" s="836"/>
      <c r="AD41" s="837"/>
      <c r="AE41" s="860"/>
      <c r="AF41" s="870"/>
      <c r="AG41" s="860"/>
      <c r="AH41" s="870"/>
      <c r="AI41" s="919"/>
      <c r="AJ41" s="865"/>
      <c r="AK41" s="906"/>
      <c r="AL41" s="907"/>
      <c r="AM41" s="907"/>
      <c r="AN41" s="919"/>
      <c r="AO41" s="926"/>
      <c r="AP41" s="926"/>
      <c r="AQ41" s="865"/>
      <c r="AR41" s="59"/>
      <c r="AU41" s="809"/>
      <c r="AV41" s="901"/>
      <c r="AX41" s="812"/>
      <c r="AY41" s="812"/>
      <c r="BC41" s="826"/>
    </row>
    <row r="42" spans="2:57" ht="15.95" hidden="1" customHeight="1">
      <c r="B42" s="829">
        <v>14</v>
      </c>
      <c r="C42" s="832"/>
      <c r="D42" s="833"/>
      <c r="E42" s="833"/>
      <c r="F42" s="833"/>
      <c r="G42" s="833"/>
      <c r="H42" s="834"/>
      <c r="I42" s="908" t="str">
        <f>IFERROR(IF(C42="","",INDEX(PMELIGHTCON[Base Desc 1],MATCH(C42,PMELIGHTCON[Eff Desc 1],0))),"")</f>
        <v/>
      </c>
      <c r="J42" s="909"/>
      <c r="K42" s="909"/>
      <c r="L42" s="910"/>
      <c r="M42" s="908" t="str">
        <f>IFERROR(IF(C42="","",INDEX(PMELIGHTCON[Eff Desc 2],MATCH(C42,PMELIGHTCON[Eff Desc 1],0))),"")</f>
        <v/>
      </c>
      <c r="N42" s="909"/>
      <c r="O42" s="909"/>
      <c r="P42" s="910"/>
      <c r="Q42" s="927"/>
      <c r="R42" s="928"/>
      <c r="S42" s="929"/>
      <c r="T42" s="908" t="str">
        <f>IFERROR(IF(C42="","",INDEX(PMELIGHTCON[Unit of Measure],MATCH(C42,PMELIGHTCON[Eff Desc 1],0))),"")</f>
        <v/>
      </c>
      <c r="U42" s="910"/>
      <c r="V42" s="846"/>
      <c r="W42" s="847"/>
      <c r="X42" s="832"/>
      <c r="Y42" s="833"/>
      <c r="Z42" s="833"/>
      <c r="AA42" s="834"/>
      <c r="AB42" s="832"/>
      <c r="AC42" s="833"/>
      <c r="AD42" s="834"/>
      <c r="AE42" s="858"/>
      <c r="AF42" s="869"/>
      <c r="AG42" s="858"/>
      <c r="AH42" s="869"/>
      <c r="AI42" s="917" t="str">
        <f>IFERROR(IF(C42="","",INDEX(PMELIGHTCON[Inc Rate Unit],MATCH(C42,PMELIGHTCON[Eff Desc 1],0))),"")</f>
        <v/>
      </c>
      <c r="AJ42" s="918"/>
      <c r="AK42" s="904" t="str">
        <f>IF(OR(C42="",Q42="",V42="",X42="",AB42="",AE42="",AG42=""),"",ROUND(V42*INDEX(PMELIGHTCON[Savings per Unit kWh],MATCH(C42,PMELIGHTCON[Eff Desc 1],0)),2))</f>
        <v/>
      </c>
      <c r="AL42" s="905"/>
      <c r="AM42" s="905"/>
      <c r="AN42" s="924" t="str">
        <f t="shared" ref="AN42" si="33">IF(OR(C42="",Q42="",V42="",X42="",AB42="",AE42="",AG42=""),"",IF(BC42&lt;&gt;"",BC42,MIN(AU42,ROUND(V42*AI42,2))))</f>
        <v/>
      </c>
      <c r="AO42" s="925"/>
      <c r="AP42" s="925"/>
      <c r="AQ42" s="863"/>
      <c r="AR42" s="59"/>
      <c r="AU42" s="808" t="str">
        <f t="shared" ref="AU42" si="34">IF(OR(C42="",Q42="",V42="",X42="",AB42="",AE42="",AG42=""),"",(ROUND((AE42+AG42)*V42,2)))</f>
        <v/>
      </c>
      <c r="AV42" s="922" t="str">
        <f>IF(OR(C42="",Q42="",V42="",X42="",AB42="",AE42="",AG42=""),"",ROUND((V42*INDEX(PMELIGHTCON[Savings per Unit kW],MATCH(C42,PMELIGHTCON[Eff Desc 1],0)))*INDEX(ENDUSEALL[Lighting Coincidence Factor],MATCH("Lighting Controls",ENDUSEALL[End Use],0)),3))</f>
        <v/>
      </c>
      <c r="AX42" s="895"/>
      <c r="AY42" s="895"/>
      <c r="BC42" s="825"/>
    </row>
    <row r="43" spans="2:57" ht="15.95" hidden="1" customHeight="1">
      <c r="B43" s="829"/>
      <c r="C43" s="835"/>
      <c r="D43" s="836"/>
      <c r="E43" s="836"/>
      <c r="F43" s="836"/>
      <c r="G43" s="836"/>
      <c r="H43" s="837"/>
      <c r="I43" s="911"/>
      <c r="J43" s="912"/>
      <c r="K43" s="912"/>
      <c r="L43" s="913"/>
      <c r="M43" s="911"/>
      <c r="N43" s="912"/>
      <c r="O43" s="912"/>
      <c r="P43" s="913"/>
      <c r="Q43" s="930"/>
      <c r="R43" s="931"/>
      <c r="S43" s="932"/>
      <c r="T43" s="911"/>
      <c r="U43" s="913"/>
      <c r="V43" s="848"/>
      <c r="W43" s="849"/>
      <c r="X43" s="835"/>
      <c r="Y43" s="836"/>
      <c r="Z43" s="836"/>
      <c r="AA43" s="837"/>
      <c r="AB43" s="835"/>
      <c r="AC43" s="836"/>
      <c r="AD43" s="837"/>
      <c r="AE43" s="860"/>
      <c r="AF43" s="870"/>
      <c r="AG43" s="860"/>
      <c r="AH43" s="870"/>
      <c r="AI43" s="919"/>
      <c r="AJ43" s="865"/>
      <c r="AK43" s="906"/>
      <c r="AL43" s="907"/>
      <c r="AM43" s="907"/>
      <c r="AN43" s="919"/>
      <c r="AO43" s="926"/>
      <c r="AP43" s="926"/>
      <c r="AQ43" s="865"/>
      <c r="AR43" s="59"/>
      <c r="AU43" s="809"/>
      <c r="AV43" s="901"/>
      <c r="AX43" s="812"/>
      <c r="AY43" s="812"/>
      <c r="BC43" s="826"/>
    </row>
    <row r="44" spans="2:57" ht="15.95" hidden="1" customHeight="1">
      <c r="B44" s="829">
        <v>15</v>
      </c>
      <c r="C44" s="832"/>
      <c r="D44" s="833"/>
      <c r="E44" s="833"/>
      <c r="F44" s="833"/>
      <c r="G44" s="833"/>
      <c r="H44" s="834"/>
      <c r="I44" s="908" t="str">
        <f>IFERROR(IF(C44="","",INDEX(PMELIGHTCON[Base Desc 1],MATCH(C44,PMELIGHTCON[Eff Desc 1],0))),"")</f>
        <v/>
      </c>
      <c r="J44" s="909"/>
      <c r="K44" s="909"/>
      <c r="L44" s="910"/>
      <c r="M44" s="908" t="str">
        <f>IFERROR(IF(C44="","",INDEX(PMELIGHTCON[Eff Desc 2],MATCH(C44,PMELIGHTCON[Eff Desc 1],0))),"")</f>
        <v/>
      </c>
      <c r="N44" s="909"/>
      <c r="O44" s="909"/>
      <c r="P44" s="910"/>
      <c r="Q44" s="927"/>
      <c r="R44" s="928"/>
      <c r="S44" s="929"/>
      <c r="T44" s="908" t="str">
        <f>IFERROR(IF(C44="","",INDEX(PMELIGHTCON[Unit of Measure],MATCH(C44,PMELIGHTCON[Eff Desc 1],0))),"")</f>
        <v/>
      </c>
      <c r="U44" s="910"/>
      <c r="V44" s="846"/>
      <c r="W44" s="847"/>
      <c r="X44" s="832"/>
      <c r="Y44" s="833"/>
      <c r="Z44" s="833"/>
      <c r="AA44" s="834"/>
      <c r="AB44" s="832"/>
      <c r="AC44" s="833"/>
      <c r="AD44" s="834"/>
      <c r="AE44" s="858"/>
      <c r="AF44" s="869"/>
      <c r="AG44" s="858"/>
      <c r="AH44" s="869"/>
      <c r="AI44" s="917" t="str">
        <f>IFERROR(IF(C44="","",INDEX(PMELIGHTCON[Inc Rate Unit],MATCH(C44,PMELIGHTCON[Eff Desc 1],0))),"")</f>
        <v/>
      </c>
      <c r="AJ44" s="918"/>
      <c r="AK44" s="904" t="str">
        <f>IF(OR(C44="",Q44="",V44="",X44="",AB44="",AE44="",AG44=""),"",ROUND(V44*INDEX(PMELIGHTCON[Savings per Unit kWh],MATCH(C44,PMELIGHTCON[Eff Desc 1],0)),2))</f>
        <v/>
      </c>
      <c r="AL44" s="905"/>
      <c r="AM44" s="905"/>
      <c r="AN44" s="924" t="str">
        <f t="shared" ref="AN44" si="35">IF(OR(C44="",Q44="",V44="",X44="",AB44="",AE44="",AG44=""),"",IF(BC44&lt;&gt;"",BC44,MIN(AU44,ROUND(V44*AI44,2))))</f>
        <v/>
      </c>
      <c r="AO44" s="925"/>
      <c r="AP44" s="925"/>
      <c r="AQ44" s="863"/>
      <c r="AR44" s="59"/>
      <c r="AU44" s="808" t="str">
        <f t="shared" ref="AU44" si="36">IF(OR(C44="",Q44="",V44="",X44="",AB44="",AE44="",AG44=""),"",(ROUND((AE44+AG44)*V44,2)))</f>
        <v/>
      </c>
      <c r="AV44" s="922" t="str">
        <f>IF(OR(C44="",Q44="",V44="",X44="",AB44="",AE44="",AG44=""),"",ROUND((V44*INDEX(PMELIGHTCON[Savings per Unit kW],MATCH(C44,PMELIGHTCON[Eff Desc 1],0)))*INDEX(ENDUSEALL[Lighting Coincidence Factor],MATCH("Lighting Controls",ENDUSEALL[End Use],0)),3))</f>
        <v/>
      </c>
      <c r="AX44" s="895"/>
      <c r="AY44" s="895"/>
      <c r="BC44" s="825"/>
    </row>
    <row r="45" spans="2:57" ht="15.95" hidden="1" customHeight="1">
      <c r="B45" s="829"/>
      <c r="C45" s="835"/>
      <c r="D45" s="836"/>
      <c r="E45" s="836"/>
      <c r="F45" s="836"/>
      <c r="G45" s="836"/>
      <c r="H45" s="837"/>
      <c r="I45" s="911"/>
      <c r="J45" s="912"/>
      <c r="K45" s="912"/>
      <c r="L45" s="913"/>
      <c r="M45" s="911"/>
      <c r="N45" s="912"/>
      <c r="O45" s="912"/>
      <c r="P45" s="913"/>
      <c r="Q45" s="930"/>
      <c r="R45" s="931"/>
      <c r="S45" s="932"/>
      <c r="T45" s="911"/>
      <c r="U45" s="913"/>
      <c r="V45" s="848"/>
      <c r="W45" s="849"/>
      <c r="X45" s="835"/>
      <c r="Y45" s="836"/>
      <c r="Z45" s="836"/>
      <c r="AA45" s="837"/>
      <c r="AB45" s="835"/>
      <c r="AC45" s="836"/>
      <c r="AD45" s="837"/>
      <c r="AE45" s="860"/>
      <c r="AF45" s="870"/>
      <c r="AG45" s="860"/>
      <c r="AH45" s="870"/>
      <c r="AI45" s="919"/>
      <c r="AJ45" s="865"/>
      <c r="AK45" s="906"/>
      <c r="AL45" s="907"/>
      <c r="AM45" s="907"/>
      <c r="AN45" s="919"/>
      <c r="AO45" s="926"/>
      <c r="AP45" s="926"/>
      <c r="AQ45" s="865"/>
      <c r="AR45" s="59"/>
      <c r="AU45" s="809"/>
      <c r="AV45" s="901"/>
      <c r="AX45" s="812"/>
      <c r="AY45" s="812"/>
      <c r="BC45" s="826"/>
    </row>
    <row r="46" spans="2:57" ht="15.95" hidden="1" customHeight="1">
      <c r="B46" s="923">
        <v>16</v>
      </c>
      <c r="C46" s="832"/>
      <c r="D46" s="833"/>
      <c r="E46" s="833"/>
      <c r="F46" s="833"/>
      <c r="G46" s="833"/>
      <c r="H46" s="834"/>
      <c r="I46" s="908" t="str">
        <f>IFERROR(IF(C46="","",INDEX(PMELIGHTCON[Base Desc 1],MATCH(C46,PMELIGHTCON[Eff Desc 1],0))),"")</f>
        <v/>
      </c>
      <c r="J46" s="909"/>
      <c r="K46" s="909"/>
      <c r="L46" s="910"/>
      <c r="M46" s="908" t="str">
        <f>IFERROR(IF(C46="","",INDEX(PMELIGHTCON[Eff Desc 2],MATCH(C46,PMELIGHTCON[Eff Desc 1],0))),"")</f>
        <v/>
      </c>
      <c r="N46" s="909"/>
      <c r="O46" s="909"/>
      <c r="P46" s="910"/>
      <c r="Q46" s="927"/>
      <c r="R46" s="928"/>
      <c r="S46" s="929"/>
      <c r="T46" s="908" t="str">
        <f>IFERROR(IF(C46="","",INDEX(PMELIGHTCON[Unit of Measure],MATCH(C46,PMELIGHTCON[Eff Desc 1],0))),"")</f>
        <v/>
      </c>
      <c r="U46" s="910"/>
      <c r="V46" s="846"/>
      <c r="W46" s="847"/>
      <c r="X46" s="832"/>
      <c r="Y46" s="833"/>
      <c r="Z46" s="833"/>
      <c r="AA46" s="834"/>
      <c r="AB46" s="832"/>
      <c r="AC46" s="833"/>
      <c r="AD46" s="834"/>
      <c r="AE46" s="858"/>
      <c r="AF46" s="869"/>
      <c r="AG46" s="858"/>
      <c r="AH46" s="869"/>
      <c r="AI46" s="917" t="str">
        <f>IFERROR(IF(C46="","",INDEX(PMELIGHTCON[Inc Rate Unit],MATCH(C46,PMELIGHTCON[Eff Desc 1],0))),"")</f>
        <v/>
      </c>
      <c r="AJ46" s="918"/>
      <c r="AK46" s="904" t="str">
        <f>IF(OR(C46="",Q46="",V46="",X46="",AB46="",AE46="",AG46=""),"",ROUND(V46*INDEX(PMELIGHTCON[Savings per Unit kWh],MATCH(C46,PMELIGHTCON[Eff Desc 1],0)),2))</f>
        <v/>
      </c>
      <c r="AL46" s="905"/>
      <c r="AM46" s="905"/>
      <c r="AN46" s="924" t="str">
        <f t="shared" ref="AN46" si="37">IF(OR(C46="",Q46="",V46="",X46="",AB46="",AE46="",AG46=""),"",IF(BC46&lt;&gt;"",BC46,MIN(AU46,ROUND(V46*AI46,2))))</f>
        <v/>
      </c>
      <c r="AO46" s="925"/>
      <c r="AP46" s="925"/>
      <c r="AQ46" s="863"/>
      <c r="AR46" s="59"/>
      <c r="AU46" s="808" t="str">
        <f t="shared" ref="AU46" si="38">IF(OR(C46="",Q46="",V46="",X46="",AB46="",AE46="",AG46=""),"",(ROUND((AE46+AG46)*V46,2)))</f>
        <v/>
      </c>
      <c r="AV46" s="922" t="str">
        <f>IF(OR(C46="",Q46="",V46="",X46="",AB46="",AE46="",AG46=""),"",ROUND((V46*INDEX(PMELIGHTCON[Savings per Unit kW],MATCH(C46,PMELIGHTCON[Eff Desc 1],0)))*INDEX(ENDUSEALL[Lighting Coincidence Factor],MATCH("Lighting Controls",ENDUSEALL[End Use],0)),3))</f>
        <v/>
      </c>
      <c r="BC46" s="825"/>
    </row>
    <row r="47" spans="2:57" ht="15.95" hidden="1" customHeight="1">
      <c r="B47" s="923"/>
      <c r="C47" s="835"/>
      <c r="D47" s="836"/>
      <c r="E47" s="836"/>
      <c r="F47" s="836"/>
      <c r="G47" s="836"/>
      <c r="H47" s="837"/>
      <c r="I47" s="911"/>
      <c r="J47" s="912"/>
      <c r="K47" s="912"/>
      <c r="L47" s="913"/>
      <c r="M47" s="911"/>
      <c r="N47" s="912"/>
      <c r="O47" s="912"/>
      <c r="P47" s="913"/>
      <c r="Q47" s="930"/>
      <c r="R47" s="931"/>
      <c r="S47" s="932"/>
      <c r="T47" s="911"/>
      <c r="U47" s="913"/>
      <c r="V47" s="848"/>
      <c r="W47" s="849"/>
      <c r="X47" s="835"/>
      <c r="Y47" s="836"/>
      <c r="Z47" s="836"/>
      <c r="AA47" s="837"/>
      <c r="AB47" s="835"/>
      <c r="AC47" s="836"/>
      <c r="AD47" s="837"/>
      <c r="AE47" s="860"/>
      <c r="AF47" s="870"/>
      <c r="AG47" s="860"/>
      <c r="AH47" s="870"/>
      <c r="AI47" s="919"/>
      <c r="AJ47" s="865"/>
      <c r="AK47" s="906"/>
      <c r="AL47" s="907"/>
      <c r="AM47" s="907"/>
      <c r="AN47" s="919"/>
      <c r="AO47" s="926"/>
      <c r="AP47" s="926"/>
      <c r="AQ47" s="865"/>
      <c r="AR47" s="59"/>
      <c r="AU47" s="809"/>
      <c r="AV47" s="901"/>
      <c r="BC47" s="826"/>
    </row>
    <row r="48" spans="2:57" ht="15.95" hidden="1" customHeight="1">
      <c r="B48" s="923">
        <v>17</v>
      </c>
      <c r="C48" s="832"/>
      <c r="D48" s="833"/>
      <c r="E48" s="833"/>
      <c r="F48" s="833"/>
      <c r="G48" s="833"/>
      <c r="H48" s="834"/>
      <c r="I48" s="908" t="str">
        <f>IFERROR(IF(C48="","",INDEX(PMELIGHTCON[Base Desc 1],MATCH(C48,PMELIGHTCON[Eff Desc 1],0))),"")</f>
        <v/>
      </c>
      <c r="J48" s="909"/>
      <c r="K48" s="909"/>
      <c r="L48" s="910"/>
      <c r="M48" s="908" t="str">
        <f>IFERROR(IF(C48="","",INDEX(PMELIGHTCON[Eff Desc 2],MATCH(C48,PMELIGHTCON[Eff Desc 1],0))),"")</f>
        <v/>
      </c>
      <c r="N48" s="909"/>
      <c r="O48" s="909"/>
      <c r="P48" s="910"/>
      <c r="Q48" s="927"/>
      <c r="R48" s="928"/>
      <c r="S48" s="929"/>
      <c r="T48" s="908" t="str">
        <f>IFERROR(IF(C48="","",INDEX(PMELIGHTCON[Unit of Measure],MATCH(C48,PMELIGHTCON[Eff Desc 1],0))),"")</f>
        <v/>
      </c>
      <c r="U48" s="910"/>
      <c r="V48" s="846"/>
      <c r="W48" s="847"/>
      <c r="X48" s="832"/>
      <c r="Y48" s="833"/>
      <c r="Z48" s="833"/>
      <c r="AA48" s="834"/>
      <c r="AB48" s="832"/>
      <c r="AC48" s="833"/>
      <c r="AD48" s="834"/>
      <c r="AE48" s="858"/>
      <c r="AF48" s="869"/>
      <c r="AG48" s="858"/>
      <c r="AH48" s="869"/>
      <c r="AI48" s="917" t="str">
        <f>IFERROR(IF(C48="","",INDEX(PMELIGHTCON[Inc Rate Unit],MATCH(C48,PMELIGHTCON[Eff Desc 1],0))),"")</f>
        <v/>
      </c>
      <c r="AJ48" s="918"/>
      <c r="AK48" s="904" t="str">
        <f>IF(OR(C48="",Q48="",V48="",X48="",AB48="",AE48="",AG48=""),"",ROUND(V48*INDEX(PMELIGHTCON[Savings per Unit kWh],MATCH(C48,PMELIGHTCON[Eff Desc 1],0)),2))</f>
        <v/>
      </c>
      <c r="AL48" s="905"/>
      <c r="AM48" s="905"/>
      <c r="AN48" s="924" t="str">
        <f t="shared" ref="AN48" si="39">IF(OR(C48="",Q48="",V48="",X48="",AB48="",AE48="",AG48=""),"",IF(BC48&lt;&gt;"",BC48,MIN(AU48,ROUND(V48*AI48,2))))</f>
        <v/>
      </c>
      <c r="AO48" s="925"/>
      <c r="AP48" s="925"/>
      <c r="AQ48" s="863"/>
      <c r="AR48" s="59"/>
      <c r="AU48" s="808" t="str">
        <f t="shared" ref="AU48" si="40">IF(OR(C48="",Q48="",V48="",X48="",AB48="",AE48="",AG48=""),"",(ROUND((AE48+AG48)*V48,2)))</f>
        <v/>
      </c>
      <c r="AV48" s="922" t="str">
        <f>IF(OR(C48="",Q48="",V48="",X48="",AB48="",AE48="",AG48=""),"",ROUND((V48*INDEX(PMELIGHTCON[Savings per Unit kW],MATCH(C48,PMELIGHTCON[Eff Desc 1],0)))*INDEX(ENDUSEALL[Lighting Coincidence Factor],MATCH("Lighting Controls",ENDUSEALL[End Use],0)),3))</f>
        <v/>
      </c>
      <c r="BC48" s="825"/>
    </row>
    <row r="49" spans="2:55" ht="15.95" hidden="1" customHeight="1">
      <c r="B49" s="923"/>
      <c r="C49" s="835"/>
      <c r="D49" s="836"/>
      <c r="E49" s="836"/>
      <c r="F49" s="836"/>
      <c r="G49" s="836"/>
      <c r="H49" s="837"/>
      <c r="I49" s="911"/>
      <c r="J49" s="912"/>
      <c r="K49" s="912"/>
      <c r="L49" s="913"/>
      <c r="M49" s="911"/>
      <c r="N49" s="912"/>
      <c r="O49" s="912"/>
      <c r="P49" s="913"/>
      <c r="Q49" s="930"/>
      <c r="R49" s="931"/>
      <c r="S49" s="932"/>
      <c r="T49" s="911"/>
      <c r="U49" s="913"/>
      <c r="V49" s="848"/>
      <c r="W49" s="849"/>
      <c r="X49" s="835"/>
      <c r="Y49" s="836"/>
      <c r="Z49" s="836"/>
      <c r="AA49" s="837"/>
      <c r="AB49" s="835"/>
      <c r="AC49" s="836"/>
      <c r="AD49" s="837"/>
      <c r="AE49" s="860"/>
      <c r="AF49" s="870"/>
      <c r="AG49" s="860"/>
      <c r="AH49" s="870"/>
      <c r="AI49" s="919"/>
      <c r="AJ49" s="865"/>
      <c r="AK49" s="906"/>
      <c r="AL49" s="907"/>
      <c r="AM49" s="907"/>
      <c r="AN49" s="919"/>
      <c r="AO49" s="926"/>
      <c r="AP49" s="926"/>
      <c r="AQ49" s="865"/>
      <c r="AR49" s="59"/>
      <c r="AU49" s="809"/>
      <c r="AV49" s="901"/>
      <c r="BC49" s="826"/>
    </row>
    <row r="50" spans="2:55" ht="15.95" hidden="1" customHeight="1">
      <c r="B50" s="923">
        <v>18</v>
      </c>
      <c r="C50" s="832"/>
      <c r="D50" s="833"/>
      <c r="E50" s="833"/>
      <c r="F50" s="833"/>
      <c r="G50" s="833"/>
      <c r="H50" s="834"/>
      <c r="I50" s="908" t="str">
        <f>IFERROR(IF(C50="","",INDEX(PMELIGHTCON[Base Desc 1],MATCH(C50,PMELIGHTCON[Eff Desc 1],0))),"")</f>
        <v/>
      </c>
      <c r="J50" s="909"/>
      <c r="K50" s="909"/>
      <c r="L50" s="910"/>
      <c r="M50" s="908" t="str">
        <f>IFERROR(IF(C50="","",INDEX(PMELIGHTCON[Eff Desc 2],MATCH(C50,PMELIGHTCON[Eff Desc 1],0))),"")</f>
        <v/>
      </c>
      <c r="N50" s="909"/>
      <c r="O50" s="909"/>
      <c r="P50" s="910"/>
      <c r="Q50" s="927"/>
      <c r="R50" s="928"/>
      <c r="S50" s="929"/>
      <c r="T50" s="908" t="str">
        <f>IFERROR(IF(C50="","",INDEX(PMELIGHTCON[Unit of Measure],MATCH(C50,PMELIGHTCON[Eff Desc 1],0))),"")</f>
        <v/>
      </c>
      <c r="U50" s="910"/>
      <c r="V50" s="846"/>
      <c r="W50" s="847"/>
      <c r="X50" s="832"/>
      <c r="Y50" s="833"/>
      <c r="Z50" s="833"/>
      <c r="AA50" s="834"/>
      <c r="AB50" s="832"/>
      <c r="AC50" s="833"/>
      <c r="AD50" s="834"/>
      <c r="AE50" s="858"/>
      <c r="AF50" s="869"/>
      <c r="AG50" s="858"/>
      <c r="AH50" s="869"/>
      <c r="AI50" s="917" t="str">
        <f>IFERROR(IF(C50="","",INDEX(PMELIGHTCON[Inc Rate Unit],MATCH(C50,PMELIGHTCON[Eff Desc 1],0))),"")</f>
        <v/>
      </c>
      <c r="AJ50" s="918"/>
      <c r="AK50" s="904" t="str">
        <f>IF(OR(C50="",Q50="",V50="",X50="",AB50="",AE50="",AG50=""),"",ROUND(V50*INDEX(PMELIGHTCON[Savings per Unit kWh],MATCH(C50,PMELIGHTCON[Eff Desc 1],0)),2))</f>
        <v/>
      </c>
      <c r="AL50" s="905"/>
      <c r="AM50" s="905"/>
      <c r="AN50" s="924" t="str">
        <f t="shared" ref="AN50" si="41">IF(OR(C50="",Q50="",V50="",X50="",AB50="",AE50="",AG50=""),"",IF(BC50&lt;&gt;"",BC50,MIN(AU50,ROUND(V50*AI50,2))))</f>
        <v/>
      </c>
      <c r="AO50" s="925"/>
      <c r="AP50" s="925"/>
      <c r="AQ50" s="863"/>
      <c r="AR50" s="59"/>
      <c r="AU50" s="808" t="str">
        <f t="shared" ref="AU50" si="42">IF(OR(C50="",Q50="",V50="",X50="",AB50="",AE50="",AG50=""),"",(ROUND((AE50+AG50)*V50,2)))</f>
        <v/>
      </c>
      <c r="AV50" s="922" t="str">
        <f>IF(OR(C50="",Q50="",V50="",X50="",AB50="",AE50="",AG50=""),"",ROUND((V50*INDEX(PMELIGHTCON[Savings per Unit kW],MATCH(C50,PMELIGHTCON[Eff Desc 1],0)))*INDEX(ENDUSEALL[Lighting Coincidence Factor],MATCH("Lighting Controls",ENDUSEALL[End Use],0)),3))</f>
        <v/>
      </c>
      <c r="BC50" s="825"/>
    </row>
    <row r="51" spans="2:55" ht="15.95" hidden="1" customHeight="1">
      <c r="B51" s="923"/>
      <c r="C51" s="835"/>
      <c r="D51" s="836"/>
      <c r="E51" s="836"/>
      <c r="F51" s="836"/>
      <c r="G51" s="836"/>
      <c r="H51" s="837"/>
      <c r="I51" s="911"/>
      <c r="J51" s="912"/>
      <c r="K51" s="912"/>
      <c r="L51" s="913"/>
      <c r="M51" s="911"/>
      <c r="N51" s="912"/>
      <c r="O51" s="912"/>
      <c r="P51" s="913"/>
      <c r="Q51" s="930"/>
      <c r="R51" s="931"/>
      <c r="S51" s="932"/>
      <c r="T51" s="911"/>
      <c r="U51" s="913"/>
      <c r="V51" s="848"/>
      <c r="W51" s="849"/>
      <c r="X51" s="835"/>
      <c r="Y51" s="836"/>
      <c r="Z51" s="836"/>
      <c r="AA51" s="837"/>
      <c r="AB51" s="835"/>
      <c r="AC51" s="836"/>
      <c r="AD51" s="837"/>
      <c r="AE51" s="860"/>
      <c r="AF51" s="870"/>
      <c r="AG51" s="860"/>
      <c r="AH51" s="870"/>
      <c r="AI51" s="919"/>
      <c r="AJ51" s="865"/>
      <c r="AK51" s="906"/>
      <c r="AL51" s="907"/>
      <c r="AM51" s="907"/>
      <c r="AN51" s="919"/>
      <c r="AO51" s="926"/>
      <c r="AP51" s="926"/>
      <c r="AQ51" s="865"/>
      <c r="AR51" s="59"/>
      <c r="AU51" s="809"/>
      <c r="AV51" s="901"/>
      <c r="BC51" s="826"/>
    </row>
    <row r="52" spans="2:55" ht="15.95" hidden="1" customHeight="1">
      <c r="B52" s="923">
        <v>19</v>
      </c>
      <c r="C52" s="832"/>
      <c r="D52" s="833"/>
      <c r="E52" s="833"/>
      <c r="F52" s="833"/>
      <c r="G52" s="833"/>
      <c r="H52" s="834"/>
      <c r="I52" s="908" t="str">
        <f>IFERROR(IF(C52="","",INDEX(PMELIGHTCON[Base Desc 1],MATCH(C52,PMELIGHTCON[Eff Desc 1],0))),"")</f>
        <v/>
      </c>
      <c r="J52" s="909"/>
      <c r="K52" s="909"/>
      <c r="L52" s="910"/>
      <c r="M52" s="908" t="str">
        <f>IFERROR(IF(C52="","",INDEX(PMELIGHTCON[Eff Desc 2],MATCH(C52,PMELIGHTCON[Eff Desc 1],0))),"")</f>
        <v/>
      </c>
      <c r="N52" s="909"/>
      <c r="O52" s="909"/>
      <c r="P52" s="910"/>
      <c r="Q52" s="927"/>
      <c r="R52" s="928"/>
      <c r="S52" s="929"/>
      <c r="T52" s="908" t="str">
        <f>IFERROR(IF(C52="","",INDEX(PMELIGHTCON[Unit of Measure],MATCH(C52,PMELIGHTCON[Eff Desc 1],0))),"")</f>
        <v/>
      </c>
      <c r="U52" s="910"/>
      <c r="V52" s="846"/>
      <c r="W52" s="847"/>
      <c r="X52" s="832"/>
      <c r="Y52" s="833"/>
      <c r="Z52" s="833"/>
      <c r="AA52" s="834"/>
      <c r="AB52" s="832"/>
      <c r="AC52" s="833"/>
      <c r="AD52" s="834"/>
      <c r="AE52" s="858"/>
      <c r="AF52" s="869"/>
      <c r="AG52" s="858"/>
      <c r="AH52" s="869"/>
      <c r="AI52" s="917" t="str">
        <f>IFERROR(IF(C52="","",INDEX(PMELIGHTCON[Inc Rate Unit],MATCH(C52,PMELIGHTCON[Eff Desc 1],0))),"")</f>
        <v/>
      </c>
      <c r="AJ52" s="918"/>
      <c r="AK52" s="904" t="str">
        <f>IF(OR(C52="",Q52="",V52="",X52="",AB52="",AE52="",AG52=""),"",ROUND(V52*INDEX(PMELIGHTCON[Savings per Unit kWh],MATCH(C52,PMELIGHTCON[Eff Desc 1],0)),2))</f>
        <v/>
      </c>
      <c r="AL52" s="905"/>
      <c r="AM52" s="905"/>
      <c r="AN52" s="924" t="str">
        <f t="shared" ref="AN52" si="43">IF(OR(C52="",Q52="",V52="",X52="",AB52="",AE52="",AG52=""),"",IF(BC52&lt;&gt;"",BC52,MIN(AU52,ROUND(V52*AI52,2))))</f>
        <v/>
      </c>
      <c r="AO52" s="925"/>
      <c r="AP52" s="925"/>
      <c r="AQ52" s="863"/>
      <c r="AR52" s="59"/>
      <c r="AU52" s="808" t="str">
        <f t="shared" ref="AU52" si="44">IF(OR(C52="",Q52="",V52="",X52="",AB52="",AE52="",AG52=""),"",(ROUND((AE52+AG52)*V52,2)))</f>
        <v/>
      </c>
      <c r="AV52" s="922" t="str">
        <f>IF(OR(C52="",Q52="",V52="",X52="",AB52="",AE52="",AG52=""),"",ROUND((V52*INDEX(PMELIGHTCON[Savings per Unit kW],MATCH(C52,PMELIGHTCON[Eff Desc 1],0)))*INDEX(ENDUSEALL[Lighting Coincidence Factor],MATCH("Lighting Controls",ENDUSEALL[End Use],0)),3))</f>
        <v/>
      </c>
      <c r="BC52" s="825"/>
    </row>
    <row r="53" spans="2:55" ht="15.95" hidden="1" customHeight="1">
      <c r="B53" s="923"/>
      <c r="C53" s="835"/>
      <c r="D53" s="836"/>
      <c r="E53" s="836"/>
      <c r="F53" s="836"/>
      <c r="G53" s="836"/>
      <c r="H53" s="837"/>
      <c r="I53" s="911"/>
      <c r="J53" s="912"/>
      <c r="K53" s="912"/>
      <c r="L53" s="913"/>
      <c r="M53" s="911"/>
      <c r="N53" s="912"/>
      <c r="O53" s="912"/>
      <c r="P53" s="913"/>
      <c r="Q53" s="930"/>
      <c r="R53" s="931"/>
      <c r="S53" s="932"/>
      <c r="T53" s="911"/>
      <c r="U53" s="913"/>
      <c r="V53" s="848"/>
      <c r="W53" s="849"/>
      <c r="X53" s="835"/>
      <c r="Y53" s="836"/>
      <c r="Z53" s="836"/>
      <c r="AA53" s="837"/>
      <c r="AB53" s="835"/>
      <c r="AC53" s="836"/>
      <c r="AD53" s="837"/>
      <c r="AE53" s="860"/>
      <c r="AF53" s="870"/>
      <c r="AG53" s="860"/>
      <c r="AH53" s="870"/>
      <c r="AI53" s="919"/>
      <c r="AJ53" s="865"/>
      <c r="AK53" s="906"/>
      <c r="AL53" s="907"/>
      <c r="AM53" s="907"/>
      <c r="AN53" s="919"/>
      <c r="AO53" s="926"/>
      <c r="AP53" s="926"/>
      <c r="AQ53" s="865"/>
      <c r="AR53" s="59"/>
      <c r="AU53" s="809"/>
      <c r="AV53" s="901"/>
      <c r="BC53" s="826"/>
    </row>
    <row r="54" spans="2:55" ht="15.95" hidden="1" customHeight="1">
      <c r="B54" s="923">
        <v>20</v>
      </c>
      <c r="C54" s="866">
        <f ca="1">IF(SUM(BE16:BE35)=0,0,INDEX(PMEBONUS[],3,3))</f>
        <v>0</v>
      </c>
      <c r="D54" s="867"/>
      <c r="E54" s="867"/>
      <c r="F54" s="867"/>
      <c r="G54" s="867"/>
      <c r="H54" s="868"/>
      <c r="I54" s="908" t="str">
        <f ca="1">IF(SUM(BE16:BE35)=0,"",INDEX(PMEBONUS[],3,30))</f>
        <v/>
      </c>
      <c r="J54" s="909"/>
      <c r="K54" s="909"/>
      <c r="L54" s="910"/>
      <c r="M54" s="908" t="str">
        <f ca="1">IFERROR(IF(C54="","",INDEX(PMELIGHTCON[Eff Desc 2],MATCH(C54,PMELIGHTCON[Eff Desc 1],0))),"")</f>
        <v/>
      </c>
      <c r="N54" s="909"/>
      <c r="O54" s="909"/>
      <c r="P54" s="910"/>
      <c r="Q54" s="866">
        <f ca="1">IF(OR(I54=0,I54=""),0,1)</f>
        <v>0</v>
      </c>
      <c r="R54" s="867"/>
      <c r="S54" s="867"/>
      <c r="T54" s="867"/>
      <c r="U54" s="868"/>
      <c r="V54" s="846"/>
      <c r="W54" s="847"/>
      <c r="X54" s="832"/>
      <c r="Y54" s="833"/>
      <c r="Z54" s="833"/>
      <c r="AA54" s="834"/>
      <c r="AB54" s="832"/>
      <c r="AC54" s="833"/>
      <c r="AD54" s="834"/>
      <c r="AE54" s="858"/>
      <c r="AF54" s="869"/>
      <c r="AG54" s="858"/>
      <c r="AH54" s="869"/>
      <c r="AI54" s="917" t="str">
        <f ca="1">IFERROR(IF(C54="","",INDEX(PMELIGHTCON[Inc Rate Unit],MATCH(C54,PMELIGHTCON[Eff Desc 1],0))),"")</f>
        <v/>
      </c>
      <c r="AJ54" s="918"/>
      <c r="AK54" s="904" t="str">
        <f ca="1">IF(OR(C54="",Q54="",V54="",X54="",AB54="",AE54="",AG54=""),"",ROUND(V54*INDEX(PMELIGHTCON[Savings per Unit kWh],MATCH(C54,PMELIGHTCON[Eff Desc 1],0)),2))</f>
        <v/>
      </c>
      <c r="AL54" s="905"/>
      <c r="AM54" s="905"/>
      <c r="AN54" s="924" t="str">
        <f ca="1">IF(BA54="","",BA54)</f>
        <v/>
      </c>
      <c r="AO54" s="925"/>
      <c r="AP54" s="925"/>
      <c r="AQ54" s="863"/>
      <c r="AR54" s="59"/>
      <c r="AU54" s="808" t="str">
        <f t="shared" ref="AU54" ca="1" si="45">IF(OR(C54="",Q54="",V54="",X54="",AB54="",AE54="",AG54=""),"",(ROUND((AE54+AG54)*V54,2)))</f>
        <v/>
      </c>
      <c r="AV54" s="922" t="str">
        <f ca="1">IF(OR(C54="",Q54="",V54="",X54="",AB54="",AE54="",AG54=""),"",ROUND((V54*INDEX(PMELIGHTCON[Savings per Unit kW],MATCH(C54,PMELIGHTCON[Eff Desc 1],0)))*INDEX(ENDUSEALL[Lighting Coincidence Factor],MATCH("Lighting Controls",ENDUSEALL[End Use],0)),3))</f>
        <v/>
      </c>
      <c r="BA54" s="808" t="str">
        <f ca="1">IFERROR(IF(OR(C54="",I54="",SUM(AK16:AM35)=0,SUM(BE16:BE35)=0),"",SUM(BE16:BE35)),"")</f>
        <v/>
      </c>
      <c r="BC54" s="825"/>
    </row>
    <row r="55" spans="2:55" ht="15.95" hidden="1" customHeight="1">
      <c r="B55" s="923"/>
      <c r="C55" s="835"/>
      <c r="D55" s="836"/>
      <c r="E55" s="836"/>
      <c r="F55" s="836"/>
      <c r="G55" s="836"/>
      <c r="H55" s="837"/>
      <c r="I55" s="911"/>
      <c r="J55" s="912"/>
      <c r="K55" s="912"/>
      <c r="L55" s="913"/>
      <c r="M55" s="911"/>
      <c r="N55" s="912"/>
      <c r="O55" s="912"/>
      <c r="P55" s="913"/>
      <c r="Q55" s="835"/>
      <c r="R55" s="836"/>
      <c r="S55" s="836"/>
      <c r="T55" s="836"/>
      <c r="U55" s="837"/>
      <c r="V55" s="848"/>
      <c r="W55" s="849"/>
      <c r="X55" s="835"/>
      <c r="Y55" s="836"/>
      <c r="Z55" s="836"/>
      <c r="AA55" s="837"/>
      <c r="AB55" s="835"/>
      <c r="AC55" s="836"/>
      <c r="AD55" s="837"/>
      <c r="AE55" s="860"/>
      <c r="AF55" s="870"/>
      <c r="AG55" s="860"/>
      <c r="AH55" s="870"/>
      <c r="AI55" s="919"/>
      <c r="AJ55" s="865"/>
      <c r="AK55" s="906"/>
      <c r="AL55" s="907"/>
      <c r="AM55" s="907"/>
      <c r="AN55" s="919"/>
      <c r="AO55" s="926"/>
      <c r="AP55" s="926"/>
      <c r="AQ55" s="865"/>
      <c r="AR55" s="59"/>
      <c r="AU55" s="809"/>
      <c r="AV55" s="901"/>
      <c r="BA55" s="809"/>
      <c r="BC55" s="826"/>
    </row>
    <row r="56" spans="2:55" ht="15.95" hidden="1" customHeight="1">
      <c r="B56" s="923">
        <v>21</v>
      </c>
      <c r="C56" s="832"/>
      <c r="D56" s="833"/>
      <c r="E56" s="833"/>
      <c r="F56" s="833"/>
      <c r="G56" s="833"/>
      <c r="H56" s="834"/>
      <c r="I56" s="908" t="str">
        <f>IFERROR(IF(C56="","",INDEX(PMELIGHTCON[Base Desc 1],MATCH(C56,PMELIGHTCON[Eff Desc 1],0))),"")</f>
        <v/>
      </c>
      <c r="J56" s="909"/>
      <c r="K56" s="909"/>
      <c r="L56" s="910"/>
      <c r="M56" s="908" t="str">
        <f>IFERROR(IF(C56="","",INDEX(PMELIGHTCON[Eff Desc 2],MATCH(C56,PMELIGHTCON[Eff Desc 1],0))),"")</f>
        <v/>
      </c>
      <c r="N56" s="909"/>
      <c r="O56" s="909"/>
      <c r="P56" s="910"/>
      <c r="Q56" s="927"/>
      <c r="R56" s="928"/>
      <c r="S56" s="929"/>
      <c r="T56" s="908" t="str">
        <f>IFERROR(IF(C56="","",INDEX(PMELIGHTCON[Unit of Measure],MATCH(C56,PMELIGHTCON[Eff Desc 1],0))),"")</f>
        <v/>
      </c>
      <c r="U56" s="910"/>
      <c r="V56" s="846"/>
      <c r="W56" s="847"/>
      <c r="X56" s="832"/>
      <c r="Y56" s="833"/>
      <c r="Z56" s="833"/>
      <c r="AA56" s="834"/>
      <c r="AB56" s="832"/>
      <c r="AC56" s="833"/>
      <c r="AD56" s="834"/>
      <c r="AE56" s="858"/>
      <c r="AF56" s="869"/>
      <c r="AG56" s="858"/>
      <c r="AH56" s="869"/>
      <c r="AI56" s="917" t="str">
        <f>IFERROR(IF(C56="","",INDEX(PMELIGHTCON[Inc Rate Unit],MATCH(C56,PMELIGHTCON[Eff Desc 1],0))),"")</f>
        <v/>
      </c>
      <c r="AJ56" s="918"/>
      <c r="AK56" s="904" t="str">
        <f>IF(OR(C56="",Q56="",V56="",X56="",AB56="",AE56="",AG56=""),"",ROUND(V56*INDEX(PMELIGHTCON[Savings per Unit kWh],MATCH(C56,PMELIGHTCON[Eff Desc 1],0)),2))</f>
        <v/>
      </c>
      <c r="AL56" s="905"/>
      <c r="AM56" s="905"/>
      <c r="AN56" s="924" t="str">
        <f t="shared" ref="AN56" si="46">IF(OR(C56="",Q56="",V56="",X56="",AB56="",AE56="",AG56=""),"",IF(BC56&lt;&gt;"",BC56,MIN(AU56,ROUND(V56*AI56,2))))</f>
        <v/>
      </c>
      <c r="AO56" s="925"/>
      <c r="AP56" s="925"/>
      <c r="AQ56" s="863"/>
      <c r="AR56" s="59"/>
      <c r="AU56" s="808" t="str">
        <f t="shared" ref="AU56" si="47">IF(OR(C56="",Q56="",V56="",X56="",AB56="",AE56="",AG56=""),"",(ROUND((AE56+AG56)*V56,2)))</f>
        <v/>
      </c>
      <c r="AV56" s="922" t="str">
        <f>IF(OR(C56="",Q56="",V56="",X56="",AB56="",AE56="",AG56=""),"",ROUND((V56*INDEX(PMELIGHTCON[Savings per Unit kW],MATCH(C56,PMELIGHTCON[Eff Desc 1],0)))*INDEX(ENDUSEALL[Lighting Coincidence Factor],MATCH("Lighting Controls",ENDUSEALL[End Use],0)),3))</f>
        <v/>
      </c>
      <c r="BC56" s="825"/>
    </row>
    <row r="57" spans="2:55" ht="15.95" hidden="1" customHeight="1">
      <c r="B57" s="923"/>
      <c r="C57" s="835"/>
      <c r="D57" s="836"/>
      <c r="E57" s="836"/>
      <c r="F57" s="836"/>
      <c r="G57" s="836"/>
      <c r="H57" s="837"/>
      <c r="I57" s="911"/>
      <c r="J57" s="912"/>
      <c r="K57" s="912"/>
      <c r="L57" s="913"/>
      <c r="M57" s="911"/>
      <c r="N57" s="912"/>
      <c r="O57" s="912"/>
      <c r="P57" s="913"/>
      <c r="Q57" s="930"/>
      <c r="R57" s="931"/>
      <c r="S57" s="932"/>
      <c r="T57" s="911"/>
      <c r="U57" s="913"/>
      <c r="V57" s="848"/>
      <c r="W57" s="849"/>
      <c r="X57" s="835"/>
      <c r="Y57" s="836"/>
      <c r="Z57" s="836"/>
      <c r="AA57" s="837"/>
      <c r="AB57" s="835"/>
      <c r="AC57" s="836"/>
      <c r="AD57" s="837"/>
      <c r="AE57" s="860"/>
      <c r="AF57" s="870"/>
      <c r="AG57" s="860"/>
      <c r="AH57" s="870"/>
      <c r="AI57" s="919"/>
      <c r="AJ57" s="865"/>
      <c r="AK57" s="906"/>
      <c r="AL57" s="907"/>
      <c r="AM57" s="907"/>
      <c r="AN57" s="919"/>
      <c r="AO57" s="926"/>
      <c r="AP57" s="926"/>
      <c r="AQ57" s="865"/>
      <c r="AR57" s="59"/>
      <c r="AU57" s="809"/>
      <c r="AV57" s="901"/>
      <c r="BC57" s="826"/>
    </row>
    <row r="58" spans="2:55" ht="15.95" hidden="1" customHeight="1">
      <c r="B58" s="923">
        <v>22</v>
      </c>
      <c r="C58" s="832"/>
      <c r="D58" s="833"/>
      <c r="E58" s="833"/>
      <c r="F58" s="833"/>
      <c r="G58" s="833"/>
      <c r="H58" s="834"/>
      <c r="I58" s="908" t="str">
        <f>IFERROR(IF(C58="","",INDEX(PMELIGHTCON[Base Desc 1],MATCH(C58,PMELIGHTCON[Eff Desc 1],0))),"")</f>
        <v/>
      </c>
      <c r="J58" s="909"/>
      <c r="K58" s="909"/>
      <c r="L58" s="910"/>
      <c r="M58" s="908" t="str">
        <f>IFERROR(IF(C58="","",INDEX(PMELIGHTCON[Eff Desc 2],MATCH(C58,PMELIGHTCON[Eff Desc 1],0))),"")</f>
        <v/>
      </c>
      <c r="N58" s="909"/>
      <c r="O58" s="909"/>
      <c r="P58" s="910"/>
      <c r="Q58" s="927"/>
      <c r="R58" s="928"/>
      <c r="S58" s="929"/>
      <c r="T58" s="908" t="str">
        <f>IFERROR(IF(C58="","",INDEX(PMELIGHTCON[Unit of Measure],MATCH(C58,PMELIGHTCON[Eff Desc 1],0))),"")</f>
        <v/>
      </c>
      <c r="U58" s="910"/>
      <c r="V58" s="846"/>
      <c r="W58" s="847"/>
      <c r="X58" s="832"/>
      <c r="Y58" s="833"/>
      <c r="Z58" s="833"/>
      <c r="AA58" s="834"/>
      <c r="AB58" s="832"/>
      <c r="AC58" s="833"/>
      <c r="AD58" s="834"/>
      <c r="AE58" s="858"/>
      <c r="AF58" s="869"/>
      <c r="AG58" s="858"/>
      <c r="AH58" s="869"/>
      <c r="AI58" s="917" t="str">
        <f>IFERROR(IF(C58="","",INDEX(PMELIGHTCON[Inc Rate Unit],MATCH(C58,PMELIGHTCON[Eff Desc 1],0))),"")</f>
        <v/>
      </c>
      <c r="AJ58" s="918"/>
      <c r="AK58" s="904" t="str">
        <f>IF(OR(C58="",Q58="",V58="",X58="",AB58="",AE58="",AG58=""),"",ROUND(V58*INDEX(PMELIGHTCON[Savings per Unit kWh],MATCH(C58,PMELIGHTCON[Eff Desc 1],0)),2))</f>
        <v/>
      </c>
      <c r="AL58" s="905"/>
      <c r="AM58" s="905"/>
      <c r="AN58" s="924" t="str">
        <f t="shared" ref="AN58" si="48">IF(OR(C58="",Q58="",V58="",X58="",AB58="",AE58="",AG58=""),"",IF(BC58&lt;&gt;"",BC58,MIN(AU58,ROUND(V58*AI58,2))))</f>
        <v/>
      </c>
      <c r="AO58" s="925"/>
      <c r="AP58" s="925"/>
      <c r="AQ58" s="863"/>
      <c r="AR58" s="59"/>
      <c r="AU58" s="808" t="str">
        <f t="shared" ref="AU58" si="49">IF(OR(C58="",Q58="",V58="",X58="",AB58="",AE58="",AG58=""),"",(ROUND((AE58+AG58)*V58,2)))</f>
        <v/>
      </c>
      <c r="AV58" s="922" t="str">
        <f>IF(OR(C58="",Q58="",V58="",X58="",AB58="",AE58="",AG58=""),"",ROUND((V58*INDEX(PMELIGHTCON[Savings per Unit kW],MATCH(C58,PMELIGHTCON[Eff Desc 1],0)))*INDEX(ENDUSEALL[Lighting Coincidence Factor],MATCH("Lighting Controls",ENDUSEALL[End Use],0)),3))</f>
        <v/>
      </c>
      <c r="BC58" s="825"/>
    </row>
    <row r="59" spans="2:55" ht="15.95" hidden="1" customHeight="1">
      <c r="B59" s="923"/>
      <c r="C59" s="835"/>
      <c r="D59" s="836"/>
      <c r="E59" s="836"/>
      <c r="F59" s="836"/>
      <c r="G59" s="836"/>
      <c r="H59" s="837"/>
      <c r="I59" s="911"/>
      <c r="J59" s="912"/>
      <c r="K59" s="912"/>
      <c r="L59" s="913"/>
      <c r="M59" s="911"/>
      <c r="N59" s="912"/>
      <c r="O59" s="912"/>
      <c r="P59" s="913"/>
      <c r="Q59" s="930"/>
      <c r="R59" s="931"/>
      <c r="S59" s="932"/>
      <c r="T59" s="911"/>
      <c r="U59" s="913"/>
      <c r="V59" s="848"/>
      <c r="W59" s="849"/>
      <c r="X59" s="835"/>
      <c r="Y59" s="836"/>
      <c r="Z59" s="836"/>
      <c r="AA59" s="837"/>
      <c r="AB59" s="835"/>
      <c r="AC59" s="836"/>
      <c r="AD59" s="837"/>
      <c r="AE59" s="860"/>
      <c r="AF59" s="870"/>
      <c r="AG59" s="860"/>
      <c r="AH59" s="870"/>
      <c r="AI59" s="919"/>
      <c r="AJ59" s="865"/>
      <c r="AK59" s="906"/>
      <c r="AL59" s="907"/>
      <c r="AM59" s="907"/>
      <c r="AN59" s="919"/>
      <c r="AO59" s="926"/>
      <c r="AP59" s="926"/>
      <c r="AQ59" s="865"/>
      <c r="AR59" s="59"/>
      <c r="AU59" s="809"/>
      <c r="AV59" s="901"/>
      <c r="BC59" s="826"/>
    </row>
    <row r="60" spans="2:55" ht="15.95" hidden="1" customHeight="1">
      <c r="B60" s="923">
        <v>23</v>
      </c>
      <c r="C60" s="832"/>
      <c r="D60" s="833"/>
      <c r="E60" s="833"/>
      <c r="F60" s="833"/>
      <c r="G60" s="833"/>
      <c r="H60" s="834"/>
      <c r="I60" s="908" t="str">
        <f>IFERROR(IF(C60="","",INDEX(PMELIGHTCON[Base Desc 1],MATCH(C60,PMELIGHTCON[Eff Desc 1],0))),"")</f>
        <v/>
      </c>
      <c r="J60" s="909"/>
      <c r="K60" s="909"/>
      <c r="L60" s="910"/>
      <c r="M60" s="908" t="str">
        <f>IFERROR(IF(C60="","",INDEX(PMELIGHTCON[Eff Desc 2],MATCH(C60,PMELIGHTCON[Eff Desc 1],0))),"")</f>
        <v/>
      </c>
      <c r="N60" s="909"/>
      <c r="O60" s="909"/>
      <c r="P60" s="910"/>
      <c r="Q60" s="927"/>
      <c r="R60" s="928"/>
      <c r="S60" s="929"/>
      <c r="T60" s="908" t="str">
        <f>IFERROR(IF(C60="","",INDEX(PMELIGHTCON[Unit of Measure],MATCH(C60,PMELIGHTCON[Eff Desc 1],0))),"")</f>
        <v/>
      </c>
      <c r="U60" s="910"/>
      <c r="V60" s="846"/>
      <c r="W60" s="847"/>
      <c r="X60" s="832"/>
      <c r="Y60" s="833"/>
      <c r="Z60" s="833"/>
      <c r="AA60" s="834"/>
      <c r="AB60" s="832"/>
      <c r="AC60" s="833"/>
      <c r="AD60" s="834"/>
      <c r="AE60" s="858"/>
      <c r="AF60" s="869"/>
      <c r="AG60" s="858"/>
      <c r="AH60" s="869"/>
      <c r="AI60" s="917" t="str">
        <f>IFERROR(IF(C60="","",INDEX(PMELIGHTCON[Inc Rate Unit],MATCH(C60,PMELIGHTCON[Eff Desc 1],0))),"")</f>
        <v/>
      </c>
      <c r="AJ60" s="918"/>
      <c r="AK60" s="904" t="str">
        <f>IF(OR(C60="",Q60="",V60="",X60="",AB60="",AE60="",AG60=""),"",ROUND(V60*INDEX(PMELIGHTCON[Savings per Unit kWh],MATCH(C60,PMELIGHTCON[Eff Desc 1],0)),2))</f>
        <v/>
      </c>
      <c r="AL60" s="905"/>
      <c r="AM60" s="905"/>
      <c r="AN60" s="924" t="str">
        <f t="shared" ref="AN60" si="50">IF(OR(C60="",Q60="",V60="",X60="",AB60="",AE60="",AG60=""),"",IF(BC60&lt;&gt;"",BC60,MIN(AU60,ROUND(V60*AI60,2))))</f>
        <v/>
      </c>
      <c r="AO60" s="925"/>
      <c r="AP60" s="925"/>
      <c r="AQ60" s="863"/>
      <c r="AR60" s="59"/>
      <c r="AU60" s="808" t="str">
        <f t="shared" ref="AU60" si="51">IF(OR(C60="",Q60="",V60="",X60="",AB60="",AE60="",AG60=""),"",(ROUND((AE60+AG60)*V60,2)))</f>
        <v/>
      </c>
      <c r="AV60" s="922" t="str">
        <f>IF(OR(C60="",Q60="",V60="",X60="",AB60="",AE60="",AG60=""),"",ROUND((V60*INDEX(PMELIGHTCON[Savings per Unit kW],MATCH(C60,PMELIGHTCON[Eff Desc 1],0)))*INDEX(ENDUSEALL[Lighting Coincidence Factor],MATCH("Lighting Controls",ENDUSEALL[End Use],0)),3))</f>
        <v/>
      </c>
      <c r="BC60" s="825"/>
    </row>
    <row r="61" spans="2:55" ht="15.95" hidden="1" customHeight="1">
      <c r="B61" s="923"/>
      <c r="C61" s="835"/>
      <c r="D61" s="836"/>
      <c r="E61" s="836"/>
      <c r="F61" s="836"/>
      <c r="G61" s="836"/>
      <c r="H61" s="837"/>
      <c r="I61" s="911"/>
      <c r="J61" s="912"/>
      <c r="K61" s="912"/>
      <c r="L61" s="913"/>
      <c r="M61" s="911"/>
      <c r="N61" s="912"/>
      <c r="O61" s="912"/>
      <c r="P61" s="913"/>
      <c r="Q61" s="930"/>
      <c r="R61" s="931"/>
      <c r="S61" s="932"/>
      <c r="T61" s="911"/>
      <c r="U61" s="913"/>
      <c r="V61" s="848"/>
      <c r="W61" s="849"/>
      <c r="X61" s="835"/>
      <c r="Y61" s="836"/>
      <c r="Z61" s="836"/>
      <c r="AA61" s="837"/>
      <c r="AB61" s="835"/>
      <c r="AC61" s="836"/>
      <c r="AD61" s="837"/>
      <c r="AE61" s="860"/>
      <c r="AF61" s="870"/>
      <c r="AG61" s="860"/>
      <c r="AH61" s="870"/>
      <c r="AI61" s="919"/>
      <c r="AJ61" s="865"/>
      <c r="AK61" s="906"/>
      <c r="AL61" s="907"/>
      <c r="AM61" s="907"/>
      <c r="AN61" s="919"/>
      <c r="AO61" s="926"/>
      <c r="AP61" s="926"/>
      <c r="AQ61" s="865"/>
      <c r="AR61" s="59"/>
      <c r="AU61" s="809"/>
      <c r="AV61" s="901"/>
      <c r="BC61" s="826"/>
    </row>
    <row r="62" spans="2:55" ht="15.95" hidden="1" customHeight="1">
      <c r="B62" s="923">
        <v>24</v>
      </c>
      <c r="C62" s="832"/>
      <c r="D62" s="833"/>
      <c r="E62" s="833"/>
      <c r="F62" s="833"/>
      <c r="G62" s="833"/>
      <c r="H62" s="834"/>
      <c r="I62" s="908" t="str">
        <f>IFERROR(IF(C62="","",INDEX(PMELIGHTCON[Base Desc 1],MATCH(C62,PMELIGHTCON[Eff Desc 1],0))),"")</f>
        <v/>
      </c>
      <c r="J62" s="909"/>
      <c r="K62" s="909"/>
      <c r="L62" s="910"/>
      <c r="M62" s="908" t="str">
        <f>IFERROR(IF(C62="","",INDEX(PMELIGHTCON[Eff Desc 2],MATCH(C62,PMELIGHTCON[Eff Desc 1],0))),"")</f>
        <v/>
      </c>
      <c r="N62" s="909"/>
      <c r="O62" s="909"/>
      <c r="P62" s="910"/>
      <c r="Q62" s="927"/>
      <c r="R62" s="928"/>
      <c r="S62" s="929"/>
      <c r="T62" s="908" t="str">
        <f>IFERROR(IF(C62="","",INDEX(PMELIGHTCON[Unit of Measure],MATCH(C62,PMELIGHTCON[Eff Desc 1],0))),"")</f>
        <v/>
      </c>
      <c r="U62" s="910"/>
      <c r="V62" s="846"/>
      <c r="W62" s="847"/>
      <c r="X62" s="832"/>
      <c r="Y62" s="833"/>
      <c r="Z62" s="833"/>
      <c r="AA62" s="834"/>
      <c r="AB62" s="832"/>
      <c r="AC62" s="833"/>
      <c r="AD62" s="834"/>
      <c r="AE62" s="858"/>
      <c r="AF62" s="869"/>
      <c r="AG62" s="858"/>
      <c r="AH62" s="869"/>
      <c r="AI62" s="917" t="str">
        <f>IFERROR(IF(C62="","",INDEX(PMELIGHTCON[Inc Rate Unit],MATCH(C62,PMELIGHTCON[Eff Desc 1],0))),"")</f>
        <v/>
      </c>
      <c r="AJ62" s="918"/>
      <c r="AK62" s="904" t="str">
        <f>IF(OR(C62="",Q62="",V62="",X62="",AB62="",AE62="",AG62=""),"",ROUND(V62*INDEX(PMELIGHTCON[Savings per Unit kWh],MATCH(C62,PMELIGHTCON[Eff Desc 1],0)),2))</f>
        <v/>
      </c>
      <c r="AL62" s="905"/>
      <c r="AM62" s="905"/>
      <c r="AN62" s="924" t="str">
        <f t="shared" ref="AN62" si="52">IF(OR(C62="",Q62="",V62="",X62="",AB62="",AE62="",AG62=""),"",IF(BC62&lt;&gt;"",BC62,MIN(AU62,ROUND(V62*AI62,2))))</f>
        <v/>
      </c>
      <c r="AO62" s="925"/>
      <c r="AP62" s="925"/>
      <c r="AQ62" s="863"/>
      <c r="AR62" s="59"/>
      <c r="AU62" s="808" t="str">
        <f t="shared" ref="AU62" si="53">IF(OR(C62="",Q62="",V62="",X62="",AB62="",AE62="",AG62=""),"",(ROUND((AE62+AG62)*V62,2)))</f>
        <v/>
      </c>
      <c r="AV62" s="922" t="str">
        <f>IF(OR(C62="",Q62="",V62="",X62="",AB62="",AE62="",AG62=""),"",ROUND((V62*INDEX(PMELIGHTCON[Savings per Unit kW],MATCH(C62,PMELIGHTCON[Eff Desc 1],0)))*INDEX(ENDUSEALL[Lighting Coincidence Factor],MATCH("Lighting Controls",ENDUSEALL[End Use],0)),3))</f>
        <v/>
      </c>
      <c r="BC62" s="825"/>
    </row>
    <row r="63" spans="2:55" ht="15.95" hidden="1" customHeight="1">
      <c r="B63" s="923"/>
      <c r="C63" s="835"/>
      <c r="D63" s="836"/>
      <c r="E63" s="836"/>
      <c r="F63" s="836"/>
      <c r="G63" s="836"/>
      <c r="H63" s="837"/>
      <c r="I63" s="911"/>
      <c r="J63" s="912"/>
      <c r="K63" s="912"/>
      <c r="L63" s="913"/>
      <c r="M63" s="911"/>
      <c r="N63" s="912"/>
      <c r="O63" s="912"/>
      <c r="P63" s="913"/>
      <c r="Q63" s="930"/>
      <c r="R63" s="931"/>
      <c r="S63" s="932"/>
      <c r="T63" s="911"/>
      <c r="U63" s="913"/>
      <c r="V63" s="848"/>
      <c r="W63" s="849"/>
      <c r="X63" s="835"/>
      <c r="Y63" s="836"/>
      <c r="Z63" s="836"/>
      <c r="AA63" s="837"/>
      <c r="AB63" s="835"/>
      <c r="AC63" s="836"/>
      <c r="AD63" s="837"/>
      <c r="AE63" s="860"/>
      <c r="AF63" s="870"/>
      <c r="AG63" s="860"/>
      <c r="AH63" s="870"/>
      <c r="AI63" s="919"/>
      <c r="AJ63" s="865"/>
      <c r="AK63" s="906"/>
      <c r="AL63" s="907"/>
      <c r="AM63" s="907"/>
      <c r="AN63" s="919"/>
      <c r="AO63" s="926"/>
      <c r="AP63" s="926"/>
      <c r="AQ63" s="865"/>
      <c r="AR63" s="59"/>
      <c r="AU63" s="809"/>
      <c r="AV63" s="901"/>
      <c r="BC63" s="826"/>
    </row>
    <row r="64" spans="2:55" ht="15.95" hidden="1" customHeight="1">
      <c r="B64" s="923">
        <v>25</v>
      </c>
      <c r="C64" s="832"/>
      <c r="D64" s="833"/>
      <c r="E64" s="833"/>
      <c r="F64" s="833"/>
      <c r="G64" s="833"/>
      <c r="H64" s="834"/>
      <c r="I64" s="908" t="str">
        <f>IFERROR(IF(C64="","",INDEX(PMELIGHTCON[Base Desc 1],MATCH(C64,PMELIGHTCON[Eff Desc 1],0))),"")</f>
        <v/>
      </c>
      <c r="J64" s="909"/>
      <c r="K64" s="909"/>
      <c r="L64" s="910"/>
      <c r="M64" s="908" t="str">
        <f>IFERROR(IF(C64="","",INDEX(PMELIGHTCON[Eff Desc 2],MATCH(C64,PMELIGHTCON[Eff Desc 1],0))),"")</f>
        <v/>
      </c>
      <c r="N64" s="909"/>
      <c r="O64" s="909"/>
      <c r="P64" s="910"/>
      <c r="Q64" s="927"/>
      <c r="R64" s="928"/>
      <c r="S64" s="929"/>
      <c r="T64" s="908" t="str">
        <f>IFERROR(IF(C64="","",INDEX(PMELIGHTCON[Unit of Measure],MATCH(C64,PMELIGHTCON[Eff Desc 1],0))),"")</f>
        <v/>
      </c>
      <c r="U64" s="910"/>
      <c r="V64" s="846"/>
      <c r="W64" s="847"/>
      <c r="X64" s="832"/>
      <c r="Y64" s="833"/>
      <c r="Z64" s="833"/>
      <c r="AA64" s="834"/>
      <c r="AB64" s="832"/>
      <c r="AC64" s="833"/>
      <c r="AD64" s="834"/>
      <c r="AE64" s="858"/>
      <c r="AF64" s="869"/>
      <c r="AG64" s="858"/>
      <c r="AH64" s="869"/>
      <c r="AI64" s="917" t="str">
        <f>IFERROR(IF(C64="","",INDEX(PMELIGHTCON[Inc Rate Unit],MATCH(C64,PMELIGHTCON[Eff Desc 1],0))),"")</f>
        <v/>
      </c>
      <c r="AJ64" s="918"/>
      <c r="AK64" s="904" t="str">
        <f>IF(OR(C64="",Q64="",V64="",X64="",AB64="",AE64="",AG64=""),"",ROUND(V64*INDEX(PMELIGHTCON[Savings per Unit kWh],MATCH(C64,PMELIGHTCON[Eff Desc 1],0)),2))</f>
        <v/>
      </c>
      <c r="AL64" s="905"/>
      <c r="AM64" s="905"/>
      <c r="AN64" s="924" t="str">
        <f t="shared" ref="AN64" si="54">IF(OR(C64="",Q64="",V64="",X64="",AB64="",AE64="",AG64=""),"",IF(BC64&lt;&gt;"",BC64,MIN(AU64,ROUND(V64*AI64,2))))</f>
        <v/>
      </c>
      <c r="AO64" s="925"/>
      <c r="AP64" s="925"/>
      <c r="AQ64" s="863"/>
      <c r="AR64" s="59"/>
      <c r="AU64" s="808" t="str">
        <f t="shared" ref="AU64" si="55">IF(OR(C64="",Q64="",V64="",X64="",AB64="",AE64="",AG64=""),"",(ROUND((AE64+AG64)*V64,2)))</f>
        <v/>
      </c>
      <c r="AV64" s="922" t="str">
        <f>IF(OR(C64="",Q64="",V64="",X64="",AB64="",AE64="",AG64=""),"",ROUND((V64*INDEX(PMELIGHTCON[Savings per Unit kW],MATCH(C64,PMELIGHTCON[Eff Desc 1],0)))*INDEX(ENDUSEALL[Lighting Coincidence Factor],MATCH("Lighting Controls",ENDUSEALL[End Use],0)),3))</f>
        <v/>
      </c>
      <c r="BC64" s="825"/>
    </row>
    <row r="65" spans="2:55" ht="15.95" hidden="1" customHeight="1">
      <c r="B65" s="923"/>
      <c r="C65" s="835"/>
      <c r="D65" s="836"/>
      <c r="E65" s="836"/>
      <c r="F65" s="836"/>
      <c r="G65" s="836"/>
      <c r="H65" s="837"/>
      <c r="I65" s="911"/>
      <c r="J65" s="912"/>
      <c r="K65" s="912"/>
      <c r="L65" s="913"/>
      <c r="M65" s="911"/>
      <c r="N65" s="912"/>
      <c r="O65" s="912"/>
      <c r="P65" s="913"/>
      <c r="Q65" s="930"/>
      <c r="R65" s="931"/>
      <c r="S65" s="932"/>
      <c r="T65" s="911"/>
      <c r="U65" s="913"/>
      <c r="V65" s="848"/>
      <c r="W65" s="849"/>
      <c r="X65" s="835"/>
      <c r="Y65" s="836"/>
      <c r="Z65" s="836"/>
      <c r="AA65" s="837"/>
      <c r="AB65" s="835"/>
      <c r="AC65" s="836"/>
      <c r="AD65" s="837"/>
      <c r="AE65" s="860"/>
      <c r="AF65" s="870"/>
      <c r="AG65" s="860"/>
      <c r="AH65" s="870"/>
      <c r="AI65" s="919"/>
      <c r="AJ65" s="865"/>
      <c r="AK65" s="906"/>
      <c r="AL65" s="907"/>
      <c r="AM65" s="907"/>
      <c r="AN65" s="919"/>
      <c r="AO65" s="926"/>
      <c r="AP65" s="926"/>
      <c r="AQ65" s="865"/>
      <c r="AR65" s="59"/>
      <c r="AU65" s="809"/>
      <c r="AV65" s="901"/>
      <c r="BC65" s="826"/>
    </row>
    <row r="66" spans="2:55" ht="15.95" hidden="1" customHeight="1">
      <c r="B66" s="923">
        <v>26</v>
      </c>
      <c r="C66" s="832"/>
      <c r="D66" s="833"/>
      <c r="E66" s="833"/>
      <c r="F66" s="833"/>
      <c r="G66" s="833"/>
      <c r="H66" s="834"/>
      <c r="I66" s="908" t="str">
        <f>IFERROR(IF(C66="","",INDEX(PMELIGHTCON[Base Desc 1],MATCH(C66,PMELIGHTCON[Eff Desc 1],0))),"")</f>
        <v/>
      </c>
      <c r="J66" s="909"/>
      <c r="K66" s="909"/>
      <c r="L66" s="910"/>
      <c r="M66" s="908" t="str">
        <f>IFERROR(IF(C66="","",INDEX(PMELIGHTCON[Eff Desc 2],MATCH(C66,PMELIGHTCON[Eff Desc 1],0))),"")</f>
        <v/>
      </c>
      <c r="N66" s="909"/>
      <c r="O66" s="909"/>
      <c r="P66" s="910"/>
      <c r="Q66" s="927"/>
      <c r="R66" s="928"/>
      <c r="S66" s="929"/>
      <c r="T66" s="908" t="str">
        <f>IFERROR(IF(C66="","",INDEX(PMELIGHTCON[Unit of Measure],MATCH(C66,PMELIGHTCON[Eff Desc 1],0))),"")</f>
        <v/>
      </c>
      <c r="U66" s="910"/>
      <c r="V66" s="846"/>
      <c r="W66" s="847"/>
      <c r="X66" s="832"/>
      <c r="Y66" s="833"/>
      <c r="Z66" s="833"/>
      <c r="AA66" s="834"/>
      <c r="AB66" s="832"/>
      <c r="AC66" s="833"/>
      <c r="AD66" s="834"/>
      <c r="AE66" s="858"/>
      <c r="AF66" s="869"/>
      <c r="AG66" s="858"/>
      <c r="AH66" s="869"/>
      <c r="AI66" s="917" t="str">
        <f>IFERROR(IF(C66="","",INDEX(PMELIGHTCON[Inc Rate Unit],MATCH(C66,PMELIGHTCON[Eff Desc 1],0))),"")</f>
        <v/>
      </c>
      <c r="AJ66" s="918"/>
      <c r="AK66" s="904" t="str">
        <f>IF(OR(C66="",Q66="",V66="",X66="",AB66="",AE66="",AG66=""),"",ROUND(V66*INDEX(PMELIGHTCON[Savings per Unit kWh],MATCH(C66,PMELIGHTCON[Eff Desc 1],0)),2))</f>
        <v/>
      </c>
      <c r="AL66" s="905"/>
      <c r="AM66" s="905"/>
      <c r="AN66" s="924" t="str">
        <f t="shared" ref="AN66" si="56">IF(OR(C66="",Q66="",V66="",X66="",AB66="",AE66="",AG66=""),"",IF(BC66&lt;&gt;"",BC66,MIN(AU66,ROUND(V66*AI66,2))))</f>
        <v/>
      </c>
      <c r="AO66" s="925"/>
      <c r="AP66" s="925"/>
      <c r="AQ66" s="863"/>
      <c r="AR66" s="59"/>
      <c r="AU66" s="808" t="str">
        <f t="shared" ref="AU66" si="57">IF(OR(C66="",Q66="",V66="",X66="",AB66="",AE66="",AG66=""),"",(ROUND((AE66+AG66)*V66,2)))</f>
        <v/>
      </c>
      <c r="AV66" s="922" t="str">
        <f>IF(OR(C66="",Q66="",V66="",X66="",AB66="",AE66="",AG66=""),"",ROUND((V66*INDEX(PMELIGHTCON[Savings per Unit kW],MATCH(C66,PMELIGHTCON[Eff Desc 1],0)))*INDEX(ENDUSEALL[Lighting Coincidence Factor],MATCH("Lighting Controls",ENDUSEALL[End Use],0)),3))</f>
        <v/>
      </c>
      <c r="BC66" s="825"/>
    </row>
    <row r="67" spans="2:55" ht="15.95" hidden="1" customHeight="1">
      <c r="B67" s="923"/>
      <c r="C67" s="835"/>
      <c r="D67" s="836"/>
      <c r="E67" s="836"/>
      <c r="F67" s="836"/>
      <c r="G67" s="836"/>
      <c r="H67" s="837"/>
      <c r="I67" s="911"/>
      <c r="J67" s="912"/>
      <c r="K67" s="912"/>
      <c r="L67" s="913"/>
      <c r="M67" s="911"/>
      <c r="N67" s="912"/>
      <c r="O67" s="912"/>
      <c r="P67" s="913"/>
      <c r="Q67" s="930"/>
      <c r="R67" s="931"/>
      <c r="S67" s="932"/>
      <c r="T67" s="911"/>
      <c r="U67" s="913"/>
      <c r="V67" s="848"/>
      <c r="W67" s="849"/>
      <c r="X67" s="835"/>
      <c r="Y67" s="836"/>
      <c r="Z67" s="836"/>
      <c r="AA67" s="837"/>
      <c r="AB67" s="835"/>
      <c r="AC67" s="836"/>
      <c r="AD67" s="837"/>
      <c r="AE67" s="860"/>
      <c r="AF67" s="870"/>
      <c r="AG67" s="860"/>
      <c r="AH67" s="870"/>
      <c r="AI67" s="919"/>
      <c r="AJ67" s="865"/>
      <c r="AK67" s="906"/>
      <c r="AL67" s="907"/>
      <c r="AM67" s="907"/>
      <c r="AN67" s="919"/>
      <c r="AO67" s="926"/>
      <c r="AP67" s="926"/>
      <c r="AQ67" s="865"/>
      <c r="AR67" s="59"/>
      <c r="AU67" s="809"/>
      <c r="AV67" s="901"/>
      <c r="BC67" s="826"/>
    </row>
    <row r="68" spans="2:55" ht="15.95" hidden="1" customHeight="1">
      <c r="B68" s="923">
        <v>27</v>
      </c>
      <c r="C68" s="832"/>
      <c r="D68" s="833"/>
      <c r="E68" s="833"/>
      <c r="F68" s="833"/>
      <c r="G68" s="833"/>
      <c r="H68" s="834"/>
      <c r="I68" s="908" t="str">
        <f>IFERROR(IF(C68="","",INDEX(PMELIGHTCON[Base Desc 1],MATCH(C68,PMELIGHTCON[Eff Desc 1],0))),"")</f>
        <v/>
      </c>
      <c r="J68" s="909"/>
      <c r="K68" s="909"/>
      <c r="L68" s="910"/>
      <c r="M68" s="908" t="str">
        <f>IFERROR(IF(C68="","",INDEX(PMELIGHTCON[Eff Desc 2],MATCH(C68,PMELIGHTCON[Eff Desc 1],0))),"")</f>
        <v/>
      </c>
      <c r="N68" s="909"/>
      <c r="O68" s="909"/>
      <c r="P68" s="910"/>
      <c r="Q68" s="927"/>
      <c r="R68" s="928"/>
      <c r="S68" s="929"/>
      <c r="T68" s="908" t="str">
        <f>IFERROR(IF(C68="","",INDEX(PMELIGHTCON[Unit of Measure],MATCH(C68,PMELIGHTCON[Eff Desc 1],0))),"")</f>
        <v/>
      </c>
      <c r="U68" s="910"/>
      <c r="V68" s="846"/>
      <c r="W68" s="847"/>
      <c r="X68" s="832"/>
      <c r="Y68" s="833"/>
      <c r="Z68" s="833"/>
      <c r="AA68" s="834"/>
      <c r="AB68" s="832"/>
      <c r="AC68" s="833"/>
      <c r="AD68" s="834"/>
      <c r="AE68" s="858"/>
      <c r="AF68" s="869"/>
      <c r="AG68" s="858"/>
      <c r="AH68" s="869"/>
      <c r="AI68" s="917" t="str">
        <f>IFERROR(IF(C68="","",INDEX(PMELIGHTCON[Inc Rate Unit],MATCH(C68,PMELIGHTCON[Eff Desc 1],0))),"")</f>
        <v/>
      </c>
      <c r="AJ68" s="918"/>
      <c r="AK68" s="904" t="str">
        <f>IF(OR(C68="",Q68="",V68="",X68="",AB68="",AE68="",AG68=""),"",ROUND(V68*INDEX(PMELIGHTCON[Savings per Unit kWh],MATCH(C68,PMELIGHTCON[Eff Desc 1],0)),2))</f>
        <v/>
      </c>
      <c r="AL68" s="905"/>
      <c r="AM68" s="905"/>
      <c r="AN68" s="924" t="str">
        <f t="shared" ref="AN68" si="58">IF(OR(C68="",Q68="",V68="",X68="",AB68="",AE68="",AG68=""),"",IF(BC68&lt;&gt;"",BC68,MIN(AU68,ROUND(V68*AI68,2))))</f>
        <v/>
      </c>
      <c r="AO68" s="925"/>
      <c r="AP68" s="925"/>
      <c r="AQ68" s="863"/>
      <c r="AR68" s="59"/>
      <c r="AU68" s="808" t="str">
        <f t="shared" ref="AU68" si="59">IF(OR(C68="",Q68="",V68="",X68="",AB68="",AE68="",AG68=""),"",(ROUND((AE68+AG68)*V68,2)))</f>
        <v/>
      </c>
      <c r="AV68" s="922" t="str">
        <f>IF(OR(C68="",Q68="",V68="",X68="",AB68="",AE68="",AG68=""),"",ROUND((V68*INDEX(PMELIGHTCON[Savings per Unit kW],MATCH(C68,PMELIGHTCON[Eff Desc 1],0)))*INDEX(ENDUSEALL[Lighting Coincidence Factor],MATCH("Lighting Controls",ENDUSEALL[End Use],0)),3))</f>
        <v/>
      </c>
      <c r="BC68" s="825"/>
    </row>
    <row r="69" spans="2:55" ht="15.95" hidden="1" customHeight="1">
      <c r="B69" s="923"/>
      <c r="C69" s="835"/>
      <c r="D69" s="836"/>
      <c r="E69" s="836"/>
      <c r="F69" s="836"/>
      <c r="G69" s="836"/>
      <c r="H69" s="837"/>
      <c r="I69" s="911"/>
      <c r="J69" s="912"/>
      <c r="K69" s="912"/>
      <c r="L69" s="913"/>
      <c r="M69" s="911"/>
      <c r="N69" s="912"/>
      <c r="O69" s="912"/>
      <c r="P69" s="913"/>
      <c r="Q69" s="930"/>
      <c r="R69" s="931"/>
      <c r="S69" s="932"/>
      <c r="T69" s="911"/>
      <c r="U69" s="913"/>
      <c r="V69" s="848"/>
      <c r="W69" s="849"/>
      <c r="X69" s="835"/>
      <c r="Y69" s="836"/>
      <c r="Z69" s="836"/>
      <c r="AA69" s="837"/>
      <c r="AB69" s="835"/>
      <c r="AC69" s="836"/>
      <c r="AD69" s="837"/>
      <c r="AE69" s="860"/>
      <c r="AF69" s="870"/>
      <c r="AG69" s="860"/>
      <c r="AH69" s="870"/>
      <c r="AI69" s="919"/>
      <c r="AJ69" s="865"/>
      <c r="AK69" s="906"/>
      <c r="AL69" s="907"/>
      <c r="AM69" s="907"/>
      <c r="AN69" s="919"/>
      <c r="AO69" s="926"/>
      <c r="AP69" s="926"/>
      <c r="AQ69" s="865"/>
      <c r="AR69" s="59"/>
      <c r="AU69" s="809"/>
      <c r="AV69" s="901"/>
      <c r="BC69" s="826"/>
    </row>
    <row r="70" spans="2:55" ht="15.95" hidden="1" customHeight="1">
      <c r="B70" s="923">
        <v>28</v>
      </c>
      <c r="C70" s="832"/>
      <c r="D70" s="833"/>
      <c r="E70" s="833"/>
      <c r="F70" s="833"/>
      <c r="G70" s="833"/>
      <c r="H70" s="834"/>
      <c r="I70" s="908" t="str">
        <f>IFERROR(IF(C70="","",INDEX(PMELIGHTCON[Base Desc 1],MATCH(C70,PMELIGHTCON[Eff Desc 1],0))),"")</f>
        <v/>
      </c>
      <c r="J70" s="909"/>
      <c r="K70" s="909"/>
      <c r="L70" s="910"/>
      <c r="M70" s="908" t="str">
        <f>IFERROR(IF(C70="","",INDEX(PMELIGHTCON[Eff Desc 2],MATCH(C70,PMELIGHTCON[Eff Desc 1],0))),"")</f>
        <v/>
      </c>
      <c r="N70" s="909"/>
      <c r="O70" s="909"/>
      <c r="P70" s="910"/>
      <c r="Q70" s="927"/>
      <c r="R70" s="928"/>
      <c r="S70" s="929"/>
      <c r="T70" s="908" t="str">
        <f>IFERROR(IF(C70="","",INDEX(PMELIGHTCON[Unit of Measure],MATCH(C70,PMELIGHTCON[Eff Desc 1],0))),"")</f>
        <v/>
      </c>
      <c r="U70" s="910"/>
      <c r="V70" s="846"/>
      <c r="W70" s="847"/>
      <c r="X70" s="832"/>
      <c r="Y70" s="833"/>
      <c r="Z70" s="833"/>
      <c r="AA70" s="834"/>
      <c r="AB70" s="832"/>
      <c r="AC70" s="833"/>
      <c r="AD70" s="834"/>
      <c r="AE70" s="858"/>
      <c r="AF70" s="869"/>
      <c r="AG70" s="858"/>
      <c r="AH70" s="869"/>
      <c r="AI70" s="917" t="str">
        <f>IFERROR(IF(C70="","",INDEX(PMELIGHTCON[Inc Rate Unit],MATCH(C70,PMELIGHTCON[Eff Desc 1],0))),"")</f>
        <v/>
      </c>
      <c r="AJ70" s="918"/>
      <c r="AK70" s="904" t="str">
        <f>IF(OR(C70="",Q70="",V70="",X70="",AB70="",AE70="",AG70=""),"",ROUND(V70*INDEX(PMELIGHTCON[Savings per Unit kWh],MATCH(C70,PMELIGHTCON[Eff Desc 1],0)),2))</f>
        <v/>
      </c>
      <c r="AL70" s="905"/>
      <c r="AM70" s="905"/>
      <c r="AN70" s="924" t="str">
        <f t="shared" ref="AN70" si="60">IF(OR(C70="",Q70="",V70="",X70="",AB70="",AE70="",AG70=""),"",IF(BC70&lt;&gt;"",BC70,MIN(AU70,ROUND(V70*AI70,2))))</f>
        <v/>
      </c>
      <c r="AO70" s="925"/>
      <c r="AP70" s="925"/>
      <c r="AQ70" s="863"/>
      <c r="AR70" s="59"/>
      <c r="AU70" s="808" t="str">
        <f t="shared" ref="AU70" si="61">IF(OR(C70="",Q70="",V70="",X70="",AB70="",AE70="",AG70=""),"",(ROUND((AE70+AG70)*V70,2)))</f>
        <v/>
      </c>
      <c r="AV70" s="922" t="str">
        <f>IF(OR(C70="",Q70="",V70="",X70="",AB70="",AE70="",AG70=""),"",ROUND((V70*INDEX(PMELIGHTCON[Savings per Unit kW],MATCH(C70,PMELIGHTCON[Eff Desc 1],0)))*INDEX(ENDUSEALL[Lighting Coincidence Factor],MATCH("Lighting Controls",ENDUSEALL[End Use],0)),3))</f>
        <v/>
      </c>
      <c r="BC70" s="825"/>
    </row>
    <row r="71" spans="2:55" ht="15.95" hidden="1" customHeight="1">
      <c r="B71" s="923"/>
      <c r="C71" s="835"/>
      <c r="D71" s="836"/>
      <c r="E71" s="836"/>
      <c r="F71" s="836"/>
      <c r="G71" s="836"/>
      <c r="H71" s="837"/>
      <c r="I71" s="911"/>
      <c r="J71" s="912"/>
      <c r="K71" s="912"/>
      <c r="L71" s="913"/>
      <c r="M71" s="911"/>
      <c r="N71" s="912"/>
      <c r="O71" s="912"/>
      <c r="P71" s="913"/>
      <c r="Q71" s="930"/>
      <c r="R71" s="931"/>
      <c r="S71" s="932"/>
      <c r="T71" s="911"/>
      <c r="U71" s="913"/>
      <c r="V71" s="848"/>
      <c r="W71" s="849"/>
      <c r="X71" s="835"/>
      <c r="Y71" s="836"/>
      <c r="Z71" s="836"/>
      <c r="AA71" s="837"/>
      <c r="AB71" s="835"/>
      <c r="AC71" s="836"/>
      <c r="AD71" s="837"/>
      <c r="AE71" s="860"/>
      <c r="AF71" s="870"/>
      <c r="AG71" s="860"/>
      <c r="AH71" s="870"/>
      <c r="AI71" s="919"/>
      <c r="AJ71" s="865"/>
      <c r="AK71" s="906"/>
      <c r="AL71" s="907"/>
      <c r="AM71" s="907"/>
      <c r="AN71" s="919"/>
      <c r="AO71" s="926"/>
      <c r="AP71" s="926"/>
      <c r="AQ71" s="865"/>
      <c r="AR71" s="59"/>
      <c r="AU71" s="809"/>
      <c r="AV71" s="901"/>
      <c r="BC71" s="826"/>
    </row>
    <row r="72" spans="2:55" ht="15.95" hidden="1" customHeight="1">
      <c r="B72" s="923">
        <v>29</v>
      </c>
      <c r="C72" s="832"/>
      <c r="D72" s="833"/>
      <c r="E72" s="833"/>
      <c r="F72" s="833"/>
      <c r="G72" s="833"/>
      <c r="H72" s="834"/>
      <c r="I72" s="908" t="str">
        <f>IFERROR(IF(C72="","",INDEX(PMELIGHTCON[Base Desc 1],MATCH(C72,PMELIGHTCON[Eff Desc 1],0))),"")</f>
        <v/>
      </c>
      <c r="J72" s="909"/>
      <c r="K72" s="909"/>
      <c r="L72" s="910"/>
      <c r="M72" s="908" t="str">
        <f>IFERROR(IF(C72="","",INDEX(PMELIGHTCON[Eff Desc 2],MATCH(C72,PMELIGHTCON[Eff Desc 1],0))),"")</f>
        <v/>
      </c>
      <c r="N72" s="909"/>
      <c r="O72" s="909"/>
      <c r="P72" s="910"/>
      <c r="Q72" s="927"/>
      <c r="R72" s="928"/>
      <c r="S72" s="929"/>
      <c r="T72" s="908" t="str">
        <f>IFERROR(IF(C72="","",INDEX(PMELIGHTCON[Unit of Measure],MATCH(C72,PMELIGHTCON[Eff Desc 1],0))),"")</f>
        <v/>
      </c>
      <c r="U72" s="910"/>
      <c r="V72" s="846"/>
      <c r="W72" s="847"/>
      <c r="X72" s="832"/>
      <c r="Y72" s="833"/>
      <c r="Z72" s="833"/>
      <c r="AA72" s="834"/>
      <c r="AB72" s="832"/>
      <c r="AC72" s="833"/>
      <c r="AD72" s="834"/>
      <c r="AE72" s="858"/>
      <c r="AF72" s="869"/>
      <c r="AG72" s="858"/>
      <c r="AH72" s="869"/>
      <c r="AI72" s="917" t="str">
        <f>IFERROR(IF(C72="","",INDEX(PMELIGHTCON[Inc Rate Unit],MATCH(C72,PMELIGHTCON[Eff Desc 1],0))),"")</f>
        <v/>
      </c>
      <c r="AJ72" s="918"/>
      <c r="AK72" s="904" t="str">
        <f>IF(OR(C72="",Q72="",V72="",X72="",AB72="",AE72="",AG72=""),"",ROUND(V72*INDEX(PMELIGHTCON[Savings per Unit kWh],MATCH(C72,PMELIGHTCON[Eff Desc 1],0)),2))</f>
        <v/>
      </c>
      <c r="AL72" s="905"/>
      <c r="AM72" s="905"/>
      <c r="AN72" s="924" t="str">
        <f t="shared" ref="AN72" si="62">IF(OR(C72="",Q72="",V72="",X72="",AB72="",AE72="",AG72=""),"",IF(BC72&lt;&gt;"",BC72,MIN(AU72,ROUND(V72*AI72,2))))</f>
        <v/>
      </c>
      <c r="AO72" s="925"/>
      <c r="AP72" s="925"/>
      <c r="AQ72" s="863"/>
      <c r="AR72" s="59"/>
      <c r="AU72" s="808" t="str">
        <f t="shared" ref="AU72" si="63">IF(OR(C72="",Q72="",V72="",X72="",AB72="",AE72="",AG72=""),"",(ROUND((AE72+AG72)*V72,2)))</f>
        <v/>
      </c>
      <c r="AV72" s="922" t="str">
        <f>IF(OR(C72="",Q72="",V72="",X72="",AB72="",AE72="",AG72=""),"",ROUND((V72*INDEX(PMELIGHTCON[Savings per Unit kW],MATCH(C72,PMELIGHTCON[Eff Desc 1],0)))*INDEX(ENDUSEALL[Lighting Coincidence Factor],MATCH("Lighting Controls",ENDUSEALL[End Use],0)),3))</f>
        <v/>
      </c>
      <c r="BC72" s="825"/>
    </row>
    <row r="73" spans="2:55" ht="15.95" hidden="1" customHeight="1">
      <c r="B73" s="923"/>
      <c r="C73" s="835"/>
      <c r="D73" s="836"/>
      <c r="E73" s="836"/>
      <c r="F73" s="836"/>
      <c r="G73" s="836"/>
      <c r="H73" s="837"/>
      <c r="I73" s="911"/>
      <c r="J73" s="912"/>
      <c r="K73" s="912"/>
      <c r="L73" s="913"/>
      <c r="M73" s="911"/>
      <c r="N73" s="912"/>
      <c r="O73" s="912"/>
      <c r="P73" s="913"/>
      <c r="Q73" s="930"/>
      <c r="R73" s="931"/>
      <c r="S73" s="932"/>
      <c r="T73" s="911"/>
      <c r="U73" s="913"/>
      <c r="V73" s="848"/>
      <c r="W73" s="849"/>
      <c r="X73" s="835"/>
      <c r="Y73" s="836"/>
      <c r="Z73" s="836"/>
      <c r="AA73" s="837"/>
      <c r="AB73" s="835"/>
      <c r="AC73" s="836"/>
      <c r="AD73" s="837"/>
      <c r="AE73" s="860"/>
      <c r="AF73" s="870"/>
      <c r="AG73" s="860"/>
      <c r="AH73" s="870"/>
      <c r="AI73" s="919"/>
      <c r="AJ73" s="865"/>
      <c r="AK73" s="906"/>
      <c r="AL73" s="907"/>
      <c r="AM73" s="907"/>
      <c r="AN73" s="919"/>
      <c r="AO73" s="926"/>
      <c r="AP73" s="926"/>
      <c r="AQ73" s="865"/>
      <c r="AR73" s="59"/>
      <c r="AU73" s="809"/>
      <c r="AV73" s="901"/>
      <c r="BC73" s="826"/>
    </row>
    <row r="74" spans="2:55" ht="15.95" hidden="1" customHeight="1">
      <c r="B74" s="923">
        <v>30</v>
      </c>
      <c r="C74" s="832"/>
      <c r="D74" s="833"/>
      <c r="E74" s="833"/>
      <c r="F74" s="833"/>
      <c r="G74" s="833"/>
      <c r="H74" s="834"/>
      <c r="I74" s="908" t="str">
        <f>IFERROR(IF(C74="","",INDEX(PMELIGHTCON[Base Desc 1],MATCH(C74,PMELIGHTCON[Eff Desc 1],0))),"")</f>
        <v/>
      </c>
      <c r="J74" s="909"/>
      <c r="K74" s="909"/>
      <c r="L74" s="910"/>
      <c r="M74" s="908" t="str">
        <f>IFERROR(IF(C74="","",INDEX(PMELIGHTCON[Eff Desc 2],MATCH(C74,PMELIGHTCON[Eff Desc 1],0))),"")</f>
        <v/>
      </c>
      <c r="N74" s="909"/>
      <c r="O74" s="909"/>
      <c r="P74" s="910"/>
      <c r="Q74" s="927"/>
      <c r="R74" s="928"/>
      <c r="S74" s="929"/>
      <c r="T74" s="908" t="str">
        <f>IFERROR(IF(C74="","",INDEX(PMELIGHTCON[Unit of Measure],MATCH(C74,PMELIGHTCON[Eff Desc 1],0))),"")</f>
        <v/>
      </c>
      <c r="U74" s="910"/>
      <c r="V74" s="846"/>
      <c r="W74" s="847"/>
      <c r="X74" s="832"/>
      <c r="Y74" s="833"/>
      <c r="Z74" s="833"/>
      <c r="AA74" s="834"/>
      <c r="AB74" s="832"/>
      <c r="AC74" s="833"/>
      <c r="AD74" s="834"/>
      <c r="AE74" s="858"/>
      <c r="AF74" s="869"/>
      <c r="AG74" s="858"/>
      <c r="AH74" s="869"/>
      <c r="AI74" s="917" t="str">
        <f>IFERROR(IF(C74="","",INDEX(PMELIGHTCON[Inc Rate Unit],MATCH(C74,PMELIGHTCON[Eff Desc 1],0))),"")</f>
        <v/>
      </c>
      <c r="AJ74" s="918"/>
      <c r="AK74" s="904" t="str">
        <f>IF(OR(C74="",Q74="",V74="",X74="",AB74="",AE74="",AG74=""),"",ROUND(V74*INDEX(PMELIGHTCON[Savings per Unit kWh],MATCH(C74,PMELIGHTCON[Eff Desc 1],0)),2))</f>
        <v/>
      </c>
      <c r="AL74" s="905"/>
      <c r="AM74" s="905"/>
      <c r="AN74" s="924" t="str">
        <f t="shared" ref="AN74" si="64">IF(OR(C74="",Q74="",V74="",X74="",AB74="",AE74="",AG74=""),"",IF(BC74&lt;&gt;"",BC74,MIN(AU74,ROUND(V74*AI74,2))))</f>
        <v/>
      </c>
      <c r="AO74" s="925"/>
      <c r="AP74" s="925"/>
      <c r="AQ74" s="863"/>
      <c r="AR74" s="59"/>
      <c r="AU74" s="808" t="str">
        <f t="shared" ref="AU74" si="65">IF(OR(C74="",Q74="",V74="",X74="",AB74="",AE74="",AG74=""),"",(ROUND((AE74+AG74)*V74,2)))</f>
        <v/>
      </c>
      <c r="AV74" s="922" t="str">
        <f>IF(OR(C74="",Q74="",V74="",X74="",AB74="",AE74="",AG74=""),"",ROUND((V74*INDEX(PMELIGHTCON[Savings per Unit kW],MATCH(C74,PMELIGHTCON[Eff Desc 1],0)))*INDEX(ENDUSEALL[Lighting Coincidence Factor],MATCH("Lighting Controls",ENDUSEALL[End Use],0)),3))</f>
        <v/>
      </c>
      <c r="BC74" s="825"/>
    </row>
    <row r="75" spans="2:55" ht="15.95" hidden="1" customHeight="1">
      <c r="B75" s="923"/>
      <c r="C75" s="835"/>
      <c r="D75" s="836"/>
      <c r="E75" s="836"/>
      <c r="F75" s="836"/>
      <c r="G75" s="836"/>
      <c r="H75" s="837"/>
      <c r="I75" s="911"/>
      <c r="J75" s="912"/>
      <c r="K75" s="912"/>
      <c r="L75" s="913"/>
      <c r="M75" s="911"/>
      <c r="N75" s="912"/>
      <c r="O75" s="912"/>
      <c r="P75" s="913"/>
      <c r="Q75" s="930"/>
      <c r="R75" s="931"/>
      <c r="S75" s="932"/>
      <c r="T75" s="911"/>
      <c r="U75" s="913"/>
      <c r="V75" s="848"/>
      <c r="W75" s="849"/>
      <c r="X75" s="835"/>
      <c r="Y75" s="836"/>
      <c r="Z75" s="836"/>
      <c r="AA75" s="837"/>
      <c r="AB75" s="835"/>
      <c r="AC75" s="836"/>
      <c r="AD75" s="837"/>
      <c r="AE75" s="860"/>
      <c r="AF75" s="870"/>
      <c r="AG75" s="860"/>
      <c r="AH75" s="870"/>
      <c r="AI75" s="919"/>
      <c r="AJ75" s="865"/>
      <c r="AK75" s="906"/>
      <c r="AL75" s="907"/>
      <c r="AM75" s="907"/>
      <c r="AN75" s="919"/>
      <c r="AO75" s="926"/>
      <c r="AP75" s="926"/>
      <c r="AQ75" s="865"/>
      <c r="AR75" s="59"/>
      <c r="AU75" s="809"/>
      <c r="AV75" s="901"/>
      <c r="BC75" s="826"/>
    </row>
    <row r="76" spans="2:55" ht="15.95" hidden="1" customHeight="1">
      <c r="B76" s="923">
        <v>31</v>
      </c>
      <c r="C76" s="832"/>
      <c r="D76" s="833"/>
      <c r="E76" s="833"/>
      <c r="F76" s="833"/>
      <c r="G76" s="833"/>
      <c r="H76" s="834"/>
      <c r="I76" s="908" t="str">
        <f>IFERROR(IF(C76="","",INDEX(PMELIGHTCON[Base Desc 1],MATCH(C76,PMELIGHTCON[Eff Desc 1],0))),"")</f>
        <v/>
      </c>
      <c r="J76" s="909"/>
      <c r="K76" s="909"/>
      <c r="L76" s="910"/>
      <c r="M76" s="908" t="str">
        <f>IFERROR(IF(C76="","",INDEX(PMELIGHTCON[Eff Desc 2],MATCH(C76,PMELIGHTCON[Eff Desc 1],0))),"")</f>
        <v/>
      </c>
      <c r="N76" s="909"/>
      <c r="O76" s="909"/>
      <c r="P76" s="910"/>
      <c r="Q76" s="927"/>
      <c r="R76" s="928"/>
      <c r="S76" s="929"/>
      <c r="T76" s="908" t="str">
        <f>IFERROR(IF(C76="","",INDEX(PMELIGHTCON[Unit of Measure],MATCH(C76,PMELIGHTCON[Eff Desc 1],0))),"")</f>
        <v/>
      </c>
      <c r="U76" s="910"/>
      <c r="V76" s="846"/>
      <c r="W76" s="847"/>
      <c r="X76" s="832"/>
      <c r="Y76" s="833"/>
      <c r="Z76" s="833"/>
      <c r="AA76" s="834"/>
      <c r="AB76" s="832"/>
      <c r="AC76" s="833"/>
      <c r="AD76" s="834"/>
      <c r="AE76" s="858"/>
      <c r="AF76" s="869"/>
      <c r="AG76" s="858"/>
      <c r="AH76" s="869"/>
      <c r="AI76" s="917" t="str">
        <f>IFERROR(IF(C76="","",INDEX(PMELIGHTCON[Inc Rate Unit],MATCH(C76,PMELIGHTCON[Eff Desc 1],0))),"")</f>
        <v/>
      </c>
      <c r="AJ76" s="918"/>
      <c r="AK76" s="904" t="str">
        <f>IF(OR(C76="",Q76="",V76="",X76="",AB76="",AE76="",AG76=""),"",ROUND(V76*INDEX(PMELIGHTCON[Savings per Unit kWh],MATCH(C76,PMELIGHTCON[Eff Desc 1],0)),2))</f>
        <v/>
      </c>
      <c r="AL76" s="905"/>
      <c r="AM76" s="905"/>
      <c r="AN76" s="924" t="str">
        <f t="shared" ref="AN76" si="66">IF(OR(C76="",Q76="",V76="",X76="",AB76="",AE76="",AG76=""),"",IF(BC76&lt;&gt;"",BC76,MIN(AU76,ROUND(V76*AI76,2))))</f>
        <v/>
      </c>
      <c r="AO76" s="925"/>
      <c r="AP76" s="925"/>
      <c r="AQ76" s="863"/>
      <c r="AR76" s="59"/>
      <c r="AU76" s="808" t="str">
        <f t="shared" ref="AU76" si="67">IF(OR(C76="",Q76="",V76="",X76="",AB76="",AE76="",AG76=""),"",(ROUND((AE76+AG76)*V76,2)))</f>
        <v/>
      </c>
      <c r="AV76" s="922" t="str">
        <f>IF(OR(C76="",Q76="",V76="",X76="",AB76="",AE76="",AG76=""),"",ROUND((V76*INDEX(PMELIGHTCON[Savings per Unit kW],MATCH(C76,PMELIGHTCON[Eff Desc 1],0)))*INDEX(ENDUSEALL[Lighting Coincidence Factor],MATCH("Lighting Controls",ENDUSEALL[End Use],0)),3))</f>
        <v/>
      </c>
      <c r="BC76" s="825"/>
    </row>
    <row r="77" spans="2:55" ht="15.95" hidden="1" customHeight="1">
      <c r="B77" s="923"/>
      <c r="C77" s="835"/>
      <c r="D77" s="836"/>
      <c r="E77" s="836"/>
      <c r="F77" s="836"/>
      <c r="G77" s="836"/>
      <c r="H77" s="837"/>
      <c r="I77" s="911"/>
      <c r="J77" s="912"/>
      <c r="K77" s="912"/>
      <c r="L77" s="913"/>
      <c r="M77" s="911"/>
      <c r="N77" s="912"/>
      <c r="O77" s="912"/>
      <c r="P77" s="913"/>
      <c r="Q77" s="930"/>
      <c r="R77" s="931"/>
      <c r="S77" s="932"/>
      <c r="T77" s="911"/>
      <c r="U77" s="913"/>
      <c r="V77" s="848"/>
      <c r="W77" s="849"/>
      <c r="X77" s="835"/>
      <c r="Y77" s="836"/>
      <c r="Z77" s="836"/>
      <c r="AA77" s="837"/>
      <c r="AB77" s="835"/>
      <c r="AC77" s="836"/>
      <c r="AD77" s="837"/>
      <c r="AE77" s="860"/>
      <c r="AF77" s="870"/>
      <c r="AG77" s="860"/>
      <c r="AH77" s="870"/>
      <c r="AI77" s="919"/>
      <c r="AJ77" s="865"/>
      <c r="AK77" s="906"/>
      <c r="AL77" s="907"/>
      <c r="AM77" s="907"/>
      <c r="AN77" s="919"/>
      <c r="AO77" s="926"/>
      <c r="AP77" s="926"/>
      <c r="AQ77" s="865"/>
      <c r="AR77" s="59"/>
      <c r="AU77" s="809"/>
      <c r="AV77" s="901"/>
      <c r="BC77" s="826"/>
    </row>
    <row r="78" spans="2:55" ht="15.95" hidden="1" customHeight="1">
      <c r="B78" s="923">
        <v>32</v>
      </c>
      <c r="C78" s="832"/>
      <c r="D78" s="833"/>
      <c r="E78" s="833"/>
      <c r="F78" s="833"/>
      <c r="G78" s="833"/>
      <c r="H78" s="834"/>
      <c r="I78" s="908" t="str">
        <f>IFERROR(IF(C78="","",INDEX(PMELIGHTCON[Base Desc 1],MATCH(C78,PMELIGHTCON[Eff Desc 1],0))),"")</f>
        <v/>
      </c>
      <c r="J78" s="909"/>
      <c r="K78" s="909"/>
      <c r="L78" s="910"/>
      <c r="M78" s="908" t="str">
        <f>IFERROR(IF(C78="","",INDEX(PMELIGHTCON[Eff Desc 2],MATCH(C78,PMELIGHTCON[Eff Desc 1],0))),"")</f>
        <v/>
      </c>
      <c r="N78" s="909"/>
      <c r="O78" s="909"/>
      <c r="P78" s="910"/>
      <c r="Q78" s="927"/>
      <c r="R78" s="928"/>
      <c r="S78" s="929"/>
      <c r="T78" s="908" t="str">
        <f>IFERROR(IF(C78="","",INDEX(PMELIGHTCON[Unit of Measure],MATCH(C78,PMELIGHTCON[Eff Desc 1],0))),"")</f>
        <v/>
      </c>
      <c r="U78" s="910"/>
      <c r="V78" s="846"/>
      <c r="W78" s="847"/>
      <c r="X78" s="832"/>
      <c r="Y78" s="833"/>
      <c r="Z78" s="833"/>
      <c r="AA78" s="834"/>
      <c r="AB78" s="832"/>
      <c r="AC78" s="833"/>
      <c r="AD78" s="834"/>
      <c r="AE78" s="858"/>
      <c r="AF78" s="869"/>
      <c r="AG78" s="858"/>
      <c r="AH78" s="869"/>
      <c r="AI78" s="917" t="str">
        <f>IFERROR(IF(C78="","",INDEX(PMELIGHTCON[Inc Rate Unit],MATCH(C78,PMELIGHTCON[Eff Desc 1],0))),"")</f>
        <v/>
      </c>
      <c r="AJ78" s="918"/>
      <c r="AK78" s="904" t="str">
        <f>IF(OR(C78="",Q78="",V78="",X78="",AB78="",AE78="",AG78=""),"",ROUND(V78*INDEX(PMELIGHTCON[Savings per Unit kWh],MATCH(C78,PMELIGHTCON[Eff Desc 1],0)),2))</f>
        <v/>
      </c>
      <c r="AL78" s="905"/>
      <c r="AM78" s="905"/>
      <c r="AN78" s="924" t="str">
        <f t="shared" ref="AN78" si="68">IF(OR(C78="",Q78="",V78="",X78="",AB78="",AE78="",AG78=""),"",IF(BC78&lt;&gt;"",BC78,MIN(AU78,ROUND(V78*AI78,2))))</f>
        <v/>
      </c>
      <c r="AO78" s="925"/>
      <c r="AP78" s="925"/>
      <c r="AQ78" s="863"/>
      <c r="AR78" s="59"/>
      <c r="AU78" s="808" t="str">
        <f t="shared" ref="AU78" si="69">IF(OR(C78="",Q78="",V78="",X78="",AB78="",AE78="",AG78=""),"",(ROUND((AE78+AG78)*V78,2)))</f>
        <v/>
      </c>
      <c r="AV78" s="922" t="str">
        <f>IF(OR(C78="",Q78="",V78="",X78="",AB78="",AE78="",AG78=""),"",ROUND((V78*INDEX(PMELIGHTCON[Savings per Unit kW],MATCH(C78,PMELIGHTCON[Eff Desc 1],0)))*INDEX(ENDUSEALL[Lighting Coincidence Factor],MATCH("Lighting Controls",ENDUSEALL[End Use],0)),3))</f>
        <v/>
      </c>
      <c r="BC78" s="825"/>
    </row>
    <row r="79" spans="2:55" ht="15.95" hidden="1" customHeight="1">
      <c r="B79" s="923"/>
      <c r="C79" s="835"/>
      <c r="D79" s="836"/>
      <c r="E79" s="836"/>
      <c r="F79" s="836"/>
      <c r="G79" s="836"/>
      <c r="H79" s="837"/>
      <c r="I79" s="911"/>
      <c r="J79" s="912"/>
      <c r="K79" s="912"/>
      <c r="L79" s="913"/>
      <c r="M79" s="911"/>
      <c r="N79" s="912"/>
      <c r="O79" s="912"/>
      <c r="P79" s="913"/>
      <c r="Q79" s="930"/>
      <c r="R79" s="931"/>
      <c r="S79" s="932"/>
      <c r="T79" s="911"/>
      <c r="U79" s="913"/>
      <c r="V79" s="848"/>
      <c r="W79" s="849"/>
      <c r="X79" s="835"/>
      <c r="Y79" s="836"/>
      <c r="Z79" s="836"/>
      <c r="AA79" s="837"/>
      <c r="AB79" s="835"/>
      <c r="AC79" s="836"/>
      <c r="AD79" s="837"/>
      <c r="AE79" s="860"/>
      <c r="AF79" s="870"/>
      <c r="AG79" s="860"/>
      <c r="AH79" s="870"/>
      <c r="AI79" s="919"/>
      <c r="AJ79" s="865"/>
      <c r="AK79" s="906"/>
      <c r="AL79" s="907"/>
      <c r="AM79" s="907"/>
      <c r="AN79" s="919"/>
      <c r="AO79" s="926"/>
      <c r="AP79" s="926"/>
      <c r="AQ79" s="865"/>
      <c r="AR79" s="59"/>
      <c r="AU79" s="809"/>
      <c r="AV79" s="901"/>
      <c r="BC79" s="826"/>
    </row>
    <row r="80" spans="2:55" ht="15.95" hidden="1" customHeight="1">
      <c r="B80" s="923">
        <v>33</v>
      </c>
      <c r="C80" s="832"/>
      <c r="D80" s="833"/>
      <c r="E80" s="833"/>
      <c r="F80" s="833"/>
      <c r="G80" s="833"/>
      <c r="H80" s="834"/>
      <c r="I80" s="908" t="str">
        <f>IFERROR(IF(C80="","",INDEX(PMELIGHTCON[Base Desc 1],MATCH(C80,PMELIGHTCON[Eff Desc 1],0))),"")</f>
        <v/>
      </c>
      <c r="J80" s="909"/>
      <c r="K80" s="909"/>
      <c r="L80" s="910"/>
      <c r="M80" s="908" t="str">
        <f>IFERROR(IF(C80="","",INDEX(PMELIGHTCON[Eff Desc 2],MATCH(C80,PMELIGHTCON[Eff Desc 1],0))),"")</f>
        <v/>
      </c>
      <c r="N80" s="909"/>
      <c r="O80" s="909"/>
      <c r="P80" s="910"/>
      <c r="Q80" s="927"/>
      <c r="R80" s="928"/>
      <c r="S80" s="929"/>
      <c r="T80" s="908" t="str">
        <f>IFERROR(IF(C80="","",INDEX(PMELIGHTCON[Unit of Measure],MATCH(C80,PMELIGHTCON[Eff Desc 1],0))),"")</f>
        <v/>
      </c>
      <c r="U80" s="910"/>
      <c r="V80" s="846"/>
      <c r="W80" s="847"/>
      <c r="X80" s="832"/>
      <c r="Y80" s="833"/>
      <c r="Z80" s="833"/>
      <c r="AA80" s="834"/>
      <c r="AB80" s="832"/>
      <c r="AC80" s="833"/>
      <c r="AD80" s="834"/>
      <c r="AE80" s="858"/>
      <c r="AF80" s="869"/>
      <c r="AG80" s="858"/>
      <c r="AH80" s="869"/>
      <c r="AI80" s="917" t="str">
        <f>IFERROR(IF(C80="","",INDEX(PMELIGHTCON[Inc Rate Unit],MATCH(C80,PMELIGHTCON[Eff Desc 1],0))),"")</f>
        <v/>
      </c>
      <c r="AJ80" s="918"/>
      <c r="AK80" s="904" t="str">
        <f>IF(OR(C80="",Q80="",V80="",X80="",AB80="",AE80="",AG80=""),"",ROUND(V80*INDEX(PMELIGHTCON[Savings per Unit kWh],MATCH(C80,PMELIGHTCON[Eff Desc 1],0)),2))</f>
        <v/>
      </c>
      <c r="AL80" s="905"/>
      <c r="AM80" s="905"/>
      <c r="AN80" s="924" t="str">
        <f t="shared" ref="AN80" si="70">IF(OR(C80="",Q80="",V80="",X80="",AB80="",AE80="",AG80=""),"",IF(BC80&lt;&gt;"",BC80,MIN(AU80,ROUND(V80*AI80,2))))</f>
        <v/>
      </c>
      <c r="AO80" s="925"/>
      <c r="AP80" s="925"/>
      <c r="AQ80" s="863"/>
      <c r="AR80" s="59"/>
      <c r="AU80" s="808" t="str">
        <f t="shared" ref="AU80" si="71">IF(OR(C80="",Q80="",V80="",X80="",AB80="",AE80="",AG80=""),"",(ROUND((AE80+AG80)*V80,2)))</f>
        <v/>
      </c>
      <c r="AV80" s="922" t="str">
        <f>IF(OR(C80="",Q80="",V80="",X80="",AB80="",AE80="",AG80=""),"",ROUND((V80*INDEX(PMELIGHTCON[Savings per Unit kW],MATCH(C80,PMELIGHTCON[Eff Desc 1],0)))*INDEX(ENDUSEALL[Lighting Coincidence Factor],MATCH("Lighting Controls",ENDUSEALL[End Use],0)),3))</f>
        <v/>
      </c>
      <c r="BC80" s="825"/>
    </row>
    <row r="81" spans="2:55" ht="15.95" hidden="1" customHeight="1">
      <c r="B81" s="923"/>
      <c r="C81" s="835"/>
      <c r="D81" s="836"/>
      <c r="E81" s="836"/>
      <c r="F81" s="836"/>
      <c r="G81" s="836"/>
      <c r="H81" s="837"/>
      <c r="I81" s="911"/>
      <c r="J81" s="912"/>
      <c r="K81" s="912"/>
      <c r="L81" s="913"/>
      <c r="M81" s="911"/>
      <c r="N81" s="912"/>
      <c r="O81" s="912"/>
      <c r="P81" s="913"/>
      <c r="Q81" s="930"/>
      <c r="R81" s="931"/>
      <c r="S81" s="932"/>
      <c r="T81" s="911"/>
      <c r="U81" s="913"/>
      <c r="V81" s="848"/>
      <c r="W81" s="849"/>
      <c r="X81" s="835"/>
      <c r="Y81" s="836"/>
      <c r="Z81" s="836"/>
      <c r="AA81" s="837"/>
      <c r="AB81" s="835"/>
      <c r="AC81" s="836"/>
      <c r="AD81" s="837"/>
      <c r="AE81" s="860"/>
      <c r="AF81" s="870"/>
      <c r="AG81" s="860"/>
      <c r="AH81" s="870"/>
      <c r="AI81" s="919"/>
      <c r="AJ81" s="865"/>
      <c r="AK81" s="906"/>
      <c r="AL81" s="907"/>
      <c r="AM81" s="907"/>
      <c r="AN81" s="919"/>
      <c r="AO81" s="926"/>
      <c r="AP81" s="926"/>
      <c r="AQ81" s="865"/>
      <c r="AR81" s="59"/>
      <c r="AU81" s="809"/>
      <c r="AV81" s="901"/>
      <c r="BC81" s="826"/>
    </row>
    <row r="82" spans="2:55" ht="15.95" hidden="1" customHeight="1">
      <c r="B82" s="923">
        <v>34</v>
      </c>
      <c r="C82" s="832"/>
      <c r="D82" s="833"/>
      <c r="E82" s="833"/>
      <c r="F82" s="833"/>
      <c r="G82" s="833"/>
      <c r="H82" s="834"/>
      <c r="I82" s="908" t="str">
        <f>IFERROR(IF(C82="","",INDEX(PMELIGHTCON[Base Desc 1],MATCH(C82,PMELIGHTCON[Eff Desc 1],0))),"")</f>
        <v/>
      </c>
      <c r="J82" s="909"/>
      <c r="K82" s="909"/>
      <c r="L82" s="910"/>
      <c r="M82" s="908" t="str">
        <f>IFERROR(IF(C82="","",INDEX(PMELIGHTCON[Eff Desc 2],MATCH(C82,PMELIGHTCON[Eff Desc 1],0))),"")</f>
        <v/>
      </c>
      <c r="N82" s="909"/>
      <c r="O82" s="909"/>
      <c r="P82" s="910"/>
      <c r="Q82" s="927"/>
      <c r="R82" s="928"/>
      <c r="S82" s="929"/>
      <c r="T82" s="908" t="str">
        <f>IFERROR(IF(C82="","",INDEX(PMELIGHTCON[Unit of Measure],MATCH(C82,PMELIGHTCON[Eff Desc 1],0))),"")</f>
        <v/>
      </c>
      <c r="U82" s="910"/>
      <c r="V82" s="846"/>
      <c r="W82" s="847"/>
      <c r="X82" s="832"/>
      <c r="Y82" s="833"/>
      <c r="Z82" s="833"/>
      <c r="AA82" s="834"/>
      <c r="AB82" s="832"/>
      <c r="AC82" s="833"/>
      <c r="AD82" s="834"/>
      <c r="AE82" s="858"/>
      <c r="AF82" s="869"/>
      <c r="AG82" s="858"/>
      <c r="AH82" s="869"/>
      <c r="AI82" s="917" t="str">
        <f>IFERROR(IF(C82="","",INDEX(PMELIGHTCON[Inc Rate Unit],MATCH(C82,PMELIGHTCON[Eff Desc 1],0))),"")</f>
        <v/>
      </c>
      <c r="AJ82" s="918"/>
      <c r="AK82" s="904" t="str">
        <f>IF(OR(C82="",Q82="",V82="",X82="",AB82="",AE82="",AG82=""),"",ROUND(V82*INDEX(PMELIGHTCON[Savings per Unit kWh],MATCH(C82,PMELIGHTCON[Eff Desc 1],0)),2))</f>
        <v/>
      </c>
      <c r="AL82" s="905"/>
      <c r="AM82" s="905"/>
      <c r="AN82" s="924" t="str">
        <f t="shared" ref="AN82" si="72">IF(OR(C82="",Q82="",V82="",X82="",AB82="",AE82="",AG82=""),"",IF(BC82&lt;&gt;"",BC82,MIN(AU82,ROUND(V82*AI82,2))))</f>
        <v/>
      </c>
      <c r="AO82" s="925"/>
      <c r="AP82" s="925"/>
      <c r="AQ82" s="863"/>
      <c r="AR82" s="59"/>
      <c r="AU82" s="808" t="str">
        <f t="shared" ref="AU82" si="73">IF(OR(C82="",Q82="",V82="",X82="",AB82="",AE82="",AG82=""),"",(ROUND((AE82+AG82)*V82,2)))</f>
        <v/>
      </c>
      <c r="AV82" s="922" t="str">
        <f>IF(OR(C82="",Q82="",V82="",X82="",AB82="",AE82="",AG82=""),"",ROUND((V82*INDEX(PMELIGHTCON[Savings per Unit kW],MATCH(C82,PMELIGHTCON[Eff Desc 1],0)))*INDEX(ENDUSEALL[Lighting Coincidence Factor],MATCH("Lighting Controls",ENDUSEALL[End Use],0)),3))</f>
        <v/>
      </c>
      <c r="BC82" s="825"/>
    </row>
    <row r="83" spans="2:55" ht="15.95" hidden="1" customHeight="1">
      <c r="B83" s="923"/>
      <c r="C83" s="835"/>
      <c r="D83" s="836"/>
      <c r="E83" s="836"/>
      <c r="F83" s="836"/>
      <c r="G83" s="836"/>
      <c r="H83" s="837"/>
      <c r="I83" s="911"/>
      <c r="J83" s="912"/>
      <c r="K83" s="912"/>
      <c r="L83" s="913"/>
      <c r="M83" s="911"/>
      <c r="N83" s="912"/>
      <c r="O83" s="912"/>
      <c r="P83" s="913"/>
      <c r="Q83" s="930"/>
      <c r="R83" s="931"/>
      <c r="S83" s="932"/>
      <c r="T83" s="911"/>
      <c r="U83" s="913"/>
      <c r="V83" s="848"/>
      <c r="W83" s="849"/>
      <c r="X83" s="835"/>
      <c r="Y83" s="836"/>
      <c r="Z83" s="836"/>
      <c r="AA83" s="837"/>
      <c r="AB83" s="835"/>
      <c r="AC83" s="836"/>
      <c r="AD83" s="837"/>
      <c r="AE83" s="860"/>
      <c r="AF83" s="870"/>
      <c r="AG83" s="860"/>
      <c r="AH83" s="870"/>
      <c r="AI83" s="919"/>
      <c r="AJ83" s="865"/>
      <c r="AK83" s="906"/>
      <c r="AL83" s="907"/>
      <c r="AM83" s="907"/>
      <c r="AN83" s="919"/>
      <c r="AO83" s="926"/>
      <c r="AP83" s="926"/>
      <c r="AQ83" s="865"/>
      <c r="AR83" s="59"/>
      <c r="AU83" s="809"/>
      <c r="AV83" s="901"/>
      <c r="BC83" s="826"/>
    </row>
    <row r="84" spans="2:55" ht="15.95" hidden="1" customHeight="1">
      <c r="B84" s="923">
        <v>35</v>
      </c>
      <c r="C84" s="832"/>
      <c r="D84" s="833"/>
      <c r="E84" s="833"/>
      <c r="F84" s="833"/>
      <c r="G84" s="833"/>
      <c r="H84" s="834"/>
      <c r="I84" s="908" t="str">
        <f>IFERROR(IF(C84="","",INDEX(PMELIGHTCON[Base Desc 1],MATCH(C84,PMELIGHTCON[Eff Desc 1],0))),"")</f>
        <v/>
      </c>
      <c r="J84" s="909"/>
      <c r="K84" s="909"/>
      <c r="L84" s="910"/>
      <c r="M84" s="908" t="str">
        <f>IFERROR(IF(C84="","",INDEX(PMELIGHTCON[Eff Desc 2],MATCH(C84,PMELIGHTCON[Eff Desc 1],0))),"")</f>
        <v/>
      </c>
      <c r="N84" s="909"/>
      <c r="O84" s="909"/>
      <c r="P84" s="910"/>
      <c r="Q84" s="927"/>
      <c r="R84" s="928"/>
      <c r="S84" s="929"/>
      <c r="T84" s="908" t="str">
        <f>IFERROR(IF(C84="","",INDEX(PMELIGHTCON[Unit of Measure],MATCH(C84,PMELIGHTCON[Eff Desc 1],0))),"")</f>
        <v/>
      </c>
      <c r="U84" s="910"/>
      <c r="V84" s="846"/>
      <c r="W84" s="847"/>
      <c r="X84" s="832"/>
      <c r="Y84" s="833"/>
      <c r="Z84" s="833"/>
      <c r="AA84" s="834"/>
      <c r="AB84" s="832"/>
      <c r="AC84" s="833"/>
      <c r="AD84" s="834"/>
      <c r="AE84" s="858"/>
      <c r="AF84" s="869"/>
      <c r="AG84" s="858"/>
      <c r="AH84" s="869"/>
      <c r="AI84" s="917" t="str">
        <f>IFERROR(IF(C84="","",INDEX(PMELIGHTCON[Inc Rate Unit],MATCH(C84,PMELIGHTCON[Eff Desc 1],0))),"")</f>
        <v/>
      </c>
      <c r="AJ84" s="918"/>
      <c r="AK84" s="904" t="str">
        <f>IF(OR(C84="",Q84="",V84="",X84="",AB84="",AE84="",AG84=""),"",ROUND(V84*INDEX(PMELIGHTCON[Savings per Unit kWh],MATCH(C84,PMELIGHTCON[Eff Desc 1],0)),2))</f>
        <v/>
      </c>
      <c r="AL84" s="905"/>
      <c r="AM84" s="905"/>
      <c r="AN84" s="924" t="str">
        <f t="shared" ref="AN84" si="74">IF(OR(C84="",Q84="",V84="",X84="",AB84="",AE84="",AG84=""),"",IF(BC84&lt;&gt;"",BC84,MIN(AU84,ROUND(V84*AI84,2))))</f>
        <v/>
      </c>
      <c r="AO84" s="925"/>
      <c r="AP84" s="925"/>
      <c r="AQ84" s="863"/>
      <c r="AR84" s="59"/>
      <c r="AU84" s="808" t="str">
        <f t="shared" ref="AU84" si="75">IF(OR(C84="",Q84="",V84="",X84="",AB84="",AE84="",AG84=""),"",(ROUND((AE84+AG84)*V84,2)))</f>
        <v/>
      </c>
      <c r="AV84" s="922" t="str">
        <f>IF(OR(C84="",Q84="",V84="",X84="",AB84="",AE84="",AG84=""),"",ROUND((V84*INDEX(PMELIGHTCON[Savings per Unit kW],MATCH(C84,PMELIGHTCON[Eff Desc 1],0)))*INDEX(ENDUSEALL[Lighting Coincidence Factor],MATCH("Lighting Controls",ENDUSEALL[End Use],0)),3))</f>
        <v/>
      </c>
      <c r="BC84" s="825"/>
    </row>
    <row r="85" spans="2:55" ht="15.95" hidden="1" customHeight="1">
      <c r="B85" s="923"/>
      <c r="C85" s="835"/>
      <c r="D85" s="836"/>
      <c r="E85" s="836"/>
      <c r="F85" s="836"/>
      <c r="G85" s="836"/>
      <c r="H85" s="837"/>
      <c r="I85" s="911"/>
      <c r="J85" s="912"/>
      <c r="K85" s="912"/>
      <c r="L85" s="913"/>
      <c r="M85" s="911"/>
      <c r="N85" s="912"/>
      <c r="O85" s="912"/>
      <c r="P85" s="913"/>
      <c r="Q85" s="930"/>
      <c r="R85" s="931"/>
      <c r="S85" s="932"/>
      <c r="T85" s="911"/>
      <c r="U85" s="913"/>
      <c r="V85" s="848"/>
      <c r="W85" s="849"/>
      <c r="X85" s="835"/>
      <c r="Y85" s="836"/>
      <c r="Z85" s="836"/>
      <c r="AA85" s="837"/>
      <c r="AB85" s="835"/>
      <c r="AC85" s="836"/>
      <c r="AD85" s="837"/>
      <c r="AE85" s="860"/>
      <c r="AF85" s="870"/>
      <c r="AG85" s="860"/>
      <c r="AH85" s="870"/>
      <c r="AI85" s="919"/>
      <c r="AJ85" s="865"/>
      <c r="AK85" s="906"/>
      <c r="AL85" s="907"/>
      <c r="AM85" s="907"/>
      <c r="AN85" s="919"/>
      <c r="AO85" s="926"/>
      <c r="AP85" s="926"/>
      <c r="AQ85" s="865"/>
      <c r="AR85" s="59"/>
      <c r="AU85" s="809"/>
      <c r="AV85" s="901"/>
      <c r="BC85" s="826"/>
    </row>
    <row r="86" spans="2:55" ht="15.95" hidden="1" customHeight="1">
      <c r="B86" s="923">
        <v>36</v>
      </c>
      <c r="C86" s="832"/>
      <c r="D86" s="833"/>
      <c r="E86" s="833"/>
      <c r="F86" s="833"/>
      <c r="G86" s="833"/>
      <c r="H86" s="834"/>
      <c r="I86" s="908" t="str">
        <f>IFERROR(IF(C86="","",INDEX(PMELIGHTCON[Base Desc 1],MATCH(C86,PMELIGHTCON[Eff Desc 1],0))),"")</f>
        <v/>
      </c>
      <c r="J86" s="909"/>
      <c r="K86" s="909"/>
      <c r="L86" s="910"/>
      <c r="M86" s="908" t="str">
        <f>IFERROR(IF(C86="","",INDEX(PMELIGHTCON[Eff Desc 2],MATCH(C86,PMELIGHTCON[Eff Desc 1],0))),"")</f>
        <v/>
      </c>
      <c r="N86" s="909"/>
      <c r="O86" s="909"/>
      <c r="P86" s="910"/>
      <c r="Q86" s="927"/>
      <c r="R86" s="928"/>
      <c r="S86" s="929"/>
      <c r="T86" s="908" t="str">
        <f>IFERROR(IF(C86="","",INDEX(PMELIGHTCON[Unit of Measure],MATCH(C86,PMELIGHTCON[Eff Desc 1],0))),"")</f>
        <v/>
      </c>
      <c r="U86" s="910"/>
      <c r="V86" s="846"/>
      <c r="W86" s="847"/>
      <c r="X86" s="832"/>
      <c r="Y86" s="833"/>
      <c r="Z86" s="833"/>
      <c r="AA86" s="834"/>
      <c r="AB86" s="832"/>
      <c r="AC86" s="833"/>
      <c r="AD86" s="834"/>
      <c r="AE86" s="858"/>
      <c r="AF86" s="869"/>
      <c r="AG86" s="858"/>
      <c r="AH86" s="869"/>
      <c r="AI86" s="917" t="str">
        <f>IFERROR(IF(C86="","",INDEX(PMELIGHTCON[Inc Rate Unit],MATCH(C86,PMELIGHTCON[Eff Desc 1],0))),"")</f>
        <v/>
      </c>
      <c r="AJ86" s="918"/>
      <c r="AK86" s="904" t="str">
        <f>IF(OR(C86="",Q86="",V86="",X86="",AB86="",AE86="",AG86=""),"",ROUND(V86*INDEX(PMELIGHTCON[Savings per Unit kWh],MATCH(C86,PMELIGHTCON[Eff Desc 1],0)),2))</f>
        <v/>
      </c>
      <c r="AL86" s="905"/>
      <c r="AM86" s="905"/>
      <c r="AN86" s="924" t="str">
        <f t="shared" ref="AN86" si="76">IF(OR(C86="",Q86="",V86="",X86="",AB86="",AE86="",AG86=""),"",IF(BC86&lt;&gt;"",BC86,MIN(AU86,ROUND(V86*AI86,2))))</f>
        <v/>
      </c>
      <c r="AO86" s="925"/>
      <c r="AP86" s="925"/>
      <c r="AQ86" s="863"/>
      <c r="AR86" s="59"/>
      <c r="AU86" s="808" t="str">
        <f t="shared" ref="AU86" si="77">IF(OR(C86="",Q86="",V86="",X86="",AB86="",AE86="",AG86=""),"",(ROUND((AE86+AG86)*V86,2)))</f>
        <v/>
      </c>
      <c r="AV86" s="922" t="str">
        <f>IF(OR(C86="",Q86="",V86="",X86="",AB86="",AE86="",AG86=""),"",ROUND((V86*INDEX(PMELIGHTCON[Savings per Unit kW],MATCH(C86,PMELIGHTCON[Eff Desc 1],0)))*INDEX(ENDUSEALL[Lighting Coincidence Factor],MATCH("Lighting Controls",ENDUSEALL[End Use],0)),3))</f>
        <v/>
      </c>
      <c r="BC86" s="825"/>
    </row>
    <row r="87" spans="2:55" ht="15.95" hidden="1" customHeight="1">
      <c r="B87" s="923"/>
      <c r="C87" s="835"/>
      <c r="D87" s="836"/>
      <c r="E87" s="836"/>
      <c r="F87" s="836"/>
      <c r="G87" s="836"/>
      <c r="H87" s="837"/>
      <c r="I87" s="911"/>
      <c r="J87" s="912"/>
      <c r="K87" s="912"/>
      <c r="L87" s="913"/>
      <c r="M87" s="911"/>
      <c r="N87" s="912"/>
      <c r="O87" s="912"/>
      <c r="P87" s="913"/>
      <c r="Q87" s="930"/>
      <c r="R87" s="931"/>
      <c r="S87" s="932"/>
      <c r="T87" s="911"/>
      <c r="U87" s="913"/>
      <c r="V87" s="848"/>
      <c r="W87" s="849"/>
      <c r="X87" s="835"/>
      <c r="Y87" s="836"/>
      <c r="Z87" s="836"/>
      <c r="AA87" s="837"/>
      <c r="AB87" s="835"/>
      <c r="AC87" s="836"/>
      <c r="AD87" s="837"/>
      <c r="AE87" s="860"/>
      <c r="AF87" s="870"/>
      <c r="AG87" s="860"/>
      <c r="AH87" s="870"/>
      <c r="AI87" s="919"/>
      <c r="AJ87" s="865"/>
      <c r="AK87" s="906"/>
      <c r="AL87" s="907"/>
      <c r="AM87" s="907"/>
      <c r="AN87" s="919"/>
      <c r="AO87" s="926"/>
      <c r="AP87" s="926"/>
      <c r="AQ87" s="865"/>
      <c r="AR87" s="59"/>
      <c r="AU87" s="809"/>
      <c r="AV87" s="901"/>
      <c r="BC87" s="826"/>
    </row>
    <row r="88" spans="2:55" ht="15.95" hidden="1" customHeight="1">
      <c r="B88" s="923">
        <v>37</v>
      </c>
      <c r="C88" s="832"/>
      <c r="D88" s="833"/>
      <c r="E88" s="833"/>
      <c r="F88" s="833"/>
      <c r="G88" s="833"/>
      <c r="H88" s="834"/>
      <c r="I88" s="908" t="str">
        <f>IFERROR(IF(C88="","",INDEX(PMELIGHTCON[Base Desc 1],MATCH(C88,PMELIGHTCON[Eff Desc 1],0))),"")</f>
        <v/>
      </c>
      <c r="J88" s="909"/>
      <c r="K88" s="909"/>
      <c r="L88" s="910"/>
      <c r="M88" s="908" t="str">
        <f>IFERROR(IF(C88="","",INDEX(PMELIGHTCON[Eff Desc 2],MATCH(C88,PMELIGHTCON[Eff Desc 1],0))),"")</f>
        <v/>
      </c>
      <c r="N88" s="909"/>
      <c r="O88" s="909"/>
      <c r="P88" s="910"/>
      <c r="Q88" s="927"/>
      <c r="R88" s="928"/>
      <c r="S88" s="929"/>
      <c r="T88" s="908" t="str">
        <f>IFERROR(IF(C88="","",INDEX(PMELIGHTCON[Unit of Measure],MATCH(C88,PMELIGHTCON[Eff Desc 1],0))),"")</f>
        <v/>
      </c>
      <c r="U88" s="910"/>
      <c r="V88" s="846"/>
      <c r="W88" s="847"/>
      <c r="X88" s="832"/>
      <c r="Y88" s="833"/>
      <c r="Z88" s="833"/>
      <c r="AA88" s="834"/>
      <c r="AB88" s="832"/>
      <c r="AC88" s="833"/>
      <c r="AD88" s="834"/>
      <c r="AE88" s="858"/>
      <c r="AF88" s="869"/>
      <c r="AG88" s="858"/>
      <c r="AH88" s="869"/>
      <c r="AI88" s="917" t="str">
        <f>IFERROR(IF(C88="","",INDEX(PMELIGHTCON[Inc Rate Unit],MATCH(C88,PMELIGHTCON[Eff Desc 1],0))),"")</f>
        <v/>
      </c>
      <c r="AJ88" s="918"/>
      <c r="AK88" s="904" t="str">
        <f>IF(OR(C88="",Q88="",V88="",X88="",AB88="",AE88="",AG88=""),"",ROUND(V88*INDEX(PMELIGHTCON[Savings per Unit kWh],MATCH(C88,PMELIGHTCON[Eff Desc 1],0)),2))</f>
        <v/>
      </c>
      <c r="AL88" s="905"/>
      <c r="AM88" s="905"/>
      <c r="AN88" s="924" t="str">
        <f t="shared" ref="AN88" si="78">IF(OR(C88="",Q88="",V88="",X88="",AB88="",AE88="",AG88=""),"",IF(BC88&lt;&gt;"",BC88,MIN(AU88,ROUND(V88*AI88,2))))</f>
        <v/>
      </c>
      <c r="AO88" s="925"/>
      <c r="AP88" s="925"/>
      <c r="AQ88" s="863"/>
      <c r="AR88" s="59"/>
      <c r="AU88" s="808" t="str">
        <f t="shared" ref="AU88" si="79">IF(OR(C88="",Q88="",V88="",X88="",AB88="",AE88="",AG88=""),"",(ROUND((AE88+AG88)*V88,2)))</f>
        <v/>
      </c>
      <c r="AV88" s="922" t="str">
        <f>IF(OR(C88="",Q88="",V88="",X88="",AB88="",AE88="",AG88=""),"",ROUND((V88*INDEX(PMELIGHTCON[Savings per Unit kW],MATCH(C88,PMELIGHTCON[Eff Desc 1],0)))*INDEX(ENDUSEALL[Lighting Coincidence Factor],MATCH("Lighting Controls",ENDUSEALL[End Use],0)),3))</f>
        <v/>
      </c>
      <c r="BC88" s="825"/>
    </row>
    <row r="89" spans="2:55" ht="15.95" hidden="1" customHeight="1">
      <c r="B89" s="923"/>
      <c r="C89" s="835"/>
      <c r="D89" s="836"/>
      <c r="E89" s="836"/>
      <c r="F89" s="836"/>
      <c r="G89" s="836"/>
      <c r="H89" s="837"/>
      <c r="I89" s="911"/>
      <c r="J89" s="912"/>
      <c r="K89" s="912"/>
      <c r="L89" s="913"/>
      <c r="M89" s="911"/>
      <c r="N89" s="912"/>
      <c r="O89" s="912"/>
      <c r="P89" s="913"/>
      <c r="Q89" s="930"/>
      <c r="R89" s="931"/>
      <c r="S89" s="932"/>
      <c r="T89" s="911"/>
      <c r="U89" s="913"/>
      <c r="V89" s="848"/>
      <c r="W89" s="849"/>
      <c r="X89" s="835"/>
      <c r="Y89" s="836"/>
      <c r="Z89" s="836"/>
      <c r="AA89" s="837"/>
      <c r="AB89" s="835"/>
      <c r="AC89" s="836"/>
      <c r="AD89" s="837"/>
      <c r="AE89" s="860"/>
      <c r="AF89" s="870"/>
      <c r="AG89" s="860"/>
      <c r="AH89" s="870"/>
      <c r="AI89" s="919"/>
      <c r="AJ89" s="865"/>
      <c r="AK89" s="906"/>
      <c r="AL89" s="907"/>
      <c r="AM89" s="907"/>
      <c r="AN89" s="919"/>
      <c r="AO89" s="926"/>
      <c r="AP89" s="926"/>
      <c r="AQ89" s="865"/>
      <c r="AR89" s="59"/>
      <c r="AU89" s="809"/>
      <c r="AV89" s="901"/>
      <c r="BC89" s="826"/>
    </row>
    <row r="90" spans="2:55" ht="15.95" hidden="1" customHeight="1">
      <c r="B90" s="923">
        <v>38</v>
      </c>
      <c r="C90" s="832"/>
      <c r="D90" s="833"/>
      <c r="E90" s="833"/>
      <c r="F90" s="833"/>
      <c r="G90" s="833"/>
      <c r="H90" s="834"/>
      <c r="I90" s="908" t="str">
        <f>IFERROR(IF(C90="","",INDEX(PMELIGHTCON[Base Desc 1],MATCH(C90,PMELIGHTCON[Eff Desc 1],0))),"")</f>
        <v/>
      </c>
      <c r="J90" s="909"/>
      <c r="K90" s="909"/>
      <c r="L90" s="910"/>
      <c r="M90" s="908" t="str">
        <f>IFERROR(IF(C90="","",INDEX(PMELIGHTCON[Eff Desc 2],MATCH(C90,PMELIGHTCON[Eff Desc 1],0))),"")</f>
        <v/>
      </c>
      <c r="N90" s="909"/>
      <c r="O90" s="909"/>
      <c r="P90" s="910"/>
      <c r="Q90" s="927"/>
      <c r="R90" s="928"/>
      <c r="S90" s="929"/>
      <c r="T90" s="908" t="str">
        <f>IFERROR(IF(C90="","",INDEX(PMELIGHTCON[Unit of Measure],MATCH(C90,PMELIGHTCON[Eff Desc 1],0))),"")</f>
        <v/>
      </c>
      <c r="U90" s="910"/>
      <c r="V90" s="846"/>
      <c r="W90" s="847"/>
      <c r="X90" s="832"/>
      <c r="Y90" s="833"/>
      <c r="Z90" s="833"/>
      <c r="AA90" s="834"/>
      <c r="AB90" s="832"/>
      <c r="AC90" s="833"/>
      <c r="AD90" s="834"/>
      <c r="AE90" s="858"/>
      <c r="AF90" s="869"/>
      <c r="AG90" s="858"/>
      <c r="AH90" s="869"/>
      <c r="AI90" s="917" t="str">
        <f>IFERROR(IF(C90="","",INDEX(PMELIGHTCON[Inc Rate Unit],MATCH(C90,PMELIGHTCON[Eff Desc 1],0))),"")</f>
        <v/>
      </c>
      <c r="AJ90" s="918"/>
      <c r="AK90" s="904" t="str">
        <f>IF(OR(C90="",Q90="",V90="",X90="",AB90="",AE90="",AG90=""),"",ROUND(V90*INDEX(PMELIGHTCON[Savings per Unit kWh],MATCH(C90,PMELIGHTCON[Eff Desc 1],0)),2))</f>
        <v/>
      </c>
      <c r="AL90" s="905"/>
      <c r="AM90" s="905"/>
      <c r="AN90" s="924" t="str">
        <f t="shared" ref="AN90" si="80">IF(OR(C90="",Q90="",V90="",X90="",AB90="",AE90="",AG90=""),"",IF(BC90&lt;&gt;"",BC90,MIN(AU90,ROUND(V90*AI90,2))))</f>
        <v/>
      </c>
      <c r="AO90" s="925"/>
      <c r="AP90" s="925"/>
      <c r="AQ90" s="863"/>
      <c r="AR90" s="59"/>
      <c r="AU90" s="808" t="str">
        <f t="shared" ref="AU90" si="81">IF(OR(C90="",Q90="",V90="",X90="",AB90="",AE90="",AG90=""),"",(ROUND((AE90+AG90)*V90,2)))</f>
        <v/>
      </c>
      <c r="AV90" s="922" t="str">
        <f>IF(OR(C90="",Q90="",V90="",X90="",AB90="",AE90="",AG90=""),"",ROUND((V90*INDEX(PMELIGHTCON[Savings per Unit kW],MATCH(C90,PMELIGHTCON[Eff Desc 1],0)))*INDEX(ENDUSEALL[Lighting Coincidence Factor],MATCH("Lighting Controls",ENDUSEALL[End Use],0)),3))</f>
        <v/>
      </c>
      <c r="BC90" s="825"/>
    </row>
    <row r="91" spans="2:55" ht="15.95" hidden="1" customHeight="1">
      <c r="B91" s="923"/>
      <c r="C91" s="835"/>
      <c r="D91" s="836"/>
      <c r="E91" s="836"/>
      <c r="F91" s="836"/>
      <c r="G91" s="836"/>
      <c r="H91" s="837"/>
      <c r="I91" s="911"/>
      <c r="J91" s="912"/>
      <c r="K91" s="912"/>
      <c r="L91" s="913"/>
      <c r="M91" s="911"/>
      <c r="N91" s="912"/>
      <c r="O91" s="912"/>
      <c r="P91" s="913"/>
      <c r="Q91" s="930"/>
      <c r="R91" s="931"/>
      <c r="S91" s="932"/>
      <c r="T91" s="911"/>
      <c r="U91" s="913"/>
      <c r="V91" s="848"/>
      <c r="W91" s="849"/>
      <c r="X91" s="835"/>
      <c r="Y91" s="836"/>
      <c r="Z91" s="836"/>
      <c r="AA91" s="837"/>
      <c r="AB91" s="835"/>
      <c r="AC91" s="836"/>
      <c r="AD91" s="837"/>
      <c r="AE91" s="860"/>
      <c r="AF91" s="870"/>
      <c r="AG91" s="860"/>
      <c r="AH91" s="870"/>
      <c r="AI91" s="919"/>
      <c r="AJ91" s="865"/>
      <c r="AK91" s="906"/>
      <c r="AL91" s="907"/>
      <c r="AM91" s="907"/>
      <c r="AN91" s="919"/>
      <c r="AO91" s="926"/>
      <c r="AP91" s="926"/>
      <c r="AQ91" s="865"/>
      <c r="AR91" s="59"/>
      <c r="AU91" s="809"/>
      <c r="AV91" s="901"/>
      <c r="BC91" s="826"/>
    </row>
    <row r="92" spans="2:55" ht="15.95" hidden="1" customHeight="1">
      <c r="B92" s="923">
        <v>39</v>
      </c>
      <c r="C92" s="832"/>
      <c r="D92" s="833"/>
      <c r="E92" s="833"/>
      <c r="F92" s="833"/>
      <c r="G92" s="833"/>
      <c r="H92" s="834"/>
      <c r="I92" s="908" t="str">
        <f>IFERROR(IF(C92="","",INDEX(PMELIGHTCON[Base Desc 1],MATCH(C92,PMELIGHTCON[Eff Desc 1],0))),"")</f>
        <v/>
      </c>
      <c r="J92" s="909"/>
      <c r="K92" s="909"/>
      <c r="L92" s="910"/>
      <c r="M92" s="908" t="str">
        <f>IFERROR(IF(C92="","",INDEX(PMELIGHTCON[Eff Desc 2],MATCH(C92,PMELIGHTCON[Eff Desc 1],0))),"")</f>
        <v/>
      </c>
      <c r="N92" s="909"/>
      <c r="O92" s="909"/>
      <c r="P92" s="910"/>
      <c r="Q92" s="927"/>
      <c r="R92" s="928"/>
      <c r="S92" s="929"/>
      <c r="T92" s="908" t="str">
        <f>IFERROR(IF(C92="","",INDEX(PMELIGHTCON[Unit of Measure],MATCH(C92,PMELIGHTCON[Eff Desc 1],0))),"")</f>
        <v/>
      </c>
      <c r="U92" s="910"/>
      <c r="V92" s="846"/>
      <c r="W92" s="847"/>
      <c r="X92" s="832"/>
      <c r="Y92" s="833"/>
      <c r="Z92" s="833"/>
      <c r="AA92" s="834"/>
      <c r="AB92" s="832"/>
      <c r="AC92" s="833"/>
      <c r="AD92" s="834"/>
      <c r="AE92" s="858"/>
      <c r="AF92" s="869"/>
      <c r="AG92" s="858"/>
      <c r="AH92" s="869"/>
      <c r="AI92" s="917" t="str">
        <f>IFERROR(IF(C92="","",INDEX(PMELIGHTCON[Inc Rate Unit],MATCH(C92,PMELIGHTCON[Eff Desc 1],0))),"")</f>
        <v/>
      </c>
      <c r="AJ92" s="918"/>
      <c r="AK92" s="904" t="str">
        <f>IF(OR(C92="",Q92="",V92="",X92="",AB92="",AE92="",AG92=""),"",ROUND(V92*INDEX(PMELIGHTCON[Savings per Unit kWh],MATCH(C92,PMELIGHTCON[Eff Desc 1],0)),2))</f>
        <v/>
      </c>
      <c r="AL92" s="905"/>
      <c r="AM92" s="905"/>
      <c r="AN92" s="924" t="str">
        <f t="shared" ref="AN92" si="82">IF(OR(C92="",Q92="",V92="",X92="",AB92="",AE92="",AG92=""),"",IF(BC92&lt;&gt;"",BC92,MIN(AU92,ROUND(V92*AI92,2))))</f>
        <v/>
      </c>
      <c r="AO92" s="925"/>
      <c r="AP92" s="925"/>
      <c r="AQ92" s="863"/>
      <c r="AR92" s="59"/>
      <c r="AU92" s="808" t="str">
        <f t="shared" ref="AU92" si="83">IF(OR(C92="",Q92="",V92="",X92="",AB92="",AE92="",AG92=""),"",(ROUND((AE92+AG92)*V92,2)))</f>
        <v/>
      </c>
      <c r="AV92" s="922" t="str">
        <f>IF(OR(C92="",Q92="",V92="",X92="",AB92="",AE92="",AG92=""),"",ROUND((V92*INDEX(PMELIGHTCON[Savings per Unit kW],MATCH(C92,PMELIGHTCON[Eff Desc 1],0)))*INDEX(ENDUSEALL[Lighting Coincidence Factor],MATCH("Lighting Controls",ENDUSEALL[End Use],0)),3))</f>
        <v/>
      </c>
      <c r="BC92" s="825"/>
    </row>
    <row r="93" spans="2:55" ht="15.95" hidden="1" customHeight="1">
      <c r="B93" s="923"/>
      <c r="C93" s="835"/>
      <c r="D93" s="836"/>
      <c r="E93" s="836"/>
      <c r="F93" s="836"/>
      <c r="G93" s="836"/>
      <c r="H93" s="837"/>
      <c r="I93" s="911"/>
      <c r="J93" s="912"/>
      <c r="K93" s="912"/>
      <c r="L93" s="913"/>
      <c r="M93" s="911"/>
      <c r="N93" s="912"/>
      <c r="O93" s="912"/>
      <c r="P93" s="913"/>
      <c r="Q93" s="930"/>
      <c r="R93" s="931"/>
      <c r="S93" s="932"/>
      <c r="T93" s="911"/>
      <c r="U93" s="913"/>
      <c r="V93" s="848"/>
      <c r="W93" s="849"/>
      <c r="X93" s="835"/>
      <c r="Y93" s="836"/>
      <c r="Z93" s="836"/>
      <c r="AA93" s="837"/>
      <c r="AB93" s="835"/>
      <c r="AC93" s="836"/>
      <c r="AD93" s="837"/>
      <c r="AE93" s="860"/>
      <c r="AF93" s="870"/>
      <c r="AG93" s="860"/>
      <c r="AH93" s="870"/>
      <c r="AI93" s="919"/>
      <c r="AJ93" s="865"/>
      <c r="AK93" s="906"/>
      <c r="AL93" s="907"/>
      <c r="AM93" s="907"/>
      <c r="AN93" s="919"/>
      <c r="AO93" s="926"/>
      <c r="AP93" s="926"/>
      <c r="AQ93" s="865"/>
      <c r="AR93" s="59"/>
      <c r="AU93" s="809"/>
      <c r="AV93" s="901"/>
      <c r="BC93" s="826"/>
    </row>
    <row r="94" spans="2:55" ht="15.95" hidden="1" customHeight="1">
      <c r="B94" s="923">
        <v>40</v>
      </c>
      <c r="C94" s="832"/>
      <c r="D94" s="833"/>
      <c r="E94" s="833"/>
      <c r="F94" s="833"/>
      <c r="G94" s="833"/>
      <c r="H94" s="834"/>
      <c r="I94" s="908" t="str">
        <f>IFERROR(IF(C94="","",INDEX(PMELIGHTCON[Base Desc 1],MATCH(C94,PMELIGHTCON[Eff Desc 1],0))),"")</f>
        <v/>
      </c>
      <c r="J94" s="909"/>
      <c r="K94" s="909"/>
      <c r="L94" s="910"/>
      <c r="M94" s="908" t="str">
        <f>IFERROR(IF(C94="","",INDEX(PMELIGHTCON[Eff Desc 2],MATCH(C94,PMELIGHTCON[Eff Desc 1],0))),"")</f>
        <v/>
      </c>
      <c r="N94" s="909"/>
      <c r="O94" s="909"/>
      <c r="P94" s="910"/>
      <c r="Q94" s="927"/>
      <c r="R94" s="928"/>
      <c r="S94" s="929"/>
      <c r="T94" s="908" t="str">
        <f>IFERROR(IF(C94="","",INDEX(PMELIGHTCON[Unit of Measure],MATCH(C94,PMELIGHTCON[Eff Desc 1],0))),"")</f>
        <v/>
      </c>
      <c r="U94" s="910"/>
      <c r="V94" s="846"/>
      <c r="W94" s="847"/>
      <c r="X94" s="832"/>
      <c r="Y94" s="833"/>
      <c r="Z94" s="833"/>
      <c r="AA94" s="834"/>
      <c r="AB94" s="832"/>
      <c r="AC94" s="833"/>
      <c r="AD94" s="834"/>
      <c r="AE94" s="858"/>
      <c r="AF94" s="869"/>
      <c r="AG94" s="858"/>
      <c r="AH94" s="869"/>
      <c r="AI94" s="917" t="str">
        <f>IFERROR(IF(C94="","",INDEX(PMELIGHTCON[Inc Rate Unit],MATCH(C94,PMELIGHTCON[Eff Desc 1],0))),"")</f>
        <v/>
      </c>
      <c r="AJ94" s="918"/>
      <c r="AK94" s="904" t="str">
        <f>IF(OR(C94="",Q94="",V94="",X94="",AB94="",AE94="",AG94=""),"",ROUND(V94*INDEX(PMELIGHTCON[Savings per Unit kWh],MATCH(C94,PMELIGHTCON[Eff Desc 1],0)),2))</f>
        <v/>
      </c>
      <c r="AL94" s="905"/>
      <c r="AM94" s="905"/>
      <c r="AN94" s="924" t="str">
        <f t="shared" ref="AN94" si="84">IF(OR(C94="",Q94="",V94="",X94="",AB94="",AE94="",AG94=""),"",IF(BC94&lt;&gt;"",BC94,MIN(AU94,ROUND(V94*AI94,2))))</f>
        <v/>
      </c>
      <c r="AO94" s="925"/>
      <c r="AP94" s="925"/>
      <c r="AQ94" s="863"/>
      <c r="AR94" s="59"/>
      <c r="AU94" s="808" t="str">
        <f t="shared" ref="AU94" si="85">IF(OR(C94="",Q94="",V94="",X94="",AB94="",AE94="",AG94=""),"",(ROUND((AE94+AG94)*V94,2)))</f>
        <v/>
      </c>
      <c r="AV94" s="922" t="str">
        <f>IF(OR(C94="",Q94="",V94="",X94="",AB94="",AE94="",AG94=""),"",ROUND((V94*INDEX(PMELIGHTCON[Savings per Unit kW],MATCH(C94,PMELIGHTCON[Eff Desc 1],0)))*INDEX(ENDUSEALL[Lighting Coincidence Factor],MATCH("Lighting Controls",ENDUSEALL[End Use],0)),3))</f>
        <v/>
      </c>
      <c r="BC94" s="825"/>
    </row>
    <row r="95" spans="2:55" ht="15.95" hidden="1" customHeight="1">
      <c r="B95" s="923"/>
      <c r="C95" s="835"/>
      <c r="D95" s="836"/>
      <c r="E95" s="836"/>
      <c r="F95" s="836"/>
      <c r="G95" s="836"/>
      <c r="H95" s="837"/>
      <c r="I95" s="911"/>
      <c r="J95" s="912"/>
      <c r="K95" s="912"/>
      <c r="L95" s="913"/>
      <c r="M95" s="911"/>
      <c r="N95" s="912"/>
      <c r="O95" s="912"/>
      <c r="P95" s="913"/>
      <c r="Q95" s="930"/>
      <c r="R95" s="931"/>
      <c r="S95" s="932"/>
      <c r="T95" s="911"/>
      <c r="U95" s="913"/>
      <c r="V95" s="848"/>
      <c r="W95" s="849"/>
      <c r="X95" s="835"/>
      <c r="Y95" s="836"/>
      <c r="Z95" s="836"/>
      <c r="AA95" s="837"/>
      <c r="AB95" s="835"/>
      <c r="AC95" s="836"/>
      <c r="AD95" s="837"/>
      <c r="AE95" s="860"/>
      <c r="AF95" s="870"/>
      <c r="AG95" s="860"/>
      <c r="AH95" s="870"/>
      <c r="AI95" s="919"/>
      <c r="AJ95" s="865"/>
      <c r="AK95" s="906"/>
      <c r="AL95" s="907"/>
      <c r="AM95" s="907"/>
      <c r="AN95" s="919"/>
      <c r="AO95" s="926"/>
      <c r="AP95" s="926"/>
      <c r="AQ95" s="865"/>
      <c r="AR95" s="59"/>
      <c r="AU95" s="809"/>
      <c r="AV95" s="901"/>
      <c r="BC95" s="826"/>
    </row>
    <row r="96" spans="2:55" ht="15.95" hidden="1" customHeight="1">
      <c r="B96" s="923">
        <v>41</v>
      </c>
      <c r="C96" s="832"/>
      <c r="D96" s="833"/>
      <c r="E96" s="833"/>
      <c r="F96" s="833"/>
      <c r="G96" s="833"/>
      <c r="H96" s="834"/>
      <c r="I96" s="908" t="str">
        <f>IFERROR(IF(C96="","",INDEX(PMELIGHTCON[Base Desc 1],MATCH(C96,PMELIGHTCON[Eff Desc 1],0))),"")</f>
        <v/>
      </c>
      <c r="J96" s="909"/>
      <c r="K96" s="909"/>
      <c r="L96" s="910"/>
      <c r="M96" s="908" t="str">
        <f>IFERROR(IF(C96="","",INDEX(PMELIGHTCON[Eff Desc 2],MATCH(C96,PMELIGHTCON[Eff Desc 1],0))),"")</f>
        <v/>
      </c>
      <c r="N96" s="909"/>
      <c r="O96" s="909"/>
      <c r="P96" s="910"/>
      <c r="Q96" s="927"/>
      <c r="R96" s="928"/>
      <c r="S96" s="929"/>
      <c r="T96" s="908" t="str">
        <f>IFERROR(IF(C96="","",INDEX(PMELIGHTCON[Unit of Measure],MATCH(C96,PMELIGHTCON[Eff Desc 1],0))),"")</f>
        <v/>
      </c>
      <c r="U96" s="910"/>
      <c r="V96" s="846"/>
      <c r="W96" s="847"/>
      <c r="X96" s="832"/>
      <c r="Y96" s="833"/>
      <c r="Z96" s="833"/>
      <c r="AA96" s="834"/>
      <c r="AB96" s="832"/>
      <c r="AC96" s="833"/>
      <c r="AD96" s="834"/>
      <c r="AE96" s="858"/>
      <c r="AF96" s="869"/>
      <c r="AG96" s="858"/>
      <c r="AH96" s="869"/>
      <c r="AI96" s="917" t="str">
        <f>IFERROR(IF(C96="","",INDEX(PMELIGHTCON[Inc Rate Unit],MATCH(C96,PMELIGHTCON[Eff Desc 1],0))),"")</f>
        <v/>
      </c>
      <c r="AJ96" s="918"/>
      <c r="AK96" s="904" t="str">
        <f>IF(OR(C96="",Q96="",V96="",X96="",AB96="",AE96="",AG96=""),"",ROUND(V96*INDEX(PMELIGHTCON[Savings per Unit kWh],MATCH(C96,PMELIGHTCON[Eff Desc 1],0)),2))</f>
        <v/>
      </c>
      <c r="AL96" s="905"/>
      <c r="AM96" s="905"/>
      <c r="AN96" s="924" t="str">
        <f t="shared" ref="AN96" si="86">IF(OR(C96="",Q96="",V96="",X96="",AB96="",AE96="",AG96=""),"",IF(BC96&lt;&gt;"",BC96,MIN(AU96,ROUND(V96*AI96,2))))</f>
        <v/>
      </c>
      <c r="AO96" s="925"/>
      <c r="AP96" s="925"/>
      <c r="AQ96" s="863"/>
      <c r="AR96" s="59"/>
      <c r="AU96" s="808" t="str">
        <f t="shared" ref="AU96" si="87">IF(OR(C96="",Q96="",V96="",X96="",AB96="",AE96="",AG96=""),"",(ROUND((AE96+AG96)*V96,2)))</f>
        <v/>
      </c>
      <c r="AV96" s="922" t="str">
        <f>IF(OR(C96="",Q96="",V96="",X96="",AB96="",AE96="",AG96=""),"",ROUND((V96*INDEX(PMELIGHTCON[Savings per Unit kW],MATCH(C96,PMELIGHTCON[Eff Desc 1],0)))*INDEX(ENDUSEALL[Lighting Coincidence Factor],MATCH("Lighting Controls",ENDUSEALL[End Use],0)),3))</f>
        <v/>
      </c>
      <c r="BC96" s="825"/>
    </row>
    <row r="97" spans="2:55" ht="15.95" hidden="1" customHeight="1">
      <c r="B97" s="923"/>
      <c r="C97" s="835"/>
      <c r="D97" s="836"/>
      <c r="E97" s="836"/>
      <c r="F97" s="836"/>
      <c r="G97" s="836"/>
      <c r="H97" s="837"/>
      <c r="I97" s="911"/>
      <c r="J97" s="912"/>
      <c r="K97" s="912"/>
      <c r="L97" s="913"/>
      <c r="M97" s="911"/>
      <c r="N97" s="912"/>
      <c r="O97" s="912"/>
      <c r="P97" s="913"/>
      <c r="Q97" s="930"/>
      <c r="R97" s="931"/>
      <c r="S97" s="932"/>
      <c r="T97" s="911"/>
      <c r="U97" s="913"/>
      <c r="V97" s="848"/>
      <c r="W97" s="849"/>
      <c r="X97" s="835"/>
      <c r="Y97" s="836"/>
      <c r="Z97" s="836"/>
      <c r="AA97" s="837"/>
      <c r="AB97" s="835"/>
      <c r="AC97" s="836"/>
      <c r="AD97" s="837"/>
      <c r="AE97" s="860"/>
      <c r="AF97" s="870"/>
      <c r="AG97" s="860"/>
      <c r="AH97" s="870"/>
      <c r="AI97" s="919"/>
      <c r="AJ97" s="865"/>
      <c r="AK97" s="906"/>
      <c r="AL97" s="907"/>
      <c r="AM97" s="907"/>
      <c r="AN97" s="919"/>
      <c r="AO97" s="926"/>
      <c r="AP97" s="926"/>
      <c r="AQ97" s="865"/>
      <c r="AR97" s="59"/>
      <c r="AU97" s="809"/>
      <c r="AV97" s="901"/>
      <c r="BC97" s="826"/>
    </row>
    <row r="98" spans="2:55" ht="15.95" hidden="1" customHeight="1">
      <c r="B98" s="923">
        <v>42</v>
      </c>
      <c r="C98" s="832"/>
      <c r="D98" s="833"/>
      <c r="E98" s="833"/>
      <c r="F98" s="833"/>
      <c r="G98" s="833"/>
      <c r="H98" s="834"/>
      <c r="I98" s="908" t="str">
        <f>IFERROR(IF(C98="","",INDEX(PMELIGHTCON[Base Desc 1],MATCH(C98,PMELIGHTCON[Eff Desc 1],0))),"")</f>
        <v/>
      </c>
      <c r="J98" s="909"/>
      <c r="K98" s="909"/>
      <c r="L98" s="910"/>
      <c r="M98" s="908" t="str">
        <f>IFERROR(IF(C98="","",INDEX(PMELIGHTCON[Eff Desc 2],MATCH(C98,PMELIGHTCON[Eff Desc 1],0))),"")</f>
        <v/>
      </c>
      <c r="N98" s="909"/>
      <c r="O98" s="909"/>
      <c r="P98" s="910"/>
      <c r="Q98" s="927"/>
      <c r="R98" s="928"/>
      <c r="S98" s="929"/>
      <c r="T98" s="908" t="str">
        <f>IFERROR(IF(C98="","",INDEX(PMELIGHTCON[Unit of Measure],MATCH(C98,PMELIGHTCON[Eff Desc 1],0))),"")</f>
        <v/>
      </c>
      <c r="U98" s="910"/>
      <c r="V98" s="846"/>
      <c r="W98" s="847"/>
      <c r="X98" s="832"/>
      <c r="Y98" s="833"/>
      <c r="Z98" s="833"/>
      <c r="AA98" s="834"/>
      <c r="AB98" s="832"/>
      <c r="AC98" s="833"/>
      <c r="AD98" s="834"/>
      <c r="AE98" s="858"/>
      <c r="AF98" s="869"/>
      <c r="AG98" s="858"/>
      <c r="AH98" s="869"/>
      <c r="AI98" s="917" t="str">
        <f>IFERROR(IF(C98="","",INDEX(PMELIGHTCON[Inc Rate Unit],MATCH(C98,PMELIGHTCON[Eff Desc 1],0))),"")</f>
        <v/>
      </c>
      <c r="AJ98" s="918"/>
      <c r="AK98" s="904" t="str">
        <f>IF(OR(C98="",Q98="",V98="",X98="",AB98="",AE98="",AG98=""),"",ROUND(V98*INDEX(PMELIGHTCON[Savings per Unit kWh],MATCH(C98,PMELIGHTCON[Eff Desc 1],0)),2))</f>
        <v/>
      </c>
      <c r="AL98" s="905"/>
      <c r="AM98" s="905"/>
      <c r="AN98" s="924" t="str">
        <f t="shared" ref="AN98" si="88">IF(OR(C98="",Q98="",V98="",X98="",AB98="",AE98="",AG98=""),"",IF(BC98&lt;&gt;"",BC98,MIN(AU98,ROUND(V98*AI98,2))))</f>
        <v/>
      </c>
      <c r="AO98" s="925"/>
      <c r="AP98" s="925"/>
      <c r="AQ98" s="863"/>
      <c r="AR98" s="59"/>
      <c r="AU98" s="808" t="str">
        <f t="shared" ref="AU98" si="89">IF(OR(C98="",Q98="",V98="",X98="",AB98="",AE98="",AG98=""),"",(ROUND((AE98+AG98)*V98,2)))</f>
        <v/>
      </c>
      <c r="AV98" s="922" t="str">
        <f>IF(OR(C98="",Q98="",V98="",X98="",AB98="",AE98="",AG98=""),"",ROUND((V98*INDEX(PMELIGHTCON[Savings per Unit kW],MATCH(C98,PMELIGHTCON[Eff Desc 1],0)))*INDEX(ENDUSEALL[Lighting Coincidence Factor],MATCH("Lighting Controls",ENDUSEALL[End Use],0)),3))</f>
        <v/>
      </c>
      <c r="BC98" s="825"/>
    </row>
    <row r="99" spans="2:55" ht="15.95" hidden="1" customHeight="1">
      <c r="B99" s="923"/>
      <c r="C99" s="835"/>
      <c r="D99" s="836"/>
      <c r="E99" s="836"/>
      <c r="F99" s="836"/>
      <c r="G99" s="836"/>
      <c r="H99" s="837"/>
      <c r="I99" s="911"/>
      <c r="J99" s="912"/>
      <c r="K99" s="912"/>
      <c r="L99" s="913"/>
      <c r="M99" s="911"/>
      <c r="N99" s="912"/>
      <c r="O99" s="912"/>
      <c r="P99" s="913"/>
      <c r="Q99" s="930"/>
      <c r="R99" s="931"/>
      <c r="S99" s="932"/>
      <c r="T99" s="911"/>
      <c r="U99" s="913"/>
      <c r="V99" s="848"/>
      <c r="W99" s="849"/>
      <c r="X99" s="835"/>
      <c r="Y99" s="836"/>
      <c r="Z99" s="836"/>
      <c r="AA99" s="837"/>
      <c r="AB99" s="835"/>
      <c r="AC99" s="836"/>
      <c r="AD99" s="837"/>
      <c r="AE99" s="860"/>
      <c r="AF99" s="870"/>
      <c r="AG99" s="860"/>
      <c r="AH99" s="870"/>
      <c r="AI99" s="919"/>
      <c r="AJ99" s="865"/>
      <c r="AK99" s="906"/>
      <c r="AL99" s="907"/>
      <c r="AM99" s="907"/>
      <c r="AN99" s="919"/>
      <c r="AO99" s="926"/>
      <c r="AP99" s="926"/>
      <c r="AQ99" s="865"/>
      <c r="AR99" s="59"/>
      <c r="AU99" s="809"/>
      <c r="AV99" s="901"/>
      <c r="BC99" s="826"/>
    </row>
    <row r="100" spans="2:55" ht="15.95" hidden="1" customHeight="1">
      <c r="B100" s="923">
        <v>43</v>
      </c>
      <c r="C100" s="832"/>
      <c r="D100" s="833"/>
      <c r="E100" s="833"/>
      <c r="F100" s="833"/>
      <c r="G100" s="833"/>
      <c r="H100" s="834"/>
      <c r="I100" s="908" t="str">
        <f>IFERROR(IF(C100="","",INDEX(PMELIGHTCON[Base Desc 1],MATCH(C100,PMELIGHTCON[Eff Desc 1],0))),"")</f>
        <v/>
      </c>
      <c r="J100" s="909"/>
      <c r="K100" s="909"/>
      <c r="L100" s="910"/>
      <c r="M100" s="908" t="str">
        <f>IFERROR(IF(C100="","",INDEX(PMELIGHTCON[Eff Desc 2],MATCH(C100,PMELIGHTCON[Eff Desc 1],0))),"")</f>
        <v/>
      </c>
      <c r="N100" s="909"/>
      <c r="O100" s="909"/>
      <c r="P100" s="910"/>
      <c r="Q100" s="927"/>
      <c r="R100" s="928"/>
      <c r="S100" s="929"/>
      <c r="T100" s="908" t="str">
        <f>IFERROR(IF(C100="","",INDEX(PMELIGHTCON[Unit of Measure],MATCH(C100,PMELIGHTCON[Eff Desc 1],0))),"")</f>
        <v/>
      </c>
      <c r="U100" s="910"/>
      <c r="V100" s="846"/>
      <c r="W100" s="847"/>
      <c r="X100" s="832"/>
      <c r="Y100" s="833"/>
      <c r="Z100" s="833"/>
      <c r="AA100" s="834"/>
      <c r="AB100" s="832"/>
      <c r="AC100" s="833"/>
      <c r="AD100" s="834"/>
      <c r="AE100" s="858"/>
      <c r="AF100" s="869"/>
      <c r="AG100" s="858"/>
      <c r="AH100" s="869"/>
      <c r="AI100" s="917" t="str">
        <f>IFERROR(IF(C100="","",INDEX(PMELIGHTCON[Inc Rate Unit],MATCH(C100,PMELIGHTCON[Eff Desc 1],0))),"")</f>
        <v/>
      </c>
      <c r="AJ100" s="918"/>
      <c r="AK100" s="904" t="str">
        <f>IF(OR(C100="",Q100="",V100="",X100="",AB100="",AE100="",AG100=""),"",ROUND(V100*INDEX(PMELIGHTCON[Savings per Unit kWh],MATCH(C100,PMELIGHTCON[Eff Desc 1],0)),2))</f>
        <v/>
      </c>
      <c r="AL100" s="905"/>
      <c r="AM100" s="905"/>
      <c r="AN100" s="924" t="str">
        <f t="shared" ref="AN100" si="90">IF(OR(C100="",Q100="",V100="",X100="",AB100="",AE100="",AG100=""),"",IF(BC100&lt;&gt;"",BC100,MIN(AU100,ROUND(V100*AI100,2))))</f>
        <v/>
      </c>
      <c r="AO100" s="925"/>
      <c r="AP100" s="925"/>
      <c r="AQ100" s="863"/>
      <c r="AR100" s="59"/>
      <c r="AU100" s="808" t="str">
        <f t="shared" ref="AU100" si="91">IF(OR(C100="",Q100="",V100="",X100="",AB100="",AE100="",AG100=""),"",(ROUND((AE100+AG100)*V100,2)))</f>
        <v/>
      </c>
      <c r="AV100" s="922" t="str">
        <f>IF(OR(C100="",Q100="",V100="",X100="",AB100="",AE100="",AG100=""),"",ROUND((V100*INDEX(PMELIGHTCON[Savings per Unit kW],MATCH(C100,PMELIGHTCON[Eff Desc 1],0)))*INDEX(ENDUSEALL[Lighting Coincidence Factor],MATCH("Lighting Controls",ENDUSEALL[End Use],0)),3))</f>
        <v/>
      </c>
      <c r="BC100" s="825"/>
    </row>
    <row r="101" spans="2:55" ht="15.95" hidden="1" customHeight="1">
      <c r="B101" s="923"/>
      <c r="C101" s="835"/>
      <c r="D101" s="836"/>
      <c r="E101" s="836"/>
      <c r="F101" s="836"/>
      <c r="G101" s="836"/>
      <c r="H101" s="837"/>
      <c r="I101" s="911"/>
      <c r="J101" s="912"/>
      <c r="K101" s="912"/>
      <c r="L101" s="913"/>
      <c r="M101" s="911"/>
      <c r="N101" s="912"/>
      <c r="O101" s="912"/>
      <c r="P101" s="913"/>
      <c r="Q101" s="930"/>
      <c r="R101" s="931"/>
      <c r="S101" s="932"/>
      <c r="T101" s="911"/>
      <c r="U101" s="913"/>
      <c r="V101" s="848"/>
      <c r="W101" s="849"/>
      <c r="X101" s="835"/>
      <c r="Y101" s="836"/>
      <c r="Z101" s="836"/>
      <c r="AA101" s="837"/>
      <c r="AB101" s="835"/>
      <c r="AC101" s="836"/>
      <c r="AD101" s="837"/>
      <c r="AE101" s="860"/>
      <c r="AF101" s="870"/>
      <c r="AG101" s="860"/>
      <c r="AH101" s="870"/>
      <c r="AI101" s="919"/>
      <c r="AJ101" s="865"/>
      <c r="AK101" s="906"/>
      <c r="AL101" s="907"/>
      <c r="AM101" s="907"/>
      <c r="AN101" s="919"/>
      <c r="AO101" s="926"/>
      <c r="AP101" s="926"/>
      <c r="AQ101" s="865"/>
      <c r="AR101" s="59"/>
      <c r="AU101" s="809"/>
      <c r="AV101" s="901"/>
      <c r="BC101" s="826"/>
    </row>
    <row r="102" spans="2:55" ht="15.95" hidden="1" customHeight="1">
      <c r="B102" s="923">
        <v>44</v>
      </c>
      <c r="C102" s="832"/>
      <c r="D102" s="833"/>
      <c r="E102" s="833"/>
      <c r="F102" s="833"/>
      <c r="G102" s="833"/>
      <c r="H102" s="834"/>
      <c r="I102" s="908" t="str">
        <f>IFERROR(IF(C102="","",INDEX(PMELIGHTCON[Base Desc 1],MATCH(C102,PMELIGHTCON[Eff Desc 1],0))),"")</f>
        <v/>
      </c>
      <c r="J102" s="909"/>
      <c r="K102" s="909"/>
      <c r="L102" s="910"/>
      <c r="M102" s="908" t="str">
        <f>IFERROR(IF(C102="","",INDEX(PMELIGHTCON[Eff Desc 2],MATCH(C102,PMELIGHTCON[Eff Desc 1],0))),"")</f>
        <v/>
      </c>
      <c r="N102" s="909"/>
      <c r="O102" s="909"/>
      <c r="P102" s="910"/>
      <c r="Q102" s="927"/>
      <c r="R102" s="928"/>
      <c r="S102" s="929"/>
      <c r="T102" s="908" t="str">
        <f>IFERROR(IF(C102="","",INDEX(PMELIGHTCON[Unit of Measure],MATCH(C102,PMELIGHTCON[Eff Desc 1],0))),"")</f>
        <v/>
      </c>
      <c r="U102" s="910"/>
      <c r="V102" s="846"/>
      <c r="W102" s="847"/>
      <c r="X102" s="832"/>
      <c r="Y102" s="833"/>
      <c r="Z102" s="833"/>
      <c r="AA102" s="834"/>
      <c r="AB102" s="832"/>
      <c r="AC102" s="833"/>
      <c r="AD102" s="834"/>
      <c r="AE102" s="858"/>
      <c r="AF102" s="869"/>
      <c r="AG102" s="858"/>
      <c r="AH102" s="869"/>
      <c r="AI102" s="917" t="str">
        <f>IFERROR(IF(C102="","",INDEX(PMELIGHTCON[Inc Rate Unit],MATCH(C102,PMELIGHTCON[Eff Desc 1],0))),"")</f>
        <v/>
      </c>
      <c r="AJ102" s="918"/>
      <c r="AK102" s="904" t="str">
        <f>IF(OR(C102="",Q102="",V102="",X102="",AB102="",AE102="",AG102=""),"",ROUND(V102*INDEX(PMELIGHTCON[Savings per Unit kWh],MATCH(C102,PMELIGHTCON[Eff Desc 1],0)),2))</f>
        <v/>
      </c>
      <c r="AL102" s="905"/>
      <c r="AM102" s="905"/>
      <c r="AN102" s="924" t="str">
        <f t="shared" ref="AN102" si="92">IF(OR(C102="",Q102="",V102="",X102="",AB102="",AE102="",AG102=""),"",IF(BC102&lt;&gt;"",BC102,MIN(AU102,ROUND(V102*AI102,2))))</f>
        <v/>
      </c>
      <c r="AO102" s="925"/>
      <c r="AP102" s="925"/>
      <c r="AQ102" s="863"/>
      <c r="AR102" s="59"/>
      <c r="AU102" s="808" t="str">
        <f t="shared" ref="AU102" si="93">IF(OR(C102="",Q102="",V102="",X102="",AB102="",AE102="",AG102=""),"",(ROUND((AE102+AG102)*V102,2)))</f>
        <v/>
      </c>
      <c r="AV102" s="922" t="str">
        <f>IF(OR(C102="",Q102="",V102="",X102="",AB102="",AE102="",AG102=""),"",ROUND((V102*INDEX(PMELIGHTCON[Savings per Unit kW],MATCH(C102,PMELIGHTCON[Eff Desc 1],0)))*INDEX(ENDUSEALL[Lighting Coincidence Factor],MATCH("Lighting Controls",ENDUSEALL[End Use],0)),3))</f>
        <v/>
      </c>
      <c r="BC102" s="825"/>
    </row>
    <row r="103" spans="2:55" ht="15.95" hidden="1" customHeight="1">
      <c r="B103" s="923"/>
      <c r="C103" s="835"/>
      <c r="D103" s="836"/>
      <c r="E103" s="836"/>
      <c r="F103" s="836"/>
      <c r="G103" s="836"/>
      <c r="H103" s="837"/>
      <c r="I103" s="911"/>
      <c r="J103" s="912"/>
      <c r="K103" s="912"/>
      <c r="L103" s="913"/>
      <c r="M103" s="911"/>
      <c r="N103" s="912"/>
      <c r="O103" s="912"/>
      <c r="P103" s="913"/>
      <c r="Q103" s="930"/>
      <c r="R103" s="931"/>
      <c r="S103" s="932"/>
      <c r="T103" s="911"/>
      <c r="U103" s="913"/>
      <c r="V103" s="848"/>
      <c r="W103" s="849"/>
      <c r="X103" s="835"/>
      <c r="Y103" s="836"/>
      <c r="Z103" s="836"/>
      <c r="AA103" s="837"/>
      <c r="AB103" s="835"/>
      <c r="AC103" s="836"/>
      <c r="AD103" s="837"/>
      <c r="AE103" s="860"/>
      <c r="AF103" s="870"/>
      <c r="AG103" s="860"/>
      <c r="AH103" s="870"/>
      <c r="AI103" s="919"/>
      <c r="AJ103" s="865"/>
      <c r="AK103" s="906"/>
      <c r="AL103" s="907"/>
      <c r="AM103" s="907"/>
      <c r="AN103" s="919"/>
      <c r="AO103" s="926"/>
      <c r="AP103" s="926"/>
      <c r="AQ103" s="865"/>
      <c r="AR103" s="59"/>
      <c r="AU103" s="809"/>
      <c r="AV103" s="901"/>
      <c r="BC103" s="826"/>
    </row>
    <row r="104" spans="2:55" ht="15.95" hidden="1" customHeight="1">
      <c r="B104" s="923">
        <v>45</v>
      </c>
      <c r="C104" s="832"/>
      <c r="D104" s="833"/>
      <c r="E104" s="833"/>
      <c r="F104" s="833"/>
      <c r="G104" s="833"/>
      <c r="H104" s="834"/>
      <c r="I104" s="908" t="str">
        <f>IFERROR(IF(C104="","",INDEX(PMELIGHTCON[Base Desc 1],MATCH(C104,PMELIGHTCON[Eff Desc 1],0))),"")</f>
        <v/>
      </c>
      <c r="J104" s="909"/>
      <c r="K104" s="909"/>
      <c r="L104" s="910"/>
      <c r="M104" s="908" t="str">
        <f>IFERROR(IF(C104="","",INDEX(PMELIGHTCON[Eff Desc 2],MATCH(C104,PMELIGHTCON[Eff Desc 1],0))),"")</f>
        <v/>
      </c>
      <c r="N104" s="909"/>
      <c r="O104" s="909"/>
      <c r="P104" s="910"/>
      <c r="Q104" s="927"/>
      <c r="R104" s="928"/>
      <c r="S104" s="929"/>
      <c r="T104" s="908" t="str">
        <f>IFERROR(IF(C104="","",INDEX(PMELIGHTCON[Unit of Measure],MATCH(C104,PMELIGHTCON[Eff Desc 1],0))),"")</f>
        <v/>
      </c>
      <c r="U104" s="910"/>
      <c r="V104" s="846"/>
      <c r="W104" s="847"/>
      <c r="X104" s="832"/>
      <c r="Y104" s="833"/>
      <c r="Z104" s="833"/>
      <c r="AA104" s="834"/>
      <c r="AB104" s="832"/>
      <c r="AC104" s="833"/>
      <c r="AD104" s="834"/>
      <c r="AE104" s="858"/>
      <c r="AF104" s="869"/>
      <c r="AG104" s="858"/>
      <c r="AH104" s="869"/>
      <c r="AI104" s="917" t="str">
        <f>IFERROR(IF(C104="","",INDEX(PMELIGHTCON[Inc Rate Unit],MATCH(C104,PMELIGHTCON[Eff Desc 1],0))),"")</f>
        <v/>
      </c>
      <c r="AJ104" s="918"/>
      <c r="AK104" s="904" t="str">
        <f>IF(OR(C104="",Q104="",V104="",X104="",AB104="",AE104="",AG104=""),"",ROUND(V104*INDEX(PMELIGHTCON[Savings per Unit kWh],MATCH(C104,PMELIGHTCON[Eff Desc 1],0)),2))</f>
        <v/>
      </c>
      <c r="AL104" s="905"/>
      <c r="AM104" s="905"/>
      <c r="AN104" s="924" t="str">
        <f t="shared" ref="AN104" si="94">IF(OR(C104="",Q104="",V104="",X104="",AB104="",AE104="",AG104=""),"",IF(BC104&lt;&gt;"",BC104,MIN(AU104,ROUND(V104*AI104,2))))</f>
        <v/>
      </c>
      <c r="AO104" s="925"/>
      <c r="AP104" s="925"/>
      <c r="AQ104" s="863"/>
      <c r="AR104" s="59"/>
      <c r="AU104" s="808" t="str">
        <f t="shared" ref="AU104" si="95">IF(OR(C104="",Q104="",V104="",X104="",AB104="",AE104="",AG104=""),"",(ROUND((AE104+AG104)*V104,2)))</f>
        <v/>
      </c>
      <c r="AV104" s="922" t="str">
        <f>IF(OR(C104="",Q104="",V104="",X104="",AB104="",AE104="",AG104=""),"",ROUND((V104*INDEX(PMELIGHTCON[Savings per Unit kW],MATCH(C104,PMELIGHTCON[Eff Desc 1],0)))*INDEX(ENDUSEALL[Lighting Coincidence Factor],MATCH("Lighting Controls",ENDUSEALL[End Use],0)),3))</f>
        <v/>
      </c>
      <c r="BC104" s="825"/>
    </row>
    <row r="105" spans="2:55" ht="15.95" hidden="1" customHeight="1">
      <c r="B105" s="923"/>
      <c r="C105" s="835"/>
      <c r="D105" s="836"/>
      <c r="E105" s="836"/>
      <c r="F105" s="836"/>
      <c r="G105" s="836"/>
      <c r="H105" s="837"/>
      <c r="I105" s="911"/>
      <c r="J105" s="912"/>
      <c r="K105" s="912"/>
      <c r="L105" s="913"/>
      <c r="M105" s="911"/>
      <c r="N105" s="912"/>
      <c r="O105" s="912"/>
      <c r="P105" s="913"/>
      <c r="Q105" s="930"/>
      <c r="R105" s="931"/>
      <c r="S105" s="932"/>
      <c r="T105" s="911"/>
      <c r="U105" s="913"/>
      <c r="V105" s="848"/>
      <c r="W105" s="849"/>
      <c r="X105" s="835"/>
      <c r="Y105" s="836"/>
      <c r="Z105" s="836"/>
      <c r="AA105" s="837"/>
      <c r="AB105" s="835"/>
      <c r="AC105" s="836"/>
      <c r="AD105" s="837"/>
      <c r="AE105" s="860"/>
      <c r="AF105" s="870"/>
      <c r="AG105" s="860"/>
      <c r="AH105" s="870"/>
      <c r="AI105" s="919"/>
      <c r="AJ105" s="865"/>
      <c r="AK105" s="906"/>
      <c r="AL105" s="907"/>
      <c r="AM105" s="907"/>
      <c r="AN105" s="919"/>
      <c r="AO105" s="926"/>
      <c r="AP105" s="926"/>
      <c r="AQ105" s="865"/>
      <c r="AR105" s="59"/>
      <c r="AU105" s="809"/>
      <c r="AV105" s="901"/>
      <c r="BC105" s="826"/>
    </row>
    <row r="106" spans="2:55" ht="15.95" hidden="1" customHeight="1">
      <c r="B106" s="923">
        <v>46</v>
      </c>
      <c r="C106" s="832"/>
      <c r="D106" s="833"/>
      <c r="E106" s="833"/>
      <c r="F106" s="833"/>
      <c r="G106" s="833"/>
      <c r="H106" s="834"/>
      <c r="I106" s="908" t="str">
        <f>IFERROR(IF(C106="","",INDEX(PMELIGHTCON[Base Desc 1],MATCH(C106,PMELIGHTCON[Eff Desc 1],0))),"")</f>
        <v/>
      </c>
      <c r="J106" s="909"/>
      <c r="K106" s="909"/>
      <c r="L106" s="910"/>
      <c r="M106" s="908" t="str">
        <f>IFERROR(IF(C106="","",INDEX(PMELIGHTCON[Eff Desc 2],MATCH(C106,PMELIGHTCON[Eff Desc 1],0))),"")</f>
        <v/>
      </c>
      <c r="N106" s="909"/>
      <c r="O106" s="909"/>
      <c r="P106" s="910"/>
      <c r="Q106" s="927"/>
      <c r="R106" s="928"/>
      <c r="S106" s="929"/>
      <c r="T106" s="908" t="str">
        <f>IFERROR(IF(C106="","",INDEX(PMELIGHTCON[Unit of Measure],MATCH(C106,PMELIGHTCON[Eff Desc 1],0))),"")</f>
        <v/>
      </c>
      <c r="U106" s="910"/>
      <c r="V106" s="846"/>
      <c r="W106" s="847"/>
      <c r="X106" s="832"/>
      <c r="Y106" s="833"/>
      <c r="Z106" s="833"/>
      <c r="AA106" s="834"/>
      <c r="AB106" s="832"/>
      <c r="AC106" s="833"/>
      <c r="AD106" s="834"/>
      <c r="AE106" s="858"/>
      <c r="AF106" s="869"/>
      <c r="AG106" s="858"/>
      <c r="AH106" s="869"/>
      <c r="AI106" s="917" t="str">
        <f>IFERROR(IF(C106="","",INDEX(PMELIGHTCON[Inc Rate Unit],MATCH(C106,PMELIGHTCON[Eff Desc 1],0))),"")</f>
        <v/>
      </c>
      <c r="AJ106" s="918"/>
      <c r="AK106" s="904" t="str">
        <f>IF(OR(C106="",Q106="",V106="",X106="",AB106="",AE106="",AG106=""),"",ROUND(V106*INDEX(PMELIGHTCON[Savings per Unit kWh],MATCH(C106,PMELIGHTCON[Eff Desc 1],0)),2))</f>
        <v/>
      </c>
      <c r="AL106" s="905"/>
      <c r="AM106" s="905"/>
      <c r="AN106" s="924" t="str">
        <f t="shared" ref="AN106" si="96">IF(OR(C106="",Q106="",V106="",X106="",AB106="",AE106="",AG106=""),"",IF(BC106&lt;&gt;"",BC106,MIN(AU106,ROUND(V106*AI106,2))))</f>
        <v/>
      </c>
      <c r="AO106" s="925"/>
      <c r="AP106" s="925"/>
      <c r="AQ106" s="863"/>
      <c r="AR106" s="59"/>
      <c r="AU106" s="808" t="str">
        <f t="shared" ref="AU106" si="97">IF(OR(C106="",Q106="",V106="",X106="",AB106="",AE106="",AG106=""),"",(ROUND((AE106+AG106)*V106,2)))</f>
        <v/>
      </c>
      <c r="AV106" s="922" t="str">
        <f>IF(OR(C106="",Q106="",V106="",X106="",AB106="",AE106="",AG106=""),"",ROUND((V106*INDEX(PMELIGHTCON[Savings per Unit kW],MATCH(C106,PMELIGHTCON[Eff Desc 1],0)))*INDEX(ENDUSEALL[Lighting Coincidence Factor],MATCH("Lighting Controls",ENDUSEALL[End Use],0)),3))</f>
        <v/>
      </c>
      <c r="BC106" s="825"/>
    </row>
    <row r="107" spans="2:55" ht="15.95" hidden="1" customHeight="1">
      <c r="B107" s="923"/>
      <c r="C107" s="835"/>
      <c r="D107" s="836"/>
      <c r="E107" s="836"/>
      <c r="F107" s="836"/>
      <c r="G107" s="836"/>
      <c r="H107" s="837"/>
      <c r="I107" s="911"/>
      <c r="J107" s="912"/>
      <c r="K107" s="912"/>
      <c r="L107" s="913"/>
      <c r="M107" s="911"/>
      <c r="N107" s="912"/>
      <c r="O107" s="912"/>
      <c r="P107" s="913"/>
      <c r="Q107" s="930"/>
      <c r="R107" s="931"/>
      <c r="S107" s="932"/>
      <c r="T107" s="911"/>
      <c r="U107" s="913"/>
      <c r="V107" s="848"/>
      <c r="W107" s="849"/>
      <c r="X107" s="835"/>
      <c r="Y107" s="836"/>
      <c r="Z107" s="836"/>
      <c r="AA107" s="837"/>
      <c r="AB107" s="835"/>
      <c r="AC107" s="836"/>
      <c r="AD107" s="837"/>
      <c r="AE107" s="860"/>
      <c r="AF107" s="870"/>
      <c r="AG107" s="860"/>
      <c r="AH107" s="870"/>
      <c r="AI107" s="919"/>
      <c r="AJ107" s="865"/>
      <c r="AK107" s="906"/>
      <c r="AL107" s="907"/>
      <c r="AM107" s="907"/>
      <c r="AN107" s="919"/>
      <c r="AO107" s="926"/>
      <c r="AP107" s="926"/>
      <c r="AQ107" s="865"/>
      <c r="AR107" s="59"/>
      <c r="AU107" s="809"/>
      <c r="AV107" s="901"/>
      <c r="BC107" s="826"/>
    </row>
    <row r="108" spans="2:55" ht="15.95" hidden="1" customHeight="1">
      <c r="B108" s="923">
        <v>47</v>
      </c>
      <c r="C108" s="832"/>
      <c r="D108" s="833"/>
      <c r="E108" s="833"/>
      <c r="F108" s="833"/>
      <c r="G108" s="833"/>
      <c r="H108" s="834"/>
      <c r="I108" s="908" t="str">
        <f>IFERROR(IF(C108="","",INDEX(PMELIGHTCON[Base Desc 1],MATCH(C108,PMELIGHTCON[Eff Desc 1],0))),"")</f>
        <v/>
      </c>
      <c r="J108" s="909"/>
      <c r="K108" s="909"/>
      <c r="L108" s="910"/>
      <c r="M108" s="908" t="str">
        <f>IFERROR(IF(C108="","",INDEX(PMELIGHTCON[Eff Desc 2],MATCH(C108,PMELIGHTCON[Eff Desc 1],0))),"")</f>
        <v/>
      </c>
      <c r="N108" s="909"/>
      <c r="O108" s="909"/>
      <c r="P108" s="910"/>
      <c r="Q108" s="927"/>
      <c r="R108" s="928"/>
      <c r="S108" s="929"/>
      <c r="T108" s="908" t="str">
        <f>IFERROR(IF(C108="","",INDEX(PMELIGHTCON[Unit of Measure],MATCH(C108,PMELIGHTCON[Eff Desc 1],0))),"")</f>
        <v/>
      </c>
      <c r="U108" s="910"/>
      <c r="V108" s="846"/>
      <c r="W108" s="847"/>
      <c r="X108" s="832"/>
      <c r="Y108" s="833"/>
      <c r="Z108" s="833"/>
      <c r="AA108" s="834"/>
      <c r="AB108" s="832"/>
      <c r="AC108" s="833"/>
      <c r="AD108" s="834"/>
      <c r="AE108" s="858"/>
      <c r="AF108" s="869"/>
      <c r="AG108" s="858"/>
      <c r="AH108" s="869"/>
      <c r="AI108" s="917" t="str">
        <f>IFERROR(IF(C108="","",INDEX(PMELIGHTCON[Inc Rate Unit],MATCH(C108,PMELIGHTCON[Eff Desc 1],0))),"")</f>
        <v/>
      </c>
      <c r="AJ108" s="918"/>
      <c r="AK108" s="904" t="str">
        <f>IF(OR(C108="",Q108="",V108="",X108="",AB108="",AE108="",AG108=""),"",ROUND(V108*INDEX(PMELIGHTCON[Savings per Unit kWh],MATCH(C108,PMELIGHTCON[Eff Desc 1],0)),2))</f>
        <v/>
      </c>
      <c r="AL108" s="905"/>
      <c r="AM108" s="905"/>
      <c r="AN108" s="924" t="str">
        <f t="shared" ref="AN108" si="98">IF(OR(C108="",Q108="",V108="",X108="",AB108="",AE108="",AG108=""),"",IF(BC108&lt;&gt;"",BC108,MIN(AU108,ROUND(V108*AI108,2))))</f>
        <v/>
      </c>
      <c r="AO108" s="925"/>
      <c r="AP108" s="925"/>
      <c r="AQ108" s="863"/>
      <c r="AR108" s="59"/>
      <c r="AU108" s="808" t="str">
        <f t="shared" ref="AU108" si="99">IF(OR(C108="",Q108="",V108="",X108="",AB108="",AE108="",AG108=""),"",(ROUND((AE108+AG108)*V108,2)))</f>
        <v/>
      </c>
      <c r="AV108" s="922" t="str">
        <f>IF(OR(C108="",Q108="",V108="",X108="",AB108="",AE108="",AG108=""),"",ROUND((V108*INDEX(PMELIGHTCON[Savings per Unit kW],MATCH(C108,PMELIGHTCON[Eff Desc 1],0)))*INDEX(ENDUSEALL[Lighting Coincidence Factor],MATCH("Lighting Controls",ENDUSEALL[End Use],0)),3))</f>
        <v/>
      </c>
      <c r="BC108" s="825"/>
    </row>
    <row r="109" spans="2:55" ht="15.95" hidden="1" customHeight="1">
      <c r="B109" s="923"/>
      <c r="C109" s="835"/>
      <c r="D109" s="836"/>
      <c r="E109" s="836"/>
      <c r="F109" s="836"/>
      <c r="G109" s="836"/>
      <c r="H109" s="837"/>
      <c r="I109" s="911"/>
      <c r="J109" s="912"/>
      <c r="K109" s="912"/>
      <c r="L109" s="913"/>
      <c r="M109" s="911"/>
      <c r="N109" s="912"/>
      <c r="O109" s="912"/>
      <c r="P109" s="913"/>
      <c r="Q109" s="930"/>
      <c r="R109" s="931"/>
      <c r="S109" s="932"/>
      <c r="T109" s="911"/>
      <c r="U109" s="913"/>
      <c r="V109" s="848"/>
      <c r="W109" s="849"/>
      <c r="X109" s="835"/>
      <c r="Y109" s="836"/>
      <c r="Z109" s="836"/>
      <c r="AA109" s="837"/>
      <c r="AB109" s="835"/>
      <c r="AC109" s="836"/>
      <c r="AD109" s="837"/>
      <c r="AE109" s="860"/>
      <c r="AF109" s="870"/>
      <c r="AG109" s="860"/>
      <c r="AH109" s="870"/>
      <c r="AI109" s="919"/>
      <c r="AJ109" s="865"/>
      <c r="AK109" s="906"/>
      <c r="AL109" s="907"/>
      <c r="AM109" s="907"/>
      <c r="AN109" s="919"/>
      <c r="AO109" s="926"/>
      <c r="AP109" s="926"/>
      <c r="AQ109" s="865"/>
      <c r="AR109" s="59"/>
      <c r="AU109" s="809"/>
      <c r="AV109" s="901"/>
      <c r="BC109" s="826"/>
    </row>
    <row r="110" spans="2:55" ht="15.95" hidden="1" customHeight="1">
      <c r="B110" s="923">
        <v>48</v>
      </c>
      <c r="C110" s="832"/>
      <c r="D110" s="833"/>
      <c r="E110" s="833"/>
      <c r="F110" s="833"/>
      <c r="G110" s="833"/>
      <c r="H110" s="834"/>
      <c r="I110" s="908" t="str">
        <f>IFERROR(IF(C110="","",INDEX(PMELIGHTCON[Base Desc 1],MATCH(C110,PMELIGHTCON[Eff Desc 1],0))),"")</f>
        <v/>
      </c>
      <c r="J110" s="909"/>
      <c r="K110" s="909"/>
      <c r="L110" s="910"/>
      <c r="M110" s="908" t="str">
        <f>IFERROR(IF(C110="","",INDEX(PMELIGHTCON[Eff Desc 2],MATCH(C110,PMELIGHTCON[Eff Desc 1],0))),"")</f>
        <v/>
      </c>
      <c r="N110" s="909"/>
      <c r="O110" s="909"/>
      <c r="P110" s="910"/>
      <c r="Q110" s="927"/>
      <c r="R110" s="928"/>
      <c r="S110" s="929"/>
      <c r="T110" s="908" t="str">
        <f>IFERROR(IF(C110="","",INDEX(PMELIGHTCON[Unit of Measure],MATCH(C110,PMELIGHTCON[Eff Desc 1],0))),"")</f>
        <v/>
      </c>
      <c r="U110" s="910"/>
      <c r="V110" s="846"/>
      <c r="W110" s="847"/>
      <c r="X110" s="832"/>
      <c r="Y110" s="833"/>
      <c r="Z110" s="833"/>
      <c r="AA110" s="834"/>
      <c r="AB110" s="832"/>
      <c r="AC110" s="833"/>
      <c r="AD110" s="834"/>
      <c r="AE110" s="858"/>
      <c r="AF110" s="869"/>
      <c r="AG110" s="858"/>
      <c r="AH110" s="869"/>
      <c r="AI110" s="917" t="str">
        <f>IFERROR(IF(C110="","",INDEX(PMELIGHTCON[Inc Rate Unit],MATCH(C110,PMELIGHTCON[Eff Desc 1],0))),"")</f>
        <v/>
      </c>
      <c r="AJ110" s="918"/>
      <c r="AK110" s="904" t="str">
        <f>IF(OR(C110="",Q110="",V110="",X110="",AB110="",AE110="",AG110=""),"",ROUND(V110*INDEX(PMELIGHTCON[Savings per Unit kWh],MATCH(C110,PMELIGHTCON[Eff Desc 1],0)),2))</f>
        <v/>
      </c>
      <c r="AL110" s="905"/>
      <c r="AM110" s="905"/>
      <c r="AN110" s="924" t="str">
        <f t="shared" ref="AN110" si="100">IF(OR(C110="",Q110="",V110="",X110="",AB110="",AE110="",AG110=""),"",IF(BC110&lt;&gt;"",BC110,MIN(AU110,ROUND(V110*AI110,2))))</f>
        <v/>
      </c>
      <c r="AO110" s="925"/>
      <c r="AP110" s="925"/>
      <c r="AQ110" s="863"/>
      <c r="AR110" s="59"/>
      <c r="AU110" s="808" t="str">
        <f t="shared" ref="AU110" si="101">IF(OR(C110="",Q110="",V110="",X110="",AB110="",AE110="",AG110=""),"",(ROUND((AE110+AG110)*V110,2)))</f>
        <v/>
      </c>
      <c r="AV110" s="922" t="str">
        <f>IF(OR(C110="",Q110="",V110="",X110="",AB110="",AE110="",AG110=""),"",ROUND((V110*INDEX(PMELIGHTCON[Savings per Unit kW],MATCH(C110,PMELIGHTCON[Eff Desc 1],0)))*INDEX(ENDUSEALL[Lighting Coincidence Factor],MATCH("Lighting Controls",ENDUSEALL[End Use],0)),3))</f>
        <v/>
      </c>
      <c r="BC110" s="825"/>
    </row>
    <row r="111" spans="2:55" ht="15.95" hidden="1" customHeight="1">
      <c r="B111" s="923"/>
      <c r="C111" s="835"/>
      <c r="D111" s="836"/>
      <c r="E111" s="836"/>
      <c r="F111" s="836"/>
      <c r="G111" s="836"/>
      <c r="H111" s="837"/>
      <c r="I111" s="911"/>
      <c r="J111" s="912"/>
      <c r="K111" s="912"/>
      <c r="L111" s="913"/>
      <c r="M111" s="911"/>
      <c r="N111" s="912"/>
      <c r="O111" s="912"/>
      <c r="P111" s="913"/>
      <c r="Q111" s="930"/>
      <c r="R111" s="931"/>
      <c r="S111" s="932"/>
      <c r="T111" s="911"/>
      <c r="U111" s="913"/>
      <c r="V111" s="848"/>
      <c r="W111" s="849"/>
      <c r="X111" s="835"/>
      <c r="Y111" s="836"/>
      <c r="Z111" s="836"/>
      <c r="AA111" s="837"/>
      <c r="AB111" s="835"/>
      <c r="AC111" s="836"/>
      <c r="AD111" s="837"/>
      <c r="AE111" s="860"/>
      <c r="AF111" s="870"/>
      <c r="AG111" s="860"/>
      <c r="AH111" s="870"/>
      <c r="AI111" s="919"/>
      <c r="AJ111" s="865"/>
      <c r="AK111" s="906"/>
      <c r="AL111" s="907"/>
      <c r="AM111" s="907"/>
      <c r="AN111" s="919"/>
      <c r="AO111" s="926"/>
      <c r="AP111" s="926"/>
      <c r="AQ111" s="865"/>
      <c r="AR111" s="59"/>
      <c r="AU111" s="809"/>
      <c r="AV111" s="901"/>
      <c r="BC111" s="826"/>
    </row>
    <row r="112" spans="2:55" ht="15.95" hidden="1" customHeight="1">
      <c r="B112" s="923">
        <v>49</v>
      </c>
      <c r="C112" s="832"/>
      <c r="D112" s="833"/>
      <c r="E112" s="833"/>
      <c r="F112" s="833"/>
      <c r="G112" s="833"/>
      <c r="H112" s="834"/>
      <c r="I112" s="908" t="str">
        <f>IFERROR(IF(C112="","",INDEX(PMELIGHTCON[Base Desc 1],MATCH(C112,PMELIGHTCON[Eff Desc 1],0))),"")</f>
        <v/>
      </c>
      <c r="J112" s="909"/>
      <c r="K112" s="909"/>
      <c r="L112" s="910"/>
      <c r="M112" s="908" t="str">
        <f>IFERROR(IF(C112="","",INDEX(PMELIGHTCON[Eff Desc 2],MATCH(C112,PMELIGHTCON[Eff Desc 1],0))),"")</f>
        <v/>
      </c>
      <c r="N112" s="909"/>
      <c r="O112" s="909"/>
      <c r="P112" s="910"/>
      <c r="Q112" s="927"/>
      <c r="R112" s="928"/>
      <c r="S112" s="929"/>
      <c r="T112" s="908" t="str">
        <f>IFERROR(IF(C112="","",INDEX(PMELIGHTCON[Unit of Measure],MATCH(C112,PMELIGHTCON[Eff Desc 1],0))),"")</f>
        <v/>
      </c>
      <c r="U112" s="910"/>
      <c r="V112" s="846"/>
      <c r="W112" s="847"/>
      <c r="X112" s="832"/>
      <c r="Y112" s="833"/>
      <c r="Z112" s="833"/>
      <c r="AA112" s="834"/>
      <c r="AB112" s="832"/>
      <c r="AC112" s="833"/>
      <c r="AD112" s="834"/>
      <c r="AE112" s="858"/>
      <c r="AF112" s="869"/>
      <c r="AG112" s="858"/>
      <c r="AH112" s="869"/>
      <c r="AI112" s="917" t="str">
        <f>IFERROR(IF(C112="","",INDEX(PMELIGHTCON[Inc Rate Unit],MATCH(C112,PMELIGHTCON[Eff Desc 1],0))),"")</f>
        <v/>
      </c>
      <c r="AJ112" s="918"/>
      <c r="AK112" s="904" t="str">
        <f>IF(OR(C112="",Q112="",V112="",X112="",AB112="",AE112="",AG112=""),"",ROUND(V112*INDEX(PMELIGHTCON[Savings per Unit kWh],MATCH(C112,PMELIGHTCON[Eff Desc 1],0)),2))</f>
        <v/>
      </c>
      <c r="AL112" s="905"/>
      <c r="AM112" s="905"/>
      <c r="AN112" s="924" t="str">
        <f t="shared" ref="AN112" si="102">IF(OR(C112="",Q112="",V112="",X112="",AB112="",AE112="",AG112=""),"",IF(BC112&lt;&gt;"",BC112,MIN(AU112,ROUND(V112*AI112,2))))</f>
        <v/>
      </c>
      <c r="AO112" s="925"/>
      <c r="AP112" s="925"/>
      <c r="AQ112" s="863"/>
      <c r="AR112" s="59"/>
      <c r="AU112" s="808" t="str">
        <f t="shared" ref="AU112:AU114" si="103">IF(OR(C112="",Q112="",V112="",X112="",AB112="",AE112="",AG112=""),"",(ROUND((AE112+AG112)*V112,2)))</f>
        <v/>
      </c>
      <c r="AV112" s="922" t="str">
        <f>IF(OR(C112="",Q112="",V112="",X112="",AB112="",AE112="",AG112=""),"",ROUND((V112*INDEX(PMELIGHTCON[Savings per Unit kW],MATCH(C112,PMELIGHTCON[Eff Desc 1],0)))*INDEX(ENDUSEALL[Lighting Coincidence Factor],MATCH("Lighting Controls",ENDUSEALL[End Use],0)),3))</f>
        <v/>
      </c>
      <c r="BC112" s="825"/>
    </row>
    <row r="113" spans="2:55" ht="15.95" hidden="1" customHeight="1">
      <c r="B113" s="923"/>
      <c r="C113" s="835"/>
      <c r="D113" s="836"/>
      <c r="E113" s="836"/>
      <c r="F113" s="836"/>
      <c r="G113" s="836"/>
      <c r="H113" s="837"/>
      <c r="I113" s="911"/>
      <c r="J113" s="912"/>
      <c r="K113" s="912"/>
      <c r="L113" s="913"/>
      <c r="M113" s="911"/>
      <c r="N113" s="912"/>
      <c r="O113" s="912"/>
      <c r="P113" s="913"/>
      <c r="Q113" s="930"/>
      <c r="R113" s="931"/>
      <c r="S113" s="932"/>
      <c r="T113" s="911"/>
      <c r="U113" s="913"/>
      <c r="V113" s="848"/>
      <c r="W113" s="849"/>
      <c r="X113" s="835"/>
      <c r="Y113" s="836"/>
      <c r="Z113" s="836"/>
      <c r="AA113" s="837"/>
      <c r="AB113" s="835"/>
      <c r="AC113" s="836"/>
      <c r="AD113" s="837"/>
      <c r="AE113" s="860"/>
      <c r="AF113" s="870"/>
      <c r="AG113" s="860"/>
      <c r="AH113" s="870"/>
      <c r="AI113" s="919"/>
      <c r="AJ113" s="865"/>
      <c r="AK113" s="906"/>
      <c r="AL113" s="907"/>
      <c r="AM113" s="907"/>
      <c r="AN113" s="919"/>
      <c r="AO113" s="926"/>
      <c r="AP113" s="926"/>
      <c r="AQ113" s="865"/>
      <c r="AR113" s="59"/>
      <c r="AU113" s="809"/>
      <c r="AV113" s="901"/>
      <c r="BC113" s="826"/>
    </row>
    <row r="114" spans="2:55" ht="15.95" hidden="1" customHeight="1">
      <c r="B114" s="923">
        <v>50</v>
      </c>
      <c r="C114" s="832"/>
      <c r="D114" s="833"/>
      <c r="E114" s="833"/>
      <c r="F114" s="833"/>
      <c r="G114" s="833"/>
      <c r="H114" s="834"/>
      <c r="I114" s="908" t="str">
        <f>IFERROR(IF(C114="","",INDEX(PMELIGHTCON[Base Desc 1],MATCH(C114,PMELIGHTCON[Eff Desc 1],0))),"")</f>
        <v/>
      </c>
      <c r="J114" s="909"/>
      <c r="K114" s="909"/>
      <c r="L114" s="910"/>
      <c r="M114" s="908" t="str">
        <f>IFERROR(IF(C114="","",INDEX(PMELIGHTCON[Eff Desc 2],MATCH(C114,PMELIGHTCON[Eff Desc 1],0))),"")</f>
        <v/>
      </c>
      <c r="N114" s="909"/>
      <c r="O114" s="909"/>
      <c r="P114" s="910"/>
      <c r="Q114" s="927"/>
      <c r="R114" s="928"/>
      <c r="S114" s="929"/>
      <c r="T114" s="908" t="str">
        <f>IFERROR(IF(C114="","",INDEX(PMELIGHTCON[Unit of Measure],MATCH(C114,PMELIGHTCON[Eff Desc 1],0))),"")</f>
        <v/>
      </c>
      <c r="U114" s="910"/>
      <c r="V114" s="846"/>
      <c r="W114" s="847"/>
      <c r="X114" s="832"/>
      <c r="Y114" s="833"/>
      <c r="Z114" s="833"/>
      <c r="AA114" s="834"/>
      <c r="AB114" s="832"/>
      <c r="AC114" s="833"/>
      <c r="AD114" s="834"/>
      <c r="AE114" s="858"/>
      <c r="AF114" s="869"/>
      <c r="AG114" s="858"/>
      <c r="AH114" s="869"/>
      <c r="AI114" s="917" t="str">
        <f>IFERROR(IF(C114="","",INDEX(PMELIGHTCON[Inc Rate Unit],MATCH(C114,PMELIGHTCON[Eff Desc 1],0))),"")</f>
        <v/>
      </c>
      <c r="AJ114" s="918"/>
      <c r="AK114" s="904" t="str">
        <f>IF(OR(C114="",Q114="",V114="",X114="",AB114="",AE114="",AG114=""),"",ROUND(V114*INDEX(PMELIGHTCON[Savings per Unit kWh],MATCH(C114,PMELIGHTCON[Eff Desc 1],0)),2))</f>
        <v/>
      </c>
      <c r="AL114" s="905"/>
      <c r="AM114" s="905"/>
      <c r="AN114" s="924" t="str">
        <f t="shared" ref="AN114" si="104">IF(OR(C114="",Q114="",V114="",X114="",AB114="",AE114="",AG114=""),"",IF(BC114&lt;&gt;"",BC114,MIN(AU114,ROUND(V114*AI114,2))))</f>
        <v/>
      </c>
      <c r="AO114" s="925"/>
      <c r="AP114" s="925"/>
      <c r="AQ114" s="863"/>
      <c r="AR114" s="59"/>
      <c r="AU114" s="808" t="str">
        <f t="shared" si="103"/>
        <v/>
      </c>
      <c r="AV114" s="922" t="str">
        <f>IF(OR(C114="",Q114="",V114="",X114="",AB114="",AE114="",AG114=""),"",ROUND((V114*INDEX(PMELIGHTCON[Savings per Unit kW],MATCH(C114,PMELIGHTCON[Eff Desc 1],0)))*INDEX(ENDUSEALL[Lighting Coincidence Factor],MATCH("Lighting Controls",ENDUSEALL[End Use],0)),3))</f>
        <v/>
      </c>
      <c r="AY114" s="808"/>
      <c r="AZ114" s="808"/>
      <c r="BA114" s="808"/>
      <c r="BB114" s="808"/>
      <c r="BC114" s="825"/>
    </row>
    <row r="115" spans="2:55" ht="15.95" hidden="1" customHeight="1">
      <c r="B115" s="923"/>
      <c r="C115" s="835"/>
      <c r="D115" s="836"/>
      <c r="E115" s="836"/>
      <c r="F115" s="836"/>
      <c r="G115" s="836"/>
      <c r="H115" s="837"/>
      <c r="I115" s="911"/>
      <c r="J115" s="912"/>
      <c r="K115" s="912"/>
      <c r="L115" s="913"/>
      <c r="M115" s="911"/>
      <c r="N115" s="912"/>
      <c r="O115" s="912"/>
      <c r="P115" s="913"/>
      <c r="Q115" s="930"/>
      <c r="R115" s="931"/>
      <c r="S115" s="932"/>
      <c r="T115" s="911"/>
      <c r="U115" s="913"/>
      <c r="V115" s="848"/>
      <c r="W115" s="849"/>
      <c r="X115" s="835"/>
      <c r="Y115" s="836"/>
      <c r="Z115" s="836"/>
      <c r="AA115" s="837"/>
      <c r="AB115" s="835"/>
      <c r="AC115" s="836"/>
      <c r="AD115" s="837"/>
      <c r="AE115" s="860"/>
      <c r="AF115" s="870"/>
      <c r="AG115" s="860"/>
      <c r="AH115" s="870"/>
      <c r="AI115" s="919"/>
      <c r="AJ115" s="865"/>
      <c r="AK115" s="906"/>
      <c r="AL115" s="907"/>
      <c r="AM115" s="907"/>
      <c r="AN115" s="919"/>
      <c r="AO115" s="926"/>
      <c r="AP115" s="926"/>
      <c r="AQ115" s="865"/>
      <c r="AR115" s="59"/>
      <c r="AU115" s="809"/>
      <c r="AV115" s="901"/>
      <c r="AY115" s="809"/>
      <c r="AZ115" s="809"/>
      <c r="BA115" s="809"/>
      <c r="BB115" s="809"/>
      <c r="BC115" s="826"/>
    </row>
    <row r="116" spans="2:55" ht="15.95" hidden="1" customHeight="1">
      <c r="B116" s="923">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59"/>
      <c r="AU116"/>
      <c r="AV116"/>
      <c r="AW116"/>
      <c r="AX116"/>
      <c r="AY116"/>
      <c r="AZ116"/>
      <c r="BA116"/>
      <c r="BB116"/>
      <c r="BC116"/>
    </row>
    <row r="117" spans="2:55" ht="15.95" hidden="1" customHeight="1">
      <c r="B117" s="923"/>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55" ht="15.95" hidden="1" customHeight="1">
      <c r="B118" s="923">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55" ht="15.95" hidden="1" customHeight="1">
      <c r="B119" s="923"/>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55" ht="15.95" hidden="1" customHeight="1">
      <c r="B120" s="923">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55" ht="15.95" hidden="1" customHeight="1">
      <c r="B121" s="923"/>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55" ht="15.95" hidden="1" customHeight="1">
      <c r="B122" s="923">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55" ht="15.95" hidden="1" customHeight="1">
      <c r="B123" s="923"/>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55" ht="15.95" hidden="1" customHeight="1">
      <c r="B124" s="923">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55" ht="15.95" hidden="1" customHeight="1">
      <c r="B125" s="923"/>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55" ht="15.95" hidden="1" customHeight="1">
      <c r="B126" s="923">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55" ht="15.95" hidden="1" customHeight="1">
      <c r="B127" s="923"/>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55" ht="15.95" hidden="1" customHeight="1">
      <c r="B128" s="923">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23"/>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23">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23"/>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23">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23"/>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23">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23"/>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23">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23"/>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23">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23"/>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23">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23"/>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23">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idden="1">
      <c r="B143" s="923"/>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idden="1">
      <c r="B144" s="923">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23"/>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23">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23"/>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23">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23"/>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75" hidden="1" customHeight="1">
      <c r="B150" s="923">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75" hidden="1" customHeight="1">
      <c r="B151" s="923"/>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75" hidden="1" customHeight="1">
      <c r="B152" s="923">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75" hidden="1" customHeight="1">
      <c r="B153" s="923"/>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75" hidden="1" customHeight="1">
      <c r="B154" s="923">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23"/>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23">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23"/>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23">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23"/>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23">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23"/>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23">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23"/>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23">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23"/>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23">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23"/>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23">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23"/>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23">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23"/>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23">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23"/>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23">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23"/>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23">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23"/>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23">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23"/>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23">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23"/>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23">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23"/>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23">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23"/>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23">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23"/>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23">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23"/>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23">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23"/>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23">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8" ht="15.95" hidden="1" customHeight="1">
      <c r="B193" s="923"/>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8" hidden="1">
      <c r="B194" s="923">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8" hidden="1">
      <c r="B195" s="923"/>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8" hidden="1">
      <c r="B196" s="923">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8" hidden="1">
      <c r="B197" s="923"/>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8" hidden="1">
      <c r="B198" s="923">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8" hidden="1">
      <c r="B199" s="923"/>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8">
      <c r="B200" s="272" t="str">
        <f>FOOT1</f>
        <v>NIPSCO Energy Efficiency Program</v>
      </c>
      <c r="C200" s="272"/>
      <c r="D200" s="272"/>
      <c r="E200" s="272"/>
      <c r="F200" s="272"/>
      <c r="G200" s="272"/>
      <c r="H200" s="272"/>
      <c r="I200" s="272"/>
      <c r="J200" s="272"/>
      <c r="K200" s="272"/>
      <c r="L200" s="272"/>
      <c r="M200" s="656" t="str">
        <f>FOOT4</f>
        <v>NIPSCO’s energy efficiency programs are administered by TRC, a third‐party implementation specialist that helps homes and businesses save energy.</v>
      </c>
      <c r="N200" s="656"/>
      <c r="O200" s="656"/>
      <c r="P200" s="656"/>
      <c r="Q200" s="656"/>
      <c r="R200" s="656"/>
      <c r="S200" s="656"/>
      <c r="T200" s="656"/>
      <c r="U200" s="656"/>
      <c r="V200" s="656"/>
      <c r="W200" s="656"/>
      <c r="X200" s="656"/>
      <c r="Y200" s="656"/>
      <c r="Z200" s="656"/>
      <c r="AA200" s="656"/>
      <c r="AB200" s="656"/>
      <c r="AC200" s="656"/>
      <c r="AD200" s="656"/>
      <c r="AE200" s="656"/>
      <c r="AF200" s="656"/>
      <c r="AG200" s="656"/>
      <c r="AH200" s="272"/>
      <c r="AI200" s="272"/>
      <c r="AJ200" s="272"/>
      <c r="AK200" s="272"/>
      <c r="AL200" s="272"/>
      <c r="AM200" s="272"/>
      <c r="AN200" s="272"/>
      <c r="AO200" s="272"/>
      <c r="AP200" s="272"/>
      <c r="AQ200" s="272"/>
      <c r="AR200" s="273" t="str">
        <f>FOOTDISCLAIM</f>
        <v/>
      </c>
      <c r="AU200" s="808">
        <f ca="1">SUM(AU16:AU199)</f>
        <v>0</v>
      </c>
      <c r="AV200" s="873">
        <f ca="1">SUM(AV16:AV199)</f>
        <v>0</v>
      </c>
    </row>
    <row r="201" spans="2:48">
      <c r="B201" s="272" t="str">
        <f>FOOT2</f>
        <v>Toll-Free 800-299-2501</v>
      </c>
      <c r="C201" s="272"/>
      <c r="D201" s="272"/>
      <c r="E201" s="272"/>
      <c r="F201" s="272"/>
      <c r="G201" s="272"/>
      <c r="H201" s="272"/>
      <c r="I201" s="272"/>
      <c r="J201" s="272"/>
      <c r="K201" s="272"/>
      <c r="L201" s="272"/>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272"/>
      <c r="AI201" s="272"/>
      <c r="AJ201" s="272"/>
      <c r="AK201" s="272"/>
      <c r="AL201" s="272"/>
      <c r="AM201" s="272"/>
      <c r="AN201" s="272"/>
      <c r="AO201" s="272"/>
      <c r="AP201" s="272"/>
      <c r="AQ201" s="272"/>
      <c r="AR201" s="273" t="str">
        <f>FOOT5</f>
        <v/>
      </c>
      <c r="AU201" s="809"/>
      <c r="AV201" s="874"/>
    </row>
    <row r="202" spans="2:48">
      <c r="B202" s="281" t="s">
        <v>1551</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v3.7.0</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Ke1MCbKluUU2C2AQfQcFiiOf+nXJg4c0c00B1mIAn8FXRm9nEdOmvgC699LVRZDffHBW9PoMTziilJeg5nKE4Q==" saltValue="h4+Bh2TSc5ZZQ82n1TaPOw==" spinCount="100000" sheet="1" objects="1" scenarios="1" selectLockedCells="1"/>
  <mergeCells count="985">
    <mergeCell ref="BA54:BA55"/>
    <mergeCell ref="AF11:AI11"/>
    <mergeCell ref="AF12:AI13"/>
    <mergeCell ref="AZ114:AZ115"/>
    <mergeCell ref="BA114:BA115"/>
    <mergeCell ref="BB114:BB115"/>
    <mergeCell ref="AY114:AY115"/>
    <mergeCell ref="BC112:BC113"/>
    <mergeCell ref="C114:H115"/>
    <mergeCell ref="I114:L115"/>
    <mergeCell ref="M114:P115"/>
    <mergeCell ref="Q114:S115"/>
    <mergeCell ref="AK114:AM115"/>
    <mergeCell ref="AN114:AQ115"/>
    <mergeCell ref="BC114:BC115"/>
    <mergeCell ref="AU114:AU115"/>
    <mergeCell ref="AV114:AV115"/>
    <mergeCell ref="T114:U115"/>
    <mergeCell ref="V114:W115"/>
    <mergeCell ref="X114:AA115"/>
    <mergeCell ref="AB114:AD115"/>
    <mergeCell ref="AE114:AF115"/>
    <mergeCell ref="AG114:AH115"/>
    <mergeCell ref="AI114:AJ115"/>
    <mergeCell ref="AU112:AU113"/>
    <mergeCell ref="AV112:AV113"/>
    <mergeCell ref="AN108:AQ109"/>
    <mergeCell ref="BC108:BC109"/>
    <mergeCell ref="C110:H111"/>
    <mergeCell ref="I110:L111"/>
    <mergeCell ref="M110:P111"/>
    <mergeCell ref="Q110:S111"/>
    <mergeCell ref="AK110:AM111"/>
    <mergeCell ref="AN110:AQ111"/>
    <mergeCell ref="BC110:BC111"/>
    <mergeCell ref="AU110:AU111"/>
    <mergeCell ref="AV110:AV111"/>
    <mergeCell ref="T108:U109"/>
    <mergeCell ref="V108:W109"/>
    <mergeCell ref="X108:AA109"/>
    <mergeCell ref="AB108:AD109"/>
    <mergeCell ref="AE108:AF109"/>
    <mergeCell ref="AG108:AH109"/>
    <mergeCell ref="AI108:AJ109"/>
    <mergeCell ref="AU108:AU109"/>
    <mergeCell ref="AV108:AV109"/>
    <mergeCell ref="C108:H109"/>
    <mergeCell ref="I108:L109"/>
    <mergeCell ref="M108:P109"/>
    <mergeCell ref="Q108:S109"/>
    <mergeCell ref="BC104:BC105"/>
    <mergeCell ref="C106:H107"/>
    <mergeCell ref="I106:L107"/>
    <mergeCell ref="M106:P107"/>
    <mergeCell ref="Q106:S107"/>
    <mergeCell ref="AK106:AM107"/>
    <mergeCell ref="AN106:AQ107"/>
    <mergeCell ref="BC106:BC107"/>
    <mergeCell ref="AU106:AU107"/>
    <mergeCell ref="AV106:AV107"/>
    <mergeCell ref="AV104:AV105"/>
    <mergeCell ref="C104:H105"/>
    <mergeCell ref="I104:L105"/>
    <mergeCell ref="M104:P105"/>
    <mergeCell ref="Q104:S105"/>
    <mergeCell ref="AE106:AF107"/>
    <mergeCell ref="AG106:AH107"/>
    <mergeCell ref="AI106:AJ107"/>
    <mergeCell ref="AK108:AM109"/>
    <mergeCell ref="T106:U107"/>
    <mergeCell ref="V106:W107"/>
    <mergeCell ref="X106:AA107"/>
    <mergeCell ref="AB106:AD107"/>
    <mergeCell ref="AN100:AQ101"/>
    <mergeCell ref="BC100:BC101"/>
    <mergeCell ref="C102:H103"/>
    <mergeCell ref="I102:L103"/>
    <mergeCell ref="M102:P103"/>
    <mergeCell ref="Q102:S103"/>
    <mergeCell ref="AK102:AM103"/>
    <mergeCell ref="AN102:AQ103"/>
    <mergeCell ref="BC102:BC103"/>
    <mergeCell ref="AV102:AV103"/>
    <mergeCell ref="AI102:AJ103"/>
    <mergeCell ref="T100:U101"/>
    <mergeCell ref="V100:W101"/>
    <mergeCell ref="X100:AA101"/>
    <mergeCell ref="AB100:AD101"/>
    <mergeCell ref="AE100:AF101"/>
    <mergeCell ref="AG100:AH101"/>
    <mergeCell ref="AI100:AJ101"/>
    <mergeCell ref="AU100:AU101"/>
    <mergeCell ref="AV100:AV101"/>
    <mergeCell ref="C100:H101"/>
    <mergeCell ref="I100:L101"/>
    <mergeCell ref="M100:P101"/>
    <mergeCell ref="Q100:S101"/>
    <mergeCell ref="AN96:AQ97"/>
    <mergeCell ref="BC96:BC97"/>
    <mergeCell ref="C98:H99"/>
    <mergeCell ref="I98:L99"/>
    <mergeCell ref="M98:P99"/>
    <mergeCell ref="Q98:S99"/>
    <mergeCell ref="AK98:AM99"/>
    <mergeCell ref="AN98:AQ99"/>
    <mergeCell ref="BC98:BC99"/>
    <mergeCell ref="AU98:AU99"/>
    <mergeCell ref="AV98:AV99"/>
    <mergeCell ref="AV96:AV97"/>
    <mergeCell ref="C96:H97"/>
    <mergeCell ref="I96:L97"/>
    <mergeCell ref="M96:P97"/>
    <mergeCell ref="Q96:S97"/>
    <mergeCell ref="AK100:AM101"/>
    <mergeCell ref="T98:U99"/>
    <mergeCell ref="V98:W99"/>
    <mergeCell ref="AG98:AH99"/>
    <mergeCell ref="AI98:AJ99"/>
    <mergeCell ref="X98:AA99"/>
    <mergeCell ref="AE96:AF97"/>
    <mergeCell ref="AN92:AQ93"/>
    <mergeCell ref="BC92:BC93"/>
    <mergeCell ref="C94:H95"/>
    <mergeCell ref="I94:L95"/>
    <mergeCell ref="M94:P95"/>
    <mergeCell ref="Q94:S95"/>
    <mergeCell ref="AK94:AM95"/>
    <mergeCell ref="AN94:AQ95"/>
    <mergeCell ref="BC94:BC95"/>
    <mergeCell ref="AV94:AV95"/>
    <mergeCell ref="AI94:AJ95"/>
    <mergeCell ref="T92:U93"/>
    <mergeCell ref="V92:W93"/>
    <mergeCell ref="X92:AA93"/>
    <mergeCell ref="AB92:AD93"/>
    <mergeCell ref="AE92:AF93"/>
    <mergeCell ref="AG92:AH93"/>
    <mergeCell ref="AI92:AJ93"/>
    <mergeCell ref="AU92:AU93"/>
    <mergeCell ref="AV92:AV93"/>
    <mergeCell ref="C92:H93"/>
    <mergeCell ref="I92:L93"/>
    <mergeCell ref="M92:P93"/>
    <mergeCell ref="Q92:S93"/>
    <mergeCell ref="BC88:BC89"/>
    <mergeCell ref="C90:H91"/>
    <mergeCell ref="I90:L91"/>
    <mergeCell ref="M90:P91"/>
    <mergeCell ref="Q90:S91"/>
    <mergeCell ref="AK90:AM91"/>
    <mergeCell ref="AN90:AQ91"/>
    <mergeCell ref="BC90:BC91"/>
    <mergeCell ref="AU90:AU91"/>
    <mergeCell ref="AV90:AV91"/>
    <mergeCell ref="AV88:AV89"/>
    <mergeCell ref="C88:H89"/>
    <mergeCell ref="I88:L89"/>
    <mergeCell ref="M88:P89"/>
    <mergeCell ref="Q88:S89"/>
    <mergeCell ref="AE90:AF91"/>
    <mergeCell ref="AG90:AH91"/>
    <mergeCell ref="AI90:AJ91"/>
    <mergeCell ref="AK92:AM93"/>
    <mergeCell ref="T90:U91"/>
    <mergeCell ref="V90:W91"/>
    <mergeCell ref="X90:AA91"/>
    <mergeCell ref="AB90:AD91"/>
    <mergeCell ref="AN84:AQ85"/>
    <mergeCell ref="BC84:BC85"/>
    <mergeCell ref="C86:H87"/>
    <mergeCell ref="I86:L87"/>
    <mergeCell ref="M86:P87"/>
    <mergeCell ref="Q86:S87"/>
    <mergeCell ref="AK86:AM87"/>
    <mergeCell ref="AN86:AQ87"/>
    <mergeCell ref="BC86:BC87"/>
    <mergeCell ref="AV86:AV87"/>
    <mergeCell ref="AI86:AJ87"/>
    <mergeCell ref="T84:U85"/>
    <mergeCell ref="V84:W85"/>
    <mergeCell ref="X84:AA85"/>
    <mergeCell ref="AB84:AD85"/>
    <mergeCell ref="AE84:AF85"/>
    <mergeCell ref="AG84:AH85"/>
    <mergeCell ref="AI84:AJ85"/>
    <mergeCell ref="AU84:AU85"/>
    <mergeCell ref="AV84:AV85"/>
    <mergeCell ref="C84:H85"/>
    <mergeCell ref="I84:L85"/>
    <mergeCell ref="M84:P85"/>
    <mergeCell ref="Q84:S85"/>
    <mergeCell ref="AN80:AQ81"/>
    <mergeCell ref="BC80:BC81"/>
    <mergeCell ref="C82:H83"/>
    <mergeCell ref="I82:L83"/>
    <mergeCell ref="M82:P83"/>
    <mergeCell ref="Q82:S83"/>
    <mergeCell ref="AK82:AM83"/>
    <mergeCell ref="AN82:AQ83"/>
    <mergeCell ref="BC82:BC83"/>
    <mergeCell ref="AU82:AU83"/>
    <mergeCell ref="AV82:AV83"/>
    <mergeCell ref="AV80:AV81"/>
    <mergeCell ref="C80:H81"/>
    <mergeCell ref="I80:L81"/>
    <mergeCell ref="M80:P81"/>
    <mergeCell ref="Q80:S81"/>
    <mergeCell ref="AK84:AM85"/>
    <mergeCell ref="T82:U83"/>
    <mergeCell ref="V82:W83"/>
    <mergeCell ref="AN76:AQ77"/>
    <mergeCell ref="BC76:BC77"/>
    <mergeCell ref="C78:H79"/>
    <mergeCell ref="I78:L79"/>
    <mergeCell ref="M78:P79"/>
    <mergeCell ref="Q78:S79"/>
    <mergeCell ref="AK78:AM79"/>
    <mergeCell ref="AN78:AQ79"/>
    <mergeCell ref="BC78:BC79"/>
    <mergeCell ref="AV78:AV79"/>
    <mergeCell ref="AI78:AJ79"/>
    <mergeCell ref="T76:U77"/>
    <mergeCell ref="V76:W77"/>
    <mergeCell ref="X76:AA77"/>
    <mergeCell ref="AB76:AD77"/>
    <mergeCell ref="AE76:AF77"/>
    <mergeCell ref="AG76:AH77"/>
    <mergeCell ref="AI76:AJ77"/>
    <mergeCell ref="AU76:AU77"/>
    <mergeCell ref="AV76:AV77"/>
    <mergeCell ref="C76:H77"/>
    <mergeCell ref="I76:L77"/>
    <mergeCell ref="M76:P77"/>
    <mergeCell ref="Q76:S77"/>
    <mergeCell ref="AN72:AQ73"/>
    <mergeCell ref="BC72:BC73"/>
    <mergeCell ref="C74:H75"/>
    <mergeCell ref="I74:L75"/>
    <mergeCell ref="M74:P75"/>
    <mergeCell ref="Q74:S75"/>
    <mergeCell ref="AK74:AM75"/>
    <mergeCell ref="AN74:AQ75"/>
    <mergeCell ref="BC74:BC75"/>
    <mergeCell ref="AU74:AU75"/>
    <mergeCell ref="AV74:AV75"/>
    <mergeCell ref="AV72:AV73"/>
    <mergeCell ref="C72:H73"/>
    <mergeCell ref="I72:L73"/>
    <mergeCell ref="M72:P73"/>
    <mergeCell ref="Q72:S73"/>
    <mergeCell ref="AN68:AQ69"/>
    <mergeCell ref="BC68:BC69"/>
    <mergeCell ref="C70:H71"/>
    <mergeCell ref="I70:L71"/>
    <mergeCell ref="M70:P71"/>
    <mergeCell ref="Q70:S71"/>
    <mergeCell ref="AK70:AM71"/>
    <mergeCell ref="AN70:AQ71"/>
    <mergeCell ref="BC70:BC71"/>
    <mergeCell ref="AV70:AV71"/>
    <mergeCell ref="AI70:AJ71"/>
    <mergeCell ref="T68:U69"/>
    <mergeCell ref="V68:W69"/>
    <mergeCell ref="X68:AA69"/>
    <mergeCell ref="AB68:AD69"/>
    <mergeCell ref="AE68:AF69"/>
    <mergeCell ref="AG68:AH69"/>
    <mergeCell ref="AI68:AJ69"/>
    <mergeCell ref="AU68:AU69"/>
    <mergeCell ref="AV68:AV69"/>
    <mergeCell ref="C68:H69"/>
    <mergeCell ref="I68:L69"/>
    <mergeCell ref="M68:P69"/>
    <mergeCell ref="Q68:S69"/>
    <mergeCell ref="AN64:AQ65"/>
    <mergeCell ref="BC64:BC65"/>
    <mergeCell ref="C66:H67"/>
    <mergeCell ref="I66:L67"/>
    <mergeCell ref="M66:P67"/>
    <mergeCell ref="Q66:S67"/>
    <mergeCell ref="AK66:AM67"/>
    <mergeCell ref="AN66:AQ67"/>
    <mergeCell ref="BC66:BC67"/>
    <mergeCell ref="AU66:AU67"/>
    <mergeCell ref="AV66:AV67"/>
    <mergeCell ref="AV64:AV65"/>
    <mergeCell ref="C64:H65"/>
    <mergeCell ref="I64:L65"/>
    <mergeCell ref="M64:P65"/>
    <mergeCell ref="Q64:S65"/>
    <mergeCell ref="AN60:AQ61"/>
    <mergeCell ref="BC60:BC61"/>
    <mergeCell ref="C62:H63"/>
    <mergeCell ref="I62:L63"/>
    <mergeCell ref="M62:P63"/>
    <mergeCell ref="Q62:S63"/>
    <mergeCell ref="AK62:AM63"/>
    <mergeCell ref="AN62:AQ63"/>
    <mergeCell ref="BC62:BC63"/>
    <mergeCell ref="AV62:AV63"/>
    <mergeCell ref="AI62:AJ63"/>
    <mergeCell ref="T60:U61"/>
    <mergeCell ref="V60:W61"/>
    <mergeCell ref="X60:AA61"/>
    <mergeCell ref="AB60:AD61"/>
    <mergeCell ref="AE60:AF61"/>
    <mergeCell ref="AG60:AH61"/>
    <mergeCell ref="AI60:AJ61"/>
    <mergeCell ref="AU60:AU61"/>
    <mergeCell ref="AV60:AV61"/>
    <mergeCell ref="C60:H61"/>
    <mergeCell ref="I60:L61"/>
    <mergeCell ref="M60:P61"/>
    <mergeCell ref="Q60:S61"/>
    <mergeCell ref="BC54:BC55"/>
    <mergeCell ref="C56:H57"/>
    <mergeCell ref="I56:L57"/>
    <mergeCell ref="M56:P57"/>
    <mergeCell ref="Q56:S57"/>
    <mergeCell ref="AK56:AM57"/>
    <mergeCell ref="AN56:AQ57"/>
    <mergeCell ref="BC56:BC57"/>
    <mergeCell ref="C58:H59"/>
    <mergeCell ref="I58:L59"/>
    <mergeCell ref="M58:P59"/>
    <mergeCell ref="Q58:S59"/>
    <mergeCell ref="AK58:AM59"/>
    <mergeCell ref="AN58:AQ59"/>
    <mergeCell ref="BC58:BC59"/>
    <mergeCell ref="C54:H55"/>
    <mergeCell ref="AU58:AU59"/>
    <mergeCell ref="AV58:AV59"/>
    <mergeCell ref="AV54:AV55"/>
    <mergeCell ref="AV56:AV57"/>
    <mergeCell ref="I54:L55"/>
    <mergeCell ref="M54:P55"/>
    <mergeCell ref="AG54:AH55"/>
    <mergeCell ref="Q54:U55"/>
    <mergeCell ref="BC48:BC49"/>
    <mergeCell ref="C50:H51"/>
    <mergeCell ref="I50:L51"/>
    <mergeCell ref="M50:P51"/>
    <mergeCell ref="Q50:S51"/>
    <mergeCell ref="AK50:AM51"/>
    <mergeCell ref="AN50:AQ51"/>
    <mergeCell ref="BC50:BC51"/>
    <mergeCell ref="C52:H53"/>
    <mergeCell ref="I52:L53"/>
    <mergeCell ref="M52:P53"/>
    <mergeCell ref="Q52:S53"/>
    <mergeCell ref="AK52:AM53"/>
    <mergeCell ref="AN52:AQ53"/>
    <mergeCell ref="BC52:BC53"/>
    <mergeCell ref="C48:H49"/>
    <mergeCell ref="I48:L49"/>
    <mergeCell ref="M48:P49"/>
    <mergeCell ref="Q48:S49"/>
    <mergeCell ref="AK48:AM49"/>
    <mergeCell ref="AN48:AQ49"/>
    <mergeCell ref="T48:U49"/>
    <mergeCell ref="V48:W49"/>
    <mergeCell ref="X48:AA49"/>
    <mergeCell ref="BC42:BC43"/>
    <mergeCell ref="C44:H45"/>
    <mergeCell ref="I44:L45"/>
    <mergeCell ref="M44:P45"/>
    <mergeCell ref="Q44:S45"/>
    <mergeCell ref="AK44:AM45"/>
    <mergeCell ref="AN44:AQ45"/>
    <mergeCell ref="BC44:BC45"/>
    <mergeCell ref="C46:H47"/>
    <mergeCell ref="I46:L47"/>
    <mergeCell ref="M46:P47"/>
    <mergeCell ref="Q46:S47"/>
    <mergeCell ref="AK46:AM47"/>
    <mergeCell ref="AN46:AQ47"/>
    <mergeCell ref="BC46:BC47"/>
    <mergeCell ref="C42:H43"/>
    <mergeCell ref="I42:L43"/>
    <mergeCell ref="M42:P43"/>
    <mergeCell ref="Q42:S43"/>
    <mergeCell ref="AK42:AM43"/>
    <mergeCell ref="AN42:AQ43"/>
    <mergeCell ref="AU46:AU47"/>
    <mergeCell ref="AV46:AV47"/>
    <mergeCell ref="AU44:AU45"/>
    <mergeCell ref="BC36:BC37"/>
    <mergeCell ref="C38:H39"/>
    <mergeCell ref="I38:L39"/>
    <mergeCell ref="M38:P39"/>
    <mergeCell ref="Q38:S39"/>
    <mergeCell ref="AK38:AM39"/>
    <mergeCell ref="AN38:AQ39"/>
    <mergeCell ref="BC38:BC39"/>
    <mergeCell ref="C40:H41"/>
    <mergeCell ref="I40:L41"/>
    <mergeCell ref="M40:P41"/>
    <mergeCell ref="Q40:S41"/>
    <mergeCell ref="AK40:AM41"/>
    <mergeCell ref="AN40:AQ41"/>
    <mergeCell ref="BC40:BC41"/>
    <mergeCell ref="C36:H37"/>
    <mergeCell ref="I36:L37"/>
    <mergeCell ref="M36:P37"/>
    <mergeCell ref="Q36:S37"/>
    <mergeCell ref="AK36:AM37"/>
    <mergeCell ref="AN36:AQ37"/>
    <mergeCell ref="AB40:AD41"/>
    <mergeCell ref="AE40:AF41"/>
    <mergeCell ref="AG40:AH41"/>
    <mergeCell ref="C112:H113"/>
    <mergeCell ref="I112:L113"/>
    <mergeCell ref="M112:P113"/>
    <mergeCell ref="Q112:S113"/>
    <mergeCell ref="AK112:AM113"/>
    <mergeCell ref="T110:U111"/>
    <mergeCell ref="V110:W111"/>
    <mergeCell ref="X110:AA111"/>
    <mergeCell ref="AB110:AD111"/>
    <mergeCell ref="AE110:AF111"/>
    <mergeCell ref="AG110:AH111"/>
    <mergeCell ref="AI110:AJ111"/>
    <mergeCell ref="T112:U113"/>
    <mergeCell ref="AN112:AQ113"/>
    <mergeCell ref="AE112:AF113"/>
    <mergeCell ref="AG112:AH113"/>
    <mergeCell ref="AI112:AJ113"/>
    <mergeCell ref="V112:W113"/>
    <mergeCell ref="X112:AA113"/>
    <mergeCell ref="AB112:AD113"/>
    <mergeCell ref="AU102:AU103"/>
    <mergeCell ref="T104:U105"/>
    <mergeCell ref="V104:W105"/>
    <mergeCell ref="X104:AA105"/>
    <mergeCell ref="AB104:AD105"/>
    <mergeCell ref="AE104:AF105"/>
    <mergeCell ref="AG104:AH105"/>
    <mergeCell ref="AI104:AJ105"/>
    <mergeCell ref="AU104:AU105"/>
    <mergeCell ref="AK104:AM105"/>
    <mergeCell ref="T102:U103"/>
    <mergeCell ref="V102:W103"/>
    <mergeCell ref="X102:AA103"/>
    <mergeCell ref="AB102:AD103"/>
    <mergeCell ref="AE102:AF103"/>
    <mergeCell ref="AG102:AH103"/>
    <mergeCell ref="AN104:AQ105"/>
    <mergeCell ref="AG96:AH97"/>
    <mergeCell ref="AI96:AJ97"/>
    <mergeCell ref="AU96:AU97"/>
    <mergeCell ref="AK96:AM97"/>
    <mergeCell ref="T94:U95"/>
    <mergeCell ref="V94:W95"/>
    <mergeCell ref="X94:AA95"/>
    <mergeCell ref="AB94:AD95"/>
    <mergeCell ref="AE94:AF95"/>
    <mergeCell ref="AG94:AH95"/>
    <mergeCell ref="AB98:AD99"/>
    <mergeCell ref="AE98:AF99"/>
    <mergeCell ref="AU86:AU87"/>
    <mergeCell ref="T88:U89"/>
    <mergeCell ref="V88:W89"/>
    <mergeCell ref="X88:AA89"/>
    <mergeCell ref="AB88:AD89"/>
    <mergeCell ref="AE88:AF89"/>
    <mergeCell ref="AG88:AH89"/>
    <mergeCell ref="AI88:AJ89"/>
    <mergeCell ref="AU88:AU89"/>
    <mergeCell ref="AK88:AM89"/>
    <mergeCell ref="T86:U87"/>
    <mergeCell ref="V86:W87"/>
    <mergeCell ref="X86:AA87"/>
    <mergeCell ref="AB86:AD87"/>
    <mergeCell ref="AE86:AF87"/>
    <mergeCell ref="AG86:AH87"/>
    <mergeCell ref="AN88:AQ89"/>
    <mergeCell ref="AU94:AU95"/>
    <mergeCell ref="T96:U97"/>
    <mergeCell ref="V96:W97"/>
    <mergeCell ref="X96:AA97"/>
    <mergeCell ref="AB96:AD97"/>
    <mergeCell ref="X82:AA83"/>
    <mergeCell ref="AB82:AD83"/>
    <mergeCell ref="AE82:AF83"/>
    <mergeCell ref="AG82:AH83"/>
    <mergeCell ref="AI82:AJ83"/>
    <mergeCell ref="AU78:AU79"/>
    <mergeCell ref="T80:U81"/>
    <mergeCell ref="V80:W81"/>
    <mergeCell ref="X80:AA81"/>
    <mergeCell ref="AB80:AD81"/>
    <mergeCell ref="AE80:AF81"/>
    <mergeCell ref="AG80:AH81"/>
    <mergeCell ref="AI80:AJ81"/>
    <mergeCell ref="AU80:AU81"/>
    <mergeCell ref="AK80:AM81"/>
    <mergeCell ref="T78:U79"/>
    <mergeCell ref="V78:W79"/>
    <mergeCell ref="X78:AA79"/>
    <mergeCell ref="AB78:AD79"/>
    <mergeCell ref="AE78:AF79"/>
    <mergeCell ref="AG78:AH79"/>
    <mergeCell ref="AK76:AM77"/>
    <mergeCell ref="T74:U75"/>
    <mergeCell ref="V74:W75"/>
    <mergeCell ref="X74:AA75"/>
    <mergeCell ref="AB74:AD75"/>
    <mergeCell ref="AE74:AF75"/>
    <mergeCell ref="AG74:AH75"/>
    <mergeCell ref="AI74:AJ75"/>
    <mergeCell ref="AU70:AU71"/>
    <mergeCell ref="T72:U73"/>
    <mergeCell ref="V72:W73"/>
    <mergeCell ref="X72:AA73"/>
    <mergeCell ref="AB72:AD73"/>
    <mergeCell ref="AE72:AF73"/>
    <mergeCell ref="AG72:AH73"/>
    <mergeCell ref="AI72:AJ73"/>
    <mergeCell ref="AU72:AU73"/>
    <mergeCell ref="AK72:AM73"/>
    <mergeCell ref="T70:U71"/>
    <mergeCell ref="V70:W71"/>
    <mergeCell ref="X70:AA71"/>
    <mergeCell ref="AB70:AD71"/>
    <mergeCell ref="AE70:AF71"/>
    <mergeCell ref="AG70:AH71"/>
    <mergeCell ref="AK68:AM69"/>
    <mergeCell ref="T66:U67"/>
    <mergeCell ref="V66:W67"/>
    <mergeCell ref="X66:AA67"/>
    <mergeCell ref="AB66:AD67"/>
    <mergeCell ref="AE66:AF67"/>
    <mergeCell ref="AG66:AH67"/>
    <mergeCell ref="AI66:AJ67"/>
    <mergeCell ref="AU62:AU63"/>
    <mergeCell ref="T64:U65"/>
    <mergeCell ref="V64:W65"/>
    <mergeCell ref="X64:AA65"/>
    <mergeCell ref="AB64:AD65"/>
    <mergeCell ref="AE64:AF65"/>
    <mergeCell ref="AG64:AH65"/>
    <mergeCell ref="AI64:AJ65"/>
    <mergeCell ref="AU64:AU65"/>
    <mergeCell ref="AK64:AM65"/>
    <mergeCell ref="T62:U63"/>
    <mergeCell ref="V62:W63"/>
    <mergeCell ref="X62:AA63"/>
    <mergeCell ref="AB62:AD63"/>
    <mergeCell ref="AE62:AF63"/>
    <mergeCell ref="AG62:AH63"/>
    <mergeCell ref="AK60:AM61"/>
    <mergeCell ref="T58:U59"/>
    <mergeCell ref="V58:W59"/>
    <mergeCell ref="X58:AA59"/>
    <mergeCell ref="AB58:AD59"/>
    <mergeCell ref="AE58:AF59"/>
    <mergeCell ref="AG58:AH59"/>
    <mergeCell ref="AI58:AJ59"/>
    <mergeCell ref="AU54:AU55"/>
    <mergeCell ref="T56:U57"/>
    <mergeCell ref="V56:W57"/>
    <mergeCell ref="X56:AA57"/>
    <mergeCell ref="AB56:AD57"/>
    <mergeCell ref="AE56:AF57"/>
    <mergeCell ref="AG56:AH57"/>
    <mergeCell ref="AI56:AJ57"/>
    <mergeCell ref="AU56:AU57"/>
    <mergeCell ref="AK54:AM55"/>
    <mergeCell ref="AN54:AQ55"/>
    <mergeCell ref="V54:W55"/>
    <mergeCell ref="X54:AA55"/>
    <mergeCell ref="AB54:AD55"/>
    <mergeCell ref="AE54:AF55"/>
    <mergeCell ref="AI54:AJ55"/>
    <mergeCell ref="AU50:AU51"/>
    <mergeCell ref="AV50:AV51"/>
    <mergeCell ref="T52:U53"/>
    <mergeCell ref="V52:W53"/>
    <mergeCell ref="X52:AA53"/>
    <mergeCell ref="AB52:AD53"/>
    <mergeCell ref="AE52:AF53"/>
    <mergeCell ref="AG52:AH53"/>
    <mergeCell ref="AI52:AJ53"/>
    <mergeCell ref="AU52:AU53"/>
    <mergeCell ref="AV52:AV53"/>
    <mergeCell ref="T50:U51"/>
    <mergeCell ref="V50:W51"/>
    <mergeCell ref="X50:AA51"/>
    <mergeCell ref="AB50:AD51"/>
    <mergeCell ref="AE50:AF51"/>
    <mergeCell ref="AG50:AH51"/>
    <mergeCell ref="AI50:AJ51"/>
    <mergeCell ref="AB48:AD49"/>
    <mergeCell ref="AE48:AF49"/>
    <mergeCell ref="AG48:AH49"/>
    <mergeCell ref="AI48:AJ49"/>
    <mergeCell ref="AU48:AU49"/>
    <mergeCell ref="AV48:AV49"/>
    <mergeCell ref="T46:U47"/>
    <mergeCell ref="V46:W47"/>
    <mergeCell ref="X46:AA47"/>
    <mergeCell ref="AB46:AD47"/>
    <mergeCell ref="AE46:AF47"/>
    <mergeCell ref="AG46:AH47"/>
    <mergeCell ref="AI46:AJ47"/>
    <mergeCell ref="AV44:AV45"/>
    <mergeCell ref="AU36:AU37"/>
    <mergeCell ref="AV36:AV37"/>
    <mergeCell ref="AU38:AU39"/>
    <mergeCell ref="AV38:AV39"/>
    <mergeCell ref="AU40:AU41"/>
    <mergeCell ref="AV22:AV23"/>
    <mergeCell ref="AU26:AU27"/>
    <mergeCell ref="AV26:AV27"/>
    <mergeCell ref="AU42:AU43"/>
    <mergeCell ref="AV42:AV43"/>
    <mergeCell ref="AV40:AV41"/>
    <mergeCell ref="AU24:AU25"/>
    <mergeCell ref="AV24:AV25"/>
    <mergeCell ref="AU28:AU29"/>
    <mergeCell ref="AV28:AV29"/>
    <mergeCell ref="AU30:AU31"/>
    <mergeCell ref="AV30:AV31"/>
    <mergeCell ref="AU32:AU33"/>
    <mergeCell ref="AV32:AV33"/>
    <mergeCell ref="AU34:AU35"/>
    <mergeCell ref="AV34:AV35"/>
    <mergeCell ref="AB44:AD45"/>
    <mergeCell ref="AE44:AF45"/>
    <mergeCell ref="AG44:AH45"/>
    <mergeCell ref="AI44:AJ45"/>
    <mergeCell ref="T42:U43"/>
    <mergeCell ref="V42:W43"/>
    <mergeCell ref="X42:AA43"/>
    <mergeCell ref="T44:U45"/>
    <mergeCell ref="V44:W45"/>
    <mergeCell ref="X44:AA45"/>
    <mergeCell ref="AB42:AD43"/>
    <mergeCell ref="AE42:AF43"/>
    <mergeCell ref="AG42:AH43"/>
    <mergeCell ref="AI42:AJ43"/>
    <mergeCell ref="AB38:AD39"/>
    <mergeCell ref="AE38:AF39"/>
    <mergeCell ref="AG38:AH39"/>
    <mergeCell ref="AI38:AJ39"/>
    <mergeCell ref="AI34:AJ35"/>
    <mergeCell ref="AB36:AD37"/>
    <mergeCell ref="AE36:AF37"/>
    <mergeCell ref="AG36:AH37"/>
    <mergeCell ref="AI36:AJ37"/>
    <mergeCell ref="V30:W31"/>
    <mergeCell ref="X30:AA31"/>
    <mergeCell ref="X24:AA25"/>
    <mergeCell ref="T36:U37"/>
    <mergeCell ref="V36:W37"/>
    <mergeCell ref="X36:AA37"/>
    <mergeCell ref="V32:W33"/>
    <mergeCell ref="X32:AA33"/>
    <mergeCell ref="T38:U39"/>
    <mergeCell ref="V38:W39"/>
    <mergeCell ref="X38:AA39"/>
    <mergeCell ref="AH1:AK1"/>
    <mergeCell ref="AL1:AP1"/>
    <mergeCell ref="AH2:AK3"/>
    <mergeCell ref="AL2:AP3"/>
    <mergeCell ref="AQ1:AR1"/>
    <mergeCell ref="AQ2:AR3"/>
    <mergeCell ref="R9:AC10"/>
    <mergeCell ref="AV20:AV21"/>
    <mergeCell ref="AK16:AM17"/>
    <mergeCell ref="AN16:AQ17"/>
    <mergeCell ref="X16:AA17"/>
    <mergeCell ref="AE16:AF17"/>
    <mergeCell ref="AI14:AJ15"/>
    <mergeCell ref="AK14:AM15"/>
    <mergeCell ref="AN14:AQ15"/>
    <mergeCell ref="B198:B199"/>
    <mergeCell ref="B186:B187"/>
    <mergeCell ref="B188:B189"/>
    <mergeCell ref="B190:B191"/>
    <mergeCell ref="B192:B193"/>
    <mergeCell ref="B194:B195"/>
    <mergeCell ref="B196:B197"/>
    <mergeCell ref="B184:B185"/>
    <mergeCell ref="AG16:AH17"/>
    <mergeCell ref="AG18:AH19"/>
    <mergeCell ref="AB18:AD19"/>
    <mergeCell ref="AE18:AF19"/>
    <mergeCell ref="B180:B181"/>
    <mergeCell ref="B182:B183"/>
    <mergeCell ref="B160:B161"/>
    <mergeCell ref="B138:B139"/>
    <mergeCell ref="B140:B141"/>
    <mergeCell ref="B142:B143"/>
    <mergeCell ref="B144:B145"/>
    <mergeCell ref="B146:B147"/>
    <mergeCell ref="B148:B149"/>
    <mergeCell ref="B150:B151"/>
    <mergeCell ref="B152:B153"/>
    <mergeCell ref="B154:B155"/>
    <mergeCell ref="B176:B177"/>
    <mergeCell ref="B178:B17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56:B157"/>
    <mergeCell ref="B158:B159"/>
    <mergeCell ref="B162:B163"/>
    <mergeCell ref="B164:B165"/>
    <mergeCell ref="B166:B167"/>
    <mergeCell ref="B168:B169"/>
    <mergeCell ref="B170:B171"/>
    <mergeCell ref="B172:B173"/>
    <mergeCell ref="B174:B175"/>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64:B65"/>
    <mergeCell ref="B42:B43"/>
    <mergeCell ref="B44:B45"/>
    <mergeCell ref="B46:B47"/>
    <mergeCell ref="B48:B49"/>
    <mergeCell ref="B50:B51"/>
    <mergeCell ref="B52:B53"/>
    <mergeCell ref="B54:B55"/>
    <mergeCell ref="B56:B57"/>
    <mergeCell ref="B58:B59"/>
    <mergeCell ref="B60:B61"/>
    <mergeCell ref="B62:B63"/>
    <mergeCell ref="B40:B41"/>
    <mergeCell ref="B18:B19"/>
    <mergeCell ref="B20:B21"/>
    <mergeCell ref="B22:B23"/>
    <mergeCell ref="B24:B25"/>
    <mergeCell ref="B26:B27"/>
    <mergeCell ref="B28:B29"/>
    <mergeCell ref="B30:B31"/>
    <mergeCell ref="B32:B33"/>
    <mergeCell ref="B34:B35"/>
    <mergeCell ref="B36:B37"/>
    <mergeCell ref="B38:B39"/>
    <mergeCell ref="AV200:AV201"/>
    <mergeCell ref="R11:U11"/>
    <mergeCell ref="V11:Y11"/>
    <mergeCell ref="Z11:AC11"/>
    <mergeCell ref="AB16:AD17"/>
    <mergeCell ref="R12:U13"/>
    <mergeCell ref="V12:Y13"/>
    <mergeCell ref="Z12:AC13"/>
    <mergeCell ref="M200:AG201"/>
    <mergeCell ref="AU16:AU17"/>
    <mergeCell ref="AI16:AJ17"/>
    <mergeCell ref="AB22:AD23"/>
    <mergeCell ref="AE22:AF23"/>
    <mergeCell ref="AG22:AH23"/>
    <mergeCell ref="AI18:AJ19"/>
    <mergeCell ref="AU18:AU19"/>
    <mergeCell ref="AV18:AV19"/>
    <mergeCell ref="AU20:AU21"/>
    <mergeCell ref="AB20:AD21"/>
    <mergeCell ref="AE20:AF21"/>
    <mergeCell ref="AG20:AH21"/>
    <mergeCell ref="AV16:AV17"/>
    <mergeCell ref="AU22:AU23"/>
    <mergeCell ref="AI20:AJ21"/>
    <mergeCell ref="AU200:AU201"/>
    <mergeCell ref="AI22:AJ23"/>
    <mergeCell ref="AB28:AD29"/>
    <mergeCell ref="AE28:AF29"/>
    <mergeCell ref="AG28:AH29"/>
    <mergeCell ref="AI28:AJ29"/>
    <mergeCell ref="AB30:AD31"/>
    <mergeCell ref="AE30:AF31"/>
    <mergeCell ref="AG30:AH31"/>
    <mergeCell ref="AI30:AJ31"/>
    <mergeCell ref="AB32:AD33"/>
    <mergeCell ref="AE32:AF33"/>
    <mergeCell ref="AG32:AH33"/>
    <mergeCell ref="AI32:AJ33"/>
    <mergeCell ref="AB24:AD25"/>
    <mergeCell ref="AE24:AF25"/>
    <mergeCell ref="AG24:AH25"/>
    <mergeCell ref="AI24:AJ25"/>
    <mergeCell ref="AB26:AD27"/>
    <mergeCell ref="AE26:AF27"/>
    <mergeCell ref="AB34:AD35"/>
    <mergeCell ref="AE34:AF35"/>
    <mergeCell ref="AG34:AH35"/>
    <mergeCell ref="AI40:AJ41"/>
    <mergeCell ref="I14:L15"/>
    <mergeCell ref="M14:P15"/>
    <mergeCell ref="V14:W15"/>
    <mergeCell ref="X14:AA15"/>
    <mergeCell ref="AB14:AD15"/>
    <mergeCell ref="AE14:AH14"/>
    <mergeCell ref="AE15:AF15"/>
    <mergeCell ref="AG15:AH15"/>
    <mergeCell ref="C14:H15"/>
    <mergeCell ref="B16:B17"/>
    <mergeCell ref="C16:H17"/>
    <mergeCell ref="I16:L17"/>
    <mergeCell ref="M16:P17"/>
    <mergeCell ref="V16:W17"/>
    <mergeCell ref="C18:H19"/>
    <mergeCell ref="I18:L19"/>
    <mergeCell ref="M18:P19"/>
    <mergeCell ref="V18:W19"/>
    <mergeCell ref="T40:U41"/>
    <mergeCell ref="V40:W41"/>
    <mergeCell ref="X40:AA41"/>
    <mergeCell ref="X18:AA19"/>
    <mergeCell ref="C20:H21"/>
    <mergeCell ref="I20:L21"/>
    <mergeCell ref="M20:P21"/>
    <mergeCell ref="V20:W21"/>
    <mergeCell ref="X20:AA21"/>
    <mergeCell ref="V28:W29"/>
    <mergeCell ref="X28:AA29"/>
    <mergeCell ref="X22:AA23"/>
    <mergeCell ref="C24:H25"/>
    <mergeCell ref="I24:L25"/>
    <mergeCell ref="M24:P25"/>
    <mergeCell ref="V24:W25"/>
    <mergeCell ref="C22:H23"/>
    <mergeCell ref="I22:L23"/>
    <mergeCell ref="M22:P23"/>
    <mergeCell ref="C30:H31"/>
    <mergeCell ref="I30:L31"/>
    <mergeCell ref="C32:H33"/>
    <mergeCell ref="I32:L33"/>
    <mergeCell ref="M32:P33"/>
    <mergeCell ref="BC18:BC19"/>
    <mergeCell ref="BC20:BC21"/>
    <mergeCell ref="BC22:BC23"/>
    <mergeCell ref="BC24:BC25"/>
    <mergeCell ref="BC26:BC27"/>
    <mergeCell ref="BC28:BC29"/>
    <mergeCell ref="BC30:BC31"/>
    <mergeCell ref="C34:H35"/>
    <mergeCell ref="I34:L35"/>
    <mergeCell ref="M34:P35"/>
    <mergeCell ref="V34:W35"/>
    <mergeCell ref="X34:AA35"/>
    <mergeCell ref="C26:H27"/>
    <mergeCell ref="I26:L27"/>
    <mergeCell ref="M26:P27"/>
    <mergeCell ref="V26:W27"/>
    <mergeCell ref="V22:W23"/>
    <mergeCell ref="X26:AA27"/>
    <mergeCell ref="C28:H29"/>
    <mergeCell ref="I28:L29"/>
    <mergeCell ref="M28:P29"/>
    <mergeCell ref="AG26:AH27"/>
    <mergeCell ref="AI26:AJ27"/>
    <mergeCell ref="M30:P31"/>
    <mergeCell ref="BC14:BC15"/>
    <mergeCell ref="BC16:BC17"/>
    <mergeCell ref="BC32:BC33"/>
    <mergeCell ref="BC34:BC35"/>
    <mergeCell ref="AK18:AM19"/>
    <mergeCell ref="AK20:AM21"/>
    <mergeCell ref="AK22:AM23"/>
    <mergeCell ref="AK24:AM25"/>
    <mergeCell ref="AK26:AM27"/>
    <mergeCell ref="AK28:AM29"/>
    <mergeCell ref="AK30:AM31"/>
    <mergeCell ref="AK32:AM33"/>
    <mergeCell ref="AK34:AM35"/>
    <mergeCell ref="AN18:AQ19"/>
    <mergeCell ref="AN20:AQ21"/>
    <mergeCell ref="AN22:AQ23"/>
    <mergeCell ref="AN24:AQ25"/>
    <mergeCell ref="AN26:AQ27"/>
    <mergeCell ref="AN28:AQ29"/>
    <mergeCell ref="AN30:AQ31"/>
    <mergeCell ref="AN32:AQ33"/>
    <mergeCell ref="AN34:AQ35"/>
    <mergeCell ref="AU14:AU15"/>
    <mergeCell ref="AV14:AV15"/>
    <mergeCell ref="AZ32:AZ33"/>
    <mergeCell ref="AZ34:AZ35"/>
    <mergeCell ref="AY32:AY33"/>
    <mergeCell ref="AX34:AX35"/>
    <mergeCell ref="AY34:AY35"/>
    <mergeCell ref="AW14:AW15"/>
    <mergeCell ref="AW16:AW17"/>
    <mergeCell ref="AW18:AW19"/>
    <mergeCell ref="AW20:AW21"/>
    <mergeCell ref="AW22:AW23"/>
    <mergeCell ref="AW24:AW25"/>
    <mergeCell ref="AW26:AW27"/>
    <mergeCell ref="AW28:AW29"/>
    <mergeCell ref="AW30:AW31"/>
    <mergeCell ref="AZ14:AZ15"/>
    <mergeCell ref="AZ16:AZ17"/>
    <mergeCell ref="AZ18:AZ19"/>
    <mergeCell ref="AZ20:AZ21"/>
    <mergeCell ref="AZ22:AZ23"/>
    <mergeCell ref="AZ24:AZ25"/>
    <mergeCell ref="AZ26:AZ27"/>
    <mergeCell ref="AZ28:AZ29"/>
    <mergeCell ref="AZ30:AZ31"/>
    <mergeCell ref="AX26:AX27"/>
    <mergeCell ref="AY26:AY27"/>
    <mergeCell ref="AX28:AX29"/>
    <mergeCell ref="AY28:AY29"/>
    <mergeCell ref="AX30:AX31"/>
    <mergeCell ref="AY30:AY31"/>
    <mergeCell ref="AX32:AX33"/>
    <mergeCell ref="AW32:AW33"/>
    <mergeCell ref="AW34:AW35"/>
    <mergeCell ref="AY16:AY17"/>
    <mergeCell ref="AX18:AX19"/>
    <mergeCell ref="AY18:AY19"/>
    <mergeCell ref="AX20:AX21"/>
    <mergeCell ref="AY20:AY21"/>
    <mergeCell ref="AX22:AX23"/>
    <mergeCell ref="AY22:AY23"/>
    <mergeCell ref="AX24:AX25"/>
    <mergeCell ref="AY24:AY25"/>
    <mergeCell ref="AY36:AY37"/>
    <mergeCell ref="AY38:AY39"/>
    <mergeCell ref="AY40:AY41"/>
    <mergeCell ref="AY42:AY43"/>
    <mergeCell ref="AY44:AY45"/>
    <mergeCell ref="Q16:U17"/>
    <mergeCell ref="Q14:U15"/>
    <mergeCell ref="Q18:U19"/>
    <mergeCell ref="Q20:U21"/>
    <mergeCell ref="Q22:U23"/>
    <mergeCell ref="Q24:U25"/>
    <mergeCell ref="Q26:U27"/>
    <mergeCell ref="Q28:U29"/>
    <mergeCell ref="Q30:U31"/>
    <mergeCell ref="Q32:U33"/>
    <mergeCell ref="Q34:U35"/>
    <mergeCell ref="AX36:AX37"/>
    <mergeCell ref="AX38:AX39"/>
    <mergeCell ref="AX40:AX41"/>
    <mergeCell ref="AX42:AX43"/>
    <mergeCell ref="AX44:AX45"/>
    <mergeCell ref="AX14:AX15"/>
    <mergeCell ref="AY14:AY15"/>
    <mergeCell ref="AX16:AX17"/>
    <mergeCell ref="BE32:BE33"/>
    <mergeCell ref="BE34:BE35"/>
    <mergeCell ref="BE14:BE15"/>
    <mergeCell ref="BE16:BE17"/>
    <mergeCell ref="BE18:BE19"/>
    <mergeCell ref="BE20:BE21"/>
    <mergeCell ref="BE22:BE23"/>
    <mergeCell ref="BE24:BE25"/>
    <mergeCell ref="BE26:BE27"/>
    <mergeCell ref="BE28:BE29"/>
    <mergeCell ref="BE30:BE31"/>
  </mergeCells>
  <conditionalFormatting sqref="AH2 AL2">
    <cfRule type="expression" dxfId="212" priority="2">
      <formula>PROJSTATUS=PROJSTATELI</formula>
    </cfRule>
    <cfRule type="expression" dxfId="211" priority="3">
      <formula>PROJSTATUS=PROJSTATREVIEW</formula>
    </cfRule>
    <cfRule type="expression" dxfId="210" priority="7">
      <formula>PROJSTATUS=PROJSTATPREAPPROVE</formula>
    </cfRule>
    <cfRule type="expression" dxfId="209" priority="8">
      <formula>PROJSTATUS=PROJSTATSTANDARD</formula>
    </cfRule>
    <cfRule type="expression" dxfId="208" priority="9">
      <formula>PROJSTATUS=PROJSTATEXP</formula>
    </cfRule>
  </conditionalFormatting>
  <conditionalFormatting sqref="AN16 AN18 AN20 AN22 AN24 AN26 AN28 AN30 AN32 AN34">
    <cfRule type="expression" dxfId="207" priority="1">
      <formula>ISNUMBER(AN16)=FALSE</formula>
    </cfRule>
  </conditionalFormatting>
  <conditionalFormatting sqref="AQ2:AR3">
    <cfRule type="cellIs" dxfId="206" priority="4" operator="equal">
      <formula>1</formula>
    </cfRule>
    <cfRule type="cellIs" dxfId="205" priority="5" operator="between">
      <formula>0.51</formula>
      <formula>0.99</formula>
    </cfRule>
    <cfRule type="cellIs" dxfId="204" priority="6" operator="lessThanOrEqual">
      <formula>0.5</formula>
    </cfRule>
  </conditionalFormatting>
  <dataValidations count="4">
    <dataValidation type="list" allowBlank="1" showInputMessage="1" showErrorMessage="1" sqref="C16:H53 C56:H115" xr:uid="{00000000-0002-0000-1500-000000000000}">
      <formula1>PMELIGHTCONEFF1</formula1>
    </dataValidation>
    <dataValidation type="decimal" allowBlank="1" showInputMessage="1" showErrorMessage="1" error="Please enter a numerical value within the designated range." sqref="Q16 Q18 Q20 Q22 Q24 Q26 Q28 Q30 Q32 Q34" xr:uid="{00000000-0002-0000-1500-000002000000}">
      <formula1>INDEX(PMELIGHTCONEFFW1,MATCH(C16,PMELIGHTCONEFF1,0))</formula1>
      <formula2>INDEX(PMELIGHTCONEFFW2,MATCH(C16,PMELIGHTCONEFF1,0))</formula2>
    </dataValidation>
    <dataValidation type="decimal" allowBlank="1" showInputMessage="1" showErrorMessage="1" error="Please enter a numerical value" prompt="This is the TOTAL Labor Cost of the measure, NOT a per unit basis." sqref="AG16:AH35" xr:uid="{00000000-0002-0000-1500-000003000000}">
      <formula1>0</formula1>
      <formula2>999999</formula2>
    </dataValidation>
    <dataValidation type="decimal" allowBlank="1" showInputMessage="1" showErrorMessage="1" error="Please enter a numerical value" prompt="This is the TOTAL Material Cost of the measure, NOT a per unit basis." sqref="AE16:AF35" xr:uid="{00000000-0002-0000-1500-000006000000}">
      <formula1>0.01</formula1>
      <formula2>999999</formula2>
    </dataValidation>
  </dataValidations>
  <hyperlinks>
    <hyperlink ref="B202" r:id="rId1" xr:uid="{10BB22BB-908F-4089-A7AA-215157E75434}"/>
  </hyperlinks>
  <pageMargins left="0.25" right="0.25" top="0.25" bottom="0.25" header="0.25" footer="0.25"/>
  <pageSetup scale="56" fitToHeight="0" orientation="landscape" r:id="rId2"/>
  <ignoredErrors>
    <ignoredError sqref="AW24" formula="1"/>
  </ignoredError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7">
    <tabColor theme="7" tint="0.39997558519241921"/>
  </sheetPr>
  <dimension ref="A1:Y39"/>
  <sheetViews>
    <sheetView zoomScale="70" zoomScaleNormal="70" workbookViewId="0">
      <selection activeCell="C41" sqref="C41"/>
    </sheetView>
  </sheetViews>
  <sheetFormatPr defaultRowHeight="15"/>
  <cols>
    <col min="1" max="1" width="36.140625" customWidth="1"/>
    <col min="2" max="2" width="20.7109375" customWidth="1"/>
    <col min="3" max="3" width="24.28515625" bestFit="1" customWidth="1"/>
    <col min="4" max="4" width="31.7109375" customWidth="1"/>
    <col min="5" max="5" width="20.7109375" customWidth="1"/>
    <col min="6" max="6" width="23.5703125" customWidth="1"/>
    <col min="7" max="7" width="20.7109375" customWidth="1"/>
    <col min="8" max="8" width="26.85546875" customWidth="1"/>
    <col min="9" max="9" width="20.7109375" customWidth="1"/>
    <col min="10" max="10" width="27.5703125" customWidth="1"/>
    <col min="13" max="13" width="16.5703125" customWidth="1"/>
    <col min="14" max="17" width="9.140625" customWidth="1"/>
  </cols>
  <sheetData>
    <row r="1" spans="1:25">
      <c r="A1" t="s">
        <v>203</v>
      </c>
    </row>
    <row r="2" spans="1:25">
      <c r="A2" t="s">
        <v>204</v>
      </c>
    </row>
    <row r="3" spans="1:25">
      <c r="A3" t="s">
        <v>1986</v>
      </c>
    </row>
    <row r="4" spans="1:25">
      <c r="A4" t="s">
        <v>1985</v>
      </c>
      <c r="D4" t="s">
        <v>1374</v>
      </c>
    </row>
    <row r="6" spans="1:25">
      <c r="A6" t="s">
        <v>205</v>
      </c>
      <c r="B6" s="22">
        <v>2.3E-2</v>
      </c>
      <c r="D6" t="s">
        <v>1213</v>
      </c>
      <c r="M6" t="s">
        <v>210</v>
      </c>
      <c r="N6" s="22">
        <v>5.5999999999999999E-3</v>
      </c>
      <c r="P6" t="s">
        <v>217</v>
      </c>
    </row>
    <row r="7" spans="1:25">
      <c r="A7" t="s">
        <v>213</v>
      </c>
      <c r="B7" s="22">
        <v>6.3799999999999996E-2</v>
      </c>
      <c r="M7" t="s">
        <v>212</v>
      </c>
      <c r="N7" s="22">
        <v>6.4299999999999996E-2</v>
      </c>
    </row>
    <row r="8" spans="1:25">
      <c r="C8" s="23" t="s">
        <v>1214</v>
      </c>
      <c r="D8" s="23">
        <v>3.0800000000000001E-2</v>
      </c>
      <c r="E8" s="23" t="s">
        <v>1215</v>
      </c>
      <c r="F8" s="23">
        <v>121.07</v>
      </c>
      <c r="G8" s="23" t="s">
        <v>1216</v>
      </c>
      <c r="H8" s="23">
        <v>33.159999999999997</v>
      </c>
      <c r="O8" t="s">
        <v>1217</v>
      </c>
      <c r="P8" s="23">
        <v>0.19</v>
      </c>
    </row>
    <row r="9" spans="1:25">
      <c r="A9" t="s">
        <v>200</v>
      </c>
      <c r="B9" t="s">
        <v>211</v>
      </c>
      <c r="C9" s="23" t="s">
        <v>208</v>
      </c>
      <c r="D9" s="23" t="s">
        <v>1218</v>
      </c>
      <c r="E9" s="23" t="s">
        <v>209</v>
      </c>
      <c r="F9" s="23" t="s">
        <v>201</v>
      </c>
      <c r="G9" s="23" t="s">
        <v>206</v>
      </c>
      <c r="H9" s="23" t="s">
        <v>202</v>
      </c>
      <c r="I9" t="s">
        <v>214</v>
      </c>
      <c r="J9" t="s">
        <v>215</v>
      </c>
      <c r="M9" t="s">
        <v>200</v>
      </c>
      <c r="N9" t="s">
        <v>211</v>
      </c>
      <c r="O9" t="s">
        <v>207</v>
      </c>
      <c r="P9" t="s">
        <v>1219</v>
      </c>
      <c r="Q9" t="s">
        <v>216</v>
      </c>
    </row>
    <row r="10" spans="1:25">
      <c r="A10">
        <v>2019</v>
      </c>
      <c r="B10">
        <v>0</v>
      </c>
      <c r="C10" s="23"/>
      <c r="D10" s="23"/>
      <c r="E10" s="23"/>
      <c r="F10" s="23"/>
      <c r="G10" s="23"/>
      <c r="H10" s="23"/>
      <c r="I10" s="23">
        <v>2.8976311336717426E-2</v>
      </c>
      <c r="J10" s="23">
        <v>144.97496036560293</v>
      </c>
      <c r="K10" s="23"/>
      <c r="M10">
        <v>2019</v>
      </c>
      <c r="N10">
        <v>0</v>
      </c>
      <c r="O10" s="23"/>
      <c r="P10" s="23"/>
      <c r="Q10" s="23">
        <v>0.18133984778727802</v>
      </c>
      <c r="U10">
        <v>3.0173584999999999E-2</v>
      </c>
      <c r="V10">
        <v>175.87419829999999</v>
      </c>
      <c r="X10" s="24"/>
      <c r="Y10" s="23"/>
    </row>
    <row r="11" spans="1:25">
      <c r="A11">
        <v>2020</v>
      </c>
      <c r="B11">
        <v>0</v>
      </c>
      <c r="C11" s="23"/>
      <c r="D11" s="23"/>
      <c r="E11" s="23"/>
      <c r="F11" s="23"/>
      <c r="G11" s="23"/>
      <c r="H11" s="23"/>
      <c r="I11" s="23">
        <v>5.3908733590367838E-2</v>
      </c>
      <c r="J11" s="23">
        <v>282.56445955803326</v>
      </c>
      <c r="K11" s="23"/>
      <c r="M11">
        <v>2020</v>
      </c>
      <c r="N11">
        <v>0</v>
      </c>
      <c r="O11" s="23"/>
      <c r="P11" s="23"/>
      <c r="Q11" s="23">
        <v>0.34690630323494698</v>
      </c>
      <c r="U11">
        <v>3.0452388925399997E-2</v>
      </c>
      <c r="V11">
        <v>180.26401828956799</v>
      </c>
      <c r="X11" s="24">
        <f>ELECCB[[#This Row],[NPV AEC $/kWh]]-I10</f>
        <v>2.4932422253650412E-2</v>
      </c>
      <c r="Y11" s="23">
        <f>ELECCB[[#This Row],[NPV ACC+T&amp;D $/kW]]-J10</f>
        <v>137.58949919243034</v>
      </c>
    </row>
    <row r="12" spans="1:25">
      <c r="A12">
        <v>2021</v>
      </c>
      <c r="B12">
        <v>0</v>
      </c>
      <c r="C12" s="23"/>
      <c r="D12" s="23"/>
      <c r="E12" s="23"/>
      <c r="F12" s="23"/>
      <c r="G12" s="23"/>
      <c r="H12" s="23"/>
      <c r="I12" s="23">
        <v>8.1677471538620705E-2</v>
      </c>
      <c r="J12" s="23">
        <v>414.07816126941054</v>
      </c>
      <c r="K12" s="23"/>
      <c r="M12">
        <v>2021</v>
      </c>
      <c r="N12">
        <v>0</v>
      </c>
      <c r="O12" s="23"/>
      <c r="P12" s="23"/>
      <c r="Q12" s="23">
        <v>0.5100867100311951</v>
      </c>
      <c r="U12">
        <v>3.0742904715748316E-2</v>
      </c>
      <c r="V12">
        <v>184.85534283540329</v>
      </c>
      <c r="X12" s="24">
        <f>ELECCB[[#This Row],[NPV AEC $/kWh]]-I11</f>
        <v>2.7768737948252867E-2</v>
      </c>
      <c r="Y12" s="23">
        <f>ELECCB[[#This Row],[NPV ACC+T&amp;D $/kW]]-J11</f>
        <v>131.51370171137728</v>
      </c>
    </row>
    <row r="13" spans="1:25">
      <c r="A13">
        <v>2022</v>
      </c>
      <c r="B13">
        <v>0</v>
      </c>
      <c r="C13" s="23"/>
      <c r="D13" s="23"/>
      <c r="E13" s="23"/>
      <c r="F13" s="23"/>
      <c r="G13" s="23"/>
      <c r="H13" s="23"/>
      <c r="I13" s="23">
        <v>0.11048003338712797</v>
      </c>
      <c r="J13" s="23">
        <v>539.77106448130667</v>
      </c>
      <c r="K13" s="23"/>
      <c r="M13">
        <v>2022</v>
      </c>
      <c r="N13">
        <v>1</v>
      </c>
      <c r="O13" s="23"/>
      <c r="P13" s="23"/>
      <c r="Q13" s="23">
        <v>0.66710365116936199</v>
      </c>
      <c r="U13">
        <v>3.1051563479094432E-2</v>
      </c>
      <c r="V13">
        <v>189.65418753541036</v>
      </c>
      <c r="X13" s="24">
        <f>ELECCB[[#This Row],[NPV AEC $/kWh]]-I12</f>
        <v>2.8802561848507269E-2</v>
      </c>
      <c r="Y13" s="23">
        <f>ELECCB[[#This Row],[NPV ACC+T&amp;D $/kW]]-J12</f>
        <v>125.69290321189612</v>
      </c>
    </row>
    <row r="14" spans="1:25">
      <c r="A14">
        <v>2023</v>
      </c>
      <c r="B14">
        <v>1</v>
      </c>
      <c r="C14" s="23"/>
      <c r="D14" s="23"/>
      <c r="E14" s="23"/>
      <c r="F14" s="23"/>
      <c r="G14" s="23"/>
      <c r="H14" s="23"/>
      <c r="I14" s="23">
        <v>0.14009253492125942</v>
      </c>
      <c r="J14" s="23">
        <v>658.82459352948263</v>
      </c>
      <c r="K14" s="23"/>
      <c r="M14">
        <v>2023</v>
      </c>
      <c r="N14">
        <v>2</v>
      </c>
      <c r="O14" s="23"/>
      <c r="P14" s="23"/>
      <c r="Q14" s="23">
        <v>0.82018362454273741</v>
      </c>
      <c r="U14">
        <v>3.1375431286181386E-2</v>
      </c>
      <c r="V14">
        <v>194.67812696322335</v>
      </c>
      <c r="X14" s="24">
        <f>ELECCB[[#This Row],[NPV AEC $/kWh]]-I13</f>
        <v>2.9612501534131447E-2</v>
      </c>
      <c r="Y14" s="23">
        <f>ELECCB[[#This Row],[NPV ACC+T&amp;D $/kW]]-J13</f>
        <v>119.05352904817596</v>
      </c>
    </row>
    <row r="15" spans="1:25">
      <c r="A15">
        <v>2024</v>
      </c>
      <c r="B15">
        <v>2</v>
      </c>
      <c r="C15" s="23"/>
      <c r="D15" s="23"/>
      <c r="E15" s="23"/>
      <c r="F15" s="23"/>
      <c r="G15" s="23"/>
      <c r="H15" s="23"/>
      <c r="I15" s="23">
        <v>0.16931310158578727</v>
      </c>
      <c r="J15" s="23">
        <v>772.22455939532358</v>
      </c>
      <c r="K15" s="23"/>
      <c r="M15">
        <v>2024</v>
      </c>
      <c r="N15">
        <v>3</v>
      </c>
      <c r="O15" s="23"/>
      <c r="P15" s="23"/>
      <c r="Q15" s="23">
        <v>0.97281924194798208</v>
      </c>
      <c r="U15">
        <v>3.1715854715636455E-2</v>
      </c>
      <c r="V15">
        <v>199.94417029757855</v>
      </c>
      <c r="X15" s="24">
        <f>ELECCB[[#This Row],[NPV AEC $/kWh]]-I14</f>
        <v>2.9220566664527853E-2</v>
      </c>
      <c r="Y15" s="23">
        <f>ELECCB[[#This Row],[NPV ACC+T&amp;D $/kW]]-J14</f>
        <v>113.39996586584095</v>
      </c>
    </row>
    <row r="16" spans="1:25">
      <c r="A16">
        <v>2025</v>
      </c>
      <c r="B16">
        <v>3</v>
      </c>
      <c r="C16" s="23"/>
      <c r="D16" s="23"/>
      <c r="E16" s="23"/>
      <c r="F16" s="23"/>
      <c r="G16" s="23"/>
      <c r="H16" s="23"/>
      <c r="I16" s="23">
        <v>0.19737380484917075</v>
      </c>
      <c r="J16" s="23">
        <v>880.91032761429994</v>
      </c>
      <c r="K16" s="23"/>
      <c r="M16">
        <v>2025</v>
      </c>
      <c r="N16">
        <v>4</v>
      </c>
      <c r="O16" s="23"/>
      <c r="P16" s="23"/>
      <c r="Q16" s="23">
        <v>1.1319392099505048</v>
      </c>
      <c r="U16">
        <v>3.207392671537599E-2</v>
      </c>
      <c r="V16">
        <v>205.46862772290069</v>
      </c>
      <c r="X16" s="24">
        <f>ELECCB[[#This Row],[NPV AEC $/kWh]]-I15</f>
        <v>2.8060703263383474E-2</v>
      </c>
      <c r="Y16" s="23">
        <f>ELECCB[[#This Row],[NPV ACC+T&amp;D $/kW]]-J15</f>
        <v>108.68576821897636</v>
      </c>
    </row>
    <row r="17" spans="1:25">
      <c r="A17">
        <v>2026</v>
      </c>
      <c r="B17">
        <v>4</v>
      </c>
      <c r="C17" s="23"/>
      <c r="D17" s="23"/>
      <c r="E17" s="23"/>
      <c r="F17" s="23"/>
      <c r="G17" s="23"/>
      <c r="H17" s="23"/>
      <c r="I17" s="23">
        <v>0.22958755419543869</v>
      </c>
      <c r="J17" s="23">
        <v>985.47639596562112</v>
      </c>
      <c r="K17" s="23"/>
      <c r="M17">
        <v>2026</v>
      </c>
      <c r="N17">
        <v>5</v>
      </c>
      <c r="O17" s="23"/>
      <c r="P17" s="23"/>
      <c r="Q17" s="23">
        <v>1.297939882150122</v>
      </c>
      <c r="U17">
        <v>3.245111609354881E-2</v>
      </c>
      <c r="V17">
        <v>211.26695239724091</v>
      </c>
      <c r="X17" s="24">
        <f>ELECCB[[#This Row],[NPV AEC $/kWh]]-I16</f>
        <v>3.2213749346267945E-2</v>
      </c>
      <c r="Y17" s="23">
        <f>ELECCB[[#This Row],[NPV ACC+T&amp;D $/kW]]-J16</f>
        <v>104.56606835132118</v>
      </c>
    </row>
    <row r="18" spans="1:25">
      <c r="A18">
        <v>2027</v>
      </c>
      <c r="B18">
        <v>5</v>
      </c>
      <c r="C18" s="23"/>
      <c r="D18" s="23"/>
      <c r="E18" s="23"/>
      <c r="F18" s="23"/>
      <c r="G18" s="23"/>
      <c r="H18" s="23"/>
      <c r="I18" s="23">
        <v>0.26094696856313643</v>
      </c>
      <c r="J18" s="23">
        <v>1086.2699407275736</v>
      </c>
      <c r="K18" s="23"/>
      <c r="M18">
        <v>2027</v>
      </c>
      <c r="N18">
        <v>6</v>
      </c>
      <c r="O18" s="23"/>
      <c r="P18" s="23"/>
      <c r="Q18" s="23">
        <v>1.4654677203850643</v>
      </c>
      <c r="U18">
        <v>3.2848966776855719E-2</v>
      </c>
      <c r="V18">
        <v>217.36411664342532</v>
      </c>
      <c r="X18" s="24">
        <f>ELECCB[[#This Row],[NPV AEC $/kWh]]-I17</f>
        <v>3.1359414367697735E-2</v>
      </c>
      <c r="Y18" s="23">
        <f>ELECCB[[#This Row],[NPV ACC+T&amp;D $/kW]]-J17</f>
        <v>100.79354476195249</v>
      </c>
    </row>
    <row r="19" spans="1:25">
      <c r="A19">
        <v>2028</v>
      </c>
      <c r="B19">
        <v>6</v>
      </c>
      <c r="C19" s="23"/>
      <c r="D19" s="23"/>
      <c r="E19" s="23"/>
      <c r="F19" s="23"/>
      <c r="G19" s="23"/>
      <c r="H19" s="23"/>
      <c r="I19" s="23">
        <v>0.29080395963889411</v>
      </c>
      <c r="J19" s="23">
        <v>1183.2756955774573</v>
      </c>
      <c r="K19" s="23"/>
      <c r="M19">
        <v>2028</v>
      </c>
      <c r="N19">
        <v>7</v>
      </c>
      <c r="O19" s="23"/>
      <c r="P19" s="23"/>
      <c r="Q19" s="23">
        <v>1.631007508017589</v>
      </c>
      <c r="U19">
        <v>3.337652118329202E-2</v>
      </c>
      <c r="V19">
        <v>223.77418444323993</v>
      </c>
      <c r="X19" s="24">
        <f>ELECCB[[#This Row],[NPV AEC $/kWh]]-I18</f>
        <v>2.9856991075757677E-2</v>
      </c>
      <c r="Y19" s="23">
        <f>ELECCB[[#This Row],[NPV ACC+T&amp;D $/kW]]-J18</f>
        <v>97.005754849883715</v>
      </c>
    </row>
    <row r="20" spans="1:25">
      <c r="A20">
        <v>2029</v>
      </c>
      <c r="B20">
        <v>7</v>
      </c>
      <c r="C20" s="23"/>
      <c r="D20" s="23"/>
      <c r="E20" s="23"/>
      <c r="F20" s="23"/>
      <c r="G20" s="23"/>
      <c r="H20" s="23"/>
      <c r="I20" s="23">
        <v>0.32003317571681861</v>
      </c>
      <c r="J20" s="23">
        <v>1276.5482674621917</v>
      </c>
      <c r="K20" s="23"/>
      <c r="M20">
        <v>2029</v>
      </c>
      <c r="N20">
        <v>8</v>
      </c>
      <c r="O20" s="23"/>
      <c r="P20" s="23"/>
      <c r="Q20" s="23">
        <v>1.7908477237053089</v>
      </c>
      <c r="U20">
        <v>3.3929570139299169E-2</v>
      </c>
      <c r="V20">
        <v>230.50307416944818</v>
      </c>
      <c r="X20" s="24">
        <f>ELECCB[[#This Row],[NPV AEC $/kWh]]-I19</f>
        <v>2.9229216077924502E-2</v>
      </c>
      <c r="Y20" s="23">
        <f>ELECCB[[#This Row],[NPV ACC+T&amp;D $/kW]]-J19</f>
        <v>93.272571884734361</v>
      </c>
    </row>
    <row r="21" spans="1:25">
      <c r="A21">
        <v>2030</v>
      </c>
      <c r="B21">
        <v>8</v>
      </c>
      <c r="C21" s="23"/>
      <c r="D21" s="23"/>
      <c r="E21" s="23"/>
      <c r="F21" s="23"/>
      <c r="G21" s="23"/>
      <c r="H21" s="23"/>
      <c r="I21" s="23">
        <v>0.3483640902841813</v>
      </c>
      <c r="J21" s="23">
        <v>1366.1512304104438</v>
      </c>
      <c r="K21" s="23"/>
      <c r="M21">
        <v>2030</v>
      </c>
      <c r="N21">
        <v>9</v>
      </c>
      <c r="O21" s="23"/>
      <c r="P21" s="23"/>
      <c r="Q21" s="23">
        <v>1.9424208787992343</v>
      </c>
      <c r="U21">
        <v>3.4509765788681181E-2</v>
      </c>
      <c r="V21">
        <v>237.57490848496687</v>
      </c>
      <c r="X21" s="24">
        <f>ELECCB[[#This Row],[NPV AEC $/kWh]]-I20</f>
        <v>2.8330914567362697E-2</v>
      </c>
      <c r="Y21" s="23">
        <f>ELECCB[[#This Row],[NPV ACC+T&amp;D $/kW]]-J20</f>
        <v>89.60296294825207</v>
      </c>
    </row>
    <row r="22" spans="1:25">
      <c r="A22">
        <v>2031</v>
      </c>
      <c r="B22">
        <v>9</v>
      </c>
      <c r="C22" s="23"/>
      <c r="D22" s="23"/>
      <c r="E22" s="23"/>
      <c r="F22" s="23"/>
      <c r="G22" s="23"/>
      <c r="H22" s="23"/>
      <c r="I22" s="23">
        <v>0.37596800845875372</v>
      </c>
      <c r="J22" s="23">
        <v>1452.1020889087899</v>
      </c>
      <c r="K22" s="23"/>
      <c r="M22">
        <v>2031</v>
      </c>
      <c r="N22">
        <v>10</v>
      </c>
      <c r="O22" s="23"/>
      <c r="P22" s="23"/>
      <c r="Q22" s="23">
        <v>2.0860090127069375</v>
      </c>
      <c r="U22">
        <v>3.5118863154851403E-2</v>
      </c>
      <c r="V22">
        <v>245.00625162237662</v>
      </c>
      <c r="X22" s="24">
        <f>ELECCB[[#This Row],[NPV AEC $/kWh]]-I21</f>
        <v>2.7603918174572417E-2</v>
      </c>
      <c r="Y22" s="23">
        <f>ELECCB[[#This Row],[NPV ACC+T&amp;D $/kW]]-J21</f>
        <v>85.950858498346179</v>
      </c>
    </row>
    <row r="23" spans="1:25">
      <c r="A23">
        <v>2032</v>
      </c>
      <c r="B23">
        <v>10</v>
      </c>
      <c r="C23" s="23"/>
      <c r="D23" s="23"/>
      <c r="E23" s="23"/>
      <c r="F23" s="23"/>
      <c r="G23" s="23"/>
      <c r="H23" s="23"/>
      <c r="I23" s="23">
        <v>0.40277369188676465</v>
      </c>
      <c r="J23" s="23">
        <v>1534.5393356308005</v>
      </c>
      <c r="K23" s="23"/>
      <c r="M23">
        <v>2032</v>
      </c>
      <c r="N23">
        <v>11</v>
      </c>
      <c r="O23" s="23"/>
      <c r="P23" s="23"/>
      <c r="Q23" s="23">
        <v>2.2247044871782231</v>
      </c>
      <c r="U23">
        <v>3.5758728841532791E-2</v>
      </c>
      <c r="V23">
        <v>252.817050924098</v>
      </c>
      <c r="X23" s="24">
        <f>ELECCB[[#This Row],[NPV AEC $/kWh]]-I22</f>
        <v>2.6805683428010929E-2</v>
      </c>
      <c r="Y23" s="23">
        <f>ELECCB[[#This Row],[NPV ACC+T&amp;D $/kW]]-J22</f>
        <v>82.437246722010514</v>
      </c>
    </row>
    <row r="24" spans="1:25">
      <c r="A24">
        <v>2033</v>
      </c>
      <c r="B24">
        <v>11</v>
      </c>
      <c r="C24" s="23"/>
      <c r="D24" s="23"/>
      <c r="E24" s="23"/>
      <c r="F24" s="23"/>
      <c r="G24" s="23"/>
      <c r="H24" s="23"/>
      <c r="I24" s="23">
        <v>0.42861989840647674</v>
      </c>
      <c r="J24" s="23">
        <v>1613.5787086479197</v>
      </c>
      <c r="K24" s="23"/>
      <c r="M24">
        <v>2033</v>
      </c>
      <c r="N24">
        <v>12</v>
      </c>
      <c r="O24" s="23"/>
      <c r="P24" s="23"/>
      <c r="Q24" s="23">
        <v>2.3604389855572991</v>
      </c>
      <c r="U24">
        <v>3.6431350531042024E-2</v>
      </c>
      <c r="V24">
        <v>261.03107690862191</v>
      </c>
      <c r="X24" s="24">
        <f>ELECCB[[#This Row],[NPV AEC $/kWh]]-I23</f>
        <v>2.5846206519712089E-2</v>
      </c>
      <c r="Y24" s="23">
        <f>ELECCB[[#This Row],[NPV ACC+T&amp;D $/kW]]-J23</f>
        <v>79.03937301711926</v>
      </c>
    </row>
    <row r="25" spans="1:25">
      <c r="A25">
        <v>2034</v>
      </c>
      <c r="B25">
        <v>12</v>
      </c>
      <c r="C25" s="23"/>
      <c r="D25" s="23"/>
      <c r="E25" s="23"/>
      <c r="F25" s="23"/>
      <c r="G25" s="23"/>
      <c r="H25" s="23"/>
      <c r="I25" s="23">
        <v>0.45329583485710234</v>
      </c>
      <c r="J25" s="23">
        <v>1689.3839325460397</v>
      </c>
      <c r="K25" s="23"/>
      <c r="M25">
        <v>2034</v>
      </c>
      <c r="N25">
        <v>13</v>
      </c>
      <c r="O25" s="23"/>
      <c r="P25" s="23"/>
      <c r="Q25" s="23">
        <v>2.4926100671496281</v>
      </c>
      <c r="U25">
        <v>3.7143219120418583E-2</v>
      </c>
      <c r="V25">
        <v>269.67903648660456</v>
      </c>
      <c r="X25" s="24">
        <f>ELECCB[[#This Row],[NPV AEC $/kWh]]-I24</f>
        <v>2.4675936450625602E-2</v>
      </c>
      <c r="Y25" s="23">
        <f>ELECCB[[#This Row],[NPV ACC+T&amp;D $/kW]]-J24</f>
        <v>75.805223898119948</v>
      </c>
    </row>
    <row r="26" spans="1:25">
      <c r="A26">
        <v>2035</v>
      </c>
      <c r="B26">
        <v>13</v>
      </c>
      <c r="C26" s="23"/>
      <c r="D26" s="23"/>
      <c r="E26" s="23"/>
      <c r="F26" s="23"/>
      <c r="G26" s="23"/>
      <c r="H26" s="23"/>
      <c r="I26" s="23">
        <v>0.4773662368050724</v>
      </c>
      <c r="J26" s="23">
        <v>1762.106301132254</v>
      </c>
      <c r="K26" s="23"/>
      <c r="M26">
        <v>2035</v>
      </c>
      <c r="N26">
        <v>14</v>
      </c>
      <c r="O26" s="23"/>
      <c r="P26" s="23"/>
      <c r="Q26" s="23">
        <v>2.6193041371399675</v>
      </c>
      <c r="U26">
        <v>3.7897226468563076E-2</v>
      </c>
      <c r="V26">
        <v>278.79149112948693</v>
      </c>
      <c r="X26" s="24">
        <f>ELECCB[[#This Row],[NPV AEC $/kWh]]-I25</f>
        <v>2.4070401947970055E-2</v>
      </c>
      <c r="Y26" s="23">
        <f>ELECCB[[#This Row],[NPV ACC+T&amp;D $/kW]]-J25</f>
        <v>72.722368586214316</v>
      </c>
    </row>
    <row r="27" spans="1:25">
      <c r="A27">
        <v>2036</v>
      </c>
      <c r="B27">
        <v>14</v>
      </c>
      <c r="C27" s="23"/>
      <c r="D27" s="23"/>
      <c r="E27" s="23"/>
      <c r="F27" s="23"/>
      <c r="G27" s="23"/>
      <c r="H27" s="23"/>
      <c r="I27" s="23">
        <v>0.50072449565742527</v>
      </c>
      <c r="J27" s="23">
        <v>1831.8599378555527</v>
      </c>
      <c r="K27" s="23"/>
      <c r="M27">
        <v>2036</v>
      </c>
      <c r="N27">
        <v>15</v>
      </c>
      <c r="O27" s="23"/>
      <c r="P27" s="23"/>
      <c r="Q27" s="23">
        <v>2.7408118544093014</v>
      </c>
      <c r="U27">
        <v>3.8696478974785072E-2</v>
      </c>
      <c r="V27">
        <v>288.39864591380905</v>
      </c>
      <c r="X27" s="24">
        <f>ELECCB[[#This Row],[NPV AEC $/kWh]]-I26</f>
        <v>2.3358258852352876E-2</v>
      </c>
      <c r="Y27" s="23">
        <f>ELECCB[[#This Row],[NPV ACC+T&amp;D $/kW]]-J26</f>
        <v>69.753636723298769</v>
      </c>
    </row>
    <row r="28" spans="1:25">
      <c r="A28">
        <v>2037</v>
      </c>
      <c r="B28">
        <v>15</v>
      </c>
      <c r="C28" s="23"/>
      <c r="D28" s="23"/>
      <c r="E28" s="23"/>
      <c r="F28" s="23"/>
      <c r="G28" s="23"/>
      <c r="H28" s="23"/>
      <c r="I28" s="23">
        <v>0.52332403483769063</v>
      </c>
      <c r="J28" s="23">
        <v>1898.794632646242</v>
      </c>
      <c r="K28" s="23"/>
      <c r="M28">
        <v>2037</v>
      </c>
      <c r="N28">
        <v>16</v>
      </c>
      <c r="O28" s="23"/>
      <c r="P28" s="23"/>
      <c r="Q28" s="23">
        <v>2.8590898232786022</v>
      </c>
      <c r="U28">
        <v>3.9544318829122613E-2</v>
      </c>
      <c r="V28">
        <v>298.53297433122032</v>
      </c>
      <c r="X28" s="24">
        <f>ELECCB[[#This Row],[NPV AEC $/kWh]]-I27</f>
        <v>2.259953918026536E-2</v>
      </c>
      <c r="Y28" s="23">
        <f>ELECCB[[#This Row],[NPV ACC+T&amp;D $/kW]]-J27</f>
        <v>66.934694790689264</v>
      </c>
    </row>
    <row r="29" spans="1:25">
      <c r="A29">
        <v>2038</v>
      </c>
      <c r="B29">
        <v>16</v>
      </c>
      <c r="C29" s="23"/>
      <c r="D29" s="23"/>
      <c r="E29" s="23"/>
      <c r="F29" s="23"/>
      <c r="G29" s="23"/>
      <c r="H29" s="23"/>
      <c r="I29" s="23">
        <v>0.54521930089364556</v>
      </c>
      <c r="J29" s="23">
        <v>1963.0345695017379</v>
      </c>
      <c r="K29" s="23"/>
      <c r="M29">
        <v>2038</v>
      </c>
      <c r="N29">
        <v>17</v>
      </c>
      <c r="O29" s="23"/>
      <c r="P29" s="23"/>
      <c r="Q29" s="23">
        <v>2.9736427104566006</v>
      </c>
      <c r="U29">
        <v>4.0444347525673441E-2</v>
      </c>
      <c r="V29">
        <v>309.23836679073787</v>
      </c>
      <c r="X29" s="24">
        <f>ELECCB[[#This Row],[NPV AEC $/kWh]]-I28</f>
        <v>2.1895266055954932E-2</v>
      </c>
      <c r="Y29" s="23">
        <f>ELECCB[[#This Row],[NPV ACC+T&amp;D $/kW]]-J28</f>
        <v>64.239936855495898</v>
      </c>
    </row>
    <row r="30" spans="1:25">
      <c r="A30">
        <v>2039</v>
      </c>
      <c r="B30">
        <v>17</v>
      </c>
      <c r="C30" s="23"/>
      <c r="D30" s="23"/>
      <c r="E30" s="23"/>
      <c r="F30" s="23"/>
      <c r="G30" s="23"/>
      <c r="H30" s="23"/>
      <c r="I30" s="23">
        <v>0.5665134609087884</v>
      </c>
      <c r="J30" s="23">
        <v>2024.669618916929</v>
      </c>
      <c r="K30" s="23"/>
      <c r="M30">
        <v>2039</v>
      </c>
      <c r="N30">
        <v>18</v>
      </c>
      <c r="O30" s="23"/>
      <c r="P30" s="23"/>
      <c r="Q30" s="23">
        <v>3.0839851552106698</v>
      </c>
      <c r="U30">
        <v>4.1400856344655616E-2</v>
      </c>
      <c r="V30">
        <v>320.55339863161095</v>
      </c>
      <c r="X30" s="24">
        <f>ELECCB[[#This Row],[NPV AEC $/kWh]]-I29</f>
        <v>2.1294160015142838E-2</v>
      </c>
      <c r="Y30" s="23">
        <f>ELECCB[[#This Row],[NPV ACC+T&amp;D $/kW]]-J29</f>
        <v>61.635049415191133</v>
      </c>
    </row>
    <row r="31" spans="1:25">
      <c r="A31">
        <v>2040</v>
      </c>
      <c r="B31">
        <v>18</v>
      </c>
      <c r="C31" s="23"/>
      <c r="D31" s="23"/>
      <c r="E31" s="23"/>
      <c r="F31" s="23"/>
      <c r="G31" s="23"/>
      <c r="H31" s="23"/>
      <c r="I31" s="23">
        <v>0.58722310906675856</v>
      </c>
      <c r="J31" s="23">
        <v>2083.8196672042536</v>
      </c>
      <c r="K31" s="23"/>
      <c r="M31">
        <v>2040</v>
      </c>
      <c r="N31">
        <v>19</v>
      </c>
      <c r="O31" s="23"/>
      <c r="P31" s="23"/>
      <c r="Q31" s="23">
        <v>3.1900997705214844</v>
      </c>
      <c r="U31">
        <v>4.2418075385043802E-2</v>
      </c>
      <c r="V31">
        <v>332.51965700252902</v>
      </c>
      <c r="X31" s="24">
        <f>ELECCB[[#This Row],[NPV AEC $/kWh]]-I30</f>
        <v>2.0709648157970162E-2</v>
      </c>
      <c r="Y31" s="23">
        <f>ELECCB[[#This Row],[NPV ACC+T&amp;D $/kW]]-J30</f>
        <v>59.15004828732458</v>
      </c>
    </row>
    <row r="32" spans="1:25">
      <c r="A32">
        <v>2041</v>
      </c>
      <c r="B32">
        <v>19</v>
      </c>
      <c r="C32" s="23"/>
      <c r="D32" s="23"/>
      <c r="E32" s="23"/>
      <c r="F32" s="23"/>
      <c r="G32" s="23"/>
      <c r="H32" s="23"/>
      <c r="I32" s="23">
        <v>0.60736437896201811</v>
      </c>
      <c r="J32" s="23">
        <v>2140.5953029633938</v>
      </c>
      <c r="K32" s="23"/>
      <c r="M32">
        <v>2041</v>
      </c>
      <c r="N32">
        <v>20</v>
      </c>
      <c r="O32" s="23"/>
      <c r="P32" s="23"/>
      <c r="Q32" s="23">
        <v>3.292010522063967</v>
      </c>
      <c r="U32">
        <v>4.3501008849623969E-2</v>
      </c>
      <c r="V32">
        <v>345.18865593432537</v>
      </c>
      <c r="X32" s="24">
        <f>ELECCB[[#This Row],[NPV AEC $/kWh]]-I31</f>
        <v>2.014126989525955E-2</v>
      </c>
      <c r="Y32" s="23">
        <f>ELECCB[[#This Row],[NPV ACC+T&amp;D $/kW]]-J31</f>
        <v>56.775635759140187</v>
      </c>
    </row>
    <row r="33" spans="1:25">
      <c r="A33">
        <v>2042</v>
      </c>
      <c r="B33">
        <v>20</v>
      </c>
      <c r="C33" s="23"/>
      <c r="D33" s="23"/>
      <c r="E33" s="23"/>
      <c r="F33" s="23"/>
      <c r="G33" s="23"/>
      <c r="H33" s="23"/>
      <c r="I33" s="23">
        <v>0.62695295645123938</v>
      </c>
      <c r="J33" s="23">
        <v>2195.0951543579163</v>
      </c>
      <c r="K33" s="23"/>
      <c r="M33">
        <v>2042</v>
      </c>
      <c r="N33">
        <v>21</v>
      </c>
      <c r="O33" s="23"/>
      <c r="P33" s="23"/>
      <c r="Q33" s="23">
        <v>3.390603374294074</v>
      </c>
      <c r="U33">
        <v>4.4655090614404487E-2</v>
      </c>
      <c r="V33">
        <v>358.61304276361136</v>
      </c>
      <c r="X33" s="24">
        <f>ELECCB[[#This Row],[NPV AEC $/kWh]]-I32</f>
        <v>1.9588577489221271E-2</v>
      </c>
      <c r="Y33" s="23">
        <f>ELECCB[[#This Row],[NPV ACC+T&amp;D $/kW]]-J32</f>
        <v>54.499851394522466</v>
      </c>
    </row>
    <row r="34" spans="1:25">
      <c r="A34">
        <v>2043</v>
      </c>
      <c r="B34">
        <v>21</v>
      </c>
      <c r="C34" s="23"/>
      <c r="D34" s="23"/>
      <c r="E34" s="23"/>
      <c r="F34" s="23"/>
      <c r="G34" s="23"/>
      <c r="H34" s="23"/>
      <c r="I34" s="23">
        <v>0.64600409214430554</v>
      </c>
      <c r="J34" s="23">
        <v>2247.4131971827765</v>
      </c>
      <c r="M34">
        <v>2043</v>
      </c>
      <c r="N34">
        <v>22</v>
      </c>
      <c r="O34" s="23"/>
      <c r="P34" s="23"/>
      <c r="Q34" s="23">
        <v>3.4858261415015512</v>
      </c>
      <c r="U34">
        <v>0.64600409214430554</v>
      </c>
      <c r="V34">
        <v>2247.4131971827765</v>
      </c>
      <c r="X34" s="24">
        <f>ELECCB[[#This Row],[NPV AEC $/kWh]]-I33</f>
        <v>1.9051135693066157E-2</v>
      </c>
      <c r="Y34" s="23">
        <f>ELECCB[[#This Row],[NPV ACC+T&amp;D $/kW]]-J33</f>
        <v>52.318042824860186</v>
      </c>
    </row>
    <row r="35" spans="1:25">
      <c r="A35">
        <v>2044</v>
      </c>
      <c r="B35">
        <v>22</v>
      </c>
      <c r="C35" s="23"/>
      <c r="D35" s="23"/>
      <c r="E35" s="23"/>
      <c r="F35" s="23"/>
      <c r="G35" s="23"/>
      <c r="H35" s="23"/>
      <c r="I35" s="23">
        <v>0.66453261354507742</v>
      </c>
      <c r="J35" s="23">
        <v>2297.6430040634286</v>
      </c>
      <c r="M35">
        <v>2044</v>
      </c>
      <c r="N35">
        <v>23</v>
      </c>
      <c r="O35" s="23"/>
      <c r="P35" s="23"/>
      <c r="Q35" s="23">
        <v>3.5777348993304638</v>
      </c>
      <c r="U35">
        <v>0.66453261354507742</v>
      </c>
      <c r="V35">
        <v>2297.6430040634286</v>
      </c>
      <c r="X35" s="24">
        <f>ELECCB[[#This Row],[NPV AEC $/kWh]]-I34</f>
        <v>1.852852140077188E-2</v>
      </c>
      <c r="Y35" s="23">
        <f>ELECCB[[#This Row],[NPV ACC+T&amp;D $/kW]]-J34</f>
        <v>50.229806880652177</v>
      </c>
    </row>
    <row r="36" spans="1:25">
      <c r="A36">
        <v>2045</v>
      </c>
      <c r="B36">
        <v>23</v>
      </c>
      <c r="C36" s="23"/>
      <c r="D36" s="23"/>
      <c r="E36" s="23"/>
      <c r="F36" s="23"/>
      <c r="G36" s="23"/>
      <c r="H36" s="23"/>
      <c r="I36" s="23">
        <v>0.68255293685179574</v>
      </c>
      <c r="J36" s="23">
        <v>2345.8814489925949</v>
      </c>
      <c r="M36">
        <v>2045</v>
      </c>
      <c r="N36">
        <v>24</v>
      </c>
      <c r="O36" s="23"/>
      <c r="P36" s="23"/>
      <c r="Q36" s="23">
        <v>3.6666803449170002</v>
      </c>
      <c r="U36">
        <v>0.68255293685179574</v>
      </c>
      <c r="V36">
        <v>2345.8814489925949</v>
      </c>
      <c r="X36" s="24">
        <f>ELECCB[[#This Row],[NPV AEC $/kWh]]-I35</f>
        <v>1.8020323306718322E-2</v>
      </c>
      <c r="Y36" s="23">
        <f>ELECCB[[#This Row],[NPV ACC+T&amp;D $/kW]]-J35</f>
        <v>48.238444929166235</v>
      </c>
    </row>
    <row r="37" spans="1:25">
      <c r="A37">
        <v>2046</v>
      </c>
      <c r="B37">
        <v>24</v>
      </c>
      <c r="C37" s="23"/>
      <c r="D37" s="23"/>
      <c r="E37" s="23"/>
      <c r="F37" s="23"/>
      <c r="G37" s="23"/>
      <c r="H37" s="23"/>
      <c r="I37" s="23">
        <v>0.69949251506830101</v>
      </c>
      <c r="J37" s="23">
        <v>2392.2097135921081</v>
      </c>
      <c r="M37">
        <v>2046</v>
      </c>
      <c r="N37">
        <v>25</v>
      </c>
      <c r="O37" s="23"/>
      <c r="P37" s="23"/>
      <c r="Q37" s="23">
        <v>3.7530811517105485</v>
      </c>
      <c r="U37">
        <v>0.69949251506830101</v>
      </c>
      <c r="V37">
        <v>2392.2097135921081</v>
      </c>
      <c r="X37" s="24">
        <f>ELECCB[[#This Row],[NPV AEC $/kWh]]-I36</f>
        <v>1.6939578216505269E-2</v>
      </c>
      <c r="Y37" s="23">
        <f>ELECCB[[#This Row],[NPV ACC+T&amp;D $/kW]]-J36</f>
        <v>46.328264599513204</v>
      </c>
    </row>
    <row r="38" spans="1:25">
      <c r="A38">
        <v>2047</v>
      </c>
      <c r="B38">
        <v>25</v>
      </c>
      <c r="C38" s="23"/>
      <c r="D38" s="23"/>
      <c r="E38" s="23"/>
      <c r="F38" s="23"/>
      <c r="G38" s="23"/>
      <c r="H38" s="23"/>
      <c r="I38" s="23">
        <v>0.7154161644539988</v>
      </c>
      <c r="J38" s="23">
        <v>2436.6944099627308</v>
      </c>
      <c r="M38">
        <v>2047</v>
      </c>
      <c r="N38">
        <v>26</v>
      </c>
      <c r="O38" s="23"/>
      <c r="P38" s="23"/>
      <c r="Q38" s="23">
        <v>3.8372650620798057</v>
      </c>
      <c r="U38">
        <v>0.7154161644539988</v>
      </c>
      <c r="V38">
        <v>2436.6944099627308</v>
      </c>
      <c r="X38" s="24">
        <f>ELECCB[[#This Row],[NPV AEC $/kWh]]-I37</f>
        <v>1.5923649385697791E-2</v>
      </c>
      <c r="Y38" s="23">
        <f>ELECCB[[#This Row],[NPV ACC+T&amp;D $/kW]]-J37</f>
        <v>44.484696370622714</v>
      </c>
    </row>
    <row r="39" spans="1:25">
      <c r="A39">
        <v>2048</v>
      </c>
      <c r="B39">
        <v>26</v>
      </c>
      <c r="C39" s="23"/>
      <c r="D39" s="23"/>
      <c r="E39" s="23"/>
      <c r="F39" s="23"/>
      <c r="G39" s="23"/>
      <c r="H39" s="23"/>
      <c r="I39" s="23">
        <v>0.730384813998742</v>
      </c>
      <c r="J39" s="23">
        <v>2479.4106216288674</v>
      </c>
      <c r="M39">
        <v>2048</v>
      </c>
      <c r="N39">
        <v>27</v>
      </c>
      <c r="O39" s="23"/>
      <c r="P39" s="23"/>
      <c r="Q39" s="23">
        <v>3.9190100017168357</v>
      </c>
      <c r="U39">
        <v>0.730384813998742</v>
      </c>
      <c r="V39">
        <v>2479.4106216288674</v>
      </c>
      <c r="X39" s="24">
        <f>ELECCB[[#This Row],[NPV AEC $/kWh]]-I38</f>
        <v>1.4968649544743196E-2</v>
      </c>
      <c r="Y39" s="23">
        <f>ELECCB[[#This Row],[NPV ACC+T&amp;D $/kW]]-J38</f>
        <v>42.716211666136587</v>
      </c>
    </row>
  </sheetData>
  <sheetProtection algorithmName="SHA-512" hashValue="7uXrUyevnIchqXp+zGubM2mpepNiMmb4FAWfXZ9005yFo2l6HH5ZvFgEiUmY6u6+q58Q8/8TL5yL4TBl2pe0tQ==" saltValue="dAb1B/lomO/S6K1Rknj8cQ==" spinCount="100000" sheet="1" objects="1" scenarios="1"/>
  <pageMargins left="0.7" right="0.7" top="0.75" bottom="0.75" header="0.3" footer="0.3"/>
  <pageSetup orientation="portrait" r:id="rId1"/>
  <tableParts count="2">
    <tablePart r:id="rId2"/>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pageSetUpPr fitToPage="1"/>
  </sheetPr>
  <dimension ref="A1:BZ203"/>
  <sheetViews>
    <sheetView showGridLines="0" showRowColHeaders="0" zoomScale="85" zoomScaleNormal="85" workbookViewId="0">
      <selection activeCell="C16" sqref="C16:I17"/>
    </sheetView>
  </sheetViews>
  <sheetFormatPr defaultColWidth="0" defaultRowHeight="15" zeroHeight="1"/>
  <cols>
    <col min="1" max="44" width="4.7109375" customWidth="1"/>
    <col min="45" max="45" width="4.7109375" style="59" customWidth="1"/>
    <col min="46" max="46" width="4.7109375" style="59" hidden="1" customWidth="1"/>
    <col min="47" max="52" width="9.140625" style="59" hidden="1" customWidth="1"/>
    <col min="53" max="53" width="11" style="59" hidden="1" customWidth="1"/>
    <col min="54" max="78" width="9.140625" style="59" hidden="1" customWidth="1"/>
    <col min="79" max="16384" width="9.140625" hidden="1"/>
  </cols>
  <sheetData>
    <row r="1" spans="2:78" ht="15.95" customHeight="1">
      <c r="AH1" s="681" t="s">
        <v>471</v>
      </c>
      <c r="AI1" s="681"/>
      <c r="AJ1" s="681"/>
      <c r="AK1" s="681"/>
      <c r="AL1" s="682" t="s">
        <v>736</v>
      </c>
      <c r="AM1" s="682"/>
      <c r="AN1" s="682"/>
      <c r="AO1" s="682"/>
      <c r="AP1" s="682"/>
      <c r="AQ1" s="678" t="s">
        <v>474</v>
      </c>
      <c r="AR1" s="678"/>
    </row>
    <row r="2" spans="2:78" ht="15.95" customHeight="1">
      <c r="AH2" s="683" t="str">
        <f ca="1">INCENSTATUS</f>
        <v>---</v>
      </c>
      <c r="AI2" s="684"/>
      <c r="AJ2" s="684"/>
      <c r="AK2" s="684"/>
      <c r="AL2" s="685" t="str">
        <f ca="1">PROJSTATUS</f>
        <v>Enter Measures</v>
      </c>
      <c r="AM2" s="685"/>
      <c r="AN2" s="685"/>
      <c r="AO2" s="685"/>
      <c r="AP2" s="685"/>
      <c r="AQ2" s="679">
        <f ca="1">PROGRESSSTATUS</f>
        <v>2.8985507246376812E-2</v>
      </c>
      <c r="AR2" s="680"/>
    </row>
    <row r="3" spans="2:78" ht="15.95" customHeight="1">
      <c r="AH3" s="675"/>
      <c r="AI3" s="676"/>
      <c r="AJ3" s="676"/>
      <c r="AK3" s="676"/>
      <c r="AL3" s="668"/>
      <c r="AM3" s="668"/>
      <c r="AN3" s="668"/>
      <c r="AO3" s="668"/>
      <c r="AP3" s="668"/>
      <c r="AQ3" s="662"/>
      <c r="AR3" s="663"/>
    </row>
    <row r="4" spans="2:78" ht="15.95" customHeight="1">
      <c r="AR4" s="171"/>
    </row>
    <row r="5" spans="2:78" ht="15.95" customHeight="1"/>
    <row r="6" spans="2:78" ht="15.95" customHeight="1">
      <c r="AU6" s="59" t="s">
        <v>907</v>
      </c>
      <c r="AV6" s="59">
        <f>PROJID</f>
        <v>0</v>
      </c>
    </row>
    <row r="7" spans="2:78" ht="15.95" customHeight="1">
      <c r="AU7" s="87"/>
      <c r="AV7" s="87" t="s">
        <v>866</v>
      </c>
      <c r="AW7" s="87" t="s">
        <v>231</v>
      </c>
      <c r="AX7" s="87" t="s">
        <v>892</v>
      </c>
    </row>
    <row r="8" spans="2:78" ht="15.95" customHeight="1">
      <c r="AU8" s="87" t="s">
        <v>219</v>
      </c>
      <c r="AV8" s="87" t="str">
        <f ca="1">CBPRESE</f>
        <v>NA</v>
      </c>
      <c r="AW8" s="87" t="str">
        <f ca="1">CBCUSE</f>
        <v>NA</v>
      </c>
      <c r="AX8" s="87" t="str">
        <f ca="1">CBALL</f>
        <v>NA</v>
      </c>
    </row>
    <row r="9" spans="2:78" ht="15.95" customHeight="1">
      <c r="B9" s="59"/>
      <c r="C9" s="59"/>
      <c r="D9" s="59"/>
      <c r="E9" s="59"/>
      <c r="F9" s="59"/>
      <c r="G9" s="59"/>
      <c r="H9" s="59"/>
      <c r="I9" s="59"/>
      <c r="J9" s="59"/>
      <c r="K9" s="59"/>
      <c r="L9" s="59"/>
      <c r="M9" s="59"/>
      <c r="N9" s="59"/>
      <c r="O9" s="59"/>
      <c r="P9" s="59"/>
      <c r="Q9" s="59"/>
      <c r="R9" s="730" t="str">
        <f>CONCATENATE(M3S3," ","Summary")</f>
        <v>HVAC (Electric) Summary</v>
      </c>
      <c r="S9" s="730"/>
      <c r="T9" s="730"/>
      <c r="U9" s="730"/>
      <c r="V9" s="730"/>
      <c r="W9" s="730"/>
      <c r="X9" s="730"/>
      <c r="Y9" s="730"/>
      <c r="Z9" s="730"/>
      <c r="AA9" s="730"/>
      <c r="AB9" s="730"/>
      <c r="AC9" s="730"/>
      <c r="AD9" s="59"/>
      <c r="AE9" s="59"/>
      <c r="AF9" s="59"/>
      <c r="AG9" s="59"/>
      <c r="AH9" s="59"/>
      <c r="AI9" s="59"/>
      <c r="AJ9" s="59"/>
      <c r="AK9" s="59"/>
      <c r="AL9" s="59"/>
      <c r="AM9" s="59"/>
      <c r="AN9" s="59"/>
      <c r="AO9" s="59"/>
      <c r="AP9" s="59"/>
      <c r="AQ9" s="59"/>
      <c r="AR9" s="59"/>
      <c r="AU9" s="87"/>
      <c r="AV9" s="87"/>
      <c r="AW9" s="87"/>
      <c r="AX9" s="87"/>
    </row>
    <row r="10" spans="2:78" ht="15.95" customHeight="1">
      <c r="B10" s="59"/>
      <c r="C10" s="59"/>
      <c r="D10" s="59"/>
      <c r="E10" s="59"/>
      <c r="F10" s="59"/>
      <c r="G10" s="59"/>
      <c r="H10" s="59"/>
      <c r="I10" s="59"/>
      <c r="J10" s="59"/>
      <c r="K10" s="59"/>
      <c r="L10" s="59"/>
      <c r="M10" s="59"/>
      <c r="N10" s="59"/>
      <c r="O10" s="59"/>
      <c r="P10" s="59"/>
      <c r="Q10" s="59"/>
      <c r="R10" s="730"/>
      <c r="S10" s="730"/>
      <c r="T10" s="730"/>
      <c r="U10" s="730"/>
      <c r="V10" s="730"/>
      <c r="W10" s="730"/>
      <c r="X10" s="730"/>
      <c r="Y10" s="730"/>
      <c r="Z10" s="730"/>
      <c r="AA10" s="730"/>
      <c r="AB10" s="730"/>
      <c r="AC10" s="730"/>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78" ht="15.95" customHeight="1">
      <c r="B11" s="59"/>
      <c r="C11" s="59"/>
      <c r="D11" s="59"/>
      <c r="E11" s="59"/>
      <c r="F11" s="59"/>
      <c r="G11" s="59"/>
      <c r="H11" s="492"/>
      <c r="I11" s="492"/>
      <c r="J11" s="492"/>
      <c r="K11" s="492"/>
      <c r="L11" s="492"/>
      <c r="M11" s="492"/>
      <c r="N11" s="492"/>
      <c r="O11" s="492"/>
      <c r="P11" s="59"/>
      <c r="Q11" s="59"/>
      <c r="R11" s="831" t="s">
        <v>68</v>
      </c>
      <c r="S11" s="831"/>
      <c r="T11" s="831"/>
      <c r="U11" s="831"/>
      <c r="V11" s="831" t="s">
        <v>69</v>
      </c>
      <c r="W11" s="831"/>
      <c r="X11" s="831"/>
      <c r="Y11" s="831"/>
      <c r="Z11" s="831" t="s">
        <v>70</v>
      </c>
      <c r="AA11" s="831"/>
      <c r="AB11" s="831"/>
      <c r="AC11" s="831"/>
      <c r="AD11" s="59"/>
      <c r="AE11" s="59"/>
      <c r="AF11" s="896" t="s">
        <v>2111</v>
      </c>
      <c r="AG11" s="896"/>
      <c r="AH11" s="896"/>
      <c r="AI11" s="896"/>
      <c r="AJ11" s="59"/>
      <c r="AK11" s="59"/>
      <c r="AL11" s="59"/>
      <c r="AM11" s="59"/>
      <c r="AN11" s="59"/>
      <c r="AO11" s="59"/>
      <c r="AP11" s="59"/>
      <c r="AQ11" s="59"/>
      <c r="AR11" s="59"/>
    </row>
    <row r="12" spans="2:78" ht="15.95" customHeight="1">
      <c r="B12" s="59"/>
      <c r="C12" s="59"/>
      <c r="D12" s="59"/>
      <c r="E12" s="59"/>
      <c r="F12" s="59"/>
      <c r="G12" s="59"/>
      <c r="H12" s="492"/>
      <c r="I12" s="492"/>
      <c r="J12" s="492"/>
      <c r="K12" s="492"/>
      <c r="L12" s="492"/>
      <c r="M12" s="492"/>
      <c r="N12" s="492"/>
      <c r="O12" s="492"/>
      <c r="P12" s="59"/>
      <c r="Q12" s="59"/>
      <c r="R12" s="875">
        <f>SUM(AO16:AQ35)</f>
        <v>0</v>
      </c>
      <c r="S12" s="875"/>
      <c r="T12" s="875"/>
      <c r="U12" s="875"/>
      <c r="V12" s="875">
        <f>AU200</f>
        <v>0</v>
      </c>
      <c r="W12" s="875"/>
      <c r="X12" s="875"/>
      <c r="Y12" s="875"/>
      <c r="Z12" s="876">
        <f ca="1">SUMIF(AO16:AQ113,"&gt;0",AK16:AN113)</f>
        <v>0</v>
      </c>
      <c r="AA12" s="876"/>
      <c r="AB12" s="876"/>
      <c r="AC12" s="876"/>
      <c r="AD12" s="59"/>
      <c r="AE12" s="59"/>
      <c r="AF12" s="875">
        <f ca="1">IFERROR(IF(AO54="",0,AO54),0)</f>
        <v>0</v>
      </c>
      <c r="AG12" s="875"/>
      <c r="AH12" s="875"/>
      <c r="AI12" s="875"/>
      <c r="AJ12" s="59"/>
      <c r="AK12" s="59"/>
      <c r="AL12" s="59"/>
      <c r="AM12" s="59"/>
      <c r="AN12" s="59"/>
      <c r="AO12" s="59"/>
      <c r="AP12" s="59"/>
      <c r="AQ12" s="59"/>
      <c r="AR12" s="59"/>
    </row>
    <row r="13" spans="2:78" ht="15.95" customHeight="1">
      <c r="B13" s="59"/>
      <c r="C13" s="59"/>
      <c r="D13" s="59"/>
      <c r="E13" s="59"/>
      <c r="F13" s="59"/>
      <c r="G13" s="59"/>
      <c r="H13" s="59"/>
      <c r="I13" s="59"/>
      <c r="J13" s="59"/>
      <c r="K13" s="59"/>
      <c r="L13" s="59"/>
      <c r="M13" s="59"/>
      <c r="N13" s="59"/>
      <c r="O13" s="59"/>
      <c r="P13" s="59"/>
      <c r="Q13" s="59"/>
      <c r="R13" s="875"/>
      <c r="S13" s="875"/>
      <c r="T13" s="875"/>
      <c r="U13" s="875"/>
      <c r="V13" s="875"/>
      <c r="W13" s="875"/>
      <c r="X13" s="875"/>
      <c r="Y13" s="875"/>
      <c r="Z13" s="876"/>
      <c r="AA13" s="876"/>
      <c r="AB13" s="876"/>
      <c r="AC13" s="876"/>
      <c r="AD13" s="59"/>
      <c r="AE13" s="59"/>
      <c r="AF13" s="875"/>
      <c r="AG13" s="875"/>
      <c r="AH13" s="875"/>
      <c r="AI13" s="875"/>
      <c r="AJ13" s="59"/>
      <c r="AK13" s="59"/>
      <c r="AL13" s="59"/>
      <c r="AM13" s="59"/>
      <c r="AN13" s="59"/>
      <c r="AO13" s="59"/>
      <c r="AP13" s="59"/>
      <c r="AQ13" s="59"/>
      <c r="AR13" s="59"/>
    </row>
    <row r="14" spans="2:78" ht="15.95" customHeight="1">
      <c r="B14" s="59"/>
      <c r="C14" s="804" t="s">
        <v>99</v>
      </c>
      <c r="D14" s="804"/>
      <c r="E14" s="804"/>
      <c r="F14" s="804"/>
      <c r="G14" s="804"/>
      <c r="H14" s="804"/>
      <c r="I14" s="804"/>
      <c r="J14" s="970" t="s">
        <v>1645</v>
      </c>
      <c r="K14" s="970"/>
      <c r="L14" s="970"/>
      <c r="M14" s="970"/>
      <c r="N14" s="970"/>
      <c r="O14" s="970"/>
      <c r="P14" s="970"/>
      <c r="Q14" s="970"/>
      <c r="R14" s="970"/>
      <c r="S14" s="970"/>
      <c r="T14" s="970"/>
      <c r="U14" s="970"/>
      <c r="V14" s="696" t="s">
        <v>2222</v>
      </c>
      <c r="W14" s="696"/>
      <c r="X14" s="804" t="s">
        <v>1586</v>
      </c>
      <c r="Y14" s="804"/>
      <c r="Z14" s="804"/>
      <c r="AA14" s="920" t="s">
        <v>1587</v>
      </c>
      <c r="AB14" s="920"/>
      <c r="AC14" s="920"/>
      <c r="AD14" s="920"/>
      <c r="AE14" s="970" t="s">
        <v>1588</v>
      </c>
      <c r="AF14" s="970"/>
      <c r="AG14" s="970"/>
      <c r="AH14" s="970"/>
      <c r="AI14" s="804" t="s">
        <v>93</v>
      </c>
      <c r="AJ14" s="804"/>
      <c r="AK14" s="804" t="s">
        <v>92</v>
      </c>
      <c r="AL14" s="804"/>
      <c r="AM14" s="804"/>
      <c r="AN14" s="804"/>
      <c r="AO14" s="804" t="s">
        <v>1589</v>
      </c>
      <c r="AP14" s="804"/>
      <c r="AQ14" s="804"/>
      <c r="AS14"/>
      <c r="AU14" s="804" t="s">
        <v>196</v>
      </c>
      <c r="AV14" s="804" t="s">
        <v>197</v>
      </c>
      <c r="AW14" s="804" t="s">
        <v>1584</v>
      </c>
      <c r="AX14" s="804" t="s">
        <v>1227</v>
      </c>
      <c r="AY14" s="804" t="s">
        <v>2214</v>
      </c>
      <c r="BC14" s="804" t="s">
        <v>489</v>
      </c>
      <c r="BE14" s="804" t="s">
        <v>2025</v>
      </c>
    </row>
    <row r="15" spans="2:78" ht="15.95" customHeight="1" thickBot="1">
      <c r="B15" s="59"/>
      <c r="C15" s="805"/>
      <c r="D15" s="805"/>
      <c r="E15" s="805"/>
      <c r="F15" s="805"/>
      <c r="G15" s="805"/>
      <c r="H15" s="805"/>
      <c r="I15" s="805"/>
      <c r="J15" s="972" t="s">
        <v>1646</v>
      </c>
      <c r="K15" s="972"/>
      <c r="L15" s="972" t="s">
        <v>1332</v>
      </c>
      <c r="M15" s="972"/>
      <c r="N15" s="973" t="s">
        <v>1590</v>
      </c>
      <c r="O15" s="973"/>
      <c r="P15" s="972" t="s">
        <v>1646</v>
      </c>
      <c r="Q15" s="972"/>
      <c r="R15" s="972" t="s">
        <v>1332</v>
      </c>
      <c r="S15" s="972"/>
      <c r="T15" s="973" t="s">
        <v>1590</v>
      </c>
      <c r="U15" s="973"/>
      <c r="V15" s="976"/>
      <c r="W15" s="976"/>
      <c r="X15" s="805"/>
      <c r="Y15" s="805"/>
      <c r="Z15" s="805"/>
      <c r="AA15" s="921" t="s">
        <v>110</v>
      </c>
      <c r="AB15" s="921"/>
      <c r="AC15" s="921" t="s">
        <v>111</v>
      </c>
      <c r="AD15" s="921"/>
      <c r="AE15" s="971"/>
      <c r="AF15" s="971"/>
      <c r="AG15" s="971"/>
      <c r="AH15" s="971"/>
      <c r="AI15" s="805"/>
      <c r="AJ15" s="805"/>
      <c r="AK15" s="805"/>
      <c r="AL15" s="805"/>
      <c r="AM15" s="805"/>
      <c r="AN15" s="805"/>
      <c r="AO15" s="805"/>
      <c r="AP15" s="805"/>
      <c r="AQ15" s="805"/>
      <c r="AS15"/>
      <c r="AU15" s="805"/>
      <c r="AV15" s="805"/>
      <c r="AW15" s="805"/>
      <c r="AX15" s="805"/>
      <c r="AY15" s="805"/>
      <c r="BC15" s="805"/>
      <c r="BE15" s="805"/>
    </row>
    <row r="16" spans="2:78" ht="15.95" customHeight="1">
      <c r="B16" s="830">
        <v>1</v>
      </c>
      <c r="C16" s="897"/>
      <c r="D16" s="898"/>
      <c r="E16" s="898"/>
      <c r="F16" s="898"/>
      <c r="G16" s="898"/>
      <c r="H16" s="898"/>
      <c r="I16" s="898"/>
      <c r="J16" s="947" t="str">
        <f>IF(C16="","",INDEX(PMEHVAC[Base Desc 1],MATCH(C16,PMEHVAC[Eff Desc 1],0)))</f>
        <v/>
      </c>
      <c r="K16" s="948"/>
      <c r="L16" s="965" t="str">
        <f>IF(C16="","",INDEX(PMEHVAC[Base Desc 2],MATCH(C16,PMEHVAC[Eff Desc 1],0)))</f>
        <v/>
      </c>
      <c r="M16" s="966"/>
      <c r="N16" s="961" t="str">
        <f>IF(ISNUMBER(SEARCH("Thermostat",C16)),"1","")</f>
        <v/>
      </c>
      <c r="O16" s="962"/>
      <c r="P16" s="947" t="str">
        <f>IF(C16="","",INDEX(PMEHVAC[Base Watt],MATCH(C16,PMEHVAC[Eff Desc 1],0)))</f>
        <v/>
      </c>
      <c r="Q16" s="948"/>
      <c r="R16" s="947" t="str">
        <f>IF(C16="","",INDEX(PMEHVAC[Base Watt 2],MATCH(C16,PMEHVAC[Eff Desc 1],0)))</f>
        <v/>
      </c>
      <c r="S16" s="948"/>
      <c r="T16" s="961" t="str">
        <f>IF(ISNUMBER(SEARCH("Thermostat",C16)),"1","")</f>
        <v/>
      </c>
      <c r="U16" s="962"/>
      <c r="V16" s="846"/>
      <c r="W16" s="847"/>
      <c r="X16" s="832"/>
      <c r="Y16" s="833"/>
      <c r="Z16" s="834"/>
      <c r="AA16" s="945"/>
      <c r="AB16" s="937"/>
      <c r="AC16" s="937"/>
      <c r="AD16" s="938"/>
      <c r="AE16" s="941" t="str">
        <f>IF(C16="","",INDEX(PMEHVAC[Unit of Measure],MATCH(C16,PMEHVAC[Eff Desc 1],0)))</f>
        <v/>
      </c>
      <c r="AF16" s="941"/>
      <c r="AG16" s="941"/>
      <c r="AH16" s="942"/>
      <c r="AI16" s="917" t="str">
        <f>IF(OR(C16="",N16="",T16="",V16="",X16="",AA16="",AC16=""),"",INDEX(PMEHVAC[Inc Rate Unit],MATCH(C16,PMEHVAC[Eff Desc 1],0)))</f>
        <v/>
      </c>
      <c r="AJ16" s="918"/>
      <c r="AK16" s="977" t="str">
        <f>IFERROR(IF(OR(C16="",N16="",T16="",V16="",X16="",AA16="",AC16="",),"",IF(AW16&lt;=0,0,AW16)),"")</f>
        <v/>
      </c>
      <c r="AL16" s="978"/>
      <c r="AM16" s="978"/>
      <c r="AN16" s="979"/>
      <c r="AO16" s="951" t="str">
        <f>IFERROR(IF(OR(C16="",N16="",V16="",X16="",T16="",AA16="",AC16=""),"",IF(BC16&lt;&gt;"",BC16,ROUND(IF(AK16&lt;=0,0,IF(AE16="Thermostat",MIN(AU16*1,AI16*V16),IF(AE16="$/0.1 kW/ton 
improvement/ton",MIN(AU16*1,(L16-N16)*10*V16*AI16),MIN(AU16*1,(N16-L16)*V16*AI16)))),2))),"")</f>
        <v/>
      </c>
      <c r="AP16" s="952"/>
      <c r="AQ16" s="953"/>
      <c r="AR16" s="59"/>
      <c r="AU16" s="808" t="str">
        <f>IF(OR(C16="",N16="",T16="",V16="",X16="",AA16="",AE16="",AC16=""),"",IF(AK16="","",ROUND((AA16+AC16),2)))</f>
        <v/>
      </c>
      <c r="AV16" s="922" t="str">
        <f>IF(OR(C16="",N16="",T16="",V16="",X16="",AA16="",AC16="",AE16=""),"",ROUND(IF(ISNUMBER(SEARCH("Unit",AE16)),(V16/12)*(1/((-0.02*N16^2)+(1.12*N16)))*0.177*0.08*0.457,IF(ISNUMBER(SEARCH("kW",AE16)),V16*((R16)-(T16))*INDEX(ENDUSEALL[Lighting Coincidence Factor],MATCH(AX16,ENDUSEALL[End Use],0)),
IF(ISNUMBER(SEARCH("Thermostat",AE16)),INDEX(PMEHVAC[Savings per Unit kW],MATCH(C16,PMEHVAC[Eff Desc 1],0))*V16,
IF(ISNUMBER(SEARCH("IPLV",AE16)),V16*((12/T16)-(12/R16))*INDEX(ENDUSEALL[Lighting Coincidence Factor],MATCH(AX16,ENDUSEALL[End Use],0)),
(V16*12)*((1/L16)-(1/N16))*INDEX(ENDUSEALL[Lighting Coincidence Factor],MATCH(AX16,ENDUSEALL[End Use],0)))))),3))</f>
        <v/>
      </c>
      <c r="AW16" s="974" t="str">
        <f>IFERROR(ROUND(
IF(ISNUMBER(SEARCH("Thermostat",C16)),INDEX(PMEHVAC[Savings per Unit kWh],MATCH(C16,PMEHVAC[Eff Desc 1],0)),
IF(ISNUMBER(SEARCH("Water Cooled Chiller - Centrifugal",C16)),V16*((L16*1.143)-((1/(0.401/N16+0.383/N16+0.179/N16+0.037/N16))))*INDEX(PMEHVAC[EFLHcool],MATCH(C16,PMEHVAC[Eff Desc 1],0)),
IF(ISNUMBER(SEARCH("Water Cooled Chiller - Screw",C16)),V16*((L16*1.178)-((1/(0.401/N16+0.383/N16+0.179/N16+0.037/N16))))*INDEX(PMEHVAC[EFLHcool],MATCH(C16,PMEHVAC[Eff Desc 1],0)),
IF(ISNUMBER(SEARCH("Air Cooled Chiller",C16)),V16*(12/(L16*0.86)-12/(0.401*N16+0.383*N16+0.179*N16+0.037*N16))*INDEX(PMEHVAC[EFLHcool],MATCH(C16,PMEHVAC[Eff Desc 1],0)),
IF(ISNUMBER(SEARCH("DX",C16)),(V16*12)*((1/L16)-(1/N16))*INDEX(PMEHVAC[EFLHcool],MATCH(C16,PMEHVAC[Eff Desc 1],0)),
IF(ISNUMBER(SEARCH("PTAC",C16)),(V16*12)*((1/L16)-(1/N16))*INDEX(PMEHVAC[EFLHcool],MATCH(C16,PMEHVAC[Eff Desc 1],0)),
IF(ISNUMBER(SEARCH("PTHP",C16)),((V16*12)*((1/L16)-(1/N16))*INDEX(PMEHVAC[EFLHcool],MATCH(C16,PMEHVAC[Eff Desc 1],0)))+(((V16*12)/3.412)*((1/R16)-(1/T16))*INDEX(PMEHVAC[EFLHheat],MATCH(C16,PMEHVAC[Eff Desc 1],0))),
IF(OR(ISNUMBER(SEARCH("ASHP",C16)),ISNUMBER(SEARCH("WSHP",C16)),ISNUMBER(SEARCH("Water Source",C16)),ISNUMBER(SEARCH("GSHP",C16))),((V16*12)*((1/L16)-(1/N16))*INDEX(PMEHVAC[EFLHcool],MATCH(C16,PMEHVAC[Eff Desc 1],0)))+(IF(P16="HSPF2",(V16*12),((V16*12)/3.412))*((1/R16)-(1/T16))*INDEX(PMEHVAC[EFLHheat],MATCH(C16,PMEHVAC[Eff Desc 1],0))),
"")))))))),0),"")</f>
        <v/>
      </c>
      <c r="AX16" s="922" t="str">
        <f>IF(OR(C16="",N16="",T16="",V16="",X16="",AA16="",AE16="",AC16=""),"",INDEX(PMEHVAC[End Use Category],MATCH(C16,PMEHVAC[Eff Desc 1],0)))</f>
        <v/>
      </c>
      <c r="AY16" s="900" t="str">
        <f>IF(OR(C16="",N16="",T16="",V16="",X16="",AA16="",AE16="",AC16=""),"",INDEX(PMEHVAC[Therms],MATCH(C16,PMEHVAC[Eff Desc 1],0)))</f>
        <v/>
      </c>
      <c r="AZ16"/>
      <c r="BA16"/>
      <c r="BB16"/>
      <c r="BC16" s="825" t="str">
        <f>IFERROR(IF(OR(C16="",N16="",V16="",X16="",T16="",AA16="",AC16=""),"",IF(OR(ISBLANK(M02S02F26),ISBLANK(M02S02F32),ISBLANK(M02S02F46)),MEASUREBLDG,IF(ISNUMBER(SEARCH("Thermostat",C16)),"",
IF(ISNUMBER(SEARCH("Water Cooled",C16)),IF(N16&gt;=L16,"Must Improve Efficiency",""),IF(N16&lt;=L16,"Must Improve Efficiency",""))))),"")</f>
        <v/>
      </c>
      <c r="BD16"/>
      <c r="BE16" s="806" t="str">
        <f ca="1">IF(OR(N16="",T16="",C16="",V16="",X16="",AA16="",AE16="",AC16=""),"",IF('M01-S01'!$V$82&lt;TODAY(),0,IF(M02S02F46="Gas Only",0,IF(OR(AK16="",AK16&lt;0,AU16&lt;=AO16),0,MIN(AU16-AO16,ROUND(AO16*0.2,2))))))</f>
        <v/>
      </c>
      <c r="BF16"/>
      <c r="BG16"/>
      <c r="BH16"/>
      <c r="BI16"/>
      <c r="BJ16"/>
      <c r="BK16"/>
      <c r="BL16"/>
      <c r="BM16"/>
      <c r="BN16"/>
      <c r="BO16"/>
      <c r="BP16"/>
      <c r="BQ16"/>
      <c r="BR16"/>
      <c r="BS16"/>
      <c r="BT16"/>
      <c r="BU16"/>
      <c r="BV16"/>
      <c r="BW16"/>
      <c r="BX16"/>
      <c r="BY16"/>
      <c r="BZ16"/>
    </row>
    <row r="17" spans="2:59" customFormat="1" ht="15.95" customHeight="1">
      <c r="B17" s="830"/>
      <c r="C17" s="835"/>
      <c r="D17" s="836"/>
      <c r="E17" s="836"/>
      <c r="F17" s="836"/>
      <c r="G17" s="836"/>
      <c r="H17" s="836"/>
      <c r="I17" s="836"/>
      <c r="J17" s="949"/>
      <c r="K17" s="950"/>
      <c r="L17" s="967"/>
      <c r="M17" s="968"/>
      <c r="N17" s="963"/>
      <c r="O17" s="964"/>
      <c r="P17" s="949"/>
      <c r="Q17" s="950"/>
      <c r="R17" s="949"/>
      <c r="S17" s="950"/>
      <c r="T17" s="963"/>
      <c r="U17" s="964"/>
      <c r="V17" s="848"/>
      <c r="W17" s="849"/>
      <c r="X17" s="835"/>
      <c r="Y17" s="836"/>
      <c r="Z17" s="837"/>
      <c r="AA17" s="946"/>
      <c r="AB17" s="939"/>
      <c r="AC17" s="939"/>
      <c r="AD17" s="940"/>
      <c r="AE17" s="943"/>
      <c r="AF17" s="943"/>
      <c r="AG17" s="943"/>
      <c r="AH17" s="944"/>
      <c r="AI17" s="919"/>
      <c r="AJ17" s="865"/>
      <c r="AK17" s="906"/>
      <c r="AL17" s="907"/>
      <c r="AM17" s="907"/>
      <c r="AN17" s="936"/>
      <c r="AO17" s="954"/>
      <c r="AP17" s="955"/>
      <c r="AQ17" s="956"/>
      <c r="AR17" s="59"/>
      <c r="AS17" s="59"/>
      <c r="AT17" s="59"/>
      <c r="AU17" s="809"/>
      <c r="AV17" s="901"/>
      <c r="AW17" s="975"/>
      <c r="AX17" s="901"/>
      <c r="AY17" s="901"/>
      <c r="BC17" s="826"/>
      <c r="BE17" s="807"/>
    </row>
    <row r="18" spans="2:59" customFormat="1" ht="15.95" customHeight="1">
      <c r="B18" s="829">
        <v>2</v>
      </c>
      <c r="C18" s="866"/>
      <c r="D18" s="867"/>
      <c r="E18" s="867"/>
      <c r="F18" s="867"/>
      <c r="G18" s="867"/>
      <c r="H18" s="867"/>
      <c r="I18" s="867"/>
      <c r="J18" s="947" t="str">
        <f>IF(C18="","",INDEX(PMEHVAC[Base Desc 1],MATCH(C18,PMEHVAC[Eff Desc 1],0)))</f>
        <v/>
      </c>
      <c r="K18" s="948"/>
      <c r="L18" s="965" t="str">
        <f>IF(C18="","",INDEX(PMEHVAC[Base Desc 2],MATCH(C18,PMEHVAC[Eff Desc 1],0)))</f>
        <v/>
      </c>
      <c r="M18" s="966"/>
      <c r="N18" s="961" t="str">
        <f t="shared" ref="N18" si="0">IF(ISNUMBER(SEARCH("Thermostat",C18)),"1","")</f>
        <v/>
      </c>
      <c r="O18" s="962"/>
      <c r="P18" s="947" t="str">
        <f>IF(C18="","",INDEX(PMEHVAC[Base Watt],MATCH(C18,PMEHVAC[Eff Desc 1],0)))</f>
        <v/>
      </c>
      <c r="Q18" s="948"/>
      <c r="R18" s="947" t="str">
        <f>IF(C18="","",INDEX(PMEHVAC[Base Watt 2],MATCH(C18,PMEHVAC[Eff Desc 1],0)))</f>
        <v/>
      </c>
      <c r="S18" s="948"/>
      <c r="T18" s="961" t="str">
        <f t="shared" ref="T18" si="1">IF(ISNUMBER(SEARCH("Thermostat",C18)),"1","")</f>
        <v/>
      </c>
      <c r="U18" s="962"/>
      <c r="V18" s="846"/>
      <c r="W18" s="847"/>
      <c r="X18" s="832"/>
      <c r="Y18" s="833"/>
      <c r="Z18" s="834"/>
      <c r="AA18" s="945"/>
      <c r="AB18" s="937"/>
      <c r="AC18" s="937"/>
      <c r="AD18" s="938"/>
      <c r="AE18" s="941" t="str">
        <f>IF(C18="","",INDEX(PMEHVAC[Unit of Measure],MATCH(C18,PMEHVAC[Eff Desc 1],0)))</f>
        <v/>
      </c>
      <c r="AF18" s="941"/>
      <c r="AG18" s="941"/>
      <c r="AH18" s="942"/>
      <c r="AI18" s="917" t="str">
        <f>IF(OR(C18="",N18="",T18="",V18="",X18="",AA18="",AC18=""),"",INDEX(PMEHVAC[Inc Rate Unit],MATCH(C18,PMEHVAC[Eff Desc 1],0)))</f>
        <v/>
      </c>
      <c r="AJ18" s="918"/>
      <c r="AK18" s="933" t="str">
        <f>IFERROR(IF(OR(C18="",N18="",T18="",V18="",X18="",AA18="",AC18="",),"",IF(AW18&lt;=0,0,AW18)),"")</f>
        <v/>
      </c>
      <c r="AL18" s="934"/>
      <c r="AM18" s="934"/>
      <c r="AN18" s="935"/>
      <c r="AO18" s="951" t="str">
        <f t="shared" ref="AO18" si="2">IFERROR(IF(OR(C18="",N18="",V18="",X18="",T18="",AA18="",AC18=""),"",IF(BC18&lt;&gt;"",BC18,ROUND(IF(AK18&lt;=0,0,IF(AE18="Thermostat",MIN(AU18*1,AI18*V18),IF(AE18="$/0.1 kW/ton 
improvement/ton",MIN(AU18*1,(L18-N18)*10*V18*AI18),MIN(AU18*1,(N18-L18)*V18*AI18)))),2))),"")</f>
        <v/>
      </c>
      <c r="AP18" s="952"/>
      <c r="AQ18" s="953"/>
      <c r="AR18" s="59"/>
      <c r="AS18" s="59"/>
      <c r="AT18" s="59"/>
      <c r="AU18" s="808" t="str">
        <f t="shared" ref="AU18" si="3">IF(OR(C18="",N18="",T18="",V18="",X18="",AA18="",AE18="",AC18=""),"",IF(AK18="","",ROUND((AA18+AC18),2)))</f>
        <v/>
      </c>
      <c r="AV18" s="922" t="str">
        <f>IF(OR(C18="",N18="",T18="",V18="",X18="",AA18="",AC18="",AE18=""),"",ROUND(IF(ISNUMBER(SEARCH("Unit",AE18)),(V18/12)*(1/((-0.02*N18^2)+(1.12*N18)))*0.177*0.08*0.457,IF(ISNUMBER(SEARCH("kW",AE18)),V18*((R18)-(T18))*INDEX(ENDUSEALL[Lighting Coincidence Factor],MATCH(AX18,ENDUSEALL[End Use],0)),
IF(ISNUMBER(SEARCH("Thermostat",AE18)),INDEX(PMEHVAC[Savings per Unit kW],MATCH(C18,PMEHVAC[Eff Desc 1],0))*V18,
IF(ISNUMBER(SEARCH("IPLV",AE18)),V18*((R18)-(T18))*INDEX(ENDUSEALL[Lighting Coincidence Factor],MATCH(AX18,ENDUSEALL[End Use],0)),
(V18*12)*((1/L18)-(1/N18))*INDEX(ENDUSEALL[Lighting Coincidence Factor],MATCH(AX18,ENDUSEALL[End Use],0)))))),3))</f>
        <v/>
      </c>
      <c r="AW18" s="974" t="str">
        <f>IFERROR(ROUND(
IF(ISNUMBER(SEARCH("Thermostat",C18)),INDEX(PMEHVAC[Savings per Unit kWh],MATCH(C18,PMEHVAC[Eff Desc 1],0)),
IF(ISNUMBER(SEARCH("Water Cooled Chiller - Centrifugal",C18)),V18*((L18*1.143)-((1/(0.401/N18+0.383/N18+0.179/N18+0.037/N18))))*INDEX(PMEHVAC[EFLHcool],MATCH(C18,PMEHVAC[Eff Desc 1],0)),
IF(ISNUMBER(SEARCH("Water Cooled Chiller - Screw",C18)),V18*((L18*1.178)-((1/(0.401/N18+0.383/N18+0.179/N18+0.037/N18))))*INDEX(PMEHVAC[EFLHcool],MATCH(C18,PMEHVAC[Eff Desc 1],0)),
IF(ISNUMBER(SEARCH("Air Cooled Chiller",C18)),V18*(12/(L18*0.86)-12/(0.401*N18+0.383*N18+0.179*N18+0.037*N18))*INDEX(PMEHVAC[EFLHcool],MATCH(C18,PMEHVAC[Eff Desc 1],0)),
IF(ISNUMBER(SEARCH("DX",C18)),(V18*12)*((1/L18)-(1/N18))*INDEX(PMEHVAC[EFLHcool],MATCH(C18,PMEHVAC[Eff Desc 1],0)),
IF(ISNUMBER(SEARCH("PTAC",C18)),(V18*12)*((1/L18)-(1/N18))*INDEX(PMEHVAC[EFLHcool],MATCH(C18,PMEHVAC[Eff Desc 1],0)),
IF(ISNUMBER(SEARCH("PTHP",C18)),((V18*12)*((1/L18)-(1/N18))*INDEX(PMEHVAC[EFLHcool],MATCH(C18,PMEHVAC[Eff Desc 1],0)))+(((V18*12)/3.412)*((1/R18)-(1/T18))*INDEX(PMEHVAC[EFLHheat],MATCH(C18,PMEHVAC[Eff Desc 1],0))),
IF(OR(ISNUMBER(SEARCH("ASHP",C18)),ISNUMBER(SEARCH("WSHP",C18)),ISNUMBER(SEARCH("Water Source",C18)),ISNUMBER(SEARCH("GSHP",C18))),((V18*12)*((1/L18)-(1/N18))*INDEX(PMEHVAC[EFLHcool],MATCH(C18,PMEHVAC[Eff Desc 1],0)))+(IF(P18="HSPF2",(V18*12),((V18*12)/3.412))*((1/R18)-(1/T18))*INDEX(PMEHVAC[EFLHheat],MATCH(C18,PMEHVAC[Eff Desc 1],0))),
"")))))))),0),"")</f>
        <v/>
      </c>
      <c r="AX18" s="922" t="str">
        <f>IF(OR(C18="",N18="",T18="",V18="",X18="",AA18="",AE18="",AC18=""),"",INDEX(PMEHVAC[End Use Category],MATCH(C18,PMEHVAC[Eff Desc 1],0)))</f>
        <v/>
      </c>
      <c r="AY18" s="900" t="str">
        <f>IF(OR(C18="",N18="",T18="",V18="",X18="",AA18="",AE18="",AC18=""),"",INDEX(PMEHVAC[Therms],MATCH(C18,PMEHVAC[Eff Desc 1],0)))</f>
        <v/>
      </c>
      <c r="BC18" s="892" t="str">
        <f>IFERROR(IF(OR(C18="",N18="",V18="",X18="",T18="",AA18="",AC18=""),"",IF(OR(ISBLANK(M02S02F26),ISBLANK(M02S02F32),ISBLANK(M02S02F46)),MEASUREBLDG,IF(ISNUMBER(SEARCH("Thermostat",C18)),"",
IF(ISNUMBER(SEARCH("Water Cooled",C18)),IF(N18&gt;=L18,"Must Improve Efficiency",""),IF(N18&lt;=L18,"Must Improve Efficiency",""))))),"")</f>
        <v/>
      </c>
      <c r="BE18" s="806" t="str">
        <f ca="1">IF(OR(N18="",T18="",C18="",V18="",X18="",AA18="",AE18="",AC18=""),"",IF('M01-S01'!$V$82&lt;TODAY(),0,IF(M02S02F46="Gas Only",0,IF(OR(AK18="",AK18&lt;0,AU18&lt;=AO18),0,MIN(AU18-AO18,ROUND(AO18*0.2,2))))))</f>
        <v/>
      </c>
    </row>
    <row r="19" spans="2:59" customFormat="1" ht="15.95" customHeight="1">
      <c r="B19" s="829"/>
      <c r="C19" s="835"/>
      <c r="D19" s="836"/>
      <c r="E19" s="836"/>
      <c r="F19" s="836"/>
      <c r="G19" s="836"/>
      <c r="H19" s="836"/>
      <c r="I19" s="836"/>
      <c r="J19" s="949"/>
      <c r="K19" s="950"/>
      <c r="L19" s="967"/>
      <c r="M19" s="968"/>
      <c r="N19" s="963"/>
      <c r="O19" s="964"/>
      <c r="P19" s="949"/>
      <c r="Q19" s="950"/>
      <c r="R19" s="949"/>
      <c r="S19" s="950"/>
      <c r="T19" s="963"/>
      <c r="U19" s="964"/>
      <c r="V19" s="848"/>
      <c r="W19" s="849"/>
      <c r="X19" s="835"/>
      <c r="Y19" s="836"/>
      <c r="Z19" s="837"/>
      <c r="AA19" s="946"/>
      <c r="AB19" s="939"/>
      <c r="AC19" s="939"/>
      <c r="AD19" s="940"/>
      <c r="AE19" s="943"/>
      <c r="AF19" s="943"/>
      <c r="AG19" s="943"/>
      <c r="AH19" s="944"/>
      <c r="AI19" s="919"/>
      <c r="AJ19" s="865"/>
      <c r="AK19" s="906"/>
      <c r="AL19" s="907"/>
      <c r="AM19" s="907"/>
      <c r="AN19" s="936"/>
      <c r="AO19" s="954"/>
      <c r="AP19" s="955"/>
      <c r="AQ19" s="956"/>
      <c r="AR19" s="59"/>
      <c r="AS19" s="59"/>
      <c r="AT19" s="59"/>
      <c r="AU19" s="809"/>
      <c r="AV19" s="901"/>
      <c r="AW19" s="975"/>
      <c r="AX19" s="901"/>
      <c r="AY19" s="901"/>
      <c r="BC19" s="826"/>
      <c r="BE19" s="807"/>
    </row>
    <row r="20" spans="2:59" customFormat="1" ht="15.95" customHeight="1">
      <c r="B20" s="829">
        <v>3</v>
      </c>
      <c r="C20" s="866"/>
      <c r="D20" s="867"/>
      <c r="E20" s="867"/>
      <c r="F20" s="867"/>
      <c r="G20" s="867"/>
      <c r="H20" s="867"/>
      <c r="I20" s="867"/>
      <c r="J20" s="947" t="str">
        <f>IF(C20="","",INDEX(PMEHVAC[Base Desc 1],MATCH(C20,PMEHVAC[Eff Desc 1],0)))</f>
        <v/>
      </c>
      <c r="K20" s="948"/>
      <c r="L20" s="965" t="str">
        <f>IF(C20="","",INDEX(PMEHVAC[Base Desc 2],MATCH(C20,PMEHVAC[Eff Desc 1],0)))</f>
        <v/>
      </c>
      <c r="M20" s="966"/>
      <c r="N20" s="961" t="str">
        <f t="shared" ref="N20" si="4">IF(ISNUMBER(SEARCH("Thermostat",C20)),"1","")</f>
        <v/>
      </c>
      <c r="O20" s="962"/>
      <c r="P20" s="947" t="str">
        <f>IF(C20="","",INDEX(PMEHVAC[Base Watt],MATCH(C20,PMEHVAC[Eff Desc 1],0)))</f>
        <v/>
      </c>
      <c r="Q20" s="948"/>
      <c r="R20" s="947" t="str">
        <f>IF(C20="","",INDEX(PMEHVAC[Base Watt 2],MATCH(C20,PMEHVAC[Eff Desc 1],0)))</f>
        <v/>
      </c>
      <c r="S20" s="948"/>
      <c r="T20" s="961" t="str">
        <f t="shared" ref="T20" si="5">IF(ISNUMBER(SEARCH("Thermostat",C20)),"1","")</f>
        <v/>
      </c>
      <c r="U20" s="962"/>
      <c r="V20" s="846"/>
      <c r="W20" s="847"/>
      <c r="X20" s="832"/>
      <c r="Y20" s="833"/>
      <c r="Z20" s="834"/>
      <c r="AA20" s="945"/>
      <c r="AB20" s="937"/>
      <c r="AC20" s="937"/>
      <c r="AD20" s="938"/>
      <c r="AE20" s="941" t="str">
        <f>IF(C20="","",INDEX(PMEHVAC[Unit of Measure],MATCH(C20,PMEHVAC[Eff Desc 1],0)))</f>
        <v/>
      </c>
      <c r="AF20" s="941"/>
      <c r="AG20" s="941"/>
      <c r="AH20" s="942"/>
      <c r="AI20" s="917" t="str">
        <f>IF(OR(C20="",N20="",T20="",V20="",X20="",AA20="",AC20=""),"",INDEX(PMEHVAC[Inc Rate Unit],MATCH(C20,PMEHVAC[Eff Desc 1],0)))</f>
        <v/>
      </c>
      <c r="AJ20" s="918"/>
      <c r="AK20" s="904" t="str">
        <f t="shared" ref="AK20" si="6">IFERROR(IF(OR(C20="",N20="",T20="",V20="",X20="",AA20="",AC20="",),"",IF(AW20&lt;=0,0,AW20)),"")</f>
        <v/>
      </c>
      <c r="AL20" s="905"/>
      <c r="AM20" s="905"/>
      <c r="AN20" s="969"/>
      <c r="AO20" s="951" t="str">
        <f t="shared" ref="AO20" si="7">IFERROR(IF(OR(C20="",N20="",V20="",X20="",T20="",AA20="",AC20=""),"",IF(BC20&lt;&gt;"",BC20,ROUND(IF(AK20&lt;=0,0,IF(AE20="Thermostat",MIN(AU20*1,AI20*V20),IF(AE20="$/0.1 kW/ton 
improvement/ton",MIN(AU20*1,(L20-N20)*10*V20*AI20),MIN(AU20*1,(N20-L20)*V20*AI20)))),2))),"")</f>
        <v/>
      </c>
      <c r="AP20" s="952"/>
      <c r="AQ20" s="953"/>
      <c r="AR20" s="59"/>
      <c r="AS20" s="59"/>
      <c r="AT20" s="59"/>
      <c r="AU20" s="808" t="str">
        <f t="shared" ref="AU20" si="8">IF(OR(C20="",N20="",T20="",V20="",X20="",AA20="",AE20="",AC20=""),"",IF(AK20="","",ROUND((AA20+AC20),2)))</f>
        <v/>
      </c>
      <c r="AV20" s="922" t="str">
        <f>IF(OR(C20="",N20="",T20="",V20="",X20="",AA20="",AC20="",AE20=""),"",ROUND(IF(ISNUMBER(SEARCH("Unit",AE20)),(V20/12)*(1/((-0.02*N20^2)+(1.12*N20)))*0.177*0.08*0.457,IF(ISNUMBER(SEARCH("kW",AE20)),V20*((R20)-(T20))*INDEX(ENDUSEALL[Lighting Coincidence Factor],MATCH(AX20,ENDUSEALL[End Use],0)),
IF(ISNUMBER(SEARCH("Thermostat",AE20)),INDEX(PMEHVAC[Savings per Unit kW],MATCH(C20,PMEHVAC[Eff Desc 1],0))*V20,
IF(ISNUMBER(SEARCH("IPLV",AE20)),V20*((R20)-(T20))*INDEX(ENDUSEALL[Lighting Coincidence Factor],MATCH(AX20,ENDUSEALL[End Use],0)),
(V20*12)*((1/L20)-(1/N20))*INDEX(ENDUSEALL[Lighting Coincidence Factor],MATCH(AX20,ENDUSEALL[End Use],0)))))),3))</f>
        <v/>
      </c>
      <c r="AW20" s="974" t="str">
        <f>IFERROR(ROUND(
IF(ISNUMBER(SEARCH("Thermostat",C20)),INDEX(PMEHVAC[Savings per Unit kWh],MATCH(C20,PMEHVAC[Eff Desc 1],0)),
IF(ISNUMBER(SEARCH("Water Cooled Chiller - Centrifugal",C20)),V20*((L20*1.143)-((1/(0.401/N20+0.383/N20+0.179/N20+0.037/N20))))*INDEX(PMEHVAC[EFLHcool],MATCH(C20,PMEHVAC[Eff Desc 1],0)),
IF(ISNUMBER(SEARCH("Water Cooled Chiller - Screw",C20)),V20*((L20*1.178)-((1/(0.401/N20+0.383/N20+0.179/N20+0.037/N20))))*INDEX(PMEHVAC[EFLHcool],MATCH(C20,PMEHVAC[Eff Desc 1],0)),
IF(ISNUMBER(SEARCH("Air Cooled Chiller",C20)),V20*(12/(L20*0.86)-12/(0.401*N20+0.383*N20+0.179*N20+0.037*N20))*INDEX(PMEHVAC[EFLHcool],MATCH(C20,PMEHVAC[Eff Desc 1],0)),
IF(ISNUMBER(SEARCH("DX",C20)),(V20*12)*((1/L20)-(1/N20))*INDEX(PMEHVAC[EFLHcool],MATCH(C20,PMEHVAC[Eff Desc 1],0)),
IF(ISNUMBER(SEARCH("PTAC",C20)),(V20*12)*((1/L20)-(1/N20))*INDEX(PMEHVAC[EFLHcool],MATCH(C20,PMEHVAC[Eff Desc 1],0)),
IF(ISNUMBER(SEARCH("PTHP",C20)),((V20*12)*((1/L20)-(1/N20))*INDEX(PMEHVAC[EFLHcool],MATCH(C20,PMEHVAC[Eff Desc 1],0)))+(((V20*12)/3.412)*((1/R20)-(1/T20))*INDEX(PMEHVAC[EFLHheat],MATCH(C20,PMEHVAC[Eff Desc 1],0))),
IF(OR(ISNUMBER(SEARCH("ASHP",C20)),ISNUMBER(SEARCH("WSHP",C20)),ISNUMBER(SEARCH("Water Source",C20)),ISNUMBER(SEARCH("GSHP",C20))),((V20*12)*((1/L20)-(1/N20))*INDEX(PMEHVAC[EFLHcool],MATCH(C20,PMEHVAC[Eff Desc 1],0)))+(IF(P20="HSPF2",(V20*12),((V20*12)/3.412))*((1/R20)-(1/T20))*INDEX(PMEHVAC[EFLHheat],MATCH(C20,PMEHVAC[Eff Desc 1],0))),
"")))))))),0),"")</f>
        <v/>
      </c>
      <c r="AX20" s="922" t="str">
        <f>IF(OR(C20="",N20="",T20="",V20="",X20="",AA20="",AE20="",AC20=""),"",INDEX(PMEHVAC[End Use Category],MATCH(C20,PMEHVAC[Eff Desc 1],0)))</f>
        <v/>
      </c>
      <c r="AY20" s="900" t="str">
        <f>IF(OR(C20="",N20="",T20="",V20="",X20="",AA20="",AE20="",AC20=""),"",INDEX(PMEHVAC[Therms],MATCH(C20,PMEHVAC[Eff Desc 1],0)))</f>
        <v/>
      </c>
      <c r="BC20" s="892" t="str">
        <f>IFERROR(IF(OR(C20="",N20="",V20="",X20="",T20="",AA20="",AC20=""),"",IF(OR(ISBLANK(M02S02F26),ISBLANK(M02S02F32),ISBLANK(M02S02F46)),MEASUREBLDG,IF(ISNUMBER(SEARCH("Thermostat",C20)),"",
IF(ISNUMBER(SEARCH("Water Cooled",C20)),IF(N20&gt;=L20,"Must Improve Efficiency",""),IF(N20&lt;=L20,"Must Improve Efficiency",""))))),"")</f>
        <v/>
      </c>
      <c r="BE20" s="806" t="str">
        <f ca="1">IF(OR(N20="",T20="",C20="",V20="",X20="",AA20="",AE20="",AC20=""),"",IF('M01-S01'!$V$82&lt;TODAY(),0,IF(M02S02F46="Gas Only",0,IF(OR(AK20="",AK20&lt;0,AU20&lt;=AO20),0,MIN(AU20-AO20,ROUND(AO20*0.2,2))))))</f>
        <v/>
      </c>
    </row>
    <row r="21" spans="2:59" customFormat="1" ht="15.95" customHeight="1">
      <c r="B21" s="829"/>
      <c r="C21" s="835"/>
      <c r="D21" s="836"/>
      <c r="E21" s="836"/>
      <c r="F21" s="836"/>
      <c r="G21" s="836"/>
      <c r="H21" s="836"/>
      <c r="I21" s="836"/>
      <c r="J21" s="949"/>
      <c r="K21" s="950"/>
      <c r="L21" s="967"/>
      <c r="M21" s="968"/>
      <c r="N21" s="963"/>
      <c r="O21" s="964"/>
      <c r="P21" s="949"/>
      <c r="Q21" s="950"/>
      <c r="R21" s="949"/>
      <c r="S21" s="950"/>
      <c r="T21" s="963"/>
      <c r="U21" s="964"/>
      <c r="V21" s="848"/>
      <c r="W21" s="849"/>
      <c r="X21" s="835"/>
      <c r="Y21" s="836"/>
      <c r="Z21" s="837"/>
      <c r="AA21" s="946"/>
      <c r="AB21" s="939"/>
      <c r="AC21" s="939"/>
      <c r="AD21" s="940"/>
      <c r="AE21" s="943"/>
      <c r="AF21" s="943"/>
      <c r="AG21" s="943"/>
      <c r="AH21" s="944"/>
      <c r="AI21" s="919"/>
      <c r="AJ21" s="865"/>
      <c r="AK21" s="906"/>
      <c r="AL21" s="907"/>
      <c r="AM21" s="907"/>
      <c r="AN21" s="936"/>
      <c r="AO21" s="954"/>
      <c r="AP21" s="955"/>
      <c r="AQ21" s="956"/>
      <c r="AR21" s="59"/>
      <c r="AS21" s="59"/>
      <c r="AT21" s="59"/>
      <c r="AU21" s="809"/>
      <c r="AV21" s="901"/>
      <c r="AW21" s="975"/>
      <c r="AX21" s="901"/>
      <c r="AY21" s="901"/>
      <c r="BC21" s="826"/>
      <c r="BE21" s="807"/>
    </row>
    <row r="22" spans="2:59" customFormat="1" ht="15.95" customHeight="1">
      <c r="B22" s="829">
        <v>4</v>
      </c>
      <c r="C22" s="866"/>
      <c r="D22" s="867"/>
      <c r="E22" s="867"/>
      <c r="F22" s="867"/>
      <c r="G22" s="867"/>
      <c r="H22" s="867"/>
      <c r="I22" s="867"/>
      <c r="J22" s="947" t="str">
        <f>IF(C22="","",INDEX(PMEHVAC[Base Desc 1],MATCH(C22,PMEHVAC[Eff Desc 1],0)))</f>
        <v/>
      </c>
      <c r="K22" s="948"/>
      <c r="L22" s="965" t="str">
        <f>IF(C22="","",INDEX(PMEHVAC[Base Desc 2],MATCH(C22,PMEHVAC[Eff Desc 1],0)))</f>
        <v/>
      </c>
      <c r="M22" s="966"/>
      <c r="N22" s="961" t="str">
        <f t="shared" ref="N22" si="9">IF(ISNUMBER(SEARCH("Thermostat",C22)),"1","")</f>
        <v/>
      </c>
      <c r="O22" s="962"/>
      <c r="P22" s="947" t="str">
        <f>IF(C22="","",INDEX(PMEHVAC[Base Watt],MATCH(C22,PMEHVAC[Eff Desc 1],0)))</f>
        <v/>
      </c>
      <c r="Q22" s="948"/>
      <c r="R22" s="947" t="str">
        <f>IF(C22="","",INDEX(PMEHVAC[Base Watt 2],MATCH(C22,PMEHVAC[Eff Desc 1],0)))</f>
        <v/>
      </c>
      <c r="S22" s="948"/>
      <c r="T22" s="961" t="str">
        <f t="shared" ref="T22" si="10">IF(ISNUMBER(SEARCH("Thermostat",C22)),"1","")</f>
        <v/>
      </c>
      <c r="U22" s="962"/>
      <c r="V22" s="846"/>
      <c r="W22" s="847"/>
      <c r="X22" s="832"/>
      <c r="Y22" s="833"/>
      <c r="Z22" s="834"/>
      <c r="AA22" s="945"/>
      <c r="AB22" s="937"/>
      <c r="AC22" s="937"/>
      <c r="AD22" s="938"/>
      <c r="AE22" s="941" t="str">
        <f>IF(C22="","",INDEX(PMEHVAC[Unit of Measure],MATCH(C22,PMEHVAC[Eff Desc 1],0)))</f>
        <v/>
      </c>
      <c r="AF22" s="941"/>
      <c r="AG22" s="941"/>
      <c r="AH22" s="942"/>
      <c r="AI22" s="917" t="str">
        <f>IF(OR(C22="",N22="",T22="",V22="",X22="",AA22="",AC22=""),"",INDEX(PMEHVAC[Inc Rate Unit],MATCH(C22,PMEHVAC[Eff Desc 1],0)))</f>
        <v/>
      </c>
      <c r="AJ22" s="918"/>
      <c r="AK22" s="904" t="str">
        <f t="shared" ref="AK22" si="11">IFERROR(IF(OR(C22="",N22="",T22="",V22="",X22="",AA22="",AC22="",),"",IF(AW22&lt;=0,0,AW22)),"")</f>
        <v/>
      </c>
      <c r="AL22" s="905"/>
      <c r="AM22" s="905"/>
      <c r="AN22" s="969"/>
      <c r="AO22" s="951" t="str">
        <f t="shared" ref="AO22" si="12">IFERROR(IF(OR(C22="",N22="",V22="",X22="",T22="",AA22="",AC22=""),"",IF(BC22&lt;&gt;"",BC22,ROUND(IF(AK22&lt;=0,0,IF(AE22="Thermostat",MIN(AU22*1,AI22*V22),IF(AE22="$/0.1 kW/ton 
improvement/ton",MIN(AU22*1,(L22-N22)*10*V22*AI22),MIN(AU22*1,(N22-L22)*V22*AI22)))),2))),"")</f>
        <v/>
      </c>
      <c r="AP22" s="952"/>
      <c r="AQ22" s="953"/>
      <c r="AR22" s="59"/>
      <c r="AS22" s="59"/>
      <c r="AT22" s="59"/>
      <c r="AU22" s="808" t="str">
        <f t="shared" ref="AU22" si="13">IF(OR(C22="",N22="",T22="",V22="",X22="",AA22="",AE22="",AC22=""),"",IF(AK22="","",ROUND((AA22+AC22),2)))</f>
        <v/>
      </c>
      <c r="AV22" s="922" t="str">
        <f>IF(OR(C22="",N22="",T22="",V22="",X22="",AA22="",AC22="",AE22=""),"",ROUND(IF(ISNUMBER(SEARCH("Unit",AE22)),(V22/12)*(1/((-0.02*N22^2)+(1.12*N22)))*0.177*0.08*0.457,IF(ISNUMBER(SEARCH("kW",AE22)),V22*((R22)-(T22))*INDEX(ENDUSEALL[Lighting Coincidence Factor],MATCH(AX22,ENDUSEALL[End Use],0)),
IF(ISNUMBER(SEARCH("Thermostat",AE22)),INDEX(PMEHVAC[Savings per Unit kW],MATCH(C22,PMEHVAC[Eff Desc 1],0))*V22,
IF(ISNUMBER(SEARCH("IPLV",AE22)),V22*((R22)-(T22))*INDEX(ENDUSEALL[Lighting Coincidence Factor],MATCH(AX22,ENDUSEALL[End Use],0)),
(V22*12)*((1/L22)-(1/N22))*INDEX(ENDUSEALL[Lighting Coincidence Factor],MATCH(AX22,ENDUSEALL[End Use],0)))))),3))</f>
        <v/>
      </c>
      <c r="AW22" s="974" t="str">
        <f>IFERROR(ROUND(
IF(ISNUMBER(SEARCH("Thermostat",C22)),INDEX(PMEHVAC[Savings per Unit kWh],MATCH(C22,PMEHVAC[Eff Desc 1],0)),
IF(ISNUMBER(SEARCH("Water Cooled Chiller - Centrifugal",C22)),V22*((L22*1.143)-((1/(0.401/N22+0.383/N22+0.179/N22+0.037/N22))))*INDEX(PMEHVAC[EFLHcool],MATCH(C22,PMEHVAC[Eff Desc 1],0)),
IF(ISNUMBER(SEARCH("Water Cooled Chiller - Screw",C22)),V22*((L22*1.178)-((1/(0.401/N22+0.383/N22+0.179/N22+0.037/N22))))*INDEX(PMEHVAC[EFLHcool],MATCH(C22,PMEHVAC[Eff Desc 1],0)),
IF(ISNUMBER(SEARCH("Air Cooled Chiller",C22)),V22*(12/(L22*0.86)-12/(0.401*N22+0.383*N22+0.179*N22+0.037*N22))*INDEX(PMEHVAC[EFLHcool],MATCH(C22,PMEHVAC[Eff Desc 1],0)),
IF(ISNUMBER(SEARCH("DX",C22)),(V22*12)*((1/L22)-(1/N22))*INDEX(PMEHVAC[EFLHcool],MATCH(C22,PMEHVAC[Eff Desc 1],0)),
IF(ISNUMBER(SEARCH("PTAC",C22)),(V22*12)*((1/L22)-(1/N22))*INDEX(PMEHVAC[EFLHcool],MATCH(C22,PMEHVAC[Eff Desc 1],0)),
IF(ISNUMBER(SEARCH("PTHP",C22)),((V22*12)*((1/L22)-(1/N22))*INDEX(PMEHVAC[EFLHcool],MATCH(C22,PMEHVAC[Eff Desc 1],0)))+(((V22*12)/3.412)*((1/R22)-(1/T22))*INDEX(PMEHVAC[EFLHheat],MATCH(C22,PMEHVAC[Eff Desc 1],0))),
IF(OR(ISNUMBER(SEARCH("ASHP",C22)),ISNUMBER(SEARCH("WSHP",C22)),ISNUMBER(SEARCH("Water Source",C22)),ISNUMBER(SEARCH("GSHP",C22))),((V22*12)*((1/L22)-(1/N22))*INDEX(PMEHVAC[EFLHcool],MATCH(C22,PMEHVAC[Eff Desc 1],0)))+(IF(P22="HSPF2",(V22*12),((V22*12)/3.412))*((1/R22)-(1/T22))*INDEX(PMEHVAC[EFLHheat],MATCH(C22,PMEHVAC[Eff Desc 1],0))),
"")))))))),0),"")</f>
        <v/>
      </c>
      <c r="AX22" s="922" t="str">
        <f>IF(OR(C22="",N22="",T22="",V22="",X22="",AA22="",AE22="",AC22=""),"",INDEX(PMEHVAC[End Use Category],MATCH(C22,PMEHVAC[Eff Desc 1],0)))</f>
        <v/>
      </c>
      <c r="AY22" s="900" t="str">
        <f>IF(OR(C22="",N22="",T22="",V22="",X22="",AA22="",AE22="",AC22=""),"",INDEX(PMEHVAC[Therms],MATCH(C22,PMEHVAC[Eff Desc 1],0)))</f>
        <v/>
      </c>
      <c r="BC22" s="892" t="str">
        <f>IFERROR(IF(OR(C22="",N22="",V22="",X22="",T22="",AA22="",AC22=""),"",IF(OR(ISBLANK(M02S02F26),ISBLANK(M02S02F32),ISBLANK(M02S02F46)),MEASUREBLDG,IF(ISNUMBER(SEARCH("Thermostat",C22)),"",
IF(ISNUMBER(SEARCH("Water Cooled",C22)),IF(N22&gt;=L22,"Must Improve Efficiency",""),IF(N22&lt;=L22,"Must Improve Efficiency",""))))),"")</f>
        <v/>
      </c>
      <c r="BE22" s="806" t="str">
        <f ca="1">IF(OR(N22="",T22="",C22="",V22="",X22="",AA22="",AE22="",AC22=""),"",IF('M01-S01'!$V$82&lt;TODAY(),0,IF(M02S02F46="Gas Only",0,IF(OR(AK22="",AK22&lt;0,AU22&lt;=AO22),0,MIN(AU22-AO22,ROUND(AO22*0.2,2))))))</f>
        <v/>
      </c>
    </row>
    <row r="23" spans="2:59" customFormat="1" ht="15.95" customHeight="1">
      <c r="B23" s="829"/>
      <c r="C23" s="835"/>
      <c r="D23" s="836"/>
      <c r="E23" s="836"/>
      <c r="F23" s="836"/>
      <c r="G23" s="836"/>
      <c r="H23" s="836"/>
      <c r="I23" s="836"/>
      <c r="J23" s="949"/>
      <c r="K23" s="950"/>
      <c r="L23" s="967"/>
      <c r="M23" s="968"/>
      <c r="N23" s="963"/>
      <c r="O23" s="964"/>
      <c r="P23" s="949"/>
      <c r="Q23" s="950"/>
      <c r="R23" s="949"/>
      <c r="S23" s="950"/>
      <c r="T23" s="963"/>
      <c r="U23" s="964"/>
      <c r="V23" s="848"/>
      <c r="W23" s="849"/>
      <c r="X23" s="835"/>
      <c r="Y23" s="836"/>
      <c r="Z23" s="837"/>
      <c r="AA23" s="946"/>
      <c r="AB23" s="939"/>
      <c r="AC23" s="939"/>
      <c r="AD23" s="940"/>
      <c r="AE23" s="943"/>
      <c r="AF23" s="943"/>
      <c r="AG23" s="943"/>
      <c r="AH23" s="944"/>
      <c r="AI23" s="919"/>
      <c r="AJ23" s="865"/>
      <c r="AK23" s="906"/>
      <c r="AL23" s="907"/>
      <c r="AM23" s="907"/>
      <c r="AN23" s="936"/>
      <c r="AO23" s="954"/>
      <c r="AP23" s="955"/>
      <c r="AQ23" s="956"/>
      <c r="AR23" s="59"/>
      <c r="AS23" s="59"/>
      <c r="AT23" s="59"/>
      <c r="AU23" s="809"/>
      <c r="AV23" s="901"/>
      <c r="AW23" s="975"/>
      <c r="AX23" s="901"/>
      <c r="AY23" s="901"/>
      <c r="BA23" s="414"/>
      <c r="BC23" s="826"/>
      <c r="BE23" s="807"/>
    </row>
    <row r="24" spans="2:59" customFormat="1" ht="15.95" customHeight="1">
      <c r="B24" s="829">
        <v>5</v>
      </c>
      <c r="C24" s="866"/>
      <c r="D24" s="867"/>
      <c r="E24" s="867"/>
      <c r="F24" s="867"/>
      <c r="G24" s="867"/>
      <c r="H24" s="867"/>
      <c r="I24" s="867"/>
      <c r="J24" s="947" t="str">
        <f>IF(C24="","",INDEX(PMEHVAC[Base Desc 1],MATCH(C24,PMEHVAC[Eff Desc 1],0)))</f>
        <v/>
      </c>
      <c r="K24" s="948"/>
      <c r="L24" s="965" t="str">
        <f>IF(C24="","",INDEX(PMEHVAC[Base Desc 2],MATCH(C24,PMEHVAC[Eff Desc 1],0)))</f>
        <v/>
      </c>
      <c r="M24" s="966"/>
      <c r="N24" s="961" t="str">
        <f t="shared" ref="N24" si="14">IF(ISNUMBER(SEARCH("Thermostat",C24)),"1","")</f>
        <v/>
      </c>
      <c r="O24" s="962"/>
      <c r="P24" s="947" t="str">
        <f>IF(C24="","",INDEX(PMEHVAC[Base Watt],MATCH(C24,PMEHVAC[Eff Desc 1],0)))</f>
        <v/>
      </c>
      <c r="Q24" s="948"/>
      <c r="R24" s="947" t="str">
        <f>IF(C24="","",INDEX(PMEHVAC[Base Watt 2],MATCH(C24,PMEHVAC[Eff Desc 1],0)))</f>
        <v/>
      </c>
      <c r="S24" s="948"/>
      <c r="T24" s="961" t="str">
        <f t="shared" ref="T24" si="15">IF(ISNUMBER(SEARCH("Thermostat",C24)),"1","")</f>
        <v/>
      </c>
      <c r="U24" s="962"/>
      <c r="V24" s="846"/>
      <c r="W24" s="847"/>
      <c r="X24" s="832"/>
      <c r="Y24" s="833"/>
      <c r="Z24" s="834"/>
      <c r="AA24" s="945"/>
      <c r="AB24" s="937"/>
      <c r="AC24" s="937"/>
      <c r="AD24" s="938"/>
      <c r="AE24" s="941" t="str">
        <f>IF(C24="","",INDEX(PMEHVAC[Unit of Measure],MATCH(C24,PMEHVAC[Eff Desc 1],0)))</f>
        <v/>
      </c>
      <c r="AF24" s="941"/>
      <c r="AG24" s="941"/>
      <c r="AH24" s="942"/>
      <c r="AI24" s="917" t="str">
        <f>IF(OR(C24="",N24="",T24="",V24="",X24="",AA24="",AC24=""),"",INDEX(PMEHVAC[Inc Rate Unit],MATCH(C24,PMEHVAC[Eff Desc 1],0)))</f>
        <v/>
      </c>
      <c r="AJ24" s="918"/>
      <c r="AK24" s="904" t="str">
        <f t="shared" ref="AK24" si="16">IFERROR(IF(OR(C24="",N24="",T24="",V24="",X24="",AA24="",AC24="",),"",IF(AW24&lt;=0,0,AW24)),"")</f>
        <v/>
      </c>
      <c r="AL24" s="905"/>
      <c r="AM24" s="905"/>
      <c r="AN24" s="969"/>
      <c r="AO24" s="951" t="str">
        <f t="shared" ref="AO24" si="17">IFERROR(IF(OR(C24="",N24="",V24="",X24="",T24="",AA24="",AC24=""),"",IF(BC24&lt;&gt;"",BC24,ROUND(IF(AK24&lt;=0,0,IF(AE24="Thermostat",MIN(AU24*1,AI24*V24),IF(AE24="$/0.1 kW/ton 
improvement/ton",MIN(AU24*1,(L24-N24)*10*V24*AI24),MIN(AU24*1,(N24-L24)*V24*AI24)))),2))),"")</f>
        <v/>
      </c>
      <c r="AP24" s="952"/>
      <c r="AQ24" s="953"/>
      <c r="AR24" s="59"/>
      <c r="AS24" s="59"/>
      <c r="AT24" s="59"/>
      <c r="AU24" s="808" t="str">
        <f t="shared" ref="AU24" si="18">IF(OR(C24="",N24="",T24="",V24="",X24="",AA24="",AE24="",AC24=""),"",IF(AK24="","",ROUND((AA24+AC24),2)))</f>
        <v/>
      </c>
      <c r="AV24" s="922" t="str">
        <f>IF(OR(C24="",N24="",T24="",V24="",X24="",AA24="",AC24="",AE24=""),"",ROUND(IF(ISNUMBER(SEARCH("Unit",AE24)),(V24/12)*(1/((-0.02*N24^2)+(1.12*N24)))*0.177*0.08*0.457,IF(ISNUMBER(SEARCH("kW",AE24)),V24*((R24)-(T24))*INDEX(ENDUSEALL[Lighting Coincidence Factor],MATCH(AX24,ENDUSEALL[End Use],0)),
IF(ISNUMBER(SEARCH("Thermostat",AE24)),INDEX(PMEHVAC[Savings per Unit kW],MATCH(C24,PMEHVAC[Eff Desc 1],0))*V24,
IF(ISNUMBER(SEARCH("IPLV",AE24)),V24*((R24)-(T24))*INDEX(ENDUSEALL[Lighting Coincidence Factor],MATCH(AX24,ENDUSEALL[End Use],0)),
(V24*12)*((1/L24)-(1/N24))*INDEX(ENDUSEALL[Lighting Coincidence Factor],MATCH(AX24,ENDUSEALL[End Use],0)))))),3))</f>
        <v/>
      </c>
      <c r="AW24" s="974" t="str">
        <f>IFERROR(ROUND(
IF(ISNUMBER(SEARCH("Thermostat",C24)),INDEX(PMEHVAC[Savings per Unit kWh],MATCH(C24,PMEHVAC[Eff Desc 1],0)),
IF(ISNUMBER(SEARCH("Water Cooled Chiller - Centrifugal",C24)),V24*((L24*1.143)-((1/(0.401/N24+0.383/N24+0.179/N24+0.037/N24))))*INDEX(PMEHVAC[EFLHcool],MATCH(C24,PMEHVAC[Eff Desc 1],0)),
IF(ISNUMBER(SEARCH("Water Cooled Chiller - Screw",C24)),V24*((L24*1.178)-((1/(0.401/N24+0.383/N24+0.179/N24+0.037/N24))))*INDEX(PMEHVAC[EFLHcool],MATCH(C24,PMEHVAC[Eff Desc 1],0)),
IF(ISNUMBER(SEARCH("Air Cooled Chiller",C24)),V24*(12/(L24*0.86)-12/(0.401*N24+0.383*N24+0.179*N24+0.037*N24))*INDEX(PMEHVAC[EFLHcool],MATCH(C24,PMEHVAC[Eff Desc 1],0)),
IF(ISNUMBER(SEARCH("DX",C24)),(V24*12)*((1/L24)-(1/N24))*INDEX(PMEHVAC[EFLHcool],MATCH(C24,PMEHVAC[Eff Desc 1],0)),
IF(ISNUMBER(SEARCH("PTAC",C24)),(V24*12)*((1/L24)-(1/N24))*INDEX(PMEHVAC[EFLHcool],MATCH(C24,PMEHVAC[Eff Desc 1],0)),
IF(ISNUMBER(SEARCH("PTHP",C24)),((V24*12)*((1/L24)-(1/N24))*INDEX(PMEHVAC[EFLHcool],MATCH(C24,PMEHVAC[Eff Desc 1],0)))+(((V24*12)/3.412)*((1/R24)-(1/T24))*INDEX(PMEHVAC[EFLHheat],MATCH(C24,PMEHVAC[Eff Desc 1],0))),
IF(OR(ISNUMBER(SEARCH("ASHP",C24)),ISNUMBER(SEARCH("WSHP",C24)),ISNUMBER(SEARCH("Water Source",C24)),ISNUMBER(SEARCH("GSHP",C24))),((V24*12)*((1/L24)-(1/N24))*INDEX(PMEHVAC[EFLHcool],MATCH(C24,PMEHVAC[Eff Desc 1],0)))+(IF(P24="HSPF2",(V24*12),((V24*12)/3.412))*((1/R24)-(1/T24))*INDEX(PMEHVAC[EFLHheat],MATCH(C24,PMEHVAC[Eff Desc 1],0))),
"")))))))),0),"")</f>
        <v/>
      </c>
      <c r="AX24" s="922" t="str">
        <f>IF(OR(C24="",N24="",T24="",V24="",X24="",AA24="",AE24="",AC24=""),"",INDEX(PMEHVAC[End Use Category],MATCH(C24,PMEHVAC[Eff Desc 1],0)))</f>
        <v/>
      </c>
      <c r="AY24" s="900" t="str">
        <f>IF(OR(C24="",N24="",T24="",V24="",X24="",AA24="",AE24="",AC24=""),"",INDEX(PMEHVAC[Therms],MATCH(C24,PMEHVAC[Eff Desc 1],0)))</f>
        <v/>
      </c>
      <c r="BC24" s="892" t="str">
        <f>IFERROR(IF(OR(C24="",N24="",V24="",X24="",T24="",AA24="",AC24=""),"",IF(OR(ISBLANK(M02S02F26),ISBLANK(M02S02F32),ISBLANK(M02S02F46)),MEASUREBLDG,IF(ISNUMBER(SEARCH("Thermostat",C24)),"",
IF(ISNUMBER(SEARCH("Water Cooled",C24)),IF(N24&gt;=L24,"Must Improve Efficiency",""),IF(N24&lt;=L24,"Must Improve Efficiency",""))))),"")</f>
        <v/>
      </c>
      <c r="BE24" s="806" t="str">
        <f ca="1">IF(OR(N24="",T24="",C24="",V24="",X24="",AA24="",AE24="",AC24=""),"",IF('M01-S01'!$V$82&lt;TODAY(),0,IF(M02S02F46="Gas Only",0,IF(OR(AK24="",AK24&lt;0,AU24&lt;=AO24),0,MIN(AU24-AO24,ROUND(AO24*0.2,2))))))</f>
        <v/>
      </c>
    </row>
    <row r="25" spans="2:59" customFormat="1" ht="15.95" customHeight="1">
      <c r="B25" s="829"/>
      <c r="C25" s="835"/>
      <c r="D25" s="836"/>
      <c r="E25" s="836"/>
      <c r="F25" s="836"/>
      <c r="G25" s="836"/>
      <c r="H25" s="836"/>
      <c r="I25" s="836"/>
      <c r="J25" s="949"/>
      <c r="K25" s="950"/>
      <c r="L25" s="967"/>
      <c r="M25" s="968"/>
      <c r="N25" s="963"/>
      <c r="O25" s="964"/>
      <c r="P25" s="949"/>
      <c r="Q25" s="950"/>
      <c r="R25" s="949"/>
      <c r="S25" s="950"/>
      <c r="T25" s="963"/>
      <c r="U25" s="964"/>
      <c r="V25" s="848"/>
      <c r="W25" s="849"/>
      <c r="X25" s="835"/>
      <c r="Y25" s="836"/>
      <c r="Z25" s="837"/>
      <c r="AA25" s="946"/>
      <c r="AB25" s="939"/>
      <c r="AC25" s="939"/>
      <c r="AD25" s="940"/>
      <c r="AE25" s="943"/>
      <c r="AF25" s="943"/>
      <c r="AG25" s="943"/>
      <c r="AH25" s="944"/>
      <c r="AI25" s="919"/>
      <c r="AJ25" s="865"/>
      <c r="AK25" s="906"/>
      <c r="AL25" s="907"/>
      <c r="AM25" s="907"/>
      <c r="AN25" s="936"/>
      <c r="AO25" s="954"/>
      <c r="AP25" s="955"/>
      <c r="AQ25" s="956"/>
      <c r="AR25" s="59"/>
      <c r="AS25" s="59"/>
      <c r="AT25" s="59"/>
      <c r="AU25" s="809"/>
      <c r="AV25" s="901"/>
      <c r="AW25" s="975"/>
      <c r="AX25" s="901"/>
      <c r="AY25" s="901"/>
      <c r="BC25" s="826"/>
      <c r="BE25" s="807"/>
    </row>
    <row r="26" spans="2:59" customFormat="1" ht="15.95" customHeight="1">
      <c r="B26" s="829">
        <v>6</v>
      </c>
      <c r="C26" s="866"/>
      <c r="D26" s="867"/>
      <c r="E26" s="867"/>
      <c r="F26" s="867"/>
      <c r="G26" s="867"/>
      <c r="H26" s="867"/>
      <c r="I26" s="867"/>
      <c r="J26" s="947" t="str">
        <f>IF(C26="","",INDEX(PMEHVAC[Base Desc 1],MATCH(C26,PMEHVAC[Eff Desc 1],0)))</f>
        <v/>
      </c>
      <c r="K26" s="948"/>
      <c r="L26" s="965" t="str">
        <f>IF(C26="","",INDEX(PMEHVAC[Base Desc 2],MATCH(C26,PMEHVAC[Eff Desc 1],0)))</f>
        <v/>
      </c>
      <c r="M26" s="966"/>
      <c r="N26" s="961" t="str">
        <f t="shared" ref="N26" si="19">IF(ISNUMBER(SEARCH("Thermostat",C26)),"1","")</f>
        <v/>
      </c>
      <c r="O26" s="962"/>
      <c r="P26" s="947" t="str">
        <f>IF(C26="","",INDEX(PMEHVAC[Base Watt],MATCH(C26,PMEHVAC[Eff Desc 1],0)))</f>
        <v/>
      </c>
      <c r="Q26" s="948"/>
      <c r="R26" s="947" t="str">
        <f>IF(C26="","",INDEX(PMEHVAC[Base Watt 2],MATCH(C26,PMEHVAC[Eff Desc 1],0)))</f>
        <v/>
      </c>
      <c r="S26" s="948"/>
      <c r="T26" s="961" t="str">
        <f t="shared" ref="T26" si="20">IF(ISNUMBER(SEARCH("Thermostat",C26)),"1","")</f>
        <v/>
      </c>
      <c r="U26" s="962"/>
      <c r="V26" s="846"/>
      <c r="W26" s="847"/>
      <c r="X26" s="832"/>
      <c r="Y26" s="833"/>
      <c r="Z26" s="834"/>
      <c r="AA26" s="945"/>
      <c r="AB26" s="937"/>
      <c r="AC26" s="937"/>
      <c r="AD26" s="938"/>
      <c r="AE26" s="941" t="str">
        <f>IF(C26="","",INDEX(PMEHVAC[Unit of Measure],MATCH(C26,PMEHVAC[Eff Desc 1],0)))</f>
        <v/>
      </c>
      <c r="AF26" s="941"/>
      <c r="AG26" s="941"/>
      <c r="AH26" s="942"/>
      <c r="AI26" s="917" t="str">
        <f>IF(OR(C26="",N26="",T26="",V26="",X26="",AA26="",AC26=""),"",INDEX(PMEHVAC[Inc Rate Unit],MATCH(C26,PMEHVAC[Eff Desc 1],0)))</f>
        <v/>
      </c>
      <c r="AJ26" s="918"/>
      <c r="AK26" s="904" t="str">
        <f t="shared" ref="AK26" si="21">IFERROR(IF(OR(C26="",N26="",T26="",V26="",X26="",AA26="",AC26="",),"",IF(AW26&lt;=0,0,AW26)),"")</f>
        <v/>
      </c>
      <c r="AL26" s="905"/>
      <c r="AM26" s="905"/>
      <c r="AN26" s="969"/>
      <c r="AO26" s="951" t="str">
        <f t="shared" ref="AO26" si="22">IFERROR(IF(OR(C26="",N26="",V26="",X26="",T26="",AA26="",AC26=""),"",IF(BC26&lt;&gt;"",BC26,ROUND(IF(AK26&lt;=0,0,IF(AE26="Thermostat",MIN(AU26*1,AI26*V26),IF(AE26="$/0.1 kW/ton 
improvement/ton",MIN(AU26*1,(L26-N26)*10*V26*AI26),MIN(AU26*1,(N26-L26)*V26*AI26)))),2))),"")</f>
        <v/>
      </c>
      <c r="AP26" s="952"/>
      <c r="AQ26" s="953"/>
      <c r="AR26" s="59"/>
      <c r="AS26" s="59"/>
      <c r="AT26" s="59"/>
      <c r="AU26" s="808" t="str">
        <f t="shared" ref="AU26" si="23">IF(OR(C26="",N26="",T26="",V26="",X26="",AA26="",AE26="",AC26=""),"",IF(AK26="","",ROUND((AA26+AC26),2)))</f>
        <v/>
      </c>
      <c r="AV26" s="922" t="str">
        <f>IF(OR(C26="",N26="",T26="",V26="",X26="",AA26="",AC26="",AE26=""),"",ROUND(IF(ISNUMBER(SEARCH("Unit",AE26)),(V26/12)*(1/((-0.02*N26^2)+(1.12*N26)))*0.177*0.08*0.457,IF(ISNUMBER(SEARCH("kW",AE26)),V26*((R26)-(T26))*INDEX(ENDUSEALL[Lighting Coincidence Factor],MATCH(AX26,ENDUSEALL[End Use],0)),
IF(ISNUMBER(SEARCH("Thermostat",AE26)),INDEX(PMEHVAC[Savings per Unit kW],MATCH(C26,PMEHVAC[Eff Desc 1],0))*V26,
IF(ISNUMBER(SEARCH("IPLV",AE26)),V26*((R26)-(T26))*INDEX(ENDUSEALL[Lighting Coincidence Factor],MATCH(AX26,ENDUSEALL[End Use],0)),
(V26*12)*((1/L26)-(1/N26))*INDEX(ENDUSEALL[Lighting Coincidence Factor],MATCH(AX26,ENDUSEALL[End Use],0)))))),3))</f>
        <v/>
      </c>
      <c r="AW26" s="974" t="str">
        <f>IFERROR(ROUND(
IF(ISNUMBER(SEARCH("Thermostat",C26)),INDEX(PMEHVAC[Savings per Unit kWh],MATCH(C26,PMEHVAC[Eff Desc 1],0)),
IF(ISNUMBER(SEARCH("Water Cooled Chiller - Centrifugal",C26)),V26*((L26*1.143)-((1/(0.401/N26+0.383/N26+0.179/N26+0.037/N26))))*INDEX(PMEHVAC[EFLHcool],MATCH(C26,PMEHVAC[Eff Desc 1],0)),
IF(ISNUMBER(SEARCH("Water Cooled Chiller - Screw",C26)),V26*((L26*1.178)-((1/(0.401/N26+0.383/N26+0.179/N26+0.037/N26))))*INDEX(PMEHVAC[EFLHcool],MATCH(C26,PMEHVAC[Eff Desc 1],0)),
IF(ISNUMBER(SEARCH("Air Cooled Chiller",C26)),V26*(12/(L26*0.86)-12/(0.401*N26+0.383*N26+0.179*N26+0.037*N26))*INDEX(PMEHVAC[EFLHcool],MATCH(C26,PMEHVAC[Eff Desc 1],0)),
IF(ISNUMBER(SEARCH("DX",C26)),(V26*12)*((1/L26)-(1/N26))*INDEX(PMEHVAC[EFLHcool],MATCH(C26,PMEHVAC[Eff Desc 1],0)),
IF(ISNUMBER(SEARCH("PTAC",C26)),(V26*12)*((1/L26)-(1/N26))*INDEX(PMEHVAC[EFLHcool],MATCH(C26,PMEHVAC[Eff Desc 1],0)),
IF(ISNUMBER(SEARCH("PTHP",C26)),((V26*12)*((1/L26)-(1/N26))*INDEX(PMEHVAC[EFLHcool],MATCH(C26,PMEHVAC[Eff Desc 1],0)))+(((V26*12)/3.412)*((1/R26)-(1/T26))*INDEX(PMEHVAC[EFLHheat],MATCH(C26,PMEHVAC[Eff Desc 1],0))),
IF(OR(ISNUMBER(SEARCH("ASHP",C26)),ISNUMBER(SEARCH("WSHP",C26)),ISNUMBER(SEARCH("Water Source",C26)),ISNUMBER(SEARCH("GSHP",C26))),((V26*12)*((1/L26)-(1/N26))*INDEX(PMEHVAC[EFLHcool],MATCH(C26,PMEHVAC[Eff Desc 1],0)))+(IF(P26="HSPF2",(V26*12),((V26*12)/3.412))*((1/R26)-(1/T26))*INDEX(PMEHVAC[EFLHheat],MATCH(C26,PMEHVAC[Eff Desc 1],0))),
"")))))))),0),"")</f>
        <v/>
      </c>
      <c r="AX26" s="922" t="str">
        <f>IF(OR(C26="",N26="",T26="",V26="",X26="",AA26="",AE26="",AC26=""),"",INDEX(PMEHVAC[End Use Category],MATCH(C26,PMEHVAC[Eff Desc 1],0)))</f>
        <v/>
      </c>
      <c r="AY26" s="900" t="str">
        <f>IF(OR(C26="",N26="",T26="",V26="",X26="",AA26="",AE26="",AC26=""),"",INDEX(PMEHVAC[Therms],MATCH(C26,PMEHVAC[Eff Desc 1],0)))</f>
        <v/>
      </c>
      <c r="BC26" s="892" t="str">
        <f>IFERROR(IF(OR(C26="",N26="",V26="",X26="",T26="",AA26="",AC26=""),"",IF(OR(ISBLANK(M02S02F26),ISBLANK(M02S02F32),ISBLANK(M02S02F46)),MEASUREBLDG,IF(ISNUMBER(SEARCH("Thermostat",C26)),"",
IF(ISNUMBER(SEARCH("Water Cooled",C26)),IF(N26&gt;=L26,"Must Improve Efficiency",""),IF(N26&lt;=L26,"Must Improve Efficiency",""))))),"")</f>
        <v/>
      </c>
      <c r="BE26" s="806" t="str">
        <f ca="1">IF(OR(N26="",T26="",C26="",V26="",X26="",AA26="",AE26="",AC26=""),"",IF('M01-S01'!$V$82&lt;TODAY(),0,IF(M02S02F46="Gas Only",0,IF(OR(AK26="",AK26&lt;0,AU26&lt;=AO26),0,MIN(AU26-AO26,ROUND(AO26*0.2,2))))))</f>
        <v/>
      </c>
    </row>
    <row r="27" spans="2:59" customFormat="1" ht="15.95" customHeight="1">
      <c r="B27" s="829"/>
      <c r="C27" s="835"/>
      <c r="D27" s="836"/>
      <c r="E27" s="836"/>
      <c r="F27" s="836"/>
      <c r="G27" s="836"/>
      <c r="H27" s="836"/>
      <c r="I27" s="836"/>
      <c r="J27" s="949"/>
      <c r="K27" s="950"/>
      <c r="L27" s="967"/>
      <c r="M27" s="968"/>
      <c r="N27" s="963"/>
      <c r="O27" s="964"/>
      <c r="P27" s="949"/>
      <c r="Q27" s="950"/>
      <c r="R27" s="949"/>
      <c r="S27" s="950"/>
      <c r="T27" s="963"/>
      <c r="U27" s="964"/>
      <c r="V27" s="848"/>
      <c r="W27" s="849"/>
      <c r="X27" s="835"/>
      <c r="Y27" s="836"/>
      <c r="Z27" s="837"/>
      <c r="AA27" s="946"/>
      <c r="AB27" s="939"/>
      <c r="AC27" s="939"/>
      <c r="AD27" s="940"/>
      <c r="AE27" s="943"/>
      <c r="AF27" s="943"/>
      <c r="AG27" s="943"/>
      <c r="AH27" s="944"/>
      <c r="AI27" s="919"/>
      <c r="AJ27" s="865"/>
      <c r="AK27" s="906"/>
      <c r="AL27" s="907"/>
      <c r="AM27" s="907"/>
      <c r="AN27" s="936"/>
      <c r="AO27" s="954"/>
      <c r="AP27" s="955"/>
      <c r="AQ27" s="956"/>
      <c r="AR27" s="59"/>
      <c r="AS27" s="59"/>
      <c r="AT27" s="59"/>
      <c r="AU27" s="809"/>
      <c r="AV27" s="901"/>
      <c r="AW27" s="975"/>
      <c r="AX27" s="901"/>
      <c r="AY27" s="901"/>
      <c r="BA27" s="414"/>
      <c r="BC27" s="826"/>
      <c r="BE27" s="807"/>
    </row>
    <row r="28" spans="2:59" customFormat="1" ht="15.95" customHeight="1">
      <c r="B28" s="829">
        <v>7</v>
      </c>
      <c r="C28" s="866"/>
      <c r="D28" s="867"/>
      <c r="E28" s="867"/>
      <c r="F28" s="867"/>
      <c r="G28" s="867"/>
      <c r="H28" s="867"/>
      <c r="I28" s="867"/>
      <c r="J28" s="947" t="str">
        <f>IF(C28="","",INDEX(PMEHVAC[Base Desc 1],MATCH(C28,PMEHVAC[Eff Desc 1],0)))</f>
        <v/>
      </c>
      <c r="K28" s="948"/>
      <c r="L28" s="965" t="str">
        <f>IF(C28="","",INDEX(PMEHVAC[Base Desc 2],MATCH(C28,PMEHVAC[Eff Desc 1],0)))</f>
        <v/>
      </c>
      <c r="M28" s="966"/>
      <c r="N28" s="961" t="str">
        <f t="shared" ref="N28" si="24">IF(ISNUMBER(SEARCH("Thermostat",C28)),"1","")</f>
        <v/>
      </c>
      <c r="O28" s="962"/>
      <c r="P28" s="947" t="str">
        <f>IF(C28="","",INDEX(PMEHVAC[Base Watt],MATCH(C28,PMEHVAC[Eff Desc 1],0)))</f>
        <v/>
      </c>
      <c r="Q28" s="948"/>
      <c r="R28" s="947" t="str">
        <f>IF(C28="","",INDEX(PMEHVAC[Base Watt 2],MATCH(C28,PMEHVAC[Eff Desc 1],0)))</f>
        <v/>
      </c>
      <c r="S28" s="948"/>
      <c r="T28" s="961" t="str">
        <f t="shared" ref="T28" si="25">IF(ISNUMBER(SEARCH("Thermostat",C28)),"1","")</f>
        <v/>
      </c>
      <c r="U28" s="962"/>
      <c r="V28" s="846"/>
      <c r="W28" s="847"/>
      <c r="X28" s="832"/>
      <c r="Y28" s="833"/>
      <c r="Z28" s="834"/>
      <c r="AA28" s="945"/>
      <c r="AB28" s="937"/>
      <c r="AC28" s="937"/>
      <c r="AD28" s="938"/>
      <c r="AE28" s="941" t="str">
        <f>IF(C28="","",INDEX(PMEHVAC[Unit of Measure],MATCH(C28,PMEHVAC[Eff Desc 1],0)))</f>
        <v/>
      </c>
      <c r="AF28" s="941"/>
      <c r="AG28" s="941"/>
      <c r="AH28" s="942"/>
      <c r="AI28" s="917" t="str">
        <f>IF(OR(C28="",N28="",T28="",V28="",X28="",AA28="",AC28=""),"",INDEX(PMEHVAC[Inc Rate Unit],MATCH(C28,PMEHVAC[Eff Desc 1],0)))</f>
        <v/>
      </c>
      <c r="AJ28" s="918"/>
      <c r="AK28" s="904" t="str">
        <f t="shared" ref="AK28" si="26">IFERROR(IF(OR(C28="",N28="",T28="",V28="",X28="",AA28="",AC28="",),"",IF(AW28&lt;=0,0,AW28)),"")</f>
        <v/>
      </c>
      <c r="AL28" s="905"/>
      <c r="AM28" s="905"/>
      <c r="AN28" s="969"/>
      <c r="AO28" s="951" t="str">
        <f t="shared" ref="AO28" si="27">IFERROR(IF(OR(C28="",N28="",V28="",X28="",T28="",AA28="",AC28=""),"",IF(BC28&lt;&gt;"",BC28,ROUND(IF(AK28&lt;=0,0,IF(AE28="Thermostat",MIN(AU28*1,AI28*V28),IF(AE28="$/0.1 kW/ton 
improvement/ton",MIN(AU28*1,(L28-N28)*10*V28*AI28),MIN(AU28*1,(N28-L28)*V28*AI28)))),2))),"")</f>
        <v/>
      </c>
      <c r="AP28" s="952"/>
      <c r="AQ28" s="953"/>
      <c r="AR28" s="59"/>
      <c r="AS28" s="59"/>
      <c r="AT28" s="59"/>
      <c r="AU28" s="808" t="str">
        <f t="shared" ref="AU28" si="28">IF(OR(C28="",N28="",T28="",V28="",X28="",AA28="",AE28="",AC28=""),"",IF(AK28="","",ROUND((AA28+AC28),2)))</f>
        <v/>
      </c>
      <c r="AV28" s="922" t="str">
        <f>IF(OR(C28="",N28="",T28="",V28="",X28="",AA28="",AC28="",AE28=""),"",ROUND(IF(ISNUMBER(SEARCH("Unit",AE28)),(V28/12)*(1/((-0.02*N28^2)+(1.12*N28)))*0.177*0.08*0.457,IF(ISNUMBER(SEARCH("kW",AE28)),V28*((R28)-(T28))*INDEX(ENDUSEALL[Lighting Coincidence Factor],MATCH(AX28,ENDUSEALL[End Use],0)),
IF(ISNUMBER(SEARCH("Thermostat",AE28)),INDEX(PMEHVAC[Savings per Unit kW],MATCH(C28,PMEHVAC[Eff Desc 1],0))*V28,
IF(ISNUMBER(SEARCH("IPLV",AE28)),V28*((R28)-(T28))*INDEX(ENDUSEALL[Lighting Coincidence Factor],MATCH(AX28,ENDUSEALL[End Use],0)),
(V28*12)*((1/L28)-(1/N28))*INDEX(ENDUSEALL[Lighting Coincidence Factor],MATCH(AX28,ENDUSEALL[End Use],0)))))),3))</f>
        <v/>
      </c>
      <c r="AW28" s="974" t="str">
        <f>IFERROR(ROUND(
IF(ISNUMBER(SEARCH("Thermostat",C28)),INDEX(PMEHVAC[Savings per Unit kWh],MATCH(C28,PMEHVAC[Eff Desc 1],0)),
IF(ISNUMBER(SEARCH("Water Cooled Chiller - Centrifugal",C28)),V28*((L28*1.143)-((1/(0.401/N28+0.383/N28+0.179/N28+0.037/N28))))*INDEX(PMEHVAC[EFLHcool],MATCH(C28,PMEHVAC[Eff Desc 1],0)),
IF(ISNUMBER(SEARCH("Water Cooled Chiller - Screw",C28)),V28*((L28*1.178)-((1/(0.401/N28+0.383/N28+0.179/N28+0.037/N28))))*INDEX(PMEHVAC[EFLHcool],MATCH(C28,PMEHVAC[Eff Desc 1],0)),
IF(ISNUMBER(SEARCH("Air Cooled Chiller",C28)),V28*(12/(L28*0.86)-12/(0.401*N28+0.383*N28+0.179*N28+0.037*N28))*INDEX(PMEHVAC[EFLHcool],MATCH(C28,PMEHVAC[Eff Desc 1],0)),
IF(ISNUMBER(SEARCH("DX",C28)),(V28*12)*((1/L28)-(1/N28))*INDEX(PMEHVAC[EFLHcool],MATCH(C28,PMEHVAC[Eff Desc 1],0)),
IF(ISNUMBER(SEARCH("PTAC",C28)),(V28*12)*((1/L28)-(1/N28))*INDEX(PMEHVAC[EFLHcool],MATCH(C28,PMEHVAC[Eff Desc 1],0)),
IF(ISNUMBER(SEARCH("PTHP",C28)),((V28*12)*((1/L28)-(1/N28))*INDEX(PMEHVAC[EFLHcool],MATCH(C28,PMEHVAC[Eff Desc 1],0)))+(((V28*12)/3.412)*((1/R28)-(1/T28))*INDEX(PMEHVAC[EFLHheat],MATCH(C28,PMEHVAC[Eff Desc 1],0))),
IF(OR(ISNUMBER(SEARCH("ASHP",C28)),ISNUMBER(SEARCH("WSHP",C28)),ISNUMBER(SEARCH("Water Source",C28)),ISNUMBER(SEARCH("GSHP",C28))),((V28*12)*((1/L28)-(1/N28))*INDEX(PMEHVAC[EFLHcool],MATCH(C28,PMEHVAC[Eff Desc 1],0)))+(IF(P28="HSPF2",(V28*12),((V28*12)/3.412))*((1/R28)-(1/T28))*INDEX(PMEHVAC[EFLHheat],MATCH(C28,PMEHVAC[Eff Desc 1],0))),
"")))))))),0),"")</f>
        <v/>
      </c>
      <c r="AX28" s="922" t="str">
        <f>IF(OR(C28="",N28="",T28="",V28="",X28="",AA28="",AE28="",AC28=""),"",INDEX(PMEHVAC[End Use Category],MATCH(C28,PMEHVAC[Eff Desc 1],0)))</f>
        <v/>
      </c>
      <c r="AY28" s="900" t="str">
        <f>IF(OR(C28="",N28="",T28="",V28="",X28="",AA28="",AE28="",AC28=""),"",INDEX(PMEHVAC[Therms],MATCH(C28,PMEHVAC[Eff Desc 1],0)))</f>
        <v/>
      </c>
      <c r="BA28" s="414"/>
      <c r="BC28" s="892" t="str">
        <f>IFERROR(IF(OR(C28="",N28="",V28="",X28="",T28="",AA28="",AC28=""),"",IF(OR(ISBLANK(M02S02F26),ISBLANK(M02S02F32),ISBLANK(M02S02F46)),MEASUREBLDG,IF(ISNUMBER(SEARCH("Thermostat",C28)),"",
IF(ISNUMBER(SEARCH("Water Cooled",C28)),IF(N28&gt;=L28,"Must Improve Efficiency",""),IF(N28&lt;=L28,"Must Improve Efficiency",""))))),"")</f>
        <v/>
      </c>
      <c r="BE28" s="806" t="str">
        <f ca="1">IF(OR(N28="",T28="",C28="",V28="",X28="",AA28="",AE28="",AC28=""),"",IF('M01-S01'!$V$82&lt;TODAY(),0,IF(M02S02F46="Gas Only",0,IF(OR(AK28="",AK28&lt;0,AU28&lt;=AO28),0,MIN(AU28-AO28,ROUND(AO28*0.2,2))))))</f>
        <v/>
      </c>
      <c r="BG28" s="414"/>
    </row>
    <row r="29" spans="2:59" customFormat="1" ht="15.95" customHeight="1">
      <c r="B29" s="829"/>
      <c r="C29" s="835"/>
      <c r="D29" s="836"/>
      <c r="E29" s="836"/>
      <c r="F29" s="836"/>
      <c r="G29" s="836"/>
      <c r="H29" s="836"/>
      <c r="I29" s="836"/>
      <c r="J29" s="949"/>
      <c r="K29" s="950"/>
      <c r="L29" s="967"/>
      <c r="M29" s="968"/>
      <c r="N29" s="963"/>
      <c r="O29" s="964"/>
      <c r="P29" s="949"/>
      <c r="Q29" s="950"/>
      <c r="R29" s="949"/>
      <c r="S29" s="950"/>
      <c r="T29" s="963"/>
      <c r="U29" s="964"/>
      <c r="V29" s="848"/>
      <c r="W29" s="849"/>
      <c r="X29" s="835"/>
      <c r="Y29" s="836"/>
      <c r="Z29" s="837"/>
      <c r="AA29" s="946"/>
      <c r="AB29" s="939"/>
      <c r="AC29" s="939"/>
      <c r="AD29" s="940"/>
      <c r="AE29" s="943"/>
      <c r="AF29" s="943"/>
      <c r="AG29" s="943"/>
      <c r="AH29" s="944"/>
      <c r="AI29" s="919"/>
      <c r="AJ29" s="865"/>
      <c r="AK29" s="906"/>
      <c r="AL29" s="907"/>
      <c r="AM29" s="907"/>
      <c r="AN29" s="936"/>
      <c r="AO29" s="954"/>
      <c r="AP29" s="955"/>
      <c r="AQ29" s="956"/>
      <c r="AR29" s="59"/>
      <c r="AS29" s="59"/>
      <c r="AT29" s="59"/>
      <c r="AU29" s="809"/>
      <c r="AV29" s="901"/>
      <c r="AW29" s="975"/>
      <c r="AX29" s="901"/>
      <c r="AY29" s="901"/>
      <c r="BA29" s="414"/>
      <c r="BC29" s="826"/>
      <c r="BE29" s="807"/>
    </row>
    <row r="30" spans="2:59" customFormat="1" ht="15.95" customHeight="1">
      <c r="B30" s="829">
        <v>8</v>
      </c>
      <c r="C30" s="866"/>
      <c r="D30" s="867"/>
      <c r="E30" s="867"/>
      <c r="F30" s="867"/>
      <c r="G30" s="867"/>
      <c r="H30" s="867"/>
      <c r="I30" s="867"/>
      <c r="J30" s="947" t="str">
        <f>IF(C30="","",INDEX(PMEHVAC[Base Desc 1],MATCH(C30,PMEHVAC[Eff Desc 1],0)))</f>
        <v/>
      </c>
      <c r="K30" s="948"/>
      <c r="L30" s="965" t="str">
        <f>IF(C30="","",INDEX(PMEHVAC[Base Desc 2],MATCH(C30,PMEHVAC[Eff Desc 1],0)))</f>
        <v/>
      </c>
      <c r="M30" s="966"/>
      <c r="N30" s="961" t="str">
        <f t="shared" ref="N30" si="29">IF(ISNUMBER(SEARCH("Thermostat",C30)),"1","")</f>
        <v/>
      </c>
      <c r="O30" s="962"/>
      <c r="P30" s="947" t="str">
        <f>IF(C30="","",INDEX(PMEHVAC[Base Watt],MATCH(C30,PMEHVAC[Eff Desc 1],0)))</f>
        <v/>
      </c>
      <c r="Q30" s="948"/>
      <c r="R30" s="947" t="str">
        <f>IF(C30="","",INDEX(PMEHVAC[Base Watt 2],MATCH(C30,PMEHVAC[Eff Desc 1],0)))</f>
        <v/>
      </c>
      <c r="S30" s="948"/>
      <c r="T30" s="961" t="str">
        <f t="shared" ref="T30" si="30">IF(ISNUMBER(SEARCH("Thermostat",C30)),"1","")</f>
        <v/>
      </c>
      <c r="U30" s="962"/>
      <c r="V30" s="846"/>
      <c r="W30" s="847"/>
      <c r="X30" s="832"/>
      <c r="Y30" s="833"/>
      <c r="Z30" s="834"/>
      <c r="AA30" s="945"/>
      <c r="AB30" s="937"/>
      <c r="AC30" s="937"/>
      <c r="AD30" s="938"/>
      <c r="AE30" s="941" t="str">
        <f>IF(C30="","",INDEX(PMEHVAC[Unit of Measure],MATCH(C30,PMEHVAC[Eff Desc 1],0)))</f>
        <v/>
      </c>
      <c r="AF30" s="941"/>
      <c r="AG30" s="941"/>
      <c r="AH30" s="942"/>
      <c r="AI30" s="917" t="str">
        <f>IF(OR(C30="",N30="",T30="",V30="",X30="",AA30="",AC30=""),"",INDEX(PMEHVAC[Inc Rate Unit],MATCH(C30,PMEHVAC[Eff Desc 1],0)))</f>
        <v/>
      </c>
      <c r="AJ30" s="918"/>
      <c r="AK30" s="904" t="str">
        <f t="shared" ref="AK30" si="31">IFERROR(IF(OR(C30="",N30="",T30="",V30="",X30="",AA30="",AC30="",),"",IF(AW30&lt;=0,0,AW30)),"")</f>
        <v/>
      </c>
      <c r="AL30" s="905"/>
      <c r="AM30" s="905"/>
      <c r="AN30" s="969"/>
      <c r="AO30" s="951" t="str">
        <f t="shared" ref="AO30" si="32">IFERROR(IF(OR(C30="",N30="",V30="",X30="",T30="",AA30="",AC30=""),"",IF(BC30&lt;&gt;"",BC30,ROUND(IF(AK30&lt;=0,0,IF(AE30="Thermostat",MIN(AU30*1,AI30*V30),IF(AE30="$/0.1 kW/ton 
improvement/ton",MIN(AU30*1,(L30-N30)*10*V30*AI30),MIN(AU30*1,(N30-L30)*V30*AI30)))),2))),"")</f>
        <v/>
      </c>
      <c r="AP30" s="952"/>
      <c r="AQ30" s="953"/>
      <c r="AR30" s="59"/>
      <c r="AS30" s="59"/>
      <c r="AT30" s="59"/>
      <c r="AU30" s="808" t="str">
        <f t="shared" ref="AU30" si="33">IF(OR(C30="",N30="",T30="",V30="",X30="",AA30="",AE30="",AC30=""),"",IF(AK30="","",ROUND((AA30+AC30),2)))</f>
        <v/>
      </c>
      <c r="AV30" s="922" t="str">
        <f>IF(OR(C30="",N30="",T30="",V30="",X30="",AA30="",AC30="",AE30=""),"",ROUND(IF(ISNUMBER(SEARCH("Unit",AE30)),(V30/12)*(1/((-0.02*N30^2)+(1.12*N30)))*0.177*0.08*0.457,IF(ISNUMBER(SEARCH("kW",AE30)),V30*((R30)-(T30))*INDEX(ENDUSEALL[Lighting Coincidence Factor],MATCH(AX30,ENDUSEALL[End Use],0)),
IF(ISNUMBER(SEARCH("Thermostat",AE30)),INDEX(PMEHVAC[Savings per Unit kW],MATCH(C30,PMEHVAC[Eff Desc 1],0))*V30,
IF(ISNUMBER(SEARCH("IPLV",AE30)),V30*((R30)-(T30))*INDEX(ENDUSEALL[Lighting Coincidence Factor],MATCH(AX30,ENDUSEALL[End Use],0)),
(V30*12)*((1/L30)-(1/N30))*INDEX(ENDUSEALL[Lighting Coincidence Factor],MATCH(AX30,ENDUSEALL[End Use],0)))))),3))</f>
        <v/>
      </c>
      <c r="AW30" s="974" t="str">
        <f>IFERROR(ROUND(
IF(ISNUMBER(SEARCH("Thermostat",C30)),INDEX(PMEHVAC[Savings per Unit kWh],MATCH(C30,PMEHVAC[Eff Desc 1],0)),
IF(ISNUMBER(SEARCH("Water Cooled Chiller - Centrifugal",C30)),V30*((L30*1.143)-((1/(0.401/N30+0.383/N30+0.179/N30+0.037/N30))))*INDEX(PMEHVAC[EFLHcool],MATCH(C30,PMEHVAC[Eff Desc 1],0)),
IF(ISNUMBER(SEARCH("Water Cooled Chiller - Screw",C30)),V30*((L30*1.178)-((1/(0.401/N30+0.383/N30+0.179/N30+0.037/N30))))*INDEX(PMEHVAC[EFLHcool],MATCH(C30,PMEHVAC[Eff Desc 1],0)),
IF(ISNUMBER(SEARCH("Air Cooled Chiller",C30)),V30*(12/(L30*0.86)-12/(0.401*N30+0.383*N30+0.179*N30+0.037*N30))*INDEX(PMEHVAC[EFLHcool],MATCH(C30,PMEHVAC[Eff Desc 1],0)),
IF(ISNUMBER(SEARCH("DX",C30)),(V30*12)*((1/L30)-(1/N30))*INDEX(PMEHVAC[EFLHcool],MATCH(C30,PMEHVAC[Eff Desc 1],0)),
IF(ISNUMBER(SEARCH("PTAC",C30)),(V30*12)*((1/L30)-(1/N30))*INDEX(PMEHVAC[EFLHcool],MATCH(C30,PMEHVAC[Eff Desc 1],0)),
IF(ISNUMBER(SEARCH("PTHP",C30)),((V30*12)*((1/L30)-(1/N30))*INDEX(PMEHVAC[EFLHcool],MATCH(C30,PMEHVAC[Eff Desc 1],0)))+(((V30*12)/3.412)*((1/R30)-(1/T30))*INDEX(PMEHVAC[EFLHheat],MATCH(C30,PMEHVAC[Eff Desc 1],0))),
IF(OR(ISNUMBER(SEARCH("ASHP",C30)),ISNUMBER(SEARCH("WSHP",C30)),ISNUMBER(SEARCH("Water Source",C30)),ISNUMBER(SEARCH("GSHP",C30))),((V30*12)*((1/L30)-(1/N30))*INDEX(PMEHVAC[EFLHcool],MATCH(C30,PMEHVAC[Eff Desc 1],0)))+(IF(P30="HSPF2",(V30*12),((V30*12)/3.412))*((1/R30)-(1/T30))*INDEX(PMEHVAC[EFLHheat],MATCH(C30,PMEHVAC[Eff Desc 1],0))),
"")))))))),0),"")</f>
        <v/>
      </c>
      <c r="AX30" s="922" t="str">
        <f>IF(OR(C30="",N30="",T30="",V30="",X30="",AA30="",AE30="",AC30=""),"",INDEX(PMEHVAC[End Use Category],MATCH(C30,PMEHVAC[Eff Desc 1],0)))</f>
        <v/>
      </c>
      <c r="AY30" s="900" t="str">
        <f>IF(OR(C30="",N30="",T30="",V30="",X30="",AA30="",AE30="",AC30=""),"",INDEX(PMEHVAC[Therms],MATCH(C30,PMEHVAC[Eff Desc 1],0)))</f>
        <v/>
      </c>
      <c r="BC30" s="892" t="str">
        <f>IFERROR(IF(OR(C30="",N30="",V30="",X30="",T30="",AA30="",AC30=""),"",IF(OR(ISBLANK(M02S02F26),ISBLANK(M02S02F32),ISBLANK(M02S02F46)),MEASUREBLDG,IF(ISNUMBER(SEARCH("Thermostat",C30)),"",
IF(ISNUMBER(SEARCH("Water Cooled",C30)),IF(N30&gt;=L30,"Must Improve Efficiency",""),IF(N30&lt;=L30,"Must Improve Efficiency",""))))),"")</f>
        <v/>
      </c>
      <c r="BE30" s="806" t="str">
        <f ca="1">IF(OR(N30="",T30="",C30="",V30="",X30="",AA30="",AE30="",AC30=""),"",IF('M01-S01'!$V$82&lt;TODAY(),0,IF(M02S02F46="Gas Only",0,IF(OR(AK30="",AK30&lt;0,AU30&lt;=AO30),0,MIN(AU30-AO30,ROUND(AO30*0.2,2))))))</f>
        <v/>
      </c>
    </row>
    <row r="31" spans="2:59" customFormat="1" ht="15.95" customHeight="1">
      <c r="B31" s="829"/>
      <c r="C31" s="835"/>
      <c r="D31" s="836"/>
      <c r="E31" s="836"/>
      <c r="F31" s="836"/>
      <c r="G31" s="836"/>
      <c r="H31" s="836"/>
      <c r="I31" s="836"/>
      <c r="J31" s="949"/>
      <c r="K31" s="950"/>
      <c r="L31" s="967"/>
      <c r="M31" s="968"/>
      <c r="N31" s="963"/>
      <c r="O31" s="964"/>
      <c r="P31" s="949"/>
      <c r="Q31" s="950"/>
      <c r="R31" s="949"/>
      <c r="S31" s="950"/>
      <c r="T31" s="963"/>
      <c r="U31" s="964"/>
      <c r="V31" s="848"/>
      <c r="W31" s="849"/>
      <c r="X31" s="835"/>
      <c r="Y31" s="836"/>
      <c r="Z31" s="837"/>
      <c r="AA31" s="946"/>
      <c r="AB31" s="939"/>
      <c r="AC31" s="939"/>
      <c r="AD31" s="940"/>
      <c r="AE31" s="943"/>
      <c r="AF31" s="943"/>
      <c r="AG31" s="943"/>
      <c r="AH31" s="944"/>
      <c r="AI31" s="919"/>
      <c r="AJ31" s="865"/>
      <c r="AK31" s="906"/>
      <c r="AL31" s="907"/>
      <c r="AM31" s="907"/>
      <c r="AN31" s="936"/>
      <c r="AO31" s="954"/>
      <c r="AP31" s="955"/>
      <c r="AQ31" s="956"/>
      <c r="AR31" s="59"/>
      <c r="AS31" s="59"/>
      <c r="AT31" s="59"/>
      <c r="AU31" s="809"/>
      <c r="AV31" s="901"/>
      <c r="AW31" s="975"/>
      <c r="AX31" s="901"/>
      <c r="AY31" s="901"/>
      <c r="BA31" s="414"/>
      <c r="BC31" s="826"/>
      <c r="BE31" s="807"/>
    </row>
    <row r="32" spans="2:59" customFormat="1" ht="15.95" customHeight="1">
      <c r="B32" s="829">
        <v>9</v>
      </c>
      <c r="C32" s="866"/>
      <c r="D32" s="867"/>
      <c r="E32" s="867"/>
      <c r="F32" s="867"/>
      <c r="G32" s="867"/>
      <c r="H32" s="867"/>
      <c r="I32" s="867"/>
      <c r="J32" s="947" t="str">
        <f>IF(C32="","",INDEX(PMEHVAC[Base Desc 1],MATCH(C32,PMEHVAC[Eff Desc 1],0)))</f>
        <v/>
      </c>
      <c r="K32" s="948"/>
      <c r="L32" s="965" t="str">
        <f>IF(C32="","",INDEX(PMEHVAC[Base Desc 2],MATCH(C32,PMEHVAC[Eff Desc 1],0)))</f>
        <v/>
      </c>
      <c r="M32" s="966"/>
      <c r="N32" s="961" t="str">
        <f t="shared" ref="N32" si="34">IF(ISNUMBER(SEARCH("Thermostat",C32)),"1","")</f>
        <v/>
      </c>
      <c r="O32" s="962"/>
      <c r="P32" s="947" t="str">
        <f>IF(C32="","",INDEX(PMEHVAC[Base Watt],MATCH(C32,PMEHVAC[Eff Desc 1],0)))</f>
        <v/>
      </c>
      <c r="Q32" s="948"/>
      <c r="R32" s="947" t="str">
        <f>IF(C32="","",INDEX(PMEHVAC[Base Watt 2],MATCH(C32,PMEHVAC[Eff Desc 1],0)))</f>
        <v/>
      </c>
      <c r="S32" s="948"/>
      <c r="T32" s="961" t="str">
        <f t="shared" ref="T32" si="35">IF(ISNUMBER(SEARCH("Thermostat",C32)),"1","")</f>
        <v/>
      </c>
      <c r="U32" s="962"/>
      <c r="V32" s="846"/>
      <c r="W32" s="847"/>
      <c r="X32" s="832"/>
      <c r="Y32" s="833"/>
      <c r="Z32" s="834"/>
      <c r="AA32" s="945"/>
      <c r="AB32" s="937"/>
      <c r="AC32" s="937"/>
      <c r="AD32" s="938"/>
      <c r="AE32" s="941" t="str">
        <f>IF(C32="","",INDEX(PMEHVAC[Unit of Measure],MATCH(C32,PMEHVAC[Eff Desc 1],0)))</f>
        <v/>
      </c>
      <c r="AF32" s="941"/>
      <c r="AG32" s="941"/>
      <c r="AH32" s="942"/>
      <c r="AI32" s="917" t="str">
        <f>IF(OR(C32="",N32="",T32="",V32="",X32="",AA32="",AC32=""),"",INDEX(PMEHVAC[Inc Rate Unit],MATCH(C32,PMEHVAC[Eff Desc 1],0)))</f>
        <v/>
      </c>
      <c r="AJ32" s="918"/>
      <c r="AK32" s="904" t="str">
        <f t="shared" ref="AK32" si="36">IFERROR(IF(OR(C32="",N32="",T32="",V32="",X32="",AA32="",AC32="",),"",IF(AW32&lt;=0,0,AW32)),"")</f>
        <v/>
      </c>
      <c r="AL32" s="905"/>
      <c r="AM32" s="905"/>
      <c r="AN32" s="969"/>
      <c r="AO32" s="951" t="str">
        <f t="shared" ref="AO32" si="37">IFERROR(IF(OR(C32="",N32="",V32="",X32="",T32="",AA32="",AC32=""),"",IF(BC32&lt;&gt;"",BC32,ROUND(IF(AK32&lt;=0,0,IF(AE32="Thermostat",MIN(AU32*1,AI32*V32),IF(AE32="$/0.1 kW/ton 
improvement/ton",MIN(AU32*1,(L32-N32)*10*V32*AI32),MIN(AU32*1,(N32-L32)*V32*AI32)))),2))),"")</f>
        <v/>
      </c>
      <c r="AP32" s="952"/>
      <c r="AQ32" s="953"/>
      <c r="AR32" s="59"/>
      <c r="AS32" s="59"/>
      <c r="AT32" s="59"/>
      <c r="AU32" s="808" t="str">
        <f t="shared" ref="AU32" si="38">IF(OR(C32="",N32="",T32="",V32="",X32="",AA32="",AE32="",AC32=""),"",IF(AK32="","",ROUND((AA32+AC32),2)))</f>
        <v/>
      </c>
      <c r="AV32" s="922" t="str">
        <f>IF(OR(C32="",N32="",T32="",V32="",X32="",AA32="",AC32="",AE32=""),"",ROUND(IF(ISNUMBER(SEARCH("Unit",AE32)),(V32/12)*(1/((-0.02*N32^2)+(1.12*N32)))*0.177*0.08*0.457,IF(ISNUMBER(SEARCH("kW",AE32)),V32*((R32)-(T32))*INDEX(ENDUSEALL[Lighting Coincidence Factor],MATCH(AX32,ENDUSEALL[End Use],0)),
IF(ISNUMBER(SEARCH("Thermostat",AE32)),INDEX(PMEHVAC[Savings per Unit kW],MATCH(C32,PMEHVAC[Eff Desc 1],0))*V32,
IF(ISNUMBER(SEARCH("IPLV",AE32)),V32*((R32)-(T32))*INDEX(ENDUSEALL[Lighting Coincidence Factor],MATCH(AX32,ENDUSEALL[End Use],0)),
(V32*12)*((1/L32)-(1/N32))*INDEX(ENDUSEALL[Lighting Coincidence Factor],MATCH(AX32,ENDUSEALL[End Use],0)))))),3))</f>
        <v/>
      </c>
      <c r="AW32" s="974" t="str">
        <f>IFERROR(ROUND(
IF(ISNUMBER(SEARCH("Thermostat",C32)),INDEX(PMEHVAC[Savings per Unit kWh],MATCH(C32,PMEHVAC[Eff Desc 1],0)),
IF(ISNUMBER(SEARCH("Water Cooled Chiller - Centrifugal",C32)),V32*((L32*1.143)-((1/(0.401/N32+0.383/N32+0.179/N32+0.037/N32))))*INDEX(PMEHVAC[EFLHcool],MATCH(C32,PMEHVAC[Eff Desc 1],0)),
IF(ISNUMBER(SEARCH("Water Cooled Chiller - Screw",C32)),V32*((L32*1.178)-((1/(0.401/N32+0.383/N32+0.179/N32+0.037/N32))))*INDEX(PMEHVAC[EFLHcool],MATCH(C32,PMEHVAC[Eff Desc 1],0)),
IF(ISNUMBER(SEARCH("Air Cooled Chiller",C32)),V32*(12/(L32*0.86)-12/(0.401*N32+0.383*N32+0.179*N32+0.037*N32))*INDEX(PMEHVAC[EFLHcool],MATCH(C32,PMEHVAC[Eff Desc 1],0)),
IF(ISNUMBER(SEARCH("DX",C32)),(V32*12)*((1/L32)-(1/N32))*INDEX(PMEHVAC[EFLHcool],MATCH(C32,PMEHVAC[Eff Desc 1],0)),
IF(ISNUMBER(SEARCH("PTAC",C32)),(V32*12)*((1/L32)-(1/N32))*INDEX(PMEHVAC[EFLHcool],MATCH(C32,PMEHVAC[Eff Desc 1],0)),
IF(ISNUMBER(SEARCH("PTHP",C32)),((V32*12)*((1/L32)-(1/N32))*INDEX(PMEHVAC[EFLHcool],MATCH(C32,PMEHVAC[Eff Desc 1],0)))+(((V32*12)/3.412)*((1/R32)-(1/T32))*INDEX(PMEHVAC[EFLHheat],MATCH(C32,PMEHVAC[Eff Desc 1],0))),
IF(OR(ISNUMBER(SEARCH("ASHP",C32)),ISNUMBER(SEARCH("WSHP",C32)),ISNUMBER(SEARCH("Water Source",C32)),ISNUMBER(SEARCH("GSHP",C32))),((V32*12)*((1/L32)-(1/N32))*INDEX(PMEHVAC[EFLHcool],MATCH(C32,PMEHVAC[Eff Desc 1],0)))+(IF(P32="HSPF2",(V32*12),((V32*12)/3.412))*((1/R32)-(1/T32))*INDEX(PMEHVAC[EFLHheat],MATCH(C32,PMEHVAC[Eff Desc 1],0))),
"")))))))),0),"")</f>
        <v/>
      </c>
      <c r="AX32" s="922" t="str">
        <f>IF(OR(C32="",N32="",T32="",V32="",X32="",AA32="",AE32="",AC32=""),"",INDEX(PMEHVAC[End Use Category],MATCH(C32,PMEHVAC[Eff Desc 1],0)))</f>
        <v/>
      </c>
      <c r="AY32" s="900" t="str">
        <f>IF(OR(C32="",N32="",T32="",V32="",X32="",AA32="",AE32="",AC32=""),"",INDEX(PMEHVAC[Therms],MATCH(C32,PMEHVAC[Eff Desc 1],0)))</f>
        <v/>
      </c>
      <c r="BC32" s="892" t="str">
        <f>IFERROR(IF(OR(C32="",N32="",V32="",X32="",T32="",AA32="",AC32=""),"",IF(OR(ISBLANK(M02S02F26),ISBLANK(M02S02F32),ISBLANK(M02S02F46)),MEASUREBLDG,IF(ISNUMBER(SEARCH("Thermostat",C32)),"",
IF(ISNUMBER(SEARCH("Water Cooled",C32)),IF(N32&gt;=L32,"Must Improve Efficiency",""),IF(N32&lt;=L32,"Must Improve Efficiency",""))))),"")</f>
        <v/>
      </c>
      <c r="BE32" s="806" t="str">
        <f ca="1">IF(OR(N32="",T32="",C32="",V32="",X32="",AA32="",AE32="",AC32=""),"",IF('M01-S01'!$V$82&lt;TODAY(),0,IF(M02S02F46="Gas Only",0,IF(OR(AK32="",AK32&lt;0,AU32&lt;=AO32),0,MIN(AU32-AO32,ROUND(AO32*0.2,2))))))</f>
        <v/>
      </c>
    </row>
    <row r="33" spans="2:78" ht="15.95" customHeight="1">
      <c r="B33" s="829"/>
      <c r="C33" s="835"/>
      <c r="D33" s="836"/>
      <c r="E33" s="836"/>
      <c r="F33" s="836"/>
      <c r="G33" s="836"/>
      <c r="H33" s="836"/>
      <c r="I33" s="836"/>
      <c r="J33" s="949"/>
      <c r="K33" s="950"/>
      <c r="L33" s="967"/>
      <c r="M33" s="968"/>
      <c r="N33" s="963"/>
      <c r="O33" s="964"/>
      <c r="P33" s="949"/>
      <c r="Q33" s="950"/>
      <c r="R33" s="949"/>
      <c r="S33" s="950"/>
      <c r="T33" s="963"/>
      <c r="U33" s="964"/>
      <c r="V33" s="848"/>
      <c r="W33" s="849"/>
      <c r="X33" s="835"/>
      <c r="Y33" s="836"/>
      <c r="Z33" s="837"/>
      <c r="AA33" s="946"/>
      <c r="AB33" s="939"/>
      <c r="AC33" s="939"/>
      <c r="AD33" s="940"/>
      <c r="AE33" s="943"/>
      <c r="AF33" s="943"/>
      <c r="AG33" s="943"/>
      <c r="AH33" s="944"/>
      <c r="AI33" s="919"/>
      <c r="AJ33" s="865"/>
      <c r="AK33" s="906"/>
      <c r="AL33" s="907"/>
      <c r="AM33" s="907"/>
      <c r="AN33" s="936"/>
      <c r="AO33" s="954"/>
      <c r="AP33" s="955"/>
      <c r="AQ33" s="956"/>
      <c r="AR33" s="59"/>
      <c r="AU33" s="809"/>
      <c r="AV33" s="901"/>
      <c r="AW33" s="975"/>
      <c r="AX33" s="901"/>
      <c r="AY33" s="901"/>
      <c r="AZ33"/>
      <c r="BA33"/>
      <c r="BB33"/>
      <c r="BC33" s="826"/>
      <c r="BD33"/>
      <c r="BE33" s="807"/>
      <c r="BF33"/>
      <c r="BG33"/>
      <c r="BH33"/>
      <c r="BI33"/>
      <c r="BJ33"/>
      <c r="BK33"/>
      <c r="BL33"/>
      <c r="BM33"/>
      <c r="BN33"/>
      <c r="BO33"/>
      <c r="BP33"/>
      <c r="BQ33"/>
      <c r="BR33"/>
      <c r="BS33"/>
      <c r="BT33"/>
      <c r="BU33"/>
      <c r="BV33"/>
      <c r="BW33"/>
      <c r="BX33"/>
      <c r="BY33"/>
      <c r="BZ33"/>
    </row>
    <row r="34" spans="2:78" ht="15.95" customHeight="1">
      <c r="B34" s="829">
        <v>10</v>
      </c>
      <c r="C34" s="866"/>
      <c r="D34" s="867"/>
      <c r="E34" s="867"/>
      <c r="F34" s="867"/>
      <c r="G34" s="867"/>
      <c r="H34" s="867"/>
      <c r="I34" s="867"/>
      <c r="J34" s="947" t="str">
        <f>IF(C34="","",INDEX(PMEHVAC[Base Desc 1],MATCH(C34,PMEHVAC[Eff Desc 1],0)))</f>
        <v/>
      </c>
      <c r="K34" s="948"/>
      <c r="L34" s="965" t="str">
        <f>IF(C34="","",INDEX(PMEHVAC[Base Desc 2],MATCH(C34,PMEHVAC[Eff Desc 1],0)))</f>
        <v/>
      </c>
      <c r="M34" s="966"/>
      <c r="N34" s="961" t="str">
        <f t="shared" ref="N34" si="39">IF(ISNUMBER(SEARCH("Thermostat",C34)),"1","")</f>
        <v/>
      </c>
      <c r="O34" s="962"/>
      <c r="P34" s="947" t="str">
        <f>IF(C34="","",INDEX(PMEHVAC[Base Watt],MATCH(C34,PMEHVAC[Eff Desc 1],0)))</f>
        <v/>
      </c>
      <c r="Q34" s="948"/>
      <c r="R34" s="947" t="str">
        <f>IF(C34="","",INDEX(PMEHVAC[Base Watt 2],MATCH(C34,PMEHVAC[Eff Desc 1],0)))</f>
        <v/>
      </c>
      <c r="S34" s="948"/>
      <c r="T34" s="961" t="str">
        <f t="shared" ref="T34" si="40">IF(ISNUMBER(SEARCH("Thermostat",C34)),"1","")</f>
        <v/>
      </c>
      <c r="U34" s="962"/>
      <c r="V34" s="846"/>
      <c r="W34" s="847"/>
      <c r="X34" s="832"/>
      <c r="Y34" s="833"/>
      <c r="Z34" s="834"/>
      <c r="AA34" s="945"/>
      <c r="AB34" s="937"/>
      <c r="AC34" s="937"/>
      <c r="AD34" s="938"/>
      <c r="AE34" s="941" t="str">
        <f>IF(C34="","",INDEX(PMEHVAC[Unit of Measure],MATCH(C34,PMEHVAC[Eff Desc 1],0)))</f>
        <v/>
      </c>
      <c r="AF34" s="941"/>
      <c r="AG34" s="941"/>
      <c r="AH34" s="942"/>
      <c r="AI34" s="917" t="str">
        <f>IF(OR(C34="",N34="",T34="",V34="",X34="",AA34="",AC34=""),"",INDEX(PMEHVAC[Inc Rate Unit],MATCH(C34,PMEHVAC[Eff Desc 1],0)))</f>
        <v/>
      </c>
      <c r="AJ34" s="918"/>
      <c r="AK34" s="904" t="str">
        <f t="shared" ref="AK34" si="41">IFERROR(IF(OR(C34="",N34="",T34="",V34="",X34="",AA34="",AC34="",),"",IF(AW34&lt;=0,0,AW34)),"")</f>
        <v/>
      </c>
      <c r="AL34" s="905"/>
      <c r="AM34" s="905"/>
      <c r="AN34" s="969"/>
      <c r="AO34" s="951" t="str">
        <f t="shared" ref="AO34" si="42">IFERROR(IF(OR(C34="",N34="",V34="",X34="",T34="",AA34="",AC34=""),"",IF(BC34&lt;&gt;"",BC34,ROUND(IF(AK34&lt;=0,0,IF(AE34="Thermostat",MIN(AU34*1,AI34*V34),IF(AE34="$/0.1 kW/ton 
improvement/ton",MIN(AU34*1,(L34-N34)*10*V34*AI34),MIN(AU34*1,(N34-L34)*V34*AI34)))),2))),"")</f>
        <v/>
      </c>
      <c r="AP34" s="952"/>
      <c r="AQ34" s="953"/>
      <c r="AR34" s="59"/>
      <c r="AU34" s="808" t="str">
        <f t="shared" ref="AU34" si="43">IF(OR(C34="",N34="",T34="",V34="",X34="",AA34="",AE34="",AC34=""),"",IF(AK34="","",ROUND((AA34+AC34),2)))</f>
        <v/>
      </c>
      <c r="AV34" s="922" t="str">
        <f>IF(OR(C34="",N34="",T34="",V34="",X34="",AA34="",AC34="",AE34=""),"",ROUND(IF(ISNUMBER(SEARCH("Unit",AE34)),(V34/12)*(1/((-0.02*N34^2)+(1.12*N34)))*0.177*0.08*0.457,IF(ISNUMBER(SEARCH("kW",AE34)),V34*((R34)-(T34))*INDEX(ENDUSEALL[Lighting Coincidence Factor],MATCH(AX34,ENDUSEALL[End Use],0)),
IF(ISNUMBER(SEARCH("Thermostat",AE34)),INDEX(PMEHVAC[Savings per Unit kW],MATCH(C34,PMEHVAC[Eff Desc 1],0))*V34,
IF(ISNUMBER(SEARCH("IPLV",AE34)),V34*((R34)-(T34))*INDEX(ENDUSEALL[Lighting Coincidence Factor],MATCH(AX34,ENDUSEALL[End Use],0)),
(V34*12)*((1/L34)-(1/N34))*INDEX(ENDUSEALL[Lighting Coincidence Factor],MATCH(AX34,ENDUSEALL[End Use],0)))))),3))</f>
        <v/>
      </c>
      <c r="AW34" s="974" t="str">
        <f>IFERROR(ROUND(
IF(ISNUMBER(SEARCH("Thermostat",C34)),INDEX(PMEHVAC[Savings per Unit kWh],MATCH(C34,PMEHVAC[Eff Desc 1],0)),
IF(ISNUMBER(SEARCH("Water Cooled Chiller - Centrifugal",C34)),V34*((L34*1.143)-((1/(0.401/N34+0.383/N34+0.179/N34+0.037/N34))))*INDEX(PMEHVAC[EFLHcool],MATCH(C34,PMEHVAC[Eff Desc 1],0)),
IF(ISNUMBER(SEARCH("Water Cooled Chiller - Screw",C34)),V34*((L34*1.178)-((1/(0.401/N34+0.383/N34+0.179/N34+0.037/N34))))*INDEX(PMEHVAC[EFLHcool],MATCH(C34,PMEHVAC[Eff Desc 1],0)),
IF(ISNUMBER(SEARCH("Air Cooled Chiller",C34)),V34*(12/(L34*0.86)-12/(0.401*N34+0.383*N34+0.179*N34+0.037*N34))*INDEX(PMEHVAC[EFLHcool],MATCH(C34,PMEHVAC[Eff Desc 1],0)),
IF(ISNUMBER(SEARCH("DX",C34)),(V34*12)*((1/L34)-(1/N34))*INDEX(PMEHVAC[EFLHcool],MATCH(C34,PMEHVAC[Eff Desc 1],0)),
IF(ISNUMBER(SEARCH("PTAC",C34)),(V34*12)*((1/L34)-(1/N34))*INDEX(PMEHVAC[EFLHcool],MATCH(C34,PMEHVAC[Eff Desc 1],0)),
IF(ISNUMBER(SEARCH("PTHP",C34)),((V34*12)*((1/L34)-(1/N34))*INDEX(PMEHVAC[EFLHcool],MATCH(C34,PMEHVAC[Eff Desc 1],0)))+(((V34*12)/3.412)*((1/R34)-(1/T34))*INDEX(PMEHVAC[EFLHheat],MATCH(C34,PMEHVAC[Eff Desc 1],0))),
IF(OR(ISNUMBER(SEARCH("ASHP",C34)),ISNUMBER(SEARCH("WSHP",C34)),ISNUMBER(SEARCH("Water Source",C34)),ISNUMBER(SEARCH("GSHP",C34))),((V34*12)*((1/L34)-(1/N34))*INDEX(PMEHVAC[EFLHcool],MATCH(C34,PMEHVAC[Eff Desc 1],0)))+(IF(P34="HSPF2",(V34*12),((V34*12)/3.412))*((1/R34)-(1/T34))*INDEX(PMEHVAC[EFLHheat],MATCH(C34,PMEHVAC[Eff Desc 1],0))),
"")))))))),0),"")</f>
        <v/>
      </c>
      <c r="AX34" s="922" t="str">
        <f>IF(OR(C34="",N34="",T34="",V34="",X34="",AA34="",AE34="",AC34=""),"",INDEX(PMEHVAC[End Use Category],MATCH(C34,PMEHVAC[Eff Desc 1],0)))</f>
        <v/>
      </c>
      <c r="AY34" s="900" t="str">
        <f>IF(OR(C34="",N34="",T34="",V34="",X34="",AA34="",AE34="",AC34=""),"",INDEX(PMEHVAC[Therms],MATCH(C34,PMEHVAC[Eff Desc 1],0)))</f>
        <v/>
      </c>
      <c r="AZ34"/>
      <c r="BA34"/>
      <c r="BB34"/>
      <c r="BC34" s="892" t="str">
        <f>IFERROR(IF(OR(C34="",N34="",V34="",X34="",T34="",AA34="",AC34=""),"",IF(OR(ISBLANK(M02S02F26),ISBLANK(M02S02F32),ISBLANK(M02S02F46)),MEASUREBLDG,IF(ISNUMBER(SEARCH("Thermostat",C34)),"",
IF(ISNUMBER(SEARCH("Water Cooled",C34)),IF(N34&gt;=L34,"Must Improve Efficiency",""),IF(N34&lt;=L34,"Must Improve Efficiency",""))))),"")</f>
        <v/>
      </c>
      <c r="BD34"/>
      <c r="BE34" s="806" t="str">
        <f ca="1">IF(OR(N34="",T34="",C34="",V34="",X34="",AA34="",AE34="",AC34=""),"",IF('M01-S01'!$V$82&lt;TODAY(),0,IF(M02S02F46="Gas Only",0,IF(OR(AK34="",AK34&lt;0,AU34&lt;=AO34),0,MIN(AU34-AO34,ROUND(AO34*0.2,2))))))</f>
        <v/>
      </c>
      <c r="BF34"/>
      <c r="BG34"/>
      <c r="BH34"/>
      <c r="BI34"/>
      <c r="BJ34"/>
      <c r="BK34"/>
      <c r="BL34"/>
      <c r="BM34"/>
      <c r="BN34"/>
      <c r="BO34"/>
      <c r="BP34"/>
      <c r="BQ34"/>
      <c r="BR34"/>
      <c r="BS34"/>
      <c r="BT34"/>
      <c r="BU34"/>
      <c r="BV34"/>
      <c r="BW34"/>
      <c r="BX34"/>
      <c r="BY34"/>
      <c r="BZ34"/>
    </row>
    <row r="35" spans="2:78" ht="15.95" customHeight="1">
      <c r="B35" s="829"/>
      <c r="C35" s="835"/>
      <c r="D35" s="836"/>
      <c r="E35" s="836"/>
      <c r="F35" s="836"/>
      <c r="G35" s="836"/>
      <c r="H35" s="836"/>
      <c r="I35" s="836"/>
      <c r="J35" s="949"/>
      <c r="K35" s="950"/>
      <c r="L35" s="967"/>
      <c r="M35" s="968"/>
      <c r="N35" s="963"/>
      <c r="O35" s="964"/>
      <c r="P35" s="949"/>
      <c r="Q35" s="950"/>
      <c r="R35" s="949"/>
      <c r="S35" s="950"/>
      <c r="T35" s="963"/>
      <c r="U35" s="964"/>
      <c r="V35" s="848"/>
      <c r="W35" s="849"/>
      <c r="X35" s="835"/>
      <c r="Y35" s="836"/>
      <c r="Z35" s="837"/>
      <c r="AA35" s="946"/>
      <c r="AB35" s="939"/>
      <c r="AC35" s="939"/>
      <c r="AD35" s="940"/>
      <c r="AE35" s="943"/>
      <c r="AF35" s="943"/>
      <c r="AG35" s="943"/>
      <c r="AH35" s="944"/>
      <c r="AI35" s="919"/>
      <c r="AJ35" s="865"/>
      <c r="AK35" s="906"/>
      <c r="AL35" s="907"/>
      <c r="AM35" s="907"/>
      <c r="AN35" s="936"/>
      <c r="AO35" s="954"/>
      <c r="AP35" s="955"/>
      <c r="AQ35" s="956"/>
      <c r="AR35" s="59"/>
      <c r="AU35" s="809"/>
      <c r="AV35" s="901"/>
      <c r="AW35" s="975"/>
      <c r="AX35" s="901"/>
      <c r="AY35" s="901"/>
      <c r="AZ35"/>
      <c r="BA35"/>
      <c r="BB35"/>
      <c r="BC35" s="826"/>
      <c r="BD35"/>
      <c r="BE35" s="807"/>
      <c r="BF35"/>
      <c r="BG35"/>
      <c r="BH35"/>
      <c r="BI35"/>
      <c r="BJ35"/>
      <c r="BK35"/>
      <c r="BL35"/>
      <c r="BM35"/>
      <c r="BN35"/>
      <c r="BO35"/>
      <c r="BP35"/>
      <c r="BQ35"/>
      <c r="BR35"/>
      <c r="BS35"/>
      <c r="BT35"/>
      <c r="BU35"/>
      <c r="BV35"/>
      <c r="BW35"/>
      <c r="BX35"/>
      <c r="BY35"/>
      <c r="BZ35"/>
    </row>
    <row r="36" spans="2:78" ht="15.95" hidden="1" customHeight="1">
      <c r="B36" s="829">
        <v>11</v>
      </c>
      <c r="C36" s="866"/>
      <c r="D36" s="867"/>
      <c r="E36" s="867"/>
      <c r="F36" s="867"/>
      <c r="G36" s="867"/>
      <c r="H36" s="867"/>
      <c r="I36" s="867"/>
      <c r="J36" s="947" t="str">
        <f>IF(C36="","",INDEX(PMEHVAC[Base Desc 1],MATCH(C36,PMEHVAC[Eff Desc 1],0)))</f>
        <v/>
      </c>
      <c r="K36" s="948"/>
      <c r="L36" s="957" t="str">
        <f>IF(C36="","",INDEX(PMEHVAC[Base Desc 2],MATCH(C36,PMEHVAC[Eff Desc 1],0)))</f>
        <v/>
      </c>
      <c r="M36" s="958"/>
      <c r="N36" s="846"/>
      <c r="O36" s="847"/>
      <c r="P36" s="947" t="str">
        <f>IF(C36="","",INDEX(PMEHVAC[Base Watt],MATCH(C36,PMEHVAC[Eff Desc 1],0)))</f>
        <v/>
      </c>
      <c r="Q36" s="948"/>
      <c r="R36" s="947" t="str">
        <f>IF(C36="","",INDEX(PMEHVAC[Base Watt 2],MATCH(C36,PMEHVAC[Eff Desc 1],0)))</f>
        <v/>
      </c>
      <c r="S36" s="948"/>
      <c r="T36" s="961"/>
      <c r="U36" s="962"/>
      <c r="V36" s="846"/>
      <c r="W36" s="847"/>
      <c r="X36" s="832"/>
      <c r="Y36" s="833"/>
      <c r="Z36" s="834"/>
      <c r="AA36" s="945"/>
      <c r="AB36" s="937"/>
      <c r="AC36" s="937"/>
      <c r="AD36" s="938"/>
      <c r="AE36" s="941" t="str">
        <f>IF(C36="","",INDEX(PMEHVAC[Unit of Measure],MATCH(C36,PMEHVAC[Eff Desc 1],0)))</f>
        <v/>
      </c>
      <c r="AF36" s="941"/>
      <c r="AG36" s="941"/>
      <c r="AH36" s="942"/>
      <c r="AI36" s="917" t="str">
        <f>IF(OR(C36="",N36="",T36="",V36="",X36="",AA36="",AC36=""),"",INDEX(PMEHVAC[Inc Rate Unit],MATCH(C36,PMEHVAC[Eff Desc 1],0)))</f>
        <v/>
      </c>
      <c r="AJ36" s="918"/>
      <c r="AK36" s="933" t="str">
        <f t="shared" ref="AK36" si="44">IFERROR(IF(OR(C36="",N36="",T36="",V36="",X36="",AA36="",AC36="",),"",AW36),"")</f>
        <v/>
      </c>
      <c r="AL36" s="934"/>
      <c r="AM36" s="934"/>
      <c r="AN36" s="935"/>
      <c r="AO36" s="924" t="str">
        <f t="shared" ref="AO36" si="45">IFERROR(IF(OR(C36="",N36="",V36="",X36="",T36="",AA36="",AC36=""),"",IF(BC36&lt;&gt;"",BC36,ROUND(IF(AK36&lt;=0,0,IF(AE36="unit",MIN(AU36*1,AI36),MIN(AU36*1,(N36-L36)*V36*AI36))),2))),"")</f>
        <v/>
      </c>
      <c r="AP36" s="925"/>
      <c r="AQ36" s="863"/>
      <c r="AR36" s="59"/>
      <c r="AU36" s="808" t="str">
        <f t="shared" ref="AU36" si="46">IF(OR(C36="",N36="",T36="",V36="",X36="",AA36="",AE36="",AC36=""),"",IF(AK36="","",ROUND((AA36+AC36),2)))</f>
        <v/>
      </c>
      <c r="AV36" s="922" t="str">
        <f>IF(OR(C36="",N36="",T36="",V36="",X36="",AA36="",AC36="",AE36=""),"",ROUND(IF(ISNUMBER(SEARCH("Unit",AE36)),(V36/12)*(1/((-0.02*N36^2)+(1.12*N36)))*0.177*0.08*0.457,
(V36*12)*((1/L36)-(1/N36))*INDEX(ENDUSEALL[Lighting Coincidence Factor],MATCH(AX36,ENDUSEALL[End Use],0))),3))</f>
        <v/>
      </c>
      <c r="AW36" s="900" t="str">
        <f>IFERROR(ROUND(
IF(ISNUMBER(SEARCH("DX",C36)),(V36*12)*((1/L36)-(1/N36))*INDEX(PMEHVAC[EFLHcool],MATCH(C36,PMEHVAC[Eff Desc 1],0)),
IF(ISNUMBER(SEARCH("PTAC",C36)),(V36*12)*((1/L36)-(1/N36))*INDEX(PMEHVAC[EFLHcool],MATCH(C36,PMEHVAC[Eff Desc 1],0)),
IF(ISNUMBER(SEARCH("PTHP",C36)),((V36*12)*((1/L36)-(1/N36))*INDEX(PMEHVAC[EFLHcool],MATCH(C36,PMEHVAC[Eff Desc 1],0)))+(((V36*12)/3.412)*((1/R36)-(1/T36))*INDEX(PMEHVAC[EFLHheat],MATCH(C36,PMEHVAC[Eff Desc 1],0))),
IF(OR(ISNUMBER(SEARCH("ASHP",C36)),ISNUMBER(SEARCH("WSHP",C36)),ISNUMBER(SEARCH("Water Source",C36)),ISNUMBER(SEARCH("GSHP",C36))),((V36*12)*((1/L36)-(1/N36))*INDEX(PMEHVAC[EFLHcool],MATCH(C36,PMEHVAC[Eff Desc 1],0)))+(IF(P36="HSPF",(V36*12),((V36*12)/3.412))*((1/R36)-(1/T36))*INDEX(PMEHVAC[EFLHheat],MATCH(C36,PMEHVAC[Eff Desc 1],0))),
"")))),0),"")</f>
        <v/>
      </c>
      <c r="AX36" s="922" t="str">
        <f>IF(OR(C36="",N36="",T36="",V36="",X36="",AA36="",AE36="",AC36=""),"",INDEX(PMEHVAC[End Use Category],MATCH(C36,PMEHVAC[Eff Desc 1],0)))</f>
        <v/>
      </c>
    </row>
    <row r="37" spans="2:78" ht="15.95" hidden="1" customHeight="1">
      <c r="B37" s="829"/>
      <c r="C37" s="835"/>
      <c r="D37" s="836"/>
      <c r="E37" s="836"/>
      <c r="F37" s="836"/>
      <c r="G37" s="836"/>
      <c r="H37" s="836"/>
      <c r="I37" s="836"/>
      <c r="J37" s="949"/>
      <c r="K37" s="950"/>
      <c r="L37" s="959"/>
      <c r="M37" s="960"/>
      <c r="N37" s="848"/>
      <c r="O37" s="849"/>
      <c r="P37" s="949"/>
      <c r="Q37" s="950"/>
      <c r="R37" s="949"/>
      <c r="S37" s="950"/>
      <c r="T37" s="963"/>
      <c r="U37" s="964"/>
      <c r="V37" s="848"/>
      <c r="W37" s="849"/>
      <c r="X37" s="835"/>
      <c r="Y37" s="836"/>
      <c r="Z37" s="837"/>
      <c r="AA37" s="946"/>
      <c r="AB37" s="939"/>
      <c r="AC37" s="939"/>
      <c r="AD37" s="940"/>
      <c r="AE37" s="943"/>
      <c r="AF37" s="943"/>
      <c r="AG37" s="943"/>
      <c r="AH37" s="944"/>
      <c r="AI37" s="919"/>
      <c r="AJ37" s="865"/>
      <c r="AK37" s="906"/>
      <c r="AL37" s="907"/>
      <c r="AM37" s="907"/>
      <c r="AN37" s="936"/>
      <c r="AO37" s="919"/>
      <c r="AP37" s="926"/>
      <c r="AQ37" s="865"/>
      <c r="AR37" s="59"/>
      <c r="AU37" s="809"/>
      <c r="AV37" s="901"/>
      <c r="AW37" s="901"/>
      <c r="AX37" s="901"/>
    </row>
    <row r="38" spans="2:78" ht="15.95" hidden="1" customHeight="1">
      <c r="B38" s="829">
        <v>12</v>
      </c>
      <c r="C38" s="866"/>
      <c r="D38" s="867"/>
      <c r="E38" s="867"/>
      <c r="F38" s="867"/>
      <c r="G38" s="867"/>
      <c r="H38" s="867"/>
      <c r="I38" s="867"/>
      <c r="J38" s="947" t="str">
        <f>IF(C38="","",INDEX(PMEHVAC[Base Desc 1],MATCH(C38,PMEHVAC[Eff Desc 1],0)))</f>
        <v/>
      </c>
      <c r="K38" s="948"/>
      <c r="L38" s="947" t="str">
        <f>IF(C38="","",INDEX(PMEHVAC[Base Desc 2],MATCH(C38,PMEHVAC[Eff Desc 1],0)))</f>
        <v/>
      </c>
      <c r="M38" s="948"/>
      <c r="N38" s="846"/>
      <c r="O38" s="847"/>
      <c r="P38" s="947" t="str">
        <f>IF(C38="","",INDEX(PMEHVAC[Base Watt],MATCH(C38,PMEHVAC[Eff Desc 1],0)))</f>
        <v/>
      </c>
      <c r="Q38" s="948"/>
      <c r="R38" s="947" t="str">
        <f>IF(C38="","",INDEX(PMEHVAC[Base Watt 2],MATCH(C38,PMEHVAC[Eff Desc 1],0)))</f>
        <v/>
      </c>
      <c r="S38" s="948"/>
      <c r="T38" s="961"/>
      <c r="U38" s="962"/>
      <c r="V38" s="846"/>
      <c r="W38" s="847"/>
      <c r="X38" s="832"/>
      <c r="Y38" s="833"/>
      <c r="Z38" s="834"/>
      <c r="AA38" s="945"/>
      <c r="AB38" s="937"/>
      <c r="AC38" s="937"/>
      <c r="AD38" s="938"/>
      <c r="AE38" s="941" t="str">
        <f>IF(C38="","",INDEX(PMEHVAC[Unit of Measure],MATCH(C38,PMEHVAC[Eff Desc 1],0)))</f>
        <v/>
      </c>
      <c r="AF38" s="941"/>
      <c r="AG38" s="941"/>
      <c r="AH38" s="942"/>
      <c r="AI38" s="917" t="str">
        <f>IF(OR(C38="",N38="",T38="",V38="",X38="",AA38="",AC38=""),"",INDEX(PMEHVAC[Inc Rate Unit],MATCH(C38,PMEHVAC[Eff Desc 1],0)))</f>
        <v/>
      </c>
      <c r="AJ38" s="918"/>
      <c r="AK38" s="933" t="str">
        <f t="shared" ref="AK38" si="47">IFERROR(IF(OR(C38="",N38="",T38="",V38="",X38="",AA38="",AC38="",),"",AW38),"")</f>
        <v/>
      </c>
      <c r="AL38" s="934"/>
      <c r="AM38" s="934"/>
      <c r="AN38" s="935"/>
      <c r="AO38" s="924" t="str">
        <f t="shared" ref="AO38" si="48">IFERROR(IF(OR(C38="",N38="",V38="",X38="",T38="",AA38="",AC38=""),"",IF(BC38&lt;&gt;"",BC38,ROUND(IF(AK38&lt;=0,0,IF(AE38="unit",MIN(AU38*1,AI38),MIN(AU38*1,(N38-L38)*V38*AI38))),2))),"")</f>
        <v/>
      </c>
      <c r="AP38" s="925"/>
      <c r="AQ38" s="863"/>
      <c r="AR38" s="59"/>
      <c r="AU38" s="808" t="str">
        <f t="shared" ref="AU38" si="49">IF(OR(C38="",N38="",T38="",V38="",X38="",AA38="",AE38="",AC38=""),"",IF(AK38="","",ROUND((AA38+AC38),2)))</f>
        <v/>
      </c>
      <c r="AV38" s="922" t="str">
        <f>IF(OR(C38="",N38="",T38="",V38="",X38="",AA38="",AC38="",AE38=""),"",ROUND(IF(ISNUMBER(SEARCH("Unit",AE38)),(V38/12)*(1/((-0.02*N38^2)+(1.12*N38)))*0.177*0.08*0.457,
(V38*12)*((1/L38)-(1/N38))*INDEX(ENDUSEALL[Lighting Coincidence Factor],MATCH(AX38,ENDUSEALL[End Use],0))),3))</f>
        <v/>
      </c>
      <c r="AW38" s="900" t="str">
        <f>IFERROR(ROUND(
IF(ISNUMBER(SEARCH("DX",C38)),(V38*12)*((1/L38)-(1/N38))*INDEX(PMEHVAC[EFLHcool],MATCH(C38,PMEHVAC[Eff Desc 1],0)),
IF(ISNUMBER(SEARCH("PTAC",C38)),(V38*12)*((1/L38)-(1/N38))*INDEX(PMEHVAC[EFLHcool],MATCH(C38,PMEHVAC[Eff Desc 1],0)),
IF(ISNUMBER(SEARCH("PTHP",C38)),((V38*12)*((1/L38)-(1/N38))*INDEX(PMEHVAC[EFLHcool],MATCH(C38,PMEHVAC[Eff Desc 1],0)))+(((V38*12)/3.412)*((1/R38)-(1/T38))*INDEX(PMEHVAC[EFLHheat],MATCH(C38,PMEHVAC[Eff Desc 1],0))),
IF(OR(ISNUMBER(SEARCH("ASHP",C38)),ISNUMBER(SEARCH("WSHP",C38)),ISNUMBER(SEARCH("Water Source",C38)),ISNUMBER(SEARCH("GSHP",C38))),((V38*12)*((1/L38)-(1/N38))*INDEX(PMEHVAC[EFLHcool],MATCH(C38,PMEHVAC[Eff Desc 1],0)))+(IF(P38="HSPF",(V38*12),((V38*12)/3.412))*((1/R38)-(1/T38))*INDEX(PMEHVAC[EFLHheat],MATCH(C38,PMEHVAC[Eff Desc 1],0))),
"")))),0),"")</f>
        <v/>
      </c>
      <c r="AX38" s="922" t="str">
        <f>IF(OR(C38="",N38="",T38="",V38="",X38="",AA38="",AE38="",AC38=""),"",INDEX(PMEHVAC[End Use Category],MATCH(C38,PMEHVAC[Eff Desc 1],0)))</f>
        <v/>
      </c>
    </row>
    <row r="39" spans="2:78" ht="15.95" hidden="1" customHeight="1">
      <c r="B39" s="829"/>
      <c r="C39" s="835"/>
      <c r="D39" s="836"/>
      <c r="E39" s="836"/>
      <c r="F39" s="836"/>
      <c r="G39" s="836"/>
      <c r="H39" s="836"/>
      <c r="I39" s="836"/>
      <c r="J39" s="949"/>
      <c r="K39" s="950"/>
      <c r="L39" s="949"/>
      <c r="M39" s="950"/>
      <c r="N39" s="848"/>
      <c r="O39" s="849"/>
      <c r="P39" s="949"/>
      <c r="Q39" s="950"/>
      <c r="R39" s="949"/>
      <c r="S39" s="950"/>
      <c r="T39" s="963"/>
      <c r="U39" s="964"/>
      <c r="V39" s="848"/>
      <c r="W39" s="849"/>
      <c r="X39" s="835"/>
      <c r="Y39" s="836"/>
      <c r="Z39" s="837"/>
      <c r="AA39" s="946"/>
      <c r="AB39" s="939"/>
      <c r="AC39" s="939"/>
      <c r="AD39" s="940"/>
      <c r="AE39" s="943"/>
      <c r="AF39" s="943"/>
      <c r="AG39" s="943"/>
      <c r="AH39" s="944"/>
      <c r="AI39" s="919"/>
      <c r="AJ39" s="865"/>
      <c r="AK39" s="906"/>
      <c r="AL39" s="907"/>
      <c r="AM39" s="907"/>
      <c r="AN39" s="936"/>
      <c r="AO39" s="919"/>
      <c r="AP39" s="926"/>
      <c r="AQ39" s="865"/>
      <c r="AR39" s="59"/>
      <c r="AU39" s="809"/>
      <c r="AV39" s="901"/>
      <c r="AW39" s="901"/>
      <c r="AX39" s="901"/>
      <c r="BA39" s="596"/>
    </row>
    <row r="40" spans="2:78" ht="15.95" hidden="1" customHeight="1">
      <c r="B40" s="829">
        <v>13</v>
      </c>
      <c r="C40" s="866"/>
      <c r="D40" s="867"/>
      <c r="E40" s="867"/>
      <c r="F40" s="867"/>
      <c r="G40" s="867"/>
      <c r="H40" s="867"/>
      <c r="I40" s="867"/>
      <c r="J40" s="947" t="str">
        <f>IF(C40="","",INDEX(PMEHVAC[Base Desc 1],MATCH(C40,PMEHVAC[Eff Desc 1],0)))</f>
        <v/>
      </c>
      <c r="K40" s="948"/>
      <c r="L40" s="947" t="str">
        <f>IF(C40="","",INDEX(PMEHVAC[Base Desc 2],MATCH(C40,PMEHVAC[Eff Desc 1],0)))</f>
        <v/>
      </c>
      <c r="M40" s="948"/>
      <c r="N40" s="846"/>
      <c r="O40" s="847"/>
      <c r="P40" s="947" t="str">
        <f>IF(C40="","",INDEX(PMEHVAC[Base Watt],MATCH(C40,PMEHVAC[Eff Desc 1],0)))</f>
        <v/>
      </c>
      <c r="Q40" s="948"/>
      <c r="R40" s="947" t="str">
        <f>IF(C40="","",INDEX(PMEHVAC[Base Watt 2],MATCH(C40,PMEHVAC[Eff Desc 1],0)))</f>
        <v/>
      </c>
      <c r="S40" s="948"/>
      <c r="T40" s="961"/>
      <c r="U40" s="962"/>
      <c r="V40" s="846"/>
      <c r="W40" s="847"/>
      <c r="X40" s="832"/>
      <c r="Y40" s="833"/>
      <c r="Z40" s="834"/>
      <c r="AA40" s="945"/>
      <c r="AB40" s="937"/>
      <c r="AC40" s="937"/>
      <c r="AD40" s="938"/>
      <c r="AE40" s="941" t="str">
        <f>IF(C40="","",INDEX(PMEHVAC[Unit of Measure],MATCH(C40,PMEHVAC[Eff Desc 1],0)))</f>
        <v/>
      </c>
      <c r="AF40" s="941"/>
      <c r="AG40" s="941"/>
      <c r="AH40" s="942"/>
      <c r="AI40" s="917" t="str">
        <f>IF(OR(C40="",N40="",T40="",V40="",X40="",AA40="",AC40=""),"",INDEX(PMEHVAC[Inc Rate Unit],MATCH(C40,PMEHVAC[Eff Desc 1],0)))</f>
        <v/>
      </c>
      <c r="AJ40" s="918"/>
      <c r="AK40" s="933" t="str">
        <f t="shared" ref="AK40" si="50">IFERROR(IF(OR(C40="",N40="",T40="",V40="",X40="",AA40="",AC40="",),"",AW40),"")</f>
        <v/>
      </c>
      <c r="AL40" s="934"/>
      <c r="AM40" s="934"/>
      <c r="AN40" s="935"/>
      <c r="AO40" s="924" t="str">
        <f t="shared" ref="AO40" si="51">IFERROR(IF(OR(C40="",N40="",V40="",X40="",T40="",AA40="",AC40=""),"",IF(BC40&lt;&gt;"",BC40,ROUND(IF(AK40&lt;=0,0,IF(AE40="unit",MIN(AU40*1,AI40),MIN(AU40*1,(N40-L40)*V40*AI40))),2))),"")</f>
        <v/>
      </c>
      <c r="AP40" s="925"/>
      <c r="AQ40" s="863"/>
      <c r="AR40" s="59"/>
      <c r="AU40" s="808" t="str">
        <f t="shared" ref="AU40" si="52">IF(OR(C40="",N40="",T40="",V40="",X40="",AA40="",AE40="",AC40=""),"",IF(AK40="","",ROUND((AA40+AC40),2)))</f>
        <v/>
      </c>
      <c r="AV40" s="922" t="str">
        <f>IF(OR(C40="",N40="",T40="",V40="",X40="",AA40="",AC40="",AE40=""),"",ROUND(IF(ISNUMBER(SEARCH("Unit",AE40)),(V40/12)*(1/((-0.02*N40^2)+(1.12*N40)))*0.177*0.08*0.457,
(V40*12)*((1/L40)-(1/N40))*INDEX(ENDUSEALL[Lighting Coincidence Factor],MATCH(AX40,ENDUSEALL[End Use],0))),3))</f>
        <v/>
      </c>
      <c r="AW40" s="900" t="str">
        <f>IFERROR(ROUND(
IF(ISNUMBER(SEARCH("DX",C40)),(V40*12)*((1/L40)-(1/N40))*INDEX(PMEHVAC[EFLHcool],MATCH(C40,PMEHVAC[Eff Desc 1],0)),
IF(ISNUMBER(SEARCH("PTAC",C40)),(V40*12)*((1/L40)-(1/N40))*INDEX(PMEHVAC[EFLHcool],MATCH(C40,PMEHVAC[Eff Desc 1],0)),
IF(ISNUMBER(SEARCH("PTHP",C40)),((V40*12)*((1/L40)-(1/N40))*INDEX(PMEHVAC[EFLHcool],MATCH(C40,PMEHVAC[Eff Desc 1],0)))+(((V40*12)/3.412)*((1/R40)-(1/T40))*INDEX(PMEHVAC[EFLHheat],MATCH(C40,PMEHVAC[Eff Desc 1],0))),
IF(OR(ISNUMBER(SEARCH("ASHP",C40)),ISNUMBER(SEARCH("WSHP",C40)),ISNUMBER(SEARCH("Water Source",C40)),ISNUMBER(SEARCH("GSHP",C40))),((V40*12)*((1/L40)-(1/N40))*INDEX(PMEHVAC[EFLHcool],MATCH(C40,PMEHVAC[Eff Desc 1],0)))+(IF(P40="HSPF",(V40*12),((V40*12)/3.412))*((1/R40)-(1/T40))*INDEX(PMEHVAC[EFLHheat],MATCH(C40,PMEHVAC[Eff Desc 1],0))),
"")))),0),"")</f>
        <v/>
      </c>
      <c r="AX40" s="922" t="str">
        <f>IF(OR(C40="",N40="",T40="",V40="",X40="",AA40="",AE40="",AC40=""),"",INDEX(PMEHVAC[End Use Category],MATCH(C40,PMEHVAC[Eff Desc 1],0)))</f>
        <v/>
      </c>
    </row>
    <row r="41" spans="2:78" ht="15.95" hidden="1" customHeight="1">
      <c r="B41" s="829"/>
      <c r="C41" s="835"/>
      <c r="D41" s="836"/>
      <c r="E41" s="836"/>
      <c r="F41" s="836"/>
      <c r="G41" s="836"/>
      <c r="H41" s="836"/>
      <c r="I41" s="836"/>
      <c r="J41" s="949"/>
      <c r="K41" s="950"/>
      <c r="L41" s="949"/>
      <c r="M41" s="950"/>
      <c r="N41" s="848"/>
      <c r="O41" s="849"/>
      <c r="P41" s="949"/>
      <c r="Q41" s="950"/>
      <c r="R41" s="949"/>
      <c r="S41" s="950"/>
      <c r="T41" s="963"/>
      <c r="U41" s="964"/>
      <c r="V41" s="848"/>
      <c r="W41" s="849"/>
      <c r="X41" s="835"/>
      <c r="Y41" s="836"/>
      <c r="Z41" s="837"/>
      <c r="AA41" s="946"/>
      <c r="AB41" s="939"/>
      <c r="AC41" s="939"/>
      <c r="AD41" s="940"/>
      <c r="AE41" s="943"/>
      <c r="AF41" s="943"/>
      <c r="AG41" s="943"/>
      <c r="AH41" s="944"/>
      <c r="AI41" s="919"/>
      <c r="AJ41" s="865"/>
      <c r="AK41" s="906"/>
      <c r="AL41" s="907"/>
      <c r="AM41" s="907"/>
      <c r="AN41" s="936"/>
      <c r="AO41" s="919"/>
      <c r="AP41" s="926"/>
      <c r="AQ41" s="865"/>
      <c r="AR41" s="59"/>
      <c r="AU41" s="809"/>
      <c r="AV41" s="901"/>
      <c r="AW41" s="901"/>
      <c r="AX41" s="901"/>
    </row>
    <row r="42" spans="2:78" ht="15.95" hidden="1" customHeight="1">
      <c r="B42" s="829">
        <v>14</v>
      </c>
      <c r="C42" s="866"/>
      <c r="D42" s="867"/>
      <c r="E42" s="867"/>
      <c r="F42" s="867"/>
      <c r="G42" s="867"/>
      <c r="H42" s="867"/>
      <c r="I42" s="867"/>
      <c r="J42" s="947" t="str">
        <f>IF(C42="","",INDEX(PMEHVAC[Base Desc 1],MATCH(C42,PMEHVAC[Eff Desc 1],0)))</f>
        <v/>
      </c>
      <c r="K42" s="948"/>
      <c r="L42" s="947" t="str">
        <f>IF(C42="","",INDEX(PMEHVAC[Base Desc 2],MATCH(C42,PMEHVAC[Eff Desc 1],0)))</f>
        <v/>
      </c>
      <c r="M42" s="948"/>
      <c r="N42" s="846"/>
      <c r="O42" s="847"/>
      <c r="P42" s="947" t="str">
        <f>IF(C42="","",INDEX(PMEHVAC[Base Watt],MATCH(C42,PMEHVAC[Eff Desc 1],0)))</f>
        <v/>
      </c>
      <c r="Q42" s="948"/>
      <c r="R42" s="947" t="str">
        <f>IF(C42="","",INDEX(PMEHVAC[Base Watt 2],MATCH(C42,PMEHVAC[Eff Desc 1],0)))</f>
        <v/>
      </c>
      <c r="S42" s="948"/>
      <c r="T42" s="961"/>
      <c r="U42" s="962"/>
      <c r="V42" s="846"/>
      <c r="W42" s="847"/>
      <c r="X42" s="832"/>
      <c r="Y42" s="833"/>
      <c r="Z42" s="834"/>
      <c r="AA42" s="945"/>
      <c r="AB42" s="937"/>
      <c r="AC42" s="937"/>
      <c r="AD42" s="938"/>
      <c r="AE42" s="941" t="str">
        <f>IF(C42="","",INDEX(PMEHVAC[Unit of Measure],MATCH(C42,PMEHVAC[Eff Desc 1],0)))</f>
        <v/>
      </c>
      <c r="AF42" s="941"/>
      <c r="AG42" s="941"/>
      <c r="AH42" s="942"/>
      <c r="AI42" s="917" t="str">
        <f>IF(OR(C42="",N42="",T42="",V42="",X42="",AA42="",AC42=""),"",INDEX(PMEHVAC[Inc Rate Unit],MATCH(C42,PMEHVAC[Eff Desc 1],0)))</f>
        <v/>
      </c>
      <c r="AJ42" s="918"/>
      <c r="AK42" s="933" t="str">
        <f t="shared" ref="AK42" si="53">IFERROR(IF(OR(C42="",N42="",T42="",V42="",X42="",AA42="",AC42="",),"",AW42),"")</f>
        <v/>
      </c>
      <c r="AL42" s="934"/>
      <c r="AM42" s="934"/>
      <c r="AN42" s="935"/>
      <c r="AO42" s="924" t="str">
        <f t="shared" ref="AO42" si="54">IFERROR(IF(OR(C42="",N42="",V42="",X42="",T42="",AA42="",AC42=""),"",IF(BC42&lt;&gt;"",BC42,ROUND(IF(AK42&lt;=0,0,IF(AE42="unit",MIN(AU42*1,AI42),MIN(AU42*1,(N42-L42)*V42*AI42))),2))),"")</f>
        <v/>
      </c>
      <c r="AP42" s="925"/>
      <c r="AQ42" s="863"/>
      <c r="AR42" s="59"/>
      <c r="AU42" s="808" t="str">
        <f t="shared" ref="AU42" si="55">IF(OR(C42="",N42="",T42="",V42="",X42="",AA42="",AE42="",AC42=""),"",IF(AK42="","",ROUND((AA42+AC42),2)))</f>
        <v/>
      </c>
      <c r="AV42" s="922" t="str">
        <f>IF(OR(C42="",N42="",T42="",V42="",X42="",AA42="",AC42="",AE42=""),"",ROUND(IF(ISNUMBER(SEARCH("Unit",AE42)),(V42/12)*(1/((-0.02*N42^2)+(1.12*N42)))*0.177*0.08*0.457,
(V42*12)*((1/L42)-(1/N42))*INDEX(ENDUSEALL[Lighting Coincidence Factor],MATCH(AX42,ENDUSEALL[End Use],0))),3))</f>
        <v/>
      </c>
      <c r="AW42" s="900" t="str">
        <f>IFERROR(ROUND(
IF(ISNUMBER(SEARCH("DX",C42)),(V42*12)*((1/L42)-(1/N42))*INDEX(PMEHVAC[EFLHcool],MATCH(C42,PMEHVAC[Eff Desc 1],0)),
IF(ISNUMBER(SEARCH("PTAC",C42)),(V42*12)*((1/L42)-(1/N42))*INDEX(PMEHVAC[EFLHcool],MATCH(C42,PMEHVAC[Eff Desc 1],0)),
IF(ISNUMBER(SEARCH("PTHP",C42)),((V42*12)*((1/L42)-(1/N42))*INDEX(PMEHVAC[EFLHcool],MATCH(C42,PMEHVAC[Eff Desc 1],0)))+(((V42*12)/3.412)*((1/R42)-(1/T42))*INDEX(PMEHVAC[EFLHheat],MATCH(C42,PMEHVAC[Eff Desc 1],0))),
IF(OR(ISNUMBER(SEARCH("ASHP",C42)),ISNUMBER(SEARCH("WSHP",C42)),ISNUMBER(SEARCH("Water Source",C42)),ISNUMBER(SEARCH("GSHP",C42))),((V42*12)*((1/L42)-(1/N42))*INDEX(PMEHVAC[EFLHcool],MATCH(C42,PMEHVAC[Eff Desc 1],0)))+(IF(P42="HSPF",(V42*12),((V42*12)/3.412))*((1/R42)-(1/T42))*INDEX(PMEHVAC[EFLHheat],MATCH(C42,PMEHVAC[Eff Desc 1],0))),
"")))),0),"")</f>
        <v/>
      </c>
      <c r="AX42" s="922" t="str">
        <f>IF(OR(C42="",N42="",T42="",V42="",X42="",AA42="",AE42="",AC42=""),"",INDEX(PMEHVAC[End Use Category],MATCH(C42,PMEHVAC[Eff Desc 1],0)))</f>
        <v/>
      </c>
    </row>
    <row r="43" spans="2:78" ht="15.95" hidden="1" customHeight="1">
      <c r="B43" s="829"/>
      <c r="C43" s="835"/>
      <c r="D43" s="836"/>
      <c r="E43" s="836"/>
      <c r="F43" s="836"/>
      <c r="G43" s="836"/>
      <c r="H43" s="836"/>
      <c r="I43" s="836"/>
      <c r="J43" s="949"/>
      <c r="K43" s="950"/>
      <c r="L43" s="949"/>
      <c r="M43" s="950"/>
      <c r="N43" s="848"/>
      <c r="O43" s="849"/>
      <c r="P43" s="949"/>
      <c r="Q43" s="950"/>
      <c r="R43" s="949"/>
      <c r="S43" s="950"/>
      <c r="T43" s="963"/>
      <c r="U43" s="964"/>
      <c r="V43" s="848"/>
      <c r="W43" s="849"/>
      <c r="X43" s="835"/>
      <c r="Y43" s="836"/>
      <c r="Z43" s="837"/>
      <c r="AA43" s="946"/>
      <c r="AB43" s="939"/>
      <c r="AC43" s="939"/>
      <c r="AD43" s="940"/>
      <c r="AE43" s="943"/>
      <c r="AF43" s="943"/>
      <c r="AG43" s="943"/>
      <c r="AH43" s="944"/>
      <c r="AI43" s="919"/>
      <c r="AJ43" s="865"/>
      <c r="AK43" s="906"/>
      <c r="AL43" s="907"/>
      <c r="AM43" s="907"/>
      <c r="AN43" s="936"/>
      <c r="AO43" s="919"/>
      <c r="AP43" s="926"/>
      <c r="AQ43" s="865"/>
      <c r="AR43" s="59"/>
      <c r="AU43" s="809"/>
      <c r="AV43" s="901"/>
      <c r="AW43" s="901"/>
      <c r="AX43" s="901"/>
    </row>
    <row r="44" spans="2:78" ht="15.95" hidden="1" customHeight="1">
      <c r="B44" s="829">
        <v>15</v>
      </c>
      <c r="C44" s="866"/>
      <c r="D44" s="867"/>
      <c r="E44" s="867"/>
      <c r="F44" s="867"/>
      <c r="G44" s="867"/>
      <c r="H44" s="867"/>
      <c r="I44" s="867"/>
      <c r="J44" s="947" t="str">
        <f>IF(C44="","",INDEX(PMEHVAC[Base Desc 1],MATCH(C44,PMEHVAC[Eff Desc 1],0)))</f>
        <v/>
      </c>
      <c r="K44" s="948"/>
      <c r="L44" s="947" t="str">
        <f>IF(C44="","",INDEX(PMEHVAC[Base Desc 2],MATCH(C44,PMEHVAC[Eff Desc 1],0)))</f>
        <v/>
      </c>
      <c r="M44" s="948"/>
      <c r="N44" s="846"/>
      <c r="O44" s="847"/>
      <c r="P44" s="947" t="str">
        <f>IF(C44="","",INDEX(PMEHVAC[Base Watt],MATCH(C44,PMEHVAC[Eff Desc 1],0)))</f>
        <v/>
      </c>
      <c r="Q44" s="948"/>
      <c r="R44" s="947" t="str">
        <f>IF(C44="","",INDEX(PMEHVAC[Base Watt 2],MATCH(C44,PMEHVAC[Eff Desc 1],0)))</f>
        <v/>
      </c>
      <c r="S44" s="948"/>
      <c r="T44" s="961"/>
      <c r="U44" s="962"/>
      <c r="V44" s="846"/>
      <c r="W44" s="847"/>
      <c r="X44" s="832"/>
      <c r="Y44" s="833"/>
      <c r="Z44" s="834"/>
      <c r="AA44" s="945"/>
      <c r="AB44" s="937"/>
      <c r="AC44" s="937"/>
      <c r="AD44" s="938"/>
      <c r="AE44" s="941" t="str">
        <f>IF(C44="","",INDEX(PMEHVAC[Unit of Measure],MATCH(C44,PMEHVAC[Eff Desc 1],0)))</f>
        <v/>
      </c>
      <c r="AF44" s="941"/>
      <c r="AG44" s="941"/>
      <c r="AH44" s="942"/>
      <c r="AI44" s="917" t="str">
        <f>IF(OR(C44="",N44="",T44="",V44="",X44="",AA44="",AC44=""),"",INDEX(PMEHVAC[Inc Rate Unit],MATCH(C44,PMEHVAC[Eff Desc 1],0)))</f>
        <v/>
      </c>
      <c r="AJ44" s="918"/>
      <c r="AK44" s="933" t="str">
        <f t="shared" ref="AK44" si="56">IFERROR(IF(OR(C44="",N44="",T44="",V44="",X44="",AA44="",AC44="",),"",AW44),"")</f>
        <v/>
      </c>
      <c r="AL44" s="934"/>
      <c r="AM44" s="934"/>
      <c r="AN44" s="935"/>
      <c r="AO44" s="924" t="str">
        <f t="shared" ref="AO44" si="57">IFERROR(IF(OR(C44="",N44="",V44="",X44="",T44="",AA44="",AC44=""),"",IF(BC44&lt;&gt;"",BC44,ROUND(IF(AK44&lt;=0,0,IF(AE44="unit",MIN(AU44*1,AI44),MIN(AU44*1,(N44-L44)*V44*AI44))),2))),"")</f>
        <v/>
      </c>
      <c r="AP44" s="925"/>
      <c r="AQ44" s="863"/>
      <c r="AR44" s="59"/>
      <c r="AU44" s="808" t="str">
        <f t="shared" ref="AU44" si="58">IF(OR(C44="",N44="",T44="",V44="",X44="",AA44="",AE44="",AC44=""),"",IF(AK44="","",ROUND((AA44+AC44),2)))</f>
        <v/>
      </c>
      <c r="AV44" s="922" t="str">
        <f>IF(OR(C44="",N44="",T44="",V44="",X44="",AA44="",AC44="",AE44=""),"",ROUND(IF(ISNUMBER(SEARCH("Unit",AE44)),(V44/12)*(1/((-0.02*N44^2)+(1.12*N44)))*0.177*0.08*0.457,
(V44*12)*((1/L44)-(1/N44))*INDEX(ENDUSEALL[Lighting Coincidence Factor],MATCH(AX44,ENDUSEALL[End Use],0))),3))</f>
        <v/>
      </c>
      <c r="AW44" s="900" t="str">
        <f>IFERROR(ROUND(
IF(ISNUMBER(SEARCH("DX",C44)),(V44*12)*((1/L44)-(1/N44))*INDEX(PMEHVAC[EFLHcool],MATCH(C44,PMEHVAC[Eff Desc 1],0)),
IF(ISNUMBER(SEARCH("PTAC",C44)),(V44*12)*((1/L44)-(1/N44))*INDEX(PMEHVAC[EFLHcool],MATCH(C44,PMEHVAC[Eff Desc 1],0)),
IF(ISNUMBER(SEARCH("PTHP",C44)),((V44*12)*((1/L44)-(1/N44))*INDEX(PMEHVAC[EFLHcool],MATCH(C44,PMEHVAC[Eff Desc 1],0)))+(((V44*12)/3.412)*((1/R44)-(1/T44))*INDEX(PMEHVAC[EFLHheat],MATCH(C44,PMEHVAC[Eff Desc 1],0))),
IF(OR(ISNUMBER(SEARCH("ASHP",C44)),ISNUMBER(SEARCH("WSHP",C44)),ISNUMBER(SEARCH("Water Source",C44)),ISNUMBER(SEARCH("GSHP",C44))),((V44*12)*((1/L44)-(1/N44))*INDEX(PMEHVAC[EFLHcool],MATCH(C44,PMEHVAC[Eff Desc 1],0)))+(IF(P44="HSPF",(V44*12),((V44*12)/3.412))*((1/R44)-(1/T44))*INDEX(PMEHVAC[EFLHheat],MATCH(C44,PMEHVAC[Eff Desc 1],0))),
"")))),0),"")</f>
        <v/>
      </c>
      <c r="AX44" s="922" t="str">
        <f>IF(OR(C44="",N44="",T44="",V44="",X44="",AA44="",AE44="",AC44=""),"",INDEX(PMEHVAC[End Use Category],MATCH(C44,PMEHVAC[Eff Desc 1],0)))</f>
        <v/>
      </c>
    </row>
    <row r="45" spans="2:78" ht="15.95" hidden="1" customHeight="1">
      <c r="B45" s="829"/>
      <c r="C45" s="835"/>
      <c r="D45" s="836"/>
      <c r="E45" s="836"/>
      <c r="F45" s="836"/>
      <c r="G45" s="836"/>
      <c r="H45" s="836"/>
      <c r="I45" s="836"/>
      <c r="J45" s="949"/>
      <c r="K45" s="950"/>
      <c r="L45" s="949"/>
      <c r="M45" s="950"/>
      <c r="N45" s="848"/>
      <c r="O45" s="849"/>
      <c r="P45" s="949"/>
      <c r="Q45" s="950"/>
      <c r="R45" s="949"/>
      <c r="S45" s="950"/>
      <c r="T45" s="963"/>
      <c r="U45" s="964"/>
      <c r="V45" s="848"/>
      <c r="W45" s="849"/>
      <c r="X45" s="835"/>
      <c r="Y45" s="836"/>
      <c r="Z45" s="837"/>
      <c r="AA45" s="946"/>
      <c r="AB45" s="939"/>
      <c r="AC45" s="939"/>
      <c r="AD45" s="940"/>
      <c r="AE45" s="943"/>
      <c r="AF45" s="943"/>
      <c r="AG45" s="943"/>
      <c r="AH45" s="944"/>
      <c r="AI45" s="919"/>
      <c r="AJ45" s="865"/>
      <c r="AK45" s="906"/>
      <c r="AL45" s="907"/>
      <c r="AM45" s="907"/>
      <c r="AN45" s="936"/>
      <c r="AO45" s="919"/>
      <c r="AP45" s="926"/>
      <c r="AQ45" s="865"/>
      <c r="AR45" s="59"/>
      <c r="AU45" s="809"/>
      <c r="AV45" s="901"/>
      <c r="AW45" s="901"/>
      <c r="AX45" s="901"/>
    </row>
    <row r="46" spans="2:78" ht="15.95" hidden="1" customHeight="1">
      <c r="B46" s="923">
        <v>16</v>
      </c>
      <c r="C46" s="866"/>
      <c r="D46" s="867"/>
      <c r="E46" s="867"/>
      <c r="F46" s="867"/>
      <c r="G46" s="867"/>
      <c r="H46" s="867"/>
      <c r="I46" s="867"/>
      <c r="J46" s="947" t="str">
        <f>IF(C46="","",INDEX(PMEHVAC[Base Desc 1],MATCH(C46,PMEHVAC[Eff Desc 1],0)))</f>
        <v/>
      </c>
      <c r="K46" s="948"/>
      <c r="L46" s="947" t="str">
        <f>IF(C46="","",INDEX(PMEHVAC[Base Desc 2],MATCH(C46,PMEHVAC[Eff Desc 1],0)))</f>
        <v/>
      </c>
      <c r="M46" s="948"/>
      <c r="N46" s="846"/>
      <c r="O46" s="847"/>
      <c r="P46" s="947" t="str">
        <f>IF(C46="","",INDEX(PMEHVAC[Base Watt],MATCH(C46,PMEHVAC[Eff Desc 1],0)))</f>
        <v/>
      </c>
      <c r="Q46" s="948"/>
      <c r="R46" s="947" t="str">
        <f>IF(C46="","",INDEX(PMEHVAC[Base Watt 2],MATCH(C46,PMEHVAC[Eff Desc 1],0)))</f>
        <v/>
      </c>
      <c r="S46" s="948"/>
      <c r="T46" s="961"/>
      <c r="U46" s="962"/>
      <c r="V46" s="846"/>
      <c r="W46" s="847"/>
      <c r="X46" s="832"/>
      <c r="Y46" s="833"/>
      <c r="Z46" s="834"/>
      <c r="AA46" s="945"/>
      <c r="AB46" s="937"/>
      <c r="AC46" s="937"/>
      <c r="AD46" s="938"/>
      <c r="AE46" s="941" t="str">
        <f>IF(C46="","",INDEX(PMEHVAC[Unit of Measure],MATCH(C46,PMEHVAC[Eff Desc 1],0)))</f>
        <v/>
      </c>
      <c r="AF46" s="941"/>
      <c r="AG46" s="941"/>
      <c r="AH46" s="942"/>
      <c r="AI46" s="917" t="str">
        <f>IF(OR(C46="",N46="",T46="",V46="",X46="",AA46="",AC46=""),"",INDEX(PMEHVAC[Inc Rate Unit],MATCH(C46,PMEHVAC[Eff Desc 1],0)))</f>
        <v/>
      </c>
      <c r="AJ46" s="918"/>
      <c r="AK46" s="933" t="str">
        <f t="shared" ref="AK46" si="59">IFERROR(IF(OR(C46="",N46="",T46="",V46="",X46="",AA46="",AC46="",),"",AW46),"")</f>
        <v/>
      </c>
      <c r="AL46" s="934"/>
      <c r="AM46" s="934"/>
      <c r="AN46" s="935"/>
      <c r="AO46" s="924" t="str">
        <f t="shared" ref="AO46" si="60">IFERROR(IF(OR(C46="",N46="",V46="",X46="",T46="",AA46="",AC46=""),"",IF(BC46&lt;&gt;"",BC46,ROUND(IF(AK46&lt;=0,0,IF(AE46="unit",MIN(AU46*1,AI46),MIN(AU46*1,(N46-L46)*V46*AI46))),2))),"")</f>
        <v/>
      </c>
      <c r="AP46" s="925"/>
      <c r="AQ46" s="863"/>
      <c r="AU46" s="808" t="str">
        <f t="shared" ref="AU46" si="61">IF(OR(C46="",N46="",T46="",V46="",X46="",AA46="",AE46="",AC46=""),"",IF(AK46="","",ROUND((AA46+AC46),2)))</f>
        <v/>
      </c>
      <c r="AV46" s="922" t="str">
        <f>IF(OR(C46="",N46="",T46="",V46="",X46="",AA46="",AC46="",AE46=""),"",ROUND(IF(ISNUMBER(SEARCH("Unit",AE46)),(V46/12)*(1/((-0.02*N46^2)+(1.12*N46)))*0.177*0.08*0.457,
(V46*12)*((1/L46)-(1/N46))*INDEX(ENDUSEALL[Lighting Coincidence Factor],MATCH(AX46,ENDUSEALL[End Use],0))),3))</f>
        <v/>
      </c>
      <c r="AW46" s="900" t="str">
        <f>IFERROR(ROUND(
IF(ISNUMBER(SEARCH("DX",C46)),(V46*12)*((1/L46)-(1/N46))*INDEX(PMEHVAC[EFLHcool],MATCH(C46,PMEHVAC[Eff Desc 1],0)),
IF(ISNUMBER(SEARCH("PTAC",C46)),(V46*12)*((1/L46)-(1/N46))*INDEX(PMEHVAC[EFLHcool],MATCH(C46,PMEHVAC[Eff Desc 1],0)),
IF(ISNUMBER(SEARCH("PTHP",C46)),((V46*12)*((1/L46)-(1/N46))*INDEX(PMEHVAC[EFLHcool],MATCH(C46,PMEHVAC[Eff Desc 1],0)))+(((V46*12)/3.412)*((1/R46)-(1/T46))*INDEX(PMEHVAC[EFLHheat],MATCH(C46,PMEHVAC[Eff Desc 1],0))),
IF(OR(ISNUMBER(SEARCH("ASHP",C46)),ISNUMBER(SEARCH("WSHP",C46)),ISNUMBER(SEARCH("Water Source",C46)),ISNUMBER(SEARCH("GSHP",C46))),((V46*12)*((1/L46)-(1/N46))*INDEX(PMEHVAC[EFLHcool],MATCH(C46,PMEHVAC[Eff Desc 1],0)))+(IF(P46="HSPF",(V46*12),((V46*12)/3.412))*((1/R46)-(1/T46))*INDEX(PMEHVAC[EFLHheat],MATCH(C46,PMEHVAC[Eff Desc 1],0))),
"")))),0),"")</f>
        <v/>
      </c>
      <c r="AX46" s="922" t="str">
        <f>IF(OR(C46="",N46="",T46="",V46="",X46="",AA46="",AE46="",AC46=""),"",INDEX(PMEHVAC[End Use Category],MATCH(C46,PMEHVAC[Eff Desc 1],0)))</f>
        <v/>
      </c>
    </row>
    <row r="47" spans="2:78" ht="15.95" hidden="1" customHeight="1">
      <c r="B47" s="923"/>
      <c r="C47" s="835"/>
      <c r="D47" s="836"/>
      <c r="E47" s="836"/>
      <c r="F47" s="836"/>
      <c r="G47" s="836"/>
      <c r="H47" s="836"/>
      <c r="I47" s="836"/>
      <c r="J47" s="949"/>
      <c r="K47" s="950"/>
      <c r="L47" s="949"/>
      <c r="M47" s="950"/>
      <c r="N47" s="848"/>
      <c r="O47" s="849"/>
      <c r="P47" s="949"/>
      <c r="Q47" s="950"/>
      <c r="R47" s="949"/>
      <c r="S47" s="950"/>
      <c r="T47" s="963"/>
      <c r="U47" s="964"/>
      <c r="V47" s="848"/>
      <c r="W47" s="849"/>
      <c r="X47" s="835"/>
      <c r="Y47" s="836"/>
      <c r="Z47" s="837"/>
      <c r="AA47" s="946"/>
      <c r="AB47" s="939"/>
      <c r="AC47" s="939"/>
      <c r="AD47" s="940"/>
      <c r="AE47" s="943"/>
      <c r="AF47" s="943"/>
      <c r="AG47" s="943"/>
      <c r="AH47" s="944"/>
      <c r="AI47" s="919"/>
      <c r="AJ47" s="865"/>
      <c r="AK47" s="906"/>
      <c r="AL47" s="907"/>
      <c r="AM47" s="907"/>
      <c r="AN47" s="936"/>
      <c r="AO47" s="919"/>
      <c r="AP47" s="926"/>
      <c r="AQ47" s="865"/>
      <c r="AU47" s="809"/>
      <c r="AV47" s="901"/>
      <c r="AW47" s="901"/>
      <c r="AX47" s="901"/>
    </row>
    <row r="48" spans="2:78" ht="15.95" hidden="1" customHeight="1">
      <c r="B48" s="923">
        <v>17</v>
      </c>
      <c r="C48" s="866"/>
      <c r="D48" s="867"/>
      <c r="E48" s="867"/>
      <c r="F48" s="867"/>
      <c r="G48" s="867"/>
      <c r="H48" s="867"/>
      <c r="I48" s="867"/>
      <c r="J48" s="947" t="str">
        <f>IF(C48="","",INDEX(PMEHVAC[Base Desc 1],MATCH(C48,PMEHVAC[Eff Desc 1],0)))</f>
        <v/>
      </c>
      <c r="K48" s="948"/>
      <c r="L48" s="947" t="str">
        <f>IF(C48="","",INDEX(PMEHVAC[Base Desc 2],MATCH(C48,PMEHVAC[Eff Desc 1],0)))</f>
        <v/>
      </c>
      <c r="M48" s="948"/>
      <c r="N48" s="846"/>
      <c r="O48" s="847"/>
      <c r="P48" s="947" t="str">
        <f>IF(C48="","",INDEX(PMEHVAC[Base Watt],MATCH(C48,PMEHVAC[Eff Desc 1],0)))</f>
        <v/>
      </c>
      <c r="Q48" s="948"/>
      <c r="R48" s="947" t="str">
        <f>IF(C48="","",INDEX(PMEHVAC[Base Watt 2],MATCH(C48,PMEHVAC[Eff Desc 1],0)))</f>
        <v/>
      </c>
      <c r="S48" s="948"/>
      <c r="T48" s="961"/>
      <c r="U48" s="962"/>
      <c r="V48" s="846"/>
      <c r="W48" s="847"/>
      <c r="X48" s="832"/>
      <c r="Y48" s="833"/>
      <c r="Z48" s="834"/>
      <c r="AA48" s="945"/>
      <c r="AB48" s="937"/>
      <c r="AC48" s="937"/>
      <c r="AD48" s="938"/>
      <c r="AE48" s="941" t="str">
        <f>IF(C48="","",INDEX(PMEHVAC[Unit of Measure],MATCH(C48,PMEHVAC[Eff Desc 1],0)))</f>
        <v/>
      </c>
      <c r="AF48" s="941"/>
      <c r="AG48" s="941"/>
      <c r="AH48" s="942"/>
      <c r="AI48" s="917" t="str">
        <f>IF(OR(C48="",N48="",T48="",V48="",X48="",AA48="",AC48=""),"",INDEX(PMEHVAC[Inc Rate Unit],MATCH(C48,PMEHVAC[Eff Desc 1],0)))</f>
        <v/>
      </c>
      <c r="AJ48" s="918"/>
      <c r="AK48" s="933" t="str">
        <f t="shared" ref="AK48" si="62">IFERROR(IF(OR(C48="",N48="",T48="",V48="",X48="",AA48="",AC48="",),"",AW48),"")</f>
        <v/>
      </c>
      <c r="AL48" s="934"/>
      <c r="AM48" s="934"/>
      <c r="AN48" s="935"/>
      <c r="AO48" s="924" t="str">
        <f t="shared" ref="AO48" si="63">IFERROR(IF(OR(C48="",N48="",V48="",X48="",T48="",AA48="",AC48=""),"",IF(BC48&lt;&gt;"",BC48,ROUND(IF(AK48&lt;=0,0,IF(AE48="unit",MIN(AU48*1,AI48),MIN(AU48*1,(N48-L48)*V48*AI48))),2))),"")</f>
        <v/>
      </c>
      <c r="AP48" s="925"/>
      <c r="AQ48" s="863"/>
      <c r="AU48" s="808" t="str">
        <f t="shared" ref="AU48" si="64">IF(OR(C48="",N48="",T48="",V48="",X48="",AA48="",AE48="",AC48=""),"",IF(AK48="","",ROUND((AA48+AC48),2)))</f>
        <v/>
      </c>
      <c r="AV48" s="922" t="str">
        <f>IF(OR(C48="",N48="",T48="",V48="",X48="",AA48="",AC48="",AE48=""),"",ROUND(IF(ISNUMBER(SEARCH("Unit",AE48)),(V48/12)*(1/((-0.02*N48^2)+(1.12*N48)))*0.177*0.08*0.457,
(V48*12)*((1/L48)-(1/N48))*INDEX(ENDUSEALL[Lighting Coincidence Factor],MATCH(AX48,ENDUSEALL[End Use],0))),3))</f>
        <v/>
      </c>
      <c r="AW48" s="900" t="str">
        <f>IFERROR(ROUND(
IF(ISNUMBER(SEARCH("DX",C48)),(V48*12)*((1/L48)-(1/N48))*INDEX(PMEHVAC[EFLHcool],MATCH(C48,PMEHVAC[Eff Desc 1],0)),
IF(ISNUMBER(SEARCH("PTAC",C48)),(V48*12)*((1/L48)-(1/N48))*INDEX(PMEHVAC[EFLHcool],MATCH(C48,PMEHVAC[Eff Desc 1],0)),
IF(ISNUMBER(SEARCH("PTHP",C48)),((V48*12)*((1/L48)-(1/N48))*INDEX(PMEHVAC[EFLHcool],MATCH(C48,PMEHVAC[Eff Desc 1],0)))+(((V48*12)/3.412)*((1/R48)-(1/T48))*INDEX(PMEHVAC[EFLHheat],MATCH(C48,PMEHVAC[Eff Desc 1],0))),
IF(OR(ISNUMBER(SEARCH("ASHP",C48)),ISNUMBER(SEARCH("WSHP",C48)),ISNUMBER(SEARCH("Water Source",C48)),ISNUMBER(SEARCH("GSHP",C48))),((V48*12)*((1/L48)-(1/N48))*INDEX(PMEHVAC[EFLHcool],MATCH(C48,PMEHVAC[Eff Desc 1],0)))+(IF(P48="HSPF",(V48*12),((V48*12)/3.412))*((1/R48)-(1/T48))*INDEX(PMEHVAC[EFLHheat],MATCH(C48,PMEHVAC[Eff Desc 1],0))),
"")))),0),"")</f>
        <v/>
      </c>
      <c r="AX48" s="922" t="str">
        <f>IF(OR(C48="",N48="",T48="",V48="",X48="",AA48="",AE48="",AC48=""),"",INDEX(PMEHVAC[End Use Category],MATCH(C48,PMEHVAC[Eff Desc 1],0)))</f>
        <v/>
      </c>
    </row>
    <row r="49" spans="2:53" ht="15.95" hidden="1" customHeight="1">
      <c r="B49" s="923"/>
      <c r="C49" s="835"/>
      <c r="D49" s="836"/>
      <c r="E49" s="836"/>
      <c r="F49" s="836"/>
      <c r="G49" s="836"/>
      <c r="H49" s="836"/>
      <c r="I49" s="836"/>
      <c r="J49" s="949"/>
      <c r="K49" s="950"/>
      <c r="L49" s="949"/>
      <c r="M49" s="950"/>
      <c r="N49" s="848"/>
      <c r="O49" s="849"/>
      <c r="P49" s="949"/>
      <c r="Q49" s="950"/>
      <c r="R49" s="949"/>
      <c r="S49" s="950"/>
      <c r="T49" s="963"/>
      <c r="U49" s="964"/>
      <c r="V49" s="848"/>
      <c r="W49" s="849"/>
      <c r="X49" s="835"/>
      <c r="Y49" s="836"/>
      <c r="Z49" s="837"/>
      <c r="AA49" s="946"/>
      <c r="AB49" s="939"/>
      <c r="AC49" s="939"/>
      <c r="AD49" s="940"/>
      <c r="AE49" s="943"/>
      <c r="AF49" s="943"/>
      <c r="AG49" s="943"/>
      <c r="AH49" s="944"/>
      <c r="AI49" s="919"/>
      <c r="AJ49" s="865"/>
      <c r="AK49" s="906"/>
      <c r="AL49" s="907"/>
      <c r="AM49" s="907"/>
      <c r="AN49" s="936"/>
      <c r="AO49" s="919"/>
      <c r="AP49" s="926"/>
      <c r="AQ49" s="865"/>
      <c r="AU49" s="809"/>
      <c r="AV49" s="901"/>
      <c r="AW49" s="901"/>
      <c r="AX49" s="901"/>
    </row>
    <row r="50" spans="2:53" ht="15.95" hidden="1" customHeight="1">
      <c r="B50" s="923">
        <v>18</v>
      </c>
      <c r="C50" s="866"/>
      <c r="D50" s="867"/>
      <c r="E50" s="867"/>
      <c r="F50" s="867"/>
      <c r="G50" s="867"/>
      <c r="H50" s="867"/>
      <c r="I50" s="867"/>
      <c r="J50" s="947" t="str">
        <f>IF(C50="","",INDEX(PMEHVAC[Base Desc 1],MATCH(C50,PMEHVAC[Eff Desc 1],0)))</f>
        <v/>
      </c>
      <c r="K50" s="948"/>
      <c r="L50" s="947" t="str">
        <f>IF(C50="","",INDEX(PMEHVAC[Base Desc 2],MATCH(C50,PMEHVAC[Eff Desc 1],0)))</f>
        <v/>
      </c>
      <c r="M50" s="948"/>
      <c r="N50" s="846"/>
      <c r="O50" s="847"/>
      <c r="P50" s="947" t="str">
        <f>IF(C50="","",INDEX(PMEHVAC[Base Watt],MATCH(C50,PMEHVAC[Eff Desc 1],0)))</f>
        <v/>
      </c>
      <c r="Q50" s="948"/>
      <c r="R50" s="947" t="str">
        <f>IF(C50="","",INDEX(PMEHVAC[Base Watt 2],MATCH(C50,PMEHVAC[Eff Desc 1],0)))</f>
        <v/>
      </c>
      <c r="S50" s="948"/>
      <c r="T50" s="961"/>
      <c r="U50" s="962"/>
      <c r="V50" s="846"/>
      <c r="W50" s="847"/>
      <c r="X50" s="832"/>
      <c r="Y50" s="833"/>
      <c r="Z50" s="834"/>
      <c r="AA50" s="945"/>
      <c r="AB50" s="937"/>
      <c r="AC50" s="937"/>
      <c r="AD50" s="938"/>
      <c r="AE50" s="941" t="str">
        <f>IF(C50="","",INDEX(PMEHVAC[Unit of Measure],MATCH(C50,PMEHVAC[Eff Desc 1],0)))</f>
        <v/>
      </c>
      <c r="AF50" s="941"/>
      <c r="AG50" s="941"/>
      <c r="AH50" s="942"/>
      <c r="AI50" s="917" t="str">
        <f>IF(OR(C50="",N50="",T50="",V50="",X50="",AA50="",AC50=""),"",INDEX(PMEHVAC[Inc Rate Unit],MATCH(C50,PMEHVAC[Eff Desc 1],0)))</f>
        <v/>
      </c>
      <c r="AJ50" s="918"/>
      <c r="AK50" s="933" t="str">
        <f t="shared" ref="AK50" si="65">IFERROR(IF(OR(C50="",N50="",T50="",V50="",X50="",AA50="",AC50="",),"",AW50),"")</f>
        <v/>
      </c>
      <c r="AL50" s="934"/>
      <c r="AM50" s="934"/>
      <c r="AN50" s="935"/>
      <c r="AO50" s="924" t="str">
        <f t="shared" ref="AO50" si="66">IFERROR(IF(OR(C50="",N50="",V50="",X50="",T50="",AA50="",AC50=""),"",IF(BC50&lt;&gt;"",BC50,ROUND(IF(AK50&lt;=0,0,IF(AE50="unit",MIN(AU50*1,AI50),MIN(AU50*1,(N50-L50)*V50*AI50))),2))),"")</f>
        <v/>
      </c>
      <c r="AP50" s="925"/>
      <c r="AQ50" s="863"/>
      <c r="AU50" s="808" t="str">
        <f t="shared" ref="AU50" si="67">IF(OR(C50="",N50="",T50="",V50="",X50="",AA50="",AE50="",AC50=""),"",IF(AK50="","",ROUND((AA50+AC50),2)))</f>
        <v/>
      </c>
      <c r="AV50" s="922" t="str">
        <f>IF(OR(C50="",N50="",T50="",V50="",X50="",AA50="",AC50="",AE50=""),"",ROUND(IF(ISNUMBER(SEARCH("Unit",AE50)),(V50/12)*(1/((-0.02*N50^2)+(1.12*N50)))*0.177*0.08*0.457,
(V50*12)*((1/L50)-(1/N50))*INDEX(ENDUSEALL[Lighting Coincidence Factor],MATCH(AX50,ENDUSEALL[End Use],0))),3))</f>
        <v/>
      </c>
      <c r="AW50" s="900" t="str">
        <f>IFERROR(ROUND(
IF(ISNUMBER(SEARCH("DX",C50)),(V50*12)*((1/L50)-(1/N50))*INDEX(PMEHVAC[EFLHcool],MATCH(C50,PMEHVAC[Eff Desc 1],0)),
IF(ISNUMBER(SEARCH("PTAC",C50)),(V50*12)*((1/L50)-(1/N50))*INDEX(PMEHVAC[EFLHcool],MATCH(C50,PMEHVAC[Eff Desc 1],0)),
IF(ISNUMBER(SEARCH("PTHP",C50)),((V50*12)*((1/L50)-(1/N50))*INDEX(PMEHVAC[EFLHcool],MATCH(C50,PMEHVAC[Eff Desc 1],0)))+(((V50*12)/3.412)*((1/R50)-(1/T50))*INDEX(PMEHVAC[EFLHheat],MATCH(C50,PMEHVAC[Eff Desc 1],0))),
IF(OR(ISNUMBER(SEARCH("ASHP",C50)),ISNUMBER(SEARCH("WSHP",C50)),ISNUMBER(SEARCH("Water Source",C50)),ISNUMBER(SEARCH("GSHP",C50))),((V50*12)*((1/L50)-(1/N50))*INDEX(PMEHVAC[EFLHcool],MATCH(C50,PMEHVAC[Eff Desc 1],0)))+(IF(P50="HSPF",(V50*12),((V50*12)/3.412))*((1/R50)-(1/T50))*INDEX(PMEHVAC[EFLHheat],MATCH(C50,PMEHVAC[Eff Desc 1],0))),
"")))),0),"")</f>
        <v/>
      </c>
      <c r="AX50" s="922" t="str">
        <f>IF(OR(C50="",N50="",T50="",V50="",X50="",AA50="",AE50="",AC50=""),"",INDEX(PMEHVAC[End Use Category],MATCH(C50,PMEHVAC[Eff Desc 1],0)))</f>
        <v/>
      </c>
    </row>
    <row r="51" spans="2:53" ht="15.95" hidden="1" customHeight="1">
      <c r="B51" s="923"/>
      <c r="C51" s="835"/>
      <c r="D51" s="836"/>
      <c r="E51" s="836"/>
      <c r="F51" s="836"/>
      <c r="G51" s="836"/>
      <c r="H51" s="836"/>
      <c r="I51" s="836"/>
      <c r="J51" s="949"/>
      <c r="K51" s="950"/>
      <c r="L51" s="949"/>
      <c r="M51" s="950"/>
      <c r="N51" s="848"/>
      <c r="O51" s="849"/>
      <c r="P51" s="949"/>
      <c r="Q51" s="950"/>
      <c r="R51" s="949"/>
      <c r="S51" s="950"/>
      <c r="T51" s="963"/>
      <c r="U51" s="964"/>
      <c r="V51" s="848"/>
      <c r="W51" s="849"/>
      <c r="X51" s="835"/>
      <c r="Y51" s="836"/>
      <c r="Z51" s="837"/>
      <c r="AA51" s="946"/>
      <c r="AB51" s="939"/>
      <c r="AC51" s="939"/>
      <c r="AD51" s="940"/>
      <c r="AE51" s="943"/>
      <c r="AF51" s="943"/>
      <c r="AG51" s="943"/>
      <c r="AH51" s="944"/>
      <c r="AI51" s="919"/>
      <c r="AJ51" s="865"/>
      <c r="AK51" s="906"/>
      <c r="AL51" s="907"/>
      <c r="AM51" s="907"/>
      <c r="AN51" s="936"/>
      <c r="AO51" s="919"/>
      <c r="AP51" s="926"/>
      <c r="AQ51" s="865"/>
      <c r="AU51" s="809"/>
      <c r="AV51" s="901"/>
      <c r="AW51" s="901"/>
      <c r="AX51" s="901"/>
    </row>
    <row r="52" spans="2:53" ht="15.95" hidden="1" customHeight="1">
      <c r="B52" s="923">
        <v>19</v>
      </c>
      <c r="C52" s="866"/>
      <c r="D52" s="867"/>
      <c r="E52" s="867"/>
      <c r="F52" s="867"/>
      <c r="G52" s="867"/>
      <c r="H52" s="867"/>
      <c r="I52" s="867"/>
      <c r="J52" s="947" t="str">
        <f>IF(C52="","",INDEX(PMEHVAC[Base Desc 1],MATCH(C52,PMEHVAC[Eff Desc 1],0)))</f>
        <v/>
      </c>
      <c r="K52" s="948"/>
      <c r="L52" s="947" t="str">
        <f>IF(C52="","",INDEX(PMEHVAC[Base Desc 2],MATCH(C52,PMEHVAC[Eff Desc 1],0)))</f>
        <v/>
      </c>
      <c r="M52" s="948"/>
      <c r="N52" s="846"/>
      <c r="O52" s="847"/>
      <c r="P52" s="947" t="str">
        <f>IF(C52="","",INDEX(PMEHVAC[Base Watt],MATCH(C52,PMEHVAC[Eff Desc 1],0)))</f>
        <v/>
      </c>
      <c r="Q52" s="948"/>
      <c r="R52" s="947" t="str">
        <f>IF(C52="","",INDEX(PMEHVAC[Base Watt 2],MATCH(C52,PMEHVAC[Eff Desc 1],0)))</f>
        <v/>
      </c>
      <c r="S52" s="948"/>
      <c r="T52" s="961"/>
      <c r="U52" s="962"/>
      <c r="V52" s="846"/>
      <c r="W52" s="847"/>
      <c r="X52" s="832"/>
      <c r="Y52" s="833"/>
      <c r="Z52" s="834"/>
      <c r="AA52" s="945"/>
      <c r="AB52" s="937"/>
      <c r="AC52" s="937"/>
      <c r="AD52" s="938"/>
      <c r="AE52" s="941" t="str">
        <f>IF(C52="","",INDEX(PMEHVAC[Unit of Measure],MATCH(C52,PMEHVAC[Eff Desc 1],0)))</f>
        <v/>
      </c>
      <c r="AF52" s="941"/>
      <c r="AG52" s="941"/>
      <c r="AH52" s="942"/>
      <c r="AI52" s="917" t="str">
        <f>IF(OR(C52="",N52="",T52="",V52="",X52="",AA52="",AC52=""),"",INDEX(PMEHVAC[Inc Rate Unit],MATCH(C52,PMEHVAC[Eff Desc 1],0)))</f>
        <v/>
      </c>
      <c r="AJ52" s="918"/>
      <c r="AK52" s="933" t="str">
        <f t="shared" ref="AK52" si="68">IFERROR(IF(OR(C52="",N52="",T52="",V52="",X52="",AA52="",AC52="",),"",AW52),"")</f>
        <v/>
      </c>
      <c r="AL52" s="934"/>
      <c r="AM52" s="934"/>
      <c r="AN52" s="935"/>
      <c r="AO52" s="924" t="str">
        <f t="shared" ref="AO52" si="69">IFERROR(IF(OR(C52="",N52="",V52="",X52="",T52="",AA52="",AC52=""),"",IF(BC52&lt;&gt;"",BC52,ROUND(IF(AK52&lt;=0,0,IF(AE52="unit",MIN(AU52*1,AI52),MIN(AU52*1,(N52-L52)*V52*AI52))),2))),"")</f>
        <v/>
      </c>
      <c r="AP52" s="925"/>
      <c r="AQ52" s="863"/>
      <c r="AU52" s="808" t="str">
        <f t="shared" ref="AU52" si="70">IF(OR(C52="",N52="",T52="",V52="",X52="",AA52="",AE52="",AC52=""),"",IF(AK52="","",ROUND((AA52+AC52),2)))</f>
        <v/>
      </c>
      <c r="AV52" s="922" t="str">
        <f>IF(OR(C52="",N52="",T52="",V52="",X52="",AA52="",AC52="",AE52=""),"",ROUND(IF(ISNUMBER(SEARCH("Unit",AE52)),(V52/12)*(1/((-0.02*N52^2)+(1.12*N52)))*0.177*0.08*0.457,
(V52*12)*((1/L52)-(1/N52))*INDEX(ENDUSEALL[Lighting Coincidence Factor],MATCH(AX52,ENDUSEALL[End Use],0))),3))</f>
        <v/>
      </c>
      <c r="AW52" s="900" t="str">
        <f>IFERROR(ROUND(
IF(ISNUMBER(SEARCH("DX",C52)),(V52*12)*((1/L52)-(1/N52))*INDEX(PMEHVAC[EFLHcool],MATCH(C52,PMEHVAC[Eff Desc 1],0)),
IF(ISNUMBER(SEARCH("PTAC",C52)),(V52*12)*((1/L52)-(1/N52))*INDEX(PMEHVAC[EFLHcool],MATCH(C52,PMEHVAC[Eff Desc 1],0)),
IF(ISNUMBER(SEARCH("PTHP",C52)),((V52*12)*((1/L52)-(1/N52))*INDEX(PMEHVAC[EFLHcool],MATCH(C52,PMEHVAC[Eff Desc 1],0)))+(((V52*12)/3.412)*((1/R52)-(1/T52))*INDEX(PMEHVAC[EFLHheat],MATCH(C52,PMEHVAC[Eff Desc 1],0))),
IF(OR(ISNUMBER(SEARCH("ASHP",C52)),ISNUMBER(SEARCH("WSHP",C52)),ISNUMBER(SEARCH("Water Source",C52)),ISNUMBER(SEARCH("GSHP",C52))),((V52*12)*((1/L52)-(1/N52))*INDEX(PMEHVAC[EFLHcool],MATCH(C52,PMEHVAC[Eff Desc 1],0)))+(IF(P52="HSPF",(V52*12),((V52*12)/3.412))*((1/R52)-(1/T52))*INDEX(PMEHVAC[EFLHheat],MATCH(C52,PMEHVAC[Eff Desc 1],0))),
"")))),0),"")</f>
        <v/>
      </c>
      <c r="AX52" s="922" t="str">
        <f>IF(OR(C52="",N52="",T52="",V52="",X52="",AA52="",AE52="",AC52=""),"",INDEX(PMEHVAC[End Use Category],MATCH(C52,PMEHVAC[Eff Desc 1],0)))</f>
        <v/>
      </c>
    </row>
    <row r="53" spans="2:53" ht="15.95" hidden="1" customHeight="1">
      <c r="B53" s="923"/>
      <c r="C53" s="835"/>
      <c r="D53" s="836"/>
      <c r="E53" s="836"/>
      <c r="F53" s="836"/>
      <c r="G53" s="836"/>
      <c r="H53" s="836"/>
      <c r="I53" s="836"/>
      <c r="J53" s="949"/>
      <c r="K53" s="950"/>
      <c r="L53" s="949"/>
      <c r="M53" s="950"/>
      <c r="N53" s="848"/>
      <c r="O53" s="849"/>
      <c r="P53" s="949"/>
      <c r="Q53" s="950"/>
      <c r="R53" s="949"/>
      <c r="S53" s="950"/>
      <c r="T53" s="963"/>
      <c r="U53" s="964"/>
      <c r="V53" s="848"/>
      <c r="W53" s="849"/>
      <c r="X53" s="835"/>
      <c r="Y53" s="836"/>
      <c r="Z53" s="837"/>
      <c r="AA53" s="946"/>
      <c r="AB53" s="939"/>
      <c r="AC53" s="939"/>
      <c r="AD53" s="940"/>
      <c r="AE53" s="943"/>
      <c r="AF53" s="943"/>
      <c r="AG53" s="943"/>
      <c r="AH53" s="944"/>
      <c r="AI53" s="919"/>
      <c r="AJ53" s="865"/>
      <c r="AK53" s="906"/>
      <c r="AL53" s="907"/>
      <c r="AM53" s="907"/>
      <c r="AN53" s="936"/>
      <c r="AO53" s="919"/>
      <c r="AP53" s="926"/>
      <c r="AQ53" s="865"/>
      <c r="AU53" s="809"/>
      <c r="AV53" s="901"/>
      <c r="AW53" s="901"/>
      <c r="AX53" s="901"/>
    </row>
    <row r="54" spans="2:53" ht="15.95" hidden="1" customHeight="1">
      <c r="B54" s="923">
        <v>20</v>
      </c>
      <c r="C54" s="866">
        <f ca="1">IF(SUM(BE16:BE35)=0,0,INDEX(PMEBONUS[],3,3))</f>
        <v>0</v>
      </c>
      <c r="D54" s="867"/>
      <c r="E54" s="867"/>
      <c r="F54" s="867"/>
      <c r="G54" s="867"/>
      <c r="H54" s="867"/>
      <c r="I54" s="867"/>
      <c r="J54" s="947"/>
      <c r="K54" s="948"/>
      <c r="L54" s="947" t="str">
        <f ca="1">IF(SUM(BE16:BE35)=0,"",INDEX(PMEBONUS[],3,30))</f>
        <v/>
      </c>
      <c r="M54" s="948"/>
      <c r="N54" s="846"/>
      <c r="O54" s="847"/>
      <c r="P54" s="947"/>
      <c r="Q54" s="948"/>
      <c r="R54" s="947"/>
      <c r="S54" s="948"/>
      <c r="T54" s="961"/>
      <c r="U54" s="962"/>
      <c r="V54" s="846">
        <f ca="1">IF(OR(C54=0,C54=""),0,1)</f>
        <v>0</v>
      </c>
      <c r="W54" s="847"/>
      <c r="X54" s="832"/>
      <c r="Y54" s="833"/>
      <c r="Z54" s="834"/>
      <c r="AA54" s="945"/>
      <c r="AB54" s="937"/>
      <c r="AC54" s="937"/>
      <c r="AD54" s="938"/>
      <c r="AE54" s="941"/>
      <c r="AF54" s="941"/>
      <c r="AG54" s="941"/>
      <c r="AH54" s="942"/>
      <c r="AI54" s="917" t="str">
        <f ca="1">IF(OR(C54="",N54="",T54="",V54="",X54="",AA54="",AC54=""),"",INDEX(PMEHVAC[Inc Rate Unit],MATCH(C54,PMEHVAC[Eff Desc 1],0)))</f>
        <v/>
      </c>
      <c r="AJ54" s="918"/>
      <c r="AK54" s="933" t="str">
        <f t="shared" ref="AK54" ca="1" si="71">IFERROR(IF(OR(C54="",N54="",T54="",V54="",X54="",AA54="",AC54="",),"",AW54),"")</f>
        <v/>
      </c>
      <c r="AL54" s="934"/>
      <c r="AM54" s="934"/>
      <c r="AN54" s="935"/>
      <c r="AO54" s="924" t="str">
        <f ca="1">IF(BA54="","",BA54)</f>
        <v/>
      </c>
      <c r="AP54" s="925"/>
      <c r="AQ54" s="863"/>
      <c r="AU54" s="808"/>
      <c r="AV54" s="922"/>
      <c r="AW54" s="900" t="str">
        <f ca="1">IFERROR(ROUND(
IF(ISNUMBER(SEARCH("DX",C54)),(V54*12)*((1/L54)-(1/N54))*INDEX(PMEHVAC[EFLHcool],MATCH(C54,PMEHVAC[Eff Desc 1],0)),
IF(ISNUMBER(SEARCH("PTAC",C54)),(V54*12)*((1/L54)-(1/N54))*INDEX(PMEHVAC[EFLHcool],MATCH(C54,PMEHVAC[Eff Desc 1],0)),
IF(ISNUMBER(SEARCH("PTHP",C54)),((V54*12)*((1/L54)-(1/N54))*INDEX(PMEHVAC[EFLHcool],MATCH(C54,PMEHVAC[Eff Desc 1],0)))+(((V54*12)/3.412)*((1/R54)-(1/T54))*INDEX(PMEHVAC[EFLHheat],MATCH(C54,PMEHVAC[Eff Desc 1],0))),
IF(OR(ISNUMBER(SEARCH("ASHP",C54)),ISNUMBER(SEARCH("WSHP",C54)),ISNUMBER(SEARCH("Water Source",C54)),ISNUMBER(SEARCH("GSHP",C54))),((V54*12)*((1/L54)-(1/N54))*INDEX(PMEHVAC[EFLHcool],MATCH(C54,PMEHVAC[Eff Desc 1],0)))+(IF(P54="HSPF",(V54*12),((V54*12)/3.412))*((1/R54)-(1/T54))*INDEX(PMEHVAC[EFLHheat],MATCH(C54,PMEHVAC[Eff Desc 1],0))),
"")))),0),"")</f>
        <v/>
      </c>
      <c r="AX54" s="922"/>
      <c r="BA54" s="808" t="str">
        <f ca="1">IFERROR(IF(OR(C54="",L54="",SUM(AK16:AN35)=0,SUM(BE16:BE35)=0),"",SUM(BE16:BE35)),"")</f>
        <v/>
      </c>
    </row>
    <row r="55" spans="2:53" ht="15.95" hidden="1" customHeight="1">
      <c r="B55" s="923"/>
      <c r="C55" s="835"/>
      <c r="D55" s="836"/>
      <c r="E55" s="836"/>
      <c r="F55" s="836"/>
      <c r="G55" s="836"/>
      <c r="H55" s="836"/>
      <c r="I55" s="836"/>
      <c r="J55" s="949"/>
      <c r="K55" s="950"/>
      <c r="L55" s="949"/>
      <c r="M55" s="950"/>
      <c r="N55" s="848"/>
      <c r="O55" s="849"/>
      <c r="P55" s="949"/>
      <c r="Q55" s="950"/>
      <c r="R55" s="949"/>
      <c r="S55" s="950"/>
      <c r="T55" s="963"/>
      <c r="U55" s="964"/>
      <c r="V55" s="848"/>
      <c r="W55" s="849"/>
      <c r="X55" s="835"/>
      <c r="Y55" s="836"/>
      <c r="Z55" s="837"/>
      <c r="AA55" s="946"/>
      <c r="AB55" s="939"/>
      <c r="AC55" s="939"/>
      <c r="AD55" s="940"/>
      <c r="AE55" s="943"/>
      <c r="AF55" s="943"/>
      <c r="AG55" s="943"/>
      <c r="AH55" s="944"/>
      <c r="AI55" s="919"/>
      <c r="AJ55" s="865"/>
      <c r="AK55" s="906"/>
      <c r="AL55" s="907"/>
      <c r="AM55" s="907"/>
      <c r="AN55" s="936"/>
      <c r="AO55" s="919"/>
      <c r="AP55" s="926"/>
      <c r="AQ55" s="865"/>
      <c r="AU55" s="809"/>
      <c r="AV55" s="901"/>
      <c r="AW55" s="901"/>
      <c r="AX55" s="901"/>
      <c r="BA55" s="809"/>
    </row>
    <row r="56" spans="2:53" ht="15.95" hidden="1" customHeight="1">
      <c r="B56" s="923">
        <v>21</v>
      </c>
      <c r="C56" s="866"/>
      <c r="D56" s="867"/>
      <c r="E56" s="867"/>
      <c r="F56" s="867"/>
      <c r="G56" s="867"/>
      <c r="H56" s="867"/>
      <c r="I56" s="867"/>
      <c r="J56" s="947" t="str">
        <f>IF(C56="","",INDEX(PMEHVAC[Base Desc 1],MATCH(C56,PMEHVAC[Eff Desc 1],0)))</f>
        <v/>
      </c>
      <c r="K56" s="948"/>
      <c r="L56" s="947" t="str">
        <f>IF(C56="","",INDEX(PMEHVAC[Base Desc 2],MATCH(C56,PMEHVAC[Eff Desc 1],0)))</f>
        <v/>
      </c>
      <c r="M56" s="948"/>
      <c r="N56" s="846"/>
      <c r="O56" s="847"/>
      <c r="P56" s="947" t="str">
        <f>IF(C56="","",INDEX(PMEHVAC[Base Watt],MATCH(C56,PMEHVAC[Eff Desc 1],0)))</f>
        <v/>
      </c>
      <c r="Q56" s="948"/>
      <c r="R56" s="947" t="str">
        <f>IF(C56="","",INDEX(PMEHVAC[Base Watt 2],MATCH(C56,PMEHVAC[Eff Desc 1],0)))</f>
        <v/>
      </c>
      <c r="S56" s="948"/>
      <c r="T56" s="961"/>
      <c r="U56" s="962"/>
      <c r="V56" s="846"/>
      <c r="W56" s="847"/>
      <c r="X56" s="832"/>
      <c r="Y56" s="833"/>
      <c r="Z56" s="834"/>
      <c r="AA56" s="945"/>
      <c r="AB56" s="937"/>
      <c r="AC56" s="937"/>
      <c r="AD56" s="938"/>
      <c r="AE56" s="941" t="str">
        <f>IF(C56="","",INDEX(PMEHVAC[Unit of Measure],MATCH(C56,PMEHVAC[Eff Desc 1],0)))</f>
        <v/>
      </c>
      <c r="AF56" s="941"/>
      <c r="AG56" s="941"/>
      <c r="AH56" s="942"/>
      <c r="AI56" s="917" t="str">
        <f>IF(OR(C56="",N56="",T56="",V56="",X56="",AA56="",AC56=""),"",INDEX(PMEHVAC[Inc Rate Unit],MATCH(C56,PMEHVAC[Eff Desc 1],0)))</f>
        <v/>
      </c>
      <c r="AJ56" s="918"/>
      <c r="AK56" s="933" t="str">
        <f t="shared" ref="AK56" si="72">IFERROR(IF(OR(C56="",N56="",T56="",V56="",X56="",AA56="",AC56="",),"",AW56),"")</f>
        <v/>
      </c>
      <c r="AL56" s="934"/>
      <c r="AM56" s="934"/>
      <c r="AN56" s="935"/>
      <c r="AO56" s="924" t="str">
        <f t="shared" ref="AO56" si="73">IFERROR(IF(OR(C56="",N56="",V56="",X56="",T56="",AA56="",AC56=""),"",IF(BC56&lt;&gt;"",BC56,ROUND(IF(AK56&lt;=0,0,IF(AE56="unit",MIN(AU56*1,AI56),MIN(AU56*1,(N56-L56)*V56*AI56))),2))),"")</f>
        <v/>
      </c>
      <c r="AP56" s="925"/>
      <c r="AQ56" s="863"/>
      <c r="AU56" s="808" t="str">
        <f t="shared" ref="AU56" si="74">IF(OR(C56="",N56="",T56="",V56="",X56="",AA56="",AE56="",AC56=""),"",IF(AK56="","",ROUND((AA56+AC56),2)))</f>
        <v/>
      </c>
      <c r="AV56" s="922" t="str">
        <f>IF(OR(C56="",N56="",T56="",V56="",X56="",AA56="",AC56="",AE56=""),"",ROUND(IF(ISNUMBER(SEARCH("Unit",AE56)),(V56/12)*(1/((-0.02*N56^2)+(1.12*N56)))*0.177*0.08*0.457,
(V56*12)*((1/L56)-(1/N56))*INDEX(ENDUSEALL[Lighting Coincidence Factor],MATCH(AX56,ENDUSEALL[End Use],0))),3))</f>
        <v/>
      </c>
      <c r="AW56" s="900" t="str">
        <f>IFERROR(ROUND(
IF(ISNUMBER(SEARCH("DX",C56)),(V56*12)*((1/L56)-(1/N56))*INDEX(PMEHVAC[EFLHcool],MATCH(C56,PMEHVAC[Eff Desc 1],0)),
IF(ISNUMBER(SEARCH("PTAC",C56)),(V56*12)*((1/L56)-(1/N56))*INDEX(PMEHVAC[EFLHcool],MATCH(C56,PMEHVAC[Eff Desc 1],0)),
IF(ISNUMBER(SEARCH("PTHP",C56)),((V56*12)*((1/L56)-(1/N56))*INDEX(PMEHVAC[EFLHcool],MATCH(C56,PMEHVAC[Eff Desc 1],0)))+(((V56*12)/3.412)*((1/R56)-(1/T56))*INDEX(PMEHVAC[EFLHheat],MATCH(C56,PMEHVAC[Eff Desc 1],0))),
IF(OR(ISNUMBER(SEARCH("ASHP",C56)),ISNUMBER(SEARCH("WSHP",C56)),ISNUMBER(SEARCH("Water Source",C56)),ISNUMBER(SEARCH("GSHP",C56))),((V56*12)*((1/L56)-(1/N56))*INDEX(PMEHVAC[EFLHcool],MATCH(C56,PMEHVAC[Eff Desc 1],0)))+(IF(P56="HSPF",(V56*12),((V56*12)/3.412))*((1/R56)-(1/T56))*INDEX(PMEHVAC[EFLHheat],MATCH(C56,PMEHVAC[Eff Desc 1],0))),
"")))),0),"")</f>
        <v/>
      </c>
      <c r="AX56" s="922" t="str">
        <f>IF(OR(C56="",N56="",T56="",V56="",X56="",AA56="",AE56="",AC56=""),"",INDEX(PMEHVAC[End Use Category],MATCH(C56,PMEHVAC[Eff Desc 1],0)))</f>
        <v/>
      </c>
    </row>
    <row r="57" spans="2:53" ht="15.95" hidden="1" customHeight="1">
      <c r="B57" s="923"/>
      <c r="C57" s="835"/>
      <c r="D57" s="836"/>
      <c r="E57" s="836"/>
      <c r="F57" s="836"/>
      <c r="G57" s="836"/>
      <c r="H57" s="836"/>
      <c r="I57" s="836"/>
      <c r="J57" s="949"/>
      <c r="K57" s="950"/>
      <c r="L57" s="949"/>
      <c r="M57" s="950"/>
      <c r="N57" s="848"/>
      <c r="O57" s="849"/>
      <c r="P57" s="949"/>
      <c r="Q57" s="950"/>
      <c r="R57" s="949"/>
      <c r="S57" s="950"/>
      <c r="T57" s="963"/>
      <c r="U57" s="964"/>
      <c r="V57" s="848"/>
      <c r="W57" s="849"/>
      <c r="X57" s="835"/>
      <c r="Y57" s="836"/>
      <c r="Z57" s="837"/>
      <c r="AA57" s="946"/>
      <c r="AB57" s="939"/>
      <c r="AC57" s="939"/>
      <c r="AD57" s="940"/>
      <c r="AE57" s="943"/>
      <c r="AF57" s="943"/>
      <c r="AG57" s="943"/>
      <c r="AH57" s="944"/>
      <c r="AI57" s="919"/>
      <c r="AJ57" s="865"/>
      <c r="AK57" s="906"/>
      <c r="AL57" s="907"/>
      <c r="AM57" s="907"/>
      <c r="AN57" s="936"/>
      <c r="AO57" s="919"/>
      <c r="AP57" s="926"/>
      <c r="AQ57" s="865"/>
      <c r="AU57" s="809"/>
      <c r="AV57" s="901"/>
      <c r="AW57" s="901"/>
      <c r="AX57" s="901"/>
    </row>
    <row r="58" spans="2:53" ht="15.95" hidden="1" customHeight="1">
      <c r="B58" s="923">
        <v>22</v>
      </c>
      <c r="C58" s="866"/>
      <c r="D58" s="867"/>
      <c r="E58" s="867"/>
      <c r="F58" s="867"/>
      <c r="G58" s="867"/>
      <c r="H58" s="867"/>
      <c r="I58" s="867"/>
      <c r="J58" s="947" t="str">
        <f>IF(C58="","",INDEX(PMEHVAC[Base Desc 1],MATCH(C58,PMEHVAC[Eff Desc 1],0)))</f>
        <v/>
      </c>
      <c r="K58" s="948"/>
      <c r="L58" s="947" t="str">
        <f>IF(C58="","",INDEX(PMEHVAC[Base Desc 2],MATCH(C58,PMEHVAC[Eff Desc 1],0)))</f>
        <v/>
      </c>
      <c r="M58" s="948"/>
      <c r="N58" s="846"/>
      <c r="O58" s="847"/>
      <c r="P58" s="947" t="str">
        <f>IF(C58="","",INDEX(PMEHVAC[Base Watt],MATCH(C58,PMEHVAC[Eff Desc 1],0)))</f>
        <v/>
      </c>
      <c r="Q58" s="948"/>
      <c r="R58" s="947" t="str">
        <f>IF(C58="","",INDEX(PMEHVAC[Base Watt 2],MATCH(C58,PMEHVAC[Eff Desc 1],0)))</f>
        <v/>
      </c>
      <c r="S58" s="948"/>
      <c r="T58" s="961"/>
      <c r="U58" s="962"/>
      <c r="V58" s="846"/>
      <c r="W58" s="847"/>
      <c r="X58" s="832"/>
      <c r="Y58" s="833"/>
      <c r="Z58" s="834"/>
      <c r="AA58" s="945"/>
      <c r="AB58" s="937"/>
      <c r="AC58" s="937"/>
      <c r="AD58" s="938"/>
      <c r="AE58" s="941" t="str">
        <f>IF(C58="","",INDEX(PMEHVAC[Unit of Measure],MATCH(C58,PMEHVAC[Eff Desc 1],0)))</f>
        <v/>
      </c>
      <c r="AF58" s="941"/>
      <c r="AG58" s="941"/>
      <c r="AH58" s="942"/>
      <c r="AI58" s="917" t="str">
        <f>IF(OR(C58="",N58="",T58="",V58="",X58="",AA58="",AC58=""),"",INDEX(PMEHVAC[Inc Rate Unit],MATCH(C58,PMEHVAC[Eff Desc 1],0)))</f>
        <v/>
      </c>
      <c r="AJ58" s="918"/>
      <c r="AK58" s="933" t="str">
        <f t="shared" ref="AK58" si="75">IFERROR(IF(OR(C58="",N58="",T58="",V58="",X58="",AA58="",AC58="",),"",AW58),"")</f>
        <v/>
      </c>
      <c r="AL58" s="934"/>
      <c r="AM58" s="934"/>
      <c r="AN58" s="935"/>
      <c r="AO58" s="924" t="str">
        <f t="shared" ref="AO58" si="76">IFERROR(IF(OR(C58="",N58="",V58="",X58="",T58="",AA58="",AC58=""),"",IF(BC58&lt;&gt;"",BC58,ROUND(IF(AK58&lt;=0,0,IF(AE58="unit",MIN(AU58*1,AI58),MIN(AU58*1,(N58-L58)*V58*AI58))),2))),"")</f>
        <v/>
      </c>
      <c r="AP58" s="925"/>
      <c r="AQ58" s="863"/>
      <c r="AU58" s="808" t="str">
        <f t="shared" ref="AU58" si="77">IF(OR(C58="",N58="",T58="",V58="",X58="",AA58="",AE58="",AC58=""),"",IF(AK58="","",ROUND((AA58+AC58),2)))</f>
        <v/>
      </c>
      <c r="AV58" s="922" t="str">
        <f>IF(OR(C58="",N58="",T58="",V58="",X58="",AA58="",AC58="",AE58=""),"",ROUND(IF(ISNUMBER(SEARCH("Unit",AE58)),(V58/12)*(1/((-0.02*N58^2)+(1.12*N58)))*0.177*0.08*0.457,
(V58*12)*((1/L58)-(1/N58))*INDEX(ENDUSEALL[Lighting Coincidence Factor],MATCH(AX58,ENDUSEALL[End Use],0))),3))</f>
        <v/>
      </c>
      <c r="AW58" s="900" t="str">
        <f>IFERROR(ROUND(
IF(ISNUMBER(SEARCH("DX",C58)),(V58*12)*((1/L58)-(1/N58))*INDEX(PMEHVAC[EFLHcool],MATCH(C58,PMEHVAC[Eff Desc 1],0)),
IF(ISNUMBER(SEARCH("PTAC",C58)),(V58*12)*((1/L58)-(1/N58))*INDEX(PMEHVAC[EFLHcool],MATCH(C58,PMEHVAC[Eff Desc 1],0)),
IF(ISNUMBER(SEARCH("PTHP",C58)),((V58*12)*((1/L58)-(1/N58))*INDEX(PMEHVAC[EFLHcool],MATCH(C58,PMEHVAC[Eff Desc 1],0)))+(((V58*12)/3.412)*((1/R58)-(1/T58))*INDEX(PMEHVAC[EFLHheat],MATCH(C58,PMEHVAC[Eff Desc 1],0))),
IF(OR(ISNUMBER(SEARCH("ASHP",C58)),ISNUMBER(SEARCH("WSHP",C58)),ISNUMBER(SEARCH("Water Source",C58)),ISNUMBER(SEARCH("GSHP",C58))),((V58*12)*((1/L58)-(1/N58))*INDEX(PMEHVAC[EFLHcool],MATCH(C58,PMEHVAC[Eff Desc 1],0)))+(IF(P58="HSPF",(V58*12),((V58*12)/3.412))*((1/R58)-(1/T58))*INDEX(PMEHVAC[EFLHheat],MATCH(C58,PMEHVAC[Eff Desc 1],0))),
"")))),0),"")</f>
        <v/>
      </c>
      <c r="AX58" s="922" t="str">
        <f>IF(OR(C58="",N58="",T58="",V58="",X58="",AA58="",AE58="",AC58=""),"",INDEX(PMEHVAC[End Use Category],MATCH(C58,PMEHVAC[Eff Desc 1],0)))</f>
        <v/>
      </c>
    </row>
    <row r="59" spans="2:53" ht="15.95" hidden="1" customHeight="1">
      <c r="B59" s="923"/>
      <c r="C59" s="835"/>
      <c r="D59" s="836"/>
      <c r="E59" s="836"/>
      <c r="F59" s="836"/>
      <c r="G59" s="836"/>
      <c r="H59" s="836"/>
      <c r="I59" s="836"/>
      <c r="J59" s="949"/>
      <c r="K59" s="950"/>
      <c r="L59" s="949"/>
      <c r="M59" s="950"/>
      <c r="N59" s="848"/>
      <c r="O59" s="849"/>
      <c r="P59" s="949"/>
      <c r="Q59" s="950"/>
      <c r="R59" s="949"/>
      <c r="S59" s="950"/>
      <c r="T59" s="963"/>
      <c r="U59" s="964"/>
      <c r="V59" s="848"/>
      <c r="W59" s="849"/>
      <c r="X59" s="835"/>
      <c r="Y59" s="836"/>
      <c r="Z59" s="837"/>
      <c r="AA59" s="946"/>
      <c r="AB59" s="939"/>
      <c r="AC59" s="939"/>
      <c r="AD59" s="940"/>
      <c r="AE59" s="943"/>
      <c r="AF59" s="943"/>
      <c r="AG59" s="943"/>
      <c r="AH59" s="944"/>
      <c r="AI59" s="919"/>
      <c r="AJ59" s="865"/>
      <c r="AK59" s="906"/>
      <c r="AL59" s="907"/>
      <c r="AM59" s="907"/>
      <c r="AN59" s="936"/>
      <c r="AO59" s="919"/>
      <c r="AP59" s="926"/>
      <c r="AQ59" s="865"/>
      <c r="AU59" s="809"/>
      <c r="AV59" s="901"/>
      <c r="AW59" s="901"/>
      <c r="AX59" s="901"/>
    </row>
    <row r="60" spans="2:53" ht="15.95" hidden="1" customHeight="1">
      <c r="B60" s="923">
        <v>23</v>
      </c>
      <c r="C60" s="866"/>
      <c r="D60" s="867"/>
      <c r="E60" s="867"/>
      <c r="F60" s="867"/>
      <c r="G60" s="867"/>
      <c r="H60" s="867"/>
      <c r="I60" s="867"/>
      <c r="J60" s="947" t="str">
        <f>IF(C60="","",INDEX(PMEHVAC[Base Desc 1],MATCH(C60,PMEHVAC[Eff Desc 1],0)))</f>
        <v/>
      </c>
      <c r="K60" s="948"/>
      <c r="L60" s="947" t="str">
        <f>IF(C60="","",INDEX(PMEHVAC[Base Desc 2],MATCH(C60,PMEHVAC[Eff Desc 1],0)))</f>
        <v/>
      </c>
      <c r="M60" s="948"/>
      <c r="N60" s="846"/>
      <c r="O60" s="847"/>
      <c r="P60" s="947" t="str">
        <f>IF(C60="","",INDEX(PMEHVAC[Base Watt],MATCH(C60,PMEHVAC[Eff Desc 1],0)))</f>
        <v/>
      </c>
      <c r="Q60" s="948"/>
      <c r="R60" s="947" t="str">
        <f>IF(C60="","",INDEX(PMEHVAC[Base Watt 2],MATCH(C60,PMEHVAC[Eff Desc 1],0)))</f>
        <v/>
      </c>
      <c r="S60" s="948"/>
      <c r="T60" s="961"/>
      <c r="U60" s="962"/>
      <c r="V60" s="846"/>
      <c r="W60" s="847"/>
      <c r="X60" s="832"/>
      <c r="Y60" s="833"/>
      <c r="Z60" s="834"/>
      <c r="AA60" s="945"/>
      <c r="AB60" s="937"/>
      <c r="AC60" s="937"/>
      <c r="AD60" s="938"/>
      <c r="AE60" s="941" t="str">
        <f>IF(C60="","",INDEX(PMEHVAC[Unit of Measure],MATCH(C60,PMEHVAC[Eff Desc 1],0)))</f>
        <v/>
      </c>
      <c r="AF60" s="941"/>
      <c r="AG60" s="941"/>
      <c r="AH60" s="942"/>
      <c r="AI60" s="917" t="str">
        <f>IF(OR(C60="",N60="",T60="",V60="",X60="",AA60="",AC60=""),"",INDEX(PMEHVAC[Inc Rate Unit],MATCH(C60,PMEHVAC[Eff Desc 1],0)))</f>
        <v/>
      </c>
      <c r="AJ60" s="918"/>
      <c r="AK60" s="933" t="str">
        <f t="shared" ref="AK60" si="78">IFERROR(IF(OR(C60="",N60="",T60="",V60="",X60="",AA60="",AC60="",),"",AW60),"")</f>
        <v/>
      </c>
      <c r="AL60" s="934"/>
      <c r="AM60" s="934"/>
      <c r="AN60" s="935"/>
      <c r="AO60" s="924" t="str">
        <f t="shared" ref="AO60" si="79">IFERROR(IF(OR(C60="",N60="",V60="",X60="",T60="",AA60="",AC60=""),"",IF(BC60&lt;&gt;"",BC60,ROUND(IF(AK60&lt;=0,0,IF(AE60="unit",MIN(AU60*1,AI60),MIN(AU60*1,(N60-L60)*V60*AI60))),2))),"")</f>
        <v/>
      </c>
      <c r="AP60" s="925"/>
      <c r="AQ60" s="863"/>
      <c r="AU60" s="808" t="str">
        <f t="shared" ref="AU60" si="80">IF(OR(C60="",N60="",T60="",V60="",X60="",AA60="",AE60="",AC60=""),"",IF(AK60="","",ROUND((AA60+AC60),2)))</f>
        <v/>
      </c>
      <c r="AV60" s="922" t="str">
        <f>IF(OR(C60="",N60="",T60="",V60="",X60="",AA60="",AC60="",AE60=""),"",ROUND(IF(ISNUMBER(SEARCH("Unit",AE60)),(V60/12)*(1/((-0.02*N60^2)+(1.12*N60)))*0.177*0.08*0.457,
(V60*12)*((1/L60)-(1/N60))*INDEX(ENDUSEALL[Lighting Coincidence Factor],MATCH(AX60,ENDUSEALL[End Use],0))),3))</f>
        <v/>
      </c>
      <c r="AW60" s="900" t="str">
        <f>IFERROR(ROUND(
IF(ISNUMBER(SEARCH("DX",C60)),(V60*12)*((1/L60)-(1/N60))*INDEX(PMEHVAC[EFLHcool],MATCH(C60,PMEHVAC[Eff Desc 1],0)),
IF(ISNUMBER(SEARCH("PTAC",C60)),(V60*12)*((1/L60)-(1/N60))*INDEX(PMEHVAC[EFLHcool],MATCH(C60,PMEHVAC[Eff Desc 1],0)),
IF(ISNUMBER(SEARCH("PTHP",C60)),((V60*12)*((1/L60)-(1/N60))*INDEX(PMEHVAC[EFLHcool],MATCH(C60,PMEHVAC[Eff Desc 1],0)))+(((V60*12)/3.412)*((1/R60)-(1/T60))*INDEX(PMEHVAC[EFLHheat],MATCH(C60,PMEHVAC[Eff Desc 1],0))),
IF(OR(ISNUMBER(SEARCH("ASHP",C60)),ISNUMBER(SEARCH("WSHP",C60)),ISNUMBER(SEARCH("Water Source",C60)),ISNUMBER(SEARCH("GSHP",C60))),((V60*12)*((1/L60)-(1/N60))*INDEX(PMEHVAC[EFLHcool],MATCH(C60,PMEHVAC[Eff Desc 1],0)))+(IF(P60="HSPF",(V60*12),((V60*12)/3.412))*((1/R60)-(1/T60))*INDEX(PMEHVAC[EFLHheat],MATCH(C60,PMEHVAC[Eff Desc 1],0))),
"")))),0),"")</f>
        <v/>
      </c>
      <c r="AX60" s="922" t="str">
        <f>IF(OR(C60="",N60="",T60="",V60="",X60="",AA60="",AE60="",AC60=""),"",INDEX(PMEHVAC[End Use Category],MATCH(C60,PMEHVAC[Eff Desc 1],0)))</f>
        <v/>
      </c>
    </row>
    <row r="61" spans="2:53" ht="15.95" hidden="1" customHeight="1">
      <c r="B61" s="923"/>
      <c r="C61" s="835"/>
      <c r="D61" s="836"/>
      <c r="E61" s="836"/>
      <c r="F61" s="836"/>
      <c r="G61" s="836"/>
      <c r="H61" s="836"/>
      <c r="I61" s="836"/>
      <c r="J61" s="949"/>
      <c r="K61" s="950"/>
      <c r="L61" s="949"/>
      <c r="M61" s="950"/>
      <c r="N61" s="848"/>
      <c r="O61" s="849"/>
      <c r="P61" s="949"/>
      <c r="Q61" s="950"/>
      <c r="R61" s="949"/>
      <c r="S61" s="950"/>
      <c r="T61" s="963"/>
      <c r="U61" s="964"/>
      <c r="V61" s="848"/>
      <c r="W61" s="849"/>
      <c r="X61" s="835"/>
      <c r="Y61" s="836"/>
      <c r="Z61" s="837"/>
      <c r="AA61" s="946"/>
      <c r="AB61" s="939"/>
      <c r="AC61" s="939"/>
      <c r="AD61" s="940"/>
      <c r="AE61" s="943"/>
      <c r="AF61" s="943"/>
      <c r="AG61" s="943"/>
      <c r="AH61" s="944"/>
      <c r="AI61" s="919"/>
      <c r="AJ61" s="865"/>
      <c r="AK61" s="906"/>
      <c r="AL61" s="907"/>
      <c r="AM61" s="907"/>
      <c r="AN61" s="936"/>
      <c r="AO61" s="919"/>
      <c r="AP61" s="926"/>
      <c r="AQ61" s="865"/>
      <c r="AU61" s="809"/>
      <c r="AV61" s="901"/>
      <c r="AW61" s="901"/>
      <c r="AX61" s="901"/>
    </row>
    <row r="62" spans="2:53" ht="15.95" hidden="1" customHeight="1">
      <c r="B62" s="923">
        <v>24</v>
      </c>
      <c r="C62" s="866"/>
      <c r="D62" s="867"/>
      <c r="E62" s="867"/>
      <c r="F62" s="867"/>
      <c r="G62" s="867"/>
      <c r="H62" s="867"/>
      <c r="I62" s="867"/>
      <c r="J62" s="947" t="str">
        <f>IF(C62="","",INDEX(PMEHVAC[Base Desc 1],MATCH(C62,PMEHVAC[Eff Desc 1],0)))</f>
        <v/>
      </c>
      <c r="K62" s="948"/>
      <c r="L62" s="947" t="str">
        <f>IF(C62="","",INDEX(PMEHVAC[Base Desc 2],MATCH(C62,PMEHVAC[Eff Desc 1],0)))</f>
        <v/>
      </c>
      <c r="M62" s="948"/>
      <c r="N62" s="846"/>
      <c r="O62" s="847"/>
      <c r="P62" s="947" t="str">
        <f>IF(C62="","",INDEX(PMEHVAC[Base Watt],MATCH(C62,PMEHVAC[Eff Desc 1],0)))</f>
        <v/>
      </c>
      <c r="Q62" s="948"/>
      <c r="R62" s="947" t="str">
        <f>IF(C62="","",INDEX(PMEHVAC[Base Watt 2],MATCH(C62,PMEHVAC[Eff Desc 1],0)))</f>
        <v/>
      </c>
      <c r="S62" s="948"/>
      <c r="T62" s="961"/>
      <c r="U62" s="962"/>
      <c r="V62" s="846"/>
      <c r="W62" s="847"/>
      <c r="X62" s="832"/>
      <c r="Y62" s="833"/>
      <c r="Z62" s="834"/>
      <c r="AA62" s="945"/>
      <c r="AB62" s="937"/>
      <c r="AC62" s="937"/>
      <c r="AD62" s="938"/>
      <c r="AE62" s="941" t="str">
        <f>IF(C62="","",INDEX(PMEHVAC[Unit of Measure],MATCH(C62,PMEHVAC[Eff Desc 1],0)))</f>
        <v/>
      </c>
      <c r="AF62" s="941"/>
      <c r="AG62" s="941"/>
      <c r="AH62" s="942"/>
      <c r="AI62" s="917" t="str">
        <f>IF(OR(C62="",N62="",T62="",V62="",X62="",AA62="",AC62=""),"",INDEX(PMEHVAC[Inc Rate Unit],MATCH(C62,PMEHVAC[Eff Desc 1],0)))</f>
        <v/>
      </c>
      <c r="AJ62" s="918"/>
      <c r="AK62" s="933" t="str">
        <f t="shared" ref="AK62" si="81">IFERROR(IF(OR(C62="",N62="",T62="",V62="",X62="",AA62="",AC62="",),"",AW62),"")</f>
        <v/>
      </c>
      <c r="AL62" s="934"/>
      <c r="AM62" s="934"/>
      <c r="AN62" s="935"/>
      <c r="AO62" s="924" t="str">
        <f t="shared" ref="AO62" si="82">IFERROR(IF(OR(C62="",N62="",V62="",X62="",T62="",AA62="",AC62=""),"",IF(BC62&lt;&gt;"",BC62,ROUND(IF(AK62&lt;=0,0,IF(AE62="unit",MIN(AU62*1,AI62),MIN(AU62*1,(N62-L62)*V62*AI62))),2))),"")</f>
        <v/>
      </c>
      <c r="AP62" s="925"/>
      <c r="AQ62" s="863"/>
      <c r="AU62" s="808" t="str">
        <f t="shared" ref="AU62" si="83">IF(OR(C62="",N62="",T62="",V62="",X62="",AA62="",AE62="",AC62=""),"",IF(AK62="","",ROUND((AA62+AC62),2)))</f>
        <v/>
      </c>
      <c r="AV62" s="922" t="str">
        <f>IF(OR(C62="",N62="",T62="",V62="",X62="",AA62="",AC62="",AE62=""),"",ROUND(IF(ISNUMBER(SEARCH("Unit",AE62)),(V62/12)*(1/((-0.02*N62^2)+(1.12*N62)))*0.177*0.08*0.457,
(V62*12)*((1/L62)-(1/N62))*INDEX(ENDUSEALL[Lighting Coincidence Factor],MATCH(AX62,ENDUSEALL[End Use],0))),3))</f>
        <v/>
      </c>
      <c r="AW62" s="900" t="str">
        <f>IFERROR(ROUND(
IF(ISNUMBER(SEARCH("DX",C62)),(V62*12)*((1/L62)-(1/N62))*INDEX(PMEHVAC[EFLHcool],MATCH(C62,PMEHVAC[Eff Desc 1],0)),
IF(ISNUMBER(SEARCH("PTAC",C62)),(V62*12)*((1/L62)-(1/N62))*INDEX(PMEHVAC[EFLHcool],MATCH(C62,PMEHVAC[Eff Desc 1],0)),
IF(ISNUMBER(SEARCH("PTHP",C62)),((V62*12)*((1/L62)-(1/N62))*INDEX(PMEHVAC[EFLHcool],MATCH(C62,PMEHVAC[Eff Desc 1],0)))+(((V62*12)/3.412)*((1/R62)-(1/T62))*INDEX(PMEHVAC[EFLHheat],MATCH(C62,PMEHVAC[Eff Desc 1],0))),
IF(OR(ISNUMBER(SEARCH("ASHP",C62)),ISNUMBER(SEARCH("WSHP",C62)),ISNUMBER(SEARCH("Water Source",C62)),ISNUMBER(SEARCH("GSHP",C62))),((V62*12)*((1/L62)-(1/N62))*INDEX(PMEHVAC[EFLHcool],MATCH(C62,PMEHVAC[Eff Desc 1],0)))+(IF(P62="HSPF",(V62*12),((V62*12)/3.412))*((1/R62)-(1/T62))*INDEX(PMEHVAC[EFLHheat],MATCH(C62,PMEHVAC[Eff Desc 1],0))),
"")))),0),"")</f>
        <v/>
      </c>
      <c r="AX62" s="922" t="str">
        <f>IF(OR(C62="",N62="",T62="",V62="",X62="",AA62="",AE62="",AC62=""),"",INDEX(PMEHVAC[End Use Category],MATCH(C62,PMEHVAC[Eff Desc 1],0)))</f>
        <v/>
      </c>
    </row>
    <row r="63" spans="2:53" ht="15.95" hidden="1" customHeight="1">
      <c r="B63" s="923"/>
      <c r="C63" s="835"/>
      <c r="D63" s="836"/>
      <c r="E63" s="836"/>
      <c r="F63" s="836"/>
      <c r="G63" s="836"/>
      <c r="H63" s="836"/>
      <c r="I63" s="836"/>
      <c r="J63" s="949"/>
      <c r="K63" s="950"/>
      <c r="L63" s="949"/>
      <c r="M63" s="950"/>
      <c r="N63" s="848"/>
      <c r="O63" s="849"/>
      <c r="P63" s="949"/>
      <c r="Q63" s="950"/>
      <c r="R63" s="949"/>
      <c r="S63" s="950"/>
      <c r="T63" s="963"/>
      <c r="U63" s="964"/>
      <c r="V63" s="848"/>
      <c r="W63" s="849"/>
      <c r="X63" s="835"/>
      <c r="Y63" s="836"/>
      <c r="Z63" s="837"/>
      <c r="AA63" s="946"/>
      <c r="AB63" s="939"/>
      <c r="AC63" s="939"/>
      <c r="AD63" s="940"/>
      <c r="AE63" s="943"/>
      <c r="AF63" s="943"/>
      <c r="AG63" s="943"/>
      <c r="AH63" s="944"/>
      <c r="AI63" s="919"/>
      <c r="AJ63" s="865"/>
      <c r="AK63" s="906"/>
      <c r="AL63" s="907"/>
      <c r="AM63" s="907"/>
      <c r="AN63" s="936"/>
      <c r="AO63" s="919"/>
      <c r="AP63" s="926"/>
      <c r="AQ63" s="865"/>
      <c r="AU63" s="809"/>
      <c r="AV63" s="901"/>
      <c r="AW63" s="901"/>
      <c r="AX63" s="901"/>
    </row>
    <row r="64" spans="2:53" ht="15.95" hidden="1" customHeight="1">
      <c r="B64" s="923">
        <v>25</v>
      </c>
      <c r="C64" s="866"/>
      <c r="D64" s="867"/>
      <c r="E64" s="867"/>
      <c r="F64" s="867"/>
      <c r="G64" s="867"/>
      <c r="H64" s="867"/>
      <c r="I64" s="867"/>
      <c r="J64" s="947" t="str">
        <f>IF(C64="","",INDEX(PMEHVAC[Base Desc 1],MATCH(C64,PMEHVAC[Eff Desc 1],0)))</f>
        <v/>
      </c>
      <c r="K64" s="948"/>
      <c r="L64" s="947" t="str">
        <f>IF(C64="","",INDEX(PMEHVAC[Base Desc 2],MATCH(C64,PMEHVAC[Eff Desc 1],0)))</f>
        <v/>
      </c>
      <c r="M64" s="948"/>
      <c r="N64" s="846"/>
      <c r="O64" s="847"/>
      <c r="P64" s="947" t="str">
        <f>IF(C64="","",INDEX(PMEHVAC[Base Watt],MATCH(C64,PMEHVAC[Eff Desc 1],0)))</f>
        <v/>
      </c>
      <c r="Q64" s="948"/>
      <c r="R64" s="947" t="str">
        <f>IF(C64="","",INDEX(PMEHVAC[Base Watt 2],MATCH(C64,PMEHVAC[Eff Desc 1],0)))</f>
        <v/>
      </c>
      <c r="S64" s="948"/>
      <c r="T64" s="961"/>
      <c r="U64" s="962"/>
      <c r="V64" s="846"/>
      <c r="W64" s="847"/>
      <c r="X64" s="832"/>
      <c r="Y64" s="833"/>
      <c r="Z64" s="834"/>
      <c r="AA64" s="945"/>
      <c r="AB64" s="937"/>
      <c r="AC64" s="937"/>
      <c r="AD64" s="938"/>
      <c r="AE64" s="941" t="str">
        <f>IF(C64="","",INDEX(PMEHVAC[Unit of Measure],MATCH(C64,PMEHVAC[Eff Desc 1],0)))</f>
        <v/>
      </c>
      <c r="AF64" s="941"/>
      <c r="AG64" s="941"/>
      <c r="AH64" s="942"/>
      <c r="AI64" s="917" t="str">
        <f>IF(OR(C64="",N64="",T64="",V64="",X64="",AA64="",AC64=""),"",INDEX(PMEHVAC[Inc Rate Unit],MATCH(C64,PMEHVAC[Eff Desc 1],0)))</f>
        <v/>
      </c>
      <c r="AJ64" s="918"/>
      <c r="AK64" s="933" t="str">
        <f t="shared" ref="AK64" si="84">IFERROR(IF(OR(C64="",N64="",T64="",V64="",X64="",AA64="",AC64="",),"",AW64),"")</f>
        <v/>
      </c>
      <c r="AL64" s="934"/>
      <c r="AM64" s="934"/>
      <c r="AN64" s="935"/>
      <c r="AO64" s="924" t="str">
        <f t="shared" ref="AO64" si="85">IFERROR(IF(OR(C64="",N64="",V64="",X64="",T64="",AA64="",AC64=""),"",IF(BC64&lt;&gt;"",BC64,ROUND(IF(AK64&lt;=0,0,IF(AE64="unit",MIN(AU64*1,AI64),MIN(AU64*1,(N64-L64)*V64*AI64))),2))),"")</f>
        <v/>
      </c>
      <c r="AP64" s="925"/>
      <c r="AQ64" s="863"/>
      <c r="AU64" s="808" t="str">
        <f t="shared" ref="AU64" si="86">IF(OR(C64="",N64="",T64="",V64="",X64="",AA64="",AE64="",AC64=""),"",IF(AK64="","",ROUND((AA64+AC64),2)))</f>
        <v/>
      </c>
      <c r="AV64" s="922" t="str">
        <f>IF(OR(C64="",N64="",T64="",V64="",X64="",AA64="",AC64="",AE64=""),"",ROUND(IF(ISNUMBER(SEARCH("Unit",AE64)),(V64/12)*(1/((-0.02*N64^2)+(1.12*N64)))*0.177*0.08*0.457,
(V64*12)*((1/L64)-(1/N64))*INDEX(ENDUSEALL[Lighting Coincidence Factor],MATCH(AX64,ENDUSEALL[End Use],0))),3))</f>
        <v/>
      </c>
      <c r="AW64" s="900" t="str">
        <f>IFERROR(ROUND(
IF(ISNUMBER(SEARCH("DX",C64)),(V64*12)*((1/L64)-(1/N64))*INDEX(PMEHVAC[EFLHcool],MATCH(C64,PMEHVAC[Eff Desc 1],0)),
IF(ISNUMBER(SEARCH("PTAC",C64)),(V64*12)*((1/L64)-(1/N64))*INDEX(PMEHVAC[EFLHcool],MATCH(C64,PMEHVAC[Eff Desc 1],0)),
IF(ISNUMBER(SEARCH("PTHP",C64)),((V64*12)*((1/L64)-(1/N64))*INDEX(PMEHVAC[EFLHcool],MATCH(C64,PMEHVAC[Eff Desc 1],0)))+(((V64*12)/3.412)*((1/R64)-(1/T64))*INDEX(PMEHVAC[EFLHheat],MATCH(C64,PMEHVAC[Eff Desc 1],0))),
IF(OR(ISNUMBER(SEARCH("ASHP",C64)),ISNUMBER(SEARCH("WSHP",C64)),ISNUMBER(SEARCH("Water Source",C64)),ISNUMBER(SEARCH("GSHP",C64))),((V64*12)*((1/L64)-(1/N64))*INDEX(PMEHVAC[EFLHcool],MATCH(C64,PMEHVAC[Eff Desc 1],0)))+(IF(P64="HSPF",(V64*12),((V64*12)/3.412))*((1/R64)-(1/T64))*INDEX(PMEHVAC[EFLHheat],MATCH(C64,PMEHVAC[Eff Desc 1],0))),
"")))),0),"")</f>
        <v/>
      </c>
      <c r="AX64" s="922" t="str">
        <f>IF(OR(C64="",N64="",T64="",V64="",X64="",AA64="",AE64="",AC64=""),"",INDEX(PMEHVAC[End Use Category],MATCH(C64,PMEHVAC[Eff Desc 1],0)))</f>
        <v/>
      </c>
    </row>
    <row r="65" spans="2:50" ht="15.95" hidden="1" customHeight="1">
      <c r="B65" s="923"/>
      <c r="C65" s="835"/>
      <c r="D65" s="836"/>
      <c r="E65" s="836"/>
      <c r="F65" s="836"/>
      <c r="G65" s="836"/>
      <c r="H65" s="836"/>
      <c r="I65" s="836"/>
      <c r="J65" s="949"/>
      <c r="K65" s="950"/>
      <c r="L65" s="949"/>
      <c r="M65" s="950"/>
      <c r="N65" s="848"/>
      <c r="O65" s="849"/>
      <c r="P65" s="949"/>
      <c r="Q65" s="950"/>
      <c r="R65" s="949"/>
      <c r="S65" s="950"/>
      <c r="T65" s="963"/>
      <c r="U65" s="964"/>
      <c r="V65" s="848"/>
      <c r="W65" s="849"/>
      <c r="X65" s="835"/>
      <c r="Y65" s="836"/>
      <c r="Z65" s="837"/>
      <c r="AA65" s="946"/>
      <c r="AB65" s="939"/>
      <c r="AC65" s="939"/>
      <c r="AD65" s="940"/>
      <c r="AE65" s="943"/>
      <c r="AF65" s="943"/>
      <c r="AG65" s="943"/>
      <c r="AH65" s="944"/>
      <c r="AI65" s="919"/>
      <c r="AJ65" s="865"/>
      <c r="AK65" s="906"/>
      <c r="AL65" s="907"/>
      <c r="AM65" s="907"/>
      <c r="AN65" s="936"/>
      <c r="AO65" s="919"/>
      <c r="AP65" s="926"/>
      <c r="AQ65" s="865"/>
      <c r="AU65" s="809"/>
      <c r="AV65" s="901"/>
      <c r="AW65" s="901"/>
      <c r="AX65" s="901"/>
    </row>
    <row r="66" spans="2:50" ht="15.95" hidden="1" customHeight="1">
      <c r="B66" s="923">
        <v>26</v>
      </c>
      <c r="C66" s="866"/>
      <c r="D66" s="867"/>
      <c r="E66" s="867"/>
      <c r="F66" s="867"/>
      <c r="G66" s="867"/>
      <c r="H66" s="867"/>
      <c r="I66" s="867"/>
      <c r="J66" s="947" t="str">
        <f>IF(C66="","",INDEX(PMEHVAC[Base Desc 1],MATCH(C66,PMEHVAC[Eff Desc 1],0)))</f>
        <v/>
      </c>
      <c r="K66" s="948"/>
      <c r="L66" s="947" t="str">
        <f>IF(C66="","",INDEX(PMEHVAC[Base Desc 2],MATCH(C66,PMEHVAC[Eff Desc 1],0)))</f>
        <v/>
      </c>
      <c r="M66" s="948"/>
      <c r="N66" s="846"/>
      <c r="O66" s="847"/>
      <c r="P66" s="947" t="str">
        <f>IF(C66="","",INDEX(PMEHVAC[Base Watt],MATCH(C66,PMEHVAC[Eff Desc 1],0)))</f>
        <v/>
      </c>
      <c r="Q66" s="948"/>
      <c r="R66" s="947" t="str">
        <f>IF(C66="","",INDEX(PMEHVAC[Base Watt 2],MATCH(C66,PMEHVAC[Eff Desc 1],0)))</f>
        <v/>
      </c>
      <c r="S66" s="948"/>
      <c r="T66" s="961"/>
      <c r="U66" s="962"/>
      <c r="V66" s="846"/>
      <c r="W66" s="847"/>
      <c r="X66" s="832"/>
      <c r="Y66" s="833"/>
      <c r="Z66" s="834"/>
      <c r="AA66" s="945"/>
      <c r="AB66" s="937"/>
      <c r="AC66" s="937"/>
      <c r="AD66" s="938"/>
      <c r="AE66" s="941" t="str">
        <f>IF(C66="","",INDEX(PMEHVAC[Unit of Measure],MATCH(C66,PMEHVAC[Eff Desc 1],0)))</f>
        <v/>
      </c>
      <c r="AF66" s="941"/>
      <c r="AG66" s="941"/>
      <c r="AH66" s="942"/>
      <c r="AI66" s="917" t="str">
        <f>IF(OR(C66="",N66="",T66="",V66="",X66="",AA66="",AC66=""),"",INDEX(PMEHVAC[Inc Rate Unit],MATCH(C66,PMEHVAC[Eff Desc 1],0)))</f>
        <v/>
      </c>
      <c r="AJ66" s="918"/>
      <c r="AK66" s="933" t="str">
        <f t="shared" ref="AK66" si="87">IFERROR(IF(OR(C66="",N66="",T66="",V66="",X66="",AA66="",AC66="",),"",AW66),"")</f>
        <v/>
      </c>
      <c r="AL66" s="934"/>
      <c r="AM66" s="934"/>
      <c r="AN66" s="935"/>
      <c r="AO66" s="924" t="str">
        <f t="shared" ref="AO66" si="88">IFERROR(IF(OR(C66="",N66="",V66="",X66="",T66="",AA66="",AC66=""),"",IF(BC66&lt;&gt;"",BC66,ROUND(IF(AK66&lt;=0,0,IF(AE66="unit",MIN(AU66*1,AI66),MIN(AU66*1,(N66-L66)*V66*AI66))),2))),"")</f>
        <v/>
      </c>
      <c r="AP66" s="925"/>
      <c r="AQ66" s="863"/>
      <c r="AU66" s="808" t="str">
        <f t="shared" ref="AU66" si="89">IF(OR(C66="",N66="",T66="",V66="",X66="",AA66="",AE66="",AC66=""),"",IF(AK66="","",ROUND((AA66+AC66),2)))</f>
        <v/>
      </c>
      <c r="AV66" s="922" t="str">
        <f>IF(OR(C66="",N66="",T66="",V66="",X66="",AA66="",AC66="",AE66=""),"",ROUND(IF(ISNUMBER(SEARCH("Unit",AE66)),(V66/12)*(1/((-0.02*N66^2)+(1.12*N66)))*0.177*0.08*0.457,
(V66*12)*((1/L66)-(1/N66))*INDEX(ENDUSEALL[Lighting Coincidence Factor],MATCH(AX66,ENDUSEALL[End Use],0))),3))</f>
        <v/>
      </c>
      <c r="AW66" s="900" t="str">
        <f>IFERROR(ROUND(
IF(ISNUMBER(SEARCH("DX",C66)),(V66*12)*((1/L66)-(1/N66))*INDEX(PMEHVAC[EFLHcool],MATCH(C66,PMEHVAC[Eff Desc 1],0)),
IF(ISNUMBER(SEARCH("PTAC",C66)),(V66*12)*((1/L66)-(1/N66))*INDEX(PMEHVAC[EFLHcool],MATCH(C66,PMEHVAC[Eff Desc 1],0)),
IF(ISNUMBER(SEARCH("PTHP",C66)),((V66*12)*((1/L66)-(1/N66))*INDEX(PMEHVAC[EFLHcool],MATCH(C66,PMEHVAC[Eff Desc 1],0)))+(((V66*12)/3.412)*((1/R66)-(1/T66))*INDEX(PMEHVAC[EFLHheat],MATCH(C66,PMEHVAC[Eff Desc 1],0))),
IF(OR(ISNUMBER(SEARCH("ASHP",C66)),ISNUMBER(SEARCH("WSHP",C66)),ISNUMBER(SEARCH("Water Source",C66)),ISNUMBER(SEARCH("GSHP",C66))),((V66*12)*((1/L66)-(1/N66))*INDEX(PMEHVAC[EFLHcool],MATCH(C66,PMEHVAC[Eff Desc 1],0)))+(IF(P66="HSPF",(V66*12),((V66*12)/3.412))*((1/R66)-(1/T66))*INDEX(PMEHVAC[EFLHheat],MATCH(C66,PMEHVAC[Eff Desc 1],0))),
"")))),0),"")</f>
        <v/>
      </c>
      <c r="AX66" s="922" t="str">
        <f>IF(OR(C66="",N66="",T66="",V66="",X66="",AA66="",AE66="",AC66=""),"",INDEX(PMEHVAC[End Use Category],MATCH(C66,PMEHVAC[Eff Desc 1],0)))</f>
        <v/>
      </c>
    </row>
    <row r="67" spans="2:50" ht="15.95" hidden="1" customHeight="1">
      <c r="B67" s="923"/>
      <c r="C67" s="835"/>
      <c r="D67" s="836"/>
      <c r="E67" s="836"/>
      <c r="F67" s="836"/>
      <c r="G67" s="836"/>
      <c r="H67" s="836"/>
      <c r="I67" s="836"/>
      <c r="J67" s="949"/>
      <c r="K67" s="950"/>
      <c r="L67" s="949"/>
      <c r="M67" s="950"/>
      <c r="N67" s="848"/>
      <c r="O67" s="849"/>
      <c r="P67" s="949"/>
      <c r="Q67" s="950"/>
      <c r="R67" s="949"/>
      <c r="S67" s="950"/>
      <c r="T67" s="963"/>
      <c r="U67" s="964"/>
      <c r="V67" s="848"/>
      <c r="W67" s="849"/>
      <c r="X67" s="835"/>
      <c r="Y67" s="836"/>
      <c r="Z67" s="837"/>
      <c r="AA67" s="946"/>
      <c r="AB67" s="939"/>
      <c r="AC67" s="939"/>
      <c r="AD67" s="940"/>
      <c r="AE67" s="943"/>
      <c r="AF67" s="943"/>
      <c r="AG67" s="943"/>
      <c r="AH67" s="944"/>
      <c r="AI67" s="919"/>
      <c r="AJ67" s="865"/>
      <c r="AK67" s="906"/>
      <c r="AL67" s="907"/>
      <c r="AM67" s="907"/>
      <c r="AN67" s="936"/>
      <c r="AO67" s="919"/>
      <c r="AP67" s="926"/>
      <c r="AQ67" s="865"/>
      <c r="AU67" s="809"/>
      <c r="AV67" s="901"/>
      <c r="AW67" s="901"/>
      <c r="AX67" s="901"/>
    </row>
    <row r="68" spans="2:50" ht="15.95" hidden="1" customHeight="1">
      <c r="B68" s="923">
        <v>27</v>
      </c>
      <c r="C68" s="866"/>
      <c r="D68" s="867"/>
      <c r="E68" s="867"/>
      <c r="F68" s="867"/>
      <c r="G68" s="867"/>
      <c r="H68" s="867"/>
      <c r="I68" s="867"/>
      <c r="J68" s="947" t="str">
        <f>IF(C68="","",INDEX(PMEHVAC[Base Desc 1],MATCH(C68,PMEHVAC[Eff Desc 1],0)))</f>
        <v/>
      </c>
      <c r="K68" s="948"/>
      <c r="L68" s="947" t="str">
        <f>IF(C68="","",INDEX(PMEHVAC[Base Desc 2],MATCH(C68,PMEHVAC[Eff Desc 1],0)))</f>
        <v/>
      </c>
      <c r="M68" s="948"/>
      <c r="N68" s="846"/>
      <c r="O68" s="847"/>
      <c r="P68" s="947" t="str">
        <f>IF(C68="","",INDEX(PMEHVAC[Base Watt],MATCH(C68,PMEHVAC[Eff Desc 1],0)))</f>
        <v/>
      </c>
      <c r="Q68" s="948"/>
      <c r="R68" s="947" t="str">
        <f>IF(C68="","",INDEX(PMEHVAC[Base Watt 2],MATCH(C68,PMEHVAC[Eff Desc 1],0)))</f>
        <v/>
      </c>
      <c r="S68" s="948"/>
      <c r="T68" s="961"/>
      <c r="U68" s="962"/>
      <c r="V68" s="846"/>
      <c r="W68" s="847"/>
      <c r="X68" s="832"/>
      <c r="Y68" s="833"/>
      <c r="Z68" s="834"/>
      <c r="AA68" s="945"/>
      <c r="AB68" s="937"/>
      <c r="AC68" s="937"/>
      <c r="AD68" s="938"/>
      <c r="AE68" s="941" t="str">
        <f>IF(C68="","",INDEX(PMEHVAC[Unit of Measure],MATCH(C68,PMEHVAC[Eff Desc 1],0)))</f>
        <v/>
      </c>
      <c r="AF68" s="941"/>
      <c r="AG68" s="941"/>
      <c r="AH68" s="942"/>
      <c r="AI68" s="917" t="str">
        <f>IF(OR(C68="",N68="",T68="",V68="",X68="",AA68="",AC68=""),"",INDEX(PMEHVAC[Inc Rate Unit],MATCH(C68,PMEHVAC[Eff Desc 1],0)))</f>
        <v/>
      </c>
      <c r="AJ68" s="918"/>
      <c r="AK68" s="933" t="str">
        <f t="shared" ref="AK68" si="90">IFERROR(IF(OR(C68="",N68="",T68="",V68="",X68="",AA68="",AC68="",),"",AW68),"")</f>
        <v/>
      </c>
      <c r="AL68" s="934"/>
      <c r="AM68" s="934"/>
      <c r="AN68" s="935"/>
      <c r="AO68" s="924" t="str">
        <f t="shared" ref="AO68" si="91">IFERROR(IF(OR(C68="",N68="",V68="",X68="",T68="",AA68="",AC68=""),"",IF(BC68&lt;&gt;"",BC68,ROUND(IF(AK68&lt;=0,0,IF(AE68="unit",MIN(AU68*1,AI68),MIN(AU68*1,(N68-L68)*V68*AI68))),2))),"")</f>
        <v/>
      </c>
      <c r="AP68" s="925"/>
      <c r="AQ68" s="863"/>
      <c r="AU68" s="808" t="str">
        <f t="shared" ref="AU68" si="92">IF(OR(C68="",N68="",T68="",V68="",X68="",AA68="",AE68="",AC68=""),"",IF(AK68="","",ROUND((AA68+AC68),2)))</f>
        <v/>
      </c>
      <c r="AV68" s="922" t="str">
        <f>IF(OR(C68="",N68="",T68="",V68="",X68="",AA68="",AC68="",AE68=""),"",ROUND(IF(ISNUMBER(SEARCH("Unit",AE68)),(V68/12)*(1/((-0.02*N68^2)+(1.12*N68)))*0.177*0.08*0.457,
(V68*12)*((1/L68)-(1/N68))*INDEX(ENDUSEALL[Lighting Coincidence Factor],MATCH(AX68,ENDUSEALL[End Use],0))),3))</f>
        <v/>
      </c>
      <c r="AW68" s="900" t="str">
        <f>IFERROR(ROUND(
IF(ISNUMBER(SEARCH("DX",C68)),(V68*12)*((1/L68)-(1/N68))*INDEX(PMEHVAC[EFLHcool],MATCH(C68,PMEHVAC[Eff Desc 1],0)),
IF(ISNUMBER(SEARCH("PTAC",C68)),(V68*12)*((1/L68)-(1/N68))*INDEX(PMEHVAC[EFLHcool],MATCH(C68,PMEHVAC[Eff Desc 1],0)),
IF(ISNUMBER(SEARCH("PTHP",C68)),((V68*12)*((1/L68)-(1/N68))*INDEX(PMEHVAC[EFLHcool],MATCH(C68,PMEHVAC[Eff Desc 1],0)))+(((V68*12)/3.412)*((1/R68)-(1/T68))*INDEX(PMEHVAC[EFLHheat],MATCH(C68,PMEHVAC[Eff Desc 1],0))),
IF(OR(ISNUMBER(SEARCH("ASHP",C68)),ISNUMBER(SEARCH("WSHP",C68)),ISNUMBER(SEARCH("Water Source",C68)),ISNUMBER(SEARCH("GSHP",C68))),((V68*12)*((1/L68)-(1/N68))*INDEX(PMEHVAC[EFLHcool],MATCH(C68,PMEHVAC[Eff Desc 1],0)))+(IF(P68="HSPF",(V68*12),((V68*12)/3.412))*((1/R68)-(1/T68))*INDEX(PMEHVAC[EFLHheat],MATCH(C68,PMEHVAC[Eff Desc 1],0))),
"")))),0),"")</f>
        <v/>
      </c>
      <c r="AX68" s="922" t="str">
        <f>IF(OR(C68="",N68="",T68="",V68="",X68="",AA68="",AE68="",AC68=""),"",INDEX(PMEHVAC[End Use Category],MATCH(C68,PMEHVAC[Eff Desc 1],0)))</f>
        <v/>
      </c>
    </row>
    <row r="69" spans="2:50" ht="15.95" hidden="1" customHeight="1">
      <c r="B69" s="923"/>
      <c r="C69" s="835"/>
      <c r="D69" s="836"/>
      <c r="E69" s="836"/>
      <c r="F69" s="836"/>
      <c r="G69" s="836"/>
      <c r="H69" s="836"/>
      <c r="I69" s="836"/>
      <c r="J69" s="949"/>
      <c r="K69" s="950"/>
      <c r="L69" s="949"/>
      <c r="M69" s="950"/>
      <c r="N69" s="848"/>
      <c r="O69" s="849"/>
      <c r="P69" s="949"/>
      <c r="Q69" s="950"/>
      <c r="R69" s="949"/>
      <c r="S69" s="950"/>
      <c r="T69" s="963"/>
      <c r="U69" s="964"/>
      <c r="V69" s="848"/>
      <c r="W69" s="849"/>
      <c r="X69" s="835"/>
      <c r="Y69" s="836"/>
      <c r="Z69" s="837"/>
      <c r="AA69" s="946"/>
      <c r="AB69" s="939"/>
      <c r="AC69" s="939"/>
      <c r="AD69" s="940"/>
      <c r="AE69" s="943"/>
      <c r="AF69" s="943"/>
      <c r="AG69" s="943"/>
      <c r="AH69" s="944"/>
      <c r="AI69" s="919"/>
      <c r="AJ69" s="865"/>
      <c r="AK69" s="906"/>
      <c r="AL69" s="907"/>
      <c r="AM69" s="907"/>
      <c r="AN69" s="936"/>
      <c r="AO69" s="919"/>
      <c r="AP69" s="926"/>
      <c r="AQ69" s="865"/>
      <c r="AU69" s="809"/>
      <c r="AV69" s="901"/>
      <c r="AW69" s="901"/>
      <c r="AX69" s="901"/>
    </row>
    <row r="70" spans="2:50" ht="15.95" hidden="1" customHeight="1">
      <c r="B70" s="923">
        <v>28</v>
      </c>
      <c r="C70" s="866"/>
      <c r="D70" s="867"/>
      <c r="E70" s="867"/>
      <c r="F70" s="867"/>
      <c r="G70" s="867"/>
      <c r="H70" s="867"/>
      <c r="I70" s="867"/>
      <c r="J70" s="947" t="str">
        <f>IF(C70="","",INDEX(PMEHVAC[Base Desc 1],MATCH(C70,PMEHVAC[Eff Desc 1],0)))</f>
        <v/>
      </c>
      <c r="K70" s="948"/>
      <c r="L70" s="947" t="str">
        <f>IF(C70="","",INDEX(PMEHVAC[Base Desc 2],MATCH(C70,PMEHVAC[Eff Desc 1],0)))</f>
        <v/>
      </c>
      <c r="M70" s="948"/>
      <c r="N70" s="846"/>
      <c r="O70" s="847"/>
      <c r="P70" s="947" t="str">
        <f>IF(C70="","",INDEX(PMEHVAC[Base Watt],MATCH(C70,PMEHVAC[Eff Desc 1],0)))</f>
        <v/>
      </c>
      <c r="Q70" s="948"/>
      <c r="R70" s="947" t="str">
        <f>IF(C70="","",INDEX(PMEHVAC[Base Watt 2],MATCH(C70,PMEHVAC[Eff Desc 1],0)))</f>
        <v/>
      </c>
      <c r="S70" s="948"/>
      <c r="T70" s="961"/>
      <c r="U70" s="962"/>
      <c r="V70" s="846"/>
      <c r="W70" s="847"/>
      <c r="X70" s="832"/>
      <c r="Y70" s="833"/>
      <c r="Z70" s="834"/>
      <c r="AA70" s="945"/>
      <c r="AB70" s="937"/>
      <c r="AC70" s="937"/>
      <c r="AD70" s="938"/>
      <c r="AE70" s="941" t="str">
        <f>IF(C70="","",INDEX(PMEHVAC[Unit of Measure],MATCH(C70,PMEHVAC[Eff Desc 1],0)))</f>
        <v/>
      </c>
      <c r="AF70" s="941"/>
      <c r="AG70" s="941"/>
      <c r="AH70" s="942"/>
      <c r="AI70" s="917" t="str">
        <f>IF(OR(C70="",N70="",T70="",V70="",X70="",AA70="",AC70=""),"",INDEX(PMEHVAC[Inc Rate Unit],MATCH(C70,PMEHVAC[Eff Desc 1],0)))</f>
        <v/>
      </c>
      <c r="AJ70" s="918"/>
      <c r="AK70" s="933" t="str">
        <f t="shared" ref="AK70" si="93">IFERROR(IF(OR(C70="",N70="",T70="",V70="",X70="",AA70="",AC70="",),"",AW70),"")</f>
        <v/>
      </c>
      <c r="AL70" s="934"/>
      <c r="AM70" s="934"/>
      <c r="AN70" s="935"/>
      <c r="AO70" s="924" t="str">
        <f t="shared" ref="AO70" si="94">IFERROR(IF(OR(C70="",N70="",V70="",X70="",T70="",AA70="",AC70=""),"",IF(BC70&lt;&gt;"",BC70,ROUND(IF(AK70&lt;=0,0,IF(AE70="unit",MIN(AU70*1,AI70),MIN(AU70*1,(N70-L70)*V70*AI70))),2))),"")</f>
        <v/>
      </c>
      <c r="AP70" s="925"/>
      <c r="AQ70" s="863"/>
      <c r="AU70" s="808" t="str">
        <f t="shared" ref="AU70" si="95">IF(OR(C70="",N70="",T70="",V70="",X70="",AA70="",AE70="",AC70=""),"",IF(AK70="","",ROUND((AA70+AC70),2)))</f>
        <v/>
      </c>
      <c r="AV70" s="922" t="str">
        <f>IF(OR(C70="",N70="",T70="",V70="",X70="",AA70="",AC70="",AE70=""),"",ROUND(IF(ISNUMBER(SEARCH("Unit",AE70)),(V70/12)*(1/((-0.02*N70^2)+(1.12*N70)))*0.177*0.08*0.457,
(V70*12)*((1/L70)-(1/N70))*INDEX(ENDUSEALL[Lighting Coincidence Factor],MATCH(AX70,ENDUSEALL[End Use],0))),3))</f>
        <v/>
      </c>
      <c r="AW70" s="900" t="str">
        <f>IFERROR(ROUND(
IF(ISNUMBER(SEARCH("DX",C70)),(V70*12)*((1/L70)-(1/N70))*INDEX(PMEHVAC[EFLHcool],MATCH(C70,PMEHVAC[Eff Desc 1],0)),
IF(ISNUMBER(SEARCH("PTAC",C70)),(V70*12)*((1/L70)-(1/N70))*INDEX(PMEHVAC[EFLHcool],MATCH(C70,PMEHVAC[Eff Desc 1],0)),
IF(ISNUMBER(SEARCH("PTHP",C70)),((V70*12)*((1/L70)-(1/N70))*INDEX(PMEHVAC[EFLHcool],MATCH(C70,PMEHVAC[Eff Desc 1],0)))+(((V70*12)/3.412)*((1/R70)-(1/T70))*INDEX(PMEHVAC[EFLHheat],MATCH(C70,PMEHVAC[Eff Desc 1],0))),
IF(OR(ISNUMBER(SEARCH("ASHP",C70)),ISNUMBER(SEARCH("WSHP",C70)),ISNUMBER(SEARCH("Water Source",C70)),ISNUMBER(SEARCH("GSHP",C70))),((V70*12)*((1/L70)-(1/N70))*INDEX(PMEHVAC[EFLHcool],MATCH(C70,PMEHVAC[Eff Desc 1],0)))+(IF(P70="HSPF",(V70*12),((V70*12)/3.412))*((1/R70)-(1/T70))*INDEX(PMEHVAC[EFLHheat],MATCH(C70,PMEHVAC[Eff Desc 1],0))),
"")))),0),"")</f>
        <v/>
      </c>
      <c r="AX70" s="922" t="str">
        <f>IF(OR(C70="",N70="",T70="",V70="",X70="",AA70="",AE70="",AC70=""),"",INDEX(PMEHVAC[End Use Category],MATCH(C70,PMEHVAC[Eff Desc 1],0)))</f>
        <v/>
      </c>
    </row>
    <row r="71" spans="2:50" ht="15.95" hidden="1" customHeight="1">
      <c r="B71" s="923"/>
      <c r="C71" s="835"/>
      <c r="D71" s="836"/>
      <c r="E71" s="836"/>
      <c r="F71" s="836"/>
      <c r="G71" s="836"/>
      <c r="H71" s="836"/>
      <c r="I71" s="836"/>
      <c r="J71" s="949"/>
      <c r="K71" s="950"/>
      <c r="L71" s="949"/>
      <c r="M71" s="950"/>
      <c r="N71" s="848"/>
      <c r="O71" s="849"/>
      <c r="P71" s="949"/>
      <c r="Q71" s="950"/>
      <c r="R71" s="949"/>
      <c r="S71" s="950"/>
      <c r="T71" s="963"/>
      <c r="U71" s="964"/>
      <c r="V71" s="848"/>
      <c r="W71" s="849"/>
      <c r="X71" s="835"/>
      <c r="Y71" s="836"/>
      <c r="Z71" s="837"/>
      <c r="AA71" s="946"/>
      <c r="AB71" s="939"/>
      <c r="AC71" s="939"/>
      <c r="AD71" s="940"/>
      <c r="AE71" s="943"/>
      <c r="AF71" s="943"/>
      <c r="AG71" s="943"/>
      <c r="AH71" s="944"/>
      <c r="AI71" s="919"/>
      <c r="AJ71" s="865"/>
      <c r="AK71" s="906"/>
      <c r="AL71" s="907"/>
      <c r="AM71" s="907"/>
      <c r="AN71" s="936"/>
      <c r="AO71" s="919"/>
      <c r="AP71" s="926"/>
      <c r="AQ71" s="865"/>
      <c r="AU71" s="809"/>
      <c r="AV71" s="901"/>
      <c r="AW71" s="901"/>
      <c r="AX71" s="901"/>
    </row>
    <row r="72" spans="2:50" ht="15.95" hidden="1" customHeight="1">
      <c r="B72" s="923">
        <v>29</v>
      </c>
      <c r="C72" s="866"/>
      <c r="D72" s="867"/>
      <c r="E72" s="867"/>
      <c r="F72" s="867"/>
      <c r="G72" s="867"/>
      <c r="H72" s="867"/>
      <c r="I72" s="867"/>
      <c r="J72" s="947" t="str">
        <f>IF(C72="","",INDEX(PMEHVAC[Base Desc 1],MATCH(C72,PMEHVAC[Eff Desc 1],0)))</f>
        <v/>
      </c>
      <c r="K72" s="948"/>
      <c r="L72" s="947" t="str">
        <f>IF(C72="","",INDEX(PMEHVAC[Base Desc 2],MATCH(C72,PMEHVAC[Eff Desc 1],0)))</f>
        <v/>
      </c>
      <c r="M72" s="948"/>
      <c r="N72" s="846"/>
      <c r="O72" s="847"/>
      <c r="P72" s="947" t="str">
        <f>IF(C72="","",INDEX(PMEHVAC[Base Watt],MATCH(C72,PMEHVAC[Eff Desc 1],0)))</f>
        <v/>
      </c>
      <c r="Q72" s="948"/>
      <c r="R72" s="947" t="str">
        <f>IF(C72="","",INDEX(PMEHVAC[Base Watt 2],MATCH(C72,PMEHVAC[Eff Desc 1],0)))</f>
        <v/>
      </c>
      <c r="S72" s="948"/>
      <c r="T72" s="961"/>
      <c r="U72" s="962"/>
      <c r="V72" s="846"/>
      <c r="W72" s="847"/>
      <c r="X72" s="832"/>
      <c r="Y72" s="833"/>
      <c r="Z72" s="834"/>
      <c r="AA72" s="945"/>
      <c r="AB72" s="937"/>
      <c r="AC72" s="937"/>
      <c r="AD72" s="938"/>
      <c r="AE72" s="941" t="str">
        <f>IF(C72="","",INDEX(PMEHVAC[Unit of Measure],MATCH(C72,PMEHVAC[Eff Desc 1],0)))</f>
        <v/>
      </c>
      <c r="AF72" s="941"/>
      <c r="AG72" s="941"/>
      <c r="AH72" s="942"/>
      <c r="AI72" s="917" t="str">
        <f>IF(OR(C72="",N72="",T72="",V72="",X72="",AA72="",AC72=""),"",INDEX(PMEHVAC[Inc Rate Unit],MATCH(C72,PMEHVAC[Eff Desc 1],0)))</f>
        <v/>
      </c>
      <c r="AJ72" s="918"/>
      <c r="AK72" s="933" t="str">
        <f t="shared" ref="AK72" si="96">IFERROR(IF(OR(C72="",N72="",T72="",V72="",X72="",AA72="",AC72="",),"",AW72),"")</f>
        <v/>
      </c>
      <c r="AL72" s="934"/>
      <c r="AM72" s="934"/>
      <c r="AN72" s="935"/>
      <c r="AO72" s="924" t="str">
        <f t="shared" ref="AO72" si="97">IFERROR(IF(OR(C72="",N72="",V72="",X72="",T72="",AA72="",AC72=""),"",IF(BC72&lt;&gt;"",BC72,ROUND(IF(AK72&lt;=0,0,IF(AE72="unit",MIN(AU72*1,AI72),MIN(AU72*1,(N72-L72)*V72*AI72))),2))),"")</f>
        <v/>
      </c>
      <c r="AP72" s="925"/>
      <c r="AQ72" s="863"/>
      <c r="AU72" s="808" t="str">
        <f t="shared" ref="AU72" si="98">IF(OR(C72="",N72="",T72="",V72="",X72="",AA72="",AE72="",AC72=""),"",IF(AK72="","",ROUND((AA72+AC72),2)))</f>
        <v/>
      </c>
      <c r="AV72" s="922" t="str">
        <f>IF(OR(C72="",N72="",T72="",V72="",X72="",AA72="",AC72="",AE72=""),"",ROUND(IF(ISNUMBER(SEARCH("Unit",AE72)),(V72/12)*(1/((-0.02*N72^2)+(1.12*N72)))*0.177*0.08*0.457,
(V72*12)*((1/L72)-(1/N72))*INDEX(ENDUSEALL[Lighting Coincidence Factor],MATCH(AX72,ENDUSEALL[End Use],0))),3))</f>
        <v/>
      </c>
      <c r="AW72" s="900" t="str">
        <f>IFERROR(ROUND(
IF(ISNUMBER(SEARCH("DX",C72)),(V72*12)*((1/L72)-(1/N72))*INDEX(PMEHVAC[EFLHcool],MATCH(C72,PMEHVAC[Eff Desc 1],0)),
IF(ISNUMBER(SEARCH("PTAC",C72)),(V72*12)*((1/L72)-(1/N72))*INDEX(PMEHVAC[EFLHcool],MATCH(C72,PMEHVAC[Eff Desc 1],0)),
IF(ISNUMBER(SEARCH("PTHP",C72)),((V72*12)*((1/L72)-(1/N72))*INDEX(PMEHVAC[EFLHcool],MATCH(C72,PMEHVAC[Eff Desc 1],0)))+(((V72*12)/3.412)*((1/R72)-(1/T72))*INDEX(PMEHVAC[EFLHheat],MATCH(C72,PMEHVAC[Eff Desc 1],0))),
IF(OR(ISNUMBER(SEARCH("ASHP",C72)),ISNUMBER(SEARCH("WSHP",C72)),ISNUMBER(SEARCH("Water Source",C72)),ISNUMBER(SEARCH("GSHP",C72))),((V72*12)*((1/L72)-(1/N72))*INDEX(PMEHVAC[EFLHcool],MATCH(C72,PMEHVAC[Eff Desc 1],0)))+(IF(P72="HSPF",(V72*12),((V72*12)/3.412))*((1/R72)-(1/T72))*INDEX(PMEHVAC[EFLHheat],MATCH(C72,PMEHVAC[Eff Desc 1],0))),
"")))),0),"")</f>
        <v/>
      </c>
      <c r="AX72" s="922" t="str">
        <f>IF(OR(C72="",N72="",T72="",V72="",X72="",AA72="",AE72="",AC72=""),"",INDEX(PMEHVAC[End Use Category],MATCH(C72,PMEHVAC[Eff Desc 1],0)))</f>
        <v/>
      </c>
    </row>
    <row r="73" spans="2:50" ht="15.95" hidden="1" customHeight="1">
      <c r="B73" s="923"/>
      <c r="C73" s="835"/>
      <c r="D73" s="836"/>
      <c r="E73" s="836"/>
      <c r="F73" s="836"/>
      <c r="G73" s="836"/>
      <c r="H73" s="836"/>
      <c r="I73" s="836"/>
      <c r="J73" s="949"/>
      <c r="K73" s="950"/>
      <c r="L73" s="949"/>
      <c r="M73" s="950"/>
      <c r="N73" s="848"/>
      <c r="O73" s="849"/>
      <c r="P73" s="949"/>
      <c r="Q73" s="950"/>
      <c r="R73" s="949"/>
      <c r="S73" s="950"/>
      <c r="T73" s="963"/>
      <c r="U73" s="964"/>
      <c r="V73" s="848"/>
      <c r="W73" s="849"/>
      <c r="X73" s="835"/>
      <c r="Y73" s="836"/>
      <c r="Z73" s="837"/>
      <c r="AA73" s="946"/>
      <c r="AB73" s="939"/>
      <c r="AC73" s="939"/>
      <c r="AD73" s="940"/>
      <c r="AE73" s="943"/>
      <c r="AF73" s="943"/>
      <c r="AG73" s="943"/>
      <c r="AH73" s="944"/>
      <c r="AI73" s="919"/>
      <c r="AJ73" s="865"/>
      <c r="AK73" s="906"/>
      <c r="AL73" s="907"/>
      <c r="AM73" s="907"/>
      <c r="AN73" s="936"/>
      <c r="AO73" s="919"/>
      <c r="AP73" s="926"/>
      <c r="AQ73" s="865"/>
      <c r="AU73" s="809"/>
      <c r="AV73" s="901"/>
      <c r="AW73" s="901"/>
      <c r="AX73" s="901"/>
    </row>
    <row r="74" spans="2:50" ht="15.95" hidden="1" customHeight="1">
      <c r="B74" s="923">
        <v>30</v>
      </c>
      <c r="C74" s="866"/>
      <c r="D74" s="867"/>
      <c r="E74" s="867"/>
      <c r="F74" s="867"/>
      <c r="G74" s="867"/>
      <c r="H74" s="867"/>
      <c r="I74" s="867"/>
      <c r="J74" s="947" t="str">
        <f>IF(C74="","",INDEX(PMEHVAC[Base Desc 1],MATCH(C74,PMEHVAC[Eff Desc 1],0)))</f>
        <v/>
      </c>
      <c r="K74" s="948"/>
      <c r="L74" s="947" t="str">
        <f>IF(C74="","",INDEX(PMEHVAC[Base Desc 2],MATCH(C74,PMEHVAC[Eff Desc 1],0)))</f>
        <v/>
      </c>
      <c r="M74" s="948"/>
      <c r="N74" s="846"/>
      <c r="O74" s="847"/>
      <c r="P74" s="947" t="str">
        <f>IF(C74="","",INDEX(PMEHVAC[Base Watt],MATCH(C74,PMEHVAC[Eff Desc 1],0)))</f>
        <v/>
      </c>
      <c r="Q74" s="948"/>
      <c r="R74" s="947" t="str">
        <f>IF(C74="","",INDEX(PMEHVAC[Base Watt 2],MATCH(C74,PMEHVAC[Eff Desc 1],0)))</f>
        <v/>
      </c>
      <c r="S74" s="948"/>
      <c r="T74" s="961"/>
      <c r="U74" s="962"/>
      <c r="V74" s="846"/>
      <c r="W74" s="847"/>
      <c r="X74" s="832"/>
      <c r="Y74" s="833"/>
      <c r="Z74" s="834"/>
      <c r="AA74" s="945"/>
      <c r="AB74" s="937"/>
      <c r="AC74" s="937"/>
      <c r="AD74" s="938"/>
      <c r="AE74" s="941" t="str">
        <f>IF(C74="","",INDEX(PMEHVAC[Unit of Measure],MATCH(C74,PMEHVAC[Eff Desc 1],0)))</f>
        <v/>
      </c>
      <c r="AF74" s="941"/>
      <c r="AG74" s="941"/>
      <c r="AH74" s="942"/>
      <c r="AI74" s="917" t="str">
        <f>IF(OR(C74="",N74="",T74="",V74="",X74="",AA74="",AC74=""),"",INDEX(PMEHVAC[Inc Rate Unit],MATCH(C74,PMEHVAC[Eff Desc 1],0)))</f>
        <v/>
      </c>
      <c r="AJ74" s="918"/>
      <c r="AK74" s="933" t="str">
        <f t="shared" ref="AK74" si="99">IFERROR(IF(OR(C74="",N74="",T74="",V74="",X74="",AA74="",AC74="",),"",AW74),"")</f>
        <v/>
      </c>
      <c r="AL74" s="934"/>
      <c r="AM74" s="934"/>
      <c r="AN74" s="935"/>
      <c r="AO74" s="924" t="str">
        <f t="shared" ref="AO74" si="100">IFERROR(IF(OR(C74="",N74="",V74="",X74="",T74="",AA74="",AC74=""),"",IF(BC74&lt;&gt;"",BC74,ROUND(IF(AK74&lt;=0,0,IF(AE74="unit",MIN(AU74*1,AI74),MIN(AU74*1,(N74-L74)*V74*AI74))),2))),"")</f>
        <v/>
      </c>
      <c r="AP74" s="925"/>
      <c r="AQ74" s="863"/>
      <c r="AU74" s="808" t="str">
        <f t="shared" ref="AU74" si="101">IF(OR(C74="",N74="",T74="",V74="",X74="",AA74="",AE74="",AC74=""),"",IF(AK74="","",ROUND((AA74+AC74),2)))</f>
        <v/>
      </c>
      <c r="AV74" s="922" t="str">
        <f>IF(OR(C74="",N74="",T74="",V74="",X74="",AA74="",AC74="",AE74=""),"",ROUND(IF(ISNUMBER(SEARCH("Unit",AE74)),(V74/12)*(1/((-0.02*N74^2)+(1.12*N74)))*0.177*0.08*0.457,
(V74*12)*((1/L74)-(1/N74))*INDEX(ENDUSEALL[Lighting Coincidence Factor],MATCH(AX74,ENDUSEALL[End Use],0))),3))</f>
        <v/>
      </c>
      <c r="AW74" s="900" t="str">
        <f>IFERROR(ROUND(
IF(ISNUMBER(SEARCH("DX",C74)),(V74*12)*((1/L74)-(1/N74))*INDEX(PMEHVAC[EFLHcool],MATCH(C74,PMEHVAC[Eff Desc 1],0)),
IF(ISNUMBER(SEARCH("PTAC",C74)),(V74*12)*((1/L74)-(1/N74))*INDEX(PMEHVAC[EFLHcool],MATCH(C74,PMEHVAC[Eff Desc 1],0)),
IF(ISNUMBER(SEARCH("PTHP",C74)),((V74*12)*((1/L74)-(1/N74))*INDEX(PMEHVAC[EFLHcool],MATCH(C74,PMEHVAC[Eff Desc 1],0)))+(((V74*12)/3.412)*((1/R74)-(1/T74))*INDEX(PMEHVAC[EFLHheat],MATCH(C74,PMEHVAC[Eff Desc 1],0))),
IF(OR(ISNUMBER(SEARCH("ASHP",C74)),ISNUMBER(SEARCH("WSHP",C74)),ISNUMBER(SEARCH("Water Source",C74)),ISNUMBER(SEARCH("GSHP",C74))),((V74*12)*((1/L74)-(1/N74))*INDEX(PMEHVAC[EFLHcool],MATCH(C74,PMEHVAC[Eff Desc 1],0)))+(IF(P74="HSPF",(V74*12),((V74*12)/3.412))*((1/R74)-(1/T74))*INDEX(PMEHVAC[EFLHheat],MATCH(C74,PMEHVAC[Eff Desc 1],0))),
"")))),0),"")</f>
        <v/>
      </c>
      <c r="AX74" s="922" t="str">
        <f>IF(OR(C74="",N74="",T74="",V74="",X74="",AA74="",AE74="",AC74=""),"",INDEX(PMEHVAC[End Use Category],MATCH(C74,PMEHVAC[Eff Desc 1],0)))</f>
        <v/>
      </c>
    </row>
    <row r="75" spans="2:50" ht="15.95" hidden="1" customHeight="1">
      <c r="B75" s="923"/>
      <c r="C75" s="835"/>
      <c r="D75" s="836"/>
      <c r="E75" s="836"/>
      <c r="F75" s="836"/>
      <c r="G75" s="836"/>
      <c r="H75" s="836"/>
      <c r="I75" s="836"/>
      <c r="J75" s="949"/>
      <c r="K75" s="950"/>
      <c r="L75" s="949"/>
      <c r="M75" s="950"/>
      <c r="N75" s="848"/>
      <c r="O75" s="849"/>
      <c r="P75" s="949"/>
      <c r="Q75" s="950"/>
      <c r="R75" s="949"/>
      <c r="S75" s="950"/>
      <c r="T75" s="963"/>
      <c r="U75" s="964"/>
      <c r="V75" s="848"/>
      <c r="W75" s="849"/>
      <c r="X75" s="835"/>
      <c r="Y75" s="836"/>
      <c r="Z75" s="837"/>
      <c r="AA75" s="946"/>
      <c r="AB75" s="939"/>
      <c r="AC75" s="939"/>
      <c r="AD75" s="940"/>
      <c r="AE75" s="943"/>
      <c r="AF75" s="943"/>
      <c r="AG75" s="943"/>
      <c r="AH75" s="944"/>
      <c r="AI75" s="919"/>
      <c r="AJ75" s="865"/>
      <c r="AK75" s="906"/>
      <c r="AL75" s="907"/>
      <c r="AM75" s="907"/>
      <c r="AN75" s="936"/>
      <c r="AO75" s="919"/>
      <c r="AP75" s="926"/>
      <c r="AQ75" s="865"/>
      <c r="AU75" s="809"/>
      <c r="AV75" s="901"/>
      <c r="AW75" s="901"/>
      <c r="AX75" s="901"/>
    </row>
    <row r="76" spans="2:50" ht="15.95" hidden="1" customHeight="1">
      <c r="B76" s="923">
        <v>31</v>
      </c>
      <c r="C76" s="866"/>
      <c r="D76" s="867"/>
      <c r="E76" s="867"/>
      <c r="F76" s="867"/>
      <c r="G76" s="867"/>
      <c r="H76" s="867"/>
      <c r="I76" s="867"/>
      <c r="J76" s="947" t="str">
        <f>IF(C76="","",INDEX(PMEHVAC[Base Desc 1],MATCH(C76,PMEHVAC[Eff Desc 1],0)))</f>
        <v/>
      </c>
      <c r="K76" s="948"/>
      <c r="L76" s="947" t="str">
        <f>IF(C76="","",INDEX(PMEHVAC[Base Desc 2],MATCH(C76,PMEHVAC[Eff Desc 1],0)))</f>
        <v/>
      </c>
      <c r="M76" s="948"/>
      <c r="N76" s="846"/>
      <c r="O76" s="847"/>
      <c r="P76" s="947" t="str">
        <f>IF(C76="","",INDEX(PMEHVAC[Base Watt],MATCH(C76,PMEHVAC[Eff Desc 1],0)))</f>
        <v/>
      </c>
      <c r="Q76" s="948"/>
      <c r="R76" s="947" t="str">
        <f>IF(C76="","",INDEX(PMEHVAC[Base Watt 2],MATCH(C76,PMEHVAC[Eff Desc 1],0)))</f>
        <v/>
      </c>
      <c r="S76" s="948"/>
      <c r="T76" s="961"/>
      <c r="U76" s="962"/>
      <c r="V76" s="846"/>
      <c r="W76" s="847"/>
      <c r="X76" s="832"/>
      <c r="Y76" s="833"/>
      <c r="Z76" s="834"/>
      <c r="AA76" s="945"/>
      <c r="AB76" s="937"/>
      <c r="AC76" s="937"/>
      <c r="AD76" s="938"/>
      <c r="AE76" s="941" t="str">
        <f>IF(C76="","",INDEX(PMEHVAC[Unit of Measure],MATCH(C76,PMEHVAC[Eff Desc 1],0)))</f>
        <v/>
      </c>
      <c r="AF76" s="941"/>
      <c r="AG76" s="941"/>
      <c r="AH76" s="942"/>
      <c r="AI76" s="917" t="str">
        <f>IF(OR(C76="",N76="",T76="",V76="",X76="",AA76="",AC76=""),"",INDEX(PMEHVAC[Inc Rate Unit],MATCH(C76,PMEHVAC[Eff Desc 1],0)))</f>
        <v/>
      </c>
      <c r="AJ76" s="918"/>
      <c r="AK76" s="933" t="str">
        <f t="shared" ref="AK76" si="102">IFERROR(IF(OR(C76="",N76="",T76="",V76="",X76="",AA76="",AC76="",),"",AW76),"")</f>
        <v/>
      </c>
      <c r="AL76" s="934"/>
      <c r="AM76" s="934"/>
      <c r="AN76" s="935"/>
      <c r="AO76" s="924" t="str">
        <f t="shared" ref="AO76" si="103">IFERROR(IF(OR(C76="",N76="",V76="",X76="",T76="",AA76="",AC76=""),"",IF(BC76&lt;&gt;"",BC76,ROUND(IF(AK76&lt;=0,0,IF(AE76="unit",MIN(AU76*1,AI76),MIN(AU76*1,(N76-L76)*V76*AI76))),2))),"")</f>
        <v/>
      </c>
      <c r="AP76" s="925"/>
      <c r="AQ76" s="863"/>
      <c r="AU76" s="808" t="str">
        <f t="shared" ref="AU76" si="104">IF(OR(C76="",N76="",T76="",V76="",X76="",AA76="",AE76="",AC76=""),"",IF(AK76="","",ROUND((AA76+AC76),2)))</f>
        <v/>
      </c>
      <c r="AV76" s="922" t="str">
        <f>IF(OR(C76="",N76="",T76="",V76="",X76="",AA76="",AC76="",AE76=""),"",ROUND(IF(ISNUMBER(SEARCH("Unit",AE76)),(V76/12)*(1/((-0.02*N76^2)+(1.12*N76)))*0.177*0.08*0.457,
(V76*12)*((1/L76)-(1/N76))*INDEX(ENDUSEALL[Lighting Coincidence Factor],MATCH(AX76,ENDUSEALL[End Use],0))),3))</f>
        <v/>
      </c>
      <c r="AW76" s="900" t="str">
        <f>IFERROR(ROUND(
IF(ISNUMBER(SEARCH("DX",C76)),(V76*12)*((1/L76)-(1/N76))*INDEX(PMEHVAC[EFLHcool],MATCH(C76,PMEHVAC[Eff Desc 1],0)),
IF(ISNUMBER(SEARCH("PTAC",C76)),(V76*12)*((1/L76)-(1/N76))*INDEX(PMEHVAC[EFLHcool],MATCH(C76,PMEHVAC[Eff Desc 1],0)),
IF(ISNUMBER(SEARCH("PTHP",C76)),((V76*12)*((1/L76)-(1/N76))*INDEX(PMEHVAC[EFLHcool],MATCH(C76,PMEHVAC[Eff Desc 1],0)))+(((V76*12)/3.412)*((1/R76)-(1/T76))*INDEX(PMEHVAC[EFLHheat],MATCH(C76,PMEHVAC[Eff Desc 1],0))),
IF(OR(ISNUMBER(SEARCH("ASHP",C76)),ISNUMBER(SEARCH("WSHP",C76)),ISNUMBER(SEARCH("Water Source",C76)),ISNUMBER(SEARCH("GSHP",C76))),((V76*12)*((1/L76)-(1/N76))*INDEX(PMEHVAC[EFLHcool],MATCH(C76,PMEHVAC[Eff Desc 1],0)))+(IF(P76="HSPF",(V76*12),((V76*12)/3.412))*((1/R76)-(1/T76))*INDEX(PMEHVAC[EFLHheat],MATCH(C76,PMEHVAC[Eff Desc 1],0))),
"")))),0),"")</f>
        <v/>
      </c>
      <c r="AX76" s="922" t="str">
        <f>IF(OR(C76="",N76="",T76="",V76="",X76="",AA76="",AE76="",AC76=""),"",INDEX(PMEHVAC[End Use Category],MATCH(C76,PMEHVAC[Eff Desc 1],0)))</f>
        <v/>
      </c>
    </row>
    <row r="77" spans="2:50" ht="15.95" hidden="1" customHeight="1">
      <c r="B77" s="923"/>
      <c r="C77" s="835"/>
      <c r="D77" s="836"/>
      <c r="E77" s="836"/>
      <c r="F77" s="836"/>
      <c r="G77" s="836"/>
      <c r="H77" s="836"/>
      <c r="I77" s="836"/>
      <c r="J77" s="949"/>
      <c r="K77" s="950"/>
      <c r="L77" s="949"/>
      <c r="M77" s="950"/>
      <c r="N77" s="848"/>
      <c r="O77" s="849"/>
      <c r="P77" s="949"/>
      <c r="Q77" s="950"/>
      <c r="R77" s="949"/>
      <c r="S77" s="950"/>
      <c r="T77" s="963"/>
      <c r="U77" s="964"/>
      <c r="V77" s="848"/>
      <c r="W77" s="849"/>
      <c r="X77" s="835"/>
      <c r="Y77" s="836"/>
      <c r="Z77" s="837"/>
      <c r="AA77" s="946"/>
      <c r="AB77" s="939"/>
      <c r="AC77" s="939"/>
      <c r="AD77" s="940"/>
      <c r="AE77" s="943"/>
      <c r="AF77" s="943"/>
      <c r="AG77" s="943"/>
      <c r="AH77" s="944"/>
      <c r="AI77" s="919"/>
      <c r="AJ77" s="865"/>
      <c r="AK77" s="906"/>
      <c r="AL77" s="907"/>
      <c r="AM77" s="907"/>
      <c r="AN77" s="936"/>
      <c r="AO77" s="919"/>
      <c r="AP77" s="926"/>
      <c r="AQ77" s="865"/>
      <c r="AU77" s="809"/>
      <c r="AV77" s="901"/>
      <c r="AW77" s="901"/>
      <c r="AX77" s="901"/>
    </row>
    <row r="78" spans="2:50" ht="15.95" hidden="1" customHeight="1">
      <c r="B78" s="923">
        <v>32</v>
      </c>
      <c r="C78" s="866"/>
      <c r="D78" s="867"/>
      <c r="E78" s="867"/>
      <c r="F78" s="867"/>
      <c r="G78" s="867"/>
      <c r="H78" s="867"/>
      <c r="I78" s="867"/>
      <c r="J78" s="947" t="str">
        <f>IF(C78="","",INDEX(PMEHVAC[Base Desc 1],MATCH(C78,PMEHVAC[Eff Desc 1],0)))</f>
        <v/>
      </c>
      <c r="K78" s="948"/>
      <c r="L78" s="947" t="str">
        <f>IF(C78="","",INDEX(PMEHVAC[Base Desc 2],MATCH(C78,PMEHVAC[Eff Desc 1],0)))</f>
        <v/>
      </c>
      <c r="M78" s="948"/>
      <c r="N78" s="846"/>
      <c r="O78" s="847"/>
      <c r="P78" s="947" t="str">
        <f>IF(C78="","",INDEX(PMEHVAC[Base Watt],MATCH(C78,PMEHVAC[Eff Desc 1],0)))</f>
        <v/>
      </c>
      <c r="Q78" s="948"/>
      <c r="R78" s="947" t="str">
        <f>IF(C78="","",INDEX(PMEHVAC[Base Watt 2],MATCH(C78,PMEHVAC[Eff Desc 1],0)))</f>
        <v/>
      </c>
      <c r="S78" s="948"/>
      <c r="T78" s="961"/>
      <c r="U78" s="962"/>
      <c r="V78" s="846"/>
      <c r="W78" s="847"/>
      <c r="X78" s="832"/>
      <c r="Y78" s="833"/>
      <c r="Z78" s="834"/>
      <c r="AA78" s="945"/>
      <c r="AB78" s="937"/>
      <c r="AC78" s="937"/>
      <c r="AD78" s="938"/>
      <c r="AE78" s="941" t="str">
        <f>IF(C78="","",INDEX(PMEHVAC[Unit of Measure],MATCH(C78,PMEHVAC[Eff Desc 1],0)))</f>
        <v/>
      </c>
      <c r="AF78" s="941"/>
      <c r="AG78" s="941"/>
      <c r="AH78" s="942"/>
      <c r="AI78" s="917" t="str">
        <f>IF(OR(C78="",N78="",T78="",V78="",X78="",AA78="",AC78=""),"",INDEX(PMEHVAC[Inc Rate Unit],MATCH(C78,PMEHVAC[Eff Desc 1],0)))</f>
        <v/>
      </c>
      <c r="AJ78" s="918"/>
      <c r="AK78" s="933" t="str">
        <f t="shared" ref="AK78" si="105">IFERROR(IF(OR(C78="",N78="",T78="",V78="",X78="",AA78="",AC78="",),"",AW78),"")</f>
        <v/>
      </c>
      <c r="AL78" s="934"/>
      <c r="AM78" s="934"/>
      <c r="AN78" s="935"/>
      <c r="AO78" s="924" t="str">
        <f t="shared" ref="AO78" si="106">IFERROR(IF(OR(C78="",N78="",V78="",X78="",T78="",AA78="",AC78=""),"",IF(BC78&lt;&gt;"",BC78,ROUND(IF(AK78&lt;=0,0,IF(AE78="unit",MIN(AU78*1,AI78),MIN(AU78*1,(N78-L78)*V78*AI78))),2))),"")</f>
        <v/>
      </c>
      <c r="AP78" s="925"/>
      <c r="AQ78" s="863"/>
      <c r="AU78" s="808" t="str">
        <f t="shared" ref="AU78" si="107">IF(OR(C78="",N78="",T78="",V78="",X78="",AA78="",AE78="",AC78=""),"",IF(AK78="","",ROUND((AA78+AC78),2)))</f>
        <v/>
      </c>
      <c r="AV78" s="922" t="str">
        <f>IF(OR(C78="",N78="",T78="",V78="",X78="",AA78="",AC78="",AE78=""),"",ROUND(IF(ISNUMBER(SEARCH("Unit",AE78)),(V78/12)*(1/((-0.02*N78^2)+(1.12*N78)))*0.177*0.08*0.457,
(V78*12)*((1/L78)-(1/N78))*INDEX(ENDUSEALL[Lighting Coincidence Factor],MATCH(AX78,ENDUSEALL[End Use],0))),3))</f>
        <v/>
      </c>
      <c r="AW78" s="900" t="str">
        <f>IFERROR(ROUND(
IF(ISNUMBER(SEARCH("DX",C78)),(V78*12)*((1/L78)-(1/N78))*INDEX(PMEHVAC[EFLHcool],MATCH(C78,PMEHVAC[Eff Desc 1],0)),
IF(ISNUMBER(SEARCH("PTAC",C78)),(V78*12)*((1/L78)-(1/N78))*INDEX(PMEHVAC[EFLHcool],MATCH(C78,PMEHVAC[Eff Desc 1],0)),
IF(ISNUMBER(SEARCH("PTHP",C78)),((V78*12)*((1/L78)-(1/N78))*INDEX(PMEHVAC[EFLHcool],MATCH(C78,PMEHVAC[Eff Desc 1],0)))+(((V78*12)/3.412)*((1/R78)-(1/T78))*INDEX(PMEHVAC[EFLHheat],MATCH(C78,PMEHVAC[Eff Desc 1],0))),
IF(OR(ISNUMBER(SEARCH("ASHP",C78)),ISNUMBER(SEARCH("WSHP",C78)),ISNUMBER(SEARCH("Water Source",C78)),ISNUMBER(SEARCH("GSHP",C78))),((V78*12)*((1/L78)-(1/N78))*INDEX(PMEHVAC[EFLHcool],MATCH(C78,PMEHVAC[Eff Desc 1],0)))+(IF(P78="HSPF",(V78*12),((V78*12)/3.412))*((1/R78)-(1/T78))*INDEX(PMEHVAC[EFLHheat],MATCH(C78,PMEHVAC[Eff Desc 1],0))),
"")))),0),"")</f>
        <v/>
      </c>
      <c r="AX78" s="922" t="str">
        <f>IF(OR(C78="",N78="",T78="",V78="",X78="",AA78="",AE78="",AC78=""),"",INDEX(PMEHVAC[End Use Category],MATCH(C78,PMEHVAC[Eff Desc 1],0)))</f>
        <v/>
      </c>
    </row>
    <row r="79" spans="2:50" ht="15.95" hidden="1" customHeight="1">
      <c r="B79" s="923"/>
      <c r="C79" s="835"/>
      <c r="D79" s="836"/>
      <c r="E79" s="836"/>
      <c r="F79" s="836"/>
      <c r="G79" s="836"/>
      <c r="H79" s="836"/>
      <c r="I79" s="836"/>
      <c r="J79" s="949"/>
      <c r="K79" s="950"/>
      <c r="L79" s="949"/>
      <c r="M79" s="950"/>
      <c r="N79" s="848"/>
      <c r="O79" s="849"/>
      <c r="P79" s="949"/>
      <c r="Q79" s="950"/>
      <c r="R79" s="949"/>
      <c r="S79" s="950"/>
      <c r="T79" s="963"/>
      <c r="U79" s="964"/>
      <c r="V79" s="848"/>
      <c r="W79" s="849"/>
      <c r="X79" s="835"/>
      <c r="Y79" s="836"/>
      <c r="Z79" s="837"/>
      <c r="AA79" s="946"/>
      <c r="AB79" s="939"/>
      <c r="AC79" s="939"/>
      <c r="AD79" s="940"/>
      <c r="AE79" s="943"/>
      <c r="AF79" s="943"/>
      <c r="AG79" s="943"/>
      <c r="AH79" s="944"/>
      <c r="AI79" s="919"/>
      <c r="AJ79" s="865"/>
      <c r="AK79" s="906"/>
      <c r="AL79" s="907"/>
      <c r="AM79" s="907"/>
      <c r="AN79" s="936"/>
      <c r="AO79" s="919"/>
      <c r="AP79" s="926"/>
      <c r="AQ79" s="865"/>
      <c r="AU79" s="809"/>
      <c r="AV79" s="901"/>
      <c r="AW79" s="901"/>
      <c r="AX79" s="901"/>
    </row>
    <row r="80" spans="2:50" ht="15.95" hidden="1" customHeight="1">
      <c r="B80" s="923">
        <v>33</v>
      </c>
      <c r="C80" s="866"/>
      <c r="D80" s="867"/>
      <c r="E80" s="867"/>
      <c r="F80" s="867"/>
      <c r="G80" s="867"/>
      <c r="H80" s="867"/>
      <c r="I80" s="867"/>
      <c r="J80" s="947" t="str">
        <f>IF(C80="","",INDEX(PMEHVAC[Base Desc 1],MATCH(C80,PMEHVAC[Eff Desc 1],0)))</f>
        <v/>
      </c>
      <c r="K80" s="948"/>
      <c r="L80" s="947" t="str">
        <f>IF(C80="","",INDEX(PMEHVAC[Base Desc 2],MATCH(C80,PMEHVAC[Eff Desc 1],0)))</f>
        <v/>
      </c>
      <c r="M80" s="948"/>
      <c r="N80" s="846"/>
      <c r="O80" s="847"/>
      <c r="P80" s="947" t="str">
        <f>IF(C80="","",INDEX(PMEHVAC[Base Watt],MATCH(C80,PMEHVAC[Eff Desc 1],0)))</f>
        <v/>
      </c>
      <c r="Q80" s="948"/>
      <c r="R80" s="947" t="str">
        <f>IF(C80="","",INDEX(PMEHVAC[Base Watt 2],MATCH(C80,PMEHVAC[Eff Desc 1],0)))</f>
        <v/>
      </c>
      <c r="S80" s="948"/>
      <c r="T80" s="961"/>
      <c r="U80" s="962"/>
      <c r="V80" s="846"/>
      <c r="W80" s="847"/>
      <c r="X80" s="832"/>
      <c r="Y80" s="833"/>
      <c r="Z80" s="834"/>
      <c r="AA80" s="945"/>
      <c r="AB80" s="937"/>
      <c r="AC80" s="937"/>
      <c r="AD80" s="938"/>
      <c r="AE80" s="941" t="str">
        <f>IF(C80="","",INDEX(PMEHVAC[Unit of Measure],MATCH(C80,PMEHVAC[Eff Desc 1],0)))</f>
        <v/>
      </c>
      <c r="AF80" s="941"/>
      <c r="AG80" s="941"/>
      <c r="AH80" s="942"/>
      <c r="AI80" s="917" t="str">
        <f>IF(OR(C80="",N80="",T80="",V80="",X80="",AA80="",AC80=""),"",INDEX(PMEHVAC[Inc Rate Unit],MATCH(C80,PMEHVAC[Eff Desc 1],0)))</f>
        <v/>
      </c>
      <c r="AJ80" s="918"/>
      <c r="AK80" s="933" t="str">
        <f t="shared" ref="AK80" si="108">IFERROR(IF(OR(C80="",N80="",T80="",V80="",X80="",AA80="",AC80="",),"",AW80),"")</f>
        <v/>
      </c>
      <c r="AL80" s="934"/>
      <c r="AM80" s="934"/>
      <c r="AN80" s="935"/>
      <c r="AO80" s="924" t="str">
        <f t="shared" ref="AO80" si="109">IFERROR(IF(OR(C80="",N80="",V80="",X80="",T80="",AA80="",AC80=""),"",IF(BC80&lt;&gt;"",BC80,ROUND(IF(AK80&lt;=0,0,IF(AE80="unit",MIN(AU80*1,AI80),MIN(AU80*1,(N80-L80)*V80*AI80))),2))),"")</f>
        <v/>
      </c>
      <c r="AP80" s="925"/>
      <c r="AQ80" s="863"/>
      <c r="AU80" s="808" t="str">
        <f t="shared" ref="AU80" si="110">IF(OR(C80="",N80="",T80="",V80="",X80="",AA80="",AE80="",AC80=""),"",IF(AK80="","",ROUND((AA80+AC80),2)))</f>
        <v/>
      </c>
      <c r="AV80" s="922" t="str">
        <f>IF(OR(C80="",N80="",T80="",V80="",X80="",AA80="",AC80="",AE80=""),"",ROUND(IF(ISNUMBER(SEARCH("Unit",AE80)),(V80/12)*(1/((-0.02*N80^2)+(1.12*N80)))*0.177*0.08*0.457,
(V80*12)*((1/L80)-(1/N80))*INDEX(ENDUSEALL[Lighting Coincidence Factor],MATCH(AX80,ENDUSEALL[End Use],0))),3))</f>
        <v/>
      </c>
      <c r="AW80" s="900" t="str">
        <f>IFERROR(ROUND(
IF(ISNUMBER(SEARCH("DX",C80)),(V80*12)*((1/L80)-(1/N80))*INDEX(PMEHVAC[EFLHcool],MATCH(C80,PMEHVAC[Eff Desc 1],0)),
IF(ISNUMBER(SEARCH("PTAC",C80)),(V80*12)*((1/L80)-(1/N80))*INDEX(PMEHVAC[EFLHcool],MATCH(C80,PMEHVAC[Eff Desc 1],0)),
IF(ISNUMBER(SEARCH("PTHP",C80)),((V80*12)*((1/L80)-(1/N80))*INDEX(PMEHVAC[EFLHcool],MATCH(C80,PMEHVAC[Eff Desc 1],0)))+(((V80*12)/3.412)*((1/R80)-(1/T80))*INDEX(PMEHVAC[EFLHheat],MATCH(C80,PMEHVAC[Eff Desc 1],0))),
IF(OR(ISNUMBER(SEARCH("ASHP",C80)),ISNUMBER(SEARCH("WSHP",C80)),ISNUMBER(SEARCH("Water Source",C80)),ISNUMBER(SEARCH("GSHP",C80))),((V80*12)*((1/L80)-(1/N80))*INDEX(PMEHVAC[EFLHcool],MATCH(C80,PMEHVAC[Eff Desc 1],0)))+(IF(P80="HSPF",(V80*12),((V80*12)/3.412))*((1/R80)-(1/T80))*INDEX(PMEHVAC[EFLHheat],MATCH(C80,PMEHVAC[Eff Desc 1],0))),
"")))),0),"")</f>
        <v/>
      </c>
      <c r="AX80" s="922" t="str">
        <f>IF(OR(C80="",N80="",T80="",V80="",X80="",AA80="",AE80="",AC80=""),"",INDEX(PMEHVAC[End Use Category],MATCH(C80,PMEHVAC[Eff Desc 1],0)))</f>
        <v/>
      </c>
    </row>
    <row r="81" spans="2:50" ht="15.95" hidden="1" customHeight="1">
      <c r="B81" s="923"/>
      <c r="C81" s="835"/>
      <c r="D81" s="836"/>
      <c r="E81" s="836"/>
      <c r="F81" s="836"/>
      <c r="G81" s="836"/>
      <c r="H81" s="836"/>
      <c r="I81" s="836"/>
      <c r="J81" s="949"/>
      <c r="K81" s="950"/>
      <c r="L81" s="949"/>
      <c r="M81" s="950"/>
      <c r="N81" s="848"/>
      <c r="O81" s="849"/>
      <c r="P81" s="949"/>
      <c r="Q81" s="950"/>
      <c r="R81" s="949"/>
      <c r="S81" s="950"/>
      <c r="T81" s="963"/>
      <c r="U81" s="964"/>
      <c r="V81" s="848"/>
      <c r="W81" s="849"/>
      <c r="X81" s="835"/>
      <c r="Y81" s="836"/>
      <c r="Z81" s="837"/>
      <c r="AA81" s="946"/>
      <c r="AB81" s="939"/>
      <c r="AC81" s="939"/>
      <c r="AD81" s="940"/>
      <c r="AE81" s="943"/>
      <c r="AF81" s="943"/>
      <c r="AG81" s="943"/>
      <c r="AH81" s="944"/>
      <c r="AI81" s="919"/>
      <c r="AJ81" s="865"/>
      <c r="AK81" s="906"/>
      <c r="AL81" s="907"/>
      <c r="AM81" s="907"/>
      <c r="AN81" s="936"/>
      <c r="AO81" s="919"/>
      <c r="AP81" s="926"/>
      <c r="AQ81" s="865"/>
      <c r="AU81" s="809"/>
      <c r="AV81" s="901"/>
      <c r="AW81" s="901"/>
      <c r="AX81" s="901"/>
    </row>
    <row r="82" spans="2:50" ht="15.95" hidden="1" customHeight="1">
      <c r="B82" s="923">
        <v>34</v>
      </c>
      <c r="C82" s="866"/>
      <c r="D82" s="867"/>
      <c r="E82" s="867"/>
      <c r="F82" s="867"/>
      <c r="G82" s="867"/>
      <c r="H82" s="867"/>
      <c r="I82" s="867"/>
      <c r="J82" s="947" t="str">
        <f>IF(C82="","",INDEX(PMEHVAC[Base Desc 1],MATCH(C82,PMEHVAC[Eff Desc 1],0)))</f>
        <v/>
      </c>
      <c r="K82" s="948"/>
      <c r="L82" s="947" t="str">
        <f>IF(C82="","",INDEX(PMEHVAC[Base Desc 2],MATCH(C82,PMEHVAC[Eff Desc 1],0)))</f>
        <v/>
      </c>
      <c r="M82" s="948"/>
      <c r="N82" s="846"/>
      <c r="O82" s="847"/>
      <c r="P82" s="947" t="str">
        <f>IF(C82="","",INDEX(PMEHVAC[Base Watt],MATCH(C82,PMEHVAC[Eff Desc 1],0)))</f>
        <v/>
      </c>
      <c r="Q82" s="948"/>
      <c r="R82" s="947" t="str">
        <f>IF(C82="","",INDEX(PMEHVAC[Base Watt 2],MATCH(C82,PMEHVAC[Eff Desc 1],0)))</f>
        <v/>
      </c>
      <c r="S82" s="948"/>
      <c r="T82" s="961"/>
      <c r="U82" s="962"/>
      <c r="V82" s="846"/>
      <c r="W82" s="847"/>
      <c r="X82" s="832"/>
      <c r="Y82" s="833"/>
      <c r="Z82" s="834"/>
      <c r="AA82" s="945"/>
      <c r="AB82" s="937"/>
      <c r="AC82" s="937"/>
      <c r="AD82" s="938"/>
      <c r="AE82" s="941" t="str">
        <f>IF(C82="","",INDEX(PMEHVAC[Unit of Measure],MATCH(C82,PMEHVAC[Eff Desc 1],0)))</f>
        <v/>
      </c>
      <c r="AF82" s="941"/>
      <c r="AG82" s="941"/>
      <c r="AH82" s="942"/>
      <c r="AI82" s="917" t="str">
        <f>IF(OR(C82="",N82="",T82="",V82="",X82="",AA82="",AC82=""),"",INDEX(PMEHVAC[Inc Rate Unit],MATCH(C82,PMEHVAC[Eff Desc 1],0)))</f>
        <v/>
      </c>
      <c r="AJ82" s="918"/>
      <c r="AK82" s="933" t="str">
        <f t="shared" ref="AK82" si="111">IFERROR(IF(OR(C82="",N82="",T82="",V82="",X82="",AA82="",AC82="",),"",AW82),"")</f>
        <v/>
      </c>
      <c r="AL82" s="934"/>
      <c r="AM82" s="934"/>
      <c r="AN82" s="935"/>
      <c r="AO82" s="924" t="str">
        <f t="shared" ref="AO82" si="112">IFERROR(IF(OR(C82="",N82="",V82="",X82="",T82="",AA82="",AC82=""),"",IF(BC82&lt;&gt;"",BC82,ROUND(IF(AK82&lt;=0,0,IF(AE82="unit",MIN(AU82*1,AI82),MIN(AU82*1,(N82-L82)*V82*AI82))),2))),"")</f>
        <v/>
      </c>
      <c r="AP82" s="925"/>
      <c r="AQ82" s="863"/>
      <c r="AU82" s="808" t="str">
        <f t="shared" ref="AU82" si="113">IF(OR(C82="",N82="",T82="",V82="",X82="",AA82="",AE82="",AC82=""),"",IF(AK82="","",ROUND((AA82+AC82),2)))</f>
        <v/>
      </c>
      <c r="AV82" s="922" t="str">
        <f>IF(OR(C82="",N82="",T82="",V82="",X82="",AA82="",AC82="",AE82=""),"",ROUND(IF(ISNUMBER(SEARCH("Unit",AE82)),(V82/12)*(1/((-0.02*N82^2)+(1.12*N82)))*0.177*0.08*0.457,
(V82*12)*((1/L82)-(1/N82))*INDEX(ENDUSEALL[Lighting Coincidence Factor],MATCH(AX82,ENDUSEALL[End Use],0))),3))</f>
        <v/>
      </c>
      <c r="AW82" s="900" t="str">
        <f>IFERROR(ROUND(
IF(ISNUMBER(SEARCH("DX",C82)),(V82*12)*((1/L82)-(1/N82))*INDEX(PMEHVAC[EFLHcool],MATCH(C82,PMEHVAC[Eff Desc 1],0)),
IF(ISNUMBER(SEARCH("PTAC",C82)),(V82*12)*((1/L82)-(1/N82))*INDEX(PMEHVAC[EFLHcool],MATCH(C82,PMEHVAC[Eff Desc 1],0)),
IF(ISNUMBER(SEARCH("PTHP",C82)),((V82*12)*((1/L82)-(1/N82))*INDEX(PMEHVAC[EFLHcool],MATCH(C82,PMEHVAC[Eff Desc 1],0)))+(((V82*12)/3.412)*((1/R82)-(1/T82))*INDEX(PMEHVAC[EFLHheat],MATCH(C82,PMEHVAC[Eff Desc 1],0))),
IF(OR(ISNUMBER(SEARCH("ASHP",C82)),ISNUMBER(SEARCH("WSHP",C82)),ISNUMBER(SEARCH("Water Source",C82)),ISNUMBER(SEARCH("GSHP",C82))),((V82*12)*((1/L82)-(1/N82))*INDEX(PMEHVAC[EFLHcool],MATCH(C82,PMEHVAC[Eff Desc 1],0)))+(IF(P82="HSPF",(V82*12),((V82*12)/3.412))*((1/R82)-(1/T82))*INDEX(PMEHVAC[EFLHheat],MATCH(C82,PMEHVAC[Eff Desc 1],0))),
"")))),0),"")</f>
        <v/>
      </c>
      <c r="AX82" s="922" t="str">
        <f>IF(OR(C82="",N82="",T82="",V82="",X82="",AA82="",AE82="",AC82=""),"",INDEX(PMEHVAC[End Use Category],MATCH(C82,PMEHVAC[Eff Desc 1],0)))</f>
        <v/>
      </c>
    </row>
    <row r="83" spans="2:50" ht="15.95" hidden="1" customHeight="1">
      <c r="B83" s="923"/>
      <c r="C83" s="835"/>
      <c r="D83" s="836"/>
      <c r="E83" s="836"/>
      <c r="F83" s="836"/>
      <c r="G83" s="836"/>
      <c r="H83" s="836"/>
      <c r="I83" s="836"/>
      <c r="J83" s="949"/>
      <c r="K83" s="950"/>
      <c r="L83" s="949"/>
      <c r="M83" s="950"/>
      <c r="N83" s="848"/>
      <c r="O83" s="849"/>
      <c r="P83" s="949"/>
      <c r="Q83" s="950"/>
      <c r="R83" s="949"/>
      <c r="S83" s="950"/>
      <c r="T83" s="963"/>
      <c r="U83" s="964"/>
      <c r="V83" s="848"/>
      <c r="W83" s="849"/>
      <c r="X83" s="835"/>
      <c r="Y83" s="836"/>
      <c r="Z83" s="837"/>
      <c r="AA83" s="946"/>
      <c r="AB83" s="939"/>
      <c r="AC83" s="939"/>
      <c r="AD83" s="940"/>
      <c r="AE83" s="943"/>
      <c r="AF83" s="943"/>
      <c r="AG83" s="943"/>
      <c r="AH83" s="944"/>
      <c r="AI83" s="919"/>
      <c r="AJ83" s="865"/>
      <c r="AK83" s="906"/>
      <c r="AL83" s="907"/>
      <c r="AM83" s="907"/>
      <c r="AN83" s="936"/>
      <c r="AO83" s="919"/>
      <c r="AP83" s="926"/>
      <c r="AQ83" s="865"/>
      <c r="AU83" s="809"/>
      <c r="AV83" s="901"/>
      <c r="AW83" s="901"/>
      <c r="AX83" s="901"/>
    </row>
    <row r="84" spans="2:50" ht="15.95" hidden="1" customHeight="1">
      <c r="B84" s="923">
        <v>35</v>
      </c>
      <c r="C84" s="866"/>
      <c r="D84" s="867"/>
      <c r="E84" s="867"/>
      <c r="F84" s="867"/>
      <c r="G84" s="867"/>
      <c r="H84" s="867"/>
      <c r="I84" s="867"/>
      <c r="J84" s="947" t="str">
        <f>IF(C84="","",INDEX(PMEHVAC[Base Desc 1],MATCH(C84,PMEHVAC[Eff Desc 1],0)))</f>
        <v/>
      </c>
      <c r="K84" s="948"/>
      <c r="L84" s="947" t="str">
        <f>IF(C84="","",INDEX(PMEHVAC[Base Desc 2],MATCH(C84,PMEHVAC[Eff Desc 1],0)))</f>
        <v/>
      </c>
      <c r="M84" s="948"/>
      <c r="N84" s="846"/>
      <c r="O84" s="847"/>
      <c r="P84" s="947" t="str">
        <f>IF(C84="","",INDEX(PMEHVAC[Base Watt],MATCH(C84,PMEHVAC[Eff Desc 1],0)))</f>
        <v/>
      </c>
      <c r="Q84" s="948"/>
      <c r="R84" s="947" t="str">
        <f>IF(C84="","",INDEX(PMEHVAC[Base Watt 2],MATCH(C84,PMEHVAC[Eff Desc 1],0)))</f>
        <v/>
      </c>
      <c r="S84" s="948"/>
      <c r="T84" s="961"/>
      <c r="U84" s="962"/>
      <c r="V84" s="846"/>
      <c r="W84" s="847"/>
      <c r="X84" s="832"/>
      <c r="Y84" s="833"/>
      <c r="Z84" s="834"/>
      <c r="AA84" s="945"/>
      <c r="AB84" s="937"/>
      <c r="AC84" s="937"/>
      <c r="AD84" s="938"/>
      <c r="AE84" s="941" t="str">
        <f>IF(C84="","",INDEX(PMEHVAC[Unit of Measure],MATCH(C84,PMEHVAC[Eff Desc 1],0)))</f>
        <v/>
      </c>
      <c r="AF84" s="941"/>
      <c r="AG84" s="941"/>
      <c r="AH84" s="942"/>
      <c r="AI84" s="917" t="str">
        <f>IF(OR(C84="",N84="",T84="",V84="",X84="",AA84="",AC84=""),"",INDEX(PMEHVAC[Inc Rate Unit],MATCH(C84,PMEHVAC[Eff Desc 1],0)))</f>
        <v/>
      </c>
      <c r="AJ84" s="918"/>
      <c r="AK84" s="933" t="str">
        <f t="shared" ref="AK84" si="114">IFERROR(IF(OR(C84="",N84="",T84="",V84="",X84="",AA84="",AC84="",),"",AW84),"")</f>
        <v/>
      </c>
      <c r="AL84" s="934"/>
      <c r="AM84" s="934"/>
      <c r="AN84" s="935"/>
      <c r="AO84" s="924" t="str">
        <f t="shared" ref="AO84" si="115">IFERROR(IF(OR(C84="",N84="",V84="",X84="",T84="",AA84="",AC84=""),"",IF(BC84&lt;&gt;"",BC84,ROUND(IF(AK84&lt;=0,0,IF(AE84="unit",MIN(AU84*1,AI84),MIN(AU84*1,(N84-L84)*V84*AI84))),2))),"")</f>
        <v/>
      </c>
      <c r="AP84" s="925"/>
      <c r="AQ84" s="863"/>
      <c r="AU84" s="808" t="str">
        <f t="shared" ref="AU84" si="116">IF(OR(C84="",N84="",T84="",V84="",X84="",AA84="",AE84="",AC84=""),"",IF(AK84="","",ROUND((AA84+AC84),2)))</f>
        <v/>
      </c>
      <c r="AV84" s="922" t="str">
        <f>IF(OR(C84="",N84="",T84="",V84="",X84="",AA84="",AC84="",AE84=""),"",ROUND(IF(ISNUMBER(SEARCH("Unit",AE84)),(V84/12)*(1/((-0.02*N84^2)+(1.12*N84)))*0.177*0.08*0.457,
(V84*12)*((1/L84)-(1/N84))*INDEX(ENDUSEALL[Lighting Coincidence Factor],MATCH(AX84,ENDUSEALL[End Use],0))),3))</f>
        <v/>
      </c>
      <c r="AW84" s="900" t="str">
        <f>IFERROR(ROUND(
IF(ISNUMBER(SEARCH("DX",C84)),(V84*12)*((1/L84)-(1/N84))*INDEX(PMEHVAC[EFLHcool],MATCH(C84,PMEHVAC[Eff Desc 1],0)),
IF(ISNUMBER(SEARCH("PTAC",C84)),(V84*12)*((1/L84)-(1/N84))*INDEX(PMEHVAC[EFLHcool],MATCH(C84,PMEHVAC[Eff Desc 1],0)),
IF(ISNUMBER(SEARCH("PTHP",C84)),((V84*12)*((1/L84)-(1/N84))*INDEX(PMEHVAC[EFLHcool],MATCH(C84,PMEHVAC[Eff Desc 1],0)))+(((V84*12)/3.412)*((1/R84)-(1/T84))*INDEX(PMEHVAC[EFLHheat],MATCH(C84,PMEHVAC[Eff Desc 1],0))),
IF(OR(ISNUMBER(SEARCH("ASHP",C84)),ISNUMBER(SEARCH("WSHP",C84)),ISNUMBER(SEARCH("Water Source",C84)),ISNUMBER(SEARCH("GSHP",C84))),((V84*12)*((1/L84)-(1/N84))*INDEX(PMEHVAC[EFLHcool],MATCH(C84,PMEHVAC[Eff Desc 1],0)))+(IF(P84="HSPF",(V84*12),((V84*12)/3.412))*((1/R84)-(1/T84))*INDEX(PMEHVAC[EFLHheat],MATCH(C84,PMEHVAC[Eff Desc 1],0))),
"")))),0),"")</f>
        <v/>
      </c>
      <c r="AX84" s="922" t="str">
        <f>IF(OR(C84="",N84="",T84="",V84="",X84="",AA84="",AE84="",AC84=""),"",INDEX(PMEHVAC[End Use Category],MATCH(C84,PMEHVAC[Eff Desc 1],0)))</f>
        <v/>
      </c>
    </row>
    <row r="85" spans="2:50" ht="15.95" hidden="1" customHeight="1">
      <c r="B85" s="923"/>
      <c r="C85" s="835"/>
      <c r="D85" s="836"/>
      <c r="E85" s="836"/>
      <c r="F85" s="836"/>
      <c r="G85" s="836"/>
      <c r="H85" s="836"/>
      <c r="I85" s="836"/>
      <c r="J85" s="949"/>
      <c r="K85" s="950"/>
      <c r="L85" s="949"/>
      <c r="M85" s="950"/>
      <c r="N85" s="848"/>
      <c r="O85" s="849"/>
      <c r="P85" s="949"/>
      <c r="Q85" s="950"/>
      <c r="R85" s="949"/>
      <c r="S85" s="950"/>
      <c r="T85" s="963"/>
      <c r="U85" s="964"/>
      <c r="V85" s="848"/>
      <c r="W85" s="849"/>
      <c r="X85" s="835"/>
      <c r="Y85" s="836"/>
      <c r="Z85" s="837"/>
      <c r="AA85" s="946"/>
      <c r="AB85" s="939"/>
      <c r="AC85" s="939"/>
      <c r="AD85" s="940"/>
      <c r="AE85" s="943"/>
      <c r="AF85" s="943"/>
      <c r="AG85" s="943"/>
      <c r="AH85" s="944"/>
      <c r="AI85" s="919"/>
      <c r="AJ85" s="865"/>
      <c r="AK85" s="906"/>
      <c r="AL85" s="907"/>
      <c r="AM85" s="907"/>
      <c r="AN85" s="936"/>
      <c r="AO85" s="919"/>
      <c r="AP85" s="926"/>
      <c r="AQ85" s="865"/>
      <c r="AU85" s="809"/>
      <c r="AV85" s="901"/>
      <c r="AW85" s="901"/>
      <c r="AX85" s="901"/>
    </row>
    <row r="86" spans="2:50" ht="15.95" hidden="1" customHeight="1">
      <c r="B86" s="923">
        <v>36</v>
      </c>
      <c r="C86" s="866"/>
      <c r="D86" s="867"/>
      <c r="E86" s="867"/>
      <c r="F86" s="867"/>
      <c r="G86" s="867"/>
      <c r="H86" s="867"/>
      <c r="I86" s="867"/>
      <c r="J86" s="947" t="str">
        <f>IF(C86="","",INDEX(PMEHVAC[Base Desc 1],MATCH(C86,PMEHVAC[Eff Desc 1],0)))</f>
        <v/>
      </c>
      <c r="K86" s="948"/>
      <c r="L86" s="947" t="str">
        <f>IF(C86="","",INDEX(PMEHVAC[Base Desc 2],MATCH(C86,PMEHVAC[Eff Desc 1],0)))</f>
        <v/>
      </c>
      <c r="M86" s="948"/>
      <c r="N86" s="846"/>
      <c r="O86" s="847"/>
      <c r="P86" s="947" t="str">
        <f>IF(C86="","",INDEX(PMEHVAC[Base Watt],MATCH(C86,PMEHVAC[Eff Desc 1],0)))</f>
        <v/>
      </c>
      <c r="Q86" s="948"/>
      <c r="R86" s="947" t="str">
        <f>IF(C86="","",INDEX(PMEHVAC[Base Watt 2],MATCH(C86,PMEHVAC[Eff Desc 1],0)))</f>
        <v/>
      </c>
      <c r="S86" s="948"/>
      <c r="T86" s="961"/>
      <c r="U86" s="962"/>
      <c r="V86" s="846"/>
      <c r="W86" s="847"/>
      <c r="X86" s="832"/>
      <c r="Y86" s="833"/>
      <c r="Z86" s="834"/>
      <c r="AA86" s="945"/>
      <c r="AB86" s="937"/>
      <c r="AC86" s="937"/>
      <c r="AD86" s="938"/>
      <c r="AE86" s="941" t="str">
        <f>IF(C86="","",INDEX(PMEHVAC[Unit of Measure],MATCH(C86,PMEHVAC[Eff Desc 1],0)))</f>
        <v/>
      </c>
      <c r="AF86" s="941"/>
      <c r="AG86" s="941"/>
      <c r="AH86" s="942"/>
      <c r="AI86" s="917" t="str">
        <f>IF(OR(C86="",N86="",T86="",V86="",X86="",AA86="",AC86=""),"",INDEX(PMEHVAC[Inc Rate Unit],MATCH(C86,PMEHVAC[Eff Desc 1],0)))</f>
        <v/>
      </c>
      <c r="AJ86" s="918"/>
      <c r="AK86" s="933" t="str">
        <f t="shared" ref="AK86" si="117">IFERROR(IF(OR(C86="",N86="",T86="",V86="",X86="",AA86="",AC86="",),"",AW86),"")</f>
        <v/>
      </c>
      <c r="AL86" s="934"/>
      <c r="AM86" s="934"/>
      <c r="AN86" s="935"/>
      <c r="AO86" s="924" t="str">
        <f t="shared" ref="AO86" si="118">IFERROR(IF(OR(C86="",N86="",V86="",X86="",T86="",AA86="",AC86=""),"",IF(BC86&lt;&gt;"",BC86,ROUND(IF(AK86&lt;=0,0,IF(AE86="unit",MIN(AU86*1,AI86),MIN(AU86*1,(N86-L86)*V86*AI86))),2))),"")</f>
        <v/>
      </c>
      <c r="AP86" s="925"/>
      <c r="AQ86" s="863"/>
      <c r="AU86" s="808" t="str">
        <f t="shared" ref="AU86" si="119">IF(OR(C86="",N86="",T86="",V86="",X86="",AA86="",AE86="",AC86=""),"",IF(AK86="","",ROUND((AA86+AC86),2)))</f>
        <v/>
      </c>
      <c r="AV86" s="922" t="str">
        <f>IF(OR(C86="",N86="",T86="",V86="",X86="",AA86="",AC86="",AE86=""),"",ROUND(IF(ISNUMBER(SEARCH("Unit",AE86)),(V86/12)*(1/((-0.02*N86^2)+(1.12*N86)))*0.177*0.08*0.457,
(V86*12)*((1/L86)-(1/N86))*INDEX(ENDUSEALL[Lighting Coincidence Factor],MATCH(AX86,ENDUSEALL[End Use],0))),3))</f>
        <v/>
      </c>
      <c r="AW86" s="900" t="str">
        <f>IFERROR(ROUND(
IF(ISNUMBER(SEARCH("DX",C86)),(V86*12)*((1/L86)-(1/N86))*INDEX(PMEHVAC[EFLHcool],MATCH(C86,PMEHVAC[Eff Desc 1],0)),
IF(ISNUMBER(SEARCH("PTAC",C86)),(V86*12)*((1/L86)-(1/N86))*INDEX(PMEHVAC[EFLHcool],MATCH(C86,PMEHVAC[Eff Desc 1],0)),
IF(ISNUMBER(SEARCH("PTHP",C86)),((V86*12)*((1/L86)-(1/N86))*INDEX(PMEHVAC[EFLHcool],MATCH(C86,PMEHVAC[Eff Desc 1],0)))+(((V86*12)/3.412)*((1/R86)-(1/T86))*INDEX(PMEHVAC[EFLHheat],MATCH(C86,PMEHVAC[Eff Desc 1],0))),
IF(OR(ISNUMBER(SEARCH("ASHP",C86)),ISNUMBER(SEARCH("WSHP",C86)),ISNUMBER(SEARCH("Water Source",C86)),ISNUMBER(SEARCH("GSHP",C86))),((V86*12)*((1/L86)-(1/N86))*INDEX(PMEHVAC[EFLHcool],MATCH(C86,PMEHVAC[Eff Desc 1],0)))+(IF(P86="HSPF",(V86*12),((V86*12)/3.412))*((1/R86)-(1/T86))*INDEX(PMEHVAC[EFLHheat],MATCH(C86,PMEHVAC[Eff Desc 1],0))),
"")))),0),"")</f>
        <v/>
      </c>
      <c r="AX86" s="922" t="str">
        <f>IF(OR(C86="",N86="",T86="",V86="",X86="",AA86="",AE86="",AC86=""),"",INDEX(PMEHVAC[End Use Category],MATCH(C86,PMEHVAC[Eff Desc 1],0)))</f>
        <v/>
      </c>
    </row>
    <row r="87" spans="2:50" ht="15.95" hidden="1" customHeight="1">
      <c r="B87" s="923"/>
      <c r="C87" s="835"/>
      <c r="D87" s="836"/>
      <c r="E87" s="836"/>
      <c r="F87" s="836"/>
      <c r="G87" s="836"/>
      <c r="H87" s="836"/>
      <c r="I87" s="836"/>
      <c r="J87" s="949"/>
      <c r="K87" s="950"/>
      <c r="L87" s="949"/>
      <c r="M87" s="950"/>
      <c r="N87" s="848"/>
      <c r="O87" s="849"/>
      <c r="P87" s="949"/>
      <c r="Q87" s="950"/>
      <c r="R87" s="949"/>
      <c r="S87" s="950"/>
      <c r="T87" s="963"/>
      <c r="U87" s="964"/>
      <c r="V87" s="848"/>
      <c r="W87" s="849"/>
      <c r="X87" s="835"/>
      <c r="Y87" s="836"/>
      <c r="Z87" s="837"/>
      <c r="AA87" s="946"/>
      <c r="AB87" s="939"/>
      <c r="AC87" s="939"/>
      <c r="AD87" s="940"/>
      <c r="AE87" s="943"/>
      <c r="AF87" s="943"/>
      <c r="AG87" s="943"/>
      <c r="AH87" s="944"/>
      <c r="AI87" s="919"/>
      <c r="AJ87" s="865"/>
      <c r="AK87" s="906"/>
      <c r="AL87" s="907"/>
      <c r="AM87" s="907"/>
      <c r="AN87" s="936"/>
      <c r="AO87" s="919"/>
      <c r="AP87" s="926"/>
      <c r="AQ87" s="865"/>
      <c r="AU87" s="809"/>
      <c r="AV87" s="901"/>
      <c r="AW87" s="901"/>
      <c r="AX87" s="901"/>
    </row>
    <row r="88" spans="2:50" ht="15.95" hidden="1" customHeight="1">
      <c r="B88" s="923">
        <v>37</v>
      </c>
      <c r="C88" s="866"/>
      <c r="D88" s="867"/>
      <c r="E88" s="867"/>
      <c r="F88" s="867"/>
      <c r="G88" s="867"/>
      <c r="H88" s="867"/>
      <c r="I88" s="867"/>
      <c r="J88" s="947" t="str">
        <f>IF(C88="","",INDEX(PMEHVAC[Base Desc 1],MATCH(C88,PMEHVAC[Eff Desc 1],0)))</f>
        <v/>
      </c>
      <c r="K88" s="948"/>
      <c r="L88" s="947" t="str">
        <f>IF(C88="","",INDEX(PMEHVAC[Base Desc 2],MATCH(C88,PMEHVAC[Eff Desc 1],0)))</f>
        <v/>
      </c>
      <c r="M88" s="948"/>
      <c r="N88" s="846"/>
      <c r="O88" s="847"/>
      <c r="P88" s="947" t="str">
        <f>IF(C88="","",INDEX(PMEHVAC[Base Watt],MATCH(C88,PMEHVAC[Eff Desc 1],0)))</f>
        <v/>
      </c>
      <c r="Q88" s="948"/>
      <c r="R88" s="947" t="str">
        <f>IF(C88="","",INDEX(PMEHVAC[Base Watt 2],MATCH(C88,PMEHVAC[Eff Desc 1],0)))</f>
        <v/>
      </c>
      <c r="S88" s="948"/>
      <c r="T88" s="961"/>
      <c r="U88" s="962"/>
      <c r="V88" s="846"/>
      <c r="W88" s="847"/>
      <c r="X88" s="832"/>
      <c r="Y88" s="833"/>
      <c r="Z88" s="834"/>
      <c r="AA88" s="945"/>
      <c r="AB88" s="937"/>
      <c r="AC88" s="937"/>
      <c r="AD88" s="938"/>
      <c r="AE88" s="941" t="str">
        <f>IF(C88="","",INDEX(PMEHVAC[Unit of Measure],MATCH(C88,PMEHVAC[Eff Desc 1],0)))</f>
        <v/>
      </c>
      <c r="AF88" s="941"/>
      <c r="AG88" s="941"/>
      <c r="AH88" s="942"/>
      <c r="AI88" s="917" t="str">
        <f>IF(OR(C88="",N88="",T88="",V88="",X88="",AA88="",AC88=""),"",INDEX(PMEHVAC[Inc Rate Unit],MATCH(C88,PMEHVAC[Eff Desc 1],0)))</f>
        <v/>
      </c>
      <c r="AJ88" s="918"/>
      <c r="AK88" s="933" t="str">
        <f t="shared" ref="AK88" si="120">IFERROR(IF(OR(C88="",N88="",T88="",V88="",X88="",AA88="",AC88="",),"",AW88),"")</f>
        <v/>
      </c>
      <c r="AL88" s="934"/>
      <c r="AM88" s="934"/>
      <c r="AN88" s="935"/>
      <c r="AO88" s="924" t="str">
        <f t="shared" ref="AO88" si="121">IFERROR(IF(OR(C88="",N88="",V88="",X88="",T88="",AA88="",AC88=""),"",IF(BC88&lt;&gt;"",BC88,ROUND(IF(AK88&lt;=0,0,IF(AE88="unit",MIN(AU88*1,AI88),MIN(AU88*1,(N88-L88)*V88*AI88))),2))),"")</f>
        <v/>
      </c>
      <c r="AP88" s="925"/>
      <c r="AQ88" s="863"/>
      <c r="AU88" s="808" t="str">
        <f t="shared" ref="AU88" si="122">IF(OR(C88="",N88="",T88="",V88="",X88="",AA88="",AE88="",AC88=""),"",IF(AK88="","",ROUND((AA88+AC88),2)))</f>
        <v/>
      </c>
      <c r="AV88" s="922" t="str">
        <f>IF(OR(C88="",N88="",T88="",V88="",X88="",AA88="",AC88="",AE88=""),"",ROUND(IF(ISNUMBER(SEARCH("Unit",AE88)),(V88/12)*(1/((-0.02*N88^2)+(1.12*N88)))*0.177*0.08*0.457,
(V88*12)*((1/L88)-(1/N88))*INDEX(ENDUSEALL[Lighting Coincidence Factor],MATCH(AX88,ENDUSEALL[End Use],0))),3))</f>
        <v/>
      </c>
      <c r="AW88" s="900" t="str">
        <f>IFERROR(ROUND(
IF(ISNUMBER(SEARCH("DX",C88)),(V88*12)*((1/L88)-(1/N88))*INDEX(PMEHVAC[EFLHcool],MATCH(C88,PMEHVAC[Eff Desc 1],0)),
IF(ISNUMBER(SEARCH("PTAC",C88)),(V88*12)*((1/L88)-(1/N88))*INDEX(PMEHVAC[EFLHcool],MATCH(C88,PMEHVAC[Eff Desc 1],0)),
IF(ISNUMBER(SEARCH("PTHP",C88)),((V88*12)*((1/L88)-(1/N88))*INDEX(PMEHVAC[EFLHcool],MATCH(C88,PMEHVAC[Eff Desc 1],0)))+(((V88*12)/3.412)*((1/R88)-(1/T88))*INDEX(PMEHVAC[EFLHheat],MATCH(C88,PMEHVAC[Eff Desc 1],0))),
IF(OR(ISNUMBER(SEARCH("ASHP",C88)),ISNUMBER(SEARCH("WSHP",C88)),ISNUMBER(SEARCH("Water Source",C88)),ISNUMBER(SEARCH("GSHP",C88))),((V88*12)*((1/L88)-(1/N88))*INDEX(PMEHVAC[EFLHcool],MATCH(C88,PMEHVAC[Eff Desc 1],0)))+(IF(P88="HSPF",(V88*12),((V88*12)/3.412))*((1/R88)-(1/T88))*INDEX(PMEHVAC[EFLHheat],MATCH(C88,PMEHVAC[Eff Desc 1],0))),
"")))),0),"")</f>
        <v/>
      </c>
      <c r="AX88" s="922" t="str">
        <f>IF(OR(C88="",N88="",T88="",V88="",X88="",AA88="",AE88="",AC88=""),"",INDEX(PMEHVAC[End Use Category],MATCH(C88,PMEHVAC[Eff Desc 1],0)))</f>
        <v/>
      </c>
    </row>
    <row r="89" spans="2:50" ht="15.95" hidden="1" customHeight="1">
      <c r="B89" s="923"/>
      <c r="C89" s="835"/>
      <c r="D89" s="836"/>
      <c r="E89" s="836"/>
      <c r="F89" s="836"/>
      <c r="G89" s="836"/>
      <c r="H89" s="836"/>
      <c r="I89" s="836"/>
      <c r="J89" s="949"/>
      <c r="K89" s="950"/>
      <c r="L89" s="949"/>
      <c r="M89" s="950"/>
      <c r="N89" s="848"/>
      <c r="O89" s="849"/>
      <c r="P89" s="949"/>
      <c r="Q89" s="950"/>
      <c r="R89" s="949"/>
      <c r="S89" s="950"/>
      <c r="T89" s="963"/>
      <c r="U89" s="964"/>
      <c r="V89" s="848"/>
      <c r="W89" s="849"/>
      <c r="X89" s="835"/>
      <c r="Y89" s="836"/>
      <c r="Z89" s="837"/>
      <c r="AA89" s="946"/>
      <c r="AB89" s="939"/>
      <c r="AC89" s="939"/>
      <c r="AD89" s="940"/>
      <c r="AE89" s="943"/>
      <c r="AF89" s="943"/>
      <c r="AG89" s="943"/>
      <c r="AH89" s="944"/>
      <c r="AI89" s="919"/>
      <c r="AJ89" s="865"/>
      <c r="AK89" s="906"/>
      <c r="AL89" s="907"/>
      <c r="AM89" s="907"/>
      <c r="AN89" s="936"/>
      <c r="AO89" s="919"/>
      <c r="AP89" s="926"/>
      <c r="AQ89" s="865"/>
      <c r="AU89" s="809"/>
      <c r="AV89" s="901"/>
      <c r="AW89" s="901"/>
      <c r="AX89" s="901"/>
    </row>
    <row r="90" spans="2:50" ht="15.95" hidden="1" customHeight="1">
      <c r="B90" s="923">
        <v>38</v>
      </c>
      <c r="C90" s="866"/>
      <c r="D90" s="867"/>
      <c r="E90" s="867"/>
      <c r="F90" s="867"/>
      <c r="G90" s="867"/>
      <c r="H90" s="867"/>
      <c r="I90" s="867"/>
      <c r="J90" s="947" t="str">
        <f>IF(C90="","",INDEX(PMEHVAC[Base Desc 1],MATCH(C90,PMEHVAC[Eff Desc 1],0)))</f>
        <v/>
      </c>
      <c r="K90" s="948"/>
      <c r="L90" s="947" t="str">
        <f>IF(C90="","",INDEX(PMEHVAC[Base Desc 2],MATCH(C90,PMEHVAC[Eff Desc 1],0)))</f>
        <v/>
      </c>
      <c r="M90" s="948"/>
      <c r="N90" s="846"/>
      <c r="O90" s="847"/>
      <c r="P90" s="947" t="str">
        <f>IF(C90="","",INDEX(PMEHVAC[Base Watt],MATCH(C90,PMEHVAC[Eff Desc 1],0)))</f>
        <v/>
      </c>
      <c r="Q90" s="948"/>
      <c r="R90" s="947" t="str">
        <f>IF(C90="","",INDEX(PMEHVAC[Base Watt 2],MATCH(C90,PMEHVAC[Eff Desc 1],0)))</f>
        <v/>
      </c>
      <c r="S90" s="948"/>
      <c r="T90" s="961"/>
      <c r="U90" s="962"/>
      <c r="V90" s="846"/>
      <c r="W90" s="847"/>
      <c r="X90" s="832"/>
      <c r="Y90" s="833"/>
      <c r="Z90" s="834"/>
      <c r="AA90" s="945"/>
      <c r="AB90" s="937"/>
      <c r="AC90" s="937"/>
      <c r="AD90" s="938"/>
      <c r="AE90" s="941" t="str">
        <f>IF(C90="","",INDEX(PMEHVAC[Unit of Measure],MATCH(C90,PMEHVAC[Eff Desc 1],0)))</f>
        <v/>
      </c>
      <c r="AF90" s="941"/>
      <c r="AG90" s="941"/>
      <c r="AH90" s="942"/>
      <c r="AI90" s="917" t="str">
        <f>IF(OR(C90="",N90="",T90="",V90="",X90="",AA90="",AC90=""),"",INDEX(PMEHVAC[Inc Rate Unit],MATCH(C90,PMEHVAC[Eff Desc 1],0)))</f>
        <v/>
      </c>
      <c r="AJ90" s="918"/>
      <c r="AK90" s="933" t="str">
        <f t="shared" ref="AK90" si="123">IFERROR(IF(OR(C90="",N90="",T90="",V90="",X90="",AA90="",AC90="",),"",AW90),"")</f>
        <v/>
      </c>
      <c r="AL90" s="934"/>
      <c r="AM90" s="934"/>
      <c r="AN90" s="935"/>
      <c r="AO90" s="924" t="str">
        <f t="shared" ref="AO90" si="124">IFERROR(IF(OR(C90="",N90="",V90="",X90="",T90="",AA90="",AC90=""),"",IF(BC90&lt;&gt;"",BC90,ROUND(IF(AK90&lt;=0,0,IF(AE90="unit",MIN(AU90*1,AI90),MIN(AU90*1,(N90-L90)*V90*AI90))),2))),"")</f>
        <v/>
      </c>
      <c r="AP90" s="925"/>
      <c r="AQ90" s="863"/>
      <c r="AU90" s="808" t="str">
        <f t="shared" ref="AU90" si="125">IF(OR(C90="",N90="",T90="",V90="",X90="",AA90="",AE90="",AC90=""),"",IF(AK90="","",ROUND((AA90+AC90),2)))</f>
        <v/>
      </c>
      <c r="AV90" s="922" t="str">
        <f>IF(OR(C90="",N90="",T90="",V90="",X90="",AA90="",AC90="",AE90=""),"",ROUND(IF(ISNUMBER(SEARCH("Unit",AE90)),(V90/12)*(1/((-0.02*N90^2)+(1.12*N90)))*0.177*0.08*0.457,
(V90*12)*((1/L90)-(1/N90))*INDEX(ENDUSEALL[Lighting Coincidence Factor],MATCH(AX90,ENDUSEALL[End Use],0))),3))</f>
        <v/>
      </c>
      <c r="AW90" s="900" t="str">
        <f>IFERROR(ROUND(
IF(ISNUMBER(SEARCH("DX",C90)),(V90*12)*((1/L90)-(1/N90))*INDEX(PMEHVAC[EFLHcool],MATCH(C90,PMEHVAC[Eff Desc 1],0)),
IF(ISNUMBER(SEARCH("PTAC",C90)),(V90*12)*((1/L90)-(1/N90))*INDEX(PMEHVAC[EFLHcool],MATCH(C90,PMEHVAC[Eff Desc 1],0)),
IF(ISNUMBER(SEARCH("PTHP",C90)),((V90*12)*((1/L90)-(1/N90))*INDEX(PMEHVAC[EFLHcool],MATCH(C90,PMEHVAC[Eff Desc 1],0)))+(((V90*12)/3.412)*((1/R90)-(1/T90))*INDEX(PMEHVAC[EFLHheat],MATCH(C90,PMEHVAC[Eff Desc 1],0))),
IF(OR(ISNUMBER(SEARCH("ASHP",C90)),ISNUMBER(SEARCH("WSHP",C90)),ISNUMBER(SEARCH("Water Source",C90)),ISNUMBER(SEARCH("GSHP",C90))),((V90*12)*((1/L90)-(1/N90))*INDEX(PMEHVAC[EFLHcool],MATCH(C90,PMEHVAC[Eff Desc 1],0)))+(IF(P90="HSPF",(V90*12),((V90*12)/3.412))*((1/R90)-(1/T90))*INDEX(PMEHVAC[EFLHheat],MATCH(C90,PMEHVAC[Eff Desc 1],0))),
"")))),0),"")</f>
        <v/>
      </c>
      <c r="AX90" s="922" t="str">
        <f>IF(OR(C90="",N90="",T90="",V90="",X90="",AA90="",AE90="",AC90=""),"",INDEX(PMEHVAC[End Use Category],MATCH(C90,PMEHVAC[Eff Desc 1],0)))</f>
        <v/>
      </c>
    </row>
    <row r="91" spans="2:50" ht="15.95" hidden="1" customHeight="1">
      <c r="B91" s="923"/>
      <c r="C91" s="835"/>
      <c r="D91" s="836"/>
      <c r="E91" s="836"/>
      <c r="F91" s="836"/>
      <c r="G91" s="836"/>
      <c r="H91" s="836"/>
      <c r="I91" s="836"/>
      <c r="J91" s="949"/>
      <c r="K91" s="950"/>
      <c r="L91" s="949"/>
      <c r="M91" s="950"/>
      <c r="N91" s="848"/>
      <c r="O91" s="849"/>
      <c r="P91" s="949"/>
      <c r="Q91" s="950"/>
      <c r="R91" s="949"/>
      <c r="S91" s="950"/>
      <c r="T91" s="963"/>
      <c r="U91" s="964"/>
      <c r="V91" s="848"/>
      <c r="W91" s="849"/>
      <c r="X91" s="835"/>
      <c r="Y91" s="836"/>
      <c r="Z91" s="837"/>
      <c r="AA91" s="946"/>
      <c r="AB91" s="939"/>
      <c r="AC91" s="939"/>
      <c r="AD91" s="940"/>
      <c r="AE91" s="943"/>
      <c r="AF91" s="943"/>
      <c r="AG91" s="943"/>
      <c r="AH91" s="944"/>
      <c r="AI91" s="919"/>
      <c r="AJ91" s="865"/>
      <c r="AK91" s="906"/>
      <c r="AL91" s="907"/>
      <c r="AM91" s="907"/>
      <c r="AN91" s="936"/>
      <c r="AO91" s="919"/>
      <c r="AP91" s="926"/>
      <c r="AQ91" s="865"/>
      <c r="AU91" s="809"/>
      <c r="AV91" s="901"/>
      <c r="AW91" s="901"/>
      <c r="AX91" s="901"/>
    </row>
    <row r="92" spans="2:50" ht="15.95" hidden="1" customHeight="1">
      <c r="B92" s="923">
        <v>39</v>
      </c>
      <c r="C92" s="866"/>
      <c r="D92" s="867"/>
      <c r="E92" s="867"/>
      <c r="F92" s="867"/>
      <c r="G92" s="867"/>
      <c r="H92" s="867"/>
      <c r="I92" s="867"/>
      <c r="J92" s="947" t="str">
        <f>IF(C92="","",INDEX(PMEHVAC[Base Desc 1],MATCH(C92,PMEHVAC[Eff Desc 1],0)))</f>
        <v/>
      </c>
      <c r="K92" s="948"/>
      <c r="L92" s="947" t="str">
        <f>IF(C92="","",INDEX(PMEHVAC[Base Desc 2],MATCH(C92,PMEHVAC[Eff Desc 1],0)))</f>
        <v/>
      </c>
      <c r="M92" s="948"/>
      <c r="N92" s="846"/>
      <c r="O92" s="847"/>
      <c r="P92" s="947" t="str">
        <f>IF(C92="","",INDEX(PMEHVAC[Base Watt],MATCH(C92,PMEHVAC[Eff Desc 1],0)))</f>
        <v/>
      </c>
      <c r="Q92" s="948"/>
      <c r="R92" s="947" t="str">
        <f>IF(C92="","",INDEX(PMEHVAC[Base Watt 2],MATCH(C92,PMEHVAC[Eff Desc 1],0)))</f>
        <v/>
      </c>
      <c r="S92" s="948"/>
      <c r="T92" s="961"/>
      <c r="U92" s="962"/>
      <c r="V92" s="846"/>
      <c r="W92" s="847"/>
      <c r="X92" s="832"/>
      <c r="Y92" s="833"/>
      <c r="Z92" s="834"/>
      <c r="AA92" s="945"/>
      <c r="AB92" s="937"/>
      <c r="AC92" s="937"/>
      <c r="AD92" s="938"/>
      <c r="AE92" s="941" t="str">
        <f>IF(C92="","",INDEX(PMEHVAC[Unit of Measure],MATCH(C92,PMEHVAC[Eff Desc 1],0)))</f>
        <v/>
      </c>
      <c r="AF92" s="941"/>
      <c r="AG92" s="941"/>
      <c r="AH92" s="942"/>
      <c r="AI92" s="917" t="str">
        <f>IF(OR(C92="",N92="",T92="",V92="",X92="",AA92="",AC92=""),"",INDEX(PMEHVAC[Inc Rate Unit],MATCH(C92,PMEHVAC[Eff Desc 1],0)))</f>
        <v/>
      </c>
      <c r="AJ92" s="918"/>
      <c r="AK92" s="933" t="str">
        <f t="shared" ref="AK92" si="126">IFERROR(IF(OR(C92="",N92="",T92="",V92="",X92="",AA92="",AC92="",),"",AW92),"")</f>
        <v/>
      </c>
      <c r="AL92" s="934"/>
      <c r="AM92" s="934"/>
      <c r="AN92" s="935"/>
      <c r="AO92" s="924" t="str">
        <f t="shared" ref="AO92" si="127">IFERROR(IF(OR(C92="",N92="",V92="",X92="",T92="",AA92="",AC92=""),"",IF(BC92&lt;&gt;"",BC92,ROUND(IF(AK92&lt;=0,0,IF(AE92="unit",MIN(AU92*1,AI92),MIN(AU92*1,(N92-L92)*V92*AI92))),2))),"")</f>
        <v/>
      </c>
      <c r="AP92" s="925"/>
      <c r="AQ92" s="863"/>
      <c r="AU92" s="808" t="str">
        <f t="shared" ref="AU92" si="128">IF(OR(C92="",N92="",T92="",V92="",X92="",AA92="",AE92="",AC92=""),"",IF(AK92="","",ROUND((AA92+AC92),2)))</f>
        <v/>
      </c>
      <c r="AV92" s="922" t="str">
        <f>IF(OR(C92="",N92="",T92="",V92="",X92="",AA92="",AC92="",AE92=""),"",ROUND(IF(ISNUMBER(SEARCH("Unit",AE92)),(V92/12)*(1/((-0.02*N92^2)+(1.12*N92)))*0.177*0.08*0.457,
(V92*12)*((1/L92)-(1/N92))*INDEX(ENDUSEALL[Lighting Coincidence Factor],MATCH(AX92,ENDUSEALL[End Use],0))),3))</f>
        <v/>
      </c>
      <c r="AW92" s="900" t="str">
        <f>IFERROR(ROUND(
IF(ISNUMBER(SEARCH("DX",C92)),(V92*12)*((1/L92)-(1/N92))*INDEX(PMEHVAC[EFLHcool],MATCH(C92,PMEHVAC[Eff Desc 1],0)),
IF(ISNUMBER(SEARCH("PTAC",C92)),(V92*12)*((1/L92)-(1/N92))*INDEX(PMEHVAC[EFLHcool],MATCH(C92,PMEHVAC[Eff Desc 1],0)),
IF(ISNUMBER(SEARCH("PTHP",C92)),((V92*12)*((1/L92)-(1/N92))*INDEX(PMEHVAC[EFLHcool],MATCH(C92,PMEHVAC[Eff Desc 1],0)))+(((V92*12)/3.412)*((1/R92)-(1/T92))*INDEX(PMEHVAC[EFLHheat],MATCH(C92,PMEHVAC[Eff Desc 1],0))),
IF(OR(ISNUMBER(SEARCH("ASHP",C92)),ISNUMBER(SEARCH("WSHP",C92)),ISNUMBER(SEARCH("Water Source",C92)),ISNUMBER(SEARCH("GSHP",C92))),((V92*12)*((1/L92)-(1/N92))*INDEX(PMEHVAC[EFLHcool],MATCH(C92,PMEHVAC[Eff Desc 1],0)))+(IF(P92="HSPF",(V92*12),((V92*12)/3.412))*((1/R92)-(1/T92))*INDEX(PMEHVAC[EFLHheat],MATCH(C92,PMEHVAC[Eff Desc 1],0))),
"")))),0),"")</f>
        <v/>
      </c>
      <c r="AX92" s="922" t="str">
        <f>IF(OR(C92="",N92="",T92="",V92="",X92="",AA92="",AE92="",AC92=""),"",INDEX(PMEHVAC[End Use Category],MATCH(C92,PMEHVAC[Eff Desc 1],0)))</f>
        <v/>
      </c>
    </row>
    <row r="93" spans="2:50" ht="15.95" hidden="1" customHeight="1">
      <c r="B93" s="923"/>
      <c r="C93" s="835"/>
      <c r="D93" s="836"/>
      <c r="E93" s="836"/>
      <c r="F93" s="836"/>
      <c r="G93" s="836"/>
      <c r="H93" s="836"/>
      <c r="I93" s="836"/>
      <c r="J93" s="949"/>
      <c r="K93" s="950"/>
      <c r="L93" s="949"/>
      <c r="M93" s="950"/>
      <c r="N93" s="848"/>
      <c r="O93" s="849"/>
      <c r="P93" s="949"/>
      <c r="Q93" s="950"/>
      <c r="R93" s="949"/>
      <c r="S93" s="950"/>
      <c r="T93" s="963"/>
      <c r="U93" s="964"/>
      <c r="V93" s="848"/>
      <c r="W93" s="849"/>
      <c r="X93" s="835"/>
      <c r="Y93" s="836"/>
      <c r="Z93" s="837"/>
      <c r="AA93" s="946"/>
      <c r="AB93" s="939"/>
      <c r="AC93" s="939"/>
      <c r="AD93" s="940"/>
      <c r="AE93" s="943"/>
      <c r="AF93" s="943"/>
      <c r="AG93" s="943"/>
      <c r="AH93" s="944"/>
      <c r="AI93" s="919"/>
      <c r="AJ93" s="865"/>
      <c r="AK93" s="906"/>
      <c r="AL93" s="907"/>
      <c r="AM93" s="907"/>
      <c r="AN93" s="936"/>
      <c r="AO93" s="919"/>
      <c r="AP93" s="926"/>
      <c r="AQ93" s="865"/>
      <c r="AU93" s="809"/>
      <c r="AV93" s="901"/>
      <c r="AW93" s="901"/>
      <c r="AX93" s="901"/>
    </row>
    <row r="94" spans="2:50" ht="15.95" hidden="1" customHeight="1">
      <c r="B94" s="923">
        <v>40</v>
      </c>
      <c r="C94" s="866"/>
      <c r="D94" s="867"/>
      <c r="E94" s="867"/>
      <c r="F94" s="867"/>
      <c r="G94" s="867"/>
      <c r="H94" s="867"/>
      <c r="I94" s="867"/>
      <c r="J94" s="947" t="str">
        <f>IF(C94="","",INDEX(PMEHVAC[Base Desc 1],MATCH(C94,PMEHVAC[Eff Desc 1],0)))</f>
        <v/>
      </c>
      <c r="K94" s="948"/>
      <c r="L94" s="947" t="str">
        <f>IF(C94="","",INDEX(PMEHVAC[Base Desc 2],MATCH(C94,PMEHVAC[Eff Desc 1],0)))</f>
        <v/>
      </c>
      <c r="M94" s="948"/>
      <c r="N94" s="846"/>
      <c r="O94" s="847"/>
      <c r="P94" s="947" t="str">
        <f>IF(C94="","",INDEX(PMEHVAC[Base Watt],MATCH(C94,PMEHVAC[Eff Desc 1],0)))</f>
        <v/>
      </c>
      <c r="Q94" s="948"/>
      <c r="R94" s="947" t="str">
        <f>IF(C94="","",INDEX(PMEHVAC[Base Watt 2],MATCH(C94,PMEHVAC[Eff Desc 1],0)))</f>
        <v/>
      </c>
      <c r="S94" s="948"/>
      <c r="T94" s="961"/>
      <c r="U94" s="962"/>
      <c r="V94" s="846"/>
      <c r="W94" s="847"/>
      <c r="X94" s="832"/>
      <c r="Y94" s="833"/>
      <c r="Z94" s="834"/>
      <c r="AA94" s="945"/>
      <c r="AB94" s="937"/>
      <c r="AC94" s="937"/>
      <c r="AD94" s="938"/>
      <c r="AE94" s="941" t="str">
        <f>IF(C94="","",INDEX(PMEHVAC[Unit of Measure],MATCH(C94,PMEHVAC[Eff Desc 1],0)))</f>
        <v/>
      </c>
      <c r="AF94" s="941"/>
      <c r="AG94" s="941"/>
      <c r="AH94" s="942"/>
      <c r="AI94" s="917" t="str">
        <f>IF(OR(C94="",N94="",T94="",V94="",X94="",AA94="",AC94=""),"",INDEX(PMEHVAC[Inc Rate Unit],MATCH(C94,PMEHVAC[Eff Desc 1],0)))</f>
        <v/>
      </c>
      <c r="AJ94" s="918"/>
      <c r="AK94" s="933" t="str">
        <f t="shared" ref="AK94" si="129">IFERROR(IF(OR(C94="",N94="",T94="",V94="",X94="",AA94="",AC94="",),"",AW94),"")</f>
        <v/>
      </c>
      <c r="AL94" s="934"/>
      <c r="AM94" s="934"/>
      <c r="AN94" s="935"/>
      <c r="AO94" s="924" t="str">
        <f t="shared" ref="AO94" si="130">IFERROR(IF(OR(C94="",N94="",V94="",X94="",T94="",AA94="",AC94=""),"",IF(BC94&lt;&gt;"",BC94,ROUND(IF(AK94&lt;=0,0,IF(AE94="unit",MIN(AU94*1,AI94),MIN(AU94*1,(N94-L94)*V94*AI94))),2))),"")</f>
        <v/>
      </c>
      <c r="AP94" s="925"/>
      <c r="AQ94" s="863"/>
      <c r="AU94" s="808" t="str">
        <f t="shared" ref="AU94" si="131">IF(OR(C94="",N94="",T94="",V94="",X94="",AA94="",AE94="",AC94=""),"",IF(AK94="","",ROUND((AA94+AC94),2)))</f>
        <v/>
      </c>
      <c r="AV94" s="922" t="str">
        <f>IF(OR(C94="",N94="",T94="",V94="",X94="",AA94="",AC94="",AE94=""),"",ROUND(IF(ISNUMBER(SEARCH("Unit",AE94)),(V94/12)*(1/((-0.02*N94^2)+(1.12*N94)))*0.177*0.08*0.457,
(V94*12)*((1/L94)-(1/N94))*INDEX(ENDUSEALL[Lighting Coincidence Factor],MATCH(AX94,ENDUSEALL[End Use],0))),3))</f>
        <v/>
      </c>
      <c r="AW94" s="900" t="str">
        <f>IFERROR(ROUND(
IF(ISNUMBER(SEARCH("DX",C94)),(V94*12)*((1/L94)-(1/N94))*INDEX(PMEHVAC[EFLHcool],MATCH(C94,PMEHVAC[Eff Desc 1],0)),
IF(ISNUMBER(SEARCH("PTAC",C94)),(V94*12)*((1/L94)-(1/N94))*INDEX(PMEHVAC[EFLHcool],MATCH(C94,PMEHVAC[Eff Desc 1],0)),
IF(ISNUMBER(SEARCH("PTHP",C94)),((V94*12)*((1/L94)-(1/N94))*INDEX(PMEHVAC[EFLHcool],MATCH(C94,PMEHVAC[Eff Desc 1],0)))+(((V94*12)/3.412)*((1/R94)-(1/T94))*INDEX(PMEHVAC[EFLHheat],MATCH(C94,PMEHVAC[Eff Desc 1],0))),
IF(OR(ISNUMBER(SEARCH("ASHP",C94)),ISNUMBER(SEARCH("WSHP",C94)),ISNUMBER(SEARCH("Water Source",C94)),ISNUMBER(SEARCH("GSHP",C94))),((V94*12)*((1/L94)-(1/N94))*INDEX(PMEHVAC[EFLHcool],MATCH(C94,PMEHVAC[Eff Desc 1],0)))+(IF(P94="HSPF",(V94*12),((V94*12)/3.412))*((1/R94)-(1/T94))*INDEX(PMEHVAC[EFLHheat],MATCH(C94,PMEHVAC[Eff Desc 1],0))),
"")))),0),"")</f>
        <v/>
      </c>
      <c r="AX94" s="922" t="str">
        <f>IF(OR(C94="",N94="",T94="",V94="",X94="",AA94="",AE94="",AC94=""),"",INDEX(PMEHVAC[End Use Category],MATCH(C94,PMEHVAC[Eff Desc 1],0)))</f>
        <v/>
      </c>
    </row>
    <row r="95" spans="2:50" ht="15.95" hidden="1" customHeight="1">
      <c r="B95" s="923"/>
      <c r="C95" s="835"/>
      <c r="D95" s="836"/>
      <c r="E95" s="836"/>
      <c r="F95" s="836"/>
      <c r="G95" s="836"/>
      <c r="H95" s="836"/>
      <c r="I95" s="836"/>
      <c r="J95" s="949"/>
      <c r="K95" s="950"/>
      <c r="L95" s="949"/>
      <c r="M95" s="950"/>
      <c r="N95" s="848"/>
      <c r="O95" s="849"/>
      <c r="P95" s="949"/>
      <c r="Q95" s="950"/>
      <c r="R95" s="949"/>
      <c r="S95" s="950"/>
      <c r="T95" s="963"/>
      <c r="U95" s="964"/>
      <c r="V95" s="848"/>
      <c r="W95" s="849"/>
      <c r="X95" s="835"/>
      <c r="Y95" s="836"/>
      <c r="Z95" s="837"/>
      <c r="AA95" s="946"/>
      <c r="AB95" s="939"/>
      <c r="AC95" s="939"/>
      <c r="AD95" s="940"/>
      <c r="AE95" s="943"/>
      <c r="AF95" s="943"/>
      <c r="AG95" s="943"/>
      <c r="AH95" s="944"/>
      <c r="AI95" s="919"/>
      <c r="AJ95" s="865"/>
      <c r="AK95" s="906"/>
      <c r="AL95" s="907"/>
      <c r="AM95" s="907"/>
      <c r="AN95" s="936"/>
      <c r="AO95" s="919"/>
      <c r="AP95" s="926"/>
      <c r="AQ95" s="865"/>
      <c r="AU95" s="809"/>
      <c r="AV95" s="901"/>
      <c r="AW95" s="901"/>
      <c r="AX95" s="901"/>
    </row>
    <row r="96" spans="2:50" ht="15.95" hidden="1" customHeight="1">
      <c r="B96" s="923">
        <v>41</v>
      </c>
      <c r="C96" s="866"/>
      <c r="D96" s="867"/>
      <c r="E96" s="867"/>
      <c r="F96" s="867"/>
      <c r="G96" s="867"/>
      <c r="H96" s="867"/>
      <c r="I96" s="867"/>
      <c r="J96" s="947" t="str">
        <f>IF(C96="","",INDEX(PMEHVAC[Base Desc 1],MATCH(C96,PMEHVAC[Eff Desc 1],0)))</f>
        <v/>
      </c>
      <c r="K96" s="948"/>
      <c r="L96" s="947" t="str">
        <f>IF(C96="","",INDEX(PMEHVAC[Base Desc 2],MATCH(C96,PMEHVAC[Eff Desc 1],0)))</f>
        <v/>
      </c>
      <c r="M96" s="948"/>
      <c r="N96" s="846"/>
      <c r="O96" s="847"/>
      <c r="P96" s="947" t="str">
        <f>IF(C96="","",INDEX(PMEHVAC[Base Watt],MATCH(C96,PMEHVAC[Eff Desc 1],0)))</f>
        <v/>
      </c>
      <c r="Q96" s="948"/>
      <c r="R96" s="947" t="str">
        <f>IF(C96="","",INDEX(PMEHVAC[Base Watt 2],MATCH(C96,PMEHVAC[Eff Desc 1],0)))</f>
        <v/>
      </c>
      <c r="S96" s="948"/>
      <c r="T96" s="961"/>
      <c r="U96" s="962"/>
      <c r="V96" s="846"/>
      <c r="W96" s="847"/>
      <c r="X96" s="832"/>
      <c r="Y96" s="833"/>
      <c r="Z96" s="834"/>
      <c r="AA96" s="945"/>
      <c r="AB96" s="937"/>
      <c r="AC96" s="937"/>
      <c r="AD96" s="938"/>
      <c r="AE96" s="941" t="str">
        <f>IF(C96="","",INDEX(PMEHVAC[Unit of Measure],MATCH(C96,PMEHVAC[Eff Desc 1],0)))</f>
        <v/>
      </c>
      <c r="AF96" s="941"/>
      <c r="AG96" s="941"/>
      <c r="AH96" s="942"/>
      <c r="AI96" s="917" t="str">
        <f>IF(OR(C96="",N96="",T96="",V96="",X96="",AA96="",AC96=""),"",INDEX(PMEHVAC[Inc Rate Unit],MATCH(C96,PMEHVAC[Eff Desc 1],0)))</f>
        <v/>
      </c>
      <c r="AJ96" s="918"/>
      <c r="AK96" s="933" t="str">
        <f t="shared" ref="AK96" si="132">IFERROR(IF(OR(C96="",N96="",T96="",V96="",X96="",AA96="",AC96="",),"",AW96),"")</f>
        <v/>
      </c>
      <c r="AL96" s="934"/>
      <c r="AM96" s="934"/>
      <c r="AN96" s="935"/>
      <c r="AO96" s="924" t="str">
        <f t="shared" ref="AO96" si="133">IFERROR(IF(OR(C96="",N96="",V96="",X96="",T96="",AA96="",AC96=""),"",IF(BC96&lt;&gt;"",BC96,ROUND(IF(AK96&lt;=0,0,IF(AE96="unit",MIN(AU96*1,AI96),MIN(AU96*1,(N96-L96)*V96*AI96))),2))),"")</f>
        <v/>
      </c>
      <c r="AP96" s="925"/>
      <c r="AQ96" s="863"/>
      <c r="AU96" s="808" t="str">
        <f t="shared" ref="AU96" si="134">IF(OR(C96="",N96="",T96="",V96="",X96="",AA96="",AE96="",AC96=""),"",IF(AK96="","",ROUND((AA96+AC96),2)))</f>
        <v/>
      </c>
      <c r="AV96" s="922" t="str">
        <f>IF(OR(C96="",N96="",T96="",V96="",X96="",AA96="",AC96="",AE96=""),"",ROUND(IF(ISNUMBER(SEARCH("Unit",AE96)),(V96/12)*(1/((-0.02*N96^2)+(1.12*N96)))*0.177*0.08*0.457,
(V96*12)*((1/L96)-(1/N96))*INDEX(ENDUSEALL[Lighting Coincidence Factor],MATCH(AX96,ENDUSEALL[End Use],0))),3))</f>
        <v/>
      </c>
      <c r="AW96" s="900" t="str">
        <f>IFERROR(ROUND(
IF(ISNUMBER(SEARCH("DX",C96)),(V96*12)*((1/L96)-(1/N96))*INDEX(PMEHVAC[EFLHcool],MATCH(C96,PMEHVAC[Eff Desc 1],0)),
IF(ISNUMBER(SEARCH("PTAC",C96)),(V96*12)*((1/L96)-(1/N96))*INDEX(PMEHVAC[EFLHcool],MATCH(C96,PMEHVAC[Eff Desc 1],0)),
IF(ISNUMBER(SEARCH("PTHP",C96)),((V96*12)*((1/L96)-(1/N96))*INDEX(PMEHVAC[EFLHcool],MATCH(C96,PMEHVAC[Eff Desc 1],0)))+(((V96*12)/3.412)*((1/R96)-(1/T96))*INDEX(PMEHVAC[EFLHheat],MATCH(C96,PMEHVAC[Eff Desc 1],0))),
IF(OR(ISNUMBER(SEARCH("ASHP",C96)),ISNUMBER(SEARCH("WSHP",C96)),ISNUMBER(SEARCH("Water Source",C96)),ISNUMBER(SEARCH("GSHP",C96))),((V96*12)*((1/L96)-(1/N96))*INDEX(PMEHVAC[EFLHcool],MATCH(C96,PMEHVAC[Eff Desc 1],0)))+(IF(P96="HSPF",(V96*12),((V96*12)/3.412))*((1/R96)-(1/T96))*INDEX(PMEHVAC[EFLHheat],MATCH(C96,PMEHVAC[Eff Desc 1],0))),
"")))),0),"")</f>
        <v/>
      </c>
      <c r="AX96" s="922" t="str">
        <f>IF(OR(C96="",N96="",T96="",V96="",X96="",AA96="",AE96="",AC96=""),"",INDEX(PMEHVAC[End Use Category],MATCH(C96,PMEHVAC[Eff Desc 1],0)))</f>
        <v/>
      </c>
    </row>
    <row r="97" spans="2:50" ht="15.95" hidden="1" customHeight="1">
      <c r="B97" s="923"/>
      <c r="C97" s="835"/>
      <c r="D97" s="836"/>
      <c r="E97" s="836"/>
      <c r="F97" s="836"/>
      <c r="G97" s="836"/>
      <c r="H97" s="836"/>
      <c r="I97" s="836"/>
      <c r="J97" s="949"/>
      <c r="K97" s="950"/>
      <c r="L97" s="949"/>
      <c r="M97" s="950"/>
      <c r="N97" s="848"/>
      <c r="O97" s="849"/>
      <c r="P97" s="949"/>
      <c r="Q97" s="950"/>
      <c r="R97" s="949"/>
      <c r="S97" s="950"/>
      <c r="T97" s="963"/>
      <c r="U97" s="964"/>
      <c r="V97" s="848"/>
      <c r="W97" s="849"/>
      <c r="X97" s="835"/>
      <c r="Y97" s="836"/>
      <c r="Z97" s="837"/>
      <c r="AA97" s="946"/>
      <c r="AB97" s="939"/>
      <c r="AC97" s="939"/>
      <c r="AD97" s="940"/>
      <c r="AE97" s="943"/>
      <c r="AF97" s="943"/>
      <c r="AG97" s="943"/>
      <c r="AH97" s="944"/>
      <c r="AI97" s="919"/>
      <c r="AJ97" s="865"/>
      <c r="AK97" s="906"/>
      <c r="AL97" s="907"/>
      <c r="AM97" s="907"/>
      <c r="AN97" s="936"/>
      <c r="AO97" s="919"/>
      <c r="AP97" s="926"/>
      <c r="AQ97" s="865"/>
      <c r="AU97" s="809"/>
      <c r="AV97" s="901"/>
      <c r="AW97" s="901"/>
      <c r="AX97" s="901"/>
    </row>
    <row r="98" spans="2:50" ht="15.95" hidden="1" customHeight="1">
      <c r="B98" s="923">
        <v>42</v>
      </c>
      <c r="C98" s="866"/>
      <c r="D98" s="867"/>
      <c r="E98" s="867"/>
      <c r="F98" s="867"/>
      <c r="G98" s="867"/>
      <c r="H98" s="867"/>
      <c r="I98" s="867"/>
      <c r="J98" s="947" t="str">
        <f>IF(C98="","",INDEX(PMEHVAC[Base Desc 1],MATCH(C98,PMEHVAC[Eff Desc 1],0)))</f>
        <v/>
      </c>
      <c r="K98" s="948"/>
      <c r="L98" s="947" t="str">
        <f>IF(C98="","",INDEX(PMEHVAC[Base Desc 2],MATCH(C98,PMEHVAC[Eff Desc 1],0)))</f>
        <v/>
      </c>
      <c r="M98" s="948"/>
      <c r="N98" s="846"/>
      <c r="O98" s="847"/>
      <c r="P98" s="947" t="str">
        <f>IF(C98="","",INDEX(PMEHVAC[Base Watt],MATCH(C98,PMEHVAC[Eff Desc 1],0)))</f>
        <v/>
      </c>
      <c r="Q98" s="948"/>
      <c r="R98" s="947" t="str">
        <f>IF(C98="","",INDEX(PMEHVAC[Base Watt 2],MATCH(C98,PMEHVAC[Eff Desc 1],0)))</f>
        <v/>
      </c>
      <c r="S98" s="948"/>
      <c r="T98" s="961"/>
      <c r="U98" s="962"/>
      <c r="V98" s="846"/>
      <c r="W98" s="847"/>
      <c r="X98" s="832"/>
      <c r="Y98" s="833"/>
      <c r="Z98" s="834"/>
      <c r="AA98" s="945"/>
      <c r="AB98" s="937"/>
      <c r="AC98" s="937"/>
      <c r="AD98" s="938"/>
      <c r="AE98" s="941" t="str">
        <f>IF(C98="","",INDEX(PMEHVAC[Unit of Measure],MATCH(C98,PMEHVAC[Eff Desc 1],0)))</f>
        <v/>
      </c>
      <c r="AF98" s="941"/>
      <c r="AG98" s="941"/>
      <c r="AH98" s="942"/>
      <c r="AI98" s="917" t="str">
        <f>IF(OR(C98="",N98="",T98="",V98="",X98="",AA98="",AC98=""),"",INDEX(PMEHVAC[Inc Rate Unit],MATCH(C98,PMEHVAC[Eff Desc 1],0)))</f>
        <v/>
      </c>
      <c r="AJ98" s="918"/>
      <c r="AK98" s="933" t="str">
        <f t="shared" ref="AK98" si="135">IFERROR(IF(OR(C98="",N98="",T98="",V98="",X98="",AA98="",AC98="",),"",AW98),"")</f>
        <v/>
      </c>
      <c r="AL98" s="934"/>
      <c r="AM98" s="934"/>
      <c r="AN98" s="935"/>
      <c r="AO98" s="924" t="str">
        <f t="shared" ref="AO98" si="136">IFERROR(IF(OR(C98="",N98="",V98="",X98="",T98="",AA98="",AC98=""),"",IF(BC98&lt;&gt;"",BC98,ROUND(IF(AK98&lt;=0,0,IF(AE98="unit",MIN(AU98*1,AI98),MIN(AU98*1,(N98-L98)*V98*AI98))),2))),"")</f>
        <v/>
      </c>
      <c r="AP98" s="925"/>
      <c r="AQ98" s="863"/>
      <c r="AU98" s="808" t="str">
        <f t="shared" ref="AU98" si="137">IF(OR(C98="",N98="",T98="",V98="",X98="",AA98="",AE98="",AC98=""),"",IF(AK98="","",ROUND((AA98+AC98),2)))</f>
        <v/>
      </c>
      <c r="AV98" s="922" t="str">
        <f>IF(OR(C98="",N98="",T98="",V98="",X98="",AA98="",AC98="",AE98=""),"",ROUND(IF(ISNUMBER(SEARCH("Unit",AE98)),(V98/12)*(1/((-0.02*N98^2)+(1.12*N98)))*0.177*0.08*0.457,
(V98*12)*((1/L98)-(1/N98))*INDEX(ENDUSEALL[Lighting Coincidence Factor],MATCH(AX98,ENDUSEALL[End Use],0))),3))</f>
        <v/>
      </c>
      <c r="AW98" s="900" t="str">
        <f>IFERROR(ROUND(
IF(ISNUMBER(SEARCH("DX",C98)),(V98*12)*((1/L98)-(1/N98))*INDEX(PMEHVAC[EFLHcool],MATCH(C98,PMEHVAC[Eff Desc 1],0)),
IF(ISNUMBER(SEARCH("PTAC",C98)),(V98*12)*((1/L98)-(1/N98))*INDEX(PMEHVAC[EFLHcool],MATCH(C98,PMEHVAC[Eff Desc 1],0)),
IF(ISNUMBER(SEARCH("PTHP",C98)),((V98*12)*((1/L98)-(1/N98))*INDEX(PMEHVAC[EFLHcool],MATCH(C98,PMEHVAC[Eff Desc 1],0)))+(((V98*12)/3.412)*((1/R98)-(1/T98))*INDEX(PMEHVAC[EFLHheat],MATCH(C98,PMEHVAC[Eff Desc 1],0))),
IF(OR(ISNUMBER(SEARCH("ASHP",C98)),ISNUMBER(SEARCH("WSHP",C98)),ISNUMBER(SEARCH("Water Source",C98)),ISNUMBER(SEARCH("GSHP",C98))),((V98*12)*((1/L98)-(1/N98))*INDEX(PMEHVAC[EFLHcool],MATCH(C98,PMEHVAC[Eff Desc 1],0)))+(IF(P98="HSPF",(V98*12),((V98*12)/3.412))*((1/R98)-(1/T98))*INDEX(PMEHVAC[EFLHheat],MATCH(C98,PMEHVAC[Eff Desc 1],0))),
"")))),0),"")</f>
        <v/>
      </c>
      <c r="AX98" s="922" t="str">
        <f>IF(OR(C98="",N98="",T98="",V98="",X98="",AA98="",AE98="",AC98=""),"",INDEX(PMEHVAC[End Use Category],MATCH(C98,PMEHVAC[Eff Desc 1],0)))</f>
        <v/>
      </c>
    </row>
    <row r="99" spans="2:50" ht="15.95" hidden="1" customHeight="1">
      <c r="B99" s="923"/>
      <c r="C99" s="835"/>
      <c r="D99" s="836"/>
      <c r="E99" s="836"/>
      <c r="F99" s="836"/>
      <c r="G99" s="836"/>
      <c r="H99" s="836"/>
      <c r="I99" s="836"/>
      <c r="J99" s="949"/>
      <c r="K99" s="950"/>
      <c r="L99" s="949"/>
      <c r="M99" s="950"/>
      <c r="N99" s="848"/>
      <c r="O99" s="849"/>
      <c r="P99" s="949"/>
      <c r="Q99" s="950"/>
      <c r="R99" s="949"/>
      <c r="S99" s="950"/>
      <c r="T99" s="963"/>
      <c r="U99" s="964"/>
      <c r="V99" s="848"/>
      <c r="W99" s="849"/>
      <c r="X99" s="835"/>
      <c r="Y99" s="836"/>
      <c r="Z99" s="837"/>
      <c r="AA99" s="946"/>
      <c r="AB99" s="939"/>
      <c r="AC99" s="939"/>
      <c r="AD99" s="940"/>
      <c r="AE99" s="943"/>
      <c r="AF99" s="943"/>
      <c r="AG99" s="943"/>
      <c r="AH99" s="944"/>
      <c r="AI99" s="919"/>
      <c r="AJ99" s="865"/>
      <c r="AK99" s="906"/>
      <c r="AL99" s="907"/>
      <c r="AM99" s="907"/>
      <c r="AN99" s="936"/>
      <c r="AO99" s="919"/>
      <c r="AP99" s="926"/>
      <c r="AQ99" s="865"/>
      <c r="AU99" s="809"/>
      <c r="AV99" s="901"/>
      <c r="AW99" s="901"/>
      <c r="AX99" s="901"/>
    </row>
    <row r="100" spans="2:50" ht="15.95" hidden="1" customHeight="1">
      <c r="B100" s="923">
        <v>43</v>
      </c>
      <c r="C100" s="866"/>
      <c r="D100" s="867"/>
      <c r="E100" s="867"/>
      <c r="F100" s="867"/>
      <c r="G100" s="867"/>
      <c r="H100" s="867"/>
      <c r="I100" s="867"/>
      <c r="J100" s="947" t="str">
        <f>IF(C100="","",INDEX(PMEHVAC[Base Desc 1],MATCH(C100,PMEHVAC[Eff Desc 1],0)))</f>
        <v/>
      </c>
      <c r="K100" s="948"/>
      <c r="L100" s="947" t="str">
        <f>IF(C100="","",INDEX(PMEHVAC[Base Desc 2],MATCH(C100,PMEHVAC[Eff Desc 1],0)))</f>
        <v/>
      </c>
      <c r="M100" s="948"/>
      <c r="N100" s="846"/>
      <c r="O100" s="847"/>
      <c r="P100" s="947" t="str">
        <f>IF(C100="","",INDEX(PMEHVAC[Base Watt],MATCH(C100,PMEHVAC[Eff Desc 1],0)))</f>
        <v/>
      </c>
      <c r="Q100" s="948"/>
      <c r="R100" s="947" t="str">
        <f>IF(C100="","",INDEX(PMEHVAC[Base Watt 2],MATCH(C100,PMEHVAC[Eff Desc 1],0)))</f>
        <v/>
      </c>
      <c r="S100" s="948"/>
      <c r="T100" s="961"/>
      <c r="U100" s="962"/>
      <c r="V100" s="846"/>
      <c r="W100" s="847"/>
      <c r="X100" s="832"/>
      <c r="Y100" s="833"/>
      <c r="Z100" s="834"/>
      <c r="AA100" s="945"/>
      <c r="AB100" s="937"/>
      <c r="AC100" s="937"/>
      <c r="AD100" s="938"/>
      <c r="AE100" s="941" t="str">
        <f>IF(C100="","",INDEX(PMEHVAC[Unit of Measure],MATCH(C100,PMEHVAC[Eff Desc 1],0)))</f>
        <v/>
      </c>
      <c r="AF100" s="941"/>
      <c r="AG100" s="941"/>
      <c r="AH100" s="942"/>
      <c r="AI100" s="917" t="str">
        <f>IF(OR(C100="",N100="",T100="",V100="",X100="",AA100="",AC100=""),"",INDEX(PMEHVAC[Inc Rate Unit],MATCH(C100,PMEHVAC[Eff Desc 1],0)))</f>
        <v/>
      </c>
      <c r="AJ100" s="918"/>
      <c r="AK100" s="933" t="str">
        <f t="shared" ref="AK100" si="138">IFERROR(IF(OR(C100="",N100="",T100="",V100="",X100="",AA100="",AC100="",),"",AW100),"")</f>
        <v/>
      </c>
      <c r="AL100" s="934"/>
      <c r="AM100" s="934"/>
      <c r="AN100" s="935"/>
      <c r="AO100" s="924" t="str">
        <f t="shared" ref="AO100" si="139">IFERROR(IF(OR(C100="",N100="",V100="",X100="",T100="",AA100="",AC100=""),"",IF(BC100&lt;&gt;"",BC100,ROUND(IF(AK100&lt;=0,0,IF(AE100="unit",MIN(AU100*1,AI100),MIN(AU100*1,(N100-L100)*V100*AI100))),2))),"")</f>
        <v/>
      </c>
      <c r="AP100" s="925"/>
      <c r="AQ100" s="863"/>
      <c r="AU100" s="808" t="str">
        <f t="shared" ref="AU100" si="140">IF(OR(C100="",N100="",T100="",V100="",X100="",AA100="",AE100="",AC100=""),"",IF(AK100="","",ROUND((AA100+AC100),2)))</f>
        <v/>
      </c>
      <c r="AV100" s="922" t="str">
        <f>IF(OR(C100="",N100="",T100="",V100="",X100="",AA100="",AC100="",AE100=""),"",ROUND(IF(ISNUMBER(SEARCH("Unit",AE100)),(V100/12)*(1/((-0.02*N100^2)+(1.12*N100)))*0.177*0.08*0.457,
(V100*12)*((1/L100)-(1/N100))*INDEX(ENDUSEALL[Lighting Coincidence Factor],MATCH(AX100,ENDUSEALL[End Use],0))),3))</f>
        <v/>
      </c>
      <c r="AW100" s="900" t="str">
        <f>IFERROR(ROUND(
IF(ISNUMBER(SEARCH("DX",C100)),(V100*12)*((1/L100)-(1/N100))*INDEX(PMEHVAC[EFLHcool],MATCH(C100,PMEHVAC[Eff Desc 1],0)),
IF(ISNUMBER(SEARCH("PTAC",C100)),(V100*12)*((1/L100)-(1/N100))*INDEX(PMEHVAC[EFLHcool],MATCH(C100,PMEHVAC[Eff Desc 1],0)),
IF(ISNUMBER(SEARCH("PTHP",C100)),((V100*12)*((1/L100)-(1/N100))*INDEX(PMEHVAC[EFLHcool],MATCH(C100,PMEHVAC[Eff Desc 1],0)))+(((V100*12)/3.412)*((1/R100)-(1/T100))*INDEX(PMEHVAC[EFLHheat],MATCH(C100,PMEHVAC[Eff Desc 1],0))),
IF(OR(ISNUMBER(SEARCH("ASHP",C100)),ISNUMBER(SEARCH("WSHP",C100)),ISNUMBER(SEARCH("Water Source",C100)),ISNUMBER(SEARCH("GSHP",C100))),((V100*12)*((1/L100)-(1/N100))*INDEX(PMEHVAC[EFLHcool],MATCH(C100,PMEHVAC[Eff Desc 1],0)))+(IF(P100="HSPF",(V100*12),((V100*12)/3.412))*((1/R100)-(1/T100))*INDEX(PMEHVAC[EFLHheat],MATCH(C100,PMEHVAC[Eff Desc 1],0))),
"")))),0),"")</f>
        <v/>
      </c>
      <c r="AX100" s="922" t="str">
        <f>IF(OR(C100="",N100="",T100="",V100="",X100="",AA100="",AE100="",AC100=""),"",INDEX(PMEHVAC[End Use Category],MATCH(C100,PMEHVAC[Eff Desc 1],0)))</f>
        <v/>
      </c>
    </row>
    <row r="101" spans="2:50" ht="15.95" hidden="1" customHeight="1">
      <c r="B101" s="923"/>
      <c r="C101" s="835"/>
      <c r="D101" s="836"/>
      <c r="E101" s="836"/>
      <c r="F101" s="836"/>
      <c r="G101" s="836"/>
      <c r="H101" s="836"/>
      <c r="I101" s="836"/>
      <c r="J101" s="949"/>
      <c r="K101" s="950"/>
      <c r="L101" s="949"/>
      <c r="M101" s="950"/>
      <c r="N101" s="848"/>
      <c r="O101" s="849"/>
      <c r="P101" s="949"/>
      <c r="Q101" s="950"/>
      <c r="R101" s="949"/>
      <c r="S101" s="950"/>
      <c r="T101" s="963"/>
      <c r="U101" s="964"/>
      <c r="V101" s="848"/>
      <c r="W101" s="849"/>
      <c r="X101" s="835"/>
      <c r="Y101" s="836"/>
      <c r="Z101" s="837"/>
      <c r="AA101" s="946"/>
      <c r="AB101" s="939"/>
      <c r="AC101" s="939"/>
      <c r="AD101" s="940"/>
      <c r="AE101" s="943"/>
      <c r="AF101" s="943"/>
      <c r="AG101" s="943"/>
      <c r="AH101" s="944"/>
      <c r="AI101" s="919"/>
      <c r="AJ101" s="865"/>
      <c r="AK101" s="906"/>
      <c r="AL101" s="907"/>
      <c r="AM101" s="907"/>
      <c r="AN101" s="936"/>
      <c r="AO101" s="919"/>
      <c r="AP101" s="926"/>
      <c r="AQ101" s="865"/>
      <c r="AU101" s="809"/>
      <c r="AV101" s="901"/>
      <c r="AW101" s="901"/>
      <c r="AX101" s="901"/>
    </row>
    <row r="102" spans="2:50" ht="15.95" hidden="1" customHeight="1">
      <c r="B102" s="923">
        <v>44</v>
      </c>
      <c r="C102" s="866"/>
      <c r="D102" s="867"/>
      <c r="E102" s="867"/>
      <c r="F102" s="867"/>
      <c r="G102" s="867"/>
      <c r="H102" s="867"/>
      <c r="I102" s="867"/>
      <c r="J102" s="947" t="str">
        <f>IF(C102="","",INDEX(PMEHVAC[Base Desc 1],MATCH(C102,PMEHVAC[Eff Desc 1],0)))</f>
        <v/>
      </c>
      <c r="K102" s="948"/>
      <c r="L102" s="947" t="str">
        <f>IF(C102="","",INDEX(PMEHVAC[Base Desc 2],MATCH(C102,PMEHVAC[Eff Desc 1],0)))</f>
        <v/>
      </c>
      <c r="M102" s="948"/>
      <c r="N102" s="846"/>
      <c r="O102" s="847"/>
      <c r="P102" s="947" t="str">
        <f>IF(C102="","",INDEX(PMEHVAC[Base Watt],MATCH(C102,PMEHVAC[Eff Desc 1],0)))</f>
        <v/>
      </c>
      <c r="Q102" s="948"/>
      <c r="R102" s="947" t="str">
        <f>IF(C102="","",INDEX(PMEHVAC[Base Watt 2],MATCH(C102,PMEHVAC[Eff Desc 1],0)))</f>
        <v/>
      </c>
      <c r="S102" s="948"/>
      <c r="T102" s="961"/>
      <c r="U102" s="962"/>
      <c r="V102" s="846"/>
      <c r="W102" s="847"/>
      <c r="X102" s="832"/>
      <c r="Y102" s="833"/>
      <c r="Z102" s="834"/>
      <c r="AA102" s="945"/>
      <c r="AB102" s="937"/>
      <c r="AC102" s="937"/>
      <c r="AD102" s="938"/>
      <c r="AE102" s="941" t="str">
        <f>IF(C102="","",INDEX(PMEHVAC[Unit of Measure],MATCH(C102,PMEHVAC[Eff Desc 1],0)))</f>
        <v/>
      </c>
      <c r="AF102" s="941"/>
      <c r="AG102" s="941"/>
      <c r="AH102" s="942"/>
      <c r="AI102" s="917" t="str">
        <f>IF(OR(C102="",N102="",T102="",V102="",X102="",AA102="",AC102=""),"",INDEX(PMEHVAC[Inc Rate Unit],MATCH(C102,PMEHVAC[Eff Desc 1],0)))</f>
        <v/>
      </c>
      <c r="AJ102" s="918"/>
      <c r="AK102" s="933" t="str">
        <f t="shared" ref="AK102" si="141">IFERROR(IF(OR(C102="",N102="",T102="",V102="",X102="",AA102="",AC102="",),"",AW102),"")</f>
        <v/>
      </c>
      <c r="AL102" s="934"/>
      <c r="AM102" s="934"/>
      <c r="AN102" s="935"/>
      <c r="AO102" s="924" t="str">
        <f t="shared" ref="AO102" si="142">IFERROR(IF(OR(C102="",N102="",V102="",X102="",T102="",AA102="",AC102=""),"",IF(BC102&lt;&gt;"",BC102,ROUND(IF(AK102&lt;=0,0,IF(AE102="unit",MIN(AU102*1,AI102),MIN(AU102*1,(N102-L102)*V102*AI102))),2))),"")</f>
        <v/>
      </c>
      <c r="AP102" s="925"/>
      <c r="AQ102" s="863"/>
      <c r="AU102" s="808" t="str">
        <f t="shared" ref="AU102" si="143">IF(OR(C102="",N102="",T102="",V102="",X102="",AA102="",AE102="",AC102=""),"",IF(AK102="","",ROUND((AA102+AC102),2)))</f>
        <v/>
      </c>
      <c r="AV102" s="922" t="str">
        <f>IF(OR(C102="",N102="",T102="",V102="",X102="",AA102="",AC102="",AE102=""),"",ROUND(IF(ISNUMBER(SEARCH("Unit",AE102)),(V102/12)*(1/((-0.02*N102^2)+(1.12*N102)))*0.177*0.08*0.457,
(V102*12)*((1/L102)-(1/N102))*INDEX(ENDUSEALL[Lighting Coincidence Factor],MATCH(AX102,ENDUSEALL[End Use],0))),3))</f>
        <v/>
      </c>
      <c r="AW102" s="900" t="str">
        <f>IFERROR(ROUND(
IF(ISNUMBER(SEARCH("DX",C102)),(V102*12)*((1/L102)-(1/N102))*INDEX(PMEHVAC[EFLHcool],MATCH(C102,PMEHVAC[Eff Desc 1],0)),
IF(ISNUMBER(SEARCH("PTAC",C102)),(V102*12)*((1/L102)-(1/N102))*INDEX(PMEHVAC[EFLHcool],MATCH(C102,PMEHVAC[Eff Desc 1],0)),
IF(ISNUMBER(SEARCH("PTHP",C102)),((V102*12)*((1/L102)-(1/N102))*INDEX(PMEHVAC[EFLHcool],MATCH(C102,PMEHVAC[Eff Desc 1],0)))+(((V102*12)/3.412)*((1/R102)-(1/T102))*INDEX(PMEHVAC[EFLHheat],MATCH(C102,PMEHVAC[Eff Desc 1],0))),
IF(OR(ISNUMBER(SEARCH("ASHP",C102)),ISNUMBER(SEARCH("WSHP",C102)),ISNUMBER(SEARCH("Water Source",C102)),ISNUMBER(SEARCH("GSHP",C102))),((V102*12)*((1/L102)-(1/N102))*INDEX(PMEHVAC[EFLHcool],MATCH(C102,PMEHVAC[Eff Desc 1],0)))+(IF(P102="HSPF",(V102*12),((V102*12)/3.412))*((1/R102)-(1/T102))*INDEX(PMEHVAC[EFLHheat],MATCH(C102,PMEHVAC[Eff Desc 1],0))),
"")))),0),"")</f>
        <v/>
      </c>
      <c r="AX102" s="922" t="str">
        <f>IF(OR(C102="",N102="",T102="",V102="",X102="",AA102="",AE102="",AC102=""),"",INDEX(PMEHVAC[End Use Category],MATCH(C102,PMEHVAC[Eff Desc 1],0)))</f>
        <v/>
      </c>
    </row>
    <row r="103" spans="2:50" ht="15.95" hidden="1" customHeight="1">
      <c r="B103" s="923"/>
      <c r="C103" s="835"/>
      <c r="D103" s="836"/>
      <c r="E103" s="836"/>
      <c r="F103" s="836"/>
      <c r="G103" s="836"/>
      <c r="H103" s="836"/>
      <c r="I103" s="836"/>
      <c r="J103" s="949"/>
      <c r="K103" s="950"/>
      <c r="L103" s="949"/>
      <c r="M103" s="950"/>
      <c r="N103" s="848"/>
      <c r="O103" s="849"/>
      <c r="P103" s="949"/>
      <c r="Q103" s="950"/>
      <c r="R103" s="949"/>
      <c r="S103" s="950"/>
      <c r="T103" s="963"/>
      <c r="U103" s="964"/>
      <c r="V103" s="848"/>
      <c r="W103" s="849"/>
      <c r="X103" s="835"/>
      <c r="Y103" s="836"/>
      <c r="Z103" s="837"/>
      <c r="AA103" s="946"/>
      <c r="AB103" s="939"/>
      <c r="AC103" s="939"/>
      <c r="AD103" s="940"/>
      <c r="AE103" s="943"/>
      <c r="AF103" s="943"/>
      <c r="AG103" s="943"/>
      <c r="AH103" s="944"/>
      <c r="AI103" s="919"/>
      <c r="AJ103" s="865"/>
      <c r="AK103" s="906"/>
      <c r="AL103" s="907"/>
      <c r="AM103" s="907"/>
      <c r="AN103" s="936"/>
      <c r="AO103" s="919"/>
      <c r="AP103" s="926"/>
      <c r="AQ103" s="865"/>
      <c r="AU103" s="809"/>
      <c r="AV103" s="901"/>
      <c r="AW103" s="901"/>
      <c r="AX103" s="901"/>
    </row>
    <row r="104" spans="2:50" ht="15.95" hidden="1" customHeight="1">
      <c r="B104" s="923">
        <v>45</v>
      </c>
      <c r="C104" s="866"/>
      <c r="D104" s="867"/>
      <c r="E104" s="867"/>
      <c r="F104" s="867"/>
      <c r="G104" s="867"/>
      <c r="H104" s="867"/>
      <c r="I104" s="867"/>
      <c r="J104" s="947" t="str">
        <f>IF(C104="","",INDEX(PMEHVAC[Base Desc 1],MATCH(C104,PMEHVAC[Eff Desc 1],0)))</f>
        <v/>
      </c>
      <c r="K104" s="948"/>
      <c r="L104" s="947" t="str">
        <f>IF(C104="","",INDEX(PMEHVAC[Base Desc 2],MATCH(C104,PMEHVAC[Eff Desc 1],0)))</f>
        <v/>
      </c>
      <c r="M104" s="948"/>
      <c r="N104" s="846"/>
      <c r="O104" s="847"/>
      <c r="P104" s="947" t="str">
        <f>IF(C104="","",INDEX(PMEHVAC[Base Watt],MATCH(C104,PMEHVAC[Eff Desc 1],0)))</f>
        <v/>
      </c>
      <c r="Q104" s="948"/>
      <c r="R104" s="947" t="str">
        <f>IF(C104="","",INDEX(PMEHVAC[Base Watt 2],MATCH(C104,PMEHVAC[Eff Desc 1],0)))</f>
        <v/>
      </c>
      <c r="S104" s="948"/>
      <c r="T104" s="961"/>
      <c r="U104" s="962"/>
      <c r="V104" s="846"/>
      <c r="W104" s="847"/>
      <c r="X104" s="832"/>
      <c r="Y104" s="833"/>
      <c r="Z104" s="834"/>
      <c r="AA104" s="945"/>
      <c r="AB104" s="937"/>
      <c r="AC104" s="937"/>
      <c r="AD104" s="938"/>
      <c r="AE104" s="941" t="str">
        <f>IF(C104="","",INDEX(PMEHVAC[Unit of Measure],MATCH(C104,PMEHVAC[Eff Desc 1],0)))</f>
        <v/>
      </c>
      <c r="AF104" s="941"/>
      <c r="AG104" s="941"/>
      <c r="AH104" s="942"/>
      <c r="AI104" s="917" t="str">
        <f>IF(OR(C104="",N104="",T104="",V104="",X104="",AA104="",AC104=""),"",INDEX(PMEHVAC[Inc Rate Unit],MATCH(C104,PMEHVAC[Eff Desc 1],0)))</f>
        <v/>
      </c>
      <c r="AJ104" s="918"/>
      <c r="AK104" s="933" t="str">
        <f t="shared" ref="AK104" si="144">IFERROR(IF(OR(C104="",N104="",T104="",V104="",X104="",AA104="",AC104="",),"",AW104),"")</f>
        <v/>
      </c>
      <c r="AL104" s="934"/>
      <c r="AM104" s="934"/>
      <c r="AN104" s="935"/>
      <c r="AO104" s="924" t="str">
        <f t="shared" ref="AO104" si="145">IFERROR(IF(OR(C104="",N104="",V104="",X104="",T104="",AA104="",AC104=""),"",IF(BC104&lt;&gt;"",BC104,ROUND(IF(AK104&lt;=0,0,IF(AE104="unit",MIN(AU104*1,AI104),MIN(AU104*1,(N104-L104)*V104*AI104))),2))),"")</f>
        <v/>
      </c>
      <c r="AP104" s="925"/>
      <c r="AQ104" s="863"/>
      <c r="AU104" s="808" t="str">
        <f t="shared" ref="AU104" si="146">IF(OR(C104="",N104="",T104="",V104="",X104="",AA104="",AE104="",AC104=""),"",IF(AK104="","",ROUND((AA104+AC104),2)))</f>
        <v/>
      </c>
      <c r="AV104" s="922" t="str">
        <f>IF(OR(C104="",N104="",T104="",V104="",X104="",AA104="",AC104="",AE104=""),"",ROUND(IF(ISNUMBER(SEARCH("Unit",AE104)),(V104/12)*(1/((-0.02*N104^2)+(1.12*N104)))*0.177*0.08*0.457,
(V104*12)*((1/L104)-(1/N104))*INDEX(ENDUSEALL[Lighting Coincidence Factor],MATCH(AX104,ENDUSEALL[End Use],0))),3))</f>
        <v/>
      </c>
      <c r="AW104" s="900" t="str">
        <f>IFERROR(ROUND(
IF(ISNUMBER(SEARCH("DX",C104)),(V104*12)*((1/L104)-(1/N104))*INDEX(PMEHVAC[EFLHcool],MATCH(C104,PMEHVAC[Eff Desc 1],0)),
IF(ISNUMBER(SEARCH("PTAC",C104)),(V104*12)*((1/L104)-(1/N104))*INDEX(PMEHVAC[EFLHcool],MATCH(C104,PMEHVAC[Eff Desc 1],0)),
IF(ISNUMBER(SEARCH("PTHP",C104)),((V104*12)*((1/L104)-(1/N104))*INDEX(PMEHVAC[EFLHcool],MATCH(C104,PMEHVAC[Eff Desc 1],0)))+(((V104*12)/3.412)*((1/R104)-(1/T104))*INDEX(PMEHVAC[EFLHheat],MATCH(C104,PMEHVAC[Eff Desc 1],0))),
IF(OR(ISNUMBER(SEARCH("ASHP",C104)),ISNUMBER(SEARCH("WSHP",C104)),ISNUMBER(SEARCH("Water Source",C104)),ISNUMBER(SEARCH("GSHP",C104))),((V104*12)*((1/L104)-(1/N104))*INDEX(PMEHVAC[EFLHcool],MATCH(C104,PMEHVAC[Eff Desc 1],0)))+(IF(P104="HSPF",(V104*12),((V104*12)/3.412))*((1/R104)-(1/T104))*INDEX(PMEHVAC[EFLHheat],MATCH(C104,PMEHVAC[Eff Desc 1],0))),
"")))),0),"")</f>
        <v/>
      </c>
      <c r="AX104" s="922" t="str">
        <f>IF(OR(C104="",N104="",T104="",V104="",X104="",AA104="",AE104="",AC104=""),"",INDEX(PMEHVAC[End Use Category],MATCH(C104,PMEHVAC[Eff Desc 1],0)))</f>
        <v/>
      </c>
    </row>
    <row r="105" spans="2:50" ht="15.95" hidden="1" customHeight="1">
      <c r="B105" s="923"/>
      <c r="C105" s="835"/>
      <c r="D105" s="836"/>
      <c r="E105" s="836"/>
      <c r="F105" s="836"/>
      <c r="G105" s="836"/>
      <c r="H105" s="836"/>
      <c r="I105" s="836"/>
      <c r="J105" s="949"/>
      <c r="K105" s="950"/>
      <c r="L105" s="949"/>
      <c r="M105" s="950"/>
      <c r="N105" s="848"/>
      <c r="O105" s="849"/>
      <c r="P105" s="949"/>
      <c r="Q105" s="950"/>
      <c r="R105" s="949"/>
      <c r="S105" s="950"/>
      <c r="T105" s="963"/>
      <c r="U105" s="964"/>
      <c r="V105" s="848"/>
      <c r="W105" s="849"/>
      <c r="X105" s="835"/>
      <c r="Y105" s="836"/>
      <c r="Z105" s="837"/>
      <c r="AA105" s="946"/>
      <c r="AB105" s="939"/>
      <c r="AC105" s="939"/>
      <c r="AD105" s="940"/>
      <c r="AE105" s="943"/>
      <c r="AF105" s="943"/>
      <c r="AG105" s="943"/>
      <c r="AH105" s="944"/>
      <c r="AI105" s="919"/>
      <c r="AJ105" s="865"/>
      <c r="AK105" s="906"/>
      <c r="AL105" s="907"/>
      <c r="AM105" s="907"/>
      <c r="AN105" s="936"/>
      <c r="AO105" s="919"/>
      <c r="AP105" s="926"/>
      <c r="AQ105" s="865"/>
      <c r="AU105" s="809"/>
      <c r="AV105" s="901"/>
      <c r="AW105" s="901"/>
      <c r="AX105" s="901"/>
    </row>
    <row r="106" spans="2:50" ht="15.95" hidden="1" customHeight="1">
      <c r="B106" s="923">
        <v>46</v>
      </c>
      <c r="C106" s="548"/>
      <c r="D106" s="549"/>
      <c r="E106" s="549"/>
      <c r="F106" s="549"/>
      <c r="G106" s="549"/>
      <c r="H106" s="549"/>
      <c r="I106" s="549"/>
      <c r="J106" s="947" t="str">
        <f>IF(C106="","",INDEX(PMEHVAC[Base Desc 1],MATCH(C106,PMEHVAC[Eff Desc 1],0)))</f>
        <v/>
      </c>
      <c r="K106" s="948"/>
      <c r="L106" s="947" t="str">
        <f>IF(C106="","",INDEX(PMEHVAC[Base Desc 2],MATCH(C106,PMEHVAC[Eff Desc 1],0)))</f>
        <v/>
      </c>
      <c r="M106" s="948"/>
      <c r="N106" s="846"/>
      <c r="O106" s="847"/>
      <c r="P106" s="947" t="str">
        <f>IF(C106="","",INDEX(PMEHVAC[Base Watt],MATCH(C106,PMEHVAC[Eff Desc 1],0)))</f>
        <v/>
      </c>
      <c r="Q106" s="948"/>
      <c r="R106" s="947" t="str">
        <f>IF(C106="","",INDEX(PMEHVAC[Base Watt 2],MATCH(C106,PMEHVAC[Eff Desc 1],0)))</f>
        <v/>
      </c>
      <c r="S106" s="948"/>
      <c r="T106" s="961"/>
      <c r="U106" s="962"/>
      <c r="V106" s="846"/>
      <c r="W106" s="847"/>
      <c r="X106" s="832"/>
      <c r="Y106" s="833"/>
      <c r="Z106" s="834"/>
      <c r="AA106" s="945"/>
      <c r="AB106" s="937"/>
      <c r="AC106" s="937"/>
      <c r="AD106" s="938"/>
      <c r="AE106" s="941" t="str">
        <f>IF(C106="","",INDEX(PMEHVAC[Unit of Measure],MATCH(C106,PMEHVAC[Eff Desc 1],0)))</f>
        <v/>
      </c>
      <c r="AF106" s="941"/>
      <c r="AG106" s="941"/>
      <c r="AH106" s="942"/>
      <c r="AI106" s="917" t="str">
        <f>IF(OR(C106="",N106="",T106="",V106="",X106="",AA106="",AC106=""),"",INDEX(PMEHVAC[Inc Rate Unit],MATCH(C106,PMEHVAC[Eff Desc 1],0)))</f>
        <v/>
      </c>
      <c r="AJ106" s="918"/>
      <c r="AK106" s="933" t="str">
        <f t="shared" ref="AK106" si="147">IFERROR(IF(OR(C106="",N106="",T106="",V106="",X106="",AA106="",AC106="",),"",AW106),"")</f>
        <v/>
      </c>
      <c r="AL106" s="934"/>
      <c r="AM106" s="934"/>
      <c r="AN106" s="935"/>
      <c r="AO106" s="924" t="str">
        <f t="shared" ref="AO106" si="148">IFERROR(IF(OR(C106="",N106="",V106="",X106="",T106="",AA106="",AC106=""),"",IF(BC106&lt;&gt;"",BC106,ROUND(IF(AK106&lt;=0,0,IF(AE106="unit",MIN(AU106*1,AI106),MIN(AU106*1,(N106-L106)*V106*AI106))),2))),"")</f>
        <v/>
      </c>
      <c r="AP106" s="925"/>
      <c r="AQ106" s="863"/>
      <c r="AU106" s="808" t="str">
        <f t="shared" ref="AU106" si="149">IF(OR(C106="",N106="",T106="",V106="",X106="",AA106="",AE106="",AC106=""),"",IF(AK106="","",ROUND((AA106+AC106),2)))</f>
        <v/>
      </c>
      <c r="AV106" s="922" t="str">
        <f>IF(OR(C106="",N106="",T106="",V106="",X106="",AA106="",AC106="",AE106=""),"",ROUND(IF(ISNUMBER(SEARCH("Unit",AE106)),(V106/12)*(1/((-0.02*N106^2)+(1.12*N106)))*0.177*0.08*0.457,
(V106*12)*((1/L106)-(1/N106))*INDEX(ENDUSEALL[Lighting Coincidence Factor],MATCH(AX106,ENDUSEALL[End Use],0))),3))</f>
        <v/>
      </c>
      <c r="AW106" s="900" t="str">
        <f>IFERROR(ROUND(
IF(ISNUMBER(SEARCH("DX",C106)),(V106*12)*((1/L106)-(1/N106))*INDEX(PMEHVAC[EFLHcool],MATCH(C106,PMEHVAC[Eff Desc 1],0)),
IF(ISNUMBER(SEARCH("PTAC",C106)),(V106*12)*((1/L106)-(1/N106))*INDEX(PMEHVAC[EFLHcool],MATCH(C106,PMEHVAC[Eff Desc 1],0)),
IF(ISNUMBER(SEARCH("PTHP",C106)),((V106*12)*((1/L106)-(1/N106))*INDEX(PMEHVAC[EFLHcool],MATCH(C106,PMEHVAC[Eff Desc 1],0)))+(((V106*12)/3.412)*((1/R106)-(1/T106))*INDEX(PMEHVAC[EFLHheat],MATCH(C106,PMEHVAC[Eff Desc 1],0))),
IF(OR(ISNUMBER(SEARCH("ASHP",C106)),ISNUMBER(SEARCH("WSHP",C106)),ISNUMBER(SEARCH("Water Source",C106)),ISNUMBER(SEARCH("GSHP",C106))),((V106*12)*((1/L106)-(1/N106))*INDEX(PMEHVAC[EFLHcool],MATCH(C106,PMEHVAC[Eff Desc 1],0)))+(IF(P106="HSPF",(V106*12),((V106*12)/3.412))*((1/R106)-(1/T106))*INDEX(PMEHVAC[EFLHheat],MATCH(C106,PMEHVAC[Eff Desc 1],0))),
"")))),0),"")</f>
        <v/>
      </c>
      <c r="AX106" s="922" t="str">
        <f>IF(OR(C106="",N106="",T106="",V106="",X106="",AA106="",AE106="",AC106=""),"",INDEX(PMEHVAC[End Use Category],MATCH(C106,PMEHVAC[Eff Desc 1],0)))</f>
        <v/>
      </c>
    </row>
    <row r="107" spans="2:50" ht="15.95" hidden="1" customHeight="1">
      <c r="B107" s="923"/>
      <c r="C107" s="550"/>
      <c r="D107" s="551"/>
      <c r="E107" s="551"/>
      <c r="F107" s="551"/>
      <c r="G107" s="551"/>
      <c r="H107" s="551"/>
      <c r="I107" s="551"/>
      <c r="J107" s="949"/>
      <c r="K107" s="950"/>
      <c r="L107" s="949"/>
      <c r="M107" s="950"/>
      <c r="N107" s="848"/>
      <c r="O107" s="849"/>
      <c r="P107" s="949"/>
      <c r="Q107" s="950"/>
      <c r="R107" s="949"/>
      <c r="S107" s="950"/>
      <c r="T107" s="963"/>
      <c r="U107" s="964"/>
      <c r="V107" s="848"/>
      <c r="W107" s="849"/>
      <c r="X107" s="835"/>
      <c r="Y107" s="836"/>
      <c r="Z107" s="837"/>
      <c r="AA107" s="946"/>
      <c r="AB107" s="939"/>
      <c r="AC107" s="939"/>
      <c r="AD107" s="940"/>
      <c r="AE107" s="943"/>
      <c r="AF107" s="943"/>
      <c r="AG107" s="943"/>
      <c r="AH107" s="944"/>
      <c r="AI107" s="919"/>
      <c r="AJ107" s="865"/>
      <c r="AK107" s="906"/>
      <c r="AL107" s="907"/>
      <c r="AM107" s="907"/>
      <c r="AN107" s="936"/>
      <c r="AO107" s="919"/>
      <c r="AP107" s="926"/>
      <c r="AQ107" s="865"/>
      <c r="AU107" s="809"/>
      <c r="AV107" s="901"/>
      <c r="AW107" s="901"/>
      <c r="AX107" s="901"/>
    </row>
    <row r="108" spans="2:50" ht="15.95" hidden="1" customHeight="1">
      <c r="B108" s="923">
        <v>47</v>
      </c>
      <c r="C108" s="548"/>
      <c r="D108" s="549"/>
      <c r="E108" s="549"/>
      <c r="F108" s="549"/>
      <c r="G108" s="549"/>
      <c r="H108" s="549"/>
      <c r="I108" s="549"/>
      <c r="J108" s="947" t="str">
        <f>IF(C108="","",INDEX(PMEHVAC[Base Desc 1],MATCH(C108,PMEHVAC[Eff Desc 1],0)))</f>
        <v/>
      </c>
      <c r="K108" s="948"/>
      <c r="L108" s="947" t="str">
        <f>IF(C108="","",INDEX(PMEHVAC[Base Desc 2],MATCH(C108,PMEHVAC[Eff Desc 1],0)))</f>
        <v/>
      </c>
      <c r="M108" s="948"/>
      <c r="N108" s="846"/>
      <c r="O108" s="847"/>
      <c r="P108" s="947" t="str">
        <f>IF(C108="","",INDEX(PMEHVAC[Base Watt],MATCH(C108,PMEHVAC[Eff Desc 1],0)))</f>
        <v/>
      </c>
      <c r="Q108" s="948"/>
      <c r="R108" s="947" t="str">
        <f>IF(C108="","",INDEX(PMEHVAC[Base Watt 2],MATCH(C108,PMEHVAC[Eff Desc 1],0)))</f>
        <v/>
      </c>
      <c r="S108" s="948"/>
      <c r="T108" s="961"/>
      <c r="U108" s="962"/>
      <c r="V108" s="846"/>
      <c r="W108" s="847"/>
      <c r="X108" s="832"/>
      <c r="Y108" s="833"/>
      <c r="Z108" s="834"/>
      <c r="AA108" s="945"/>
      <c r="AB108" s="937"/>
      <c r="AC108" s="937"/>
      <c r="AD108" s="938"/>
      <c r="AE108" s="941" t="str">
        <f>IF(C108="","",INDEX(PMEHVAC[Unit of Measure],MATCH(C108,PMEHVAC[Eff Desc 1],0)))</f>
        <v/>
      </c>
      <c r="AF108" s="941"/>
      <c r="AG108" s="941"/>
      <c r="AH108" s="942"/>
      <c r="AI108" s="917" t="str">
        <f>IF(OR(C108="",N108="",T108="",V108="",X108="",AA108="",AC108=""),"",INDEX(PMEHVAC[Inc Rate Unit],MATCH(C108,PMEHVAC[Eff Desc 1],0)))</f>
        <v/>
      </c>
      <c r="AJ108" s="918"/>
      <c r="AK108" s="933" t="str">
        <f t="shared" ref="AK108" si="150">IFERROR(IF(OR(C108="",N108="",T108="",V108="",X108="",AA108="",AC108="",),"",AW108),"")</f>
        <v/>
      </c>
      <c r="AL108" s="934"/>
      <c r="AM108" s="934"/>
      <c r="AN108" s="935"/>
      <c r="AO108" s="924" t="str">
        <f t="shared" ref="AO108" si="151">IFERROR(IF(OR(C108="",N108="",V108="",X108="",T108="",AA108="",AC108=""),"",IF(BC108&lt;&gt;"",BC108,ROUND(IF(AK108&lt;=0,0,IF(AE108="unit",MIN(AU108*1,AI108),MIN(AU108*1,(N108-L108)*V108*AI108))),2))),"")</f>
        <v/>
      </c>
      <c r="AP108" s="925"/>
      <c r="AQ108" s="863"/>
      <c r="AU108" s="808" t="str">
        <f t="shared" ref="AU108" si="152">IF(OR(C108="",N108="",T108="",V108="",X108="",AA108="",AE108="",AC108=""),"",IF(AK108="","",ROUND((AA108+AC108),2)))</f>
        <v/>
      </c>
      <c r="AV108" s="922" t="str">
        <f>IF(OR(C108="",N108="",T108="",V108="",X108="",AA108="",AC108="",AE108=""),"",ROUND(IF(ISNUMBER(SEARCH("Unit",AE108)),(V108/12)*(1/((-0.02*N108^2)+(1.12*N108)))*0.177*0.08*0.457,
(V108*12)*((1/L108)-(1/N108))*INDEX(ENDUSEALL[Lighting Coincidence Factor],MATCH(AX108,ENDUSEALL[End Use],0))),3))</f>
        <v/>
      </c>
      <c r="AW108" s="900" t="str">
        <f>IFERROR(ROUND(
IF(ISNUMBER(SEARCH("DX",C108)),(V108*12)*((1/L108)-(1/N108))*INDEX(PMEHVAC[EFLHcool],MATCH(C108,PMEHVAC[Eff Desc 1],0)),
IF(ISNUMBER(SEARCH("PTAC",C108)),(V108*12)*((1/L108)-(1/N108))*INDEX(PMEHVAC[EFLHcool],MATCH(C108,PMEHVAC[Eff Desc 1],0)),
IF(ISNUMBER(SEARCH("PTHP",C108)),((V108*12)*((1/L108)-(1/N108))*INDEX(PMEHVAC[EFLHcool],MATCH(C108,PMEHVAC[Eff Desc 1],0)))+(((V108*12)/3.412)*((1/R108)-(1/T108))*INDEX(PMEHVAC[EFLHheat],MATCH(C108,PMEHVAC[Eff Desc 1],0))),
IF(OR(ISNUMBER(SEARCH("ASHP",C108)),ISNUMBER(SEARCH("WSHP",C108)),ISNUMBER(SEARCH("Water Source",C108)),ISNUMBER(SEARCH("GSHP",C108))),((V108*12)*((1/L108)-(1/N108))*INDEX(PMEHVAC[EFLHcool],MATCH(C108,PMEHVAC[Eff Desc 1],0)))+(IF(P108="HSPF",(V108*12),((V108*12)/3.412))*((1/R108)-(1/T108))*INDEX(PMEHVAC[EFLHheat],MATCH(C108,PMEHVAC[Eff Desc 1],0))),
"")))),0),"")</f>
        <v/>
      </c>
      <c r="AX108" s="922" t="str">
        <f>IF(OR(C108="",N108="",T108="",V108="",X108="",AA108="",AE108="",AC108=""),"",INDEX(PMEHVAC[End Use Category],MATCH(C108,PMEHVAC[Eff Desc 1],0)))</f>
        <v/>
      </c>
    </row>
    <row r="109" spans="2:50" ht="15.95" hidden="1" customHeight="1">
      <c r="B109" s="923"/>
      <c r="C109" s="550"/>
      <c r="D109" s="551"/>
      <c r="E109" s="551"/>
      <c r="F109" s="551"/>
      <c r="G109" s="551"/>
      <c r="H109" s="551"/>
      <c r="I109" s="551"/>
      <c r="J109" s="949"/>
      <c r="K109" s="950"/>
      <c r="L109" s="949"/>
      <c r="M109" s="950"/>
      <c r="N109" s="848"/>
      <c r="O109" s="849"/>
      <c r="P109" s="949"/>
      <c r="Q109" s="950"/>
      <c r="R109" s="949"/>
      <c r="S109" s="950"/>
      <c r="T109" s="963"/>
      <c r="U109" s="964"/>
      <c r="V109" s="848"/>
      <c r="W109" s="849"/>
      <c r="X109" s="835"/>
      <c r="Y109" s="836"/>
      <c r="Z109" s="837"/>
      <c r="AA109" s="946"/>
      <c r="AB109" s="939"/>
      <c r="AC109" s="939"/>
      <c r="AD109" s="940"/>
      <c r="AE109" s="943"/>
      <c r="AF109" s="943"/>
      <c r="AG109" s="943"/>
      <c r="AH109" s="944"/>
      <c r="AI109" s="919"/>
      <c r="AJ109" s="865"/>
      <c r="AK109" s="906"/>
      <c r="AL109" s="907"/>
      <c r="AM109" s="907"/>
      <c r="AN109" s="936"/>
      <c r="AO109" s="919"/>
      <c r="AP109" s="926"/>
      <c r="AQ109" s="865"/>
      <c r="AU109" s="809"/>
      <c r="AV109" s="901"/>
      <c r="AW109" s="901"/>
      <c r="AX109" s="901"/>
    </row>
    <row r="110" spans="2:50" ht="15.95" hidden="1" customHeight="1">
      <c r="B110" s="923">
        <v>48</v>
      </c>
      <c r="C110" s="548"/>
      <c r="D110" s="549"/>
      <c r="E110" s="549"/>
      <c r="F110" s="549"/>
      <c r="G110" s="549"/>
      <c r="H110" s="549"/>
      <c r="I110" s="549"/>
      <c r="J110" s="947" t="str">
        <f>IF(C110="","",INDEX(PMEHVAC[Base Desc 1],MATCH(C110,PMEHVAC[Eff Desc 1],0)))</f>
        <v/>
      </c>
      <c r="K110" s="948"/>
      <c r="L110" s="947" t="str">
        <f>IF(C110="","",INDEX(PMEHVAC[Base Desc 2],MATCH(C110,PMEHVAC[Eff Desc 1],0)))</f>
        <v/>
      </c>
      <c r="M110" s="948"/>
      <c r="N110" s="846"/>
      <c r="O110" s="847"/>
      <c r="P110" s="947" t="str">
        <f>IF(C110="","",INDEX(PMEHVAC[Base Watt],MATCH(C110,PMEHVAC[Eff Desc 1],0)))</f>
        <v/>
      </c>
      <c r="Q110" s="948"/>
      <c r="R110" s="947" t="str">
        <f>IF(C110="","",INDEX(PMEHVAC[Base Watt 2],MATCH(C110,PMEHVAC[Eff Desc 1],0)))</f>
        <v/>
      </c>
      <c r="S110" s="948"/>
      <c r="T110" s="961"/>
      <c r="U110" s="962"/>
      <c r="V110" s="846"/>
      <c r="W110" s="847"/>
      <c r="X110" s="832"/>
      <c r="Y110" s="833"/>
      <c r="Z110" s="834"/>
      <c r="AA110" s="945"/>
      <c r="AB110" s="937"/>
      <c r="AC110" s="937"/>
      <c r="AD110" s="938"/>
      <c r="AE110" s="941" t="str">
        <f>IF(C110="","",INDEX(PMEHVAC[Unit of Measure],MATCH(C110,PMEHVAC[Eff Desc 1],0)))</f>
        <v/>
      </c>
      <c r="AF110" s="941"/>
      <c r="AG110" s="941"/>
      <c r="AH110" s="942"/>
      <c r="AI110" s="917" t="str">
        <f>IF(OR(C110="",N110="",T110="",V110="",X110="",AA110="",AC110=""),"",INDEX(PMEHVAC[Inc Rate Unit],MATCH(C110,PMEHVAC[Eff Desc 1],0)))</f>
        <v/>
      </c>
      <c r="AJ110" s="918"/>
      <c r="AK110" s="933" t="str">
        <f t="shared" ref="AK110" si="153">IFERROR(IF(OR(C110="",N110="",T110="",V110="",X110="",AA110="",AC110="",),"",AW110),"")</f>
        <v/>
      </c>
      <c r="AL110" s="934"/>
      <c r="AM110" s="934"/>
      <c r="AN110" s="935"/>
      <c r="AO110" s="924" t="str">
        <f t="shared" ref="AO110" si="154">IFERROR(IF(OR(C110="",N110="",V110="",X110="",T110="",AA110="",AC110=""),"",IF(BC110&lt;&gt;"",BC110,ROUND(IF(AK110&lt;=0,0,IF(AE110="unit",MIN(AU110*1,AI110),MIN(AU110*1,(N110-L110)*V110*AI110))),2))),"")</f>
        <v/>
      </c>
      <c r="AP110" s="925"/>
      <c r="AQ110" s="863"/>
      <c r="AU110" s="808" t="str">
        <f t="shared" ref="AU110" si="155">IF(OR(C110="",N110="",T110="",V110="",X110="",AA110="",AE110="",AC110=""),"",IF(AK110="","",ROUND((AA110+AC110),2)))</f>
        <v/>
      </c>
      <c r="AV110" s="922" t="str">
        <f>IF(OR(C110="",N110="",T110="",V110="",X110="",AA110="",AC110="",AE110=""),"",ROUND(IF(ISNUMBER(SEARCH("Unit",AE110)),(V110/12)*(1/((-0.02*N110^2)+(1.12*N110)))*0.177*0.08*0.457,
(V110*12)*((1/L110)-(1/N110))*INDEX(ENDUSEALL[Lighting Coincidence Factor],MATCH(AX110,ENDUSEALL[End Use],0))),3))</f>
        <v/>
      </c>
      <c r="AW110" s="900" t="str">
        <f>IFERROR(ROUND(
IF(ISNUMBER(SEARCH("DX",C110)),(V110*12)*((1/L110)-(1/N110))*INDEX(PMEHVAC[EFLHcool],MATCH(C110,PMEHVAC[Eff Desc 1],0)),
IF(ISNUMBER(SEARCH("PTAC",C110)),(V110*12)*((1/L110)-(1/N110))*INDEX(PMEHVAC[EFLHcool],MATCH(C110,PMEHVAC[Eff Desc 1],0)),
IF(ISNUMBER(SEARCH("PTHP",C110)),((V110*12)*((1/L110)-(1/N110))*INDEX(PMEHVAC[EFLHcool],MATCH(C110,PMEHVAC[Eff Desc 1],0)))+(((V110*12)/3.412)*((1/R110)-(1/T110))*INDEX(PMEHVAC[EFLHheat],MATCH(C110,PMEHVAC[Eff Desc 1],0))),
IF(OR(ISNUMBER(SEARCH("ASHP",C110)),ISNUMBER(SEARCH("WSHP",C110)),ISNUMBER(SEARCH("Water Source",C110)),ISNUMBER(SEARCH("GSHP",C110))),((V110*12)*((1/L110)-(1/N110))*INDEX(PMEHVAC[EFLHcool],MATCH(C110,PMEHVAC[Eff Desc 1],0)))+(IF(P110="HSPF",(V110*12),((V110*12)/3.412))*((1/R110)-(1/T110))*INDEX(PMEHVAC[EFLHheat],MATCH(C110,PMEHVAC[Eff Desc 1],0))),
"")))),0),"")</f>
        <v/>
      </c>
      <c r="AX110" s="922" t="str">
        <f>IF(OR(C110="",N110="",T110="",V110="",X110="",AA110="",AE110="",AC110=""),"",INDEX(PMEHVAC[End Use Category],MATCH(C110,PMEHVAC[Eff Desc 1],0)))</f>
        <v/>
      </c>
    </row>
    <row r="111" spans="2:50" ht="15.95" hidden="1" customHeight="1">
      <c r="B111" s="923"/>
      <c r="C111" s="550"/>
      <c r="D111" s="551"/>
      <c r="E111" s="551"/>
      <c r="F111" s="551"/>
      <c r="G111" s="551"/>
      <c r="H111" s="551"/>
      <c r="I111" s="551"/>
      <c r="J111" s="949"/>
      <c r="K111" s="950"/>
      <c r="L111" s="949"/>
      <c r="M111" s="950"/>
      <c r="N111" s="848"/>
      <c r="O111" s="849"/>
      <c r="P111" s="949"/>
      <c r="Q111" s="950"/>
      <c r="R111" s="949"/>
      <c r="S111" s="950"/>
      <c r="T111" s="963"/>
      <c r="U111" s="964"/>
      <c r="V111" s="848"/>
      <c r="W111" s="849"/>
      <c r="X111" s="835"/>
      <c r="Y111" s="836"/>
      <c r="Z111" s="837"/>
      <c r="AA111" s="946"/>
      <c r="AB111" s="939"/>
      <c r="AC111" s="939"/>
      <c r="AD111" s="940"/>
      <c r="AE111" s="943"/>
      <c r="AF111" s="943"/>
      <c r="AG111" s="943"/>
      <c r="AH111" s="944"/>
      <c r="AI111" s="919"/>
      <c r="AJ111" s="865"/>
      <c r="AK111" s="906"/>
      <c r="AL111" s="907"/>
      <c r="AM111" s="907"/>
      <c r="AN111" s="936"/>
      <c r="AO111" s="919"/>
      <c r="AP111" s="926"/>
      <c r="AQ111" s="865"/>
      <c r="AU111" s="809"/>
      <c r="AV111" s="901"/>
      <c r="AW111" s="901"/>
      <c r="AX111" s="901"/>
    </row>
    <row r="112" spans="2:50" ht="15.95" hidden="1" customHeight="1">
      <c r="B112" s="923">
        <v>49</v>
      </c>
      <c r="C112" s="548"/>
      <c r="D112" s="549"/>
      <c r="E112" s="549"/>
      <c r="F112" s="549"/>
      <c r="G112" s="549"/>
      <c r="H112" s="549"/>
      <c r="I112" s="549"/>
      <c r="J112" s="947" t="str">
        <f>IF(C112="","",INDEX(PMEHVAC[Base Desc 1],MATCH(C112,PMEHVAC[Eff Desc 1],0)))</f>
        <v/>
      </c>
      <c r="K112" s="948"/>
      <c r="L112" s="947" t="str">
        <f>IF(C112="","",INDEX(PMEHVAC[Base Desc 2],MATCH(C112,PMEHVAC[Eff Desc 1],0)))</f>
        <v/>
      </c>
      <c r="M112" s="948"/>
      <c r="N112" s="846"/>
      <c r="O112" s="847"/>
      <c r="P112" s="947" t="str">
        <f>IF(C112="","",INDEX(PMEHVAC[Base Watt],MATCH(C112,PMEHVAC[Eff Desc 1],0)))</f>
        <v/>
      </c>
      <c r="Q112" s="948"/>
      <c r="R112" s="947" t="str">
        <f>IF(C112="","",INDEX(PMEHVAC[Base Watt 2],MATCH(C112,PMEHVAC[Eff Desc 1],0)))</f>
        <v/>
      </c>
      <c r="S112" s="948"/>
      <c r="T112" s="961"/>
      <c r="U112" s="962"/>
      <c r="V112" s="846"/>
      <c r="W112" s="847"/>
      <c r="X112" s="832"/>
      <c r="Y112" s="833"/>
      <c r="Z112" s="834"/>
      <c r="AA112" s="945"/>
      <c r="AB112" s="937"/>
      <c r="AC112" s="937"/>
      <c r="AD112" s="938"/>
      <c r="AE112" s="941" t="str">
        <f>IF(C112="","",INDEX(PMEHVAC[Unit of Measure],MATCH(C112,PMEHVAC[Eff Desc 1],0)))</f>
        <v/>
      </c>
      <c r="AF112" s="941"/>
      <c r="AG112" s="941"/>
      <c r="AH112" s="942"/>
      <c r="AI112" s="917" t="str">
        <f>IF(OR(C112="",N112="",T112="",V112="",X112="",AA112="",AC112=""),"",INDEX(PMEHVAC[Inc Rate Unit],MATCH(C112,PMEHVAC[Eff Desc 1],0)))</f>
        <v/>
      </c>
      <c r="AJ112" s="918"/>
      <c r="AK112" s="933" t="str">
        <f t="shared" ref="AK112" si="156">IFERROR(IF(OR(C112="",N112="",T112="",V112="",X112="",AA112="",AC112="",),"",AW112),"")</f>
        <v/>
      </c>
      <c r="AL112" s="934"/>
      <c r="AM112" s="934"/>
      <c r="AN112" s="935"/>
      <c r="AO112" s="924" t="str">
        <f t="shared" ref="AO112" si="157">IFERROR(IF(OR(C112="",N112="",V112="",X112="",T112="",AA112="",AC112=""),"",IF(BC112&lt;&gt;"",BC112,ROUND(IF(AK112&lt;=0,0,IF(AE112="unit",MIN(AU112*1,AI112),MIN(AU112*1,(N112-L112)*V112*AI112))),2))),"")</f>
        <v/>
      </c>
      <c r="AP112" s="925"/>
      <c r="AQ112" s="863"/>
      <c r="AU112" s="808" t="str">
        <f t="shared" ref="AU112" si="158">IF(OR(C112="",N112="",T112="",V112="",X112="",AA112="",AE112="",AC112=""),"",IF(AK112="","",ROUND((AA112+AC112),2)))</f>
        <v/>
      </c>
      <c r="AV112" s="922" t="str">
        <f>IF(OR(C112="",N112="",T112="",V112="",X112="",AA112="",AC112="",AE112=""),"",ROUND(IF(ISNUMBER(SEARCH("Unit",AE112)),(V112/12)*(1/((-0.02*N112^2)+(1.12*N112)))*0.177*0.08*0.457,
(V112*12)*((1/L112)-(1/N112))*INDEX(ENDUSEALL[Lighting Coincidence Factor],MATCH(AX112,ENDUSEALL[End Use],0))),3))</f>
        <v/>
      </c>
      <c r="AW112" s="900" t="str">
        <f>IFERROR(ROUND(
IF(ISNUMBER(SEARCH("DX",C112)),(V112*12)*((1/L112)-(1/N112))*INDEX(PMEHVAC[EFLHcool],MATCH(C112,PMEHVAC[Eff Desc 1],0)),
IF(ISNUMBER(SEARCH("PTAC",C112)),(V112*12)*((1/L112)-(1/N112))*INDEX(PMEHVAC[EFLHcool],MATCH(C112,PMEHVAC[Eff Desc 1],0)),
IF(ISNUMBER(SEARCH("PTHP",C112)),((V112*12)*((1/L112)-(1/N112))*INDEX(PMEHVAC[EFLHcool],MATCH(C112,PMEHVAC[Eff Desc 1],0)))+(((V112*12)/3.412)*((1/R112)-(1/T112))*INDEX(PMEHVAC[EFLHheat],MATCH(C112,PMEHVAC[Eff Desc 1],0))),
IF(OR(ISNUMBER(SEARCH("ASHP",C112)),ISNUMBER(SEARCH("WSHP",C112)),ISNUMBER(SEARCH("Water Source",C112)),ISNUMBER(SEARCH("GSHP",C112))),((V112*12)*((1/L112)-(1/N112))*INDEX(PMEHVAC[EFLHcool],MATCH(C112,PMEHVAC[Eff Desc 1],0)))+(IF(P112="HSPF",(V112*12),((V112*12)/3.412))*((1/R112)-(1/T112))*INDEX(PMEHVAC[EFLHheat],MATCH(C112,PMEHVAC[Eff Desc 1],0))),
"")))),0),"")</f>
        <v/>
      </c>
      <c r="AX112" s="922" t="str">
        <f>IF(OR(C112="",N112="",T112="",V112="",X112="",AA112="",AE112="",AC112=""),"",INDEX(PMEHVAC[End Use Category],MATCH(C112,PMEHVAC[Eff Desc 1],0)))</f>
        <v/>
      </c>
    </row>
    <row r="113" spans="2:54" ht="15.95" hidden="1" customHeight="1">
      <c r="B113" s="923"/>
      <c r="C113" s="550"/>
      <c r="D113" s="551"/>
      <c r="E113" s="551"/>
      <c r="F113" s="551"/>
      <c r="G113" s="551"/>
      <c r="H113" s="551"/>
      <c r="I113" s="551"/>
      <c r="J113" s="949"/>
      <c r="K113" s="950"/>
      <c r="L113" s="949"/>
      <c r="M113" s="950"/>
      <c r="N113" s="848"/>
      <c r="O113" s="849"/>
      <c r="P113" s="949"/>
      <c r="Q113" s="950"/>
      <c r="R113" s="949"/>
      <c r="S113" s="950"/>
      <c r="T113" s="963"/>
      <c r="U113" s="964"/>
      <c r="V113" s="848"/>
      <c r="W113" s="849"/>
      <c r="X113" s="835"/>
      <c r="Y113" s="836"/>
      <c r="Z113" s="837"/>
      <c r="AA113" s="946"/>
      <c r="AB113" s="939"/>
      <c r="AC113" s="939"/>
      <c r="AD113" s="940"/>
      <c r="AE113" s="943"/>
      <c r="AF113" s="943"/>
      <c r="AG113" s="943"/>
      <c r="AH113" s="944"/>
      <c r="AI113" s="919"/>
      <c r="AJ113" s="865"/>
      <c r="AK113" s="906"/>
      <c r="AL113" s="907"/>
      <c r="AM113" s="907"/>
      <c r="AN113" s="936"/>
      <c r="AO113" s="919"/>
      <c r="AP113" s="926"/>
      <c r="AQ113" s="865"/>
      <c r="AU113" s="809"/>
      <c r="AV113" s="901"/>
      <c r="AW113" s="901"/>
      <c r="AX113" s="901"/>
    </row>
    <row r="114" spans="2:54" ht="15.95" hidden="1" customHeight="1">
      <c r="B114" s="923">
        <v>50</v>
      </c>
      <c r="C114" s="548"/>
      <c r="D114" s="549"/>
      <c r="E114" s="549"/>
      <c r="F114" s="549"/>
      <c r="G114" s="549"/>
      <c r="H114" s="549"/>
      <c r="I114" s="549"/>
      <c r="J114" s="947" t="str">
        <f>IF(C114="","",INDEX(PMEHVAC[Base Desc 1],MATCH(C114,PMEHVAC[Eff Desc 1],0)))</f>
        <v/>
      </c>
      <c r="K114" s="948"/>
      <c r="L114" s="947" t="str">
        <f>IF(C114="","",INDEX(PMEHVAC[Base Desc 2],MATCH(C114,PMEHVAC[Eff Desc 1],0)))</f>
        <v/>
      </c>
      <c r="M114" s="948"/>
      <c r="N114" s="846"/>
      <c r="O114" s="847"/>
      <c r="P114" s="947" t="str">
        <f>IF(C114="","",INDEX(PMEHVAC[Base Watt],MATCH(C114,PMEHVAC[Eff Desc 1],0)))</f>
        <v/>
      </c>
      <c r="Q114" s="948"/>
      <c r="R114" s="947" t="str">
        <f>IF(C114="","",INDEX(PMEHVAC[Base Watt 2],MATCH(C114,PMEHVAC[Eff Desc 1],0)))</f>
        <v/>
      </c>
      <c r="S114" s="948"/>
      <c r="T114" s="961"/>
      <c r="U114" s="962"/>
      <c r="V114" s="846"/>
      <c r="W114" s="847"/>
      <c r="X114" s="832"/>
      <c r="Y114" s="833"/>
      <c r="Z114" s="834"/>
      <c r="AA114" s="945"/>
      <c r="AB114" s="937"/>
      <c r="AC114" s="937"/>
      <c r="AD114" s="938"/>
      <c r="AE114" s="941" t="str">
        <f>IF(C114="","",INDEX(PMEHVAC[Unit of Measure],MATCH(C114,PMEHVAC[Eff Desc 1],0)))</f>
        <v/>
      </c>
      <c r="AF114" s="941"/>
      <c r="AG114" s="941"/>
      <c r="AH114" s="942"/>
      <c r="AI114" s="917" t="str">
        <f>IF(OR(C114="",N114="",T114="",V114="",X114="",AA114="",AC114=""),"",INDEX(PMEHVAC[Inc Rate Unit],MATCH(C114,PMEHVAC[Eff Desc 1],0)))</f>
        <v/>
      </c>
      <c r="AJ114" s="918"/>
      <c r="AK114" s="933" t="str">
        <f t="shared" ref="AK114" si="159">IFERROR(IF(OR(C114="",N114="",T114="",V114="",X114="",AA114="",AC114="",),"",AW114),"")</f>
        <v/>
      </c>
      <c r="AL114" s="934"/>
      <c r="AM114" s="934"/>
      <c r="AN114" s="935"/>
      <c r="AO114" s="924" t="str">
        <f t="shared" ref="AO114" si="160">IFERROR(IF(OR(C114="",N114="",V114="",X114="",T114="",AA114="",AC114=""),"",IF(BC114&lt;&gt;"",BC114,ROUND(IF(AK114&lt;=0,0,IF(AE114="unit",MIN(AU114*1,AI114),MIN(AU114*1,(N114-L114)*V114*AI114))),2))),"")</f>
        <v/>
      </c>
      <c r="AP114" s="925"/>
      <c r="AQ114" s="863"/>
      <c r="AU114" s="808" t="str">
        <f t="shared" ref="AU114" si="161">IF(OR(C114="",N114="",T114="",V114="",X114="",AA114="",AE114="",AC114=""),"",IF(AK114="","",ROUND((AA114+AC114),2)))</f>
        <v/>
      </c>
      <c r="AV114" s="922" t="str">
        <f>IF(OR(C114="",N114="",T114="",V114="",X114="",AA114="",AC114="",AE114=""),"",ROUND(IF(ISNUMBER(SEARCH("Unit",AE114)),(V114/12)*(1/((-0.02*N114^2)+(1.12*N114)))*0.177*0.08*0.457,
(V114*12)*((1/L114)-(1/N114))*INDEX(ENDUSEALL[Lighting Coincidence Factor],MATCH(AX114,ENDUSEALL[End Use],0))),3))</f>
        <v/>
      </c>
      <c r="AW114" s="900" t="str">
        <f>IFERROR(ROUND(
IF(ISNUMBER(SEARCH("DX",C114)),(V114*12)*((1/L114)-(1/N114))*INDEX(PMEHVAC[EFLHcool],MATCH(C114,PMEHVAC[Eff Desc 1],0)),
IF(ISNUMBER(SEARCH("PTAC",C114)),(V114*12)*((1/L114)-(1/N114))*INDEX(PMEHVAC[EFLHcool],MATCH(C114,PMEHVAC[Eff Desc 1],0)),
IF(ISNUMBER(SEARCH("PTHP",C114)),((V114*12)*((1/L114)-(1/N114))*INDEX(PMEHVAC[EFLHcool],MATCH(C114,PMEHVAC[Eff Desc 1],0)))+(((V114*12)/3.412)*((1/R114)-(1/T114))*INDEX(PMEHVAC[EFLHheat],MATCH(C114,PMEHVAC[Eff Desc 1],0))),
IF(OR(ISNUMBER(SEARCH("ASHP",C114)),ISNUMBER(SEARCH("WSHP",C114)),ISNUMBER(SEARCH("Water Source",C114)),ISNUMBER(SEARCH("GSHP",C114))),((V114*12)*((1/L114)-(1/N114))*INDEX(PMEHVAC[EFLHcool],MATCH(C114,PMEHVAC[Eff Desc 1],0)))+(IF(P114="HSPF",(V114*12),((V114*12)/3.412))*((1/R114)-(1/T114))*INDEX(PMEHVAC[EFLHheat],MATCH(C114,PMEHVAC[Eff Desc 1],0))),
"")))),0),"")</f>
        <v/>
      </c>
      <c r="AX114" s="922" t="str">
        <f>IF(OR(C114="",N114="",T114="",V114="",X114="",AA114="",AE114="",AC114=""),"",INDEX(PMEHVAC[End Use Category],MATCH(C114,PMEHVAC[Eff Desc 1],0)))</f>
        <v/>
      </c>
      <c r="AY114" s="552"/>
      <c r="AZ114" s="552"/>
      <c r="BA114" s="552"/>
      <c r="BB114" s="552"/>
    </row>
    <row r="115" spans="2:54" ht="15.95" hidden="1" customHeight="1">
      <c r="B115" s="923"/>
      <c r="C115" s="550"/>
      <c r="D115" s="551"/>
      <c r="E115" s="551"/>
      <c r="F115" s="551"/>
      <c r="G115" s="551"/>
      <c r="H115" s="551"/>
      <c r="I115" s="551"/>
      <c r="J115" s="949"/>
      <c r="K115" s="950"/>
      <c r="L115" s="949"/>
      <c r="M115" s="950"/>
      <c r="N115" s="848"/>
      <c r="O115" s="849"/>
      <c r="P115" s="949"/>
      <c r="Q115" s="950"/>
      <c r="R115" s="949"/>
      <c r="S115" s="950"/>
      <c r="T115" s="963"/>
      <c r="U115" s="964"/>
      <c r="V115" s="848"/>
      <c r="W115" s="849"/>
      <c r="X115" s="835"/>
      <c r="Y115" s="836"/>
      <c r="Z115" s="837"/>
      <c r="AA115" s="946"/>
      <c r="AB115" s="939"/>
      <c r="AC115" s="939"/>
      <c r="AD115" s="940"/>
      <c r="AE115" s="943"/>
      <c r="AF115" s="943"/>
      <c r="AG115" s="943"/>
      <c r="AH115" s="944"/>
      <c r="AI115" s="919"/>
      <c r="AJ115" s="865"/>
      <c r="AK115" s="906"/>
      <c r="AL115" s="907"/>
      <c r="AM115" s="907"/>
      <c r="AN115" s="936"/>
      <c r="AO115" s="919"/>
      <c r="AP115" s="926"/>
      <c r="AQ115" s="865"/>
      <c r="AU115" s="809"/>
      <c r="AV115" s="901"/>
      <c r="AW115" s="901"/>
      <c r="AX115" s="901"/>
      <c r="AY115" s="553"/>
      <c r="AZ115" s="553"/>
      <c r="BA115" s="553"/>
      <c r="BB115" s="553"/>
    </row>
    <row r="116" spans="2:54" ht="15.95" hidden="1" customHeight="1">
      <c r="B116" s="923">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54" ht="15.95" hidden="1" customHeight="1">
      <c r="B117" s="923"/>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54" ht="15.95" hidden="1" customHeight="1">
      <c r="B118" s="923">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54" ht="15.95" hidden="1" customHeight="1">
      <c r="B119" s="923"/>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54" ht="15.95" hidden="1" customHeight="1">
      <c r="B120" s="923">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54" ht="15.95" hidden="1" customHeight="1">
      <c r="B121" s="923"/>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54" ht="15.95" hidden="1" customHeight="1">
      <c r="B122" s="923">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54" ht="15.95" hidden="1" customHeight="1">
      <c r="B123" s="923"/>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54" ht="15.95" hidden="1" customHeight="1">
      <c r="B124" s="923">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54" ht="15.95" hidden="1" customHeight="1">
      <c r="B125" s="923"/>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54" ht="15.95" hidden="1" customHeight="1">
      <c r="B126" s="923">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54" ht="15.95" hidden="1" customHeight="1">
      <c r="B127" s="923"/>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54" ht="15.95" hidden="1" customHeight="1">
      <c r="B128" s="923">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23"/>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23">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23"/>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23">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23"/>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23">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23"/>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23">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23"/>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23">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23"/>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23">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23"/>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23">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23"/>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75" hidden="1" customHeight="1">
      <c r="B144" s="923">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idden="1">
      <c r="B145" s="923"/>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23">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23"/>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23">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23"/>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23">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23"/>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23">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23"/>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23">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23"/>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23">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23"/>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23">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23"/>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23">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23"/>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23">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23"/>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23">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23"/>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23">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23"/>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23">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23"/>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23">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23"/>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23">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23"/>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23">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23"/>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23">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23"/>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23">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23"/>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23">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23"/>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23">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23"/>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23">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23"/>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23">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23"/>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23">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23"/>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23">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23"/>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23">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8" ht="15.95" hidden="1" customHeight="1">
      <c r="B193" s="923"/>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8" ht="15.95" hidden="1" customHeight="1">
      <c r="B194" s="923">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8" ht="15.95" hidden="1" customHeight="1">
      <c r="B195" s="923"/>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8" ht="15.95" hidden="1" customHeight="1">
      <c r="B196" s="923">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8" ht="15.95" hidden="1" customHeight="1">
      <c r="B197" s="923"/>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8" ht="15.95" hidden="1" customHeight="1">
      <c r="B198" s="923">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8" ht="15.95" hidden="1" customHeight="1">
      <c r="B199" s="923"/>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8" ht="15.95" customHeight="1">
      <c r="B200" s="272" t="str">
        <f>FOOT1</f>
        <v>NIPSCO Energy Efficiency Program</v>
      </c>
      <c r="C200" s="272"/>
      <c r="D200" s="272"/>
      <c r="E200" s="272"/>
      <c r="F200" s="272"/>
      <c r="G200" s="272"/>
      <c r="H200" s="272"/>
      <c r="I200" s="272"/>
      <c r="J200" s="272"/>
      <c r="K200" s="272"/>
      <c r="L200" s="272"/>
      <c r="M200" s="656" t="str">
        <f>FOOT4</f>
        <v>NIPSCO’s energy efficiency programs are administered by TRC, a third‐party implementation specialist that helps homes and businesses save energy.</v>
      </c>
      <c r="N200" s="656"/>
      <c r="O200" s="656"/>
      <c r="P200" s="656"/>
      <c r="Q200" s="656"/>
      <c r="R200" s="656"/>
      <c r="S200" s="656"/>
      <c r="T200" s="656"/>
      <c r="U200" s="656"/>
      <c r="V200" s="656"/>
      <c r="W200" s="656"/>
      <c r="X200" s="656"/>
      <c r="Y200" s="656"/>
      <c r="Z200" s="656"/>
      <c r="AA200" s="656"/>
      <c r="AB200" s="656"/>
      <c r="AC200" s="656"/>
      <c r="AD200" s="656"/>
      <c r="AE200" s="656"/>
      <c r="AF200" s="656"/>
      <c r="AG200" s="656"/>
      <c r="AH200" s="272"/>
      <c r="AI200" s="272"/>
      <c r="AJ200" s="272"/>
      <c r="AK200" s="272"/>
      <c r="AL200" s="272"/>
      <c r="AM200" s="272"/>
      <c r="AN200" s="272"/>
      <c r="AO200" s="272"/>
      <c r="AP200" s="272"/>
      <c r="AQ200" s="272"/>
      <c r="AR200" s="273" t="str">
        <f>FOOTDISCLAIM</f>
        <v/>
      </c>
      <c r="AU200" s="808">
        <f>SUM(AU16:AU199)</f>
        <v>0</v>
      </c>
      <c r="AV200" s="873">
        <f>SUM(AV16:AV199)</f>
        <v>0</v>
      </c>
    </row>
    <row r="201" spans="2:48" ht="15.95" customHeight="1">
      <c r="B201" s="272" t="str">
        <f>FOOT2</f>
        <v>Toll-Free 800-299-2501</v>
      </c>
      <c r="C201" s="272"/>
      <c r="D201" s="272"/>
      <c r="E201" s="272"/>
      <c r="F201" s="272"/>
      <c r="G201" s="272"/>
      <c r="H201" s="272"/>
      <c r="I201" s="272"/>
      <c r="J201" s="272"/>
      <c r="K201" s="272"/>
      <c r="L201" s="272"/>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272"/>
      <c r="AI201" s="272"/>
      <c r="AJ201" s="272"/>
      <c r="AK201" s="272"/>
      <c r="AL201" s="272"/>
      <c r="AM201" s="272"/>
      <c r="AN201" s="272"/>
      <c r="AO201" s="272"/>
      <c r="AP201" s="272"/>
      <c r="AQ201" s="272"/>
      <c r="AR201" s="273" t="str">
        <f>FOOT5</f>
        <v/>
      </c>
      <c r="AU201" s="809"/>
      <c r="AV201" s="874"/>
    </row>
    <row r="202" spans="2:48">
      <c r="B202" s="281" t="s">
        <v>1551</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v3.7.0</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48"/>
  </sheetData>
  <sheetProtection algorithmName="SHA-512" hashValue="zfwOyqoFBhC13KE3Tl94wTxGazje9MHqCV6kU7oBSpQfFgD65sE36QTxk1OVREmcHy+CCVEjaWIW9EM4dSqPyA==" saltValue="KSrXvmO0FfjRrHpQX3df3A==" spinCount="100000" sheet="1" objects="1" scenarios="1" selectLockedCells="1"/>
  <mergeCells count="1110">
    <mergeCell ref="AU114:AU115"/>
    <mergeCell ref="AV114:AV115"/>
    <mergeCell ref="AW108:AW109"/>
    <mergeCell ref="AX108:AX109"/>
    <mergeCell ref="AW110:AW111"/>
    <mergeCell ref="AX110:AX111"/>
    <mergeCell ref="AW112:AW113"/>
    <mergeCell ref="AX112:AX113"/>
    <mergeCell ref="AW114:AW115"/>
    <mergeCell ref="AX114:AX115"/>
    <mergeCell ref="AU94:AU95"/>
    <mergeCell ref="AV94:AV95"/>
    <mergeCell ref="AU96:AU97"/>
    <mergeCell ref="AV96:AV97"/>
    <mergeCell ref="AU98:AU99"/>
    <mergeCell ref="AV98:AV99"/>
    <mergeCell ref="AU100:AU101"/>
    <mergeCell ref="AV100:AV101"/>
    <mergeCell ref="AU102:AU103"/>
    <mergeCell ref="AV102:AV103"/>
    <mergeCell ref="AU104:AU105"/>
    <mergeCell ref="AV104:AV105"/>
    <mergeCell ref="AU106:AU107"/>
    <mergeCell ref="AV106:AV107"/>
    <mergeCell ref="AU108:AU109"/>
    <mergeCell ref="AV108:AV109"/>
    <mergeCell ref="AU110:AU111"/>
    <mergeCell ref="AW104:AW105"/>
    <mergeCell ref="AX104:AX105"/>
    <mergeCell ref="AW106:AW107"/>
    <mergeCell ref="AX106:AX107"/>
    <mergeCell ref="AW88:AW89"/>
    <mergeCell ref="AX88:AX89"/>
    <mergeCell ref="AW90:AW91"/>
    <mergeCell ref="AX90:AX91"/>
    <mergeCell ref="AW92:AW93"/>
    <mergeCell ref="AX92:AX93"/>
    <mergeCell ref="AW94:AW95"/>
    <mergeCell ref="AX94:AX95"/>
    <mergeCell ref="AY30:AY31"/>
    <mergeCell ref="AY32:AY33"/>
    <mergeCell ref="AY34:AY35"/>
    <mergeCell ref="AU112:AU113"/>
    <mergeCell ref="AV112:AV113"/>
    <mergeCell ref="AW98:AW99"/>
    <mergeCell ref="AX98:AX99"/>
    <mergeCell ref="AV76:AV77"/>
    <mergeCell ref="AU78:AU79"/>
    <mergeCell ref="AV78:AV79"/>
    <mergeCell ref="AU80:AU81"/>
    <mergeCell ref="AV80:AV81"/>
    <mergeCell ref="AU82:AU83"/>
    <mergeCell ref="AV82:AV83"/>
    <mergeCell ref="AU84:AU85"/>
    <mergeCell ref="AV84:AV85"/>
    <mergeCell ref="AU86:AU87"/>
    <mergeCell ref="AV86:AV87"/>
    <mergeCell ref="AU88:AU89"/>
    <mergeCell ref="AV88:AV89"/>
    <mergeCell ref="AU90:AU91"/>
    <mergeCell ref="AV90:AV91"/>
    <mergeCell ref="AU92:AU93"/>
    <mergeCell ref="AV92:AV93"/>
    <mergeCell ref="AV46:AV47"/>
    <mergeCell ref="AU48:AU49"/>
    <mergeCell ref="AV48:AV49"/>
    <mergeCell ref="AU50:AU51"/>
    <mergeCell ref="AV50:AV51"/>
    <mergeCell ref="AU52:AU53"/>
    <mergeCell ref="AV52:AV53"/>
    <mergeCell ref="AU54:AU55"/>
    <mergeCell ref="AV54:AV55"/>
    <mergeCell ref="AU56:AU57"/>
    <mergeCell ref="AV56:AV57"/>
    <mergeCell ref="AU58:AU59"/>
    <mergeCell ref="AV58:AV59"/>
    <mergeCell ref="AU60:AU61"/>
    <mergeCell ref="AV60:AV61"/>
    <mergeCell ref="AU62:AU63"/>
    <mergeCell ref="AV62:AV63"/>
    <mergeCell ref="P18:Q19"/>
    <mergeCell ref="P20:Q21"/>
    <mergeCell ref="P22:Q23"/>
    <mergeCell ref="P24:Q25"/>
    <mergeCell ref="P26:Q27"/>
    <mergeCell ref="AU46:AU47"/>
    <mergeCell ref="AU42:AU43"/>
    <mergeCell ref="T42:U43"/>
    <mergeCell ref="V42:W43"/>
    <mergeCell ref="AI42:AJ43"/>
    <mergeCell ref="AI24:AJ25"/>
    <mergeCell ref="T30:U31"/>
    <mergeCell ref="V30:W31"/>
    <mergeCell ref="AI30:AJ31"/>
    <mergeCell ref="T28:U29"/>
    <mergeCell ref="AE32:AH33"/>
    <mergeCell ref="T34:U35"/>
    <mergeCell ref="V34:W35"/>
    <mergeCell ref="AI34:AJ35"/>
    <mergeCell ref="X34:Z35"/>
    <mergeCell ref="AA34:AB35"/>
    <mergeCell ref="AC34:AD35"/>
    <mergeCell ref="AE34:AH35"/>
    <mergeCell ref="T44:U45"/>
    <mergeCell ref="V44:W45"/>
    <mergeCell ref="AI44:AJ45"/>
    <mergeCell ref="AI22:AJ23"/>
    <mergeCell ref="AI32:AJ33"/>
    <mergeCell ref="X32:Z33"/>
    <mergeCell ref="AA32:AB33"/>
    <mergeCell ref="AC32:AD33"/>
    <mergeCell ref="R42:S43"/>
    <mergeCell ref="C16:I17"/>
    <mergeCell ref="J16:K17"/>
    <mergeCell ref="T18:U19"/>
    <mergeCell ref="V18:W19"/>
    <mergeCell ref="AI18:AJ19"/>
    <mergeCell ref="V20:W21"/>
    <mergeCell ref="AI20:AJ21"/>
    <mergeCell ref="AC16:AD17"/>
    <mergeCell ref="AQ1:AR1"/>
    <mergeCell ref="AQ2:AR3"/>
    <mergeCell ref="R9:AC10"/>
    <mergeCell ref="R12:U13"/>
    <mergeCell ref="V12:Y13"/>
    <mergeCell ref="Z12:AC13"/>
    <mergeCell ref="AH1:AK1"/>
    <mergeCell ref="AL1:AP1"/>
    <mergeCell ref="AH2:AK3"/>
    <mergeCell ref="AL2:AP3"/>
    <mergeCell ref="N18:O19"/>
    <mergeCell ref="N20:O21"/>
    <mergeCell ref="AO14:AQ15"/>
    <mergeCell ref="AE16:AH17"/>
    <mergeCell ref="AK16:AN17"/>
    <mergeCell ref="AO16:AQ17"/>
    <mergeCell ref="L16:M17"/>
    <mergeCell ref="N16:O17"/>
    <mergeCell ref="P16:Q17"/>
    <mergeCell ref="R16:S17"/>
    <mergeCell ref="AC15:AD15"/>
    <mergeCell ref="X14:Z15"/>
    <mergeCell ref="X16:Z17"/>
    <mergeCell ref="AA14:AD14"/>
    <mergeCell ref="L40:M41"/>
    <mergeCell ref="N40:O41"/>
    <mergeCell ref="P40:Q41"/>
    <mergeCell ref="R40:S41"/>
    <mergeCell ref="AV42:AV43"/>
    <mergeCell ref="AU44:AU45"/>
    <mergeCell ref="AV44:AV45"/>
    <mergeCell ref="AU14:AU15"/>
    <mergeCell ref="AV14:AV15"/>
    <mergeCell ref="AU16:AU17"/>
    <mergeCell ref="AV16:AV17"/>
    <mergeCell ref="AU18:AU19"/>
    <mergeCell ref="AV18:AV19"/>
    <mergeCell ref="AU20:AU21"/>
    <mergeCell ref="AV20:AV21"/>
    <mergeCell ref="AU22:AU23"/>
    <mergeCell ref="AV22:AV23"/>
    <mergeCell ref="AU24:AU25"/>
    <mergeCell ref="AV24:AV25"/>
    <mergeCell ref="AU26:AU27"/>
    <mergeCell ref="AV26:AV27"/>
    <mergeCell ref="AU28:AU29"/>
    <mergeCell ref="AV28:AV29"/>
    <mergeCell ref="AU30:AU31"/>
    <mergeCell ref="AU36:AU37"/>
    <mergeCell ref="AV36:AV37"/>
    <mergeCell ref="AU38:AU39"/>
    <mergeCell ref="AV38:AV39"/>
    <mergeCell ref="AU40:AU41"/>
    <mergeCell ref="AV40:AV41"/>
    <mergeCell ref="T22:U23"/>
    <mergeCell ref="V22:W23"/>
    <mergeCell ref="B176:B177"/>
    <mergeCell ref="B178:B179"/>
    <mergeCell ref="B180:B181"/>
    <mergeCell ref="M200:AG201"/>
    <mergeCell ref="B198:B199"/>
    <mergeCell ref="B186:B187"/>
    <mergeCell ref="B188:B189"/>
    <mergeCell ref="B190:B191"/>
    <mergeCell ref="B192:B193"/>
    <mergeCell ref="B194:B195"/>
    <mergeCell ref="B196:B197"/>
    <mergeCell ref="B184:B185"/>
    <mergeCell ref="V28:W29"/>
    <mergeCell ref="AI28:AJ29"/>
    <mergeCell ref="X28:Z29"/>
    <mergeCell ref="X30:Z31"/>
    <mergeCell ref="AA28:AB29"/>
    <mergeCell ref="AA30:AB31"/>
    <mergeCell ref="AC28:AD29"/>
    <mergeCell ref="AC30:AD31"/>
    <mergeCell ref="AE28:AH29"/>
    <mergeCell ref="AE30:AH31"/>
    <mergeCell ref="T36:U37"/>
    <mergeCell ref="V36:W37"/>
    <mergeCell ref="AI36:AJ37"/>
    <mergeCell ref="T38:U39"/>
    <mergeCell ref="V38:W39"/>
    <mergeCell ref="AI38:AJ39"/>
    <mergeCell ref="R38:S39"/>
    <mergeCell ref="T40:U41"/>
    <mergeCell ref="V40:W41"/>
    <mergeCell ref="AI40:AJ4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62:B163"/>
    <mergeCell ref="B164:B165"/>
    <mergeCell ref="B166:B167"/>
    <mergeCell ref="B168:B169"/>
    <mergeCell ref="B170:B171"/>
    <mergeCell ref="B172:B173"/>
    <mergeCell ref="B174:B175"/>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AU200:AU201"/>
    <mergeCell ref="AV200:AV201"/>
    <mergeCell ref="B16:B17"/>
    <mergeCell ref="R11:U11"/>
    <mergeCell ref="V11:Y11"/>
    <mergeCell ref="Z11:AC11"/>
    <mergeCell ref="V14:W15"/>
    <mergeCell ref="T16:U17"/>
    <mergeCell ref="V16:W17"/>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AV30:AV31"/>
    <mergeCell ref="AU32:AU33"/>
    <mergeCell ref="AV32:AV33"/>
    <mergeCell ref="AU34:AU35"/>
    <mergeCell ref="AV34:AV35"/>
    <mergeCell ref="BC14:BC15"/>
    <mergeCell ref="BC16:BC17"/>
    <mergeCell ref="BC18:BC19"/>
    <mergeCell ref="BC20:BC21"/>
    <mergeCell ref="BC22:BC23"/>
    <mergeCell ref="BC24:BC25"/>
    <mergeCell ref="BC26:BC27"/>
    <mergeCell ref="BC28:BC29"/>
    <mergeCell ref="BC30:BC31"/>
    <mergeCell ref="AX14:AX15"/>
    <mergeCell ref="AX16:AX17"/>
    <mergeCell ref="AX18:AX19"/>
    <mergeCell ref="AX20:AX21"/>
    <mergeCell ref="AX22:AX23"/>
    <mergeCell ref="AX24:AX25"/>
    <mergeCell ref="AX26:AX27"/>
    <mergeCell ref="AX28:AX29"/>
    <mergeCell ref="AY14:AY15"/>
    <mergeCell ref="AY16:AY17"/>
    <mergeCell ref="AY18:AY19"/>
    <mergeCell ref="AY20:AY21"/>
    <mergeCell ref="AY22:AY23"/>
    <mergeCell ref="AY24:AY25"/>
    <mergeCell ref="AY26:AY27"/>
    <mergeCell ref="AY28:AY29"/>
    <mergeCell ref="T54:U55"/>
    <mergeCell ref="V54:W55"/>
    <mergeCell ref="AI54:AJ55"/>
    <mergeCell ref="T52:U53"/>
    <mergeCell ref="V52:W53"/>
    <mergeCell ref="AI52:AJ53"/>
    <mergeCell ref="C52:I53"/>
    <mergeCell ref="C54:I55"/>
    <mergeCell ref="T50:U51"/>
    <mergeCell ref="V50:W51"/>
    <mergeCell ref="AI50:AJ51"/>
    <mergeCell ref="T48:U49"/>
    <mergeCell ref="V48:W49"/>
    <mergeCell ref="AI48:AJ49"/>
    <mergeCell ref="L48:M49"/>
    <mergeCell ref="N48:O49"/>
    <mergeCell ref="T46:U47"/>
    <mergeCell ref="V46:W47"/>
    <mergeCell ref="AI46:AJ47"/>
    <mergeCell ref="J52:K53"/>
    <mergeCell ref="J54:K55"/>
    <mergeCell ref="L52:M53"/>
    <mergeCell ref="N52:O53"/>
    <mergeCell ref="P52:Q53"/>
    <mergeCell ref="R52:S53"/>
    <mergeCell ref="L46:M47"/>
    <mergeCell ref="N46:O47"/>
    <mergeCell ref="P46:Q47"/>
    <mergeCell ref="R46:S47"/>
    <mergeCell ref="AA54:AB55"/>
    <mergeCell ref="AC54:AD55"/>
    <mergeCell ref="AE54:AH55"/>
    <mergeCell ref="L44:M45"/>
    <mergeCell ref="N44:O45"/>
    <mergeCell ref="P44:Q45"/>
    <mergeCell ref="R44:S45"/>
    <mergeCell ref="T64:U65"/>
    <mergeCell ref="V64:W65"/>
    <mergeCell ref="AI64:AJ65"/>
    <mergeCell ref="C64:I65"/>
    <mergeCell ref="C66:I67"/>
    <mergeCell ref="T62:U63"/>
    <mergeCell ref="V62:W63"/>
    <mergeCell ref="AI62:AJ63"/>
    <mergeCell ref="T60:U61"/>
    <mergeCell ref="V60:W61"/>
    <mergeCell ref="AI60:AJ61"/>
    <mergeCell ref="C60:I61"/>
    <mergeCell ref="C62:I63"/>
    <mergeCell ref="T58:U59"/>
    <mergeCell ref="V58:W59"/>
    <mergeCell ref="AI58:AJ59"/>
    <mergeCell ref="T56:U57"/>
    <mergeCell ref="V56:W57"/>
    <mergeCell ref="AI56:AJ57"/>
    <mergeCell ref="C56:I57"/>
    <mergeCell ref="C58:I59"/>
    <mergeCell ref="J56:K57"/>
    <mergeCell ref="J58:K59"/>
    <mergeCell ref="J60:K61"/>
    <mergeCell ref="J62:K63"/>
    <mergeCell ref="J64:K65"/>
    <mergeCell ref="L66:M67"/>
    <mergeCell ref="N66:O67"/>
    <mergeCell ref="T74:U75"/>
    <mergeCell ref="V74:W75"/>
    <mergeCell ref="AI74:AJ75"/>
    <mergeCell ref="T72:U73"/>
    <mergeCell ref="V72:W73"/>
    <mergeCell ref="AI72:AJ73"/>
    <mergeCell ref="C72:I73"/>
    <mergeCell ref="C74:I75"/>
    <mergeCell ref="T70:U71"/>
    <mergeCell ref="V70:W71"/>
    <mergeCell ref="AI70:AJ71"/>
    <mergeCell ref="T68:U69"/>
    <mergeCell ref="V68:W69"/>
    <mergeCell ref="AI68:AJ69"/>
    <mergeCell ref="C68:I69"/>
    <mergeCell ref="C70:I71"/>
    <mergeCell ref="T66:U67"/>
    <mergeCell ref="V66:W67"/>
    <mergeCell ref="AI66:AJ67"/>
    <mergeCell ref="J66:K67"/>
    <mergeCell ref="J68:K69"/>
    <mergeCell ref="J70:K71"/>
    <mergeCell ref="J72:K73"/>
    <mergeCell ref="J74:K75"/>
    <mergeCell ref="L72:M73"/>
    <mergeCell ref="N72:O73"/>
    <mergeCell ref="P72:Q73"/>
    <mergeCell ref="R72:S73"/>
    <mergeCell ref="L74:M75"/>
    <mergeCell ref="N74:O75"/>
    <mergeCell ref="AA66:AB67"/>
    <mergeCell ref="AC66:AD67"/>
    <mergeCell ref="T84:U85"/>
    <mergeCell ref="V84:W85"/>
    <mergeCell ref="AI84:AJ85"/>
    <mergeCell ref="C84:I85"/>
    <mergeCell ref="C86:I87"/>
    <mergeCell ref="T82:U83"/>
    <mergeCell ref="V82:W83"/>
    <mergeCell ref="AI82:AJ83"/>
    <mergeCell ref="T80:U81"/>
    <mergeCell ref="V80:W81"/>
    <mergeCell ref="AI80:AJ81"/>
    <mergeCell ref="C80:I81"/>
    <mergeCell ref="C82:I83"/>
    <mergeCell ref="T78:U79"/>
    <mergeCell ref="V78:W79"/>
    <mergeCell ref="AI78:AJ79"/>
    <mergeCell ref="T76:U77"/>
    <mergeCell ref="V76:W77"/>
    <mergeCell ref="AI76:AJ77"/>
    <mergeCell ref="C76:I77"/>
    <mergeCell ref="C78:I79"/>
    <mergeCell ref="J76:K77"/>
    <mergeCell ref="J78:K79"/>
    <mergeCell ref="J80:K81"/>
    <mergeCell ref="J82:K83"/>
    <mergeCell ref="J84:K85"/>
    <mergeCell ref="L76:M77"/>
    <mergeCell ref="N76:O77"/>
    <mergeCell ref="P76:Q77"/>
    <mergeCell ref="R76:S77"/>
    <mergeCell ref="L82:M83"/>
    <mergeCell ref="N82:O83"/>
    <mergeCell ref="T94:U95"/>
    <mergeCell ref="V94:W95"/>
    <mergeCell ref="AI94:AJ95"/>
    <mergeCell ref="T92:U93"/>
    <mergeCell ref="V92:W93"/>
    <mergeCell ref="AI92:AJ93"/>
    <mergeCell ref="C92:I93"/>
    <mergeCell ref="C94:I95"/>
    <mergeCell ref="T90:U91"/>
    <mergeCell ref="V90:W91"/>
    <mergeCell ref="AI90:AJ91"/>
    <mergeCell ref="T88:U89"/>
    <mergeCell ref="V88:W89"/>
    <mergeCell ref="AI88:AJ89"/>
    <mergeCell ref="C88:I89"/>
    <mergeCell ref="C90:I91"/>
    <mergeCell ref="T86:U87"/>
    <mergeCell ref="V86:W87"/>
    <mergeCell ref="AI86:AJ87"/>
    <mergeCell ref="J88:K89"/>
    <mergeCell ref="J90:K91"/>
    <mergeCell ref="J92:K93"/>
    <mergeCell ref="J94:K95"/>
    <mergeCell ref="J86:K87"/>
    <mergeCell ref="L90:M91"/>
    <mergeCell ref="N90:O91"/>
    <mergeCell ref="P90:Q91"/>
    <mergeCell ref="R90:S91"/>
    <mergeCell ref="L92:M93"/>
    <mergeCell ref="N92:O93"/>
    <mergeCell ref="P92:Q93"/>
    <mergeCell ref="R92:S93"/>
    <mergeCell ref="T104:U105"/>
    <mergeCell ref="V104:W105"/>
    <mergeCell ref="AI104:AJ105"/>
    <mergeCell ref="C104:I105"/>
    <mergeCell ref="J106:K107"/>
    <mergeCell ref="T102:U103"/>
    <mergeCell ref="V102:W103"/>
    <mergeCell ref="AI102:AJ103"/>
    <mergeCell ref="T100:U101"/>
    <mergeCell ref="V100:W101"/>
    <mergeCell ref="AI100:AJ101"/>
    <mergeCell ref="C100:I101"/>
    <mergeCell ref="C102:I103"/>
    <mergeCell ref="T98:U99"/>
    <mergeCell ref="V98:W99"/>
    <mergeCell ref="AI98:AJ99"/>
    <mergeCell ref="T96:U97"/>
    <mergeCell ref="V96:W97"/>
    <mergeCell ref="AI96:AJ97"/>
    <mergeCell ref="C96:I97"/>
    <mergeCell ref="C98:I99"/>
    <mergeCell ref="J96:K97"/>
    <mergeCell ref="J98:K99"/>
    <mergeCell ref="J100:K101"/>
    <mergeCell ref="J102:K103"/>
    <mergeCell ref="J104:K105"/>
    <mergeCell ref="P98:Q99"/>
    <mergeCell ref="R98:S99"/>
    <mergeCell ref="L100:M101"/>
    <mergeCell ref="N100:O101"/>
    <mergeCell ref="P100:Q101"/>
    <mergeCell ref="R100:S101"/>
    <mergeCell ref="T114:U115"/>
    <mergeCell ref="V114:W115"/>
    <mergeCell ref="AI114:AJ115"/>
    <mergeCell ref="T112:U113"/>
    <mergeCell ref="V112:W113"/>
    <mergeCell ref="AI112:AJ113"/>
    <mergeCell ref="J112:K113"/>
    <mergeCell ref="J114:K115"/>
    <mergeCell ref="T110:U111"/>
    <mergeCell ref="V110:W111"/>
    <mergeCell ref="AI110:AJ111"/>
    <mergeCell ref="T108:U109"/>
    <mergeCell ref="V108:W109"/>
    <mergeCell ref="AI108:AJ109"/>
    <mergeCell ref="J108:K109"/>
    <mergeCell ref="J110:K111"/>
    <mergeCell ref="T106:U107"/>
    <mergeCell ref="V106:W107"/>
    <mergeCell ref="AI106:AJ107"/>
    <mergeCell ref="AA106:AB107"/>
    <mergeCell ref="AC106:AD107"/>
    <mergeCell ref="AA108:AB109"/>
    <mergeCell ref="AC108:AD109"/>
    <mergeCell ref="AA110:AB111"/>
    <mergeCell ref="AC110:AD111"/>
    <mergeCell ref="AA112:AB113"/>
    <mergeCell ref="AC112:AD113"/>
    <mergeCell ref="AA114:AB115"/>
    <mergeCell ref="AC114:AD115"/>
    <mergeCell ref="N112:O113"/>
    <mergeCell ref="P112:Q113"/>
    <mergeCell ref="R112:S113"/>
    <mergeCell ref="AA15:AB15"/>
    <mergeCell ref="AA16:AB17"/>
    <mergeCell ref="AE14:AH15"/>
    <mergeCell ref="C14:I15"/>
    <mergeCell ref="J14:U14"/>
    <mergeCell ref="J15:K15"/>
    <mergeCell ref="L15:M15"/>
    <mergeCell ref="N15:O15"/>
    <mergeCell ref="P15:Q15"/>
    <mergeCell ref="R15:S15"/>
    <mergeCell ref="T15:U15"/>
    <mergeCell ref="AK24:AN25"/>
    <mergeCell ref="AK26:AN27"/>
    <mergeCell ref="AI26:AJ27"/>
    <mergeCell ref="AK14:AN15"/>
    <mergeCell ref="AW32:AW33"/>
    <mergeCell ref="AW34:AW35"/>
    <mergeCell ref="AW14:AW15"/>
    <mergeCell ref="AW16:AW17"/>
    <mergeCell ref="AW18:AW19"/>
    <mergeCell ref="AW20:AW21"/>
    <mergeCell ref="AW22:AW23"/>
    <mergeCell ref="AW24:AW25"/>
    <mergeCell ref="AW26:AW27"/>
    <mergeCell ref="AW28:AW29"/>
    <mergeCell ref="AW30:AW31"/>
    <mergeCell ref="AO18:AQ19"/>
    <mergeCell ref="AK28:AN29"/>
    <mergeCell ref="AK30:AN31"/>
    <mergeCell ref="AK32:AN33"/>
    <mergeCell ref="AK34:AN35"/>
    <mergeCell ref="AO28:AQ29"/>
    <mergeCell ref="AO30:AQ31"/>
    <mergeCell ref="AO32:AQ33"/>
    <mergeCell ref="AO34:AQ35"/>
    <mergeCell ref="AO20:AQ21"/>
    <mergeCell ref="AO22:AQ23"/>
    <mergeCell ref="AO24:AQ25"/>
    <mergeCell ref="AI16:AJ17"/>
    <mergeCell ref="AI14:AJ15"/>
    <mergeCell ref="AX30:AX31"/>
    <mergeCell ref="AX32:AX33"/>
    <mergeCell ref="AX34:AX35"/>
    <mergeCell ref="C18:I19"/>
    <mergeCell ref="C20:I21"/>
    <mergeCell ref="C22:I23"/>
    <mergeCell ref="C24:I25"/>
    <mergeCell ref="C26:I27"/>
    <mergeCell ref="C28:I29"/>
    <mergeCell ref="C30:I31"/>
    <mergeCell ref="C32:I33"/>
    <mergeCell ref="C34:I35"/>
    <mergeCell ref="J18:K19"/>
    <mergeCell ref="L18:M19"/>
    <mergeCell ref="L20:M21"/>
    <mergeCell ref="L22:M23"/>
    <mergeCell ref="L24:M25"/>
    <mergeCell ref="L26:M27"/>
    <mergeCell ref="J20:K21"/>
    <mergeCell ref="J22:K23"/>
    <mergeCell ref="J24:K25"/>
    <mergeCell ref="J26:K27"/>
    <mergeCell ref="T26:U27"/>
    <mergeCell ref="V26:W27"/>
    <mergeCell ref="AE18:AH19"/>
    <mergeCell ref="AE20:AH21"/>
    <mergeCell ref="AE22:AH23"/>
    <mergeCell ref="AE24:AH25"/>
    <mergeCell ref="AE26:AH27"/>
    <mergeCell ref="AK18:AN19"/>
    <mergeCell ref="AK20:AN21"/>
    <mergeCell ref="AK22:AN23"/>
    <mergeCell ref="R28:S29"/>
    <mergeCell ref="R30:S31"/>
    <mergeCell ref="R32:S33"/>
    <mergeCell ref="R34:S35"/>
    <mergeCell ref="AA18:AB19"/>
    <mergeCell ref="AA20:AB21"/>
    <mergeCell ref="AA22:AB23"/>
    <mergeCell ref="AA24:AB25"/>
    <mergeCell ref="AA26:AB27"/>
    <mergeCell ref="T32:U33"/>
    <mergeCell ref="V32:W33"/>
    <mergeCell ref="AC18:AD19"/>
    <mergeCell ref="AC20:AD21"/>
    <mergeCell ref="AC22:AD23"/>
    <mergeCell ref="AC24:AD25"/>
    <mergeCell ref="AC26:AD27"/>
    <mergeCell ref="R18:S19"/>
    <mergeCell ref="R20:S21"/>
    <mergeCell ref="R22:S23"/>
    <mergeCell ref="R24:S25"/>
    <mergeCell ref="R26:S27"/>
    <mergeCell ref="X18:Z19"/>
    <mergeCell ref="X20:Z21"/>
    <mergeCell ref="X22:Z23"/>
    <mergeCell ref="X24:Z25"/>
    <mergeCell ref="X26:Z27"/>
    <mergeCell ref="T24:U25"/>
    <mergeCell ref="V24:W25"/>
    <mergeCell ref="T20:U21"/>
    <mergeCell ref="P38:Q39"/>
    <mergeCell ref="J28:K29"/>
    <mergeCell ref="J30:K31"/>
    <mergeCell ref="J32:K33"/>
    <mergeCell ref="J34:K35"/>
    <mergeCell ref="L28:M29"/>
    <mergeCell ref="L30:M31"/>
    <mergeCell ref="L32:M33"/>
    <mergeCell ref="L34:M35"/>
    <mergeCell ref="N28:O29"/>
    <mergeCell ref="N30:O31"/>
    <mergeCell ref="N32:O33"/>
    <mergeCell ref="N34:O35"/>
    <mergeCell ref="P28:Q29"/>
    <mergeCell ref="P30:Q31"/>
    <mergeCell ref="P32:Q33"/>
    <mergeCell ref="P34:Q35"/>
    <mergeCell ref="X36:Z37"/>
    <mergeCell ref="X38:Z39"/>
    <mergeCell ref="N22:O23"/>
    <mergeCell ref="N24:O25"/>
    <mergeCell ref="N26:O27"/>
    <mergeCell ref="AO26:AQ27"/>
    <mergeCell ref="C36:I37"/>
    <mergeCell ref="C38:I39"/>
    <mergeCell ref="C40:I41"/>
    <mergeCell ref="C42:I43"/>
    <mergeCell ref="C44:I45"/>
    <mergeCell ref="C46:I47"/>
    <mergeCell ref="C48:I49"/>
    <mergeCell ref="C50:I51"/>
    <mergeCell ref="J36:K37"/>
    <mergeCell ref="J38:K39"/>
    <mergeCell ref="J40:K41"/>
    <mergeCell ref="J42:K43"/>
    <mergeCell ref="J44:K45"/>
    <mergeCell ref="J46:K47"/>
    <mergeCell ref="J48:K49"/>
    <mergeCell ref="J50:K51"/>
    <mergeCell ref="L36:M37"/>
    <mergeCell ref="N36:O37"/>
    <mergeCell ref="P36:Q37"/>
    <mergeCell ref="R36:S37"/>
    <mergeCell ref="L38:M39"/>
    <mergeCell ref="N38:O39"/>
    <mergeCell ref="P48:Q49"/>
    <mergeCell ref="R48:S49"/>
    <mergeCell ref="L50:M51"/>
    <mergeCell ref="N50:O51"/>
    <mergeCell ref="P50:Q51"/>
    <mergeCell ref="R50:S51"/>
    <mergeCell ref="L42:M43"/>
    <mergeCell ref="N42:O43"/>
    <mergeCell ref="P42:Q43"/>
    <mergeCell ref="P82:Q83"/>
    <mergeCell ref="R82:S83"/>
    <mergeCell ref="L60:M61"/>
    <mergeCell ref="N60:O61"/>
    <mergeCell ref="P60:Q61"/>
    <mergeCell ref="R60:S61"/>
    <mergeCell ref="L62:M63"/>
    <mergeCell ref="N62:O63"/>
    <mergeCell ref="P62:Q63"/>
    <mergeCell ref="R62:S63"/>
    <mergeCell ref="L64:M65"/>
    <mergeCell ref="N64:O65"/>
    <mergeCell ref="P64:Q65"/>
    <mergeCell ref="R64:S65"/>
    <mergeCell ref="L54:M55"/>
    <mergeCell ref="N54:O55"/>
    <mergeCell ref="P54:Q55"/>
    <mergeCell ref="R54:S55"/>
    <mergeCell ref="L56:M57"/>
    <mergeCell ref="N56:O57"/>
    <mergeCell ref="P56:Q57"/>
    <mergeCell ref="R56:S57"/>
    <mergeCell ref="L58:M59"/>
    <mergeCell ref="N58:O59"/>
    <mergeCell ref="P58:Q59"/>
    <mergeCell ref="R58:S59"/>
    <mergeCell ref="P74:Q75"/>
    <mergeCell ref="R74:S75"/>
    <mergeCell ref="P66:Q67"/>
    <mergeCell ref="R66:S67"/>
    <mergeCell ref="P96:Q97"/>
    <mergeCell ref="R96:S97"/>
    <mergeCell ref="L98:M99"/>
    <mergeCell ref="N98:O99"/>
    <mergeCell ref="L68:M69"/>
    <mergeCell ref="N68:O69"/>
    <mergeCell ref="P68:Q69"/>
    <mergeCell ref="R68:S69"/>
    <mergeCell ref="L70:M71"/>
    <mergeCell ref="N70:O71"/>
    <mergeCell ref="P70:Q71"/>
    <mergeCell ref="R70:S71"/>
    <mergeCell ref="L84:M85"/>
    <mergeCell ref="N84:O85"/>
    <mergeCell ref="P84:Q85"/>
    <mergeCell ref="R84:S85"/>
    <mergeCell ref="L86:M87"/>
    <mergeCell ref="N86:O87"/>
    <mergeCell ref="P86:Q87"/>
    <mergeCell ref="R86:S87"/>
    <mergeCell ref="L88:M89"/>
    <mergeCell ref="N88:O89"/>
    <mergeCell ref="P88:Q89"/>
    <mergeCell ref="R88:S89"/>
    <mergeCell ref="L78:M79"/>
    <mergeCell ref="N78:O79"/>
    <mergeCell ref="P78:Q79"/>
    <mergeCell ref="R78:S79"/>
    <mergeCell ref="L80:M81"/>
    <mergeCell ref="N80:O81"/>
    <mergeCell ref="P80:Q81"/>
    <mergeCell ref="R80:S81"/>
    <mergeCell ref="L114:M115"/>
    <mergeCell ref="N114:O115"/>
    <mergeCell ref="P114:Q115"/>
    <mergeCell ref="R114:S115"/>
    <mergeCell ref="X114:Z115"/>
    <mergeCell ref="L94:M95"/>
    <mergeCell ref="N94:O95"/>
    <mergeCell ref="P94:Q95"/>
    <mergeCell ref="R94:S95"/>
    <mergeCell ref="L108:M109"/>
    <mergeCell ref="N108:O109"/>
    <mergeCell ref="P108:Q109"/>
    <mergeCell ref="R108:S109"/>
    <mergeCell ref="L110:M111"/>
    <mergeCell ref="N110:O111"/>
    <mergeCell ref="P110:Q111"/>
    <mergeCell ref="R110:S111"/>
    <mergeCell ref="L112:M113"/>
    <mergeCell ref="L102:M103"/>
    <mergeCell ref="N102:O103"/>
    <mergeCell ref="P102:Q103"/>
    <mergeCell ref="R102:S103"/>
    <mergeCell ref="L104:M105"/>
    <mergeCell ref="N104:O105"/>
    <mergeCell ref="P104:Q105"/>
    <mergeCell ref="R104:S105"/>
    <mergeCell ref="L106:M107"/>
    <mergeCell ref="N106:O107"/>
    <mergeCell ref="P106:Q107"/>
    <mergeCell ref="R106:S107"/>
    <mergeCell ref="L96:M97"/>
    <mergeCell ref="N96:O97"/>
    <mergeCell ref="X40:Z41"/>
    <mergeCell ref="X42:Z43"/>
    <mergeCell ref="X44:Z45"/>
    <mergeCell ref="X46:Z47"/>
    <mergeCell ref="X48:Z49"/>
    <mergeCell ref="X50:Z51"/>
    <mergeCell ref="X52:Z53"/>
    <mergeCell ref="X54:Z55"/>
    <mergeCell ref="X56:Z57"/>
    <mergeCell ref="X58:Z59"/>
    <mergeCell ref="X60:Z61"/>
    <mergeCell ref="X62:Z63"/>
    <mergeCell ref="X64:Z65"/>
    <mergeCell ref="X66:Z67"/>
    <mergeCell ref="X68:Z69"/>
    <mergeCell ref="X70:Z71"/>
    <mergeCell ref="X112:Z113"/>
    <mergeCell ref="X72:Z73"/>
    <mergeCell ref="X74:Z75"/>
    <mergeCell ref="X110:Z111"/>
    <mergeCell ref="X76:Z77"/>
    <mergeCell ref="X78:Z79"/>
    <mergeCell ref="X80:Z81"/>
    <mergeCell ref="X82:Z83"/>
    <mergeCell ref="X84:Z85"/>
    <mergeCell ref="X86:Z87"/>
    <mergeCell ref="X88:Z89"/>
    <mergeCell ref="X90:Z91"/>
    <mergeCell ref="X92:Z93"/>
    <mergeCell ref="X94:Z95"/>
    <mergeCell ref="X96:Z97"/>
    <mergeCell ref="X98:Z99"/>
    <mergeCell ref="AA36:AB37"/>
    <mergeCell ref="AC36:AD37"/>
    <mergeCell ref="AA38:AB39"/>
    <mergeCell ref="AC38:AD39"/>
    <mergeCell ref="AA40:AB41"/>
    <mergeCell ref="AC40:AD41"/>
    <mergeCell ref="AA42:AB43"/>
    <mergeCell ref="AC42:AD43"/>
    <mergeCell ref="AA44:AB45"/>
    <mergeCell ref="AC44:AD45"/>
    <mergeCell ref="AA46:AB47"/>
    <mergeCell ref="AC46:AD47"/>
    <mergeCell ref="AA48:AB49"/>
    <mergeCell ref="AC48:AD49"/>
    <mergeCell ref="AA50:AB51"/>
    <mergeCell ref="AC50:AD51"/>
    <mergeCell ref="AA52:AB53"/>
    <mergeCell ref="AC52:AD53"/>
    <mergeCell ref="AE56:AH57"/>
    <mergeCell ref="AE58:AH59"/>
    <mergeCell ref="AE60:AH61"/>
    <mergeCell ref="AE62:AH63"/>
    <mergeCell ref="AE64:AH65"/>
    <mergeCell ref="AE66:AH67"/>
    <mergeCell ref="AA98:AB99"/>
    <mergeCell ref="AC98:AD99"/>
    <mergeCell ref="AA88:AB89"/>
    <mergeCell ref="AC88:AD89"/>
    <mergeCell ref="AA90:AB91"/>
    <mergeCell ref="AC90:AD91"/>
    <mergeCell ref="AA92:AB93"/>
    <mergeCell ref="AC92:AD93"/>
    <mergeCell ref="AA94:AB95"/>
    <mergeCell ref="AC94:AD95"/>
    <mergeCell ref="AA96:AB97"/>
    <mergeCell ref="AC96:AD97"/>
    <mergeCell ref="AA78:AB79"/>
    <mergeCell ref="AC78:AD79"/>
    <mergeCell ref="AA80:AB81"/>
    <mergeCell ref="AC80:AD81"/>
    <mergeCell ref="AA56:AB57"/>
    <mergeCell ref="AC56:AD57"/>
    <mergeCell ref="AA58:AB59"/>
    <mergeCell ref="AC58:AD59"/>
    <mergeCell ref="AA60:AB61"/>
    <mergeCell ref="AC60:AD61"/>
    <mergeCell ref="AA62:AB63"/>
    <mergeCell ref="AE82:AH83"/>
    <mergeCell ref="AE84:AH85"/>
    <mergeCell ref="AA82:AB83"/>
    <mergeCell ref="AC82:AD83"/>
    <mergeCell ref="AA84:AB85"/>
    <mergeCell ref="AC84:AD85"/>
    <mergeCell ref="AA86:AB87"/>
    <mergeCell ref="X100:Z101"/>
    <mergeCell ref="X102:Z103"/>
    <mergeCell ref="X104:Z105"/>
    <mergeCell ref="X106:Z107"/>
    <mergeCell ref="X108:Z109"/>
    <mergeCell ref="AA68:AB69"/>
    <mergeCell ref="AC68:AD69"/>
    <mergeCell ref="AA70:AB71"/>
    <mergeCell ref="AC70:AD71"/>
    <mergeCell ref="AA72:AB73"/>
    <mergeCell ref="AC72:AD73"/>
    <mergeCell ref="AA74:AB75"/>
    <mergeCell ref="AC74:AD75"/>
    <mergeCell ref="AA76:AB77"/>
    <mergeCell ref="AC76:AD77"/>
    <mergeCell ref="AA100:AB101"/>
    <mergeCell ref="AC100:AD101"/>
    <mergeCell ref="AE40:AH41"/>
    <mergeCell ref="AE42:AH43"/>
    <mergeCell ref="AE44:AH45"/>
    <mergeCell ref="AE46:AH47"/>
    <mergeCell ref="AE48:AH49"/>
    <mergeCell ref="AE50:AH51"/>
    <mergeCell ref="AE52:AH53"/>
    <mergeCell ref="AC62:AD63"/>
    <mergeCell ref="AA64:AB65"/>
    <mergeCell ref="AC64:AD65"/>
    <mergeCell ref="AA102:AB103"/>
    <mergeCell ref="AC102:AD103"/>
    <mergeCell ref="AA104:AB105"/>
    <mergeCell ref="AC104:AD105"/>
    <mergeCell ref="AK68:AN69"/>
    <mergeCell ref="AK70:AN71"/>
    <mergeCell ref="AE86:AH87"/>
    <mergeCell ref="AE88:AH89"/>
    <mergeCell ref="AE90:AH91"/>
    <mergeCell ref="AE92:AH93"/>
    <mergeCell ref="AE94:AH95"/>
    <mergeCell ref="AE96:AH97"/>
    <mergeCell ref="AE98:AH99"/>
    <mergeCell ref="AE100:AH101"/>
    <mergeCell ref="AE102:AH103"/>
    <mergeCell ref="AE68:AH69"/>
    <mergeCell ref="AE70:AH71"/>
    <mergeCell ref="AE72:AH73"/>
    <mergeCell ref="AE74:AH75"/>
    <mergeCell ref="AE76:AH77"/>
    <mergeCell ref="AE78:AH79"/>
    <mergeCell ref="AE80:AH81"/>
    <mergeCell ref="AK76:AN77"/>
    <mergeCell ref="AK78:AN79"/>
    <mergeCell ref="AK80:AN81"/>
    <mergeCell ref="AK82:AN83"/>
    <mergeCell ref="AK84:AN85"/>
    <mergeCell ref="AK86:AN87"/>
    <mergeCell ref="AK88:AN89"/>
    <mergeCell ref="AC86:AD87"/>
    <mergeCell ref="AE104:AH105"/>
    <mergeCell ref="AE106:AH107"/>
    <mergeCell ref="AE108:AH109"/>
    <mergeCell ref="AE110:AH111"/>
    <mergeCell ref="AE112:AH113"/>
    <mergeCell ref="AE114:AH115"/>
    <mergeCell ref="AK36:AN37"/>
    <mergeCell ref="AK38:AN39"/>
    <mergeCell ref="AK40:AN41"/>
    <mergeCell ref="AK42:AN43"/>
    <mergeCell ref="AK44:AN45"/>
    <mergeCell ref="AK46:AN47"/>
    <mergeCell ref="AK48:AN49"/>
    <mergeCell ref="AK50:AN51"/>
    <mergeCell ref="AK52:AN53"/>
    <mergeCell ref="AK54:AN55"/>
    <mergeCell ref="AK56:AN57"/>
    <mergeCell ref="AK58:AN59"/>
    <mergeCell ref="AK60:AN61"/>
    <mergeCell ref="AK62:AN63"/>
    <mergeCell ref="AK64:AN65"/>
    <mergeCell ref="AK66:AN67"/>
    <mergeCell ref="AE36:AH37"/>
    <mergeCell ref="AE38:AH39"/>
    <mergeCell ref="AK108:AN109"/>
    <mergeCell ref="AK110:AN111"/>
    <mergeCell ref="AK112:AN113"/>
    <mergeCell ref="AK114:AN115"/>
    <mergeCell ref="AO36:AQ37"/>
    <mergeCell ref="AO38:AQ39"/>
    <mergeCell ref="AO40:AQ41"/>
    <mergeCell ref="AO42:AQ43"/>
    <mergeCell ref="AO44:AQ45"/>
    <mergeCell ref="AO46:AQ47"/>
    <mergeCell ref="AO48:AQ49"/>
    <mergeCell ref="AO50:AQ51"/>
    <mergeCell ref="AO52:AQ53"/>
    <mergeCell ref="AO54:AQ55"/>
    <mergeCell ref="AO56:AQ57"/>
    <mergeCell ref="AO58:AQ59"/>
    <mergeCell ref="AO60:AQ61"/>
    <mergeCell ref="AO62:AQ63"/>
    <mergeCell ref="AO64:AQ65"/>
    <mergeCell ref="AO66:AQ67"/>
    <mergeCell ref="AO68:AQ69"/>
    <mergeCell ref="AK90:AN91"/>
    <mergeCell ref="AK92:AN93"/>
    <mergeCell ref="AK94:AN95"/>
    <mergeCell ref="AK96:AN97"/>
    <mergeCell ref="AK98:AN99"/>
    <mergeCell ref="AK100:AN101"/>
    <mergeCell ref="AK102:AN103"/>
    <mergeCell ref="AK104:AN105"/>
    <mergeCell ref="AK106:AN107"/>
    <mergeCell ref="AK72:AN73"/>
    <mergeCell ref="AK74:AN75"/>
    <mergeCell ref="AO110:AQ111"/>
    <mergeCell ref="AO76:AQ77"/>
    <mergeCell ref="AO78:AQ79"/>
    <mergeCell ref="AO80:AQ81"/>
    <mergeCell ref="AO82:AQ83"/>
    <mergeCell ref="AO84:AQ85"/>
    <mergeCell ref="AO86:AQ87"/>
    <mergeCell ref="AO88:AQ89"/>
    <mergeCell ref="AO90:AQ91"/>
    <mergeCell ref="AO92:AQ93"/>
    <mergeCell ref="AU64:AU65"/>
    <mergeCell ref="AO70:AQ71"/>
    <mergeCell ref="AO72:AQ73"/>
    <mergeCell ref="AO74:AQ75"/>
    <mergeCell ref="AU76:AU77"/>
    <mergeCell ref="AV64:AV65"/>
    <mergeCell ref="AU66:AU67"/>
    <mergeCell ref="AV66:AV67"/>
    <mergeCell ref="AU68:AU69"/>
    <mergeCell ref="AV68:AV69"/>
    <mergeCell ref="AU70:AU71"/>
    <mergeCell ref="AV70:AV71"/>
    <mergeCell ref="AU72:AU73"/>
    <mergeCell ref="AV72:AV73"/>
    <mergeCell ref="AU74:AU75"/>
    <mergeCell ref="AV74:AV75"/>
    <mergeCell ref="AV110:AV111"/>
    <mergeCell ref="AO112:AQ113"/>
    <mergeCell ref="AO114:AQ115"/>
    <mergeCell ref="AW36:AW37"/>
    <mergeCell ref="AX36:AX37"/>
    <mergeCell ref="AW38:AW39"/>
    <mergeCell ref="AX38:AX39"/>
    <mergeCell ref="AW40:AW41"/>
    <mergeCell ref="AX40:AX41"/>
    <mergeCell ref="AW42:AW43"/>
    <mergeCell ref="AX42:AX43"/>
    <mergeCell ref="AW44:AW45"/>
    <mergeCell ref="AX44:AX45"/>
    <mergeCell ref="AW46:AW47"/>
    <mergeCell ref="AX46:AX47"/>
    <mergeCell ref="AW48:AW49"/>
    <mergeCell ref="AX48:AX49"/>
    <mergeCell ref="AW50:AW51"/>
    <mergeCell ref="AX50:AX51"/>
    <mergeCell ref="AW52:AW53"/>
    <mergeCell ref="AX52:AX53"/>
    <mergeCell ref="AW54:AW55"/>
    <mergeCell ref="AX54:AX55"/>
    <mergeCell ref="AW56:AW57"/>
    <mergeCell ref="AX56:AX57"/>
    <mergeCell ref="AO94:AQ95"/>
    <mergeCell ref="AO96:AQ97"/>
    <mergeCell ref="AO98:AQ99"/>
    <mergeCell ref="AO100:AQ101"/>
    <mergeCell ref="AO102:AQ103"/>
    <mergeCell ref="AO104:AQ105"/>
    <mergeCell ref="AO106:AQ107"/>
    <mergeCell ref="AO108:AQ109"/>
    <mergeCell ref="BE14:BE15"/>
    <mergeCell ref="BE16:BE17"/>
    <mergeCell ref="BE18:BE19"/>
    <mergeCell ref="BE20:BE21"/>
    <mergeCell ref="BE22:BE23"/>
    <mergeCell ref="BE24:BE25"/>
    <mergeCell ref="BE26:BE27"/>
    <mergeCell ref="BE28:BE29"/>
    <mergeCell ref="BE30:BE31"/>
    <mergeCell ref="BE32:BE33"/>
    <mergeCell ref="BE34:BE35"/>
    <mergeCell ref="BA54:BA55"/>
    <mergeCell ref="AW62:AW63"/>
    <mergeCell ref="AX62:AX63"/>
    <mergeCell ref="AW64:AW65"/>
    <mergeCell ref="AX64:AX65"/>
    <mergeCell ref="AW66:AW67"/>
    <mergeCell ref="AX66:AX67"/>
    <mergeCell ref="BC32:BC33"/>
    <mergeCell ref="BC34:BC35"/>
    <mergeCell ref="AF11:AI11"/>
    <mergeCell ref="AF12:AI13"/>
    <mergeCell ref="AW100:AW101"/>
    <mergeCell ref="AX100:AX101"/>
    <mergeCell ref="AW102:AW103"/>
    <mergeCell ref="AX102:AX103"/>
    <mergeCell ref="AW68:AW69"/>
    <mergeCell ref="AX68:AX69"/>
    <mergeCell ref="AW70:AW71"/>
    <mergeCell ref="AX70:AX71"/>
    <mergeCell ref="AW72:AW73"/>
    <mergeCell ref="AX72:AX73"/>
    <mergeCell ref="AW74:AW75"/>
    <mergeCell ref="AX74:AX75"/>
    <mergeCell ref="AW76:AW77"/>
    <mergeCell ref="AX76:AX77"/>
    <mergeCell ref="AW58:AW59"/>
    <mergeCell ref="AX58:AX59"/>
    <mergeCell ref="AW60:AW61"/>
    <mergeCell ref="AX60:AX61"/>
    <mergeCell ref="AW96:AW97"/>
    <mergeCell ref="AX96:AX97"/>
    <mergeCell ref="AW78:AW79"/>
    <mergeCell ref="AX78:AX79"/>
    <mergeCell ref="AW80:AW81"/>
    <mergeCell ref="AX80:AX81"/>
    <mergeCell ref="AW82:AW83"/>
    <mergeCell ref="AX82:AX83"/>
    <mergeCell ref="AW84:AW85"/>
    <mergeCell ref="AX84:AX85"/>
    <mergeCell ref="AW86:AW87"/>
    <mergeCell ref="AX86:AX87"/>
  </mergeCells>
  <conditionalFormatting sqref="T16:Z115">
    <cfRule type="expression" dxfId="203" priority="6">
      <formula>AND(ISBLANK($C16)=FALSE,OR(ISBLANK(T16)=TRUE,T16=""))</formula>
    </cfRule>
  </conditionalFormatting>
  <conditionalFormatting sqref="AA16:AD115">
    <cfRule type="expression" dxfId="202" priority="4">
      <formula>AND(ISBLANK($C16)=FALSE,OR(ISBLANK(AA16)=TRUE,AA16=""))</formula>
    </cfRule>
  </conditionalFormatting>
  <conditionalFormatting sqref="AH2 AL2">
    <cfRule type="expression" dxfId="201" priority="11">
      <formula>PROJSTATUS=PROJSTATELI</formula>
    </cfRule>
    <cfRule type="expression" dxfId="200" priority="12">
      <formula>PROJSTATUS=PROJSTATREVIEW</formula>
    </cfRule>
    <cfRule type="expression" dxfId="199" priority="16">
      <formula>PROJSTATUS=PROJSTATPREAPPROVE</formula>
    </cfRule>
    <cfRule type="expression" dxfId="198" priority="17">
      <formula>PROJSTATUS=PROJSTATSTANDARD</formula>
    </cfRule>
    <cfRule type="expression" dxfId="197" priority="18">
      <formula>PROJSTATUS=PROJSTATEXP</formula>
    </cfRule>
  </conditionalFormatting>
  <conditionalFormatting sqref="AO16:AQ35">
    <cfRule type="containsText" dxfId="196" priority="1" operator="containsText" text="Improve Efficiency">
      <formula>NOT(ISERROR(SEARCH("Improve Efficiency",AO16)))</formula>
    </cfRule>
  </conditionalFormatting>
  <conditionalFormatting sqref="AQ2:AR3">
    <cfRule type="cellIs" dxfId="195" priority="13" operator="equal">
      <formula>1</formula>
    </cfRule>
    <cfRule type="cellIs" dxfId="194" priority="14" operator="between">
      <formula>0.51</formula>
      <formula>0.99</formula>
    </cfRule>
    <cfRule type="cellIs" dxfId="193" priority="15" operator="lessThanOrEqual">
      <formula>0.5</formula>
    </cfRule>
  </conditionalFormatting>
  <dataValidations xWindow="560" yWindow="557" count="11">
    <dataValidation type="list" allowBlank="1" showInputMessage="1" showErrorMessage="1" sqref="C16 C34 C18 C20 C22 C24 C26 C28 C30 C32 C104 C106:I115 C36 C38 C40 C42 C44 C46 C48 C50 C52 C102 C56 C58 C60 C62 C64 C66 C68 C70 C72 C74 C76 C78 C80 C82 C84 C86 C88 C90 C92 C94 C96 C98 C100" xr:uid="{00000000-0002-0000-1600-000001000000}">
      <formula1>PMEMOTOREFF1</formula1>
    </dataValidation>
    <dataValidation type="decimal" operator="greaterThanOrEqual" allowBlank="1" showInputMessage="1" showErrorMessage="1" error="The proposed efficiency must exceed the baseline efficiency requirements." prompt="Enter the efficiency of the proposed unit. Ensure that the value entered matches the required rating. This value can be found on the equipment specification sheets. " sqref="T38:U115" xr:uid="{235E7F95-A308-4BB7-9801-8F2E1EF710AA}">
      <formula1>INDEX(STDHVACEFFMIN2,MATCH(C38,PMEHVACEFF1,0))</formula1>
    </dataValidation>
    <dataValidation type="decimal" allowBlank="1" showInputMessage="1" showErrorMessage="1" error="The tons entered do not match the Measure selected. Please ensure that the correct Measure and size range was selected." prompt="Enter the nominal tons of the proposed unit. This value can be found on the equipment specification sheets." sqref="V56:W115 V36:W53" xr:uid="{8506AB15-88A0-411D-A972-3C508AB68562}">
      <formula1>INDEX(PMEHVACEFFW1,MATCH(C36,PMEHVACEFF1,0))</formula1>
      <formula2>INDEX(PMEHVACEFFW2,MATCH(C36,PMEHVACEFF1,0))</formula2>
    </dataValidation>
    <dataValidation type="decimal" allowBlank="1" showInputMessage="1" showErrorMessage="1" prompt="This is the TOTAL Labor Cost of the measure, NOT a per unit basis." sqref="AC16:AD115" xr:uid="{A420A895-40C8-43AA-93C1-09A34114863F}">
      <formula1>0</formula1>
      <formula2>999999</formula2>
    </dataValidation>
    <dataValidation type="decimal" allowBlank="1" showInputMessage="1" showErrorMessage="1" prompt="This is the TOTAL Material Cost of the measure, NOT a per unit basis." sqref="AA16:AB115" xr:uid="{77F79668-79D5-43B6-AB8F-AF4FB6031599}">
      <formula1>0</formula1>
      <formula2>999999</formula2>
    </dataValidation>
    <dataValidation type="decimal" operator="greaterThanOrEqual" allowBlank="1" showInputMessage="1" showErrorMessage="1" error="The proposed efficiency must exceed the baseline efficiency requirements." prompt="Enter the efficiency of the proposed unit. Ensure that the value entered matches the required rating. This value can be found on the equipment specification sheets. " sqref="N54:O115" xr:uid="{45395DA2-3F8D-4ADD-B601-AC476D96C8EB}">
      <formula1>INDEX(STDHVACEFFMIN,MATCH(C54,PMEHVACEFF1,0))</formula1>
    </dataValidation>
    <dataValidation type="decimal" allowBlank="1" showInputMessage="1" showErrorMessage="1" error="The tons entered do not match the Measure selected. Please ensure that the correct Measure and size range was selected.  1 ton = 12,000 kBtuh. If thermostat enter number of thermostats installed." prompt="Enter the nominal tons of the proposed unit. This value can be found on the equipment specification sheets. 1 ton = 12,000 kBtuh. If thermostat enter number of thermostats installed." sqref="V16:W35" xr:uid="{4DD74BF4-B55E-4EE8-93C0-40F83D921BA5}">
      <formula1>INDEX(PMEHVACEFFW1,MATCH(C16,PMEHVACEFF1,0))</formula1>
      <formula2>INDEX(PMEHVACEFFW2,MATCH(C16,PMEHVACEFF1,0))</formula2>
    </dataValidation>
    <dataValidation type="decimal" operator="greaterThanOrEqual" allowBlank="1" showInputMessage="1" showErrorMessage="1" error="The proposed efficiency must exceed the baseline efficiency requirements.  If thermostat measure please enter 1." prompt="Enter the efficiency of the proposed unit. Ensure that the value entered matches the required rating. This value can be found on the equipment specification sheets.  If thermostat measure please enter 1._x000a_" sqref="N36:O53" xr:uid="{5A725212-ED59-4BD2-9DC2-A785C3FA8628}">
      <formula1>INDEX(STDHVACEFFMIN,MATCH(C36,PMEHVACEFF1,0))</formula1>
    </dataValidation>
    <dataValidation type="decimal" operator="greaterThanOrEqual" allowBlank="1" showInputMessage="1" showErrorMessage="1" error="The proposed efficiency must exceed the baseline efficiency requirements. If thermostat measure please enter 1." prompt="Enter the efficiency of the proposed unit. Ensure that the value entered matches the required rating. This value can be found on the equipment specification sheets. If thermostat measure please enter 1." sqref="T36:U37" xr:uid="{A336AD35-FD97-4423-865F-2501768AE534}">
      <formula1>INDEX(STDHVACEFFMIN2,MATCH(C36,PMEHVACEFF1,0))</formula1>
    </dataValidation>
    <dataValidation operator="greaterThanOrEqual" allowBlank="1" showInputMessage="1" showErrorMessage="1" error="The proposed efficiency must exceed the baseline efficiency requirements.  If thermostat measure please enter 1." prompt="Enter the efficiency of the proposed unit. Ensure that the value entered matches the required rating. This value can be found on the equipment specification sheets.  If thermostat measure please enter 1._x000a_" sqref="N16:O35" xr:uid="{95CA7CD1-F207-4DC7-915E-E75F8EA70758}"/>
    <dataValidation operator="greaterThanOrEqual" allowBlank="1" showInputMessage="1" showErrorMessage="1" error="The proposed efficiency must exceed the baseline efficiency requirements. If thermostat measure please enter 1." prompt="Enter the efficiency of the proposed unit. Ensure that the value entered matches the required rating. This value can be found on the equipment specification sheets. If thermostat measure please enter 1." sqref="T16:U35" xr:uid="{35AA9872-AC55-4002-929A-0C66B64A0E45}"/>
  </dataValidations>
  <hyperlinks>
    <hyperlink ref="B202" r:id="rId1" xr:uid="{331EDCCF-78DD-41C9-803E-8306984EE4D6}"/>
  </hyperlinks>
  <pageMargins left="0.25" right="0.25" top="0.25" bottom="0.25" header="0.25" footer="0.25"/>
  <pageSetup scale="40" fitToHeight="0" orientation="landscape"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pageSetUpPr fitToPage="1"/>
  </sheetPr>
  <dimension ref="A1:BZ202"/>
  <sheetViews>
    <sheetView showGridLines="0" showRowColHeaders="0" zoomScale="85" zoomScaleNormal="85" workbookViewId="0">
      <selection activeCell="C16" sqref="C16:M17"/>
    </sheetView>
  </sheetViews>
  <sheetFormatPr defaultColWidth="0" defaultRowHeight="15" zeroHeight="1"/>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7" ht="15.95" customHeight="1">
      <c r="AH1" s="681" t="s">
        <v>471</v>
      </c>
      <c r="AI1" s="681"/>
      <c r="AJ1" s="681"/>
      <c r="AK1" s="681"/>
      <c r="AL1" s="682" t="s">
        <v>736</v>
      </c>
      <c r="AM1" s="682"/>
      <c r="AN1" s="682"/>
      <c r="AO1" s="682"/>
      <c r="AP1" s="682"/>
      <c r="AQ1" s="678" t="s">
        <v>474</v>
      </c>
      <c r="AR1" s="678"/>
    </row>
    <row r="2" spans="2:57" ht="15.95" customHeight="1">
      <c r="AH2" s="683" t="str">
        <f ca="1">INCENSTATUS</f>
        <v>---</v>
      </c>
      <c r="AI2" s="684"/>
      <c r="AJ2" s="684"/>
      <c r="AK2" s="684"/>
      <c r="AL2" s="685" t="str">
        <f ca="1">PROJSTATUS</f>
        <v>Enter Measures</v>
      </c>
      <c r="AM2" s="685"/>
      <c r="AN2" s="685"/>
      <c r="AO2" s="685"/>
      <c r="AP2" s="685"/>
      <c r="AQ2" s="679">
        <f ca="1">PROGRESSSTATUS</f>
        <v>2.8985507246376812E-2</v>
      </c>
      <c r="AR2" s="680"/>
    </row>
    <row r="3" spans="2:57" ht="15.95" customHeight="1">
      <c r="AH3" s="675"/>
      <c r="AI3" s="676"/>
      <c r="AJ3" s="676"/>
      <c r="AK3" s="676"/>
      <c r="AL3" s="668"/>
      <c r="AM3" s="668"/>
      <c r="AN3" s="668"/>
      <c r="AO3" s="668"/>
      <c r="AP3" s="668"/>
      <c r="AQ3" s="662"/>
      <c r="AR3" s="663"/>
    </row>
    <row r="4" spans="2:57" ht="15.95" customHeight="1">
      <c r="AR4" s="171"/>
    </row>
    <row r="5" spans="2:57" ht="15.95" customHeight="1"/>
    <row r="6" spans="2:57" ht="15.95" customHeight="1">
      <c r="AU6" s="59" t="s">
        <v>907</v>
      </c>
      <c r="AV6" s="59">
        <f>PROJID</f>
        <v>0</v>
      </c>
    </row>
    <row r="7" spans="2:57" ht="15.95" customHeight="1">
      <c r="AU7" s="87"/>
      <c r="AV7" s="87" t="s">
        <v>866</v>
      </c>
      <c r="AW7" s="87" t="s">
        <v>231</v>
      </c>
      <c r="AX7" s="87" t="s">
        <v>892</v>
      </c>
    </row>
    <row r="8" spans="2:57" ht="15.95" customHeight="1">
      <c r="AU8" s="87" t="s">
        <v>219</v>
      </c>
      <c r="AV8" s="87" t="str">
        <f ca="1">CBPRESE</f>
        <v>NA</v>
      </c>
      <c r="AW8" s="87" t="str">
        <f ca="1">CBCUSE</f>
        <v>NA</v>
      </c>
      <c r="AX8" s="87" t="str">
        <f ca="1">CBALL</f>
        <v>NA</v>
      </c>
    </row>
    <row r="9" spans="2:57" ht="15.95" customHeight="1">
      <c r="B9" s="59"/>
      <c r="C9" s="59"/>
      <c r="D9" s="59"/>
      <c r="E9" s="59"/>
      <c r="F9" s="59"/>
      <c r="G9" s="59"/>
      <c r="H9" s="59"/>
      <c r="I9" s="59"/>
      <c r="J9" s="59"/>
      <c r="K9" s="59"/>
      <c r="L9" s="59"/>
      <c r="M9" s="59"/>
      <c r="N9" s="59"/>
      <c r="O9" s="59"/>
      <c r="P9" s="59"/>
      <c r="Q9" s="59"/>
      <c r="R9" s="730" t="str">
        <f>CONCATENATE(M3S4," ","Summary")</f>
        <v>Refrigeration Summary</v>
      </c>
      <c r="S9" s="730"/>
      <c r="T9" s="730"/>
      <c r="U9" s="730"/>
      <c r="V9" s="730"/>
      <c r="W9" s="730"/>
      <c r="X9" s="730"/>
      <c r="Y9" s="730"/>
      <c r="Z9" s="730"/>
      <c r="AA9" s="730"/>
      <c r="AB9" s="730"/>
      <c r="AC9" s="730"/>
      <c r="AD9" s="59"/>
      <c r="AE9" s="59"/>
      <c r="AF9" s="59"/>
      <c r="AG9" s="59"/>
      <c r="AH9" s="59"/>
      <c r="AI9" s="59"/>
      <c r="AJ9" s="59"/>
      <c r="AK9" s="59"/>
      <c r="AL9" s="59"/>
      <c r="AM9" s="59"/>
      <c r="AN9" s="59"/>
      <c r="AO9" s="59"/>
      <c r="AP9" s="59"/>
      <c r="AQ9" s="59"/>
      <c r="AR9" s="59"/>
      <c r="AU9" s="87"/>
      <c r="AV9" s="87"/>
      <c r="AW9" s="87"/>
      <c r="AX9" s="87"/>
    </row>
    <row r="10" spans="2:57" ht="15.95" customHeight="1">
      <c r="B10" s="59"/>
      <c r="C10" s="59"/>
      <c r="D10" s="59"/>
      <c r="E10" s="59"/>
      <c r="F10" s="59"/>
      <c r="G10" s="59"/>
      <c r="H10" s="59"/>
      <c r="I10" s="59"/>
      <c r="J10" s="59"/>
      <c r="K10" s="59"/>
      <c r="L10" s="59"/>
      <c r="M10" s="59"/>
      <c r="N10" s="59"/>
      <c r="O10" s="59"/>
      <c r="P10" s="59"/>
      <c r="Q10" s="59"/>
      <c r="R10" s="730"/>
      <c r="S10" s="730"/>
      <c r="T10" s="730"/>
      <c r="U10" s="730"/>
      <c r="V10" s="730"/>
      <c r="W10" s="730"/>
      <c r="X10" s="730"/>
      <c r="Y10" s="730"/>
      <c r="Z10" s="730"/>
      <c r="AA10" s="730"/>
      <c r="AB10" s="730"/>
      <c r="AC10" s="730"/>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57" ht="15.95" customHeight="1">
      <c r="B11" s="59"/>
      <c r="C11" s="59"/>
      <c r="D11" s="59"/>
      <c r="E11" s="59"/>
      <c r="F11" s="59"/>
      <c r="G11" s="59"/>
      <c r="H11" s="59"/>
      <c r="I11" s="59"/>
      <c r="J11" s="59"/>
      <c r="K11" s="59"/>
      <c r="L11" s="59"/>
      <c r="M11" s="59"/>
      <c r="N11" s="59"/>
      <c r="O11" s="59"/>
      <c r="P11" s="59"/>
      <c r="Q11" s="59"/>
      <c r="R11" s="831" t="s">
        <v>68</v>
      </c>
      <c r="S11" s="831"/>
      <c r="T11" s="831"/>
      <c r="U11" s="831"/>
      <c r="V11" s="831" t="s">
        <v>69</v>
      </c>
      <c r="W11" s="831"/>
      <c r="X11" s="831"/>
      <c r="Y11" s="831"/>
      <c r="Z11" s="831" t="s">
        <v>70</v>
      </c>
      <c r="AA11" s="831"/>
      <c r="AB11" s="831"/>
      <c r="AC11" s="831"/>
      <c r="AD11" s="59"/>
      <c r="AE11" s="59"/>
      <c r="AF11" s="896" t="s">
        <v>2111</v>
      </c>
      <c r="AG11" s="896"/>
      <c r="AH11" s="896"/>
      <c r="AI11" s="896"/>
      <c r="AJ11" s="59"/>
      <c r="AK11" s="59"/>
      <c r="AL11" s="59"/>
      <c r="AM11" s="59"/>
      <c r="AN11" s="59"/>
      <c r="AO11" s="59"/>
      <c r="AP11" s="59"/>
      <c r="AQ11" s="59"/>
      <c r="AR11" s="59"/>
    </row>
    <row r="12" spans="2:57" ht="15.95" customHeight="1">
      <c r="B12" s="59"/>
      <c r="C12" s="59"/>
      <c r="D12" s="59"/>
      <c r="E12" s="59"/>
      <c r="F12" s="59"/>
      <c r="G12" s="59"/>
      <c r="H12" s="59"/>
      <c r="I12" s="59"/>
      <c r="J12" s="59"/>
      <c r="K12" s="59"/>
      <c r="L12" s="59"/>
      <c r="M12" s="59"/>
      <c r="N12" s="59"/>
      <c r="O12" s="59"/>
      <c r="P12" s="59"/>
      <c r="Q12" s="59"/>
      <c r="R12" s="875">
        <f>SUM(AN16:AQ45)</f>
        <v>0</v>
      </c>
      <c r="S12" s="875"/>
      <c r="T12" s="875"/>
      <c r="U12" s="875"/>
      <c r="V12" s="875">
        <f>AU200</f>
        <v>0</v>
      </c>
      <c r="W12" s="875"/>
      <c r="X12" s="875"/>
      <c r="Y12" s="875"/>
      <c r="Z12" s="876">
        <f ca="1">SUMIF(AN16:AQ45,"&gt;0",AK16:AM45)</f>
        <v>0</v>
      </c>
      <c r="AA12" s="876"/>
      <c r="AB12" s="876"/>
      <c r="AC12" s="876"/>
      <c r="AD12" s="59"/>
      <c r="AE12" s="59"/>
      <c r="AF12" s="875">
        <f ca="1">IFERROR(IF(AN46="",0,AN46),0)</f>
        <v>0</v>
      </c>
      <c r="AG12" s="875"/>
      <c r="AH12" s="875"/>
      <c r="AI12" s="875"/>
      <c r="AJ12" s="59"/>
      <c r="AK12" s="59"/>
      <c r="AL12" s="59"/>
      <c r="AM12" s="59"/>
      <c r="AN12" s="59"/>
      <c r="AO12" s="59"/>
      <c r="AP12" s="59"/>
      <c r="AQ12" s="59"/>
      <c r="AR12" s="59"/>
    </row>
    <row r="13" spans="2:57" ht="15.95" customHeight="1">
      <c r="B13" s="59"/>
      <c r="C13" s="59"/>
      <c r="D13" s="59"/>
      <c r="E13" s="59"/>
      <c r="F13" s="59"/>
      <c r="G13" s="59"/>
      <c r="H13" s="59"/>
      <c r="I13" s="59"/>
      <c r="J13" s="59"/>
      <c r="K13" s="59"/>
      <c r="L13" s="59"/>
      <c r="M13" s="59"/>
      <c r="N13" s="59"/>
      <c r="O13" s="59"/>
      <c r="P13" s="59"/>
      <c r="Q13" s="59"/>
      <c r="R13" s="875"/>
      <c r="S13" s="875"/>
      <c r="T13" s="875"/>
      <c r="U13" s="875"/>
      <c r="V13" s="875"/>
      <c r="W13" s="875"/>
      <c r="X13" s="875"/>
      <c r="Y13" s="875"/>
      <c r="Z13" s="876"/>
      <c r="AA13" s="876"/>
      <c r="AB13" s="876"/>
      <c r="AC13" s="876"/>
      <c r="AD13" s="59"/>
      <c r="AE13" s="59"/>
      <c r="AF13" s="875"/>
      <c r="AG13" s="875"/>
      <c r="AH13" s="875"/>
      <c r="AI13" s="875"/>
      <c r="AJ13" s="59"/>
      <c r="AK13" s="59"/>
      <c r="AL13" s="59"/>
      <c r="AM13" s="59"/>
      <c r="AN13" s="59"/>
      <c r="AO13" s="59"/>
      <c r="AP13" s="59"/>
      <c r="AQ13" s="59"/>
      <c r="AR13" s="59"/>
    </row>
    <row r="14" spans="2:57" ht="15.95" customHeight="1">
      <c r="B14" s="59"/>
      <c r="C14" s="804" t="s">
        <v>99</v>
      </c>
      <c r="D14" s="804"/>
      <c r="E14" s="804"/>
      <c r="F14" s="804"/>
      <c r="G14" s="804"/>
      <c r="H14" s="804"/>
      <c r="I14" s="804"/>
      <c r="J14" s="804"/>
      <c r="K14" s="804"/>
      <c r="L14" s="804"/>
      <c r="M14" s="804"/>
      <c r="N14" s="804" t="s">
        <v>103</v>
      </c>
      <c r="O14" s="804"/>
      <c r="P14" s="804"/>
      <c r="Q14" s="804"/>
      <c r="R14" s="804"/>
      <c r="S14" s="804"/>
      <c r="T14" s="804" t="s">
        <v>100</v>
      </c>
      <c r="U14" s="804"/>
      <c r="V14" s="804" t="s">
        <v>91</v>
      </c>
      <c r="W14" s="804"/>
      <c r="X14" s="804" t="s">
        <v>115</v>
      </c>
      <c r="Y14" s="804"/>
      <c r="Z14" s="804"/>
      <c r="AA14" s="804"/>
      <c r="AB14" s="804" t="s">
        <v>104</v>
      </c>
      <c r="AC14" s="804"/>
      <c r="AD14" s="804"/>
      <c r="AE14" s="982" t="s">
        <v>1587</v>
      </c>
      <c r="AF14" s="982"/>
      <c r="AG14" s="982"/>
      <c r="AH14" s="982"/>
      <c r="AI14" s="804" t="s">
        <v>93</v>
      </c>
      <c r="AJ14" s="804"/>
      <c r="AK14" s="804" t="s">
        <v>92</v>
      </c>
      <c r="AL14" s="804"/>
      <c r="AM14" s="804"/>
      <c r="AN14" s="804" t="s">
        <v>108</v>
      </c>
      <c r="AO14" s="804"/>
      <c r="AP14" s="804"/>
      <c r="AQ14" s="804"/>
      <c r="AR14" s="59"/>
      <c r="AU14" s="804" t="s">
        <v>196</v>
      </c>
      <c r="AV14" s="804" t="s">
        <v>197</v>
      </c>
      <c r="AW14" s="804" t="s">
        <v>1166</v>
      </c>
      <c r="AX14" s="804" t="s">
        <v>1844</v>
      </c>
      <c r="AY14" s="804" t="s">
        <v>1843</v>
      </c>
      <c r="BC14" s="804" t="s">
        <v>489</v>
      </c>
      <c r="BE14" s="804" t="s">
        <v>2025</v>
      </c>
    </row>
    <row r="15" spans="2:57" ht="15.95" customHeight="1" thickBot="1">
      <c r="B15" s="59"/>
      <c r="C15" s="805"/>
      <c r="D15" s="805"/>
      <c r="E15" s="805"/>
      <c r="F15" s="805"/>
      <c r="G15" s="805"/>
      <c r="H15" s="805"/>
      <c r="I15" s="805"/>
      <c r="J15" s="805"/>
      <c r="K15" s="805"/>
      <c r="L15" s="805"/>
      <c r="M15" s="805"/>
      <c r="N15" s="805"/>
      <c r="O15" s="805"/>
      <c r="P15" s="805"/>
      <c r="Q15" s="805"/>
      <c r="R15" s="805"/>
      <c r="S15" s="805"/>
      <c r="T15" s="805"/>
      <c r="U15" s="805"/>
      <c r="V15" s="805"/>
      <c r="W15" s="805"/>
      <c r="X15" s="805"/>
      <c r="Y15" s="805"/>
      <c r="Z15" s="805"/>
      <c r="AA15" s="805"/>
      <c r="AB15" s="805"/>
      <c r="AC15" s="805"/>
      <c r="AD15" s="805"/>
      <c r="AE15" s="983" t="s">
        <v>110</v>
      </c>
      <c r="AF15" s="983"/>
      <c r="AG15" s="983" t="s">
        <v>111</v>
      </c>
      <c r="AH15" s="983"/>
      <c r="AI15" s="805"/>
      <c r="AJ15" s="805"/>
      <c r="AK15" s="805"/>
      <c r="AL15" s="805"/>
      <c r="AM15" s="805"/>
      <c r="AN15" s="805"/>
      <c r="AO15" s="805"/>
      <c r="AP15" s="805"/>
      <c r="AQ15" s="805"/>
      <c r="AR15" s="59"/>
      <c r="AU15" s="805"/>
      <c r="AV15" s="805"/>
      <c r="AW15" s="805"/>
      <c r="AX15" s="805"/>
      <c r="AY15" s="805"/>
      <c r="BC15" s="805"/>
      <c r="BE15" s="805"/>
    </row>
    <row r="16" spans="2:57" ht="15.95" customHeight="1">
      <c r="B16" s="829">
        <v>1</v>
      </c>
      <c r="C16" s="832"/>
      <c r="D16" s="833"/>
      <c r="E16" s="833"/>
      <c r="F16" s="833"/>
      <c r="G16" s="833"/>
      <c r="H16" s="833"/>
      <c r="I16" s="833"/>
      <c r="J16" s="833"/>
      <c r="K16" s="833"/>
      <c r="L16" s="833"/>
      <c r="M16" s="834"/>
      <c r="N16" s="908" t="str">
        <f>IFERROR(IF(C16="","",INDEX(PMEREFRI[Base Desc 1],MATCH(C16,PMEREFRI[Eff Desc 1],0))),"")</f>
        <v/>
      </c>
      <c r="O16" s="909"/>
      <c r="P16" s="909"/>
      <c r="Q16" s="909"/>
      <c r="R16" s="909"/>
      <c r="S16" s="910"/>
      <c r="T16" s="947" t="str">
        <f>IFERROR(IF(C16="","",INDEX(PMEREFRI[Unit of Measure],MATCH(C16,PMEREFRI[Eff Desc 1],0))),"")</f>
        <v/>
      </c>
      <c r="U16" s="948"/>
      <c r="V16" s="846"/>
      <c r="W16" s="847"/>
      <c r="X16" s="832"/>
      <c r="Y16" s="833"/>
      <c r="Z16" s="833"/>
      <c r="AA16" s="834"/>
      <c r="AB16" s="832"/>
      <c r="AC16" s="833"/>
      <c r="AD16" s="834"/>
      <c r="AE16" s="858"/>
      <c r="AF16" s="869"/>
      <c r="AG16" s="858"/>
      <c r="AH16" s="869"/>
      <c r="AI16" s="917" t="str">
        <f>IFERROR(IF(C16="","",INDEX(PMEREFRI[Inc Rate Unit],MATCH(C16,PMEREFRI[Eff Desc 1],0))),"")</f>
        <v/>
      </c>
      <c r="AJ16" s="918"/>
      <c r="AK16" s="904" t="str">
        <f>IF(OR(C16="",V16="",X16="",AB16="",AE16="",AG16=""),"",AW16)</f>
        <v/>
      </c>
      <c r="AL16" s="905"/>
      <c r="AM16" s="905"/>
      <c r="AN16" s="815" t="str">
        <f>IF(OR(C16="",V16="",X16="",AB16="",AE16="",AG16=""),"",IF(BC16&lt;&gt;"",BC16,MIN(AU16,ROUND(V16*AI16,2))))</f>
        <v/>
      </c>
      <c r="AO16" s="816"/>
      <c r="AP16" s="816"/>
      <c r="AQ16" s="817"/>
      <c r="AR16" s="59"/>
      <c r="AU16" s="808" t="str">
        <f>IF(OR(C16="",N16="",T16="",V16="",X16="",AG16="",AE16="",AB16=""),"",IF(AK16="","",ROUND((AE16+AG16),2)))</f>
        <v/>
      </c>
      <c r="AV16" s="922" t="str">
        <f>IF(OR(C16="",V16="",X16="",AB16="",AE16="",AG16=""),"",ROUND((V16*INDEX(PMEREFRI[Savings per Unit kW],MATCH(C16,PMEREFRI[Eff Desc 1],0))),3))</f>
        <v/>
      </c>
      <c r="AW16" s="986" t="str">
        <f>IF(OR(C16="",V16="",X16="",AB16="",AE16="",AG16=""),"",ROUND(V16*INDEX(PMEREFRI[Savings per Unit kWh],MATCH(C16,PMEREFRI[Eff Desc 1],2)),2))</f>
        <v/>
      </c>
      <c r="BC16" s="892" t="str">
        <f>IF(OR(N16="",T16="",C16="",V16="",X16="",AB16="",AE16="",AG16=""),"",IF(OR(ISBLANK(M02S02F26),ISBLANK(M02S02F32),ISBLANK(M02S02F46)),MEASUREBLDG,""))</f>
        <v/>
      </c>
      <c r="BE16" s="806" t="str">
        <f ca="1">IF(OR(T16="",N16="",C16="",V16="",X16="",AB16="",AE16="",AG16=""),"",IF('M01-S01'!$V$82&lt;TODAY(),0,IF(M02S02F46="Gas Only",0,IF(OR(AK16="",AK16&lt;0,AU16&lt;=AN16),0,MIN(AU16-AN16,ROUND(AN16*0.4,2))))))</f>
        <v/>
      </c>
    </row>
    <row r="17" spans="2:57" ht="15.95" customHeight="1">
      <c r="B17" s="829"/>
      <c r="C17" s="835"/>
      <c r="D17" s="836"/>
      <c r="E17" s="836"/>
      <c r="F17" s="836"/>
      <c r="G17" s="836"/>
      <c r="H17" s="836"/>
      <c r="I17" s="836"/>
      <c r="J17" s="836"/>
      <c r="K17" s="836"/>
      <c r="L17" s="836"/>
      <c r="M17" s="837"/>
      <c r="N17" s="911"/>
      <c r="O17" s="912"/>
      <c r="P17" s="912"/>
      <c r="Q17" s="912"/>
      <c r="R17" s="912"/>
      <c r="S17" s="913"/>
      <c r="T17" s="949"/>
      <c r="U17" s="950"/>
      <c r="V17" s="848"/>
      <c r="W17" s="849"/>
      <c r="X17" s="835"/>
      <c r="Y17" s="836"/>
      <c r="Z17" s="836"/>
      <c r="AA17" s="837"/>
      <c r="AB17" s="835"/>
      <c r="AC17" s="836"/>
      <c r="AD17" s="837"/>
      <c r="AE17" s="860"/>
      <c r="AF17" s="870"/>
      <c r="AG17" s="860"/>
      <c r="AH17" s="870"/>
      <c r="AI17" s="919"/>
      <c r="AJ17" s="865"/>
      <c r="AK17" s="906"/>
      <c r="AL17" s="907"/>
      <c r="AM17" s="907"/>
      <c r="AN17" s="818"/>
      <c r="AO17" s="819"/>
      <c r="AP17" s="819"/>
      <c r="AQ17" s="820"/>
      <c r="AR17" s="59"/>
      <c r="AU17" s="809"/>
      <c r="AV17" s="901"/>
      <c r="AW17" s="981"/>
      <c r="BC17" s="826"/>
      <c r="BE17" s="807"/>
    </row>
    <row r="18" spans="2:57" ht="15.95" customHeight="1">
      <c r="B18" s="829">
        <v>2</v>
      </c>
      <c r="C18" s="832"/>
      <c r="D18" s="833"/>
      <c r="E18" s="833"/>
      <c r="F18" s="833"/>
      <c r="G18" s="833"/>
      <c r="H18" s="833"/>
      <c r="I18" s="833"/>
      <c r="J18" s="833"/>
      <c r="K18" s="833"/>
      <c r="L18" s="833"/>
      <c r="M18" s="834"/>
      <c r="N18" s="914" t="str">
        <f>IFERROR(IF(C18="","",INDEX(PMEREFRI[Base Desc 1],MATCH(C18,PMEREFRI[Eff Desc 1],0))),"")</f>
        <v/>
      </c>
      <c r="O18" s="915"/>
      <c r="P18" s="915"/>
      <c r="Q18" s="915"/>
      <c r="R18" s="915"/>
      <c r="S18" s="916"/>
      <c r="T18" s="987" t="str">
        <f>IFERROR(IF(C18="","",INDEX(PMEREFRI[Unit of Measure],MATCH(C18,PMEREFRI[Eff Desc 1],0))),"")</f>
        <v/>
      </c>
      <c r="U18" s="988"/>
      <c r="V18" s="846"/>
      <c r="W18" s="847"/>
      <c r="X18" s="832"/>
      <c r="Y18" s="833"/>
      <c r="Z18" s="833"/>
      <c r="AA18" s="834"/>
      <c r="AB18" s="832"/>
      <c r="AC18" s="833"/>
      <c r="AD18" s="834"/>
      <c r="AE18" s="858"/>
      <c r="AF18" s="869"/>
      <c r="AG18" s="858"/>
      <c r="AH18" s="869"/>
      <c r="AI18" s="917" t="str">
        <f>IFERROR(IF(C18="","",INDEX(PMEREFRI[Inc Rate Unit],MATCH(C18,PMEREFRI[Eff Desc 1],0))),"")</f>
        <v/>
      </c>
      <c r="AJ18" s="918"/>
      <c r="AK18" s="904" t="str">
        <f t="shared" ref="AK18" si="0">IF(OR(C18="",V18="",X18="",AB18="",AE18="",AG18=""),"",AW18)</f>
        <v/>
      </c>
      <c r="AL18" s="905"/>
      <c r="AM18" s="969"/>
      <c r="AN18" s="815" t="str">
        <f>IF(OR(C18="",V18="",X18="",AB18="",AE18="",AG18=""),"",IF(BC18&lt;&gt;"",BC18,MIN(AU18,ROUND(V18*AI18,2))))</f>
        <v/>
      </c>
      <c r="AO18" s="816"/>
      <c r="AP18" s="816"/>
      <c r="AQ18" s="817"/>
      <c r="AR18" s="59"/>
      <c r="AU18" s="893" t="str">
        <f t="shared" ref="AU18" si="1">IF(OR(C18="",N18="",T18="",V18="",X18="",AG18="",AE18="",AB18=""),"",IF(AK18="","",ROUND((AE18+AG18),2)))</f>
        <v/>
      </c>
      <c r="AV18" s="900" t="str">
        <f>IF(OR(C18="",V18="",X18="",AB18="",AE18="",AG18=""),"",ROUND((V18*INDEX(PMEREFRI[Savings per Unit kW],MATCH(C18,PMEREFRI[Eff Desc 1],0))),3))</f>
        <v/>
      </c>
      <c r="AW18" s="986" t="str">
        <f>IF(OR(C18="",V18="",X18="",AB18="",AE18="",AG18=""),"",ROUND(V18*INDEX(PMEREFRI[Savings per Unit kWh],MATCH(C18,PMEREFRI[Eff Desc 1],2)),2))</f>
        <v/>
      </c>
      <c r="AY18" s="415"/>
      <c r="BC18" s="892" t="str">
        <f>IF(OR(N18="",T18="",C18="",V18="",X18="",AB18="",AE18="",AG18=""),"",IF(OR(ISBLANK(M02S02F26),ISBLANK(M02S02F32),ISBLANK(M02S02F46)),MEASUREBLDG,""))</f>
        <v/>
      </c>
      <c r="BE18" s="806" t="str">
        <f ca="1">IF(OR(T18="",N18="",C18="",V18="",X18="",AB18="",AE18="",AG18=""),"",IF('M01-S01'!$V$82&lt;TODAY(),0,IF(M02S02F46="Gas Only",0,IF(OR(AK18="",AK18&lt;0,AU18&lt;=AN18),0,MIN(AU18-AN18,ROUND(AN18*0.4,2))))))</f>
        <v/>
      </c>
    </row>
    <row r="19" spans="2:57" ht="15.95" customHeight="1">
      <c r="B19" s="829"/>
      <c r="C19" s="835"/>
      <c r="D19" s="836"/>
      <c r="E19" s="836"/>
      <c r="F19" s="836"/>
      <c r="G19" s="836"/>
      <c r="H19" s="836"/>
      <c r="I19" s="836"/>
      <c r="J19" s="836"/>
      <c r="K19" s="836"/>
      <c r="L19" s="836"/>
      <c r="M19" s="837"/>
      <c r="N19" s="911"/>
      <c r="O19" s="912"/>
      <c r="P19" s="912"/>
      <c r="Q19" s="912"/>
      <c r="R19" s="912"/>
      <c r="S19" s="913"/>
      <c r="T19" s="949"/>
      <c r="U19" s="950"/>
      <c r="V19" s="848"/>
      <c r="W19" s="849"/>
      <c r="X19" s="835"/>
      <c r="Y19" s="836"/>
      <c r="Z19" s="836"/>
      <c r="AA19" s="837"/>
      <c r="AB19" s="835"/>
      <c r="AC19" s="836"/>
      <c r="AD19" s="837"/>
      <c r="AE19" s="860"/>
      <c r="AF19" s="870"/>
      <c r="AG19" s="860"/>
      <c r="AH19" s="870"/>
      <c r="AI19" s="919"/>
      <c r="AJ19" s="865"/>
      <c r="AK19" s="906"/>
      <c r="AL19" s="907"/>
      <c r="AM19" s="936"/>
      <c r="AN19" s="818"/>
      <c r="AO19" s="819"/>
      <c r="AP19" s="819"/>
      <c r="AQ19" s="820"/>
      <c r="AR19" s="59"/>
      <c r="AU19" s="809"/>
      <c r="AV19" s="901"/>
      <c r="AW19" s="981"/>
      <c r="BC19" s="826"/>
      <c r="BE19" s="807"/>
    </row>
    <row r="20" spans="2:57" ht="15.95" customHeight="1">
      <c r="B20" s="829">
        <v>3</v>
      </c>
      <c r="C20" s="832"/>
      <c r="D20" s="833"/>
      <c r="E20" s="833"/>
      <c r="F20" s="833"/>
      <c r="G20" s="833"/>
      <c r="H20" s="833"/>
      <c r="I20" s="833"/>
      <c r="J20" s="833"/>
      <c r="K20" s="833"/>
      <c r="L20" s="833"/>
      <c r="M20" s="834"/>
      <c r="N20" s="914" t="str">
        <f>IFERROR(IF(C20="","",INDEX(PMEREFRI[Base Desc 1],MATCH(C20,PMEREFRI[Eff Desc 1],0))),"")</f>
        <v/>
      </c>
      <c r="O20" s="915"/>
      <c r="P20" s="915"/>
      <c r="Q20" s="915"/>
      <c r="R20" s="915"/>
      <c r="S20" s="916"/>
      <c r="T20" s="987" t="str">
        <f>IFERROR(IF(C20="","",INDEX(PMEREFRI[Unit of Measure],MATCH(C20,PMEREFRI[Eff Desc 1],0))),"")</f>
        <v/>
      </c>
      <c r="U20" s="988"/>
      <c r="V20" s="846"/>
      <c r="W20" s="847"/>
      <c r="X20" s="832"/>
      <c r="Y20" s="833"/>
      <c r="Z20" s="833"/>
      <c r="AA20" s="834"/>
      <c r="AB20" s="832"/>
      <c r="AC20" s="833"/>
      <c r="AD20" s="834"/>
      <c r="AE20" s="858"/>
      <c r="AF20" s="869"/>
      <c r="AG20" s="858"/>
      <c r="AH20" s="869"/>
      <c r="AI20" s="917" t="str">
        <f>IFERROR(IF(C20="","",INDEX(PMEREFRI[Inc Rate Unit],MATCH(C20,PMEREFRI[Eff Desc 1],0))),"")</f>
        <v/>
      </c>
      <c r="AJ20" s="918"/>
      <c r="AK20" s="904" t="str">
        <f t="shared" ref="AK20" si="2">IF(OR(C20="",V20="",X20="",AB20="",AE20="",AG20=""),"",AW20)</f>
        <v/>
      </c>
      <c r="AL20" s="905"/>
      <c r="AM20" s="969"/>
      <c r="AN20" s="815" t="str">
        <f>IF(OR(C20="",V20="",X20="",AB20="",AE20="",AG20=""),"",IF(BC20&lt;&gt;"",BC20,MIN(AU20,ROUND(V20*AI20,2))))</f>
        <v/>
      </c>
      <c r="AO20" s="816"/>
      <c r="AP20" s="816"/>
      <c r="AQ20" s="817"/>
      <c r="AR20" s="59"/>
      <c r="AU20" s="893" t="str">
        <f t="shared" ref="AU20" si="3">IF(OR(C20="",N20="",T20="",V20="",X20="",AG20="",AE20="",AB20=""),"",IF(AK20="","",ROUND((AE20+AG20),2)))</f>
        <v/>
      </c>
      <c r="AV20" s="900" t="str">
        <f>IF(OR(C20="",V20="",X20="",AB20="",AE20="",AG20=""),"",ROUND((V20*INDEX(PMEREFRI[Savings per Unit kW],MATCH(C20,PMEREFRI[Eff Desc 1],0))),3))</f>
        <v/>
      </c>
      <c r="AW20" s="986" t="str">
        <f>IF(OR(C20="",V20="",X20="",AB20="",AE20="",AG20=""),"",ROUND(V20*INDEX(PMEREFRI[Savings per Unit kWh],MATCH(C20,PMEREFRI[Eff Desc 1],2)),2))</f>
        <v/>
      </c>
      <c r="BC20" s="892" t="str">
        <f>IF(OR(N20="",T20="",C20="",V20="",X20="",AB20="",AE20="",AG20=""),"",IF(OR(ISBLANK(M02S02F26),ISBLANK(M02S02F32),ISBLANK(M02S02F46)),MEASUREBLDG,""))</f>
        <v/>
      </c>
      <c r="BE20" s="806" t="str">
        <f ca="1">IF(OR(T20="",N20="",C20="",V20="",X20="",AB20="",AE20="",AG20=""),"",IF('M01-S01'!$V$82&lt;TODAY(),0,IF(M02S02F46="Gas Only",0,IF(OR(AK20="",AK20&lt;0,AU20&lt;=AN20),0,MIN(AU20-AN20,ROUND(AN20*0.4,2))))))</f>
        <v/>
      </c>
    </row>
    <row r="21" spans="2:57" ht="15.95" customHeight="1">
      <c r="B21" s="829"/>
      <c r="C21" s="835"/>
      <c r="D21" s="836"/>
      <c r="E21" s="836"/>
      <c r="F21" s="836"/>
      <c r="G21" s="836"/>
      <c r="H21" s="836"/>
      <c r="I21" s="836"/>
      <c r="J21" s="836"/>
      <c r="K21" s="836"/>
      <c r="L21" s="836"/>
      <c r="M21" s="837"/>
      <c r="N21" s="911"/>
      <c r="O21" s="912"/>
      <c r="P21" s="912"/>
      <c r="Q21" s="912"/>
      <c r="R21" s="912"/>
      <c r="S21" s="913"/>
      <c r="T21" s="949"/>
      <c r="U21" s="950"/>
      <c r="V21" s="848"/>
      <c r="W21" s="849"/>
      <c r="X21" s="835"/>
      <c r="Y21" s="836"/>
      <c r="Z21" s="836"/>
      <c r="AA21" s="837"/>
      <c r="AB21" s="835"/>
      <c r="AC21" s="836"/>
      <c r="AD21" s="837"/>
      <c r="AE21" s="860"/>
      <c r="AF21" s="870"/>
      <c r="AG21" s="860"/>
      <c r="AH21" s="870"/>
      <c r="AI21" s="919"/>
      <c r="AJ21" s="865"/>
      <c r="AK21" s="906"/>
      <c r="AL21" s="907"/>
      <c r="AM21" s="936"/>
      <c r="AN21" s="818"/>
      <c r="AO21" s="819"/>
      <c r="AP21" s="819"/>
      <c r="AQ21" s="820"/>
      <c r="AR21" s="59"/>
      <c r="AU21" s="809"/>
      <c r="AV21" s="901"/>
      <c r="AW21" s="981"/>
      <c r="BC21" s="826"/>
      <c r="BE21" s="807"/>
    </row>
    <row r="22" spans="2:57" ht="15.95" customHeight="1">
      <c r="B22" s="829">
        <v>4</v>
      </c>
      <c r="C22" s="832"/>
      <c r="D22" s="833"/>
      <c r="E22" s="833"/>
      <c r="F22" s="833"/>
      <c r="G22" s="833"/>
      <c r="H22" s="833"/>
      <c r="I22" s="833"/>
      <c r="J22" s="833"/>
      <c r="K22" s="833"/>
      <c r="L22" s="833"/>
      <c r="M22" s="834"/>
      <c r="N22" s="914" t="str">
        <f>IFERROR(IF(C22="","",INDEX(PMEREFRI[Base Desc 1],MATCH(C22,PMEREFRI[Eff Desc 1],0))),"")</f>
        <v/>
      </c>
      <c r="O22" s="915"/>
      <c r="P22" s="915"/>
      <c r="Q22" s="915"/>
      <c r="R22" s="915"/>
      <c r="S22" s="916"/>
      <c r="T22" s="987" t="str">
        <f>IFERROR(IF(C22="","",INDEX(PMEREFRI[Unit of Measure],MATCH(C22,PMEREFRI[Eff Desc 1],0))),"")</f>
        <v/>
      </c>
      <c r="U22" s="988"/>
      <c r="V22" s="846"/>
      <c r="W22" s="847"/>
      <c r="X22" s="832"/>
      <c r="Y22" s="833"/>
      <c r="Z22" s="833"/>
      <c r="AA22" s="834"/>
      <c r="AB22" s="832"/>
      <c r="AC22" s="833"/>
      <c r="AD22" s="834"/>
      <c r="AE22" s="858"/>
      <c r="AF22" s="869"/>
      <c r="AG22" s="858"/>
      <c r="AH22" s="869"/>
      <c r="AI22" s="917" t="str">
        <f>IFERROR(IF(C22="","",INDEX(PMEREFRI[Inc Rate Unit],MATCH(C22,PMEREFRI[Eff Desc 1],0))),"")</f>
        <v/>
      </c>
      <c r="AJ22" s="918"/>
      <c r="AK22" s="904" t="str">
        <f t="shared" ref="AK22" si="4">IF(OR(C22="",V22="",X22="",AB22="",AE22="",AG22=""),"",AW22)</f>
        <v/>
      </c>
      <c r="AL22" s="905"/>
      <c r="AM22" s="969"/>
      <c r="AN22" s="815" t="str">
        <f t="shared" ref="AN22" si="5">IF(OR(C22="",V22="",X22="",AB22="",AE22="",AG22=""),"",IF(BC22&lt;&gt;"",BC22,MIN(AU22,ROUND(V22*AI22,2))))</f>
        <v/>
      </c>
      <c r="AO22" s="816"/>
      <c r="AP22" s="816"/>
      <c r="AQ22" s="817"/>
      <c r="AR22" s="59"/>
      <c r="AU22" s="893" t="str">
        <f t="shared" ref="AU22" si="6">IF(OR(C22="",N22="",T22="",V22="",X22="",AG22="",AE22="",AB22=""),"",IF(AK22="","",ROUND((AE22+AG22),2)))</f>
        <v/>
      </c>
      <c r="AV22" s="900" t="str">
        <f>IF(OR(C22="",V22="",X22="",AB22="",AE22="",AG22=""),"",ROUND((V22*INDEX(PMEREFRI[Savings per Unit kW],MATCH(C22,PMEREFRI[Eff Desc 1],0))),3))</f>
        <v/>
      </c>
      <c r="AW22" s="986" t="str">
        <f>IF(OR(C22="",V22="",X22="",AB22="",AE22="",AG22=""),"",ROUND(V22*INDEX(PMEREFRI[Savings per Unit kWh],MATCH(C22,PMEREFRI[Eff Desc 1],2)),2))</f>
        <v/>
      </c>
      <c r="BC22" s="892" t="str">
        <f>IF(OR(N22="",T22="",C22="",V22="",X22="",AB22="",AE22="",AG22=""),"",IF(OR(ISBLANK(M02S02F26),ISBLANK(M02S02F32),ISBLANK(M02S02F46)),MEASUREBLDG,""))</f>
        <v/>
      </c>
      <c r="BE22" s="806" t="str">
        <f ca="1">IF(OR(T22="",N22="",C22="",V22="",X22="",AB22="",AE22="",AG22=""),"",IF('M01-S01'!$V$82&lt;TODAY(),0,IF(M02S02F46="Gas Only",0,IF(OR(AK22="",AK22&lt;0,AU22&lt;=AN22),0,MIN(AU22-AN22,ROUND(AN22*0.4,2))))))</f>
        <v/>
      </c>
    </row>
    <row r="23" spans="2:57" ht="15.95" customHeight="1">
      <c r="B23" s="829"/>
      <c r="C23" s="835"/>
      <c r="D23" s="836"/>
      <c r="E23" s="836"/>
      <c r="F23" s="836"/>
      <c r="G23" s="836"/>
      <c r="H23" s="836"/>
      <c r="I23" s="836"/>
      <c r="J23" s="836"/>
      <c r="K23" s="836"/>
      <c r="L23" s="836"/>
      <c r="M23" s="837"/>
      <c r="N23" s="911"/>
      <c r="O23" s="912"/>
      <c r="P23" s="912"/>
      <c r="Q23" s="912"/>
      <c r="R23" s="912"/>
      <c r="S23" s="913"/>
      <c r="T23" s="949"/>
      <c r="U23" s="950"/>
      <c r="V23" s="848"/>
      <c r="W23" s="849"/>
      <c r="X23" s="835"/>
      <c r="Y23" s="836"/>
      <c r="Z23" s="836"/>
      <c r="AA23" s="837"/>
      <c r="AB23" s="835"/>
      <c r="AC23" s="836"/>
      <c r="AD23" s="837"/>
      <c r="AE23" s="860"/>
      <c r="AF23" s="870"/>
      <c r="AG23" s="860"/>
      <c r="AH23" s="870"/>
      <c r="AI23" s="919"/>
      <c r="AJ23" s="865"/>
      <c r="AK23" s="906"/>
      <c r="AL23" s="907"/>
      <c r="AM23" s="936"/>
      <c r="AN23" s="818"/>
      <c r="AO23" s="819"/>
      <c r="AP23" s="819"/>
      <c r="AQ23" s="820"/>
      <c r="AR23" s="59"/>
      <c r="AU23" s="809"/>
      <c r="AV23" s="901"/>
      <c r="AW23" s="981"/>
      <c r="BC23" s="826"/>
      <c r="BE23" s="807"/>
    </row>
    <row r="24" spans="2:57" ht="15.95" customHeight="1">
      <c r="B24" s="829">
        <v>5</v>
      </c>
      <c r="C24" s="832"/>
      <c r="D24" s="833"/>
      <c r="E24" s="833"/>
      <c r="F24" s="833"/>
      <c r="G24" s="833"/>
      <c r="H24" s="833"/>
      <c r="I24" s="833"/>
      <c r="J24" s="833"/>
      <c r="K24" s="833"/>
      <c r="L24" s="833"/>
      <c r="M24" s="834"/>
      <c r="N24" s="914" t="str">
        <f>IFERROR(IF(C24="","",INDEX(PMEREFRI[Base Desc 1],MATCH(C24,PMEREFRI[Eff Desc 1],0))),"")</f>
        <v/>
      </c>
      <c r="O24" s="915"/>
      <c r="P24" s="915"/>
      <c r="Q24" s="915"/>
      <c r="R24" s="915"/>
      <c r="S24" s="916"/>
      <c r="T24" s="987" t="str">
        <f>IFERROR(IF(C24="","",INDEX(PMEREFRI[Unit of Measure],MATCH(C24,PMEREFRI[Eff Desc 1],0))),"")</f>
        <v/>
      </c>
      <c r="U24" s="988"/>
      <c r="V24" s="846"/>
      <c r="W24" s="847"/>
      <c r="X24" s="832"/>
      <c r="Y24" s="833"/>
      <c r="Z24" s="833"/>
      <c r="AA24" s="834"/>
      <c r="AB24" s="832"/>
      <c r="AC24" s="833"/>
      <c r="AD24" s="834"/>
      <c r="AE24" s="858"/>
      <c r="AF24" s="869"/>
      <c r="AG24" s="858"/>
      <c r="AH24" s="869"/>
      <c r="AI24" s="917" t="str">
        <f>IFERROR(IF(C24="","",INDEX(PMEREFRI[Inc Rate Unit],MATCH(C24,PMEREFRI[Eff Desc 1],0))),"")</f>
        <v/>
      </c>
      <c r="AJ24" s="918"/>
      <c r="AK24" s="904" t="str">
        <f t="shared" ref="AK24" si="7">IF(OR(C24="",V24="",X24="",AB24="",AE24="",AG24=""),"",AW24)</f>
        <v/>
      </c>
      <c r="AL24" s="905"/>
      <c r="AM24" s="969"/>
      <c r="AN24" s="815" t="str">
        <f t="shared" ref="AN24" si="8">IF(OR(C24="",V24="",X24="",AB24="",AE24="",AG24=""),"",IF(BC24&lt;&gt;"",BC24,MIN(AU24,ROUND(V24*AI24,2))))</f>
        <v/>
      </c>
      <c r="AO24" s="816"/>
      <c r="AP24" s="816"/>
      <c r="AQ24" s="817"/>
      <c r="AR24" s="59"/>
      <c r="AU24" s="893" t="str">
        <f t="shared" ref="AU24" si="9">IF(OR(C24="",N24="",T24="",V24="",X24="",AG24="",AE24="",AB24=""),"",IF(AK24="","",ROUND((AE24+AG24),2)))</f>
        <v/>
      </c>
      <c r="AV24" s="900" t="str">
        <f>IF(OR(C24="",V24="",X24="",AB24="",AE24="",AG24=""),"",ROUND((V24*INDEX(PMEREFRI[Savings per Unit kW],MATCH(C24,PMEREFRI[Eff Desc 1],0))),3))</f>
        <v/>
      </c>
      <c r="AW24" s="986" t="str">
        <f>IF(OR(C24="",V24="",X24="",AB24="",AE24="",AG24=""),"",ROUND(V24*INDEX(PMEREFRI[Savings per Unit kWh],MATCH(C24,PMEREFRI[Eff Desc 1],2)),2))</f>
        <v/>
      </c>
      <c r="BC24" s="892" t="str">
        <f>IF(OR(N24="",T24="",C24="",V24="",X24="",AB24="",AE24="",AG24=""),"",IF(OR(ISBLANK(M02S02F26),ISBLANK(M02S02F32),ISBLANK(M02S02F46)),MEASUREBLDG,""))</f>
        <v/>
      </c>
      <c r="BE24" s="806" t="str">
        <f ca="1">IF(OR(T24="",N24="",C24="",V24="",X24="",AB24="",AE24="",AG24=""),"",IF('M01-S01'!$V$82&lt;TODAY(),0,IF(M02S02F46="Gas Only",0,IF(OR(AK24="",AK24&lt;0,AU24&lt;=AN24),0,MIN(AU24-AN24,ROUND(AN24*0.4,2))))))</f>
        <v/>
      </c>
    </row>
    <row r="25" spans="2:57" ht="15.95" customHeight="1">
      <c r="B25" s="829"/>
      <c r="C25" s="835"/>
      <c r="D25" s="836"/>
      <c r="E25" s="836"/>
      <c r="F25" s="836"/>
      <c r="G25" s="836"/>
      <c r="H25" s="836"/>
      <c r="I25" s="836"/>
      <c r="J25" s="836"/>
      <c r="K25" s="836"/>
      <c r="L25" s="836"/>
      <c r="M25" s="837"/>
      <c r="N25" s="911"/>
      <c r="O25" s="912"/>
      <c r="P25" s="912"/>
      <c r="Q25" s="912"/>
      <c r="R25" s="912"/>
      <c r="S25" s="913"/>
      <c r="T25" s="949"/>
      <c r="U25" s="950"/>
      <c r="V25" s="848"/>
      <c r="W25" s="849"/>
      <c r="X25" s="835"/>
      <c r="Y25" s="836"/>
      <c r="Z25" s="836"/>
      <c r="AA25" s="837"/>
      <c r="AB25" s="835"/>
      <c r="AC25" s="836"/>
      <c r="AD25" s="837"/>
      <c r="AE25" s="860"/>
      <c r="AF25" s="870"/>
      <c r="AG25" s="860"/>
      <c r="AH25" s="870"/>
      <c r="AI25" s="919"/>
      <c r="AJ25" s="865"/>
      <c r="AK25" s="906"/>
      <c r="AL25" s="907"/>
      <c r="AM25" s="936"/>
      <c r="AN25" s="818"/>
      <c r="AO25" s="819"/>
      <c r="AP25" s="819"/>
      <c r="AQ25" s="820"/>
      <c r="AR25" s="59"/>
      <c r="AU25" s="809"/>
      <c r="AV25" s="901"/>
      <c r="AW25" s="981"/>
      <c r="BC25" s="826"/>
      <c r="BE25" s="807"/>
    </row>
    <row r="26" spans="2:57" ht="15.95" customHeight="1">
      <c r="B26" s="829">
        <v>6</v>
      </c>
      <c r="C26" s="832"/>
      <c r="D26" s="833"/>
      <c r="E26" s="833"/>
      <c r="F26" s="833"/>
      <c r="G26" s="833"/>
      <c r="H26" s="833"/>
      <c r="I26" s="833"/>
      <c r="J26" s="833"/>
      <c r="K26" s="833"/>
      <c r="L26" s="833"/>
      <c r="M26" s="834"/>
      <c r="N26" s="914" t="str">
        <f>IFERROR(IF(C26="","",INDEX(PMEREFRI[Base Desc 1],MATCH(C26,PMEREFRI[Eff Desc 1],0))),"")</f>
        <v/>
      </c>
      <c r="O26" s="915"/>
      <c r="P26" s="915"/>
      <c r="Q26" s="915"/>
      <c r="R26" s="915"/>
      <c r="S26" s="916"/>
      <c r="T26" s="987" t="str">
        <f>IFERROR(IF(C26="","",INDEX(PMEREFRI[Unit of Measure],MATCH(C26,PMEREFRI[Eff Desc 1],0))),"")</f>
        <v/>
      </c>
      <c r="U26" s="988"/>
      <c r="V26" s="846"/>
      <c r="W26" s="847"/>
      <c r="X26" s="832"/>
      <c r="Y26" s="833"/>
      <c r="Z26" s="833"/>
      <c r="AA26" s="834"/>
      <c r="AB26" s="832"/>
      <c r="AC26" s="833"/>
      <c r="AD26" s="834"/>
      <c r="AE26" s="858"/>
      <c r="AF26" s="869"/>
      <c r="AG26" s="858"/>
      <c r="AH26" s="869"/>
      <c r="AI26" s="917" t="str">
        <f>IFERROR(IF(C26="","",INDEX(PMEREFRI[Inc Rate Unit],MATCH(C26,PMEREFRI[Eff Desc 1],0))),"")</f>
        <v/>
      </c>
      <c r="AJ26" s="918"/>
      <c r="AK26" s="904" t="str">
        <f t="shared" ref="AK26" si="10">IF(OR(C26="",V26="",X26="",AB26="",AE26="",AG26=""),"",AW26)</f>
        <v/>
      </c>
      <c r="AL26" s="905"/>
      <c r="AM26" s="969"/>
      <c r="AN26" s="815" t="str">
        <f t="shared" ref="AN26" si="11">IF(OR(C26="",V26="",X26="",AB26="",AE26="",AG26=""),"",IF(BC26&lt;&gt;"",BC26,MIN(AU26,ROUND(V26*AI26,2))))</f>
        <v/>
      </c>
      <c r="AO26" s="816"/>
      <c r="AP26" s="816"/>
      <c r="AQ26" s="817"/>
      <c r="AR26" s="59"/>
      <c r="AU26" s="893" t="str">
        <f t="shared" ref="AU26" si="12">IF(OR(C26="",N26="",T26="",V26="",X26="",AG26="",AE26="",AB26=""),"",IF(AK26="","",ROUND((AE26+AG26),2)))</f>
        <v/>
      </c>
      <c r="AV26" s="900" t="str">
        <f>IF(OR(C26="",V26="",X26="",AB26="",AE26="",AG26=""),"",ROUND((V26*INDEX(PMEREFRI[Savings per Unit kW],MATCH(C26,PMEREFRI[Eff Desc 1],0))),3))</f>
        <v/>
      </c>
      <c r="AW26" s="986" t="str">
        <f>IF(OR(C26="",V26="",X26="",AB26="",AE26="",AG26=""),"",ROUND(V26*INDEX(PMEREFRI[Savings per Unit kWh],MATCH(C26,PMEREFRI[Eff Desc 1],2)),2))</f>
        <v/>
      </c>
      <c r="BC26" s="892" t="str">
        <f>IF(OR(N26="",T26="",C26="",V26="",X26="",AB26="",AE26="",AG26=""),"",IF(OR(ISBLANK(M02S02F26),ISBLANK(M02S02F32),ISBLANK(M02S02F46)),MEASUREBLDG,""))</f>
        <v/>
      </c>
      <c r="BE26" s="806" t="str">
        <f ca="1">IF(OR(T26="",N26="",C26="",V26="",X26="",AB26="",AE26="",AG26=""),"",IF('M01-S01'!$V$82&lt;TODAY(),0,IF(M02S02F46="Gas Only",0,IF(OR(AK26="",AK26&lt;0,AU26&lt;=AN26),0,MIN(AU26-AN26,ROUND(AN26*0.4,2))))))</f>
        <v/>
      </c>
    </row>
    <row r="27" spans="2:57" ht="15.95" customHeight="1">
      <c r="B27" s="829"/>
      <c r="C27" s="835"/>
      <c r="D27" s="836"/>
      <c r="E27" s="836"/>
      <c r="F27" s="836"/>
      <c r="G27" s="836"/>
      <c r="H27" s="836"/>
      <c r="I27" s="836"/>
      <c r="J27" s="836"/>
      <c r="K27" s="836"/>
      <c r="L27" s="836"/>
      <c r="M27" s="837"/>
      <c r="N27" s="911"/>
      <c r="O27" s="912"/>
      <c r="P27" s="912"/>
      <c r="Q27" s="912"/>
      <c r="R27" s="912"/>
      <c r="S27" s="913"/>
      <c r="T27" s="949"/>
      <c r="U27" s="950"/>
      <c r="V27" s="848"/>
      <c r="W27" s="849"/>
      <c r="X27" s="835"/>
      <c r="Y27" s="836"/>
      <c r="Z27" s="836"/>
      <c r="AA27" s="837"/>
      <c r="AB27" s="835"/>
      <c r="AC27" s="836"/>
      <c r="AD27" s="837"/>
      <c r="AE27" s="860"/>
      <c r="AF27" s="870"/>
      <c r="AG27" s="860"/>
      <c r="AH27" s="870"/>
      <c r="AI27" s="919"/>
      <c r="AJ27" s="865"/>
      <c r="AK27" s="906"/>
      <c r="AL27" s="907"/>
      <c r="AM27" s="936"/>
      <c r="AN27" s="818"/>
      <c r="AO27" s="819"/>
      <c r="AP27" s="819"/>
      <c r="AQ27" s="820"/>
      <c r="AR27" s="59"/>
      <c r="AU27" s="809"/>
      <c r="AV27" s="901"/>
      <c r="AW27" s="981"/>
      <c r="BC27" s="826"/>
      <c r="BE27" s="807"/>
    </row>
    <row r="28" spans="2:57" ht="15.95" customHeight="1">
      <c r="B28" s="829">
        <v>7</v>
      </c>
      <c r="C28" s="832"/>
      <c r="D28" s="833"/>
      <c r="E28" s="833"/>
      <c r="F28" s="833"/>
      <c r="G28" s="833"/>
      <c r="H28" s="833"/>
      <c r="I28" s="833"/>
      <c r="J28" s="833"/>
      <c r="K28" s="833"/>
      <c r="L28" s="833"/>
      <c r="M28" s="834"/>
      <c r="N28" s="914" t="str">
        <f>IFERROR(IF(C28="","",INDEX(PMEREFRI[Base Desc 1],MATCH(C28,PMEREFRI[Eff Desc 1],0))),"")</f>
        <v/>
      </c>
      <c r="O28" s="915"/>
      <c r="P28" s="915"/>
      <c r="Q28" s="915"/>
      <c r="R28" s="915"/>
      <c r="S28" s="916"/>
      <c r="T28" s="987" t="str">
        <f>IFERROR(IF(C28="","",INDEX(PMEREFRI[Unit of Measure],MATCH(C28,PMEREFRI[Eff Desc 1],0))),"")</f>
        <v/>
      </c>
      <c r="U28" s="988"/>
      <c r="V28" s="846"/>
      <c r="W28" s="847"/>
      <c r="X28" s="832"/>
      <c r="Y28" s="833"/>
      <c r="Z28" s="833"/>
      <c r="AA28" s="834"/>
      <c r="AB28" s="832"/>
      <c r="AC28" s="833"/>
      <c r="AD28" s="834"/>
      <c r="AE28" s="858"/>
      <c r="AF28" s="869"/>
      <c r="AG28" s="858"/>
      <c r="AH28" s="869"/>
      <c r="AI28" s="917" t="str">
        <f>IFERROR(IF(C28="","",INDEX(PMEREFRI[Inc Rate Unit],MATCH(C28,PMEREFRI[Eff Desc 1],0))),"")</f>
        <v/>
      </c>
      <c r="AJ28" s="918"/>
      <c r="AK28" s="904" t="str">
        <f t="shared" ref="AK28" si="13">IF(OR(C28="",V28="",X28="",AB28="",AE28="",AG28=""),"",AW28)</f>
        <v/>
      </c>
      <c r="AL28" s="905"/>
      <c r="AM28" s="969"/>
      <c r="AN28" s="815" t="str">
        <f t="shared" ref="AN28" si="14">IF(OR(C28="",V28="",X28="",AB28="",AE28="",AG28=""),"",IF(BC28&lt;&gt;"",BC28,MIN(AU28,ROUND(V28*AI28,2))))</f>
        <v/>
      </c>
      <c r="AO28" s="816"/>
      <c r="AP28" s="816"/>
      <c r="AQ28" s="817"/>
      <c r="AR28" s="59"/>
      <c r="AU28" s="893" t="str">
        <f t="shared" ref="AU28" si="15">IF(OR(C28="",N28="",T28="",V28="",X28="",AG28="",AE28="",AB28=""),"",IF(AK28="","",ROUND((AE28+AG28),2)))</f>
        <v/>
      </c>
      <c r="AV28" s="900" t="str">
        <f>IF(OR(C28="",V28="",X28="",AB28="",AE28="",AG28=""),"",ROUND((V28*INDEX(PMEREFRI[Savings per Unit kW],MATCH(C28,PMEREFRI[Eff Desc 1],0))),3))</f>
        <v/>
      </c>
      <c r="AW28" s="986" t="str">
        <f>IF(OR(C28="",V28="",X28="",AB28="",AE28="",AG28=""),"",ROUND(V28*INDEX(PMEREFRI[Savings per Unit kWh],MATCH(C28,PMEREFRI[Eff Desc 1],2)),2))</f>
        <v/>
      </c>
      <c r="BC28" s="892" t="str">
        <f>IF(OR(N28="",T28="",C28="",V28="",X28="",AB28="",AE28="",AG28=""),"",IF(OR(ISBLANK(M02S02F26),ISBLANK(M02S02F32),ISBLANK(M02S02F46)),MEASUREBLDG,""))</f>
        <v/>
      </c>
      <c r="BE28" s="806" t="str">
        <f ca="1">IF(OR(T28="",N28="",C28="",V28="",X28="",AB28="",AE28="",AG28=""),"",IF('M01-S01'!$V$82&lt;TODAY(),0,IF(M02S02F46="Gas Only",0,IF(OR(AK28="",AK28&lt;0,AU28&lt;=AN28),0,MIN(AU28-AN28,ROUND(AN28*0.4,2))))))</f>
        <v/>
      </c>
    </row>
    <row r="29" spans="2:57" ht="15.95" customHeight="1">
      <c r="B29" s="829"/>
      <c r="C29" s="835"/>
      <c r="D29" s="836"/>
      <c r="E29" s="836"/>
      <c r="F29" s="836"/>
      <c r="G29" s="836"/>
      <c r="H29" s="836"/>
      <c r="I29" s="836"/>
      <c r="J29" s="836"/>
      <c r="K29" s="836"/>
      <c r="L29" s="836"/>
      <c r="M29" s="837"/>
      <c r="N29" s="911"/>
      <c r="O29" s="912"/>
      <c r="P29" s="912"/>
      <c r="Q29" s="912"/>
      <c r="R29" s="912"/>
      <c r="S29" s="913"/>
      <c r="T29" s="949"/>
      <c r="U29" s="950"/>
      <c r="V29" s="848"/>
      <c r="W29" s="849"/>
      <c r="X29" s="835"/>
      <c r="Y29" s="836"/>
      <c r="Z29" s="836"/>
      <c r="AA29" s="837"/>
      <c r="AB29" s="835"/>
      <c r="AC29" s="836"/>
      <c r="AD29" s="837"/>
      <c r="AE29" s="860"/>
      <c r="AF29" s="870"/>
      <c r="AG29" s="860"/>
      <c r="AH29" s="870"/>
      <c r="AI29" s="919"/>
      <c r="AJ29" s="865"/>
      <c r="AK29" s="906"/>
      <c r="AL29" s="907"/>
      <c r="AM29" s="936"/>
      <c r="AN29" s="818"/>
      <c r="AO29" s="819"/>
      <c r="AP29" s="819"/>
      <c r="AQ29" s="820"/>
      <c r="AR29" s="59"/>
      <c r="AU29" s="809"/>
      <c r="AV29" s="901"/>
      <c r="AW29" s="981"/>
      <c r="BC29" s="826"/>
      <c r="BE29" s="807"/>
    </row>
    <row r="30" spans="2:57" ht="15.95" customHeight="1">
      <c r="B30" s="829">
        <v>8</v>
      </c>
      <c r="C30" s="832"/>
      <c r="D30" s="833"/>
      <c r="E30" s="833"/>
      <c r="F30" s="833"/>
      <c r="G30" s="833"/>
      <c r="H30" s="833"/>
      <c r="I30" s="833"/>
      <c r="J30" s="833"/>
      <c r="K30" s="833"/>
      <c r="L30" s="833"/>
      <c r="M30" s="834"/>
      <c r="N30" s="914" t="str">
        <f>IFERROR(IF(C30="","",INDEX(PMEREFRI[Base Desc 1],MATCH(C30,PMEREFRI[Eff Desc 1],0))),"")</f>
        <v/>
      </c>
      <c r="O30" s="915"/>
      <c r="P30" s="915"/>
      <c r="Q30" s="915"/>
      <c r="R30" s="915"/>
      <c r="S30" s="916"/>
      <c r="T30" s="987" t="str">
        <f>IFERROR(IF(C30="","",INDEX(PMEREFRI[Unit of Measure],MATCH(C30,PMEREFRI[Eff Desc 1],0))),"")</f>
        <v/>
      </c>
      <c r="U30" s="988"/>
      <c r="V30" s="846"/>
      <c r="W30" s="847"/>
      <c r="X30" s="832"/>
      <c r="Y30" s="833"/>
      <c r="Z30" s="833"/>
      <c r="AA30" s="834"/>
      <c r="AB30" s="832"/>
      <c r="AC30" s="833"/>
      <c r="AD30" s="834"/>
      <c r="AE30" s="858"/>
      <c r="AF30" s="869"/>
      <c r="AG30" s="858"/>
      <c r="AH30" s="869"/>
      <c r="AI30" s="917" t="str">
        <f>IFERROR(IF(C30="","",INDEX(PMEREFRI[Inc Rate Unit],MATCH(C30,PMEREFRI[Eff Desc 1],0))),"")</f>
        <v/>
      </c>
      <c r="AJ30" s="918"/>
      <c r="AK30" s="904" t="str">
        <f t="shared" ref="AK30" si="16">IF(OR(C30="",V30="",X30="",AB30="",AE30="",AG30=""),"",AW30)</f>
        <v/>
      </c>
      <c r="AL30" s="905"/>
      <c r="AM30" s="969"/>
      <c r="AN30" s="815" t="str">
        <f t="shared" ref="AN30" si="17">IF(OR(C30="",V30="",X30="",AB30="",AE30="",AG30=""),"",IF(BC30&lt;&gt;"",BC30,MIN(AU30,ROUND(V30*AI30,2))))</f>
        <v/>
      </c>
      <c r="AO30" s="816"/>
      <c r="AP30" s="816"/>
      <c r="AQ30" s="817"/>
      <c r="AR30" s="59"/>
      <c r="AU30" s="893" t="str">
        <f t="shared" ref="AU30" si="18">IF(OR(C30="",N30="",T30="",V30="",X30="",AG30="",AE30="",AB30=""),"",IF(AK30="","",ROUND((AE30+AG30),2)))</f>
        <v/>
      </c>
      <c r="AV30" s="900" t="str">
        <f>IF(OR(C30="",V30="",X30="",AB30="",AE30="",AG30=""),"",ROUND((V30*INDEX(PMEREFRI[Savings per Unit kW],MATCH(C30,PMEREFRI[Eff Desc 1],0))),3))</f>
        <v/>
      </c>
      <c r="AW30" s="986" t="str">
        <f>IF(OR(C30="",V30="",X30="",AB30="",AE30="",AG30=""),"",ROUND(V30*INDEX(PMEREFRI[Savings per Unit kWh],MATCH(C30,PMEREFRI[Eff Desc 1],2)),2))</f>
        <v/>
      </c>
      <c r="BC30" s="892" t="str">
        <f>IF(OR(N30="",T30="",C30="",V30="",X30="",AB30="",AE30="",AG30=""),"",IF(OR(ISBLANK(M02S02F26),ISBLANK(M02S02F32),ISBLANK(M02S02F46)),MEASUREBLDG,""))</f>
        <v/>
      </c>
      <c r="BE30" s="806" t="str">
        <f ca="1">IF(OR(T30="",N30="",C30="",V30="",X30="",AB30="",AE30="",AG30=""),"",IF('M01-S01'!$V$82&lt;TODAY(),0,IF(M02S02F46="Gas Only",0,IF(OR(AK30="",AK30&lt;0,AU30&lt;=AN30),0,MIN(AU30-AN30,ROUND(AN30*0.4,2))))))</f>
        <v/>
      </c>
    </row>
    <row r="31" spans="2:57" ht="15.95" customHeight="1">
      <c r="B31" s="829"/>
      <c r="C31" s="835"/>
      <c r="D31" s="836"/>
      <c r="E31" s="836"/>
      <c r="F31" s="836"/>
      <c r="G31" s="836"/>
      <c r="H31" s="836"/>
      <c r="I31" s="836"/>
      <c r="J31" s="836"/>
      <c r="K31" s="836"/>
      <c r="L31" s="836"/>
      <c r="M31" s="837"/>
      <c r="N31" s="911"/>
      <c r="O31" s="912"/>
      <c r="P31" s="912"/>
      <c r="Q31" s="912"/>
      <c r="R31" s="912"/>
      <c r="S31" s="913"/>
      <c r="T31" s="949"/>
      <c r="U31" s="950"/>
      <c r="V31" s="848"/>
      <c r="W31" s="849"/>
      <c r="X31" s="835"/>
      <c r="Y31" s="836"/>
      <c r="Z31" s="836"/>
      <c r="AA31" s="837"/>
      <c r="AB31" s="835"/>
      <c r="AC31" s="836"/>
      <c r="AD31" s="837"/>
      <c r="AE31" s="860"/>
      <c r="AF31" s="870"/>
      <c r="AG31" s="860"/>
      <c r="AH31" s="870"/>
      <c r="AI31" s="919"/>
      <c r="AJ31" s="865"/>
      <c r="AK31" s="906"/>
      <c r="AL31" s="907"/>
      <c r="AM31" s="936"/>
      <c r="AN31" s="818"/>
      <c r="AO31" s="819"/>
      <c r="AP31" s="819"/>
      <c r="AQ31" s="820"/>
      <c r="AR31" s="59"/>
      <c r="AU31" s="809"/>
      <c r="AV31" s="901"/>
      <c r="AW31" s="981"/>
      <c r="BC31" s="826"/>
      <c r="BE31" s="807"/>
    </row>
    <row r="32" spans="2:57" ht="15.95" customHeight="1">
      <c r="B32" s="829">
        <v>9</v>
      </c>
      <c r="C32" s="832"/>
      <c r="D32" s="833"/>
      <c r="E32" s="833"/>
      <c r="F32" s="833"/>
      <c r="G32" s="833"/>
      <c r="H32" s="833"/>
      <c r="I32" s="833"/>
      <c r="J32" s="833"/>
      <c r="K32" s="833"/>
      <c r="L32" s="833"/>
      <c r="M32" s="834"/>
      <c r="N32" s="914" t="str">
        <f>IFERROR(IF(C32="","",INDEX(PMEREFRI[Base Desc 1],MATCH(C32,PMEREFRI[Eff Desc 1],0))),"")</f>
        <v/>
      </c>
      <c r="O32" s="915"/>
      <c r="P32" s="915"/>
      <c r="Q32" s="915"/>
      <c r="R32" s="915"/>
      <c r="S32" s="916"/>
      <c r="T32" s="987" t="str">
        <f>IFERROR(IF(C32="","",INDEX(PMEREFRI[Unit of Measure],MATCH(C32,PMEREFRI[Eff Desc 1],0))),"")</f>
        <v/>
      </c>
      <c r="U32" s="988"/>
      <c r="V32" s="846"/>
      <c r="W32" s="847"/>
      <c r="X32" s="832"/>
      <c r="Y32" s="833"/>
      <c r="Z32" s="833"/>
      <c r="AA32" s="834"/>
      <c r="AB32" s="832"/>
      <c r="AC32" s="833"/>
      <c r="AD32" s="834"/>
      <c r="AE32" s="858"/>
      <c r="AF32" s="869"/>
      <c r="AG32" s="858"/>
      <c r="AH32" s="869"/>
      <c r="AI32" s="917" t="str">
        <f>IFERROR(IF(C32="","",INDEX(PMEREFRI[Inc Rate Unit],MATCH(C32,PMEREFRI[Eff Desc 1],0))),"")</f>
        <v/>
      </c>
      <c r="AJ32" s="918"/>
      <c r="AK32" s="904" t="str">
        <f t="shared" ref="AK32" si="19">IF(OR(C32="",V32="",X32="",AB32="",AE32="",AG32=""),"",AW32)</f>
        <v/>
      </c>
      <c r="AL32" s="905"/>
      <c r="AM32" s="969"/>
      <c r="AN32" s="815" t="str">
        <f t="shared" ref="AN32" si="20">IF(OR(C32="",V32="",X32="",AB32="",AE32="",AG32=""),"",IF(BC32&lt;&gt;"",BC32,MIN(AU32,ROUND(V32*AI32,2))))</f>
        <v/>
      </c>
      <c r="AO32" s="816"/>
      <c r="AP32" s="816"/>
      <c r="AQ32" s="817"/>
      <c r="AR32" s="59"/>
      <c r="AU32" s="893" t="str">
        <f t="shared" ref="AU32" si="21">IF(OR(C32="",N32="",T32="",V32="",X32="",AG32="",AE32="",AB32=""),"",IF(AK32="","",ROUND((AE32+AG32),2)))</f>
        <v/>
      </c>
      <c r="AV32" s="900" t="str">
        <f>IF(OR(C32="",V32="",X32="",AB32="",AE32="",AG32=""),"",ROUND((V32*INDEX(PMEREFRI[Savings per Unit kW],MATCH(C32,PMEREFRI[Eff Desc 1],0))),3))</f>
        <v/>
      </c>
      <c r="AW32" s="986" t="str">
        <f>IF(OR(C32="",V32="",X32="",AB32="",AE32="",AG32=""),"",ROUND(V32*INDEX(PMEREFRI[Savings per Unit kWh],MATCH(C32,PMEREFRI[Eff Desc 1],2)),2))</f>
        <v/>
      </c>
      <c r="BC32" s="892" t="str">
        <f>IF(OR(N32="",T32="",C32="",V32="",X32="",AB32="",AE32="",AG32=""),"",IF(OR(ISBLANK(M02S02F26),ISBLANK(M02S02F32),ISBLANK(M02S02F46)),MEASUREBLDG,""))</f>
        <v/>
      </c>
      <c r="BE32" s="806" t="str">
        <f ca="1">IF(OR(T32="",N32="",C32="",V32="",X32="",AB32="",AE32="",AG32=""),"",IF('M01-S01'!$V$82&lt;TODAY(),0,IF(M02S02F46="Gas Only",0,IF(OR(AK32="",AK32&lt;0,AU32&lt;=AN32),0,MIN(AU32-AN32,ROUND(AN32*0.4,2))))))</f>
        <v/>
      </c>
    </row>
    <row r="33" spans="2:57" ht="15.95" customHeight="1">
      <c r="B33" s="829"/>
      <c r="C33" s="835"/>
      <c r="D33" s="836"/>
      <c r="E33" s="836"/>
      <c r="F33" s="836"/>
      <c r="G33" s="836"/>
      <c r="H33" s="836"/>
      <c r="I33" s="836"/>
      <c r="J33" s="836"/>
      <c r="K33" s="836"/>
      <c r="L33" s="836"/>
      <c r="M33" s="837"/>
      <c r="N33" s="911"/>
      <c r="O33" s="912"/>
      <c r="P33" s="912"/>
      <c r="Q33" s="912"/>
      <c r="R33" s="912"/>
      <c r="S33" s="913"/>
      <c r="T33" s="949"/>
      <c r="U33" s="950"/>
      <c r="V33" s="848"/>
      <c r="W33" s="849"/>
      <c r="X33" s="835"/>
      <c r="Y33" s="836"/>
      <c r="Z33" s="836"/>
      <c r="AA33" s="837"/>
      <c r="AB33" s="835"/>
      <c r="AC33" s="836"/>
      <c r="AD33" s="837"/>
      <c r="AE33" s="860"/>
      <c r="AF33" s="870"/>
      <c r="AG33" s="860"/>
      <c r="AH33" s="870"/>
      <c r="AI33" s="919"/>
      <c r="AJ33" s="865"/>
      <c r="AK33" s="906"/>
      <c r="AL33" s="907"/>
      <c r="AM33" s="936"/>
      <c r="AN33" s="818"/>
      <c r="AO33" s="819"/>
      <c r="AP33" s="819"/>
      <c r="AQ33" s="820"/>
      <c r="AR33" s="59"/>
      <c r="AU33" s="809"/>
      <c r="AV33" s="901"/>
      <c r="AW33" s="981"/>
      <c r="BC33" s="826"/>
      <c r="BE33" s="807"/>
    </row>
    <row r="34" spans="2:57" ht="15.95" customHeight="1">
      <c r="B34" s="829">
        <v>10</v>
      </c>
      <c r="C34" s="832"/>
      <c r="D34" s="833"/>
      <c r="E34" s="833"/>
      <c r="F34" s="833"/>
      <c r="G34" s="833"/>
      <c r="H34" s="833"/>
      <c r="I34" s="833"/>
      <c r="J34" s="833"/>
      <c r="K34" s="833"/>
      <c r="L34" s="833"/>
      <c r="M34" s="834"/>
      <c r="N34" s="914" t="str">
        <f>IFERROR(IF(C34="","",INDEX(PMEREFRI[Base Desc 1],MATCH(C34,PMEREFRI[Eff Desc 1],0))),"")</f>
        <v/>
      </c>
      <c r="O34" s="915"/>
      <c r="P34" s="915"/>
      <c r="Q34" s="915"/>
      <c r="R34" s="915"/>
      <c r="S34" s="916"/>
      <c r="T34" s="987" t="str">
        <f>IFERROR(IF(C34="","",INDEX(PMEREFRI[Unit of Measure],MATCH(C34,PMEREFRI[Eff Desc 1],0))),"")</f>
        <v/>
      </c>
      <c r="U34" s="988"/>
      <c r="V34" s="846"/>
      <c r="W34" s="847"/>
      <c r="X34" s="832"/>
      <c r="Y34" s="833"/>
      <c r="Z34" s="833"/>
      <c r="AA34" s="834"/>
      <c r="AB34" s="832"/>
      <c r="AC34" s="833"/>
      <c r="AD34" s="834"/>
      <c r="AE34" s="858"/>
      <c r="AF34" s="869"/>
      <c r="AG34" s="858"/>
      <c r="AH34" s="869"/>
      <c r="AI34" s="917" t="str">
        <f>IFERROR(IF(C34="","",INDEX(PMEREFRI[Inc Rate Unit],MATCH(C34,PMEREFRI[Eff Desc 1],0))),"")</f>
        <v/>
      </c>
      <c r="AJ34" s="918"/>
      <c r="AK34" s="904" t="str">
        <f t="shared" ref="AK34" si="22">IF(OR(C34="",V34="",X34="",AB34="",AE34="",AG34=""),"",AW34)</f>
        <v/>
      </c>
      <c r="AL34" s="905"/>
      <c r="AM34" s="969"/>
      <c r="AN34" s="815" t="str">
        <f t="shared" ref="AN34" si="23">IF(OR(C34="",V34="",X34="",AB34="",AE34="",AG34=""),"",IF(BC34&lt;&gt;"",BC34,MIN(AU34,ROUND(V34*AI34,2))))</f>
        <v/>
      </c>
      <c r="AO34" s="816"/>
      <c r="AP34" s="816"/>
      <c r="AQ34" s="817"/>
      <c r="AR34" s="59"/>
      <c r="AU34" s="893" t="str">
        <f t="shared" ref="AU34" si="24">IF(OR(C34="",N34="",T34="",V34="",X34="",AG34="",AE34="",AB34=""),"",IF(AK34="","",ROUND((AE34+AG34),2)))</f>
        <v/>
      </c>
      <c r="AV34" s="900" t="str">
        <f>IF(OR(C34="",V34="",X34="",AB34="",AE34="",AG34=""),"",ROUND((V34*INDEX(PMEREFRI[Savings per Unit kW],MATCH(C34,PMEREFRI[Eff Desc 1],0))),3))</f>
        <v/>
      </c>
      <c r="AW34" s="986" t="str">
        <f>IF(OR(C34="",V34="",X34="",AB34="",AE34="",AG34=""),"",ROUND(V34*INDEX(PMEREFRI[Savings per Unit kWh],MATCH(C34,PMEREFRI[Eff Desc 1],2)),2))</f>
        <v/>
      </c>
      <c r="BC34" s="892" t="str">
        <f>IF(OR(N34="",T34="",C34="",V34="",X34="",AB34="",AE34="",AG34=""),"",IF(OR(ISBLANK(M02S02F26),ISBLANK(M02S02F32),ISBLANK(M02S02F46)),MEASUREBLDG,""))</f>
        <v/>
      </c>
      <c r="BE34" s="806" t="str">
        <f ca="1">IF(OR(T34="",N34="",C34="",V34="",X34="",AB34="",AE34="",AG34=""),"",IF('M01-S01'!$V$82&lt;TODAY(),0,IF(M02S02F46="Gas Only",0,IF(OR(AK34="",AK34&lt;0,AU34&lt;=AN34),0,MIN(AU34-AN34,ROUND(AN34*0.4,2))))))</f>
        <v/>
      </c>
    </row>
    <row r="35" spans="2:57" ht="15.95" customHeight="1">
      <c r="B35" s="829"/>
      <c r="C35" s="835"/>
      <c r="D35" s="836"/>
      <c r="E35" s="836"/>
      <c r="F35" s="836"/>
      <c r="G35" s="836"/>
      <c r="H35" s="836"/>
      <c r="I35" s="836"/>
      <c r="J35" s="836"/>
      <c r="K35" s="836"/>
      <c r="L35" s="836"/>
      <c r="M35" s="837"/>
      <c r="N35" s="911"/>
      <c r="O35" s="912"/>
      <c r="P35" s="912"/>
      <c r="Q35" s="912"/>
      <c r="R35" s="912"/>
      <c r="S35" s="913"/>
      <c r="T35" s="949"/>
      <c r="U35" s="950"/>
      <c r="V35" s="848"/>
      <c r="W35" s="849"/>
      <c r="X35" s="835"/>
      <c r="Y35" s="836"/>
      <c r="Z35" s="836"/>
      <c r="AA35" s="837"/>
      <c r="AB35" s="835"/>
      <c r="AC35" s="836"/>
      <c r="AD35" s="837"/>
      <c r="AE35" s="860"/>
      <c r="AF35" s="870"/>
      <c r="AG35" s="860"/>
      <c r="AH35" s="870"/>
      <c r="AI35" s="919"/>
      <c r="AJ35" s="865"/>
      <c r="AK35" s="906"/>
      <c r="AL35" s="907"/>
      <c r="AM35" s="936"/>
      <c r="AN35" s="818"/>
      <c r="AO35" s="819"/>
      <c r="AP35" s="819"/>
      <c r="AQ35" s="820"/>
      <c r="AR35" s="59"/>
      <c r="AU35" s="809"/>
      <c r="AV35" s="901"/>
      <c r="AW35" s="981"/>
      <c r="BC35" s="826"/>
      <c r="BE35" s="807"/>
    </row>
    <row r="36" spans="2:57" ht="15.95" customHeight="1">
      <c r="B36" s="829">
        <v>11</v>
      </c>
      <c r="C36" s="989" t="s">
        <v>1827</v>
      </c>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84" t="s">
        <v>1587</v>
      </c>
      <c r="AF36" s="984"/>
      <c r="AG36" s="984"/>
      <c r="AH36" s="984"/>
      <c r="AI36" s="925"/>
      <c r="AJ36" s="925"/>
      <c r="AK36" s="925"/>
      <c r="AL36" s="925"/>
      <c r="AM36" s="925"/>
      <c r="AN36" s="925"/>
      <c r="AO36" s="925"/>
      <c r="AP36" s="925"/>
      <c r="AQ36" s="863"/>
      <c r="AR36" s="59"/>
      <c r="AU36"/>
      <c r="AV36"/>
      <c r="AW36"/>
      <c r="AX36"/>
      <c r="AY36"/>
      <c r="AZ36"/>
      <c r="BA36"/>
      <c r="BB36"/>
      <c r="BC36"/>
      <c r="BE36" s="806"/>
    </row>
    <row r="37" spans="2:57" ht="15.95" customHeight="1">
      <c r="B37" s="829"/>
      <c r="C37" s="992" t="s">
        <v>99</v>
      </c>
      <c r="D37" s="991"/>
      <c r="E37" s="991"/>
      <c r="F37" s="991"/>
      <c r="G37" s="991"/>
      <c r="H37" s="991"/>
      <c r="I37" s="991"/>
      <c r="J37" s="991"/>
      <c r="K37" s="991"/>
      <c r="L37" s="991"/>
      <c r="M37" s="991"/>
      <c r="N37" s="993" t="s">
        <v>102</v>
      </c>
      <c r="O37" s="993"/>
      <c r="P37" s="993"/>
      <c r="Q37" s="993"/>
      <c r="R37" s="993"/>
      <c r="S37" s="993"/>
      <c r="T37" s="991" t="s">
        <v>146</v>
      </c>
      <c r="U37" s="991"/>
      <c r="V37" s="991" t="s">
        <v>1830</v>
      </c>
      <c r="W37" s="991"/>
      <c r="X37" s="991" t="s">
        <v>1829</v>
      </c>
      <c r="Y37" s="991"/>
      <c r="Z37" s="513" t="s">
        <v>1828</v>
      </c>
      <c r="AA37" s="991" t="s">
        <v>1831</v>
      </c>
      <c r="AB37" s="991"/>
      <c r="AC37" s="991" t="s">
        <v>95</v>
      </c>
      <c r="AD37" s="991"/>
      <c r="AE37" s="985" t="s">
        <v>110</v>
      </c>
      <c r="AF37" s="985"/>
      <c r="AG37" s="985" t="s">
        <v>111</v>
      </c>
      <c r="AH37" s="985"/>
      <c r="AI37" s="926"/>
      <c r="AJ37" s="926"/>
      <c r="AK37" s="926"/>
      <c r="AL37" s="926"/>
      <c r="AM37" s="926"/>
      <c r="AN37" s="926"/>
      <c r="AO37" s="926"/>
      <c r="AP37" s="926"/>
      <c r="AQ37" s="865"/>
      <c r="AR37" s="59"/>
      <c r="AU37"/>
      <c r="AV37"/>
      <c r="AW37"/>
      <c r="AX37"/>
      <c r="AY37"/>
      <c r="AZ37"/>
      <c r="BA37"/>
      <c r="BB37"/>
      <c r="BC37"/>
      <c r="BE37" s="807"/>
    </row>
    <row r="38" spans="2:57" ht="15.95" customHeight="1">
      <c r="B38" s="829">
        <v>12</v>
      </c>
      <c r="C38" s="832"/>
      <c r="D38" s="833"/>
      <c r="E38" s="833"/>
      <c r="F38" s="833"/>
      <c r="G38" s="833"/>
      <c r="H38" s="833"/>
      <c r="I38" s="833"/>
      <c r="J38" s="833"/>
      <c r="K38" s="833"/>
      <c r="L38" s="833"/>
      <c r="M38" s="834"/>
      <c r="N38" s="908" t="str">
        <f>IF(C38="","",INDEX(AHSD[Base Desc 1],MATCH(C38,AHSD[Type],0)))</f>
        <v/>
      </c>
      <c r="O38" s="909"/>
      <c r="P38" s="909"/>
      <c r="Q38" s="909"/>
      <c r="R38" s="909"/>
      <c r="S38" s="910"/>
      <c r="T38" s="947" t="str">
        <f>IF(C38="","",INDEX(AHSD[Unit of Measure],MATCH(C38,AHSD[Type],0)))</f>
        <v/>
      </c>
      <c r="U38" s="948"/>
      <c r="V38" s="846"/>
      <c r="W38" s="847"/>
      <c r="X38" s="846"/>
      <c r="Y38" s="847"/>
      <c r="Z38" s="871"/>
      <c r="AA38" s="846"/>
      <c r="AB38" s="847"/>
      <c r="AC38" s="846"/>
      <c r="AD38" s="847"/>
      <c r="AE38" s="858"/>
      <c r="AF38" s="869"/>
      <c r="AG38" s="858"/>
      <c r="AH38" s="869"/>
      <c r="AI38" s="917" t="str">
        <f>IF(C38="","",INDEX(AHSD[Inc Rate Unit],MATCH(C38,AHSD[Type],0)))</f>
        <v/>
      </c>
      <c r="AJ38" s="918"/>
      <c r="AK38" s="904" t="str">
        <f>IF(OR(C38="",V38="",X38="",AA38="",AE38="",AG38="",Z38="",AC38=""),"",AW38)</f>
        <v/>
      </c>
      <c r="AL38" s="905"/>
      <c r="AM38" s="905"/>
      <c r="AN38" s="951" t="str">
        <f>IF(OR(C38="",V38="",X38="",AA38="",AE38="",AG38="",Z38="",AC38=""),"",IF(BC38&lt;&gt;"",BC38,MIN(AU38,ROUND((V38*X38)*Z38*AI38,2))))</f>
        <v/>
      </c>
      <c r="AO38" s="952"/>
      <c r="AP38" s="952"/>
      <c r="AQ38" s="953"/>
      <c r="AR38" s="59"/>
      <c r="AU38" s="893" t="str">
        <f>IF(OR(C38="",N38="",T38="",V38="",X38="",Z38="",AA38="",AG38="",AE38="",AC38=""),"",IF(AK38="","",ROUND((AE38+AG38),2)))</f>
        <v/>
      </c>
      <c r="AV38" s="995" t="str">
        <f>IF(OR(C38="",V38="",X38="",AA38="",AE38="",AG38="",Z38="",AC38=""),"",ROUND((AW38/INDEX(AHSD[t],MATCH(C38,AHSD[Type],0)))*1,3))</f>
        <v/>
      </c>
      <c r="AW38" s="980" t="str">
        <f>IF(OR(C38="",V38="",X38="",AA38="",AE38="",AG38="",Z38="",AC38=""),"",ROUND(Z38*(0.0000833*AX38*INDEX(AHSD[Df],MATCH(C38,AHSD[Type],0))*INDEX(AHSD[Efficiency],MATCH(C38,AHSD[Type],0))*(INDEX(AHSD[Dtb],MATCH(C38,AHSD[Type],0))*(1-INDEX(AHSD[Eb],MATCH(C38,AHSD[Type],0)))-INDEX(AHSD[Dte],MATCH(C38,AHSD[Type],0))*(1-INDEX(AHSD[Ee],MATCH(C38,AHSD[Type],0))))-INDEX(AHSD[Dtm],MATCH(C38,AHSD[Type],0))*1.49)*INDEX(AHSD[t],MATCH(C38,AHSD[Type],0)),2))</f>
        <v/>
      </c>
      <c r="AX38" s="900" t="str">
        <f>IF(OR(C38="",V38="",X38="",AA38="",AE38="",AG38="",Z38="",AC38=""),"",3790*X38*V38^1.5*INDEX(AHSD[Qs/A],MATCH(C38,AHSD[Type],0))*(1/INDEX(AHSD[Rs],MATCH(C38,AHSD[Type]))))</f>
        <v/>
      </c>
      <c r="AY38" s="900" t="str">
        <f>IF(OR(C38="",V38="",X38="",AA38="",AE38="",AG38="",Z38="",AC38=""),"",ROUND((V38*X38)*Z38,2))</f>
        <v/>
      </c>
      <c r="BC38" s="980" t="str">
        <f>IF(OR(V38="",X38="",C38="",Z38="",AA38="",AC38="",AE38="",AG38=""),"",IF(OR(ISBLANK(M02S02F26),ISBLANK(M02S02F32),ISBLANK(M02S02F46)),MEASUREBLDG,""))</f>
        <v/>
      </c>
      <c r="BE38" s="806" t="str">
        <f ca="1">IF(OR(T38="",N38="",C38="",V38="",X38="",Z38="",AE38="",AG38=""),"",IF('M01-S01'!$V$82&lt;TODAY(),0,IF(M02S02F46="Gas Only",0,IF(OR(AK38="",AK38&lt;0,AU38&lt;=AN38),0,MIN(AU38-AN38,ROUND(AN38*0.4,2))))))</f>
        <v/>
      </c>
    </row>
    <row r="39" spans="2:57" ht="15.95" customHeight="1">
      <c r="B39" s="829"/>
      <c r="C39" s="835"/>
      <c r="D39" s="836"/>
      <c r="E39" s="836"/>
      <c r="F39" s="836"/>
      <c r="G39" s="836"/>
      <c r="H39" s="836"/>
      <c r="I39" s="836"/>
      <c r="J39" s="836"/>
      <c r="K39" s="836"/>
      <c r="L39" s="836"/>
      <c r="M39" s="837"/>
      <c r="N39" s="911"/>
      <c r="O39" s="912"/>
      <c r="P39" s="912"/>
      <c r="Q39" s="912"/>
      <c r="R39" s="912"/>
      <c r="S39" s="913"/>
      <c r="T39" s="949"/>
      <c r="U39" s="950"/>
      <c r="V39" s="848"/>
      <c r="W39" s="849"/>
      <c r="X39" s="848"/>
      <c r="Y39" s="849"/>
      <c r="Z39" s="848"/>
      <c r="AA39" s="848"/>
      <c r="AB39" s="849"/>
      <c r="AC39" s="848"/>
      <c r="AD39" s="849"/>
      <c r="AE39" s="860"/>
      <c r="AF39" s="870"/>
      <c r="AG39" s="860"/>
      <c r="AH39" s="870"/>
      <c r="AI39" s="919"/>
      <c r="AJ39" s="865"/>
      <c r="AK39" s="906"/>
      <c r="AL39" s="907"/>
      <c r="AM39" s="907"/>
      <c r="AN39" s="954"/>
      <c r="AO39" s="955"/>
      <c r="AP39" s="955"/>
      <c r="AQ39" s="956"/>
      <c r="AR39" s="59"/>
      <c r="AU39" s="809"/>
      <c r="AV39" s="996"/>
      <c r="AW39" s="981"/>
      <c r="AX39" s="901"/>
      <c r="AY39" s="901"/>
      <c r="BC39" s="981"/>
      <c r="BE39" s="807"/>
    </row>
    <row r="40" spans="2:57" ht="15.95" customHeight="1">
      <c r="B40" s="829">
        <v>13</v>
      </c>
      <c r="C40" s="832"/>
      <c r="D40" s="833"/>
      <c r="E40" s="833"/>
      <c r="F40" s="833"/>
      <c r="G40" s="833"/>
      <c r="H40" s="833"/>
      <c r="I40" s="833"/>
      <c r="J40" s="833"/>
      <c r="K40" s="833"/>
      <c r="L40" s="833"/>
      <c r="M40" s="834"/>
      <c r="N40" s="914" t="str">
        <f>IF(C40="","",INDEX(AHSD[Base Desc 1],MATCH(C40,AHSD[Type],0)))</f>
        <v/>
      </c>
      <c r="O40" s="915"/>
      <c r="P40" s="915"/>
      <c r="Q40" s="915"/>
      <c r="R40" s="915"/>
      <c r="S40" s="916"/>
      <c r="T40" s="987" t="str">
        <f>IF(C40="","",INDEX(AHSD[Unit of Measure],MATCH(C40,AHSD[Type],0)))</f>
        <v/>
      </c>
      <c r="U40" s="988"/>
      <c r="V40" s="846"/>
      <c r="W40" s="847"/>
      <c r="X40" s="846"/>
      <c r="Y40" s="847"/>
      <c r="Z40" s="871"/>
      <c r="AA40" s="846"/>
      <c r="AB40" s="847"/>
      <c r="AC40" s="846"/>
      <c r="AD40" s="847"/>
      <c r="AE40" s="858"/>
      <c r="AF40" s="869"/>
      <c r="AG40" s="858"/>
      <c r="AH40" s="869"/>
      <c r="AI40" s="924" t="str">
        <f>IF(C40="","",INDEX(AHSD[Inc Rate Unit],MATCH(C40,AHSD[Type],0)))</f>
        <v/>
      </c>
      <c r="AJ40" s="863"/>
      <c r="AK40" s="904" t="str">
        <f t="shared" ref="AK40" si="25">IF(OR(C40="",V40="",X40="",AA40="",AE40="",AG40="",Z40="",AC40=""),"",AW40)</f>
        <v/>
      </c>
      <c r="AL40" s="905"/>
      <c r="AM40" s="969"/>
      <c r="AN40" s="951" t="str">
        <f t="shared" ref="AN40" si="26">IF(OR(C40="",V40="",X40="",AA40="",AE40="",AG40="",Z40="",AC40=""),"",IF(BC40&lt;&gt;"",BC40,MIN(AU40,ROUND((V40*X40)*Z40*AI40,2))))</f>
        <v/>
      </c>
      <c r="AO40" s="952"/>
      <c r="AP40" s="952"/>
      <c r="AQ40" s="953"/>
      <c r="AR40" s="59"/>
      <c r="AU40" s="893" t="str">
        <f t="shared" ref="AU40" si="27">IF(OR(C40="",N40="",T40="",V40="",X40="",Z40="",AA40="",AG40="",AE40="",AC40=""),"",IF(AK40="","",ROUND((AE40+AG40),2)))</f>
        <v/>
      </c>
      <c r="AV40" s="994" t="str">
        <f>IF(OR(C40="",V40="",X40="",AA40="",AE40="",AG40="",Z40="",AC40=""),"",ROUND((AW40/INDEX(AHSD[t],MATCH(C40,AHSD[Type],0)))*1,3))</f>
        <v/>
      </c>
      <c r="AW40" s="980" t="str">
        <f>IF(OR(C40="",V40="",X40="",AA40="",AE40="",AG40="",Z40="",AC40=""),"",ROUND(Z40*(0.0000833*AX40*INDEX(AHSD[Df],MATCH(C40,AHSD[Type],0))*INDEX(AHSD[Efficiency],MATCH(C40,AHSD[Type],0))*(INDEX(AHSD[Dtb],MATCH(C40,AHSD[Type],0))*(1-INDEX(AHSD[Eb],MATCH(C40,AHSD[Type],0)))-INDEX(AHSD[Dte],MATCH(C40,AHSD[Type],0))*(1-INDEX(AHSD[Ee],MATCH(C40,AHSD[Type],0))))-INDEX(AHSD[Dtm],MATCH(C40,AHSD[Type],0))*1.49)*INDEX(AHSD[t],MATCH(C40,AHSD[Type],0)),2))</f>
        <v/>
      </c>
      <c r="AX40" s="900" t="str">
        <f>IF(OR(C40="",V40="",X40="",AA40="",AE40="",AG40="",Z40="",AC40=""),"",3790*X40*V40^1.5*INDEX(AHSD[Qs/A],MATCH(C40,AHSD[Type],0))*(1/INDEX(AHSD[Rs],MATCH(C40,AHSD[Type]))))</f>
        <v/>
      </c>
      <c r="AY40" s="900" t="str">
        <f t="shared" ref="AY40" si="28">IF(OR(C40="",V40="",X40="",AA40="",AE40="",AG40="",Z40="",AC40=""),"",ROUND((V40*X40)*Z40,2))</f>
        <v/>
      </c>
      <c r="BC40" s="980" t="str">
        <f>IF(OR(V40="",X40="",C40="",Z40="",AA40="",AC40="",AE40="",AG40=""),"",IF(OR(ISBLANK(M02S02F26),ISBLANK(M02S02F32),ISBLANK(M02S02F46)),MEASUREBLDG,""))</f>
        <v/>
      </c>
      <c r="BE40" s="806" t="str">
        <f ca="1">IF(OR(T40="",N40="",C40="",V40="",X40="",Z40="",AE40="",AG40=""),"",IF('M01-S01'!$V$82&lt;TODAY(),0,IF(M02S02F46="Gas Only",0,IF(OR(AK40="",AK40&lt;0,AU40&lt;=AN40),0,MIN(AU40-AN40,ROUND(AN40*0.4,2))))))</f>
        <v/>
      </c>
    </row>
    <row r="41" spans="2:57" ht="15.95" customHeight="1">
      <c r="B41" s="829"/>
      <c r="C41" s="835"/>
      <c r="D41" s="836"/>
      <c r="E41" s="836"/>
      <c r="F41" s="836"/>
      <c r="G41" s="836"/>
      <c r="H41" s="836"/>
      <c r="I41" s="836"/>
      <c r="J41" s="836"/>
      <c r="K41" s="836"/>
      <c r="L41" s="836"/>
      <c r="M41" s="837"/>
      <c r="N41" s="911"/>
      <c r="O41" s="912"/>
      <c r="P41" s="912"/>
      <c r="Q41" s="912"/>
      <c r="R41" s="912"/>
      <c r="S41" s="913"/>
      <c r="T41" s="949"/>
      <c r="U41" s="950"/>
      <c r="V41" s="848"/>
      <c r="W41" s="849"/>
      <c r="X41" s="848"/>
      <c r="Y41" s="849"/>
      <c r="Z41" s="848"/>
      <c r="AA41" s="848"/>
      <c r="AB41" s="849"/>
      <c r="AC41" s="848"/>
      <c r="AD41" s="849"/>
      <c r="AE41" s="860"/>
      <c r="AF41" s="870"/>
      <c r="AG41" s="860"/>
      <c r="AH41" s="870"/>
      <c r="AI41" s="919"/>
      <c r="AJ41" s="865"/>
      <c r="AK41" s="906"/>
      <c r="AL41" s="907"/>
      <c r="AM41" s="936"/>
      <c r="AN41" s="954"/>
      <c r="AO41" s="955"/>
      <c r="AP41" s="955"/>
      <c r="AQ41" s="956"/>
      <c r="AR41" s="59"/>
      <c r="AU41" s="809"/>
      <c r="AV41" s="874"/>
      <c r="AW41" s="981"/>
      <c r="AX41" s="901"/>
      <c r="AY41" s="901"/>
      <c r="BC41" s="981"/>
      <c r="BE41" s="807"/>
    </row>
    <row r="42" spans="2:57" ht="15.95" customHeight="1">
      <c r="B42" s="829">
        <v>14</v>
      </c>
      <c r="C42" s="832"/>
      <c r="D42" s="833"/>
      <c r="E42" s="833"/>
      <c r="F42" s="833"/>
      <c r="G42" s="833"/>
      <c r="H42" s="833"/>
      <c r="I42" s="833"/>
      <c r="J42" s="833"/>
      <c r="K42" s="833"/>
      <c r="L42" s="833"/>
      <c r="M42" s="834"/>
      <c r="N42" s="914" t="str">
        <f>IF(C42="","",INDEX(AHSD[Base Desc 1],MATCH(C42,AHSD[Type],0)))</f>
        <v/>
      </c>
      <c r="O42" s="915"/>
      <c r="P42" s="915"/>
      <c r="Q42" s="915"/>
      <c r="R42" s="915"/>
      <c r="S42" s="916"/>
      <c r="T42" s="987" t="str">
        <f>IF(C42="","",INDEX(AHSD[Unit of Measure],MATCH(C42,AHSD[Type],0)))</f>
        <v/>
      </c>
      <c r="U42" s="988"/>
      <c r="V42" s="846"/>
      <c r="W42" s="847"/>
      <c r="X42" s="846"/>
      <c r="Y42" s="847"/>
      <c r="Z42" s="871"/>
      <c r="AA42" s="846"/>
      <c r="AB42" s="847"/>
      <c r="AC42" s="846"/>
      <c r="AD42" s="847"/>
      <c r="AE42" s="858"/>
      <c r="AF42" s="869"/>
      <c r="AG42" s="858"/>
      <c r="AH42" s="869"/>
      <c r="AI42" s="924" t="str">
        <f>IF(C42="","",INDEX(AHSD[Inc Rate Unit],MATCH(C42,AHSD[Type],0)))</f>
        <v/>
      </c>
      <c r="AJ42" s="863"/>
      <c r="AK42" s="904" t="str">
        <f t="shared" ref="AK42" si="29">IF(OR(C42="",V42="",X42="",AA42="",AE42="",AG42="",Z42="",AC42=""),"",AW42)</f>
        <v/>
      </c>
      <c r="AL42" s="905"/>
      <c r="AM42" s="969"/>
      <c r="AN42" s="951" t="str">
        <f t="shared" ref="AN42" si="30">IF(OR(C42="",V42="",X42="",AA42="",AE42="",AG42="",Z42="",AC42=""),"",IF(BC42&lt;&gt;"",BC42,MIN(AU42,ROUND((V42*X42)*Z42*AI42,2))))</f>
        <v/>
      </c>
      <c r="AO42" s="952"/>
      <c r="AP42" s="952"/>
      <c r="AQ42" s="953"/>
      <c r="AR42" s="59"/>
      <c r="AU42" s="893" t="str">
        <f t="shared" ref="AU42" si="31">IF(OR(C42="",N42="",T42="",V42="",X42="",Z42="",AA42="",AG42="",AE42="",AC42=""),"",IF(AK42="","",ROUND((AE42+AG42),2)))</f>
        <v/>
      </c>
      <c r="AV42" s="994" t="str">
        <f>IF(OR(C42="",V42="",X42="",AA42="",AE42="",AG42="",Z42="",AC42=""),"",ROUND((AW42/INDEX(AHSD[t],MATCH(C42,AHSD[Type],0)))*1,3))</f>
        <v/>
      </c>
      <c r="AW42" s="980" t="str">
        <f>IF(OR(C42="",V42="",X42="",AA42="",AE42="",AG42="",Z42="",AC42=""),"",ROUND(Z42*(0.0000833*AX42*INDEX(AHSD[Df],MATCH(C42,AHSD[Type],0))*INDEX(AHSD[Efficiency],MATCH(C42,AHSD[Type],0))*(INDEX(AHSD[Dtb],MATCH(C42,AHSD[Type],0))*(1-INDEX(AHSD[Eb],MATCH(C42,AHSD[Type],0)))-INDEX(AHSD[Dte],MATCH(C42,AHSD[Type],0))*(1-INDEX(AHSD[Ee],MATCH(C42,AHSD[Type],0))))-INDEX(AHSD[Dtm],MATCH(C42,AHSD[Type],0))*1.49)*INDEX(AHSD[t],MATCH(C42,AHSD[Type],0)),2))</f>
        <v/>
      </c>
      <c r="AX42" s="900" t="str">
        <f>IF(OR(C42="",V42="",X42="",AA42="",AE42="",AG42="",Z42="",AC42=""),"",3790*X42*V42^1.5*INDEX(AHSD[Qs/A],MATCH(C42,AHSD[Type],0))*(1/INDEX(AHSD[Rs],MATCH(C42,AHSD[Type]))))</f>
        <v/>
      </c>
      <c r="AY42" s="900" t="str">
        <f t="shared" ref="AY42" si="32">IF(OR(C42="",V42="",X42="",AA42="",AE42="",AG42="",Z42="",AC42=""),"",ROUND((V42*X42)*Z42,2))</f>
        <v/>
      </c>
      <c r="BC42" s="980" t="str">
        <f>IF(OR(V42="",X42="",C42="",Z42="",AA42="",AC42="",AE42="",AG42=""),"",IF(OR(ISBLANK(M02S02F26),ISBLANK(M02S02F32),ISBLANK(M02S02F46)),MEASUREBLDG,""))</f>
        <v/>
      </c>
      <c r="BE42" s="806" t="str">
        <f ca="1">IF(OR(T42="",N42="",C42="",V42="",X42="",Z42="",AE42="",AG42=""),"",IF('M01-S01'!$V$82&lt;TODAY(),0,IF(M02S02F46="Gas Only",0,IF(OR(AK42="",AK42&lt;0,AU42&lt;=AN42),0,MIN(AU42-AN42,ROUND(AN42*0.4,2))))))</f>
        <v/>
      </c>
    </row>
    <row r="43" spans="2:57" ht="15.95" customHeight="1">
      <c r="B43" s="829"/>
      <c r="C43" s="835"/>
      <c r="D43" s="836"/>
      <c r="E43" s="836"/>
      <c r="F43" s="836"/>
      <c r="G43" s="836"/>
      <c r="H43" s="836"/>
      <c r="I43" s="836"/>
      <c r="J43" s="836"/>
      <c r="K43" s="836"/>
      <c r="L43" s="836"/>
      <c r="M43" s="837"/>
      <c r="N43" s="911"/>
      <c r="O43" s="912"/>
      <c r="P43" s="912"/>
      <c r="Q43" s="912"/>
      <c r="R43" s="912"/>
      <c r="S43" s="913"/>
      <c r="T43" s="949"/>
      <c r="U43" s="950"/>
      <c r="V43" s="848"/>
      <c r="W43" s="849"/>
      <c r="X43" s="848"/>
      <c r="Y43" s="849"/>
      <c r="Z43" s="848"/>
      <c r="AA43" s="848"/>
      <c r="AB43" s="849"/>
      <c r="AC43" s="848"/>
      <c r="AD43" s="849"/>
      <c r="AE43" s="860"/>
      <c r="AF43" s="870"/>
      <c r="AG43" s="860"/>
      <c r="AH43" s="870"/>
      <c r="AI43" s="919"/>
      <c r="AJ43" s="865"/>
      <c r="AK43" s="906"/>
      <c r="AL43" s="907"/>
      <c r="AM43" s="936"/>
      <c r="AN43" s="954"/>
      <c r="AO43" s="955"/>
      <c r="AP43" s="955"/>
      <c r="AQ43" s="956"/>
      <c r="AR43" s="59"/>
      <c r="AU43" s="809"/>
      <c r="AV43" s="874"/>
      <c r="AW43" s="981"/>
      <c r="AX43" s="901"/>
      <c r="AY43" s="901"/>
      <c r="BC43" s="981"/>
      <c r="BE43" s="807"/>
    </row>
    <row r="44" spans="2:57" ht="15.95" hidden="1" customHeight="1">
      <c r="B44" s="829">
        <v>15</v>
      </c>
      <c r="C44" s="832"/>
      <c r="D44" s="833"/>
      <c r="E44" s="833"/>
      <c r="F44" s="833"/>
      <c r="G44" s="833"/>
      <c r="H44" s="833"/>
      <c r="I44" s="833"/>
      <c r="J44" s="833"/>
      <c r="K44" s="833"/>
      <c r="L44" s="833"/>
      <c r="M44" s="834"/>
      <c r="N44" s="914" t="str">
        <f>IF(C44="","",INDEX(AHSD[Base Desc 1],MATCH(C44,AHSD[Type],0)))</f>
        <v/>
      </c>
      <c r="O44" s="915"/>
      <c r="P44" s="915"/>
      <c r="Q44" s="915"/>
      <c r="R44" s="915"/>
      <c r="S44" s="916"/>
      <c r="T44" s="987" t="str">
        <f>IF(C44="","",INDEX(AHSD[Unit of Measure],MATCH(C44,AHSD[Type],0)))</f>
        <v/>
      </c>
      <c r="U44" s="988"/>
      <c r="V44" s="846"/>
      <c r="W44" s="847"/>
      <c r="X44" s="846"/>
      <c r="Y44" s="847"/>
      <c r="Z44" s="871"/>
      <c r="AA44" s="846"/>
      <c r="AB44" s="847"/>
      <c r="AC44" s="846"/>
      <c r="AD44" s="847"/>
      <c r="AE44" s="858"/>
      <c r="AF44" s="869"/>
      <c r="AG44" s="858"/>
      <c r="AH44" s="869"/>
      <c r="AI44" s="924" t="str">
        <f>IF(C44="","",INDEX(AHSD[Inc Rate Unit],MATCH(C44,AHSD[Type],0)))</f>
        <v/>
      </c>
      <c r="AJ44" s="863"/>
      <c r="AK44" s="904" t="str">
        <f t="shared" ref="AK44" si="33">IF(OR(C44="",V44="",X44="",AA44="",AE44="",AG44="",Z44="",AC44=""),"",AW44)</f>
        <v/>
      </c>
      <c r="AL44" s="905"/>
      <c r="AM44" s="969"/>
      <c r="AN44" s="951" t="str">
        <f t="shared" ref="AN44" si="34">IF(OR(C44="",V44="",X44="",AA44="",AE44="",AG44="",Z44="",AC44=""),"",IF(BC44&lt;&gt;"",BC44,MIN(AU44,ROUND((V44*X44)*Z44*AI44,2))))</f>
        <v/>
      </c>
      <c r="AO44" s="952"/>
      <c r="AP44" s="952"/>
      <c r="AQ44" s="953"/>
      <c r="AR44" s="59"/>
      <c r="AU44" s="893" t="str">
        <f t="shared" ref="AU44" si="35">IF(OR(C44="",N44="",T44="",V44="",X44="",Z44="",AA44="",AG44="",AE44="",AC44=""),"",IF(AK44="","",ROUND((AE44+AG44),2)))</f>
        <v/>
      </c>
      <c r="AV44" s="994" t="str">
        <f>IF(OR(C44="",V44="",X44="",AA44="",AE44="",AG44="",Z44="",AC44=""),"",ROUND((AW44/INDEX(AHSD[t],MATCH(C44,AHSD[Type],0)))*1,3))</f>
        <v/>
      </c>
      <c r="AW44" s="980" t="str">
        <f>IF(OR(C44="",V44="",X44="",AA44="",AE44="",AG44="",Z44="",AC44=""),"",ROUND(Z44*(0.0000833*AX44*INDEX(AHSD[Df],MATCH(C44,AHSD[Type],0))*INDEX(AHSD[Efficiency],MATCH(C44,AHSD[Type],0))*(INDEX(AHSD[Dtb],MATCH(C44,AHSD[Type],0))*(1-INDEX(AHSD[Eb],MATCH(C44,AHSD[Type],0)))-INDEX(AHSD[Dte],MATCH(C44,AHSD[Type],0))*(1-INDEX(AHSD[Ee],MATCH(C44,AHSD[Type],0))))-INDEX(AHSD[Dtm],MATCH(C44,AHSD[Type],0))*1.49)*INDEX(AHSD[t],MATCH(C44,AHSD[Type],0)),0))</f>
        <v/>
      </c>
      <c r="AX44" s="900" t="str">
        <f>IF(OR(C44="",V44="",X44="",AA44="",AE44="",AG44="",Z44="",AC44=""),"",3790*X44*V44^1.5*INDEX(AHSD[Qs/A],MATCH(C44,AHSD[Type],0))*(1/INDEX(AHSD[Rs],MATCH(C44,AHSD[Type]))))</f>
        <v/>
      </c>
      <c r="AY44" s="900" t="str">
        <f t="shared" ref="AY44" si="36">IF(OR(C44="",V44="",X44="",AA44="",AE44="",AG44="",Z44="",AC44=""),"",ROUND((V44*X44)*Z44,2))</f>
        <v/>
      </c>
      <c r="AZ44" s="808"/>
      <c r="BA44" s="808"/>
      <c r="BB44" s="808"/>
      <c r="BC44" s="980" t="str">
        <f>IF(OR(V44="",X44="",C44="",Z44="",AA44="",AC44="",AE44="",AG44=""),"",IF(OR(ISBLANK(M02S02F26),ISBLANK(M02S02F32),ISBLANK(M02S02F46)),MEASUREBLDG,""))</f>
        <v/>
      </c>
      <c r="BE44" s="806" t="str">
        <f ca="1">IF(OR(T44="",N44="",C44="",V44="",X44="",AB44="",AE44="",AG44=""),"",IF('M01-S01'!$V$82&lt;TODAY(),0,IF(M02S02F46="Gas Only",0,IF(OR(AK44="",AK44&lt;0,AU44&lt;=AN44),0,MIN(AU44-AN44,ROUND(AN44*0.4,2))))))</f>
        <v/>
      </c>
    </row>
    <row r="45" spans="2:57" ht="15.95" hidden="1" customHeight="1">
      <c r="B45" s="829"/>
      <c r="C45" s="835"/>
      <c r="D45" s="836"/>
      <c r="E45" s="836"/>
      <c r="F45" s="836"/>
      <c r="G45" s="836"/>
      <c r="H45" s="836"/>
      <c r="I45" s="836"/>
      <c r="J45" s="836"/>
      <c r="K45" s="836"/>
      <c r="L45" s="836"/>
      <c r="M45" s="837"/>
      <c r="N45" s="911"/>
      <c r="O45" s="912"/>
      <c r="P45" s="912"/>
      <c r="Q45" s="912"/>
      <c r="R45" s="912"/>
      <c r="S45" s="913"/>
      <c r="T45" s="949"/>
      <c r="U45" s="950"/>
      <c r="V45" s="848"/>
      <c r="W45" s="849"/>
      <c r="X45" s="848"/>
      <c r="Y45" s="849"/>
      <c r="Z45" s="848"/>
      <c r="AA45" s="848"/>
      <c r="AB45" s="849"/>
      <c r="AC45" s="848"/>
      <c r="AD45" s="849"/>
      <c r="AE45" s="860"/>
      <c r="AF45" s="870"/>
      <c r="AG45" s="860"/>
      <c r="AH45" s="870"/>
      <c r="AI45" s="919"/>
      <c r="AJ45" s="865"/>
      <c r="AK45" s="906"/>
      <c r="AL45" s="907"/>
      <c r="AM45" s="936"/>
      <c r="AN45" s="954"/>
      <c r="AO45" s="955"/>
      <c r="AP45" s="955"/>
      <c r="AQ45" s="956"/>
      <c r="AR45" s="59"/>
      <c r="AU45" s="809"/>
      <c r="AV45" s="874"/>
      <c r="AW45" s="981"/>
      <c r="AX45" s="901"/>
      <c r="AY45" s="901"/>
      <c r="AZ45" s="809"/>
      <c r="BA45" s="809"/>
      <c r="BB45" s="809"/>
      <c r="BC45" s="981"/>
      <c r="BE45" s="807"/>
    </row>
    <row r="46" spans="2:57" ht="15.95" hidden="1" customHeight="1">
      <c r="B46" s="923">
        <v>16</v>
      </c>
      <c r="C46" s="832">
        <f ca="1">IF(SUM(BE16:BE45)=0,0,INDEX(PMEBONUS[],2,3))</f>
        <v>0</v>
      </c>
      <c r="D46" s="833"/>
      <c r="E46" s="833"/>
      <c r="F46" s="833"/>
      <c r="G46" s="833"/>
      <c r="H46" s="833"/>
      <c r="I46" s="833"/>
      <c r="J46" s="833"/>
      <c r="K46" s="833"/>
      <c r="L46" s="833"/>
      <c r="M46" s="834"/>
      <c r="N46" s="908" t="str">
        <f ca="1">IF(SUM(BE16:BE45)=0,"",INDEX(PMEBONUS[],3,30))</f>
        <v/>
      </c>
      <c r="O46" s="909"/>
      <c r="P46" s="909"/>
      <c r="Q46" s="909"/>
      <c r="R46" s="909"/>
      <c r="S46" s="910"/>
      <c r="T46" s="947"/>
      <c r="U46" s="948"/>
      <c r="V46" s="846">
        <f ca="1">IF(OR(C46=0,C46=""),0,1)</f>
        <v>0</v>
      </c>
      <c r="W46" s="847"/>
      <c r="X46" s="832"/>
      <c r="Y46" s="833"/>
      <c r="Z46" s="833"/>
      <c r="AA46" s="834"/>
      <c r="AB46" s="832"/>
      <c r="AC46" s="833"/>
      <c r="AD46" s="834"/>
      <c r="AE46" s="858"/>
      <c r="AF46" s="869"/>
      <c r="AG46" s="858"/>
      <c r="AH46" s="869"/>
      <c r="AI46" s="917"/>
      <c r="AJ46" s="918"/>
      <c r="AK46" s="904"/>
      <c r="AL46" s="905"/>
      <c r="AM46" s="905"/>
      <c r="AN46" s="924" t="str">
        <f ca="1">IF(BA46="","",BA46)</f>
        <v/>
      </c>
      <c r="AO46" s="925"/>
      <c r="AP46" s="925"/>
      <c r="AQ46" s="863"/>
      <c r="BA46" s="808" t="str">
        <f ca="1">IFERROR(IF(OR(C46="",N46="",SUM(AK16:AM45)=0,SUM(BE16:BE45)=0),"",SUM(BE16:BE45)),"")</f>
        <v/>
      </c>
      <c r="BC46" s="825"/>
    </row>
    <row r="47" spans="2:57" ht="15.95" hidden="1" customHeight="1">
      <c r="B47" s="923"/>
      <c r="C47" s="835"/>
      <c r="D47" s="836"/>
      <c r="E47" s="836"/>
      <c r="F47" s="836"/>
      <c r="G47" s="836"/>
      <c r="H47" s="836"/>
      <c r="I47" s="836"/>
      <c r="J47" s="836"/>
      <c r="K47" s="836"/>
      <c r="L47" s="836"/>
      <c r="M47" s="837"/>
      <c r="N47" s="911"/>
      <c r="O47" s="912"/>
      <c r="P47" s="912"/>
      <c r="Q47" s="912"/>
      <c r="R47" s="912"/>
      <c r="S47" s="913"/>
      <c r="T47" s="949"/>
      <c r="U47" s="950"/>
      <c r="V47" s="848"/>
      <c r="W47" s="849"/>
      <c r="X47" s="835"/>
      <c r="Y47" s="836"/>
      <c r="Z47" s="836"/>
      <c r="AA47" s="837"/>
      <c r="AB47" s="835"/>
      <c r="AC47" s="836"/>
      <c r="AD47" s="837"/>
      <c r="AE47" s="860"/>
      <c r="AF47" s="870"/>
      <c r="AG47" s="860"/>
      <c r="AH47" s="870"/>
      <c r="AI47" s="919"/>
      <c r="AJ47" s="865"/>
      <c r="AK47" s="906"/>
      <c r="AL47" s="907"/>
      <c r="AM47" s="907"/>
      <c r="AN47" s="919"/>
      <c r="AO47" s="926"/>
      <c r="AP47" s="926"/>
      <c r="AQ47" s="865"/>
      <c r="BA47" s="809"/>
      <c r="BC47" s="826"/>
    </row>
    <row r="48" spans="2:57" ht="15.95" hidden="1" customHeight="1">
      <c r="B48" s="923">
        <v>17</v>
      </c>
      <c r="C48" s="866"/>
      <c r="D48" s="867"/>
      <c r="E48" s="867"/>
      <c r="F48" s="867"/>
      <c r="G48" s="867"/>
      <c r="H48" s="867"/>
      <c r="I48" s="867"/>
      <c r="J48" s="867"/>
      <c r="K48" s="867"/>
      <c r="L48" s="867"/>
      <c r="M48" s="868"/>
      <c r="N48" s="914" t="str">
        <f>IF(C48="","",INDEX(PMEREFRI[Base Desc 1],MATCH(C48,PMEREFRI[Eff Desc 1],0)))</f>
        <v/>
      </c>
      <c r="O48" s="915"/>
      <c r="P48" s="915"/>
      <c r="Q48" s="915"/>
      <c r="R48" s="915"/>
      <c r="S48" s="916"/>
      <c r="T48" s="987" t="str">
        <f>IF(C48="","",INDEX(PMEREFRI[Unit of Measure],MATCH(C48,PMEREFRI[Eff Desc 1],0)))</f>
        <v/>
      </c>
      <c r="U48" s="988"/>
      <c r="V48" s="871"/>
      <c r="W48" s="872"/>
      <c r="X48" s="832"/>
      <c r="Y48" s="833"/>
      <c r="Z48" s="833"/>
      <c r="AA48" s="834"/>
      <c r="AB48" s="832"/>
      <c r="AC48" s="833"/>
      <c r="AD48" s="834"/>
      <c r="AE48" s="858"/>
      <c r="AF48" s="869"/>
      <c r="AG48" s="858"/>
      <c r="AH48" s="869"/>
      <c r="AI48" s="924" t="str">
        <f>IF(C48="","",INDEX(PMEREFRI[Inc Rate Unit],MATCH(C48,PMEREFRI[Eff Desc 1],0)))</f>
        <v/>
      </c>
      <c r="AJ48" s="863"/>
      <c r="AK48" s="904" t="str">
        <f>IF(OR(C48="",V48="",X48="",AB48="",AE48="",AG48=""),"",ROUND(V48*INDEX(PMEREFRI[Savings per Unit kWh],MATCH(C48,PMEREFRI[Eff Desc 1],0)),0))</f>
        <v/>
      </c>
      <c r="AL48" s="905"/>
      <c r="AM48" s="969"/>
      <c r="AN48" s="924" t="str">
        <f t="shared" ref="AN48" si="37">IF(OR(C48="",V48="",X48="",AB48="",AE48="",AG48=""),"",IF(BC48&lt;&gt;"",BC48,MIN(AU48,ROUND(V48*AI48,2))))</f>
        <v/>
      </c>
      <c r="AO48" s="925"/>
      <c r="AP48" s="925"/>
      <c r="AQ48" s="863"/>
      <c r="AZ48" s="415"/>
      <c r="BC48" s="825"/>
    </row>
    <row r="49" spans="2:55" ht="15.95" hidden="1" customHeight="1">
      <c r="B49" s="923"/>
      <c r="C49" s="835"/>
      <c r="D49" s="836"/>
      <c r="E49" s="836"/>
      <c r="F49" s="836"/>
      <c r="G49" s="836"/>
      <c r="H49" s="836"/>
      <c r="I49" s="836"/>
      <c r="J49" s="836"/>
      <c r="K49" s="836"/>
      <c r="L49" s="836"/>
      <c r="M49" s="837"/>
      <c r="N49" s="911"/>
      <c r="O49" s="912"/>
      <c r="P49" s="912"/>
      <c r="Q49" s="912"/>
      <c r="R49" s="912"/>
      <c r="S49" s="913"/>
      <c r="T49" s="949"/>
      <c r="U49" s="950"/>
      <c r="V49" s="848"/>
      <c r="W49" s="849"/>
      <c r="X49" s="835"/>
      <c r="Y49" s="836"/>
      <c r="Z49" s="836"/>
      <c r="AA49" s="837"/>
      <c r="AB49" s="835"/>
      <c r="AC49" s="836"/>
      <c r="AD49" s="837"/>
      <c r="AE49" s="860"/>
      <c r="AF49" s="870"/>
      <c r="AG49" s="860"/>
      <c r="AH49" s="870"/>
      <c r="AI49" s="919"/>
      <c r="AJ49" s="865"/>
      <c r="AK49" s="906"/>
      <c r="AL49" s="907"/>
      <c r="AM49" s="936"/>
      <c r="AN49" s="919"/>
      <c r="AO49" s="926"/>
      <c r="AP49" s="926"/>
      <c r="AQ49" s="865"/>
      <c r="AZ49" s="415"/>
      <c r="BA49" s="415"/>
      <c r="BC49" s="826"/>
    </row>
    <row r="50" spans="2:55" ht="15.95" hidden="1" customHeight="1">
      <c r="B50" s="923">
        <v>18</v>
      </c>
      <c r="C50" s="832"/>
      <c r="D50" s="833"/>
      <c r="E50" s="833"/>
      <c r="F50" s="833"/>
      <c r="G50" s="833"/>
      <c r="H50" s="833"/>
      <c r="I50" s="833"/>
      <c r="J50" s="833"/>
      <c r="K50" s="833"/>
      <c r="L50" s="833"/>
      <c r="M50" s="834"/>
      <c r="N50" s="908" t="str">
        <f>IF(C50="","",INDEX(PMEREFRI[Base Desc 1],MATCH(C50,PMEREFRI[Eff Desc 1],0)))</f>
        <v/>
      </c>
      <c r="O50" s="909"/>
      <c r="P50" s="909"/>
      <c r="Q50" s="909"/>
      <c r="R50" s="909"/>
      <c r="S50" s="910"/>
      <c r="T50" s="947" t="str">
        <f>IF(C50="","",INDEX(PMEREFRI[Unit of Measure],MATCH(C50,PMEREFRI[Eff Desc 1],0)))</f>
        <v/>
      </c>
      <c r="U50" s="948"/>
      <c r="V50" s="846"/>
      <c r="W50" s="847"/>
      <c r="X50" s="832"/>
      <c r="Y50" s="833"/>
      <c r="Z50" s="833"/>
      <c r="AA50" s="834"/>
      <c r="AB50" s="832"/>
      <c r="AC50" s="833"/>
      <c r="AD50" s="834"/>
      <c r="AE50" s="858"/>
      <c r="AF50" s="869"/>
      <c r="AG50" s="858"/>
      <c r="AH50" s="869"/>
      <c r="AI50" s="917" t="str">
        <f>IF(C50="","",INDEX(PMEREFRI[Inc Rate Unit],MATCH(C50,PMEREFRI[Eff Desc 1],0)))</f>
        <v/>
      </c>
      <c r="AJ50" s="918"/>
      <c r="AK50" s="904" t="str">
        <f>IF(OR(C50="",V50="",X50="",AB50="",AE50="",AG50=""),"",ROUND(V50*INDEX(PMEREFRI[Savings per Unit kWh],MATCH(C50,PMEREFRI[Eff Desc 1],0)),0))</f>
        <v/>
      </c>
      <c r="AL50" s="905"/>
      <c r="AM50" s="905"/>
      <c r="AN50" s="924" t="str">
        <f t="shared" ref="AN50" si="38">IF(OR(C50="",V50="",X50="",AB50="",AE50="",AG50=""),"",IF(BC50&lt;&gt;"",BC50,MIN(AU50,ROUND(V50*AI50,2))))</f>
        <v/>
      </c>
      <c r="AO50" s="925"/>
      <c r="AP50" s="925"/>
      <c r="AQ50" s="863"/>
      <c r="BC50" s="825"/>
    </row>
    <row r="51" spans="2:55" ht="15.95" hidden="1" customHeight="1">
      <c r="B51" s="923"/>
      <c r="C51" s="835"/>
      <c r="D51" s="836"/>
      <c r="E51" s="836"/>
      <c r="F51" s="836"/>
      <c r="G51" s="836"/>
      <c r="H51" s="836"/>
      <c r="I51" s="836"/>
      <c r="J51" s="836"/>
      <c r="K51" s="836"/>
      <c r="L51" s="836"/>
      <c r="M51" s="837"/>
      <c r="N51" s="911"/>
      <c r="O51" s="912"/>
      <c r="P51" s="912"/>
      <c r="Q51" s="912"/>
      <c r="R51" s="912"/>
      <c r="S51" s="913"/>
      <c r="T51" s="949"/>
      <c r="U51" s="950"/>
      <c r="V51" s="848"/>
      <c r="W51" s="849"/>
      <c r="X51" s="835"/>
      <c r="Y51" s="836"/>
      <c r="Z51" s="836"/>
      <c r="AA51" s="837"/>
      <c r="AB51" s="835"/>
      <c r="AC51" s="836"/>
      <c r="AD51" s="837"/>
      <c r="AE51" s="860"/>
      <c r="AF51" s="870"/>
      <c r="AG51" s="860"/>
      <c r="AH51" s="870"/>
      <c r="AI51" s="919"/>
      <c r="AJ51" s="865"/>
      <c r="AK51" s="906"/>
      <c r="AL51" s="907"/>
      <c r="AM51" s="907"/>
      <c r="AN51" s="919"/>
      <c r="AO51" s="926"/>
      <c r="AP51" s="926"/>
      <c r="AQ51" s="865"/>
      <c r="BC51" s="826"/>
    </row>
    <row r="52" spans="2:55" ht="15.95" hidden="1" customHeight="1">
      <c r="B52" s="923">
        <v>19</v>
      </c>
      <c r="C52" s="832"/>
      <c r="D52" s="833"/>
      <c r="E52" s="833"/>
      <c r="F52" s="833"/>
      <c r="G52" s="833"/>
      <c r="H52" s="833"/>
      <c r="I52" s="833"/>
      <c r="J52" s="833"/>
      <c r="K52" s="833"/>
      <c r="L52" s="833"/>
      <c r="M52" s="834"/>
      <c r="N52" s="908" t="str">
        <f>IF(C52="","",INDEX(PMEREFRI[Base Desc 1],MATCH(C52,PMEREFRI[Eff Desc 1],0)))</f>
        <v/>
      </c>
      <c r="O52" s="909"/>
      <c r="P52" s="909"/>
      <c r="Q52" s="909"/>
      <c r="R52" s="909"/>
      <c r="S52" s="910"/>
      <c r="T52" s="947" t="str">
        <f>IF(C52="","",INDEX(PMEREFRI[Unit of Measure],MATCH(C52,PMEREFRI[Eff Desc 1],0)))</f>
        <v/>
      </c>
      <c r="U52" s="948"/>
      <c r="V52" s="846"/>
      <c r="W52" s="847"/>
      <c r="X52" s="832"/>
      <c r="Y52" s="833"/>
      <c r="Z52" s="833"/>
      <c r="AA52" s="834"/>
      <c r="AB52" s="832"/>
      <c r="AC52" s="833"/>
      <c r="AD52" s="834"/>
      <c r="AE52" s="858"/>
      <c r="AF52" s="869"/>
      <c r="AG52" s="858"/>
      <c r="AH52" s="869"/>
      <c r="AI52" s="917" t="str">
        <f>IF(C52="","",INDEX(PMEREFRI[Inc Rate Unit],MATCH(C52,PMEREFRI[Eff Desc 1],0)))</f>
        <v/>
      </c>
      <c r="AJ52" s="918"/>
      <c r="AK52" s="904" t="str">
        <f>IF(OR(C52="",V52="",X52="",AB52="",AE52="",AG52=""),"",ROUND(V52*INDEX(PMEREFRI[Savings per Unit kWh],MATCH(C52,PMEREFRI[Eff Desc 1],0)),0))</f>
        <v/>
      </c>
      <c r="AL52" s="905"/>
      <c r="AM52" s="905"/>
      <c r="AN52" s="924" t="str">
        <f t="shared" ref="AN52" si="39">IF(OR(C52="",V52="",X52="",AB52="",AE52="",AG52=""),"",IF(BC52&lt;&gt;"",BC52,MIN(AU52,ROUND(V52*AI52,2))))</f>
        <v/>
      </c>
      <c r="AO52" s="925"/>
      <c r="AP52" s="925"/>
      <c r="AQ52" s="863"/>
      <c r="BC52" s="825"/>
    </row>
    <row r="53" spans="2:55" ht="15.95" hidden="1" customHeight="1">
      <c r="B53" s="923"/>
      <c r="C53" s="835"/>
      <c r="D53" s="836"/>
      <c r="E53" s="836"/>
      <c r="F53" s="836"/>
      <c r="G53" s="836"/>
      <c r="H53" s="836"/>
      <c r="I53" s="836"/>
      <c r="J53" s="836"/>
      <c r="K53" s="836"/>
      <c r="L53" s="836"/>
      <c r="M53" s="837"/>
      <c r="N53" s="911"/>
      <c r="O53" s="912"/>
      <c r="P53" s="912"/>
      <c r="Q53" s="912"/>
      <c r="R53" s="912"/>
      <c r="S53" s="913"/>
      <c r="T53" s="949"/>
      <c r="U53" s="950"/>
      <c r="V53" s="848"/>
      <c r="W53" s="849"/>
      <c r="X53" s="835"/>
      <c r="Y53" s="836"/>
      <c r="Z53" s="836"/>
      <c r="AA53" s="837"/>
      <c r="AB53" s="835"/>
      <c r="AC53" s="836"/>
      <c r="AD53" s="837"/>
      <c r="AE53" s="860"/>
      <c r="AF53" s="870"/>
      <c r="AG53" s="860"/>
      <c r="AH53" s="870"/>
      <c r="AI53" s="919"/>
      <c r="AJ53" s="865"/>
      <c r="AK53" s="906"/>
      <c r="AL53" s="907"/>
      <c r="AM53" s="907"/>
      <c r="AN53" s="919"/>
      <c r="AO53" s="926"/>
      <c r="AP53" s="926"/>
      <c r="AQ53" s="865"/>
      <c r="BC53" s="826"/>
    </row>
    <row r="54" spans="2:55" ht="15.95" hidden="1" customHeight="1">
      <c r="B54" s="923">
        <v>20</v>
      </c>
      <c r="C54" s="832"/>
      <c r="D54" s="833"/>
      <c r="E54" s="833"/>
      <c r="F54" s="833"/>
      <c r="G54" s="833"/>
      <c r="H54" s="833"/>
      <c r="I54" s="833"/>
      <c r="J54" s="833"/>
      <c r="K54" s="833"/>
      <c r="L54" s="833"/>
      <c r="M54" s="834"/>
      <c r="N54" s="908"/>
      <c r="O54" s="909"/>
      <c r="P54" s="909"/>
      <c r="Q54" s="909"/>
      <c r="R54" s="909"/>
      <c r="S54" s="910"/>
      <c r="T54" s="947"/>
      <c r="U54" s="948"/>
      <c r="V54" s="846"/>
      <c r="W54" s="847"/>
      <c r="X54" s="832"/>
      <c r="Y54" s="833"/>
      <c r="Z54" s="833"/>
      <c r="AA54" s="834"/>
      <c r="AB54" s="832"/>
      <c r="AC54" s="833"/>
      <c r="AD54" s="834"/>
      <c r="AE54" s="858"/>
      <c r="AF54" s="869"/>
      <c r="AG54" s="858"/>
      <c r="AH54" s="869"/>
      <c r="AI54" s="917"/>
      <c r="AJ54" s="918"/>
      <c r="AK54" s="904"/>
      <c r="AL54" s="905"/>
      <c r="AM54" s="905"/>
      <c r="AN54" s="924"/>
      <c r="AO54" s="925"/>
      <c r="AP54" s="925"/>
      <c r="AQ54" s="863"/>
      <c r="BA54" s="808"/>
      <c r="BC54" s="825"/>
    </row>
    <row r="55" spans="2:55" ht="15.95" hidden="1" customHeight="1">
      <c r="B55" s="923"/>
      <c r="C55" s="835"/>
      <c r="D55" s="836"/>
      <c r="E55" s="836"/>
      <c r="F55" s="836"/>
      <c r="G55" s="836"/>
      <c r="H55" s="836"/>
      <c r="I55" s="836"/>
      <c r="J55" s="836"/>
      <c r="K55" s="836"/>
      <c r="L55" s="836"/>
      <c r="M55" s="837"/>
      <c r="N55" s="911"/>
      <c r="O55" s="912"/>
      <c r="P55" s="912"/>
      <c r="Q55" s="912"/>
      <c r="R55" s="912"/>
      <c r="S55" s="913"/>
      <c r="T55" s="949"/>
      <c r="U55" s="950"/>
      <c r="V55" s="848"/>
      <c r="W55" s="849"/>
      <c r="X55" s="835"/>
      <c r="Y55" s="836"/>
      <c r="Z55" s="836"/>
      <c r="AA55" s="837"/>
      <c r="AB55" s="835"/>
      <c r="AC55" s="836"/>
      <c r="AD55" s="837"/>
      <c r="AE55" s="860"/>
      <c r="AF55" s="870"/>
      <c r="AG55" s="860"/>
      <c r="AH55" s="870"/>
      <c r="AI55" s="919"/>
      <c r="AJ55" s="865"/>
      <c r="AK55" s="906"/>
      <c r="AL55" s="907"/>
      <c r="AM55" s="907"/>
      <c r="AN55" s="919"/>
      <c r="AO55" s="926"/>
      <c r="AP55" s="926"/>
      <c r="AQ55" s="865"/>
      <c r="BA55" s="809"/>
      <c r="BC55" s="826"/>
    </row>
    <row r="56" spans="2:55" ht="15.95" hidden="1" customHeight="1">
      <c r="B56" s="923">
        <v>21</v>
      </c>
      <c r="C56" s="832"/>
      <c r="D56" s="833"/>
      <c r="E56" s="833"/>
      <c r="F56" s="833"/>
      <c r="G56" s="833"/>
      <c r="H56" s="833"/>
      <c r="I56" s="833"/>
      <c r="J56" s="833"/>
      <c r="K56" s="833"/>
      <c r="L56" s="833"/>
      <c r="M56" s="834"/>
      <c r="N56" s="908" t="str">
        <f>IF(C56="","",INDEX(PMEREFRI[Base Desc 1],MATCH(C56,PMEREFRI[Eff Desc 1],0)))</f>
        <v/>
      </c>
      <c r="O56" s="909"/>
      <c r="P56" s="909"/>
      <c r="Q56" s="909"/>
      <c r="R56" s="909"/>
      <c r="S56" s="910"/>
      <c r="T56" s="947" t="str">
        <f>IF(C56="","",INDEX(PMEREFRI[Unit of Measure],MATCH(C56,PMEREFRI[Eff Desc 1],0)))</f>
        <v/>
      </c>
      <c r="U56" s="948"/>
      <c r="V56" s="846"/>
      <c r="W56" s="847"/>
      <c r="X56" s="832"/>
      <c r="Y56" s="833"/>
      <c r="Z56" s="833"/>
      <c r="AA56" s="834"/>
      <c r="AB56" s="832"/>
      <c r="AC56" s="833"/>
      <c r="AD56" s="834"/>
      <c r="AE56" s="858"/>
      <c r="AF56" s="869"/>
      <c r="AG56" s="858"/>
      <c r="AH56" s="869"/>
      <c r="AI56" s="917" t="str">
        <f>IF(C56="","",INDEX(PMEREFRI[Inc Rate Unit],MATCH(C56,PMEREFRI[Eff Desc 1],0)))</f>
        <v/>
      </c>
      <c r="AJ56" s="918"/>
      <c r="AK56" s="904" t="str">
        <f>IF(OR(C56="",V56="",X56="",AB56="",AE56="",AG56=""),"",ROUND(V56*INDEX(PMEREFRI[Savings per Unit kWh],MATCH(C56,PMEREFRI[Eff Desc 1],0)),0))</f>
        <v/>
      </c>
      <c r="AL56" s="905"/>
      <c r="AM56" s="905"/>
      <c r="AN56" s="924" t="str">
        <f t="shared" ref="AN56" si="40">IF(OR(C56="",V56="",X56="",AB56="",AE56="",AG56=""),"",IF(BC56&lt;&gt;"",BC56,MIN(AU56,ROUND(V56*AI56,2))))</f>
        <v/>
      </c>
      <c r="AO56" s="925"/>
      <c r="AP56" s="925"/>
      <c r="AQ56" s="863"/>
      <c r="BC56" s="825"/>
    </row>
    <row r="57" spans="2:55" ht="15.95" hidden="1" customHeight="1">
      <c r="B57" s="923"/>
      <c r="C57" s="835"/>
      <c r="D57" s="836"/>
      <c r="E57" s="836"/>
      <c r="F57" s="836"/>
      <c r="G57" s="836"/>
      <c r="H57" s="836"/>
      <c r="I57" s="836"/>
      <c r="J57" s="836"/>
      <c r="K57" s="836"/>
      <c r="L57" s="836"/>
      <c r="M57" s="837"/>
      <c r="N57" s="911"/>
      <c r="O57" s="912"/>
      <c r="P57" s="912"/>
      <c r="Q57" s="912"/>
      <c r="R57" s="912"/>
      <c r="S57" s="913"/>
      <c r="T57" s="949"/>
      <c r="U57" s="950"/>
      <c r="V57" s="848"/>
      <c r="W57" s="849"/>
      <c r="X57" s="835"/>
      <c r="Y57" s="836"/>
      <c r="Z57" s="836"/>
      <c r="AA57" s="837"/>
      <c r="AB57" s="835"/>
      <c r="AC57" s="836"/>
      <c r="AD57" s="837"/>
      <c r="AE57" s="860"/>
      <c r="AF57" s="870"/>
      <c r="AG57" s="860"/>
      <c r="AH57" s="870"/>
      <c r="AI57" s="919"/>
      <c r="AJ57" s="865"/>
      <c r="AK57" s="906"/>
      <c r="AL57" s="907"/>
      <c r="AM57" s="907"/>
      <c r="AN57" s="919"/>
      <c r="AO57" s="926"/>
      <c r="AP57" s="926"/>
      <c r="AQ57" s="865"/>
      <c r="BC57" s="826"/>
    </row>
    <row r="58" spans="2:55" ht="15.95" hidden="1" customHeight="1">
      <c r="B58" s="923">
        <v>22</v>
      </c>
      <c r="C58" s="832"/>
      <c r="D58" s="833"/>
      <c r="E58" s="833"/>
      <c r="F58" s="833"/>
      <c r="G58" s="833"/>
      <c r="H58" s="833"/>
      <c r="I58" s="833"/>
      <c r="J58" s="833"/>
      <c r="K58" s="833"/>
      <c r="L58" s="833"/>
      <c r="M58" s="834"/>
      <c r="N58" s="908" t="str">
        <f>IF(C58="","",INDEX(PMEREFRI[Base Desc 1],MATCH(C58,PMEREFRI[Eff Desc 1],0)))</f>
        <v/>
      </c>
      <c r="O58" s="909"/>
      <c r="P58" s="909"/>
      <c r="Q58" s="909"/>
      <c r="R58" s="909"/>
      <c r="S58" s="910"/>
      <c r="T58" s="947" t="str">
        <f>IF(C58="","",INDEX(PMEREFRI[Unit of Measure],MATCH(C58,PMEREFRI[Eff Desc 1],0)))</f>
        <v/>
      </c>
      <c r="U58" s="948"/>
      <c r="V58" s="846"/>
      <c r="W58" s="847"/>
      <c r="X58" s="832"/>
      <c r="Y58" s="833"/>
      <c r="Z58" s="833"/>
      <c r="AA58" s="834"/>
      <c r="AB58" s="832"/>
      <c r="AC58" s="833"/>
      <c r="AD58" s="834"/>
      <c r="AE58" s="858"/>
      <c r="AF58" s="869"/>
      <c r="AG58" s="858"/>
      <c r="AH58" s="869"/>
      <c r="AI58" s="917" t="str">
        <f>IF(C58="","",INDEX(PMEREFRI[Inc Rate Unit],MATCH(C58,PMEREFRI[Eff Desc 1],0)))</f>
        <v/>
      </c>
      <c r="AJ58" s="918"/>
      <c r="AK58" s="904" t="str">
        <f>IF(OR(C58="",V58="",X58="",AB58="",AE58="",AG58=""),"",ROUND(V58*INDEX(PMEREFRI[Savings per Unit kWh],MATCH(C58,PMEREFRI[Eff Desc 1],0)),0))</f>
        <v/>
      </c>
      <c r="AL58" s="905"/>
      <c r="AM58" s="905"/>
      <c r="AN58" s="924" t="str">
        <f t="shared" ref="AN58" si="41">IF(OR(C58="",V58="",X58="",AB58="",AE58="",AG58=""),"",IF(BC58&lt;&gt;"",BC58,MIN(AU58,ROUND(V58*AI58,2))))</f>
        <v/>
      </c>
      <c r="AO58" s="925"/>
      <c r="AP58" s="925"/>
      <c r="AQ58" s="863"/>
      <c r="BC58" s="825"/>
    </row>
    <row r="59" spans="2:55" ht="15.95" hidden="1" customHeight="1">
      <c r="B59" s="923"/>
      <c r="C59" s="835"/>
      <c r="D59" s="836"/>
      <c r="E59" s="836"/>
      <c r="F59" s="836"/>
      <c r="G59" s="836"/>
      <c r="H59" s="836"/>
      <c r="I59" s="836"/>
      <c r="J59" s="836"/>
      <c r="K59" s="836"/>
      <c r="L59" s="836"/>
      <c r="M59" s="837"/>
      <c r="N59" s="911"/>
      <c r="O59" s="912"/>
      <c r="P59" s="912"/>
      <c r="Q59" s="912"/>
      <c r="R59" s="912"/>
      <c r="S59" s="913"/>
      <c r="T59" s="949"/>
      <c r="U59" s="950"/>
      <c r="V59" s="848"/>
      <c r="W59" s="849"/>
      <c r="X59" s="835"/>
      <c r="Y59" s="836"/>
      <c r="Z59" s="836"/>
      <c r="AA59" s="837"/>
      <c r="AB59" s="835"/>
      <c r="AC59" s="836"/>
      <c r="AD59" s="837"/>
      <c r="AE59" s="860"/>
      <c r="AF59" s="870"/>
      <c r="AG59" s="860"/>
      <c r="AH59" s="870"/>
      <c r="AI59" s="919"/>
      <c r="AJ59" s="865"/>
      <c r="AK59" s="906"/>
      <c r="AL59" s="907"/>
      <c r="AM59" s="907"/>
      <c r="AN59" s="919"/>
      <c r="AO59" s="926"/>
      <c r="AP59" s="926"/>
      <c r="AQ59" s="865"/>
      <c r="BC59" s="826"/>
    </row>
    <row r="60" spans="2:55" ht="15.95" hidden="1" customHeight="1">
      <c r="B60" s="923">
        <v>23</v>
      </c>
      <c r="C60" s="832"/>
      <c r="D60" s="833"/>
      <c r="E60" s="833"/>
      <c r="F60" s="833"/>
      <c r="G60" s="833"/>
      <c r="H60" s="833"/>
      <c r="I60" s="833"/>
      <c r="J60" s="833"/>
      <c r="K60" s="833"/>
      <c r="L60" s="833"/>
      <c r="M60" s="834"/>
      <c r="N60" s="908" t="str">
        <f>IF(C60="","",INDEX(PMEREFRI[Base Desc 1],MATCH(C60,PMEREFRI[Eff Desc 1],0)))</f>
        <v/>
      </c>
      <c r="O60" s="909"/>
      <c r="P60" s="909"/>
      <c r="Q60" s="909"/>
      <c r="R60" s="909"/>
      <c r="S60" s="910"/>
      <c r="T60" s="947" t="str">
        <f>IF(C60="","",INDEX(PMEREFRI[Unit of Measure],MATCH(C60,PMEREFRI[Eff Desc 1],0)))</f>
        <v/>
      </c>
      <c r="U60" s="948"/>
      <c r="V60" s="846"/>
      <c r="W60" s="847"/>
      <c r="X60" s="832"/>
      <c r="Y60" s="833"/>
      <c r="Z60" s="833"/>
      <c r="AA60" s="834"/>
      <c r="AB60" s="832"/>
      <c r="AC60" s="833"/>
      <c r="AD60" s="834"/>
      <c r="AE60" s="858"/>
      <c r="AF60" s="869"/>
      <c r="AG60" s="858"/>
      <c r="AH60" s="869"/>
      <c r="AI60" s="917" t="str">
        <f>IF(C60="","",INDEX(PMEREFRI[Inc Rate Unit],MATCH(C60,PMEREFRI[Eff Desc 1],0)))</f>
        <v/>
      </c>
      <c r="AJ60" s="918"/>
      <c r="AK60" s="904" t="str">
        <f>IF(OR(C60="",V60="",X60="",AB60="",AE60="",AG60=""),"",ROUND(V60*INDEX(PMEREFRI[Savings per Unit kWh],MATCH(C60,PMEREFRI[Eff Desc 1],0)),0))</f>
        <v/>
      </c>
      <c r="AL60" s="905"/>
      <c r="AM60" s="905"/>
      <c r="AN60" s="924" t="str">
        <f t="shared" ref="AN60" si="42">IF(OR(C60="",V60="",X60="",AB60="",AE60="",AG60=""),"",IF(BC60&lt;&gt;"",BC60,MIN(AU60,ROUND(V60*AI60,2))))</f>
        <v/>
      </c>
      <c r="AO60" s="925"/>
      <c r="AP60" s="925"/>
      <c r="AQ60" s="863"/>
      <c r="BC60" s="825"/>
    </row>
    <row r="61" spans="2:55" ht="15.95" hidden="1" customHeight="1">
      <c r="B61" s="923"/>
      <c r="C61" s="835"/>
      <c r="D61" s="836"/>
      <c r="E61" s="836"/>
      <c r="F61" s="836"/>
      <c r="G61" s="836"/>
      <c r="H61" s="836"/>
      <c r="I61" s="836"/>
      <c r="J61" s="836"/>
      <c r="K61" s="836"/>
      <c r="L61" s="836"/>
      <c r="M61" s="837"/>
      <c r="N61" s="911"/>
      <c r="O61" s="912"/>
      <c r="P61" s="912"/>
      <c r="Q61" s="912"/>
      <c r="R61" s="912"/>
      <c r="S61" s="913"/>
      <c r="T61" s="949"/>
      <c r="U61" s="950"/>
      <c r="V61" s="848"/>
      <c r="W61" s="849"/>
      <c r="X61" s="835"/>
      <c r="Y61" s="836"/>
      <c r="Z61" s="836"/>
      <c r="AA61" s="837"/>
      <c r="AB61" s="835"/>
      <c r="AC61" s="836"/>
      <c r="AD61" s="837"/>
      <c r="AE61" s="860"/>
      <c r="AF61" s="870"/>
      <c r="AG61" s="860"/>
      <c r="AH61" s="870"/>
      <c r="AI61" s="919"/>
      <c r="AJ61" s="865"/>
      <c r="AK61" s="906"/>
      <c r="AL61" s="907"/>
      <c r="AM61" s="907"/>
      <c r="AN61" s="919"/>
      <c r="AO61" s="926"/>
      <c r="AP61" s="926"/>
      <c r="AQ61" s="865"/>
      <c r="BC61" s="826"/>
    </row>
    <row r="62" spans="2:55" ht="15.95" hidden="1" customHeight="1">
      <c r="B62" s="923">
        <v>24</v>
      </c>
      <c r="C62" s="832"/>
      <c r="D62" s="833"/>
      <c r="E62" s="833"/>
      <c r="F62" s="833"/>
      <c r="G62" s="833"/>
      <c r="H62" s="833"/>
      <c r="I62" s="833"/>
      <c r="J62" s="833"/>
      <c r="K62" s="833"/>
      <c r="L62" s="833"/>
      <c r="M62" s="834"/>
      <c r="N62" s="908" t="str">
        <f>IF(C62="","",INDEX(PMEREFRI[Base Desc 1],MATCH(C62,PMEREFRI[Eff Desc 1],0)))</f>
        <v/>
      </c>
      <c r="O62" s="909"/>
      <c r="P62" s="909"/>
      <c r="Q62" s="909"/>
      <c r="R62" s="909"/>
      <c r="S62" s="910"/>
      <c r="T62" s="947" t="str">
        <f>IF(C62="","",INDEX(PMEREFRI[Unit of Measure],MATCH(C62,PMEREFRI[Eff Desc 1],0)))</f>
        <v/>
      </c>
      <c r="U62" s="948"/>
      <c r="V62" s="846"/>
      <c r="W62" s="847"/>
      <c r="X62" s="832"/>
      <c r="Y62" s="833"/>
      <c r="Z62" s="833"/>
      <c r="AA62" s="834"/>
      <c r="AB62" s="832"/>
      <c r="AC62" s="833"/>
      <c r="AD62" s="834"/>
      <c r="AE62" s="858"/>
      <c r="AF62" s="869"/>
      <c r="AG62" s="858"/>
      <c r="AH62" s="869"/>
      <c r="AI62" s="917" t="str">
        <f>IF(C62="","",INDEX(PMEREFRI[Inc Rate Unit],MATCH(C62,PMEREFRI[Eff Desc 1],0)))</f>
        <v/>
      </c>
      <c r="AJ62" s="918"/>
      <c r="AK62" s="904" t="str">
        <f>IF(OR(C62="",V62="",X62="",AB62="",AE62="",AG62=""),"",ROUND(V62*INDEX(PMEREFRI[Savings per Unit kWh],MATCH(C62,PMEREFRI[Eff Desc 1],0)),0))</f>
        <v/>
      </c>
      <c r="AL62" s="905"/>
      <c r="AM62" s="905"/>
      <c r="AN62" s="924" t="str">
        <f t="shared" ref="AN62" si="43">IF(OR(C62="",V62="",X62="",AB62="",AE62="",AG62=""),"",IF(BC62&lt;&gt;"",BC62,MIN(AU62,ROUND(V62*AI62,2))))</f>
        <v/>
      </c>
      <c r="AO62" s="925"/>
      <c r="AP62" s="925"/>
      <c r="AQ62" s="863"/>
      <c r="BC62" s="825"/>
    </row>
    <row r="63" spans="2:55" ht="15.95" hidden="1" customHeight="1">
      <c r="B63" s="923"/>
      <c r="C63" s="835"/>
      <c r="D63" s="836"/>
      <c r="E63" s="836"/>
      <c r="F63" s="836"/>
      <c r="G63" s="836"/>
      <c r="H63" s="836"/>
      <c r="I63" s="836"/>
      <c r="J63" s="836"/>
      <c r="K63" s="836"/>
      <c r="L63" s="836"/>
      <c r="M63" s="837"/>
      <c r="N63" s="911"/>
      <c r="O63" s="912"/>
      <c r="P63" s="912"/>
      <c r="Q63" s="912"/>
      <c r="R63" s="912"/>
      <c r="S63" s="913"/>
      <c r="T63" s="949"/>
      <c r="U63" s="950"/>
      <c r="V63" s="848"/>
      <c r="W63" s="849"/>
      <c r="X63" s="835"/>
      <c r="Y63" s="836"/>
      <c r="Z63" s="836"/>
      <c r="AA63" s="837"/>
      <c r="AB63" s="835"/>
      <c r="AC63" s="836"/>
      <c r="AD63" s="837"/>
      <c r="AE63" s="860"/>
      <c r="AF63" s="870"/>
      <c r="AG63" s="860"/>
      <c r="AH63" s="870"/>
      <c r="AI63" s="919"/>
      <c r="AJ63" s="865"/>
      <c r="AK63" s="906"/>
      <c r="AL63" s="907"/>
      <c r="AM63" s="907"/>
      <c r="AN63" s="919"/>
      <c r="AO63" s="926"/>
      <c r="AP63" s="926"/>
      <c r="AQ63" s="865"/>
      <c r="BC63" s="826"/>
    </row>
    <row r="64" spans="2:55" ht="15.95" hidden="1" customHeight="1">
      <c r="B64" s="923">
        <v>25</v>
      </c>
      <c r="C64" s="832"/>
      <c r="D64" s="833"/>
      <c r="E64" s="833"/>
      <c r="F64" s="833"/>
      <c r="G64" s="833"/>
      <c r="H64" s="833"/>
      <c r="I64" s="833"/>
      <c r="J64" s="833"/>
      <c r="K64" s="833"/>
      <c r="L64" s="833"/>
      <c r="M64" s="834"/>
      <c r="N64" s="908" t="str">
        <f>IF(C64="","",INDEX(PMEREFRI[Base Desc 1],MATCH(C64,PMEREFRI[Eff Desc 1],0)))</f>
        <v/>
      </c>
      <c r="O64" s="909"/>
      <c r="P64" s="909"/>
      <c r="Q64" s="909"/>
      <c r="R64" s="909"/>
      <c r="S64" s="910"/>
      <c r="T64" s="947" t="str">
        <f>IF(C64="","",INDEX(PMEREFRI[Unit of Measure],MATCH(C64,PMEREFRI[Eff Desc 1],0)))</f>
        <v/>
      </c>
      <c r="U64" s="948"/>
      <c r="V64" s="846"/>
      <c r="W64" s="847"/>
      <c r="X64" s="832"/>
      <c r="Y64" s="833"/>
      <c r="Z64" s="833"/>
      <c r="AA64" s="834"/>
      <c r="AB64" s="832"/>
      <c r="AC64" s="833"/>
      <c r="AD64" s="834"/>
      <c r="AE64" s="858"/>
      <c r="AF64" s="869"/>
      <c r="AG64" s="858"/>
      <c r="AH64" s="869"/>
      <c r="AI64" s="917" t="str">
        <f>IF(C64="","",INDEX(PMEREFRI[Inc Rate Unit],MATCH(C64,PMEREFRI[Eff Desc 1],0)))</f>
        <v/>
      </c>
      <c r="AJ64" s="918"/>
      <c r="AK64" s="904" t="str">
        <f>IF(OR(C64="",V64="",X64="",AB64="",AE64="",AG64=""),"",ROUND(V64*INDEX(PMEREFRI[Savings per Unit kWh],MATCH(C64,PMEREFRI[Eff Desc 1],0)),0))</f>
        <v/>
      </c>
      <c r="AL64" s="905"/>
      <c r="AM64" s="905"/>
      <c r="AN64" s="924" t="str">
        <f t="shared" ref="AN64" si="44">IF(OR(C64="",V64="",X64="",AB64="",AE64="",AG64=""),"",IF(BC64&lt;&gt;"",BC64,MIN(AU64,ROUND(V64*AI64,2))))</f>
        <v/>
      </c>
      <c r="AO64" s="925"/>
      <c r="AP64" s="925"/>
      <c r="AQ64" s="863"/>
      <c r="BC64" s="825"/>
    </row>
    <row r="65" spans="2:55" ht="15.95" hidden="1" customHeight="1">
      <c r="B65" s="923"/>
      <c r="C65" s="835"/>
      <c r="D65" s="836"/>
      <c r="E65" s="836"/>
      <c r="F65" s="836"/>
      <c r="G65" s="836"/>
      <c r="H65" s="836"/>
      <c r="I65" s="836"/>
      <c r="J65" s="836"/>
      <c r="K65" s="836"/>
      <c r="L65" s="836"/>
      <c r="M65" s="837"/>
      <c r="N65" s="911"/>
      <c r="O65" s="912"/>
      <c r="P65" s="912"/>
      <c r="Q65" s="912"/>
      <c r="R65" s="912"/>
      <c r="S65" s="913"/>
      <c r="T65" s="949"/>
      <c r="U65" s="950"/>
      <c r="V65" s="848"/>
      <c r="W65" s="849"/>
      <c r="X65" s="835"/>
      <c r="Y65" s="836"/>
      <c r="Z65" s="836"/>
      <c r="AA65" s="837"/>
      <c r="AB65" s="835"/>
      <c r="AC65" s="836"/>
      <c r="AD65" s="837"/>
      <c r="AE65" s="860"/>
      <c r="AF65" s="870"/>
      <c r="AG65" s="860"/>
      <c r="AH65" s="870"/>
      <c r="AI65" s="919"/>
      <c r="AJ65" s="865"/>
      <c r="AK65" s="906"/>
      <c r="AL65" s="907"/>
      <c r="AM65" s="907"/>
      <c r="AN65" s="919"/>
      <c r="AO65" s="926"/>
      <c r="AP65" s="926"/>
      <c r="AQ65" s="865"/>
      <c r="BC65" s="826"/>
    </row>
    <row r="66" spans="2:55" ht="15.95" hidden="1" customHeight="1">
      <c r="B66" s="923">
        <v>26</v>
      </c>
      <c r="C66" s="832"/>
      <c r="D66" s="833"/>
      <c r="E66" s="833"/>
      <c r="F66" s="833"/>
      <c r="G66" s="833"/>
      <c r="H66" s="833"/>
      <c r="I66" s="833"/>
      <c r="J66" s="833"/>
      <c r="K66" s="833"/>
      <c r="L66" s="833"/>
      <c r="M66" s="834"/>
      <c r="N66" s="908" t="str">
        <f>IF(C66="","",INDEX(PMEREFRI[Base Desc 1],MATCH(C66,PMEREFRI[Eff Desc 1],0)))</f>
        <v/>
      </c>
      <c r="O66" s="909"/>
      <c r="P66" s="909"/>
      <c r="Q66" s="909"/>
      <c r="R66" s="909"/>
      <c r="S66" s="910"/>
      <c r="T66" s="947" t="str">
        <f>IF(C66="","",INDEX(PMEREFRI[Unit of Measure],MATCH(C66,PMEREFRI[Eff Desc 1],0)))</f>
        <v/>
      </c>
      <c r="U66" s="948"/>
      <c r="V66" s="846"/>
      <c r="W66" s="847"/>
      <c r="X66" s="832"/>
      <c r="Y66" s="833"/>
      <c r="Z66" s="833"/>
      <c r="AA66" s="834"/>
      <c r="AB66" s="832"/>
      <c r="AC66" s="833"/>
      <c r="AD66" s="834"/>
      <c r="AE66" s="858"/>
      <c r="AF66" s="869"/>
      <c r="AG66" s="858"/>
      <c r="AH66" s="869"/>
      <c r="AI66" s="917" t="str">
        <f>IF(C66="","",INDEX(PMEREFRI[Inc Rate Unit],MATCH(C66,PMEREFRI[Eff Desc 1],0)))</f>
        <v/>
      </c>
      <c r="AJ66" s="918"/>
      <c r="AK66" s="904" t="str">
        <f>IF(OR(C66="",V66="",X66="",AB66="",AE66="",AG66=""),"",ROUND(V66*INDEX(PMEREFRI[Savings per Unit kWh],MATCH(C66,PMEREFRI[Eff Desc 1],0)),0))</f>
        <v/>
      </c>
      <c r="AL66" s="905"/>
      <c r="AM66" s="905"/>
      <c r="AN66" s="924" t="str">
        <f t="shared" ref="AN66" si="45">IF(OR(C66="",V66="",X66="",AB66="",AE66="",AG66=""),"",IF(BC66&lt;&gt;"",BC66,MIN(AU66,ROUND(V66*AI66,2))))</f>
        <v/>
      </c>
      <c r="AO66" s="925"/>
      <c r="AP66" s="925"/>
      <c r="AQ66" s="863"/>
      <c r="BC66" s="825"/>
    </row>
    <row r="67" spans="2:55" ht="15.95" hidden="1" customHeight="1">
      <c r="B67" s="923"/>
      <c r="C67" s="835"/>
      <c r="D67" s="836"/>
      <c r="E67" s="836"/>
      <c r="F67" s="836"/>
      <c r="G67" s="836"/>
      <c r="H67" s="836"/>
      <c r="I67" s="836"/>
      <c r="J67" s="836"/>
      <c r="K67" s="836"/>
      <c r="L67" s="836"/>
      <c r="M67" s="837"/>
      <c r="N67" s="911"/>
      <c r="O67" s="912"/>
      <c r="P67" s="912"/>
      <c r="Q67" s="912"/>
      <c r="R67" s="912"/>
      <c r="S67" s="913"/>
      <c r="T67" s="949"/>
      <c r="U67" s="950"/>
      <c r="V67" s="848"/>
      <c r="W67" s="849"/>
      <c r="X67" s="835"/>
      <c r="Y67" s="836"/>
      <c r="Z67" s="836"/>
      <c r="AA67" s="837"/>
      <c r="AB67" s="835"/>
      <c r="AC67" s="836"/>
      <c r="AD67" s="837"/>
      <c r="AE67" s="860"/>
      <c r="AF67" s="870"/>
      <c r="AG67" s="860"/>
      <c r="AH67" s="870"/>
      <c r="AI67" s="919"/>
      <c r="AJ67" s="865"/>
      <c r="AK67" s="906"/>
      <c r="AL67" s="907"/>
      <c r="AM67" s="907"/>
      <c r="AN67" s="919"/>
      <c r="AO67" s="926"/>
      <c r="AP67" s="926"/>
      <c r="AQ67" s="865"/>
      <c r="BC67" s="826"/>
    </row>
    <row r="68" spans="2:55" ht="15.95" hidden="1" customHeight="1">
      <c r="B68" s="923">
        <v>27</v>
      </c>
      <c r="C68" s="832"/>
      <c r="D68" s="833"/>
      <c r="E68" s="833"/>
      <c r="F68" s="833"/>
      <c r="G68" s="833"/>
      <c r="H68" s="833"/>
      <c r="I68" s="833"/>
      <c r="J68" s="833"/>
      <c r="K68" s="833"/>
      <c r="L68" s="833"/>
      <c r="M68" s="834"/>
      <c r="N68" s="908" t="str">
        <f>IF(C68="","",INDEX(PMEREFRI[Base Desc 1],MATCH(C68,PMEREFRI[Eff Desc 1],0)))</f>
        <v/>
      </c>
      <c r="O68" s="909"/>
      <c r="P68" s="909"/>
      <c r="Q68" s="909"/>
      <c r="R68" s="909"/>
      <c r="S68" s="910"/>
      <c r="T68" s="947" t="str">
        <f>IF(C68="","",INDEX(PMEREFRI[Unit of Measure],MATCH(C68,PMEREFRI[Eff Desc 1],0)))</f>
        <v/>
      </c>
      <c r="U68" s="948"/>
      <c r="V68" s="846"/>
      <c r="W68" s="847"/>
      <c r="X68" s="832"/>
      <c r="Y68" s="833"/>
      <c r="Z68" s="833"/>
      <c r="AA68" s="834"/>
      <c r="AB68" s="832"/>
      <c r="AC68" s="833"/>
      <c r="AD68" s="834"/>
      <c r="AE68" s="858"/>
      <c r="AF68" s="869"/>
      <c r="AG68" s="858"/>
      <c r="AH68" s="869"/>
      <c r="AI68" s="917" t="str">
        <f>IF(C68="","",INDEX(PMEREFRI[Inc Rate Unit],MATCH(C68,PMEREFRI[Eff Desc 1],0)))</f>
        <v/>
      </c>
      <c r="AJ68" s="918"/>
      <c r="AK68" s="904" t="str">
        <f>IF(OR(C68="",V68="",X68="",AB68="",AE68="",AG68=""),"",ROUND(V68*INDEX(PMEREFRI[Savings per Unit kWh],MATCH(C68,PMEREFRI[Eff Desc 1],0)),0))</f>
        <v/>
      </c>
      <c r="AL68" s="905"/>
      <c r="AM68" s="905"/>
      <c r="AN68" s="924" t="str">
        <f t="shared" ref="AN68" si="46">IF(OR(C68="",V68="",X68="",AB68="",AE68="",AG68=""),"",IF(BC68&lt;&gt;"",BC68,MIN(AU68,ROUND(V68*AI68,2))))</f>
        <v/>
      </c>
      <c r="AO68" s="925"/>
      <c r="AP68" s="925"/>
      <c r="AQ68" s="863"/>
      <c r="BC68" s="825"/>
    </row>
    <row r="69" spans="2:55" ht="15.95" hidden="1" customHeight="1">
      <c r="B69" s="923"/>
      <c r="C69" s="835"/>
      <c r="D69" s="836"/>
      <c r="E69" s="836"/>
      <c r="F69" s="836"/>
      <c r="G69" s="836"/>
      <c r="H69" s="836"/>
      <c r="I69" s="836"/>
      <c r="J69" s="836"/>
      <c r="K69" s="836"/>
      <c r="L69" s="836"/>
      <c r="M69" s="837"/>
      <c r="N69" s="911"/>
      <c r="O69" s="912"/>
      <c r="P69" s="912"/>
      <c r="Q69" s="912"/>
      <c r="R69" s="912"/>
      <c r="S69" s="913"/>
      <c r="T69" s="949"/>
      <c r="U69" s="950"/>
      <c r="V69" s="848"/>
      <c r="W69" s="849"/>
      <c r="X69" s="835"/>
      <c r="Y69" s="836"/>
      <c r="Z69" s="836"/>
      <c r="AA69" s="837"/>
      <c r="AB69" s="835"/>
      <c r="AC69" s="836"/>
      <c r="AD69" s="837"/>
      <c r="AE69" s="860"/>
      <c r="AF69" s="870"/>
      <c r="AG69" s="860"/>
      <c r="AH69" s="870"/>
      <c r="AI69" s="919"/>
      <c r="AJ69" s="865"/>
      <c r="AK69" s="906"/>
      <c r="AL69" s="907"/>
      <c r="AM69" s="907"/>
      <c r="AN69" s="919"/>
      <c r="AO69" s="926"/>
      <c r="AP69" s="926"/>
      <c r="AQ69" s="865"/>
      <c r="BC69" s="826"/>
    </row>
    <row r="70" spans="2:55" ht="15.95" hidden="1" customHeight="1">
      <c r="B70" s="923">
        <v>28</v>
      </c>
      <c r="C70" s="832"/>
      <c r="D70" s="833"/>
      <c r="E70" s="833"/>
      <c r="F70" s="833"/>
      <c r="G70" s="833"/>
      <c r="H70" s="833"/>
      <c r="I70" s="833"/>
      <c r="J70" s="833"/>
      <c r="K70" s="833"/>
      <c r="L70" s="833"/>
      <c r="M70" s="834"/>
      <c r="N70" s="908" t="str">
        <f>IF(C70="","",INDEX(PMEREFRI[Base Desc 1],MATCH(C70,PMEREFRI[Eff Desc 1],0)))</f>
        <v/>
      </c>
      <c r="O70" s="909"/>
      <c r="P70" s="909"/>
      <c r="Q70" s="909"/>
      <c r="R70" s="909"/>
      <c r="S70" s="910"/>
      <c r="T70" s="947" t="str">
        <f>IF(C70="","",INDEX(PMEREFRI[Unit of Measure],MATCH(C70,PMEREFRI[Eff Desc 1],0)))</f>
        <v/>
      </c>
      <c r="U70" s="948"/>
      <c r="V70" s="846"/>
      <c r="W70" s="847"/>
      <c r="X70" s="832"/>
      <c r="Y70" s="833"/>
      <c r="Z70" s="833"/>
      <c r="AA70" s="834"/>
      <c r="AB70" s="832"/>
      <c r="AC70" s="833"/>
      <c r="AD70" s="834"/>
      <c r="AE70" s="858"/>
      <c r="AF70" s="869"/>
      <c r="AG70" s="858"/>
      <c r="AH70" s="869"/>
      <c r="AI70" s="917" t="str">
        <f>IF(C70="","",INDEX(PMEREFRI[Inc Rate Unit],MATCH(C70,PMEREFRI[Eff Desc 1],0)))</f>
        <v/>
      </c>
      <c r="AJ70" s="918"/>
      <c r="AK70" s="904" t="str">
        <f>IF(OR(C70="",V70="",X70="",AB70="",AE70="",AG70=""),"",ROUND(V70*INDEX(PMEREFRI[Savings per Unit kWh],MATCH(C70,PMEREFRI[Eff Desc 1],0)),0))</f>
        <v/>
      </c>
      <c r="AL70" s="905"/>
      <c r="AM70" s="905"/>
      <c r="AN70" s="924" t="str">
        <f t="shared" ref="AN70" si="47">IF(OR(C70="",V70="",X70="",AB70="",AE70="",AG70=""),"",IF(BC70&lt;&gt;"",BC70,MIN(AU70,ROUND(V70*AI70,2))))</f>
        <v/>
      </c>
      <c r="AO70" s="925"/>
      <c r="AP70" s="925"/>
      <c r="AQ70" s="863"/>
      <c r="BC70" s="825"/>
    </row>
    <row r="71" spans="2:55" ht="15.95" hidden="1" customHeight="1">
      <c r="B71" s="923"/>
      <c r="C71" s="835"/>
      <c r="D71" s="836"/>
      <c r="E71" s="836"/>
      <c r="F71" s="836"/>
      <c r="G71" s="836"/>
      <c r="H71" s="836"/>
      <c r="I71" s="836"/>
      <c r="J71" s="836"/>
      <c r="K71" s="836"/>
      <c r="L71" s="836"/>
      <c r="M71" s="837"/>
      <c r="N71" s="911"/>
      <c r="O71" s="912"/>
      <c r="P71" s="912"/>
      <c r="Q71" s="912"/>
      <c r="R71" s="912"/>
      <c r="S71" s="913"/>
      <c r="T71" s="949"/>
      <c r="U71" s="950"/>
      <c r="V71" s="848"/>
      <c r="W71" s="849"/>
      <c r="X71" s="835"/>
      <c r="Y71" s="836"/>
      <c r="Z71" s="836"/>
      <c r="AA71" s="837"/>
      <c r="AB71" s="835"/>
      <c r="AC71" s="836"/>
      <c r="AD71" s="837"/>
      <c r="AE71" s="860"/>
      <c r="AF71" s="870"/>
      <c r="AG71" s="860"/>
      <c r="AH71" s="870"/>
      <c r="AI71" s="919"/>
      <c r="AJ71" s="865"/>
      <c r="AK71" s="906"/>
      <c r="AL71" s="907"/>
      <c r="AM71" s="907"/>
      <c r="AN71" s="919"/>
      <c r="AO71" s="926"/>
      <c r="AP71" s="926"/>
      <c r="AQ71" s="865"/>
      <c r="BC71" s="826"/>
    </row>
    <row r="72" spans="2:55" ht="15.95" hidden="1" customHeight="1">
      <c r="B72" s="923">
        <v>29</v>
      </c>
      <c r="C72" s="832"/>
      <c r="D72" s="833"/>
      <c r="E72" s="833"/>
      <c r="F72" s="833"/>
      <c r="G72" s="833"/>
      <c r="H72" s="833"/>
      <c r="I72" s="833"/>
      <c r="J72" s="833"/>
      <c r="K72" s="833"/>
      <c r="L72" s="833"/>
      <c r="M72" s="834"/>
      <c r="N72" s="908" t="str">
        <f>IF(C72="","",INDEX(PMEREFRI[Base Desc 1],MATCH(C72,PMEREFRI[Eff Desc 1],0)))</f>
        <v/>
      </c>
      <c r="O72" s="909"/>
      <c r="P72" s="909"/>
      <c r="Q72" s="909"/>
      <c r="R72" s="909"/>
      <c r="S72" s="910"/>
      <c r="T72" s="947" t="str">
        <f>IF(C72="","",INDEX(PMEREFRI[Unit of Measure],MATCH(C72,PMEREFRI[Eff Desc 1],0)))</f>
        <v/>
      </c>
      <c r="U72" s="948"/>
      <c r="V72" s="846"/>
      <c r="W72" s="847"/>
      <c r="X72" s="832"/>
      <c r="Y72" s="833"/>
      <c r="Z72" s="833"/>
      <c r="AA72" s="834"/>
      <c r="AB72" s="832"/>
      <c r="AC72" s="833"/>
      <c r="AD72" s="834"/>
      <c r="AE72" s="858"/>
      <c r="AF72" s="869"/>
      <c r="AG72" s="858"/>
      <c r="AH72" s="869"/>
      <c r="AI72" s="917" t="str">
        <f>IF(C72="","",INDEX(PMEREFRI[Inc Rate Unit],MATCH(C72,PMEREFRI[Eff Desc 1],0)))</f>
        <v/>
      </c>
      <c r="AJ72" s="918"/>
      <c r="AK72" s="904" t="str">
        <f>IF(OR(C72="",V72="",X72="",AB72="",AE72="",AG72=""),"",ROUND(V72*INDEX(PMEREFRI[Savings per Unit kWh],MATCH(C72,PMEREFRI[Eff Desc 1],0)),0))</f>
        <v/>
      </c>
      <c r="AL72" s="905"/>
      <c r="AM72" s="905"/>
      <c r="AN72" s="924" t="str">
        <f t="shared" ref="AN72" si="48">IF(OR(C72="",V72="",X72="",AB72="",AE72="",AG72=""),"",IF(BC72&lt;&gt;"",BC72,MIN(AU72,ROUND(V72*AI72,2))))</f>
        <v/>
      </c>
      <c r="AO72" s="925"/>
      <c r="AP72" s="925"/>
      <c r="AQ72" s="863"/>
      <c r="BC72" s="825"/>
    </row>
    <row r="73" spans="2:55" ht="15.95" hidden="1" customHeight="1">
      <c r="B73" s="923"/>
      <c r="C73" s="835"/>
      <c r="D73" s="836"/>
      <c r="E73" s="836"/>
      <c r="F73" s="836"/>
      <c r="G73" s="836"/>
      <c r="H73" s="836"/>
      <c r="I73" s="836"/>
      <c r="J73" s="836"/>
      <c r="K73" s="836"/>
      <c r="L73" s="836"/>
      <c r="M73" s="837"/>
      <c r="N73" s="911"/>
      <c r="O73" s="912"/>
      <c r="P73" s="912"/>
      <c r="Q73" s="912"/>
      <c r="R73" s="912"/>
      <c r="S73" s="913"/>
      <c r="T73" s="949"/>
      <c r="U73" s="950"/>
      <c r="V73" s="848"/>
      <c r="W73" s="849"/>
      <c r="X73" s="835"/>
      <c r="Y73" s="836"/>
      <c r="Z73" s="836"/>
      <c r="AA73" s="837"/>
      <c r="AB73" s="835"/>
      <c r="AC73" s="836"/>
      <c r="AD73" s="837"/>
      <c r="AE73" s="860"/>
      <c r="AF73" s="870"/>
      <c r="AG73" s="860"/>
      <c r="AH73" s="870"/>
      <c r="AI73" s="919"/>
      <c r="AJ73" s="865"/>
      <c r="AK73" s="906"/>
      <c r="AL73" s="907"/>
      <c r="AM73" s="907"/>
      <c r="AN73" s="919"/>
      <c r="AO73" s="926"/>
      <c r="AP73" s="926"/>
      <c r="AQ73" s="865"/>
      <c r="BC73" s="826"/>
    </row>
    <row r="74" spans="2:55" ht="15.95" hidden="1" customHeight="1">
      <c r="B74" s="923">
        <v>30</v>
      </c>
      <c r="C74" s="832"/>
      <c r="D74" s="833"/>
      <c r="E74" s="833"/>
      <c r="F74" s="833"/>
      <c r="G74" s="833"/>
      <c r="H74" s="833"/>
      <c r="I74" s="833"/>
      <c r="J74" s="833"/>
      <c r="K74" s="833"/>
      <c r="L74" s="833"/>
      <c r="M74" s="834"/>
      <c r="N74" s="908" t="str">
        <f>IF(C74="","",INDEX(PMEREFRI[Base Desc 1],MATCH(C74,PMEREFRI[Eff Desc 1],0)))</f>
        <v/>
      </c>
      <c r="O74" s="909"/>
      <c r="P74" s="909"/>
      <c r="Q74" s="909"/>
      <c r="R74" s="909"/>
      <c r="S74" s="910"/>
      <c r="T74" s="947" t="str">
        <f>IF(C74="","",INDEX(PMEREFRI[Unit of Measure],MATCH(C74,PMEREFRI[Eff Desc 1],0)))</f>
        <v/>
      </c>
      <c r="U74" s="948"/>
      <c r="V74" s="846"/>
      <c r="W74" s="847"/>
      <c r="X74" s="832"/>
      <c r="Y74" s="833"/>
      <c r="Z74" s="833"/>
      <c r="AA74" s="834"/>
      <c r="AB74" s="832"/>
      <c r="AC74" s="833"/>
      <c r="AD74" s="834"/>
      <c r="AE74" s="858"/>
      <c r="AF74" s="869"/>
      <c r="AG74" s="858"/>
      <c r="AH74" s="869"/>
      <c r="AI74" s="917" t="str">
        <f>IF(C74="","",INDEX(PMEREFRI[Inc Rate Unit],MATCH(C74,PMEREFRI[Eff Desc 1],0)))</f>
        <v/>
      </c>
      <c r="AJ74" s="918"/>
      <c r="AK74" s="904" t="str">
        <f>IF(OR(C74="",V74="",X74="",AB74="",AE74="",AG74=""),"",ROUND(V74*INDEX(PMEREFRI[Savings per Unit kWh],MATCH(C74,PMEREFRI[Eff Desc 1],0)),0))</f>
        <v/>
      </c>
      <c r="AL74" s="905"/>
      <c r="AM74" s="905"/>
      <c r="AN74" s="924" t="str">
        <f t="shared" ref="AN74" si="49">IF(OR(C74="",V74="",X74="",AB74="",AE74="",AG74=""),"",IF(BC74&lt;&gt;"",BC74,MIN(AU74,ROUND(V74*AI74,2))))</f>
        <v/>
      </c>
      <c r="AO74" s="925"/>
      <c r="AP74" s="925"/>
      <c r="AQ74" s="863"/>
      <c r="BC74" s="825"/>
    </row>
    <row r="75" spans="2:55" ht="15.95" hidden="1" customHeight="1">
      <c r="B75" s="923"/>
      <c r="C75" s="835"/>
      <c r="D75" s="836"/>
      <c r="E75" s="836"/>
      <c r="F75" s="836"/>
      <c r="G75" s="836"/>
      <c r="H75" s="836"/>
      <c r="I75" s="836"/>
      <c r="J75" s="836"/>
      <c r="K75" s="836"/>
      <c r="L75" s="836"/>
      <c r="M75" s="837"/>
      <c r="N75" s="911"/>
      <c r="O75" s="912"/>
      <c r="P75" s="912"/>
      <c r="Q75" s="912"/>
      <c r="R75" s="912"/>
      <c r="S75" s="913"/>
      <c r="T75" s="949"/>
      <c r="U75" s="950"/>
      <c r="V75" s="848"/>
      <c r="W75" s="849"/>
      <c r="X75" s="835"/>
      <c r="Y75" s="836"/>
      <c r="Z75" s="836"/>
      <c r="AA75" s="837"/>
      <c r="AB75" s="835"/>
      <c r="AC75" s="836"/>
      <c r="AD75" s="837"/>
      <c r="AE75" s="860"/>
      <c r="AF75" s="870"/>
      <c r="AG75" s="860"/>
      <c r="AH75" s="870"/>
      <c r="AI75" s="919"/>
      <c r="AJ75" s="865"/>
      <c r="AK75" s="906"/>
      <c r="AL75" s="907"/>
      <c r="AM75" s="907"/>
      <c r="AN75" s="919"/>
      <c r="AO75" s="926"/>
      <c r="AP75" s="926"/>
      <c r="AQ75" s="865"/>
      <c r="BC75" s="826"/>
    </row>
    <row r="76" spans="2:55" ht="15.95" hidden="1" customHeight="1">
      <c r="B76" s="923">
        <v>31</v>
      </c>
      <c r="C76" s="832"/>
      <c r="D76" s="833"/>
      <c r="E76" s="833"/>
      <c r="F76" s="833"/>
      <c r="G76" s="833"/>
      <c r="H76" s="833"/>
      <c r="I76" s="833"/>
      <c r="J76" s="833"/>
      <c r="K76" s="833"/>
      <c r="L76" s="833"/>
      <c r="M76" s="834"/>
      <c r="N76" s="908" t="str">
        <f>IF(C76="","",INDEX(PMEREFRI[Base Desc 1],MATCH(C76,PMEREFRI[Eff Desc 1],0)))</f>
        <v/>
      </c>
      <c r="O76" s="909"/>
      <c r="P76" s="909"/>
      <c r="Q76" s="909"/>
      <c r="R76" s="909"/>
      <c r="S76" s="910"/>
      <c r="T76" s="947" t="str">
        <f>IF(C76="","",INDEX(PMEREFRI[Unit of Measure],MATCH(C76,PMEREFRI[Eff Desc 1],0)))</f>
        <v/>
      </c>
      <c r="U76" s="948"/>
      <c r="V76" s="846"/>
      <c r="W76" s="847"/>
      <c r="X76" s="832"/>
      <c r="Y76" s="833"/>
      <c r="Z76" s="833"/>
      <c r="AA76" s="834"/>
      <c r="AB76" s="832"/>
      <c r="AC76" s="833"/>
      <c r="AD76" s="834"/>
      <c r="AE76" s="858"/>
      <c r="AF76" s="869"/>
      <c r="AG76" s="858"/>
      <c r="AH76" s="869"/>
      <c r="AI76" s="917" t="str">
        <f>IF(C76="","",INDEX(PMEREFRI[Inc Rate Unit],MATCH(C76,PMEREFRI[Eff Desc 1],0)))</f>
        <v/>
      </c>
      <c r="AJ76" s="918"/>
      <c r="AK76" s="904" t="str">
        <f>IF(OR(C76="",V76="",X76="",AB76="",AE76="",AG76=""),"",ROUND(V76*INDEX(PMEREFRI[Savings per Unit kWh],MATCH(C76,PMEREFRI[Eff Desc 1],0)),0))</f>
        <v/>
      </c>
      <c r="AL76" s="905"/>
      <c r="AM76" s="905"/>
      <c r="AN76" s="924" t="str">
        <f t="shared" ref="AN76" si="50">IF(OR(C76="",V76="",X76="",AB76="",AE76="",AG76=""),"",IF(BC76&lt;&gt;"",BC76,MIN(AU76,ROUND(V76*AI76,2))))</f>
        <v/>
      </c>
      <c r="AO76" s="925"/>
      <c r="AP76" s="925"/>
      <c r="AQ76" s="863"/>
      <c r="BC76" s="825"/>
    </row>
    <row r="77" spans="2:55" ht="15.95" hidden="1" customHeight="1">
      <c r="B77" s="923"/>
      <c r="C77" s="835"/>
      <c r="D77" s="836"/>
      <c r="E77" s="836"/>
      <c r="F77" s="836"/>
      <c r="G77" s="836"/>
      <c r="H77" s="836"/>
      <c r="I77" s="836"/>
      <c r="J77" s="836"/>
      <c r="K77" s="836"/>
      <c r="L77" s="836"/>
      <c r="M77" s="837"/>
      <c r="N77" s="911"/>
      <c r="O77" s="912"/>
      <c r="P77" s="912"/>
      <c r="Q77" s="912"/>
      <c r="R77" s="912"/>
      <c r="S77" s="913"/>
      <c r="T77" s="949"/>
      <c r="U77" s="950"/>
      <c r="V77" s="848"/>
      <c r="W77" s="849"/>
      <c r="X77" s="835"/>
      <c r="Y77" s="836"/>
      <c r="Z77" s="836"/>
      <c r="AA77" s="837"/>
      <c r="AB77" s="835"/>
      <c r="AC77" s="836"/>
      <c r="AD77" s="837"/>
      <c r="AE77" s="860"/>
      <c r="AF77" s="870"/>
      <c r="AG77" s="860"/>
      <c r="AH77" s="870"/>
      <c r="AI77" s="919"/>
      <c r="AJ77" s="865"/>
      <c r="AK77" s="906"/>
      <c r="AL77" s="907"/>
      <c r="AM77" s="907"/>
      <c r="AN77" s="919"/>
      <c r="AO77" s="926"/>
      <c r="AP77" s="926"/>
      <c r="AQ77" s="865"/>
      <c r="BC77" s="826"/>
    </row>
    <row r="78" spans="2:55" ht="15.95" hidden="1" customHeight="1">
      <c r="B78" s="923">
        <v>32</v>
      </c>
      <c r="C78" s="832"/>
      <c r="D78" s="833"/>
      <c r="E78" s="833"/>
      <c r="F78" s="833"/>
      <c r="G78" s="833"/>
      <c r="H78" s="833"/>
      <c r="I78" s="833"/>
      <c r="J78" s="833"/>
      <c r="K78" s="833"/>
      <c r="L78" s="833"/>
      <c r="M78" s="834"/>
      <c r="N78" s="908" t="str">
        <f>IF(C78="","",INDEX(PMEREFRI[Base Desc 1],MATCH(C78,PMEREFRI[Eff Desc 1],0)))</f>
        <v/>
      </c>
      <c r="O78" s="909"/>
      <c r="P78" s="909"/>
      <c r="Q78" s="909"/>
      <c r="R78" s="909"/>
      <c r="S78" s="910"/>
      <c r="T78" s="947" t="str">
        <f>IF(C78="","",INDEX(PMEREFRI[Unit of Measure],MATCH(C78,PMEREFRI[Eff Desc 1],0)))</f>
        <v/>
      </c>
      <c r="U78" s="948"/>
      <c r="V78" s="846"/>
      <c r="W78" s="847"/>
      <c r="X78" s="832"/>
      <c r="Y78" s="833"/>
      <c r="Z78" s="833"/>
      <c r="AA78" s="834"/>
      <c r="AB78" s="832"/>
      <c r="AC78" s="833"/>
      <c r="AD78" s="834"/>
      <c r="AE78" s="858"/>
      <c r="AF78" s="869"/>
      <c r="AG78" s="858"/>
      <c r="AH78" s="869"/>
      <c r="AI78" s="917" t="str">
        <f>IF(C78="","",INDEX(PMEREFRI[Inc Rate Unit],MATCH(C78,PMEREFRI[Eff Desc 1],0)))</f>
        <v/>
      </c>
      <c r="AJ78" s="918"/>
      <c r="AK78" s="904" t="str">
        <f>IF(OR(C78="",V78="",X78="",AB78="",AE78="",AG78=""),"",ROUND(V78*INDEX(PMEREFRI[Savings per Unit kWh],MATCH(C78,PMEREFRI[Eff Desc 1],0)),0))</f>
        <v/>
      </c>
      <c r="AL78" s="905"/>
      <c r="AM78" s="905"/>
      <c r="AN78" s="924" t="str">
        <f t="shared" ref="AN78" si="51">IF(OR(C78="",V78="",X78="",AB78="",AE78="",AG78=""),"",IF(BC78&lt;&gt;"",BC78,MIN(AU78,ROUND(V78*AI78,2))))</f>
        <v/>
      </c>
      <c r="AO78" s="925"/>
      <c r="AP78" s="925"/>
      <c r="AQ78" s="863"/>
      <c r="BC78" s="825"/>
    </row>
    <row r="79" spans="2:55" ht="15.95" hidden="1" customHeight="1">
      <c r="B79" s="923"/>
      <c r="C79" s="835"/>
      <c r="D79" s="836"/>
      <c r="E79" s="836"/>
      <c r="F79" s="836"/>
      <c r="G79" s="836"/>
      <c r="H79" s="836"/>
      <c r="I79" s="836"/>
      <c r="J79" s="836"/>
      <c r="K79" s="836"/>
      <c r="L79" s="836"/>
      <c r="M79" s="837"/>
      <c r="N79" s="911"/>
      <c r="O79" s="912"/>
      <c r="P79" s="912"/>
      <c r="Q79" s="912"/>
      <c r="R79" s="912"/>
      <c r="S79" s="913"/>
      <c r="T79" s="949"/>
      <c r="U79" s="950"/>
      <c r="V79" s="848"/>
      <c r="W79" s="849"/>
      <c r="X79" s="835"/>
      <c r="Y79" s="836"/>
      <c r="Z79" s="836"/>
      <c r="AA79" s="837"/>
      <c r="AB79" s="835"/>
      <c r="AC79" s="836"/>
      <c r="AD79" s="837"/>
      <c r="AE79" s="860"/>
      <c r="AF79" s="870"/>
      <c r="AG79" s="860"/>
      <c r="AH79" s="870"/>
      <c r="AI79" s="919"/>
      <c r="AJ79" s="865"/>
      <c r="AK79" s="906"/>
      <c r="AL79" s="907"/>
      <c r="AM79" s="907"/>
      <c r="AN79" s="919"/>
      <c r="AO79" s="926"/>
      <c r="AP79" s="926"/>
      <c r="AQ79" s="865"/>
      <c r="BC79" s="826"/>
    </row>
    <row r="80" spans="2:55" ht="15.95" hidden="1" customHeight="1">
      <c r="B80" s="923">
        <v>33</v>
      </c>
      <c r="C80" s="832"/>
      <c r="D80" s="833"/>
      <c r="E80" s="833"/>
      <c r="F80" s="833"/>
      <c r="G80" s="833"/>
      <c r="H80" s="833"/>
      <c r="I80" s="833"/>
      <c r="J80" s="833"/>
      <c r="K80" s="833"/>
      <c r="L80" s="833"/>
      <c r="M80" s="834"/>
      <c r="N80" s="908" t="str">
        <f>IF(C80="","",INDEX(PMEREFRI[Base Desc 1],MATCH(C80,PMEREFRI[Eff Desc 1],0)))</f>
        <v/>
      </c>
      <c r="O80" s="909"/>
      <c r="P80" s="909"/>
      <c r="Q80" s="909"/>
      <c r="R80" s="909"/>
      <c r="S80" s="910"/>
      <c r="T80" s="947" t="str">
        <f>IF(C80="","",INDEX(PMEREFRI[Unit of Measure],MATCH(C80,PMEREFRI[Eff Desc 1],0)))</f>
        <v/>
      </c>
      <c r="U80" s="948"/>
      <c r="V80" s="846"/>
      <c r="W80" s="847"/>
      <c r="X80" s="832"/>
      <c r="Y80" s="833"/>
      <c r="Z80" s="833"/>
      <c r="AA80" s="834"/>
      <c r="AB80" s="832"/>
      <c r="AC80" s="833"/>
      <c r="AD80" s="834"/>
      <c r="AE80" s="858"/>
      <c r="AF80" s="869"/>
      <c r="AG80" s="858"/>
      <c r="AH80" s="869"/>
      <c r="AI80" s="917" t="str">
        <f>IF(C80="","",INDEX(PMEREFRI[Inc Rate Unit],MATCH(C80,PMEREFRI[Eff Desc 1],0)))</f>
        <v/>
      </c>
      <c r="AJ80" s="918"/>
      <c r="AK80" s="904" t="str">
        <f>IF(OR(C80="",V80="",X80="",AB80="",AE80="",AG80=""),"",ROUND(V80*INDEX(PMEREFRI[Savings per Unit kWh],MATCH(C80,PMEREFRI[Eff Desc 1],0)),0))</f>
        <v/>
      </c>
      <c r="AL80" s="905"/>
      <c r="AM80" s="905"/>
      <c r="AN80" s="924" t="str">
        <f t="shared" ref="AN80" si="52">IF(OR(C80="",V80="",X80="",AB80="",AE80="",AG80=""),"",IF(BC80&lt;&gt;"",BC80,MIN(AU80,ROUND(V80*AI80,2))))</f>
        <v/>
      </c>
      <c r="AO80" s="925"/>
      <c r="AP80" s="925"/>
      <c r="AQ80" s="863"/>
      <c r="BC80" s="825"/>
    </row>
    <row r="81" spans="2:55" ht="15.95" hidden="1" customHeight="1">
      <c r="B81" s="923"/>
      <c r="C81" s="835"/>
      <c r="D81" s="836"/>
      <c r="E81" s="836"/>
      <c r="F81" s="836"/>
      <c r="G81" s="836"/>
      <c r="H81" s="836"/>
      <c r="I81" s="836"/>
      <c r="J81" s="836"/>
      <c r="K81" s="836"/>
      <c r="L81" s="836"/>
      <c r="M81" s="837"/>
      <c r="N81" s="911"/>
      <c r="O81" s="912"/>
      <c r="P81" s="912"/>
      <c r="Q81" s="912"/>
      <c r="R81" s="912"/>
      <c r="S81" s="913"/>
      <c r="T81" s="949"/>
      <c r="U81" s="950"/>
      <c r="V81" s="848"/>
      <c r="W81" s="849"/>
      <c r="X81" s="835"/>
      <c r="Y81" s="836"/>
      <c r="Z81" s="836"/>
      <c r="AA81" s="837"/>
      <c r="AB81" s="835"/>
      <c r="AC81" s="836"/>
      <c r="AD81" s="837"/>
      <c r="AE81" s="860"/>
      <c r="AF81" s="870"/>
      <c r="AG81" s="860"/>
      <c r="AH81" s="870"/>
      <c r="AI81" s="919"/>
      <c r="AJ81" s="865"/>
      <c r="AK81" s="906"/>
      <c r="AL81" s="907"/>
      <c r="AM81" s="907"/>
      <c r="AN81" s="919"/>
      <c r="AO81" s="926"/>
      <c r="AP81" s="926"/>
      <c r="AQ81" s="865"/>
      <c r="BC81" s="826"/>
    </row>
    <row r="82" spans="2:55" ht="15.95" hidden="1" customHeight="1">
      <c r="B82" s="923">
        <v>34</v>
      </c>
      <c r="C82" s="832"/>
      <c r="D82" s="833"/>
      <c r="E82" s="833"/>
      <c r="F82" s="833"/>
      <c r="G82" s="833"/>
      <c r="H82" s="833"/>
      <c r="I82" s="833"/>
      <c r="J82" s="833"/>
      <c r="K82" s="833"/>
      <c r="L82" s="833"/>
      <c r="M82" s="834"/>
      <c r="N82" s="908" t="str">
        <f>IF(C82="","",INDEX(PMEREFRI[Base Desc 1],MATCH(C82,PMEREFRI[Eff Desc 1],0)))</f>
        <v/>
      </c>
      <c r="O82" s="909"/>
      <c r="P82" s="909"/>
      <c r="Q82" s="909"/>
      <c r="R82" s="909"/>
      <c r="S82" s="910"/>
      <c r="T82" s="947" t="str">
        <f>IF(C82="","",INDEX(PMEREFRI[Unit of Measure],MATCH(C82,PMEREFRI[Eff Desc 1],0)))</f>
        <v/>
      </c>
      <c r="U82" s="948"/>
      <c r="V82" s="846"/>
      <c r="W82" s="847"/>
      <c r="X82" s="832"/>
      <c r="Y82" s="833"/>
      <c r="Z82" s="833"/>
      <c r="AA82" s="834"/>
      <c r="AB82" s="832"/>
      <c r="AC82" s="833"/>
      <c r="AD82" s="834"/>
      <c r="AE82" s="858"/>
      <c r="AF82" s="869"/>
      <c r="AG82" s="858"/>
      <c r="AH82" s="869"/>
      <c r="AI82" s="917" t="str">
        <f>IF(C82="","",INDEX(PMEREFRI[Inc Rate Unit],MATCH(C82,PMEREFRI[Eff Desc 1],0)))</f>
        <v/>
      </c>
      <c r="AJ82" s="918"/>
      <c r="AK82" s="904" t="str">
        <f>IF(OR(C82="",V82="",X82="",AB82="",AE82="",AG82=""),"",ROUND(V82*INDEX(PMEREFRI[Savings per Unit kWh],MATCH(C82,PMEREFRI[Eff Desc 1],0)),0))</f>
        <v/>
      </c>
      <c r="AL82" s="905"/>
      <c r="AM82" s="905"/>
      <c r="AN82" s="924" t="str">
        <f t="shared" ref="AN82" si="53">IF(OR(C82="",V82="",X82="",AB82="",AE82="",AG82=""),"",IF(BC82&lt;&gt;"",BC82,MIN(AU82,ROUND(V82*AI82,2))))</f>
        <v/>
      </c>
      <c r="AO82" s="925"/>
      <c r="AP82" s="925"/>
      <c r="AQ82" s="863"/>
      <c r="BC82" s="825"/>
    </row>
    <row r="83" spans="2:55" ht="15.95" hidden="1" customHeight="1">
      <c r="B83" s="923"/>
      <c r="C83" s="835"/>
      <c r="D83" s="836"/>
      <c r="E83" s="836"/>
      <c r="F83" s="836"/>
      <c r="G83" s="836"/>
      <c r="H83" s="836"/>
      <c r="I83" s="836"/>
      <c r="J83" s="836"/>
      <c r="K83" s="836"/>
      <c r="L83" s="836"/>
      <c r="M83" s="837"/>
      <c r="N83" s="911"/>
      <c r="O83" s="912"/>
      <c r="P83" s="912"/>
      <c r="Q83" s="912"/>
      <c r="R83" s="912"/>
      <c r="S83" s="913"/>
      <c r="T83" s="949"/>
      <c r="U83" s="950"/>
      <c r="V83" s="848"/>
      <c r="W83" s="849"/>
      <c r="X83" s="835"/>
      <c r="Y83" s="836"/>
      <c r="Z83" s="836"/>
      <c r="AA83" s="837"/>
      <c r="AB83" s="835"/>
      <c r="AC83" s="836"/>
      <c r="AD83" s="837"/>
      <c r="AE83" s="860"/>
      <c r="AF83" s="870"/>
      <c r="AG83" s="860"/>
      <c r="AH83" s="870"/>
      <c r="AI83" s="919"/>
      <c r="AJ83" s="865"/>
      <c r="AK83" s="906"/>
      <c r="AL83" s="907"/>
      <c r="AM83" s="907"/>
      <c r="AN83" s="919"/>
      <c r="AO83" s="926"/>
      <c r="AP83" s="926"/>
      <c r="AQ83" s="865"/>
      <c r="BC83" s="826"/>
    </row>
    <row r="84" spans="2:55" ht="15.95" hidden="1" customHeight="1">
      <c r="B84" s="923">
        <v>35</v>
      </c>
      <c r="C84" s="832"/>
      <c r="D84" s="833"/>
      <c r="E84" s="833"/>
      <c r="F84" s="833"/>
      <c r="G84" s="833"/>
      <c r="H84" s="833"/>
      <c r="I84" s="833"/>
      <c r="J84" s="833"/>
      <c r="K84" s="833"/>
      <c r="L84" s="833"/>
      <c r="M84" s="834"/>
      <c r="N84" s="908" t="str">
        <f>IF(C84="","",INDEX(PMEREFRI[Base Desc 1],MATCH(C84,PMEREFRI[Eff Desc 1],0)))</f>
        <v/>
      </c>
      <c r="O84" s="909"/>
      <c r="P84" s="909"/>
      <c r="Q84" s="909"/>
      <c r="R84" s="909"/>
      <c r="S84" s="910"/>
      <c r="T84" s="947" t="str">
        <f>IF(C84="","",INDEX(PMEREFRI[Unit of Measure],MATCH(C84,PMEREFRI[Eff Desc 1],0)))</f>
        <v/>
      </c>
      <c r="U84" s="948"/>
      <c r="V84" s="846"/>
      <c r="W84" s="847"/>
      <c r="X84" s="832"/>
      <c r="Y84" s="833"/>
      <c r="Z84" s="833"/>
      <c r="AA84" s="834"/>
      <c r="AB84" s="832"/>
      <c r="AC84" s="833"/>
      <c r="AD84" s="834"/>
      <c r="AE84" s="858"/>
      <c r="AF84" s="869"/>
      <c r="AG84" s="858"/>
      <c r="AH84" s="869"/>
      <c r="AI84" s="917" t="str">
        <f>IF(C84="","",INDEX(PMEREFRI[Inc Rate Unit],MATCH(C84,PMEREFRI[Eff Desc 1],0)))</f>
        <v/>
      </c>
      <c r="AJ84" s="918"/>
      <c r="AK84" s="904" t="str">
        <f>IF(OR(C84="",V84="",X84="",AB84="",AE84="",AG84=""),"",ROUND(V84*INDEX(PMEREFRI[Savings per Unit kWh],MATCH(C84,PMEREFRI[Eff Desc 1],0)),0))</f>
        <v/>
      </c>
      <c r="AL84" s="905"/>
      <c r="AM84" s="905"/>
      <c r="AN84" s="924" t="str">
        <f t="shared" ref="AN84" si="54">IF(OR(C84="",V84="",X84="",AB84="",AE84="",AG84=""),"",IF(BC84&lt;&gt;"",BC84,MIN(AU84,ROUND(V84*AI84,2))))</f>
        <v/>
      </c>
      <c r="AO84" s="925"/>
      <c r="AP84" s="925"/>
      <c r="AQ84" s="863"/>
      <c r="BC84" s="825"/>
    </row>
    <row r="85" spans="2:55" ht="15.95" hidden="1" customHeight="1">
      <c r="B85" s="923"/>
      <c r="C85" s="835"/>
      <c r="D85" s="836"/>
      <c r="E85" s="836"/>
      <c r="F85" s="836"/>
      <c r="G85" s="836"/>
      <c r="H85" s="836"/>
      <c r="I85" s="836"/>
      <c r="J85" s="836"/>
      <c r="K85" s="836"/>
      <c r="L85" s="836"/>
      <c r="M85" s="837"/>
      <c r="N85" s="911"/>
      <c r="O85" s="912"/>
      <c r="P85" s="912"/>
      <c r="Q85" s="912"/>
      <c r="R85" s="912"/>
      <c r="S85" s="913"/>
      <c r="T85" s="949"/>
      <c r="U85" s="950"/>
      <c r="V85" s="848"/>
      <c r="W85" s="849"/>
      <c r="X85" s="835"/>
      <c r="Y85" s="836"/>
      <c r="Z85" s="836"/>
      <c r="AA85" s="837"/>
      <c r="AB85" s="835"/>
      <c r="AC85" s="836"/>
      <c r="AD85" s="837"/>
      <c r="AE85" s="860"/>
      <c r="AF85" s="870"/>
      <c r="AG85" s="860"/>
      <c r="AH85" s="870"/>
      <c r="AI85" s="919"/>
      <c r="AJ85" s="865"/>
      <c r="AK85" s="906"/>
      <c r="AL85" s="907"/>
      <c r="AM85" s="907"/>
      <c r="AN85" s="919"/>
      <c r="AO85" s="926"/>
      <c r="AP85" s="926"/>
      <c r="AQ85" s="865"/>
      <c r="BC85" s="826"/>
    </row>
    <row r="86" spans="2:55" ht="15.95" hidden="1" customHeight="1">
      <c r="B86" s="923">
        <v>36</v>
      </c>
      <c r="C86" s="832"/>
      <c r="D86" s="833"/>
      <c r="E86" s="833"/>
      <c r="F86" s="833"/>
      <c r="G86" s="833"/>
      <c r="H86" s="833"/>
      <c r="I86" s="833"/>
      <c r="J86" s="833"/>
      <c r="K86" s="833"/>
      <c r="L86" s="833"/>
      <c r="M86" s="834"/>
      <c r="N86" s="908" t="str">
        <f>IF(C86="","",INDEX(PMEREFRI[Base Desc 1],MATCH(C86,PMEREFRI[Eff Desc 1],0)))</f>
        <v/>
      </c>
      <c r="O86" s="909"/>
      <c r="P86" s="909"/>
      <c r="Q86" s="909"/>
      <c r="R86" s="909"/>
      <c r="S86" s="910"/>
      <c r="T86" s="947" t="str">
        <f>IF(C86="","",INDEX(PMEREFRI[Unit of Measure],MATCH(C86,PMEREFRI[Eff Desc 1],0)))</f>
        <v/>
      </c>
      <c r="U86" s="948"/>
      <c r="V86" s="846"/>
      <c r="W86" s="847"/>
      <c r="X86" s="832"/>
      <c r="Y86" s="833"/>
      <c r="Z86" s="833"/>
      <c r="AA86" s="834"/>
      <c r="AB86" s="832"/>
      <c r="AC86" s="833"/>
      <c r="AD86" s="834"/>
      <c r="AE86" s="858"/>
      <c r="AF86" s="869"/>
      <c r="AG86" s="858"/>
      <c r="AH86" s="869"/>
      <c r="AI86" s="917" t="str">
        <f>IF(C86="","",INDEX(PMEREFRI[Inc Rate Unit],MATCH(C86,PMEREFRI[Eff Desc 1],0)))</f>
        <v/>
      </c>
      <c r="AJ86" s="918"/>
      <c r="AK86" s="904" t="str">
        <f>IF(OR(C86="",V86="",X86="",AB86="",AE86="",AG86=""),"",ROUND(V86*INDEX(PMEREFRI[Savings per Unit kWh],MATCH(C86,PMEREFRI[Eff Desc 1],0)),0))</f>
        <v/>
      </c>
      <c r="AL86" s="905"/>
      <c r="AM86" s="905"/>
      <c r="AN86" s="924" t="str">
        <f t="shared" ref="AN86" si="55">IF(OR(C86="",V86="",X86="",AB86="",AE86="",AG86=""),"",IF(BC86&lt;&gt;"",BC86,MIN(AU86,ROUND(V86*AI86,2))))</f>
        <v/>
      </c>
      <c r="AO86" s="925"/>
      <c r="AP86" s="925"/>
      <c r="AQ86" s="863"/>
      <c r="BC86" s="825"/>
    </row>
    <row r="87" spans="2:55" ht="15.95" hidden="1" customHeight="1">
      <c r="B87" s="923"/>
      <c r="C87" s="835"/>
      <c r="D87" s="836"/>
      <c r="E87" s="836"/>
      <c r="F87" s="836"/>
      <c r="G87" s="836"/>
      <c r="H87" s="836"/>
      <c r="I87" s="836"/>
      <c r="J87" s="836"/>
      <c r="K87" s="836"/>
      <c r="L87" s="836"/>
      <c r="M87" s="837"/>
      <c r="N87" s="911"/>
      <c r="O87" s="912"/>
      <c r="P87" s="912"/>
      <c r="Q87" s="912"/>
      <c r="R87" s="912"/>
      <c r="S87" s="913"/>
      <c r="T87" s="949"/>
      <c r="U87" s="950"/>
      <c r="V87" s="848"/>
      <c r="W87" s="849"/>
      <c r="X87" s="835"/>
      <c r="Y87" s="836"/>
      <c r="Z87" s="836"/>
      <c r="AA87" s="837"/>
      <c r="AB87" s="835"/>
      <c r="AC87" s="836"/>
      <c r="AD87" s="837"/>
      <c r="AE87" s="860"/>
      <c r="AF87" s="870"/>
      <c r="AG87" s="860"/>
      <c r="AH87" s="870"/>
      <c r="AI87" s="919"/>
      <c r="AJ87" s="865"/>
      <c r="AK87" s="906"/>
      <c r="AL87" s="907"/>
      <c r="AM87" s="907"/>
      <c r="AN87" s="919"/>
      <c r="AO87" s="926"/>
      <c r="AP87" s="926"/>
      <c r="AQ87" s="865"/>
      <c r="BC87" s="826"/>
    </row>
    <row r="88" spans="2:55" ht="15.95" hidden="1" customHeight="1">
      <c r="B88" s="923">
        <v>37</v>
      </c>
      <c r="C88" s="832"/>
      <c r="D88" s="833"/>
      <c r="E88" s="833"/>
      <c r="F88" s="833"/>
      <c r="G88" s="833"/>
      <c r="H88" s="833"/>
      <c r="I88" s="833"/>
      <c r="J88" s="833"/>
      <c r="K88" s="833"/>
      <c r="L88" s="833"/>
      <c r="M88" s="834"/>
      <c r="N88" s="908" t="str">
        <f>IF(C88="","",INDEX(PMEREFRI[Base Desc 1],MATCH(C88,PMEREFRI[Eff Desc 1],0)))</f>
        <v/>
      </c>
      <c r="O88" s="909"/>
      <c r="P88" s="909"/>
      <c r="Q88" s="909"/>
      <c r="R88" s="909"/>
      <c r="S88" s="910"/>
      <c r="T88" s="947" t="str">
        <f>IF(C88="","",INDEX(PMEREFRI[Unit of Measure],MATCH(C88,PMEREFRI[Eff Desc 1],0)))</f>
        <v/>
      </c>
      <c r="U88" s="948"/>
      <c r="V88" s="846"/>
      <c r="W88" s="847"/>
      <c r="X88" s="832"/>
      <c r="Y88" s="833"/>
      <c r="Z88" s="833"/>
      <c r="AA88" s="834"/>
      <c r="AB88" s="832"/>
      <c r="AC88" s="833"/>
      <c r="AD88" s="834"/>
      <c r="AE88" s="858"/>
      <c r="AF88" s="869"/>
      <c r="AG88" s="858"/>
      <c r="AH88" s="869"/>
      <c r="AI88" s="917" t="str">
        <f>IF(C88="","",INDEX(PMEREFRI[Inc Rate Unit],MATCH(C88,PMEREFRI[Eff Desc 1],0)))</f>
        <v/>
      </c>
      <c r="AJ88" s="918"/>
      <c r="AK88" s="904" t="str">
        <f>IF(OR(C88="",V88="",X88="",AB88="",AE88="",AG88=""),"",ROUND(V88*INDEX(PMEREFRI[Savings per Unit kWh],MATCH(C88,PMEREFRI[Eff Desc 1],0)),0))</f>
        <v/>
      </c>
      <c r="AL88" s="905"/>
      <c r="AM88" s="905"/>
      <c r="AN88" s="924" t="str">
        <f t="shared" ref="AN88" si="56">IF(OR(C88="",V88="",X88="",AB88="",AE88="",AG88=""),"",IF(BC88&lt;&gt;"",BC88,MIN(AU88,ROUND(V88*AI88,2))))</f>
        <v/>
      </c>
      <c r="AO88" s="925"/>
      <c r="AP88" s="925"/>
      <c r="AQ88" s="863"/>
      <c r="BC88" s="825"/>
    </row>
    <row r="89" spans="2:55" ht="15.95" hidden="1" customHeight="1">
      <c r="B89" s="923"/>
      <c r="C89" s="835"/>
      <c r="D89" s="836"/>
      <c r="E89" s="836"/>
      <c r="F89" s="836"/>
      <c r="G89" s="836"/>
      <c r="H89" s="836"/>
      <c r="I89" s="836"/>
      <c r="J89" s="836"/>
      <c r="K89" s="836"/>
      <c r="L89" s="836"/>
      <c r="M89" s="837"/>
      <c r="N89" s="911"/>
      <c r="O89" s="912"/>
      <c r="P89" s="912"/>
      <c r="Q89" s="912"/>
      <c r="R89" s="912"/>
      <c r="S89" s="913"/>
      <c r="T89" s="949"/>
      <c r="U89" s="950"/>
      <c r="V89" s="848"/>
      <c r="W89" s="849"/>
      <c r="X89" s="835"/>
      <c r="Y89" s="836"/>
      <c r="Z89" s="836"/>
      <c r="AA89" s="837"/>
      <c r="AB89" s="835"/>
      <c r="AC89" s="836"/>
      <c r="AD89" s="837"/>
      <c r="AE89" s="860"/>
      <c r="AF89" s="870"/>
      <c r="AG89" s="860"/>
      <c r="AH89" s="870"/>
      <c r="AI89" s="919"/>
      <c r="AJ89" s="865"/>
      <c r="AK89" s="906"/>
      <c r="AL89" s="907"/>
      <c r="AM89" s="907"/>
      <c r="AN89" s="919"/>
      <c r="AO89" s="926"/>
      <c r="AP89" s="926"/>
      <c r="AQ89" s="865"/>
      <c r="BC89" s="826"/>
    </row>
    <row r="90" spans="2:55" ht="15.95" hidden="1" customHeight="1">
      <c r="B90" s="923">
        <v>38</v>
      </c>
      <c r="C90" s="832"/>
      <c r="D90" s="833"/>
      <c r="E90" s="833"/>
      <c r="F90" s="833"/>
      <c r="G90" s="833"/>
      <c r="H90" s="833"/>
      <c r="I90" s="833"/>
      <c r="J90" s="833"/>
      <c r="K90" s="833"/>
      <c r="L90" s="833"/>
      <c r="M90" s="834"/>
      <c r="N90" s="908" t="str">
        <f>IF(C90="","",INDEX(PMEREFRI[Base Desc 1],MATCH(C90,PMEREFRI[Eff Desc 1],0)))</f>
        <v/>
      </c>
      <c r="O90" s="909"/>
      <c r="P90" s="909"/>
      <c r="Q90" s="909"/>
      <c r="R90" s="909"/>
      <c r="S90" s="910"/>
      <c r="T90" s="947" t="str">
        <f>IF(C90="","",INDEX(PMEREFRI[Unit of Measure],MATCH(C90,PMEREFRI[Eff Desc 1],0)))</f>
        <v/>
      </c>
      <c r="U90" s="948"/>
      <c r="V90" s="846"/>
      <c r="W90" s="847"/>
      <c r="X90" s="832"/>
      <c r="Y90" s="833"/>
      <c r="Z90" s="833"/>
      <c r="AA90" s="834"/>
      <c r="AB90" s="832"/>
      <c r="AC90" s="833"/>
      <c r="AD90" s="834"/>
      <c r="AE90" s="858"/>
      <c r="AF90" s="869"/>
      <c r="AG90" s="858"/>
      <c r="AH90" s="869"/>
      <c r="AI90" s="917" t="str">
        <f>IF(C90="","",INDEX(PMEREFRI[Inc Rate Unit],MATCH(C90,PMEREFRI[Eff Desc 1],0)))</f>
        <v/>
      </c>
      <c r="AJ90" s="918"/>
      <c r="AK90" s="904" t="str">
        <f>IF(OR(C90="",V90="",X90="",AB90="",AE90="",AG90=""),"",ROUND(V90*INDEX(PMEREFRI[Savings per Unit kWh],MATCH(C90,PMEREFRI[Eff Desc 1],0)),0))</f>
        <v/>
      </c>
      <c r="AL90" s="905"/>
      <c r="AM90" s="905"/>
      <c r="AN90" s="924" t="str">
        <f t="shared" ref="AN90" si="57">IF(OR(C90="",V90="",X90="",AB90="",AE90="",AG90=""),"",IF(BC90&lt;&gt;"",BC90,MIN(AU90,ROUND(V90*AI90,2))))</f>
        <v/>
      </c>
      <c r="AO90" s="925"/>
      <c r="AP90" s="925"/>
      <c r="AQ90" s="863"/>
      <c r="BC90" s="825"/>
    </row>
    <row r="91" spans="2:55" ht="15.95" hidden="1" customHeight="1">
      <c r="B91" s="923"/>
      <c r="C91" s="835"/>
      <c r="D91" s="836"/>
      <c r="E91" s="836"/>
      <c r="F91" s="836"/>
      <c r="G91" s="836"/>
      <c r="H91" s="836"/>
      <c r="I91" s="836"/>
      <c r="J91" s="836"/>
      <c r="K91" s="836"/>
      <c r="L91" s="836"/>
      <c r="M91" s="837"/>
      <c r="N91" s="911"/>
      <c r="O91" s="912"/>
      <c r="P91" s="912"/>
      <c r="Q91" s="912"/>
      <c r="R91" s="912"/>
      <c r="S91" s="913"/>
      <c r="T91" s="949"/>
      <c r="U91" s="950"/>
      <c r="V91" s="848"/>
      <c r="W91" s="849"/>
      <c r="X91" s="835"/>
      <c r="Y91" s="836"/>
      <c r="Z91" s="836"/>
      <c r="AA91" s="837"/>
      <c r="AB91" s="835"/>
      <c r="AC91" s="836"/>
      <c r="AD91" s="837"/>
      <c r="AE91" s="860"/>
      <c r="AF91" s="870"/>
      <c r="AG91" s="860"/>
      <c r="AH91" s="870"/>
      <c r="AI91" s="919"/>
      <c r="AJ91" s="865"/>
      <c r="AK91" s="906"/>
      <c r="AL91" s="907"/>
      <c r="AM91" s="907"/>
      <c r="AN91" s="919"/>
      <c r="AO91" s="926"/>
      <c r="AP91" s="926"/>
      <c r="AQ91" s="865"/>
      <c r="BC91" s="826"/>
    </row>
    <row r="92" spans="2:55" ht="15.95" hidden="1" customHeight="1">
      <c r="B92" s="923">
        <v>39</v>
      </c>
      <c r="C92" s="832"/>
      <c r="D92" s="833"/>
      <c r="E92" s="833"/>
      <c r="F92" s="833"/>
      <c r="G92" s="833"/>
      <c r="H92" s="833"/>
      <c r="I92" s="833"/>
      <c r="J92" s="833"/>
      <c r="K92" s="833"/>
      <c r="L92" s="833"/>
      <c r="M92" s="834"/>
      <c r="N92" s="908" t="str">
        <f>IF(C92="","",INDEX(PMEREFRI[Base Desc 1],MATCH(C92,PMEREFRI[Eff Desc 1],0)))</f>
        <v/>
      </c>
      <c r="O92" s="909"/>
      <c r="P92" s="909"/>
      <c r="Q92" s="909"/>
      <c r="R92" s="909"/>
      <c r="S92" s="910"/>
      <c r="T92" s="947" t="str">
        <f>IF(C92="","",INDEX(PMEREFRI[Unit of Measure],MATCH(C92,PMEREFRI[Eff Desc 1],0)))</f>
        <v/>
      </c>
      <c r="U92" s="948"/>
      <c r="V92" s="846"/>
      <c r="W92" s="847"/>
      <c r="X92" s="832"/>
      <c r="Y92" s="833"/>
      <c r="Z92" s="833"/>
      <c r="AA92" s="834"/>
      <c r="AB92" s="832"/>
      <c r="AC92" s="833"/>
      <c r="AD92" s="834"/>
      <c r="AE92" s="858"/>
      <c r="AF92" s="869"/>
      <c r="AG92" s="858"/>
      <c r="AH92" s="869"/>
      <c r="AI92" s="917" t="str">
        <f>IF(C92="","",INDEX(PMEREFRI[Inc Rate Unit],MATCH(C92,PMEREFRI[Eff Desc 1],0)))</f>
        <v/>
      </c>
      <c r="AJ92" s="918"/>
      <c r="AK92" s="904" t="str">
        <f>IF(OR(C92="",V92="",X92="",AB92="",AE92="",AG92=""),"",ROUND(V92*INDEX(PMEREFRI[Savings per Unit kWh],MATCH(C92,PMEREFRI[Eff Desc 1],0)),0))</f>
        <v/>
      </c>
      <c r="AL92" s="905"/>
      <c r="AM92" s="905"/>
      <c r="AN92" s="924" t="str">
        <f t="shared" ref="AN92" si="58">IF(OR(C92="",V92="",X92="",AB92="",AE92="",AG92=""),"",IF(BC92&lt;&gt;"",BC92,MIN(AU92,ROUND(V92*AI92,2))))</f>
        <v/>
      </c>
      <c r="AO92" s="925"/>
      <c r="AP92" s="925"/>
      <c r="AQ92" s="863"/>
      <c r="BC92" s="825"/>
    </row>
    <row r="93" spans="2:55" ht="15.95" hidden="1" customHeight="1">
      <c r="B93" s="923"/>
      <c r="C93" s="835"/>
      <c r="D93" s="836"/>
      <c r="E93" s="836"/>
      <c r="F93" s="836"/>
      <c r="G93" s="836"/>
      <c r="H93" s="836"/>
      <c r="I93" s="836"/>
      <c r="J93" s="836"/>
      <c r="K93" s="836"/>
      <c r="L93" s="836"/>
      <c r="M93" s="837"/>
      <c r="N93" s="911"/>
      <c r="O93" s="912"/>
      <c r="P93" s="912"/>
      <c r="Q93" s="912"/>
      <c r="R93" s="912"/>
      <c r="S93" s="913"/>
      <c r="T93" s="949"/>
      <c r="U93" s="950"/>
      <c r="V93" s="848"/>
      <c r="W93" s="849"/>
      <c r="X93" s="835"/>
      <c r="Y93" s="836"/>
      <c r="Z93" s="836"/>
      <c r="AA93" s="837"/>
      <c r="AB93" s="835"/>
      <c r="AC93" s="836"/>
      <c r="AD93" s="837"/>
      <c r="AE93" s="860"/>
      <c r="AF93" s="870"/>
      <c r="AG93" s="860"/>
      <c r="AH93" s="870"/>
      <c r="AI93" s="919"/>
      <c r="AJ93" s="865"/>
      <c r="AK93" s="906"/>
      <c r="AL93" s="907"/>
      <c r="AM93" s="907"/>
      <c r="AN93" s="919"/>
      <c r="AO93" s="926"/>
      <c r="AP93" s="926"/>
      <c r="AQ93" s="865"/>
      <c r="BC93" s="826"/>
    </row>
    <row r="94" spans="2:55" ht="15.95" hidden="1" customHeight="1">
      <c r="B94" s="923">
        <v>40</v>
      </c>
      <c r="C94" s="832"/>
      <c r="D94" s="833"/>
      <c r="E94" s="833"/>
      <c r="F94" s="833"/>
      <c r="G94" s="833"/>
      <c r="H94" s="833"/>
      <c r="I94" s="833"/>
      <c r="J94" s="833"/>
      <c r="K94" s="833"/>
      <c r="L94" s="833"/>
      <c r="M94" s="834"/>
      <c r="N94" s="908"/>
      <c r="O94" s="909"/>
      <c r="P94" s="909"/>
      <c r="Q94" s="909"/>
      <c r="R94" s="909"/>
      <c r="S94" s="910"/>
      <c r="T94" s="947"/>
      <c r="U94" s="948"/>
      <c r="V94" s="846"/>
      <c r="W94" s="847"/>
      <c r="X94" s="832"/>
      <c r="Y94" s="833"/>
      <c r="Z94" s="833"/>
      <c r="AA94" s="834"/>
      <c r="AB94" s="832"/>
      <c r="AC94" s="833"/>
      <c r="AD94" s="834"/>
      <c r="AE94" s="858"/>
      <c r="AF94" s="869"/>
      <c r="AG94" s="858"/>
      <c r="AH94" s="869"/>
      <c r="AI94" s="917"/>
      <c r="AJ94" s="918"/>
      <c r="AK94" s="904" t="str">
        <f>IF(OR(C94="",V94="",X94="",AB94="",AE94="",AG94=""),"",ROUND(V94*INDEX(PMEREFRI[Savings per Unit kWh],MATCH(C94,PMEREFRI[Eff Desc 1],0)),0))</f>
        <v/>
      </c>
      <c r="AL94" s="905"/>
      <c r="AM94" s="905"/>
      <c r="AN94" s="924"/>
      <c r="AO94" s="925"/>
      <c r="AP94" s="925"/>
      <c r="AQ94" s="863"/>
      <c r="AY94" s="808"/>
      <c r="BC94" s="825"/>
    </row>
    <row r="95" spans="2:55" ht="15.95" hidden="1" customHeight="1">
      <c r="B95" s="923"/>
      <c r="C95" s="835"/>
      <c r="D95" s="836"/>
      <c r="E95" s="836"/>
      <c r="F95" s="836"/>
      <c r="G95" s="836"/>
      <c r="H95" s="836"/>
      <c r="I95" s="836"/>
      <c r="J95" s="836"/>
      <c r="K95" s="836"/>
      <c r="L95" s="836"/>
      <c r="M95" s="837"/>
      <c r="N95" s="911"/>
      <c r="O95" s="912"/>
      <c r="P95" s="912"/>
      <c r="Q95" s="912"/>
      <c r="R95" s="912"/>
      <c r="S95" s="913"/>
      <c r="T95" s="949"/>
      <c r="U95" s="950"/>
      <c r="V95" s="848"/>
      <c r="W95" s="849"/>
      <c r="X95" s="835"/>
      <c r="Y95" s="836"/>
      <c r="Z95" s="836"/>
      <c r="AA95" s="837"/>
      <c r="AB95" s="835"/>
      <c r="AC95" s="836"/>
      <c r="AD95" s="837"/>
      <c r="AE95" s="860"/>
      <c r="AF95" s="870"/>
      <c r="AG95" s="860"/>
      <c r="AH95" s="870"/>
      <c r="AI95" s="919"/>
      <c r="AJ95" s="865"/>
      <c r="AK95" s="906"/>
      <c r="AL95" s="907"/>
      <c r="AM95" s="907"/>
      <c r="AN95" s="919"/>
      <c r="AO95" s="926"/>
      <c r="AP95" s="926"/>
      <c r="AQ95" s="865"/>
      <c r="AY95" s="809"/>
      <c r="BC95" s="826"/>
    </row>
    <row r="96" spans="2:55" ht="15.95" hidden="1" customHeight="1">
      <c r="B96" s="923">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BC96" s="825"/>
    </row>
    <row r="97" spans="2:55" ht="15.95" hidden="1" customHeight="1">
      <c r="B97" s="923"/>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BC97" s="826"/>
    </row>
    <row r="98" spans="2:55" ht="15.95" hidden="1" customHeight="1">
      <c r="B98" s="923">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BC98" s="825"/>
    </row>
    <row r="99" spans="2:55" ht="15.95" hidden="1" customHeight="1">
      <c r="B99" s="923"/>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BC99" s="826"/>
    </row>
    <row r="100" spans="2:55" ht="15.95" hidden="1" customHeight="1">
      <c r="B100" s="923">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BC100" s="825"/>
    </row>
    <row r="101" spans="2:55" ht="15.95" hidden="1" customHeight="1">
      <c r="B101" s="923"/>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BC101" s="826"/>
    </row>
    <row r="102" spans="2:55" ht="15.95" hidden="1" customHeight="1">
      <c r="B102" s="923">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BC102" s="825"/>
    </row>
    <row r="103" spans="2:55" ht="15.95" hidden="1" customHeight="1">
      <c r="B103" s="923"/>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BC103" s="826"/>
    </row>
    <row r="104" spans="2:55" ht="15.95" hidden="1" customHeight="1">
      <c r="B104" s="923">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BC104" s="825"/>
    </row>
    <row r="105" spans="2:55" ht="15.95" hidden="1" customHeight="1">
      <c r="B105" s="923"/>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BC105" s="826"/>
    </row>
    <row r="106" spans="2:55" ht="15.95" hidden="1" customHeight="1">
      <c r="B106" s="923">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BC106" s="825"/>
    </row>
    <row r="107" spans="2:55" ht="15.95" hidden="1" customHeight="1">
      <c r="B107" s="923"/>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BC107" s="826"/>
    </row>
    <row r="108" spans="2:55" ht="15.95" hidden="1" customHeight="1">
      <c r="B108" s="923">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BC108" s="825"/>
    </row>
    <row r="109" spans="2:55" ht="15.95" hidden="1" customHeight="1">
      <c r="B109" s="923"/>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BC109" s="826"/>
    </row>
    <row r="110" spans="2:55" ht="15.95" hidden="1" customHeight="1">
      <c r="B110" s="923">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BC110" s="825"/>
    </row>
    <row r="111" spans="2:55" ht="15.95" hidden="1" customHeight="1">
      <c r="B111" s="923"/>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BC111" s="826"/>
    </row>
    <row r="112" spans="2:55" ht="15.95" hidden="1" customHeight="1">
      <c r="B112" s="923">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BC112" s="825"/>
    </row>
    <row r="113" spans="2:55" ht="15.95" hidden="1" customHeight="1">
      <c r="B113" s="923"/>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BC113" s="826"/>
    </row>
    <row r="114" spans="2:55" ht="15.95" hidden="1" customHeight="1">
      <c r="B114" s="923">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BC114" s="825"/>
    </row>
    <row r="115" spans="2:55" ht="15.95" hidden="1" customHeight="1">
      <c r="B115" s="923"/>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BC115" s="826"/>
    </row>
    <row r="116" spans="2:55" ht="15.95" hidden="1" customHeight="1">
      <c r="B116" s="923">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BC116" s="825"/>
    </row>
    <row r="117" spans="2:55" ht="15.95" hidden="1" customHeight="1">
      <c r="B117" s="923"/>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BC117" s="826"/>
    </row>
    <row r="118" spans="2:55" ht="15.95" hidden="1" customHeight="1">
      <c r="B118" s="923">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BC118" s="825"/>
    </row>
    <row r="119" spans="2:55" ht="15.95" hidden="1" customHeight="1">
      <c r="B119" s="923"/>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BC119" s="826"/>
    </row>
    <row r="120" spans="2:55" ht="15.95" hidden="1" customHeight="1">
      <c r="B120" s="923">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BC120" s="825"/>
    </row>
    <row r="121" spans="2:55" ht="15.95" hidden="1" customHeight="1">
      <c r="B121" s="923"/>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BC121" s="826"/>
    </row>
    <row r="122" spans="2:55" ht="15.95" hidden="1" customHeight="1">
      <c r="B122" s="923">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BC122" s="825"/>
    </row>
    <row r="123" spans="2:55" ht="15.95" hidden="1" customHeight="1">
      <c r="B123" s="923"/>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BC123" s="826"/>
    </row>
    <row r="124" spans="2:55" ht="15.95" hidden="1" customHeight="1">
      <c r="B124" s="923">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BC124" s="825"/>
    </row>
    <row r="125" spans="2:55" ht="15.95" hidden="1" customHeight="1">
      <c r="B125" s="923"/>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BC125" s="826"/>
    </row>
    <row r="126" spans="2:55" ht="15.95" hidden="1" customHeight="1">
      <c r="B126" s="923">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BC126" s="825"/>
    </row>
    <row r="127" spans="2:55" ht="15.95" hidden="1" customHeight="1">
      <c r="B127" s="923"/>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BC127" s="826"/>
    </row>
    <row r="128" spans="2:55" ht="15.95" hidden="1" customHeight="1">
      <c r="B128" s="923">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BC128" s="825"/>
    </row>
    <row r="129" spans="2:55" ht="15.95" hidden="1" customHeight="1">
      <c r="B129" s="923"/>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BC129" s="826"/>
    </row>
    <row r="130" spans="2:55" ht="15.95" hidden="1" customHeight="1">
      <c r="B130" s="923">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BC130" s="825"/>
    </row>
    <row r="131" spans="2:55" ht="15.95" hidden="1" customHeight="1">
      <c r="B131" s="923"/>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BC131" s="826"/>
    </row>
    <row r="132" spans="2:55" ht="15.95" hidden="1" customHeight="1">
      <c r="B132" s="923">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BC132" s="825"/>
    </row>
    <row r="133" spans="2:55" ht="15.95" hidden="1" customHeight="1">
      <c r="B133" s="923"/>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BC133" s="826"/>
    </row>
    <row r="134" spans="2:55" ht="15.95" hidden="1" customHeight="1">
      <c r="B134" s="923">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BC134" s="825"/>
    </row>
    <row r="135" spans="2:55" ht="15.95" hidden="1" customHeight="1">
      <c r="B135" s="923"/>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BC135" s="826"/>
    </row>
    <row r="136" spans="2:55" ht="15.95" hidden="1" customHeight="1">
      <c r="B136" s="923">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BC136" s="825"/>
    </row>
    <row r="137" spans="2:55" ht="15.95" hidden="1" customHeight="1">
      <c r="B137" s="923"/>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BC137" s="826"/>
    </row>
    <row r="138" spans="2:55" ht="15.95" hidden="1" customHeight="1">
      <c r="B138" s="923">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BC138" s="825"/>
    </row>
    <row r="139" spans="2:55" ht="15.95" hidden="1" customHeight="1">
      <c r="B139" s="923"/>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BC139" s="826"/>
    </row>
    <row r="140" spans="2:55" ht="15.95" hidden="1" customHeight="1">
      <c r="B140" s="923">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BC140" s="825"/>
    </row>
    <row r="141" spans="2:55" ht="15.95" hidden="1" customHeight="1">
      <c r="B141" s="923"/>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BC141" s="826"/>
    </row>
    <row r="142" spans="2:55" ht="15.95" hidden="1" customHeight="1">
      <c r="B142" s="923">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BC142" s="825"/>
    </row>
    <row r="143" spans="2:55" ht="15.95" hidden="1" customHeight="1">
      <c r="B143" s="923"/>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BC143" s="826"/>
    </row>
    <row r="144" spans="2:55" ht="15.95" hidden="1" customHeight="1">
      <c r="B144" s="923">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BC144" s="825"/>
    </row>
    <row r="145" spans="2:55" ht="15.95" hidden="1" customHeight="1">
      <c r="B145" s="923"/>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BC145" s="826"/>
    </row>
    <row r="146" spans="2:55" ht="15.95" hidden="1" customHeight="1">
      <c r="B146" s="923">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BC146" s="825"/>
    </row>
    <row r="147" spans="2:55" ht="15.95" hidden="1" customHeight="1">
      <c r="B147" s="923"/>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BC147" s="826"/>
    </row>
    <row r="148" spans="2:55" ht="15.95" hidden="1" customHeight="1">
      <c r="B148" s="923">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BC148" s="825"/>
    </row>
    <row r="149" spans="2:55" ht="15.95" hidden="1" customHeight="1">
      <c r="B149" s="923"/>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BC149" s="826"/>
    </row>
    <row r="150" spans="2:55" ht="15.95" hidden="1" customHeight="1">
      <c r="B150" s="923">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BC150" s="825"/>
    </row>
    <row r="151" spans="2:55" ht="15.95" hidden="1" customHeight="1">
      <c r="B151" s="923"/>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BC151" s="826"/>
    </row>
    <row r="152" spans="2:55" ht="15.95" hidden="1" customHeight="1">
      <c r="B152" s="923">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BC152" s="825"/>
    </row>
    <row r="153" spans="2:55" ht="15.95" hidden="1" customHeight="1">
      <c r="B153" s="923"/>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BC153" s="826"/>
    </row>
    <row r="154" spans="2:55" ht="15.95" hidden="1" customHeight="1">
      <c r="B154" s="923">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BC154" s="825"/>
    </row>
    <row r="155" spans="2:55" ht="15.95" hidden="1" customHeight="1">
      <c r="B155" s="923"/>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BC155" s="826"/>
    </row>
    <row r="156" spans="2:55" ht="15.95" hidden="1" customHeight="1">
      <c r="B156" s="923">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BC156" s="825"/>
    </row>
    <row r="157" spans="2:55" ht="15.95" hidden="1" customHeight="1">
      <c r="B157" s="923"/>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BC157" s="826"/>
    </row>
    <row r="158" spans="2:55" ht="15.95" hidden="1" customHeight="1">
      <c r="B158" s="923">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BC158" s="825"/>
    </row>
    <row r="159" spans="2:55" ht="15.95" hidden="1" customHeight="1">
      <c r="B159" s="923"/>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BC159" s="826"/>
    </row>
    <row r="160" spans="2:55" ht="15.95" hidden="1" customHeight="1">
      <c r="B160" s="923">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BC160" s="825"/>
    </row>
    <row r="161" spans="2:55" ht="15.95" hidden="1" customHeight="1">
      <c r="B161" s="923"/>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BC161" s="826"/>
    </row>
    <row r="162" spans="2:55" ht="15.95" hidden="1" customHeight="1">
      <c r="B162" s="923">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BC162" s="825"/>
    </row>
    <row r="163" spans="2:55" ht="15.95" hidden="1" customHeight="1">
      <c r="B163" s="923"/>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BC163" s="826"/>
    </row>
    <row r="164" spans="2:55" ht="15.95" hidden="1" customHeight="1">
      <c r="B164" s="923">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BC164" s="825"/>
    </row>
    <row r="165" spans="2:55" ht="15.95" hidden="1" customHeight="1">
      <c r="B165" s="923"/>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BC165" s="826"/>
    </row>
    <row r="166" spans="2:55" ht="15.95" hidden="1" customHeight="1">
      <c r="B166" s="923">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BC166" s="825"/>
    </row>
    <row r="167" spans="2:55" ht="15.95" hidden="1" customHeight="1">
      <c r="B167" s="923"/>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BC167" s="826"/>
    </row>
    <row r="168" spans="2:55" ht="15.95" hidden="1" customHeight="1">
      <c r="B168" s="923">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BC168" s="825"/>
    </row>
    <row r="169" spans="2:55" ht="15.95" hidden="1" customHeight="1">
      <c r="B169" s="923"/>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BC169" s="826"/>
    </row>
    <row r="170" spans="2:55" ht="15.95" hidden="1" customHeight="1">
      <c r="B170" s="923">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BC170" s="825"/>
    </row>
    <row r="171" spans="2:55" ht="15.95" hidden="1" customHeight="1">
      <c r="B171" s="923"/>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BC171" s="826"/>
    </row>
    <row r="172" spans="2:55" ht="15.95" hidden="1" customHeight="1">
      <c r="B172" s="923">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BC172" s="825"/>
    </row>
    <row r="173" spans="2:55" ht="15.95" hidden="1" customHeight="1">
      <c r="B173" s="923"/>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BC173" s="826"/>
    </row>
    <row r="174" spans="2:55" ht="15.95" hidden="1" customHeight="1">
      <c r="B174" s="923">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BC174" s="825"/>
    </row>
    <row r="175" spans="2:55" ht="15.95" hidden="1" customHeight="1">
      <c r="B175" s="923"/>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BC175" s="826"/>
    </row>
    <row r="176" spans="2:55" ht="15.95" hidden="1" customHeight="1">
      <c r="B176" s="923">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BC176" s="825"/>
    </row>
    <row r="177" spans="2:55" ht="15.95" hidden="1" customHeight="1">
      <c r="B177" s="923"/>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BC177" s="826"/>
    </row>
    <row r="178" spans="2:55" ht="15.95" hidden="1" customHeight="1">
      <c r="B178" s="923">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BC178" s="825"/>
    </row>
    <row r="179" spans="2:55" ht="15.95" hidden="1" customHeight="1">
      <c r="B179" s="923"/>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BC179" s="826"/>
    </row>
    <row r="180" spans="2:55" ht="15.95" hidden="1" customHeight="1">
      <c r="B180" s="923">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BC180" s="825"/>
    </row>
    <row r="181" spans="2:55" ht="15.95" hidden="1" customHeight="1">
      <c r="B181" s="923"/>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BC181" s="826"/>
    </row>
    <row r="182" spans="2:55" ht="15.95" hidden="1" customHeight="1">
      <c r="B182" s="923">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BC182" s="825"/>
    </row>
    <row r="183" spans="2:55" ht="15.95" hidden="1" customHeight="1">
      <c r="B183" s="923"/>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BC183" s="826"/>
    </row>
    <row r="184" spans="2:55" ht="15.95" hidden="1" customHeight="1">
      <c r="B184" s="923">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BC184" s="825"/>
    </row>
    <row r="185" spans="2:55" ht="15.95" hidden="1" customHeight="1">
      <c r="B185" s="923"/>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BC185" s="826"/>
    </row>
    <row r="186" spans="2:55" ht="15.95" hidden="1" customHeight="1">
      <c r="B186" s="923">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BC186" s="825"/>
    </row>
    <row r="187" spans="2:55" ht="15.95" hidden="1" customHeight="1">
      <c r="B187" s="923"/>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BC187" s="826"/>
    </row>
    <row r="188" spans="2:55" ht="15.95" hidden="1" customHeight="1">
      <c r="B188" s="923">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BC188" s="825"/>
    </row>
    <row r="189" spans="2:55" ht="15.95" hidden="1" customHeight="1">
      <c r="B189" s="923"/>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BC189" s="826"/>
    </row>
    <row r="190" spans="2:55" ht="15.95" hidden="1" customHeight="1">
      <c r="B190" s="923">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BC190" s="825"/>
    </row>
    <row r="191" spans="2:55" ht="15.95" hidden="1" customHeight="1">
      <c r="B191" s="923"/>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BC191" s="826"/>
    </row>
    <row r="192" spans="2:55" ht="15.95" hidden="1" customHeight="1">
      <c r="B192" s="923">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BC192" s="825"/>
    </row>
    <row r="193" spans="2:55" ht="15.95" hidden="1" customHeight="1">
      <c r="B193" s="923"/>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BC193" s="826"/>
    </row>
    <row r="194" spans="2:55" ht="15.95" hidden="1" customHeight="1">
      <c r="B194" s="923">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BC194" s="825"/>
    </row>
    <row r="195" spans="2:55" ht="15.95" hidden="1" customHeight="1">
      <c r="B195" s="923"/>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BC195" s="826"/>
    </row>
    <row r="196" spans="2:55" ht="15.95" hidden="1" customHeight="1">
      <c r="B196" s="923">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BC196" s="825"/>
    </row>
    <row r="197" spans="2:55" hidden="1">
      <c r="B197" s="923"/>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BC197" s="826"/>
    </row>
    <row r="198" spans="2:55" hidden="1">
      <c r="B198" s="923">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BC198" s="825"/>
    </row>
    <row r="199" spans="2:55" hidden="1">
      <c r="B199" s="923"/>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BC199" s="826"/>
    </row>
    <row r="200" spans="2:55">
      <c r="B200" s="272" t="str">
        <f>FOOT1</f>
        <v>NIPSCO Energy Efficiency Program</v>
      </c>
      <c r="C200" s="272"/>
      <c r="D200" s="272"/>
      <c r="E200" s="272"/>
      <c r="F200" s="272"/>
      <c r="G200" s="272"/>
      <c r="H200" s="272"/>
      <c r="I200" s="272"/>
      <c r="J200" s="272"/>
      <c r="K200" s="272"/>
      <c r="L200" s="272"/>
      <c r="M200" s="656" t="str">
        <f>FOOT4</f>
        <v>NIPSCO’s energy efficiency programs are administered by TRC, a third‐party implementation specialist that helps homes and businesses save energy.</v>
      </c>
      <c r="N200" s="656"/>
      <c r="O200" s="656"/>
      <c r="P200" s="656"/>
      <c r="Q200" s="656"/>
      <c r="R200" s="656"/>
      <c r="S200" s="656"/>
      <c r="T200" s="656"/>
      <c r="U200" s="656"/>
      <c r="V200" s="656"/>
      <c r="W200" s="656"/>
      <c r="X200" s="656"/>
      <c r="Y200" s="656"/>
      <c r="Z200" s="656"/>
      <c r="AA200" s="656"/>
      <c r="AB200" s="656"/>
      <c r="AC200" s="656"/>
      <c r="AD200" s="656"/>
      <c r="AE200" s="656"/>
      <c r="AF200" s="656"/>
      <c r="AG200" s="656"/>
      <c r="AH200" s="272"/>
      <c r="AI200" s="272"/>
      <c r="AJ200" s="272"/>
      <c r="AK200" s="272"/>
      <c r="AL200" s="272"/>
      <c r="AM200" s="272"/>
      <c r="AN200" s="272"/>
      <c r="AO200" s="272"/>
      <c r="AP200" s="272"/>
      <c r="AQ200" s="272"/>
      <c r="AR200" s="273" t="str">
        <f>FOOTDISCLAIM</f>
        <v/>
      </c>
      <c r="AU200" s="808">
        <f>SUM(AU16:AU199)</f>
        <v>0</v>
      </c>
      <c r="AV200" s="873">
        <f>SUM(AV16:AV199)</f>
        <v>0</v>
      </c>
    </row>
    <row r="201" spans="2:55">
      <c r="B201" s="272" t="str">
        <f>FOOT2</f>
        <v>Toll-Free 800-299-2501</v>
      </c>
      <c r="C201" s="272"/>
      <c r="D201" s="272"/>
      <c r="E201" s="272"/>
      <c r="F201" s="272"/>
      <c r="G201" s="272"/>
      <c r="H201" s="272"/>
      <c r="I201" s="272"/>
      <c r="J201" s="272"/>
      <c r="K201" s="272"/>
      <c r="L201" s="272"/>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272"/>
      <c r="AI201" s="272"/>
      <c r="AJ201" s="272"/>
      <c r="AK201" s="272"/>
      <c r="AL201" s="272"/>
      <c r="AM201" s="272"/>
      <c r="AN201" s="272"/>
      <c r="AO201" s="272"/>
      <c r="AP201" s="272"/>
      <c r="AQ201" s="272"/>
      <c r="AR201" s="273" t="str">
        <f>FOOT5</f>
        <v/>
      </c>
      <c r="AU201" s="809"/>
      <c r="AV201" s="874"/>
    </row>
    <row r="202" spans="2:55">
      <c r="B202" s="281" t="s">
        <v>1551</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v3.7.0</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o/M7tgFGGRT42PiMtMrgCijErDWf9Dh+Dm/jkD2QQ+Tr1U/1wzSCHUt1eQ+ScF6+SZ33fxfI4BXkg+dfwc9ONQ==" saltValue="zaAUyXQn7smkbyMzTQeOqA==" spinCount="100000" sheet="1" objects="1" scenarios="1" selectLockedCells="1"/>
  <mergeCells count="742">
    <mergeCell ref="AH1:AK1"/>
    <mergeCell ref="AL1:AP1"/>
    <mergeCell ref="AH2:AK3"/>
    <mergeCell ref="AL2:AP3"/>
    <mergeCell ref="AQ1:AR1"/>
    <mergeCell ref="AQ2:AR3"/>
    <mergeCell ref="AI42:AJ43"/>
    <mergeCell ref="AU26:AU27"/>
    <mergeCell ref="AV26:AV27"/>
    <mergeCell ref="AU28:AU29"/>
    <mergeCell ref="AV28:AV29"/>
    <mergeCell ref="AU30:AU31"/>
    <mergeCell ref="AV30:AV31"/>
    <mergeCell ref="AU32:AU33"/>
    <mergeCell ref="AV32:AV33"/>
    <mergeCell ref="AU14:AU15"/>
    <mergeCell ref="AV14:AV15"/>
    <mergeCell ref="AU16:AU17"/>
    <mergeCell ref="AV16:AV17"/>
    <mergeCell ref="AK34:AM35"/>
    <mergeCell ref="AK18:AM19"/>
    <mergeCell ref="AK16:AM17"/>
    <mergeCell ref="AK20:AM21"/>
    <mergeCell ref="AK22:AM23"/>
    <mergeCell ref="R9:AC10"/>
    <mergeCell ref="AI16:AJ17"/>
    <mergeCell ref="AI14:AJ15"/>
    <mergeCell ref="AK14:AM15"/>
    <mergeCell ref="AN14:AQ15"/>
    <mergeCell ref="AV18:AV19"/>
    <mergeCell ref="AZ44:AZ45"/>
    <mergeCell ref="BA44:BA45"/>
    <mergeCell ref="BB44:BB45"/>
    <mergeCell ref="AY44:AY45"/>
    <mergeCell ref="AI36:AJ37"/>
    <mergeCell ref="AI40:AJ41"/>
    <mergeCell ref="AN28:AQ29"/>
    <mergeCell ref="AN30:AQ31"/>
    <mergeCell ref="AN32:AQ33"/>
    <mergeCell ref="AN34:AQ35"/>
    <mergeCell ref="AK40:AM41"/>
    <mergeCell ref="AN40:AQ41"/>
    <mergeCell ref="AK42:AM43"/>
    <mergeCell ref="AN42:AQ43"/>
    <mergeCell ref="AK44:AM45"/>
    <mergeCell ref="AN44:AQ45"/>
    <mergeCell ref="AK36:AM37"/>
    <mergeCell ref="AK32:AM33"/>
    <mergeCell ref="C44:M45"/>
    <mergeCell ref="N44:S45"/>
    <mergeCell ref="T44:U45"/>
    <mergeCell ref="V44:W45"/>
    <mergeCell ref="AE44:AF45"/>
    <mergeCell ref="AG44:AH45"/>
    <mergeCell ref="AI44:AJ45"/>
    <mergeCell ref="X44:Y45"/>
    <mergeCell ref="Z44:Z45"/>
    <mergeCell ref="AA44:AB45"/>
    <mergeCell ref="AC44:AD45"/>
    <mergeCell ref="AE38:AF39"/>
    <mergeCell ref="AG38:AH39"/>
    <mergeCell ref="AI38:AJ39"/>
    <mergeCell ref="X40:Y41"/>
    <mergeCell ref="Z40:Z41"/>
    <mergeCell ref="AA40:AB41"/>
    <mergeCell ref="AC40:AD41"/>
    <mergeCell ref="C42:M43"/>
    <mergeCell ref="N42:S43"/>
    <mergeCell ref="T42:U43"/>
    <mergeCell ref="V42:W43"/>
    <mergeCell ref="AE42:AF43"/>
    <mergeCell ref="AG42:AH43"/>
    <mergeCell ref="C40:M41"/>
    <mergeCell ref="N40:S41"/>
    <mergeCell ref="T40:U41"/>
    <mergeCell ref="V40:W41"/>
    <mergeCell ref="AE40:AF41"/>
    <mergeCell ref="AG40:AH41"/>
    <mergeCell ref="X42:Y43"/>
    <mergeCell ref="Z42:Z43"/>
    <mergeCell ref="AA42:AB43"/>
    <mergeCell ref="AC42:AD43"/>
    <mergeCell ref="X32:AA33"/>
    <mergeCell ref="AB32:AD33"/>
    <mergeCell ref="AE32:AF33"/>
    <mergeCell ref="AG32:AH33"/>
    <mergeCell ref="AI32:AJ33"/>
    <mergeCell ref="C34:M35"/>
    <mergeCell ref="N34:S35"/>
    <mergeCell ref="T34:U35"/>
    <mergeCell ref="V34:W35"/>
    <mergeCell ref="X34:AA35"/>
    <mergeCell ref="AB34:AD35"/>
    <mergeCell ref="AE34:AF35"/>
    <mergeCell ref="AG34:AH35"/>
    <mergeCell ref="AI34:AJ35"/>
    <mergeCell ref="C30:M31"/>
    <mergeCell ref="N30:S31"/>
    <mergeCell ref="T30:U31"/>
    <mergeCell ref="V30:W31"/>
    <mergeCell ref="X30:AA31"/>
    <mergeCell ref="AB30:AD31"/>
    <mergeCell ref="AE30:AF31"/>
    <mergeCell ref="AG30:AH31"/>
    <mergeCell ref="AI30:AJ31"/>
    <mergeCell ref="C28:M29"/>
    <mergeCell ref="N28:S29"/>
    <mergeCell ref="T28:U29"/>
    <mergeCell ref="V28:W29"/>
    <mergeCell ref="X28:AA29"/>
    <mergeCell ref="AB28:AD29"/>
    <mergeCell ref="AE28:AF29"/>
    <mergeCell ref="AG28:AH29"/>
    <mergeCell ref="AI28:AJ29"/>
    <mergeCell ref="C20:M21"/>
    <mergeCell ref="N20:S21"/>
    <mergeCell ref="T20:U21"/>
    <mergeCell ref="V20:W21"/>
    <mergeCell ref="X20:AA21"/>
    <mergeCell ref="AB20:AD21"/>
    <mergeCell ref="AE20:AF21"/>
    <mergeCell ref="AG20:AH21"/>
    <mergeCell ref="AI20:AJ21"/>
    <mergeCell ref="C22:M23"/>
    <mergeCell ref="N22:S23"/>
    <mergeCell ref="T22:U23"/>
    <mergeCell ref="V22:W23"/>
    <mergeCell ref="X22:AA23"/>
    <mergeCell ref="AB22:AD23"/>
    <mergeCell ref="AE22:AF23"/>
    <mergeCell ref="AG22:AH23"/>
    <mergeCell ref="AI22:AJ23"/>
    <mergeCell ref="C18:M19"/>
    <mergeCell ref="N18:S19"/>
    <mergeCell ref="T18:U19"/>
    <mergeCell ref="V18:W19"/>
    <mergeCell ref="X18:AA19"/>
    <mergeCell ref="AB18:AD19"/>
    <mergeCell ref="AE18:AF19"/>
    <mergeCell ref="AG18:AH19"/>
    <mergeCell ref="AI18:AJ19"/>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AE16:AF17"/>
    <mergeCell ref="AG16:AH17"/>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64:B65"/>
    <mergeCell ref="B42:B43"/>
    <mergeCell ref="B44:B45"/>
    <mergeCell ref="B46:B47"/>
    <mergeCell ref="B48:B49"/>
    <mergeCell ref="B50:B51"/>
    <mergeCell ref="B52:B53"/>
    <mergeCell ref="B54:B55"/>
    <mergeCell ref="B56:B57"/>
    <mergeCell ref="B58:B59"/>
    <mergeCell ref="B60:B61"/>
    <mergeCell ref="B62:B63"/>
    <mergeCell ref="B40:B41"/>
    <mergeCell ref="B18:B19"/>
    <mergeCell ref="B20:B21"/>
    <mergeCell ref="B22:B23"/>
    <mergeCell ref="B24:B25"/>
    <mergeCell ref="B26:B27"/>
    <mergeCell ref="B28:B29"/>
    <mergeCell ref="B30:B31"/>
    <mergeCell ref="B32:B33"/>
    <mergeCell ref="B34:B35"/>
    <mergeCell ref="B36:B37"/>
    <mergeCell ref="B38:B39"/>
    <mergeCell ref="B16:B17"/>
    <mergeCell ref="R11:U11"/>
    <mergeCell ref="V11:Y11"/>
    <mergeCell ref="Z11:AC11"/>
    <mergeCell ref="C14:M15"/>
    <mergeCell ref="N14:S15"/>
    <mergeCell ref="T14:U15"/>
    <mergeCell ref="V14:W15"/>
    <mergeCell ref="X14:AA15"/>
    <mergeCell ref="AB14:AD15"/>
    <mergeCell ref="C16:M17"/>
    <mergeCell ref="N16:S17"/>
    <mergeCell ref="T16:U17"/>
    <mergeCell ref="V16:W17"/>
    <mergeCell ref="X16:AA17"/>
    <mergeCell ref="AB16:AD17"/>
    <mergeCell ref="R12:U13"/>
    <mergeCell ref="V12:Y13"/>
    <mergeCell ref="Z12:AC13"/>
    <mergeCell ref="BC28:BC29"/>
    <mergeCell ref="BC30:BC31"/>
    <mergeCell ref="AU20:AU21"/>
    <mergeCell ref="AV20:AV21"/>
    <mergeCell ref="AU22:AU23"/>
    <mergeCell ref="AV22:AV23"/>
    <mergeCell ref="AU44:AU45"/>
    <mergeCell ref="AV44:AV45"/>
    <mergeCell ref="AU200:AU201"/>
    <mergeCell ref="AV200:AV201"/>
    <mergeCell ref="AU34:AU35"/>
    <mergeCell ref="AV34:AV35"/>
    <mergeCell ref="AU38:AU39"/>
    <mergeCell ref="AV38:AV39"/>
    <mergeCell ref="AU40:AU41"/>
    <mergeCell ref="AV40:AV41"/>
    <mergeCell ref="AU42:AU43"/>
    <mergeCell ref="AV42:AV43"/>
    <mergeCell ref="AY94:AY95"/>
    <mergeCell ref="AU24:AU25"/>
    <mergeCell ref="AV24:AV25"/>
    <mergeCell ref="BC32:BC33"/>
    <mergeCell ref="BC34:BC35"/>
    <mergeCell ref="AX40:AX41"/>
    <mergeCell ref="BC14:BC15"/>
    <mergeCell ref="BC16:BC17"/>
    <mergeCell ref="BC18:BC19"/>
    <mergeCell ref="BC20:BC21"/>
    <mergeCell ref="BC22:BC23"/>
    <mergeCell ref="BC24:BC25"/>
    <mergeCell ref="BC26:BC27"/>
    <mergeCell ref="AU18:AU19"/>
    <mergeCell ref="AN16:AQ17"/>
    <mergeCell ref="AN20:AQ21"/>
    <mergeCell ref="AN22:AQ23"/>
    <mergeCell ref="AN24:AQ25"/>
    <mergeCell ref="AN26:AQ27"/>
    <mergeCell ref="AX14:AX15"/>
    <mergeCell ref="AY14:AY15"/>
    <mergeCell ref="AN18:AQ19"/>
    <mergeCell ref="AW14:AW15"/>
    <mergeCell ref="AW16:AW17"/>
    <mergeCell ref="AW18:AW19"/>
    <mergeCell ref="AW20:AW21"/>
    <mergeCell ref="AW22:AW23"/>
    <mergeCell ref="AW24:AW25"/>
    <mergeCell ref="AW26:AW27"/>
    <mergeCell ref="AK46:AM47"/>
    <mergeCell ref="AN46:AQ47"/>
    <mergeCell ref="C48:M49"/>
    <mergeCell ref="N48:S49"/>
    <mergeCell ref="T48:U49"/>
    <mergeCell ref="V48:W49"/>
    <mergeCell ref="X48:AA49"/>
    <mergeCell ref="AB48:AD49"/>
    <mergeCell ref="AE48:AF49"/>
    <mergeCell ref="AG48:AH49"/>
    <mergeCell ref="AI48:AJ49"/>
    <mergeCell ref="AK48:AM49"/>
    <mergeCell ref="AN48:AQ49"/>
    <mergeCell ref="C46:M47"/>
    <mergeCell ref="N46:S47"/>
    <mergeCell ref="T46:U47"/>
    <mergeCell ref="V46:W47"/>
    <mergeCell ref="X46:AA47"/>
    <mergeCell ref="AB46:AD47"/>
    <mergeCell ref="AE46:AF47"/>
    <mergeCell ref="AG46:AH47"/>
    <mergeCell ref="AI46:AJ47"/>
    <mergeCell ref="AK50:AM51"/>
    <mergeCell ref="AN50:AQ51"/>
    <mergeCell ref="C52:M53"/>
    <mergeCell ref="N52:S53"/>
    <mergeCell ref="T52:U53"/>
    <mergeCell ref="V52:W53"/>
    <mergeCell ref="X52:AA53"/>
    <mergeCell ref="AB52:AD53"/>
    <mergeCell ref="AE52:AF53"/>
    <mergeCell ref="AG52:AH53"/>
    <mergeCell ref="AI52:AJ53"/>
    <mergeCell ref="AK52:AM53"/>
    <mergeCell ref="AN52:AQ53"/>
    <mergeCell ref="C50:M51"/>
    <mergeCell ref="N50:S51"/>
    <mergeCell ref="T50:U51"/>
    <mergeCell ref="V50:W51"/>
    <mergeCell ref="X50:AA51"/>
    <mergeCell ref="AB50:AD51"/>
    <mergeCell ref="AE50:AF51"/>
    <mergeCell ref="AG50:AH51"/>
    <mergeCell ref="AI50:AJ51"/>
    <mergeCell ref="AK54:AM55"/>
    <mergeCell ref="AN54:AQ55"/>
    <mergeCell ref="C56:M57"/>
    <mergeCell ref="N56:S57"/>
    <mergeCell ref="T56:U57"/>
    <mergeCell ref="V56:W57"/>
    <mergeCell ref="X56:AA57"/>
    <mergeCell ref="AB56:AD57"/>
    <mergeCell ref="AE56:AF57"/>
    <mergeCell ref="AG56:AH57"/>
    <mergeCell ref="AI56:AJ57"/>
    <mergeCell ref="AK56:AM57"/>
    <mergeCell ref="AN56:AQ57"/>
    <mergeCell ref="C54:M55"/>
    <mergeCell ref="N54:S55"/>
    <mergeCell ref="T54:U55"/>
    <mergeCell ref="V54:W55"/>
    <mergeCell ref="X54:AA55"/>
    <mergeCell ref="AB54:AD55"/>
    <mergeCell ref="AE54:AF55"/>
    <mergeCell ref="AG54:AH55"/>
    <mergeCell ref="AI54:AJ55"/>
    <mergeCell ref="AK58:AM59"/>
    <mergeCell ref="AN58:AQ59"/>
    <mergeCell ref="C60:M61"/>
    <mergeCell ref="N60:S61"/>
    <mergeCell ref="T60:U61"/>
    <mergeCell ref="V60:W61"/>
    <mergeCell ref="X60:AA61"/>
    <mergeCell ref="AB60:AD61"/>
    <mergeCell ref="AE60:AF61"/>
    <mergeCell ref="AG60:AH61"/>
    <mergeCell ref="AI60:AJ61"/>
    <mergeCell ref="AK60:AM61"/>
    <mergeCell ref="AN60:AQ61"/>
    <mergeCell ref="C58:M59"/>
    <mergeCell ref="N58:S59"/>
    <mergeCell ref="T58:U59"/>
    <mergeCell ref="V58:W59"/>
    <mergeCell ref="X58:AA59"/>
    <mergeCell ref="AB58:AD59"/>
    <mergeCell ref="AE58:AF59"/>
    <mergeCell ref="AG58:AH59"/>
    <mergeCell ref="AI58:AJ59"/>
    <mergeCell ref="AK62:AM63"/>
    <mergeCell ref="AN62:AQ63"/>
    <mergeCell ref="C64:M65"/>
    <mergeCell ref="N64:S65"/>
    <mergeCell ref="T64:U65"/>
    <mergeCell ref="V64:W65"/>
    <mergeCell ref="X64:AA65"/>
    <mergeCell ref="AB64:AD65"/>
    <mergeCell ref="AE64:AF65"/>
    <mergeCell ref="AG64:AH65"/>
    <mergeCell ref="AI64:AJ65"/>
    <mergeCell ref="AK64:AM65"/>
    <mergeCell ref="AN64:AQ65"/>
    <mergeCell ref="C62:M63"/>
    <mergeCell ref="N62:S63"/>
    <mergeCell ref="T62:U63"/>
    <mergeCell ref="V62:W63"/>
    <mergeCell ref="X62:AA63"/>
    <mergeCell ref="AB62:AD63"/>
    <mergeCell ref="AE62:AF63"/>
    <mergeCell ref="AG62:AH63"/>
    <mergeCell ref="AI62:AJ63"/>
    <mergeCell ref="AK66:AM67"/>
    <mergeCell ref="AN66:AQ67"/>
    <mergeCell ref="C68:M69"/>
    <mergeCell ref="N68:S69"/>
    <mergeCell ref="T68:U69"/>
    <mergeCell ref="V68:W69"/>
    <mergeCell ref="X68:AA69"/>
    <mergeCell ref="AB68:AD69"/>
    <mergeCell ref="AE68:AF69"/>
    <mergeCell ref="AG68:AH69"/>
    <mergeCell ref="AI68:AJ69"/>
    <mergeCell ref="AK68:AM69"/>
    <mergeCell ref="AN68:AQ69"/>
    <mergeCell ref="C66:M67"/>
    <mergeCell ref="N66:S67"/>
    <mergeCell ref="T66:U67"/>
    <mergeCell ref="V66:W67"/>
    <mergeCell ref="X66:AA67"/>
    <mergeCell ref="AB66:AD67"/>
    <mergeCell ref="AE66:AF67"/>
    <mergeCell ref="AG66:AH67"/>
    <mergeCell ref="AI66:AJ67"/>
    <mergeCell ref="AK70:AM71"/>
    <mergeCell ref="AN70:AQ71"/>
    <mergeCell ref="C72:M73"/>
    <mergeCell ref="N72:S73"/>
    <mergeCell ref="T72:U73"/>
    <mergeCell ref="V72:W73"/>
    <mergeCell ref="X72:AA73"/>
    <mergeCell ref="AB72:AD73"/>
    <mergeCell ref="AE72:AF73"/>
    <mergeCell ref="AG72:AH73"/>
    <mergeCell ref="AI72:AJ73"/>
    <mergeCell ref="AK72:AM73"/>
    <mergeCell ref="AN72:AQ73"/>
    <mergeCell ref="C70:M71"/>
    <mergeCell ref="N70:S71"/>
    <mergeCell ref="T70:U71"/>
    <mergeCell ref="V70:W71"/>
    <mergeCell ref="X70:AA71"/>
    <mergeCell ref="AB70:AD71"/>
    <mergeCell ref="AE70:AF71"/>
    <mergeCell ref="AG70:AH71"/>
    <mergeCell ref="AI70:AJ71"/>
    <mergeCell ref="AK74:AM75"/>
    <mergeCell ref="AN74:AQ75"/>
    <mergeCell ref="C76:M77"/>
    <mergeCell ref="N76:S77"/>
    <mergeCell ref="T76:U77"/>
    <mergeCell ref="V76:W77"/>
    <mergeCell ref="X76:AA77"/>
    <mergeCell ref="AB76:AD77"/>
    <mergeCell ref="AE76:AF77"/>
    <mergeCell ref="AG76:AH77"/>
    <mergeCell ref="AI76:AJ77"/>
    <mergeCell ref="AK76:AM77"/>
    <mergeCell ref="AN76:AQ77"/>
    <mergeCell ref="C74:M75"/>
    <mergeCell ref="N74:S75"/>
    <mergeCell ref="T74:U75"/>
    <mergeCell ref="V74:W75"/>
    <mergeCell ref="X74:AA75"/>
    <mergeCell ref="AB74:AD75"/>
    <mergeCell ref="AE74:AF75"/>
    <mergeCell ref="AG74:AH75"/>
    <mergeCell ref="AI74:AJ75"/>
    <mergeCell ref="AK78:AM79"/>
    <mergeCell ref="AN78:AQ79"/>
    <mergeCell ref="C80:M81"/>
    <mergeCell ref="N80:S81"/>
    <mergeCell ref="T80:U81"/>
    <mergeCell ref="V80:W81"/>
    <mergeCell ref="X80:AA81"/>
    <mergeCell ref="AB80:AD81"/>
    <mergeCell ref="AE80:AF81"/>
    <mergeCell ref="AG80:AH81"/>
    <mergeCell ref="AI80:AJ81"/>
    <mergeCell ref="AK80:AM81"/>
    <mergeCell ref="AN80:AQ81"/>
    <mergeCell ref="C78:M79"/>
    <mergeCell ref="N78:S79"/>
    <mergeCell ref="T78:U79"/>
    <mergeCell ref="V78:W79"/>
    <mergeCell ref="X78:AA79"/>
    <mergeCell ref="AB78:AD79"/>
    <mergeCell ref="AE78:AF79"/>
    <mergeCell ref="AG78:AH79"/>
    <mergeCell ref="AI78:AJ79"/>
    <mergeCell ref="AK82:AM83"/>
    <mergeCell ref="AN82:AQ83"/>
    <mergeCell ref="C84:M85"/>
    <mergeCell ref="N84:S85"/>
    <mergeCell ref="T84:U85"/>
    <mergeCell ref="V84:W85"/>
    <mergeCell ref="X84:AA85"/>
    <mergeCell ref="AB84:AD85"/>
    <mergeCell ref="AE84:AF85"/>
    <mergeCell ref="AG84:AH85"/>
    <mergeCell ref="AI84:AJ85"/>
    <mergeCell ref="AK84:AM85"/>
    <mergeCell ref="AN84:AQ85"/>
    <mergeCell ref="C82:M83"/>
    <mergeCell ref="N82:S83"/>
    <mergeCell ref="T82:U83"/>
    <mergeCell ref="V82:W83"/>
    <mergeCell ref="X82:AA83"/>
    <mergeCell ref="AB82:AD83"/>
    <mergeCell ref="AE82:AF83"/>
    <mergeCell ref="AG82:AH83"/>
    <mergeCell ref="AI82:AJ83"/>
    <mergeCell ref="AK86:AM87"/>
    <mergeCell ref="AN86:AQ87"/>
    <mergeCell ref="C88:M89"/>
    <mergeCell ref="N88:S89"/>
    <mergeCell ref="T88:U89"/>
    <mergeCell ref="V88:W89"/>
    <mergeCell ref="X88:AA89"/>
    <mergeCell ref="AB88:AD89"/>
    <mergeCell ref="AE88:AF89"/>
    <mergeCell ref="AG88:AH89"/>
    <mergeCell ref="AI88:AJ89"/>
    <mergeCell ref="AK88:AM89"/>
    <mergeCell ref="AN88:AQ89"/>
    <mergeCell ref="C86:M87"/>
    <mergeCell ref="N86:S87"/>
    <mergeCell ref="T86:U87"/>
    <mergeCell ref="V86:W87"/>
    <mergeCell ref="X86:AA87"/>
    <mergeCell ref="AB86:AD87"/>
    <mergeCell ref="AE86:AF87"/>
    <mergeCell ref="AG86:AH87"/>
    <mergeCell ref="AI86:AJ87"/>
    <mergeCell ref="AK90:AM91"/>
    <mergeCell ref="AN90:AQ91"/>
    <mergeCell ref="C92:M93"/>
    <mergeCell ref="N92:S93"/>
    <mergeCell ref="T92:U93"/>
    <mergeCell ref="V92:W93"/>
    <mergeCell ref="X92:AA93"/>
    <mergeCell ref="AB92:AD93"/>
    <mergeCell ref="AE92:AF93"/>
    <mergeCell ref="AG92:AH93"/>
    <mergeCell ref="AI92:AJ93"/>
    <mergeCell ref="AK92:AM93"/>
    <mergeCell ref="AN92:AQ93"/>
    <mergeCell ref="C90:M91"/>
    <mergeCell ref="N90:S91"/>
    <mergeCell ref="T90:U91"/>
    <mergeCell ref="V90:W91"/>
    <mergeCell ref="X90:AA91"/>
    <mergeCell ref="AB90:AD91"/>
    <mergeCell ref="AE90:AF91"/>
    <mergeCell ref="AG90:AH91"/>
    <mergeCell ref="AI90:AJ91"/>
    <mergeCell ref="AK94:AM95"/>
    <mergeCell ref="AN94:AQ95"/>
    <mergeCell ref="C94:M95"/>
    <mergeCell ref="N94:S95"/>
    <mergeCell ref="T94:U95"/>
    <mergeCell ref="V94:W95"/>
    <mergeCell ref="X94:AA95"/>
    <mergeCell ref="AB94:AD95"/>
    <mergeCell ref="AE94:AF95"/>
    <mergeCell ref="AG94:AH95"/>
    <mergeCell ref="AI94:AJ95"/>
    <mergeCell ref="C36:AD36"/>
    <mergeCell ref="AC37:AD37"/>
    <mergeCell ref="AW38:AW39"/>
    <mergeCell ref="AN36:AQ37"/>
    <mergeCell ref="AK38:AM39"/>
    <mergeCell ref="AN38:AQ39"/>
    <mergeCell ref="C32:M33"/>
    <mergeCell ref="N32:S33"/>
    <mergeCell ref="C37:M37"/>
    <mergeCell ref="X38:Y39"/>
    <mergeCell ref="Z38:Z39"/>
    <mergeCell ref="X37:Y37"/>
    <mergeCell ref="V37:W37"/>
    <mergeCell ref="N37:S37"/>
    <mergeCell ref="T37:U37"/>
    <mergeCell ref="AA38:AB39"/>
    <mergeCell ref="AC38:AD39"/>
    <mergeCell ref="AA37:AB37"/>
    <mergeCell ref="C38:M39"/>
    <mergeCell ref="N38:S39"/>
    <mergeCell ref="T38:U39"/>
    <mergeCell ref="V38:W39"/>
    <mergeCell ref="T32:U33"/>
    <mergeCell ref="V32:W33"/>
    <mergeCell ref="AK24:AM25"/>
    <mergeCell ref="AK26:AM27"/>
    <mergeCell ref="AK28:AM29"/>
    <mergeCell ref="AK30:AM31"/>
    <mergeCell ref="AW30:AW31"/>
    <mergeCell ref="C26:M27"/>
    <mergeCell ref="N26:S27"/>
    <mergeCell ref="T26:U27"/>
    <mergeCell ref="V26:W27"/>
    <mergeCell ref="X26:AA27"/>
    <mergeCell ref="AB26:AD27"/>
    <mergeCell ref="AE26:AF27"/>
    <mergeCell ref="AG26:AH27"/>
    <mergeCell ref="AI26:AJ27"/>
    <mergeCell ref="C24:M25"/>
    <mergeCell ref="N24:S25"/>
    <mergeCell ref="AW28:AW29"/>
    <mergeCell ref="T24:U25"/>
    <mergeCell ref="V24:W25"/>
    <mergeCell ref="X24:AA25"/>
    <mergeCell ref="AB24:AD25"/>
    <mergeCell ref="AE24:AF25"/>
    <mergeCell ref="AG24:AH25"/>
    <mergeCell ref="AI24:AJ25"/>
    <mergeCell ref="AX38:AX39"/>
    <mergeCell ref="AY38:AY39"/>
    <mergeCell ref="BC50:BC51"/>
    <mergeCell ref="BC52:BC53"/>
    <mergeCell ref="AX42:AX43"/>
    <mergeCell ref="AX44:AX45"/>
    <mergeCell ref="AY40:AY41"/>
    <mergeCell ref="AY42:AY43"/>
    <mergeCell ref="AW32:AW33"/>
    <mergeCell ref="AW34:AW35"/>
    <mergeCell ref="BC38:BC39"/>
    <mergeCell ref="BC40:BC41"/>
    <mergeCell ref="BC42:BC43"/>
    <mergeCell ref="BC44:BC45"/>
    <mergeCell ref="BC56:BC57"/>
    <mergeCell ref="BC58:BC59"/>
    <mergeCell ref="BC60:BC61"/>
    <mergeCell ref="BC62:BC63"/>
    <mergeCell ref="BC64:BC65"/>
    <mergeCell ref="BC66:BC67"/>
    <mergeCell ref="BC68:BC69"/>
    <mergeCell ref="BC70:BC71"/>
    <mergeCell ref="BC46:BC47"/>
    <mergeCell ref="BC48:BC49"/>
    <mergeCell ref="BC72:BC73"/>
    <mergeCell ref="BC74:BC75"/>
    <mergeCell ref="BC76:BC77"/>
    <mergeCell ref="BC78:BC79"/>
    <mergeCell ref="BC80:BC81"/>
    <mergeCell ref="BC82:BC83"/>
    <mergeCell ref="BC84:BC85"/>
    <mergeCell ref="BC86:BC87"/>
    <mergeCell ref="BC88:BC89"/>
    <mergeCell ref="BC90:BC91"/>
    <mergeCell ref="BC92:BC93"/>
    <mergeCell ref="BC94:BC95"/>
    <mergeCell ref="BC96:BC97"/>
    <mergeCell ref="BC98:BC99"/>
    <mergeCell ref="BC100:BC101"/>
    <mergeCell ref="BC102:BC103"/>
    <mergeCell ref="BC104:BC105"/>
    <mergeCell ref="BC106:BC107"/>
    <mergeCell ref="BC108:BC109"/>
    <mergeCell ref="BC110:BC111"/>
    <mergeCell ref="BC112:BC113"/>
    <mergeCell ref="BC114:BC115"/>
    <mergeCell ref="BC116:BC117"/>
    <mergeCell ref="BC118:BC119"/>
    <mergeCell ref="BC120:BC121"/>
    <mergeCell ref="BC122:BC123"/>
    <mergeCell ref="BC124:BC125"/>
    <mergeCell ref="BC126:BC127"/>
    <mergeCell ref="BC128:BC129"/>
    <mergeCell ref="BC130:BC131"/>
    <mergeCell ref="BC132:BC133"/>
    <mergeCell ref="BC134:BC135"/>
    <mergeCell ref="BC136:BC137"/>
    <mergeCell ref="BC138:BC139"/>
    <mergeCell ref="BC170:BC171"/>
    <mergeCell ref="BC172:BC173"/>
    <mergeCell ref="BC174:BC175"/>
    <mergeCell ref="BC140:BC141"/>
    <mergeCell ref="BC142:BC143"/>
    <mergeCell ref="BC144:BC145"/>
    <mergeCell ref="BC146:BC147"/>
    <mergeCell ref="BC148:BC149"/>
    <mergeCell ref="BC150:BC151"/>
    <mergeCell ref="BC152:BC153"/>
    <mergeCell ref="BC154:BC155"/>
    <mergeCell ref="BC156:BC157"/>
    <mergeCell ref="BC194:BC195"/>
    <mergeCell ref="BC196:BC197"/>
    <mergeCell ref="BC198:BC199"/>
    <mergeCell ref="AE14:AH14"/>
    <mergeCell ref="AE15:AF15"/>
    <mergeCell ref="AG15:AH15"/>
    <mergeCell ref="AE36:AH36"/>
    <mergeCell ref="AE37:AF37"/>
    <mergeCell ref="AG37:AH37"/>
    <mergeCell ref="BC176:BC177"/>
    <mergeCell ref="BC178:BC179"/>
    <mergeCell ref="BC180:BC181"/>
    <mergeCell ref="BC182:BC183"/>
    <mergeCell ref="BC184:BC185"/>
    <mergeCell ref="BC186:BC187"/>
    <mergeCell ref="BC188:BC189"/>
    <mergeCell ref="BC190:BC191"/>
    <mergeCell ref="BC192:BC193"/>
    <mergeCell ref="BC158:BC159"/>
    <mergeCell ref="BC160:BC161"/>
    <mergeCell ref="BC162:BC163"/>
    <mergeCell ref="BC164:BC165"/>
    <mergeCell ref="BC166:BC167"/>
    <mergeCell ref="BC168:BC169"/>
    <mergeCell ref="BE32:BE33"/>
    <mergeCell ref="BE34:BE35"/>
    <mergeCell ref="BE36:BE37"/>
    <mergeCell ref="BE38:BE39"/>
    <mergeCell ref="BE40:BE41"/>
    <mergeCell ref="BE42:BE43"/>
    <mergeCell ref="BE44:BE45"/>
    <mergeCell ref="BA54:BA55"/>
    <mergeCell ref="AF11:AI11"/>
    <mergeCell ref="AF12:AI13"/>
    <mergeCell ref="BA46:BA47"/>
    <mergeCell ref="BE14:BE15"/>
    <mergeCell ref="BE16:BE17"/>
    <mergeCell ref="BE18:BE19"/>
    <mergeCell ref="BE20:BE21"/>
    <mergeCell ref="BE22:BE23"/>
    <mergeCell ref="BE24:BE25"/>
    <mergeCell ref="BE26:BE27"/>
    <mergeCell ref="BE28:BE29"/>
    <mergeCell ref="BE30:BE31"/>
    <mergeCell ref="BC54:BC55"/>
    <mergeCell ref="AW40:AW41"/>
    <mergeCell ref="AW42:AW43"/>
    <mergeCell ref="AW44:AW45"/>
  </mergeCells>
  <conditionalFormatting sqref="AH2 AL2">
    <cfRule type="expression" dxfId="192" priority="3">
      <formula>PROJSTATUS=PROJSTATELI</formula>
    </cfRule>
    <cfRule type="expression" dxfId="191" priority="4">
      <formula>PROJSTATUS=PROJSTATREVIEW</formula>
    </cfRule>
    <cfRule type="expression" dxfId="190" priority="8">
      <formula>PROJSTATUS=PROJSTATPREAPPROVE</formula>
    </cfRule>
    <cfRule type="expression" dxfId="189" priority="9">
      <formula>PROJSTATUS=PROJSTATSTANDARD</formula>
    </cfRule>
    <cfRule type="expression" dxfId="188" priority="10">
      <formula>PROJSTATUS=PROJSTATEXP</formula>
    </cfRule>
  </conditionalFormatting>
  <conditionalFormatting sqref="AQ2:AR3">
    <cfRule type="cellIs" dxfId="187" priority="5" operator="equal">
      <formula>1</formula>
    </cfRule>
    <cfRule type="cellIs" dxfId="186" priority="6" operator="between">
      <formula>0.51</formula>
      <formula>0.99</formula>
    </cfRule>
    <cfRule type="cellIs" dxfId="185" priority="7" operator="lessThanOrEqual">
      <formula>0.5</formula>
    </cfRule>
  </conditionalFormatting>
  <dataValidations count="9">
    <dataValidation type="decimal" allowBlank="1" showInputMessage="1" showErrorMessage="1" error="Please enter a numerical value" sqref="AG56:AH95 AG48:AH53" xr:uid="{00000000-0002-0000-1700-000000000000}">
      <formula1>0</formula1>
      <formula2>999999</formula2>
    </dataValidation>
    <dataValidation type="list" allowBlank="1" showInputMessage="1" showErrorMessage="1" sqref="C16:M35 C56:M93 C48:M53" xr:uid="{00000000-0002-0000-1700-000001000000}">
      <formula1>PMEREFRIEFF1</formula1>
    </dataValidation>
    <dataValidation type="whole" allowBlank="1" showInputMessage="1" showErrorMessage="1" error="Please enter a numerical value" prompt="Reference the &quot;Unit of Measure&quot; column to ensure you enter the correct value based on unit type." sqref="V16:W35 V56:W95 V48:W53" xr:uid="{00000000-0002-0000-1700-000002000000}">
      <formula1>1</formula1>
      <formula2>99999</formula2>
    </dataValidation>
    <dataValidation type="decimal" allowBlank="1" showInputMessage="1" showErrorMessage="1" error="Please enter a numerical value" sqref="AE56:AF95 AE48:AF53" xr:uid="{00000000-0002-0000-1700-000003000000}">
      <formula1>0.01</formula1>
      <formula2>999999</formula2>
    </dataValidation>
    <dataValidation type="decimal" allowBlank="1" showInputMessage="1" showErrorMessage="1" prompt="Please enter the door width or average door width." sqref="X38:Y45" xr:uid="{B75DEF9C-3BDD-4B56-B58E-9CE205B128EC}">
      <formula1>0</formula1>
      <formula2>9999</formula2>
    </dataValidation>
    <dataValidation type="whole" allowBlank="1" showInputMessage="1" showErrorMessage="1" prompt="Please enter the number of doors." sqref="Z38:Z45" xr:uid="{82B4F7FD-A0DF-4F7A-BF54-BB47281A6E9C}">
      <formula1>0</formula1>
      <formula2>99999</formula2>
    </dataValidation>
    <dataValidation type="decimal" allowBlank="1" showInputMessage="1" showErrorMessage="1" error="Please enter a numerical value" prompt="This is the TOTAL Material Cost of the measure, NOT a per unit basis." sqref="AE16:AF35 AE38:AF45" xr:uid="{1761B777-C3EE-48B9-83EA-A90EFDA9403F}">
      <formula1>0.01</formula1>
      <formula2>999999</formula2>
    </dataValidation>
    <dataValidation type="decimal" allowBlank="1" showInputMessage="1" showErrorMessage="1" error="Please enter a numerical value" prompt="This is the TOTAL Labor Cost of the measure, NOT a per unit basis." sqref="AG16:AH35 AG38:AH45" xr:uid="{B86A4A60-F46C-4C4D-AA4E-80F5D5B28402}">
      <formula1>0</formula1>
      <formula2>999999</formula2>
    </dataValidation>
    <dataValidation type="whole" allowBlank="1" showInputMessage="1" showErrorMessage="1" error="Please enter a numerical value" prompt="Please enter the door height or average door height." sqref="V38:W45" xr:uid="{5E516760-74A8-45A9-A371-D5AE7147B058}">
      <formula1>1</formula1>
      <formula2>99999</formula2>
    </dataValidation>
  </dataValidations>
  <hyperlinks>
    <hyperlink ref="B202" r:id="rId1" xr:uid="{0D0BA277-449D-4149-87E2-CFDD084679A0}"/>
  </hyperlinks>
  <pageMargins left="0.25" right="0.25" top="0.25" bottom="0.25" header="0.25" footer="0.25"/>
  <pageSetup scale="56" fitToHeight="0"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1EADF68-8D37-446B-90C4-07E5D8E26E93}">
          <x14:formula1>
            <xm:f>PRESCRIPTIVE!$E$224:$E$226</xm:f>
          </x14:formula1>
          <xm:sqref>C38:M45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pageSetUpPr fitToPage="1"/>
  </sheetPr>
  <dimension ref="A1:BZ202"/>
  <sheetViews>
    <sheetView showGridLines="0" showRowColHeaders="0" zoomScale="85" zoomScaleNormal="85" workbookViewId="0">
      <selection activeCell="C16" sqref="C16:M17"/>
    </sheetView>
  </sheetViews>
  <sheetFormatPr defaultColWidth="0" defaultRowHeight="15" zeroHeight="1"/>
  <cols>
    <col min="1" max="45" width="4.7109375" customWidth="1"/>
    <col min="46" max="46" width="4.7109375" hidden="1" customWidth="1"/>
    <col min="47" max="78" width="9.140625" hidden="1" customWidth="1"/>
    <col min="79" max="16384" width="9.140625" hidden="1"/>
  </cols>
  <sheetData>
    <row r="1" spans="2:78" ht="15.95" customHeight="1">
      <c r="AH1" s="681" t="s">
        <v>471</v>
      </c>
      <c r="AI1" s="681"/>
      <c r="AJ1" s="681"/>
      <c r="AK1" s="681"/>
      <c r="AL1" s="682" t="s">
        <v>736</v>
      </c>
      <c r="AM1" s="682"/>
      <c r="AN1" s="682"/>
      <c r="AO1" s="682"/>
      <c r="AP1" s="682"/>
      <c r="AQ1" s="678" t="s">
        <v>474</v>
      </c>
      <c r="AR1" s="678"/>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row>
    <row r="2" spans="2:78" ht="15.95" customHeight="1">
      <c r="AH2" s="683" t="str">
        <f ca="1">INCENSTATUS</f>
        <v>---</v>
      </c>
      <c r="AI2" s="684"/>
      <c r="AJ2" s="684"/>
      <c r="AK2" s="684"/>
      <c r="AL2" s="685" t="str">
        <f ca="1">PROJSTATUS</f>
        <v>Enter Measures</v>
      </c>
      <c r="AM2" s="685"/>
      <c r="AN2" s="685"/>
      <c r="AO2" s="685"/>
      <c r="AP2" s="685"/>
      <c r="AQ2" s="679">
        <f ca="1">PROGRESSSTATUS</f>
        <v>2.8985507246376812E-2</v>
      </c>
      <c r="AR2" s="680"/>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2:78" ht="15.95" customHeight="1">
      <c r="AH3" s="675"/>
      <c r="AI3" s="676"/>
      <c r="AJ3" s="676"/>
      <c r="AK3" s="676"/>
      <c r="AL3" s="668"/>
      <c r="AM3" s="668"/>
      <c r="AN3" s="668"/>
      <c r="AO3" s="668"/>
      <c r="AP3" s="668"/>
      <c r="AQ3" s="662"/>
      <c r="AR3" s="663"/>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row>
    <row r="4" spans="2:78" ht="15.95" customHeight="1">
      <c r="AR4" s="171"/>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row>
    <row r="5" spans="2:78" ht="15.95" customHeight="1">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row>
    <row r="6" spans="2:78" ht="15.95" customHeight="1">
      <c r="AS6" s="59"/>
      <c r="AT6" s="59"/>
      <c r="AU6" s="59" t="s">
        <v>907</v>
      </c>
      <c r="AV6" s="59">
        <f>PROJID</f>
        <v>0</v>
      </c>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2:78" ht="15.95" customHeight="1">
      <c r="AS7" s="59"/>
      <c r="AT7" s="59"/>
      <c r="AU7" s="87"/>
      <c r="AV7" s="87" t="s">
        <v>866</v>
      </c>
      <c r="AW7" s="87" t="s">
        <v>231</v>
      </c>
      <c r="AX7" s="87" t="s">
        <v>892</v>
      </c>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row>
    <row r="8" spans="2:78" ht="15.95" customHeight="1">
      <c r="AS8" s="59"/>
      <c r="AT8" s="59"/>
      <c r="AU8" s="87" t="s">
        <v>219</v>
      </c>
      <c r="AV8" s="87" t="str">
        <f ca="1">CBPRESE</f>
        <v>NA</v>
      </c>
      <c r="AW8" s="87" t="str">
        <f ca="1">CBCUSE</f>
        <v>NA</v>
      </c>
      <c r="AX8" s="87" t="str">
        <f ca="1">CBALL</f>
        <v>NA</v>
      </c>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row>
    <row r="9" spans="2:78" ht="15.95" customHeight="1">
      <c r="B9" s="59"/>
      <c r="C9" s="59"/>
      <c r="D9" s="59"/>
      <c r="E9" s="59"/>
      <c r="F9" s="59"/>
      <c r="G9" s="59"/>
      <c r="H9" s="59"/>
      <c r="I9" s="59"/>
      <c r="J9" s="59"/>
      <c r="K9" s="59"/>
      <c r="L9" s="59"/>
      <c r="M9" s="59"/>
      <c r="N9" s="59"/>
      <c r="O9" s="59"/>
      <c r="P9" s="59"/>
      <c r="Q9" s="59"/>
      <c r="R9" s="730" t="str">
        <f>CONCATENATE(M3S5," ","Summary")</f>
        <v>Commercial Cooking (Elec/Gas) Summary</v>
      </c>
      <c r="S9" s="730"/>
      <c r="T9" s="730"/>
      <c r="U9" s="730"/>
      <c r="V9" s="730"/>
      <c r="W9" s="730"/>
      <c r="X9" s="730"/>
      <c r="Y9" s="730"/>
      <c r="Z9" s="730"/>
      <c r="AA9" s="730"/>
      <c r="AB9" s="730"/>
      <c r="AC9" s="730"/>
      <c r="AD9" s="59"/>
      <c r="AE9" s="59"/>
      <c r="AF9" s="59"/>
      <c r="AG9" s="59"/>
      <c r="AH9" s="59"/>
      <c r="AI9" s="59"/>
      <c r="AJ9" s="59"/>
      <c r="AK9" s="59"/>
      <c r="AL9" s="59"/>
      <c r="AM9" s="59"/>
      <c r="AN9" s="59"/>
      <c r="AO9" s="59"/>
      <c r="AP9" s="59"/>
      <c r="AQ9" s="59"/>
      <c r="AR9" s="59"/>
      <c r="AS9" s="59"/>
      <c r="AT9" s="59"/>
      <c r="AU9" s="87"/>
      <c r="AV9" s="87"/>
      <c r="AW9" s="87"/>
      <c r="AX9" s="87"/>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row>
    <row r="10" spans="2:78" ht="15.95" customHeight="1">
      <c r="B10" s="59"/>
      <c r="C10" s="59"/>
      <c r="D10" s="59"/>
      <c r="E10" s="59"/>
      <c r="F10" s="59"/>
      <c r="G10" s="59"/>
      <c r="H10" s="59"/>
      <c r="I10" s="59"/>
      <c r="J10" s="59"/>
      <c r="K10" s="59"/>
      <c r="L10" s="59"/>
      <c r="M10" s="59"/>
      <c r="N10" s="59"/>
      <c r="O10" s="59"/>
      <c r="P10" s="59"/>
      <c r="Q10" s="59"/>
      <c r="R10" s="730"/>
      <c r="S10" s="730"/>
      <c r="T10" s="730"/>
      <c r="U10" s="730"/>
      <c r="V10" s="730"/>
      <c r="W10" s="730"/>
      <c r="X10" s="730"/>
      <c r="Y10" s="730"/>
      <c r="Z10" s="730"/>
      <c r="AA10" s="730"/>
      <c r="AB10" s="730"/>
      <c r="AC10" s="730"/>
      <c r="AD10" s="59"/>
      <c r="AE10" s="59"/>
      <c r="AF10" s="59"/>
      <c r="AG10" s="59"/>
      <c r="AH10" s="59"/>
      <c r="AI10" s="59"/>
      <c r="AJ10" s="59"/>
      <c r="AK10" s="59"/>
      <c r="AL10" s="59"/>
      <c r="AM10" s="59"/>
      <c r="AN10" s="59"/>
      <c r="AO10" s="59"/>
      <c r="AP10" s="59"/>
      <c r="AQ10" s="59"/>
      <c r="AR10" s="59"/>
      <c r="AS10" s="59"/>
      <c r="AT10" s="59"/>
      <c r="AU10" s="87" t="s">
        <v>581</v>
      </c>
      <c r="AV10" s="87" t="str">
        <f ca="1">PAYPRESE</f>
        <v>NA</v>
      </c>
      <c r="AW10" s="87" t="str">
        <f ca="1">PAYCUSE</f>
        <v>NA</v>
      </c>
      <c r="AX10" s="367" t="str">
        <f ca="1">PAYALL</f>
        <v>NA</v>
      </c>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row>
    <row r="11" spans="2:78" ht="15.95" customHeight="1">
      <c r="B11" s="59"/>
      <c r="C11" s="59"/>
      <c r="D11" s="59"/>
      <c r="E11" s="59"/>
      <c r="F11" s="1012" t="s">
        <v>2395</v>
      </c>
      <c r="G11" s="1012"/>
      <c r="H11" s="1012"/>
      <c r="I11" s="1012"/>
      <c r="J11" s="1012"/>
      <c r="K11" s="1012"/>
      <c r="L11" s="1012"/>
      <c r="M11" s="1012"/>
      <c r="N11" s="1012"/>
      <c r="O11" s="1012"/>
      <c r="P11" s="1012"/>
      <c r="Q11" s="59"/>
      <c r="R11" s="831" t="s">
        <v>68</v>
      </c>
      <c r="S11" s="831"/>
      <c r="T11" s="831"/>
      <c r="U11" s="831"/>
      <c r="V11" s="831" t="s">
        <v>69</v>
      </c>
      <c r="W11" s="831"/>
      <c r="X11" s="831"/>
      <c r="Y11" s="831"/>
      <c r="Z11" s="831" t="s">
        <v>70</v>
      </c>
      <c r="AA11" s="831"/>
      <c r="AB11" s="831"/>
      <c r="AC11" s="831"/>
      <c r="AD11" s="59"/>
      <c r="AE11" s="831" t="s">
        <v>198</v>
      </c>
      <c r="AF11" s="831"/>
      <c r="AG11" s="831"/>
      <c r="AH11" s="831"/>
      <c r="AJ11" s="896" t="s">
        <v>2111</v>
      </c>
      <c r="AK11" s="896"/>
      <c r="AL11" s="896"/>
      <c r="AM11" s="896"/>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row>
    <row r="12" spans="2:78" ht="15.95" customHeight="1">
      <c r="B12" s="59"/>
      <c r="C12" s="59"/>
      <c r="D12" s="59"/>
      <c r="E12" s="59"/>
      <c r="F12" s="1012"/>
      <c r="G12" s="1012"/>
      <c r="H12" s="1012"/>
      <c r="I12" s="1012"/>
      <c r="J12" s="1012"/>
      <c r="K12" s="1012"/>
      <c r="L12" s="1012"/>
      <c r="M12" s="1012"/>
      <c r="N12" s="1012"/>
      <c r="O12" s="1012"/>
      <c r="P12" s="1012"/>
      <c r="Q12" s="59"/>
      <c r="R12" s="875">
        <f>SUM(AN16:AQ35)+SUM(AN40:AQ61)</f>
        <v>0</v>
      </c>
      <c r="S12" s="875"/>
      <c r="T12" s="875"/>
      <c r="U12" s="875"/>
      <c r="V12" s="875">
        <f>AU200+AX200</f>
        <v>0</v>
      </c>
      <c r="W12" s="875"/>
      <c r="X12" s="875"/>
      <c r="Y12" s="875"/>
      <c r="Z12" s="876">
        <f ca="1">SUMIF(AN16:AQ35,"&gt;0",AK16:AM35)</f>
        <v>0</v>
      </c>
      <c r="AA12" s="876"/>
      <c r="AB12" s="876"/>
      <c r="AC12" s="876"/>
      <c r="AD12" s="59"/>
      <c r="AE12" s="997">
        <f ca="1">SUMIF(AN40:AQ61,"&gt;0",AK40:AM61)</f>
        <v>0</v>
      </c>
      <c r="AF12" s="997"/>
      <c r="AG12" s="997"/>
      <c r="AH12" s="997"/>
      <c r="AJ12" s="875">
        <f ca="1">IFERROR(IF(AN62="",0,AN62),0)</f>
        <v>0</v>
      </c>
      <c r="AK12" s="875"/>
      <c r="AL12" s="875"/>
      <c r="AM12" s="875"/>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row>
    <row r="13" spans="2:78" ht="15.95" customHeight="1">
      <c r="B13" s="59"/>
      <c r="C13" s="59"/>
      <c r="D13" s="59"/>
      <c r="E13" s="59"/>
      <c r="F13" s="59"/>
      <c r="G13" s="59"/>
      <c r="H13" s="59"/>
      <c r="I13" s="59"/>
      <c r="J13" s="59"/>
      <c r="K13" s="59"/>
      <c r="L13" s="59"/>
      <c r="M13" s="59"/>
      <c r="N13" s="59"/>
      <c r="O13" s="59"/>
      <c r="P13" s="59"/>
      <c r="Q13" s="59"/>
      <c r="R13" s="875"/>
      <c r="S13" s="875"/>
      <c r="T13" s="875"/>
      <c r="U13" s="875"/>
      <c r="V13" s="875"/>
      <c r="W13" s="875"/>
      <c r="X13" s="875"/>
      <c r="Y13" s="875"/>
      <c r="Z13" s="876"/>
      <c r="AA13" s="876"/>
      <c r="AB13" s="876"/>
      <c r="AC13" s="876"/>
      <c r="AD13" s="59"/>
      <c r="AE13" s="997"/>
      <c r="AF13" s="997"/>
      <c r="AG13" s="997"/>
      <c r="AH13" s="997"/>
      <c r="AJ13" s="875"/>
      <c r="AK13" s="875"/>
      <c r="AL13" s="875"/>
      <c r="AM13" s="875"/>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row>
    <row r="14" spans="2:78" ht="15.95" customHeight="1">
      <c r="B14" s="59"/>
      <c r="C14" s="804" t="s">
        <v>99</v>
      </c>
      <c r="D14" s="804"/>
      <c r="E14" s="804"/>
      <c r="F14" s="804"/>
      <c r="G14" s="804"/>
      <c r="H14" s="804"/>
      <c r="I14" s="804"/>
      <c r="J14" s="804"/>
      <c r="K14" s="804"/>
      <c r="L14" s="804"/>
      <c r="M14" s="804"/>
      <c r="N14" s="804" t="s">
        <v>103</v>
      </c>
      <c r="O14" s="804"/>
      <c r="P14" s="804"/>
      <c r="Q14" s="804"/>
      <c r="R14" s="804"/>
      <c r="S14" s="804"/>
      <c r="T14" s="804" t="s">
        <v>100</v>
      </c>
      <c r="U14" s="804"/>
      <c r="V14" s="804" t="s">
        <v>91</v>
      </c>
      <c r="W14" s="804"/>
      <c r="X14" s="804" t="s">
        <v>115</v>
      </c>
      <c r="Y14" s="804"/>
      <c r="Z14" s="804"/>
      <c r="AA14" s="804"/>
      <c r="AB14" s="804" t="s">
        <v>104</v>
      </c>
      <c r="AC14" s="804"/>
      <c r="AD14" s="804"/>
      <c r="AE14" s="804" t="s">
        <v>97</v>
      </c>
      <c r="AF14" s="804"/>
      <c r="AG14" s="804" t="s">
        <v>98</v>
      </c>
      <c r="AH14" s="804"/>
      <c r="AI14" s="804" t="s">
        <v>93</v>
      </c>
      <c r="AJ14" s="804"/>
      <c r="AK14" s="804" t="s">
        <v>92</v>
      </c>
      <c r="AL14" s="804"/>
      <c r="AM14" s="804"/>
      <c r="AN14" s="804" t="s">
        <v>108</v>
      </c>
      <c r="AO14" s="804"/>
      <c r="AP14" s="804"/>
      <c r="AQ14" s="804"/>
      <c r="AR14" s="59"/>
      <c r="AS14" s="59"/>
      <c r="AT14" s="59"/>
      <c r="AU14" s="804" t="s">
        <v>196</v>
      </c>
      <c r="AV14" s="804" t="s">
        <v>197</v>
      </c>
      <c r="AW14" s="804" t="s">
        <v>1928</v>
      </c>
      <c r="AX14" s="59"/>
      <c r="AY14" s="59"/>
      <c r="AZ14" s="59"/>
      <c r="BA14" s="59"/>
      <c r="BB14" s="59"/>
      <c r="BC14" s="804" t="s">
        <v>489</v>
      </c>
      <c r="BD14" s="59"/>
      <c r="BE14" s="804" t="s">
        <v>2025</v>
      </c>
      <c r="BF14" s="59"/>
      <c r="BG14" s="59"/>
      <c r="BH14" s="59"/>
      <c r="BI14" s="59"/>
      <c r="BJ14" s="59"/>
      <c r="BK14" s="59"/>
      <c r="BL14" s="59"/>
      <c r="BM14" s="59"/>
      <c r="BN14" s="59"/>
      <c r="BO14" s="59"/>
      <c r="BP14" s="59"/>
      <c r="BQ14" s="59"/>
      <c r="BR14" s="59"/>
      <c r="BS14" s="59"/>
      <c r="BT14" s="59"/>
      <c r="BU14" s="59"/>
      <c r="BV14" s="59"/>
      <c r="BW14" s="59"/>
      <c r="BX14" s="59"/>
      <c r="BY14" s="59"/>
      <c r="BZ14" s="59"/>
    </row>
    <row r="15" spans="2:78" ht="15.95" customHeight="1" thickBot="1">
      <c r="B15" s="59"/>
      <c r="C15" s="805"/>
      <c r="D15" s="805"/>
      <c r="E15" s="805"/>
      <c r="F15" s="805"/>
      <c r="G15" s="805"/>
      <c r="H15" s="805"/>
      <c r="I15" s="805"/>
      <c r="J15" s="805"/>
      <c r="K15" s="805"/>
      <c r="L15" s="805"/>
      <c r="M15" s="805"/>
      <c r="N15" s="805"/>
      <c r="O15" s="805"/>
      <c r="P15" s="805"/>
      <c r="Q15" s="805"/>
      <c r="R15" s="805"/>
      <c r="S15" s="805"/>
      <c r="T15" s="805"/>
      <c r="U15" s="805"/>
      <c r="V15" s="805"/>
      <c r="W15" s="805"/>
      <c r="X15" s="805"/>
      <c r="Y15" s="805"/>
      <c r="Z15" s="805"/>
      <c r="AA15" s="805"/>
      <c r="AB15" s="805"/>
      <c r="AC15" s="805"/>
      <c r="AD15" s="805"/>
      <c r="AE15" s="805"/>
      <c r="AF15" s="805"/>
      <c r="AG15" s="805"/>
      <c r="AH15" s="805"/>
      <c r="AI15" s="805"/>
      <c r="AJ15" s="805"/>
      <c r="AK15" s="805"/>
      <c r="AL15" s="805"/>
      <c r="AM15" s="805"/>
      <c r="AN15" s="805"/>
      <c r="AO15" s="805"/>
      <c r="AP15" s="805"/>
      <c r="AQ15" s="805"/>
      <c r="AR15" s="59"/>
      <c r="AS15" s="59"/>
      <c r="AT15" s="59"/>
      <c r="AU15" s="805"/>
      <c r="AV15" s="805"/>
      <c r="AW15" s="805"/>
      <c r="AX15" s="59"/>
      <c r="AY15" s="59"/>
      <c r="AZ15" s="59"/>
      <c r="BA15" s="59"/>
      <c r="BB15" s="59"/>
      <c r="BC15" s="805"/>
      <c r="BD15" s="59"/>
      <c r="BE15" s="805"/>
      <c r="BF15" s="59"/>
      <c r="BG15" s="59"/>
      <c r="BH15" s="59"/>
      <c r="BI15" s="59"/>
      <c r="BJ15" s="59"/>
      <c r="BK15" s="59"/>
      <c r="BL15" s="59"/>
      <c r="BM15" s="59"/>
      <c r="BN15" s="59"/>
      <c r="BO15" s="59"/>
      <c r="BP15" s="59"/>
      <c r="BQ15" s="59"/>
      <c r="BR15" s="59"/>
      <c r="BS15" s="59"/>
      <c r="BT15" s="59"/>
      <c r="BU15" s="59"/>
      <c r="BV15" s="59"/>
      <c r="BW15" s="59"/>
      <c r="BX15" s="59"/>
      <c r="BY15" s="59"/>
      <c r="BZ15" s="59"/>
    </row>
    <row r="16" spans="2:78" ht="15.95" customHeight="1">
      <c r="B16" s="830">
        <v>1</v>
      </c>
      <c r="C16" s="832"/>
      <c r="D16" s="833"/>
      <c r="E16" s="833"/>
      <c r="F16" s="833"/>
      <c r="G16" s="833"/>
      <c r="H16" s="833"/>
      <c r="I16" s="833"/>
      <c r="J16" s="833"/>
      <c r="K16" s="833"/>
      <c r="L16" s="833"/>
      <c r="M16" s="834"/>
      <c r="N16" s="908" t="str">
        <f>IFERROR(IF(C16="","",INDEX(PMEKITCHEN[Base Desc 1],MATCH(C16,PMEKITCHEN[Eff Desc 1],0))),"")</f>
        <v/>
      </c>
      <c r="O16" s="909"/>
      <c r="P16" s="909"/>
      <c r="Q16" s="909"/>
      <c r="R16" s="909"/>
      <c r="S16" s="910"/>
      <c r="T16" s="1004" t="str">
        <f>IFERROR(IF(C16="","",INDEX(PMEKITCHEN[Unit of Measure],MATCH(C16,PMEKITCHEN[Eff Desc 1],0))),"")</f>
        <v/>
      </c>
      <c r="U16" s="1005"/>
      <c r="V16" s="846"/>
      <c r="W16" s="847"/>
      <c r="X16" s="832"/>
      <c r="Y16" s="833"/>
      <c r="Z16" s="833"/>
      <c r="AA16" s="834"/>
      <c r="AB16" s="832"/>
      <c r="AC16" s="833"/>
      <c r="AD16" s="834"/>
      <c r="AE16" s="858"/>
      <c r="AF16" s="869"/>
      <c r="AG16" s="858"/>
      <c r="AH16" s="869"/>
      <c r="AI16" s="917" t="str">
        <f>IFERROR(IF(C16="","",INDEX(PMEKITCHEN[Inc Rate Unit],MATCH(C16,PMEKITCHEN[Eff Desc 1],0))),"")</f>
        <v/>
      </c>
      <c r="AJ16" s="918"/>
      <c r="AK16" s="904" t="str">
        <f>IF(OR(C16="",V16="",X16="",AB16="",AE16="",AG16=""),"",ROUND(V16*INDEX(PMEKITCHEN[Savings per Unit kWh],MATCH(C16,PMEKITCHEN[Eff Desc 1],2)),0))</f>
        <v/>
      </c>
      <c r="AL16" s="905"/>
      <c r="AM16" s="905"/>
      <c r="AN16" s="815" t="str">
        <f>IF(OR(C16="",V16="",X16="",AB16="",AE16="",AG16=""),"",IF(BC16&lt;&gt;"",BC16,MIN(AU16,ROUND(V16*AI16,2))))</f>
        <v/>
      </c>
      <c r="AO16" s="816"/>
      <c r="AP16" s="816"/>
      <c r="AQ16" s="817"/>
      <c r="AR16" s="59"/>
      <c r="AS16" s="59"/>
      <c r="AT16" s="59"/>
      <c r="AU16" s="808" t="str">
        <f>IF(OR(,V16="",X16="",AB16="",AE16="",AG16=""),"",ROUND((AE16+AG16)*V16,2))</f>
        <v/>
      </c>
      <c r="AV16" s="922" t="str">
        <f>IF(OR(C16="",V16="",X16="",AB16="",AE16="",AG16=""),"",ROUND((V16*INDEX(PMEKITCHEN[Savings per Unit kW],MATCH(C16,PMEKITCHEN[Eff Desc 1],0)))*INDEX(ENDUSEALL[Lighting Coincidence Factor],MATCH("Commercial Cooking",ENDUSEALL[End Use],0)),3))</f>
        <v/>
      </c>
      <c r="AW16" s="1013"/>
      <c r="AX16" s="59"/>
      <c r="AY16" s="59"/>
      <c r="AZ16" s="59"/>
      <c r="BA16" s="59"/>
      <c r="BB16" s="59"/>
      <c r="BC16" s="825" t="str">
        <f>IF(OR(N16="",T16="",C16="",V16="",X16="",AB16="",AE16="",AG16=""),"",IF(OR(ISBLANK(M02S02F26),ISBLANK(M02S02F32),ISBLANK(M02S02F46)),MEASUREBLDG,""))</f>
        <v/>
      </c>
      <c r="BD16" s="59"/>
      <c r="BE16" s="806" t="str">
        <f ca="1">IF(OR(T16="",N16="",C16="",V16="",X16="",AB16="",AE16="",AG16=""),"",IF('M01-S01'!$V$82&lt;TODAY(),0,IF(M02S02F46="Gas Only",0,IF(OR(AK16="",AK16&lt;0,AU16&lt;=AN16),0,MIN(AU16-AN16,ROUND(AN16*0.2,2))))))</f>
        <v/>
      </c>
      <c r="BF16" s="806"/>
      <c r="BG16" s="59"/>
      <c r="BH16" s="59"/>
      <c r="BI16" s="59"/>
      <c r="BJ16" s="59"/>
      <c r="BK16" s="59"/>
      <c r="BL16" s="59"/>
      <c r="BM16" s="59"/>
      <c r="BN16" s="59"/>
      <c r="BO16" s="59"/>
      <c r="BP16" s="59"/>
      <c r="BQ16" s="59"/>
      <c r="BR16" s="59"/>
      <c r="BS16" s="59"/>
      <c r="BT16" s="59"/>
      <c r="BU16" s="59"/>
      <c r="BV16" s="59"/>
      <c r="BW16" s="59"/>
      <c r="BX16" s="59"/>
      <c r="BY16" s="59"/>
      <c r="BZ16" s="59"/>
    </row>
    <row r="17" spans="2:78" ht="15.95" customHeight="1">
      <c r="B17" s="830"/>
      <c r="C17" s="835"/>
      <c r="D17" s="836"/>
      <c r="E17" s="836"/>
      <c r="F17" s="836"/>
      <c r="G17" s="836"/>
      <c r="H17" s="836"/>
      <c r="I17" s="836"/>
      <c r="J17" s="836"/>
      <c r="K17" s="836"/>
      <c r="L17" s="836"/>
      <c r="M17" s="837"/>
      <c r="N17" s="911"/>
      <c r="O17" s="912"/>
      <c r="P17" s="912"/>
      <c r="Q17" s="912"/>
      <c r="R17" s="912"/>
      <c r="S17" s="913"/>
      <c r="T17" s="1006"/>
      <c r="U17" s="1007"/>
      <c r="V17" s="848"/>
      <c r="W17" s="849"/>
      <c r="X17" s="835"/>
      <c r="Y17" s="836"/>
      <c r="Z17" s="836"/>
      <c r="AA17" s="837"/>
      <c r="AB17" s="835"/>
      <c r="AC17" s="836"/>
      <c r="AD17" s="837"/>
      <c r="AE17" s="860"/>
      <c r="AF17" s="870"/>
      <c r="AG17" s="860"/>
      <c r="AH17" s="870"/>
      <c r="AI17" s="919"/>
      <c r="AJ17" s="865"/>
      <c r="AK17" s="906"/>
      <c r="AL17" s="907"/>
      <c r="AM17" s="907"/>
      <c r="AN17" s="818"/>
      <c r="AO17" s="819"/>
      <c r="AP17" s="819"/>
      <c r="AQ17" s="820"/>
      <c r="AR17" s="59"/>
      <c r="AS17" s="59"/>
      <c r="AT17" s="59"/>
      <c r="AU17" s="809"/>
      <c r="AV17" s="901"/>
      <c r="AW17" s="975"/>
      <c r="AX17" s="59"/>
      <c r="AY17" s="59"/>
      <c r="AZ17" s="59"/>
      <c r="BA17" s="59"/>
      <c r="BB17" s="59"/>
      <c r="BC17" s="826"/>
      <c r="BD17" s="59"/>
      <c r="BE17" s="807"/>
      <c r="BF17" s="807"/>
      <c r="BG17" s="59"/>
      <c r="BH17" s="59"/>
      <c r="BI17" s="59"/>
      <c r="BJ17" s="59"/>
      <c r="BK17" s="59"/>
      <c r="BL17" s="59"/>
      <c r="BM17" s="59"/>
      <c r="BN17" s="59"/>
      <c r="BO17" s="59"/>
      <c r="BP17" s="59"/>
      <c r="BQ17" s="59"/>
      <c r="BR17" s="59"/>
      <c r="BS17" s="59"/>
      <c r="BT17" s="59"/>
      <c r="BU17" s="59"/>
      <c r="BV17" s="59"/>
      <c r="BW17" s="59"/>
      <c r="BX17" s="59"/>
      <c r="BY17" s="59"/>
      <c r="BZ17" s="59"/>
    </row>
    <row r="18" spans="2:78" ht="15.95" customHeight="1">
      <c r="B18" s="829">
        <v>2</v>
      </c>
      <c r="C18" s="832"/>
      <c r="D18" s="833"/>
      <c r="E18" s="833"/>
      <c r="F18" s="833"/>
      <c r="G18" s="833"/>
      <c r="H18" s="833"/>
      <c r="I18" s="833"/>
      <c r="J18" s="833"/>
      <c r="K18" s="833"/>
      <c r="L18" s="833"/>
      <c r="M18" s="834"/>
      <c r="N18" s="908" t="str">
        <f>IFERROR(IF(C18="","",INDEX(PMEKITCHEN[Base Desc 1],MATCH(C18,PMEKITCHEN[Eff Desc 1],0))),"")</f>
        <v/>
      </c>
      <c r="O18" s="909"/>
      <c r="P18" s="909"/>
      <c r="Q18" s="909"/>
      <c r="R18" s="909"/>
      <c r="S18" s="910"/>
      <c r="T18" s="1004" t="str">
        <f>IFERROR(IF(C18="","",INDEX(PMEKITCHEN[Unit of Measure],MATCH(C18,PMEKITCHEN[Eff Desc 1],0))),"")</f>
        <v/>
      </c>
      <c r="U18" s="1005"/>
      <c r="V18" s="846"/>
      <c r="W18" s="847"/>
      <c r="X18" s="832"/>
      <c r="Y18" s="833"/>
      <c r="Z18" s="833"/>
      <c r="AA18" s="834"/>
      <c r="AB18" s="832"/>
      <c r="AC18" s="833"/>
      <c r="AD18" s="834"/>
      <c r="AE18" s="858"/>
      <c r="AF18" s="869"/>
      <c r="AG18" s="858"/>
      <c r="AH18" s="869"/>
      <c r="AI18" s="917" t="str">
        <f>IFERROR(IF(C18="","",INDEX(PMEKITCHEN[Inc Rate Unit],MATCH(C18,PMEKITCHEN[Eff Desc 1],0))),"")</f>
        <v/>
      </c>
      <c r="AJ18" s="918"/>
      <c r="AK18" s="904" t="str">
        <f>IF(OR(C18="",V18="",X18="",AB18="",AE18="",AG18=""),"",ROUND(V18*INDEX(PMEKITCHEN[Savings per Unit kWh],MATCH(C18,PMEKITCHEN[Eff Desc 1],2)),0))</f>
        <v/>
      </c>
      <c r="AL18" s="905"/>
      <c r="AM18" s="969"/>
      <c r="AN18" s="815" t="str">
        <f>IF(OR(C18="",V18="",X18="",AB18="",AE18="",AG18=""),"",IF(BC18&lt;&gt;"",BC18,MIN(AU18,ROUND(V18*AI18,2))))</f>
        <v/>
      </c>
      <c r="AO18" s="816"/>
      <c r="AP18" s="816"/>
      <c r="AQ18" s="817"/>
      <c r="AR18" s="59"/>
      <c r="AS18" s="59"/>
      <c r="AT18" s="59"/>
      <c r="AU18" s="808" t="str">
        <f>IF(OR(,V18="",X18="",AB18="",AE18="",AG18=""),"",ROUND((AE18+AG18)*V18,2))</f>
        <v/>
      </c>
      <c r="AV18" s="922" t="str">
        <f>IF(OR(C18="",V18="",X18="",AB18="",AE18="",AG18=""),"",ROUND((V18*INDEX(PMEKITCHEN[Savings per Unit kW],MATCH(C18,PMEKITCHEN[Eff Desc 1],0)))*INDEX(ENDUSEALL[Lighting Coincidence Factor],MATCH("Commercial Cooking",ENDUSEALL[End Use],0)),3))</f>
        <v/>
      </c>
      <c r="AW18" s="974"/>
      <c r="AX18" s="59"/>
      <c r="AY18" s="59"/>
      <c r="AZ18" s="59"/>
      <c r="BA18" s="59"/>
      <c r="BB18" s="59"/>
      <c r="BC18" s="825" t="str">
        <f>IF(OR(N18="",T18="",C18="",V18="",X18="",AB18="",AE18="",AG18=""),"",IF(OR(ISBLANK(M02S02F26),ISBLANK(M02S02F32),ISBLANK(M02S02F46)),MEASUREBLDG,""))</f>
        <v/>
      </c>
      <c r="BD18" s="59"/>
      <c r="BE18" s="806" t="str">
        <f ca="1">IF(OR(T18="",N18="",C18="",V18="",X18="",AB18="",AE18="",AG18=""),"",IF('M01-S01'!$V$82&lt;TODAY(),0,IF(M02S02F46="Gas Only",0,IF(OR(AK18="",AK18&lt;0,AU18&lt;=AN18),0,MIN(AU18-AN18,ROUND(AN18*0.2,2))))))</f>
        <v/>
      </c>
      <c r="BF18" s="806"/>
      <c r="BG18" s="59"/>
      <c r="BH18" s="59"/>
      <c r="BI18" s="59"/>
      <c r="BJ18" s="59"/>
      <c r="BK18" s="59"/>
      <c r="BL18" s="59"/>
      <c r="BM18" s="59"/>
      <c r="BN18" s="59"/>
      <c r="BO18" s="59"/>
      <c r="BP18" s="59"/>
      <c r="BQ18" s="59"/>
      <c r="BR18" s="59"/>
      <c r="BS18" s="59"/>
      <c r="BT18" s="59"/>
      <c r="BU18" s="59"/>
      <c r="BV18" s="59"/>
      <c r="BW18" s="59"/>
      <c r="BX18" s="59"/>
      <c r="BY18" s="59"/>
      <c r="BZ18" s="59"/>
    </row>
    <row r="19" spans="2:78" ht="15.95" customHeight="1">
      <c r="B19" s="829"/>
      <c r="C19" s="835"/>
      <c r="D19" s="836"/>
      <c r="E19" s="836"/>
      <c r="F19" s="836"/>
      <c r="G19" s="836"/>
      <c r="H19" s="836"/>
      <c r="I19" s="836"/>
      <c r="J19" s="836"/>
      <c r="K19" s="836"/>
      <c r="L19" s="836"/>
      <c r="M19" s="837"/>
      <c r="N19" s="911"/>
      <c r="O19" s="912"/>
      <c r="P19" s="912"/>
      <c r="Q19" s="912"/>
      <c r="R19" s="912"/>
      <c r="S19" s="913"/>
      <c r="T19" s="1006"/>
      <c r="U19" s="1007"/>
      <c r="V19" s="848"/>
      <c r="W19" s="849"/>
      <c r="X19" s="835"/>
      <c r="Y19" s="836"/>
      <c r="Z19" s="836"/>
      <c r="AA19" s="837"/>
      <c r="AB19" s="835"/>
      <c r="AC19" s="836"/>
      <c r="AD19" s="837"/>
      <c r="AE19" s="860"/>
      <c r="AF19" s="870"/>
      <c r="AG19" s="860"/>
      <c r="AH19" s="870"/>
      <c r="AI19" s="919"/>
      <c r="AJ19" s="865"/>
      <c r="AK19" s="906"/>
      <c r="AL19" s="907"/>
      <c r="AM19" s="936"/>
      <c r="AN19" s="818"/>
      <c r="AO19" s="819"/>
      <c r="AP19" s="819"/>
      <c r="AQ19" s="820"/>
      <c r="AR19" s="59"/>
      <c r="AS19" s="59"/>
      <c r="AT19" s="59"/>
      <c r="AU19" s="809"/>
      <c r="AV19" s="901"/>
      <c r="AW19" s="975"/>
      <c r="AX19" s="59"/>
      <c r="AY19" s="59"/>
      <c r="AZ19" s="59"/>
      <c r="BA19" s="59"/>
      <c r="BB19" s="59"/>
      <c r="BC19" s="826"/>
      <c r="BD19" s="59"/>
      <c r="BE19" s="807"/>
      <c r="BF19" s="807"/>
      <c r="BG19" s="59"/>
      <c r="BH19" s="59"/>
      <c r="BI19" s="59"/>
      <c r="BJ19" s="59"/>
      <c r="BK19" s="59"/>
      <c r="BL19" s="59"/>
      <c r="BM19" s="59"/>
      <c r="BN19" s="59"/>
      <c r="BO19" s="59"/>
      <c r="BP19" s="59"/>
      <c r="BQ19" s="59"/>
      <c r="BR19" s="59"/>
      <c r="BS19" s="59"/>
      <c r="BT19" s="59"/>
      <c r="BU19" s="59"/>
      <c r="BV19" s="59"/>
      <c r="BW19" s="59"/>
      <c r="BX19" s="59"/>
      <c r="BY19" s="59"/>
      <c r="BZ19" s="59"/>
    </row>
    <row r="20" spans="2:78" ht="15.95" customHeight="1">
      <c r="B20" s="829">
        <v>3</v>
      </c>
      <c r="C20" s="832"/>
      <c r="D20" s="833"/>
      <c r="E20" s="833"/>
      <c r="F20" s="833"/>
      <c r="G20" s="833"/>
      <c r="H20" s="833"/>
      <c r="I20" s="833"/>
      <c r="J20" s="833"/>
      <c r="K20" s="833"/>
      <c r="L20" s="833"/>
      <c r="M20" s="834"/>
      <c r="N20" s="908" t="str">
        <f>IFERROR(IF(C20="","",INDEX(PMEKITCHEN[Base Desc 1],MATCH(C20,PMEKITCHEN[Eff Desc 1],0))),"")</f>
        <v/>
      </c>
      <c r="O20" s="909"/>
      <c r="P20" s="909"/>
      <c r="Q20" s="909"/>
      <c r="R20" s="909"/>
      <c r="S20" s="910"/>
      <c r="T20" s="1004" t="str">
        <f>IFERROR(IF(C20="","",INDEX(PMEKITCHEN[Unit of Measure],MATCH(C20,PMEKITCHEN[Eff Desc 1],0))),"")</f>
        <v/>
      </c>
      <c r="U20" s="1005"/>
      <c r="V20" s="846"/>
      <c r="W20" s="847"/>
      <c r="X20" s="832"/>
      <c r="Y20" s="833"/>
      <c r="Z20" s="833"/>
      <c r="AA20" s="834"/>
      <c r="AB20" s="832"/>
      <c r="AC20" s="833"/>
      <c r="AD20" s="834"/>
      <c r="AE20" s="858"/>
      <c r="AF20" s="869"/>
      <c r="AG20" s="858"/>
      <c r="AH20" s="869"/>
      <c r="AI20" s="917" t="str">
        <f>IFERROR(IF(C20="","",INDEX(PMEKITCHEN[Inc Rate Unit],MATCH(C20,PMEKITCHEN[Eff Desc 1],0))),"")</f>
        <v/>
      </c>
      <c r="AJ20" s="918"/>
      <c r="AK20" s="904" t="str">
        <f>IF(OR(C20="",V20="",X20="",AB20="",AE20="",AG20=""),"",ROUND(V20*INDEX(PMEKITCHEN[Savings per Unit kWh],MATCH(C20,PMEKITCHEN[Eff Desc 1],2)),0))</f>
        <v/>
      </c>
      <c r="AL20" s="905"/>
      <c r="AM20" s="969"/>
      <c r="AN20" s="815" t="str">
        <f t="shared" ref="AN20" si="0">IF(OR(C20="",V20="",X20="",AB20="",AE20="",AG20=""),"",IF(BC20&lt;&gt;"",BC20,MIN(AU20,ROUND(V20*AI20,2))))</f>
        <v/>
      </c>
      <c r="AO20" s="816"/>
      <c r="AP20" s="816"/>
      <c r="AQ20" s="817"/>
      <c r="AR20" s="59"/>
      <c r="AS20" s="59"/>
      <c r="AT20" s="59"/>
      <c r="AU20" s="808" t="str">
        <f>IF(OR(,V20="",X20="",AB20="",AE20="",AG20=""),"",ROUND((AE20+AG20)*V20,2))</f>
        <v/>
      </c>
      <c r="AV20" s="922" t="str">
        <f>IF(OR(C20="",V20="",X20="",AB20="",AE20="",AG20=""),"",ROUND((V20*INDEX(PMEKITCHEN[Savings per Unit kW],MATCH(C20,PMEKITCHEN[Eff Desc 1],0)))*INDEX(ENDUSEALL[Lighting Coincidence Factor],MATCH("Commercial Cooking",ENDUSEALL[End Use],0)),3))</f>
        <v/>
      </c>
      <c r="AW20" s="974"/>
      <c r="AX20" s="59"/>
      <c r="AY20" s="59"/>
      <c r="AZ20" s="59"/>
      <c r="BA20" s="59"/>
      <c r="BB20" s="59"/>
      <c r="BC20" s="825" t="str">
        <f>IF(OR(N20="",T20="",C20="",V20="",X20="",AB20="",AE20="",AG20=""),"",IF(OR(ISBLANK(M02S02F26),ISBLANK(M02S02F32),ISBLANK(M02S02F46)),MEASUREBLDG,""))</f>
        <v/>
      </c>
      <c r="BD20" s="59"/>
      <c r="BE20" s="806" t="str">
        <f ca="1">IF(OR(T20="",N20="",C20="",V20="",X20="",AB20="",AE20="",AG20=""),"",IF('M01-S01'!$V$82&lt;TODAY(),0,IF(M02S02F46="Gas Only",0,IF(OR(AK20="",AK20&lt;0,AU20&lt;=AN20),0,MIN(AU20-AN20,ROUND(AN20*0.2,2))))))</f>
        <v/>
      </c>
      <c r="BF20" s="806"/>
      <c r="BG20" s="59"/>
      <c r="BH20" s="59"/>
      <c r="BI20" s="59"/>
      <c r="BJ20" s="59"/>
      <c r="BK20" s="59"/>
      <c r="BL20" s="59"/>
      <c r="BM20" s="59"/>
      <c r="BN20" s="59"/>
      <c r="BO20" s="59"/>
      <c r="BP20" s="59"/>
      <c r="BQ20" s="59"/>
      <c r="BR20" s="59"/>
      <c r="BS20" s="59"/>
      <c r="BT20" s="59"/>
      <c r="BU20" s="59"/>
      <c r="BV20" s="59"/>
      <c r="BW20" s="59"/>
      <c r="BX20" s="59"/>
      <c r="BY20" s="59"/>
      <c r="BZ20" s="59"/>
    </row>
    <row r="21" spans="2:78" ht="15.95" customHeight="1">
      <c r="B21" s="829"/>
      <c r="C21" s="835"/>
      <c r="D21" s="836"/>
      <c r="E21" s="836"/>
      <c r="F21" s="836"/>
      <c r="G21" s="836"/>
      <c r="H21" s="836"/>
      <c r="I21" s="836"/>
      <c r="J21" s="836"/>
      <c r="K21" s="836"/>
      <c r="L21" s="836"/>
      <c r="M21" s="837"/>
      <c r="N21" s="911"/>
      <c r="O21" s="912"/>
      <c r="P21" s="912"/>
      <c r="Q21" s="912"/>
      <c r="R21" s="912"/>
      <c r="S21" s="913"/>
      <c r="T21" s="1006"/>
      <c r="U21" s="1007"/>
      <c r="V21" s="848"/>
      <c r="W21" s="849"/>
      <c r="X21" s="835"/>
      <c r="Y21" s="836"/>
      <c r="Z21" s="836"/>
      <c r="AA21" s="837"/>
      <c r="AB21" s="835"/>
      <c r="AC21" s="836"/>
      <c r="AD21" s="837"/>
      <c r="AE21" s="860"/>
      <c r="AF21" s="870"/>
      <c r="AG21" s="860"/>
      <c r="AH21" s="870"/>
      <c r="AI21" s="919"/>
      <c r="AJ21" s="865"/>
      <c r="AK21" s="906"/>
      <c r="AL21" s="907"/>
      <c r="AM21" s="936"/>
      <c r="AN21" s="818"/>
      <c r="AO21" s="819"/>
      <c r="AP21" s="819"/>
      <c r="AQ21" s="820"/>
      <c r="AR21" s="59"/>
      <c r="AS21" s="59"/>
      <c r="AT21" s="59"/>
      <c r="AU21" s="809"/>
      <c r="AV21" s="901"/>
      <c r="AW21" s="975"/>
      <c r="AX21" s="59"/>
      <c r="AY21" s="59"/>
      <c r="AZ21" s="59"/>
      <c r="BA21" s="59"/>
      <c r="BB21" s="59"/>
      <c r="BC21" s="826"/>
      <c r="BD21" s="59"/>
      <c r="BE21" s="807"/>
      <c r="BF21" s="807"/>
      <c r="BG21" s="59"/>
      <c r="BH21" s="59"/>
      <c r="BI21" s="59"/>
      <c r="BJ21" s="59"/>
      <c r="BK21" s="59"/>
      <c r="BL21" s="59"/>
      <c r="BM21" s="59"/>
      <c r="BN21" s="59"/>
      <c r="BO21" s="59"/>
      <c r="BP21" s="59"/>
      <c r="BQ21" s="59"/>
      <c r="BR21" s="59"/>
      <c r="BS21" s="59"/>
      <c r="BT21" s="59"/>
      <c r="BU21" s="59"/>
      <c r="BV21" s="59"/>
      <c r="BW21" s="59"/>
      <c r="BX21" s="59"/>
      <c r="BY21" s="59"/>
      <c r="BZ21" s="59"/>
    </row>
    <row r="22" spans="2:78" ht="15.95" customHeight="1">
      <c r="B22" s="829">
        <v>4</v>
      </c>
      <c r="C22" s="832"/>
      <c r="D22" s="833"/>
      <c r="E22" s="833"/>
      <c r="F22" s="833"/>
      <c r="G22" s="833"/>
      <c r="H22" s="833"/>
      <c r="I22" s="833"/>
      <c r="J22" s="833"/>
      <c r="K22" s="833"/>
      <c r="L22" s="833"/>
      <c r="M22" s="834"/>
      <c r="N22" s="908" t="str">
        <f>IFERROR(IF(C22="","",INDEX(PMEKITCHEN[Base Desc 1],MATCH(C22,PMEKITCHEN[Eff Desc 1],0))),"")</f>
        <v/>
      </c>
      <c r="O22" s="909"/>
      <c r="P22" s="909"/>
      <c r="Q22" s="909"/>
      <c r="R22" s="909"/>
      <c r="S22" s="910"/>
      <c r="T22" s="1004" t="str">
        <f>IFERROR(IF(C22="","",INDEX(PMEKITCHEN[Unit of Measure],MATCH(C22,PMEKITCHEN[Eff Desc 1],0))),"")</f>
        <v/>
      </c>
      <c r="U22" s="1005"/>
      <c r="V22" s="846"/>
      <c r="W22" s="847"/>
      <c r="X22" s="832"/>
      <c r="Y22" s="833"/>
      <c r="Z22" s="833"/>
      <c r="AA22" s="834"/>
      <c r="AB22" s="832"/>
      <c r="AC22" s="833"/>
      <c r="AD22" s="834"/>
      <c r="AE22" s="858"/>
      <c r="AF22" s="869"/>
      <c r="AG22" s="858"/>
      <c r="AH22" s="869"/>
      <c r="AI22" s="917" t="str">
        <f>IFERROR(IF(C22="","",INDEX(PMEKITCHEN[Inc Rate Unit],MATCH(C22,PMEKITCHEN[Eff Desc 1],0))),"")</f>
        <v/>
      </c>
      <c r="AJ22" s="918"/>
      <c r="AK22" s="904" t="str">
        <f>IF(OR(C22="",V22="",X22="",AB22="",AE22="",AG22=""),"",ROUND(V22*INDEX(PMEKITCHEN[Savings per Unit kWh],MATCH(C22,PMEKITCHEN[Eff Desc 1],2)),0))</f>
        <v/>
      </c>
      <c r="AL22" s="905"/>
      <c r="AM22" s="969"/>
      <c r="AN22" s="815" t="str">
        <f t="shared" ref="AN22" si="1">IF(OR(C22="",V22="",X22="",AB22="",AE22="",AG22=""),"",IF(BC22&lt;&gt;"",BC22,MIN(AU22,ROUND(V22*AI22,2))))</f>
        <v/>
      </c>
      <c r="AO22" s="816"/>
      <c r="AP22" s="816"/>
      <c r="AQ22" s="817"/>
      <c r="AR22" s="59"/>
      <c r="AS22" s="59"/>
      <c r="AT22" s="59"/>
      <c r="AU22" s="808" t="str">
        <f>IF(OR(,V22="",X22="",AB22="",AE22="",AG22=""),"",ROUND((AE22+AG22)*V22,2))</f>
        <v/>
      </c>
      <c r="AV22" s="922" t="str">
        <f>IF(OR(C22="",V22="",X22="",AB22="",AE22="",AG22=""),"",ROUND((V22*INDEX(PMEKITCHEN[Savings per Unit kW],MATCH(C22,PMEKITCHEN[Eff Desc 1],0)))*INDEX(ENDUSEALL[Lighting Coincidence Factor],MATCH("Commercial Cooking",ENDUSEALL[End Use],0)),3))</f>
        <v/>
      </c>
      <c r="AW22" s="974"/>
      <c r="AX22" s="59"/>
      <c r="AY22" s="59"/>
      <c r="AZ22" s="59"/>
      <c r="BA22" s="59"/>
      <c r="BB22" s="59"/>
      <c r="BC22" s="825" t="str">
        <f>IF(OR(N22="",T22="",C22="",V22="",X22="",AB22="",AE22="",AG22=""),"",IF(OR(ISBLANK(M02S02F26),ISBLANK(M02S02F32),ISBLANK(M02S02F46)),MEASUREBLDG,""))</f>
        <v/>
      </c>
      <c r="BD22" s="59"/>
      <c r="BE22" s="806" t="str">
        <f ca="1">IF(OR(T22="",N22="",C22="",V22="",X22="",AB22="",AE22="",AG22=""),"",IF('M01-S01'!$V$82&lt;TODAY(),0,IF(M02S02F46="Gas Only",0,IF(OR(AK22="",AK22&lt;0,AU22&lt;=AN22),0,MIN(AU22-AN22,ROUND(AN22*0.2,2))))))</f>
        <v/>
      </c>
      <c r="BF22" s="806"/>
      <c r="BG22" s="59"/>
      <c r="BH22" s="59"/>
      <c r="BI22" s="59"/>
      <c r="BJ22" s="59"/>
      <c r="BK22" s="59"/>
      <c r="BL22" s="59"/>
      <c r="BM22" s="59"/>
      <c r="BN22" s="59"/>
      <c r="BO22" s="59"/>
      <c r="BP22" s="59"/>
      <c r="BQ22" s="59"/>
      <c r="BR22" s="59"/>
      <c r="BS22" s="59"/>
      <c r="BT22" s="59"/>
      <c r="BU22" s="59"/>
      <c r="BV22" s="59"/>
      <c r="BW22" s="59"/>
      <c r="BX22" s="59"/>
      <c r="BY22" s="59"/>
      <c r="BZ22" s="59"/>
    </row>
    <row r="23" spans="2:78" ht="15.95" customHeight="1">
      <c r="B23" s="829"/>
      <c r="C23" s="835"/>
      <c r="D23" s="836"/>
      <c r="E23" s="836"/>
      <c r="F23" s="836"/>
      <c r="G23" s="836"/>
      <c r="H23" s="836"/>
      <c r="I23" s="836"/>
      <c r="J23" s="836"/>
      <c r="K23" s="836"/>
      <c r="L23" s="836"/>
      <c r="M23" s="837"/>
      <c r="N23" s="911"/>
      <c r="O23" s="912"/>
      <c r="P23" s="912"/>
      <c r="Q23" s="912"/>
      <c r="R23" s="912"/>
      <c r="S23" s="913"/>
      <c r="T23" s="1006"/>
      <c r="U23" s="1007"/>
      <c r="V23" s="848"/>
      <c r="W23" s="849"/>
      <c r="X23" s="835"/>
      <c r="Y23" s="836"/>
      <c r="Z23" s="836"/>
      <c r="AA23" s="837"/>
      <c r="AB23" s="835"/>
      <c r="AC23" s="836"/>
      <c r="AD23" s="837"/>
      <c r="AE23" s="860"/>
      <c r="AF23" s="870"/>
      <c r="AG23" s="860"/>
      <c r="AH23" s="870"/>
      <c r="AI23" s="919"/>
      <c r="AJ23" s="865"/>
      <c r="AK23" s="906"/>
      <c r="AL23" s="907"/>
      <c r="AM23" s="936"/>
      <c r="AN23" s="818"/>
      <c r="AO23" s="819"/>
      <c r="AP23" s="819"/>
      <c r="AQ23" s="820"/>
      <c r="AR23" s="59"/>
      <c r="AS23" s="59"/>
      <c r="AT23" s="59"/>
      <c r="AU23" s="809"/>
      <c r="AV23" s="901"/>
      <c r="AW23" s="975"/>
      <c r="AX23" s="59"/>
      <c r="AY23" s="59"/>
      <c r="AZ23" s="59"/>
      <c r="BA23" s="59"/>
      <c r="BB23" s="59"/>
      <c r="BC23" s="826"/>
      <c r="BD23" s="59"/>
      <c r="BE23" s="807"/>
      <c r="BF23" s="807"/>
      <c r="BG23" s="59"/>
      <c r="BH23" s="59"/>
      <c r="BI23" s="59"/>
      <c r="BJ23" s="59"/>
      <c r="BK23" s="59"/>
      <c r="BL23" s="59"/>
      <c r="BM23" s="59"/>
      <c r="BN23" s="59"/>
      <c r="BO23" s="59"/>
      <c r="BP23" s="59"/>
      <c r="BQ23" s="59"/>
      <c r="BR23" s="59"/>
      <c r="BS23" s="59"/>
      <c r="BT23" s="59"/>
      <c r="BU23" s="59"/>
      <c r="BV23" s="59"/>
      <c r="BW23" s="59"/>
      <c r="BX23" s="59"/>
      <c r="BY23" s="59"/>
      <c r="BZ23" s="59"/>
    </row>
    <row r="24" spans="2:78" ht="15.95" customHeight="1">
      <c r="B24" s="829">
        <v>5</v>
      </c>
      <c r="C24" s="832"/>
      <c r="D24" s="833"/>
      <c r="E24" s="833"/>
      <c r="F24" s="833"/>
      <c r="G24" s="833"/>
      <c r="H24" s="833"/>
      <c r="I24" s="833"/>
      <c r="J24" s="833"/>
      <c r="K24" s="833"/>
      <c r="L24" s="833"/>
      <c r="M24" s="834"/>
      <c r="N24" s="908" t="str">
        <f>IFERROR(IF(C24="","",INDEX(PMEKITCHEN[Base Desc 1],MATCH(C24,PMEKITCHEN[Eff Desc 1],0))),"")</f>
        <v/>
      </c>
      <c r="O24" s="909"/>
      <c r="P24" s="909"/>
      <c r="Q24" s="909"/>
      <c r="R24" s="909"/>
      <c r="S24" s="910"/>
      <c r="T24" s="1004" t="str">
        <f>IFERROR(IF(C24="","",INDEX(PMEKITCHEN[Unit of Measure],MATCH(C24,PMEKITCHEN[Eff Desc 1],0))),"")</f>
        <v/>
      </c>
      <c r="U24" s="1005"/>
      <c r="V24" s="846"/>
      <c r="W24" s="847"/>
      <c r="X24" s="832"/>
      <c r="Y24" s="833"/>
      <c r="Z24" s="833"/>
      <c r="AA24" s="834"/>
      <c r="AB24" s="832"/>
      <c r="AC24" s="833"/>
      <c r="AD24" s="834"/>
      <c r="AE24" s="858"/>
      <c r="AF24" s="869"/>
      <c r="AG24" s="858"/>
      <c r="AH24" s="869"/>
      <c r="AI24" s="917" t="str">
        <f>IFERROR(IF(C24="","",INDEX(PMEKITCHEN[Inc Rate Unit],MATCH(C24,PMEKITCHEN[Eff Desc 1],0))),"")</f>
        <v/>
      </c>
      <c r="AJ24" s="918"/>
      <c r="AK24" s="904" t="str">
        <f>IF(OR(C24="",V24="",X24="",AB24="",AE24="",AG24=""),"",ROUND(V24*INDEX(PMEKITCHEN[Savings per Unit kWh],MATCH(C24,PMEKITCHEN[Eff Desc 1],2)),0))</f>
        <v/>
      </c>
      <c r="AL24" s="905"/>
      <c r="AM24" s="969"/>
      <c r="AN24" s="815" t="str">
        <f t="shared" ref="AN24" si="2">IF(OR(C24="",V24="",X24="",AB24="",AE24="",AG24=""),"",IF(BC24&lt;&gt;"",BC24,MIN(AU24,ROUND(V24*AI24,2))))</f>
        <v/>
      </c>
      <c r="AO24" s="816"/>
      <c r="AP24" s="816"/>
      <c r="AQ24" s="817"/>
      <c r="AR24" s="59"/>
      <c r="AS24" s="59"/>
      <c r="AT24" s="59"/>
      <c r="AU24" s="808" t="str">
        <f>IF(OR(,V24="",X24="",AB24="",AE24="",AG24=""),"",ROUND((AE24+AG24)*V24,2))</f>
        <v/>
      </c>
      <c r="AV24" s="922" t="str">
        <f>IF(OR(C24="",V24="",X24="",AB24="",AE24="",AG24=""),"",ROUND((V24*INDEX(PMEKITCHEN[Savings per Unit kW],MATCH(C24,PMEKITCHEN[Eff Desc 1],0)))*INDEX(ENDUSEALL[Lighting Coincidence Factor],MATCH("Commercial Cooking",ENDUSEALL[End Use],0)),3))</f>
        <v/>
      </c>
      <c r="AW24" s="974"/>
      <c r="AX24" s="59"/>
      <c r="AY24" s="59"/>
      <c r="AZ24" s="59"/>
      <c r="BA24" s="59"/>
      <c r="BB24" s="59"/>
      <c r="BC24" s="825" t="str">
        <f>IF(OR(N24="",T24="",C24="",V24="",X24="",AB24="",AE24="",AG24=""),"",IF(OR(ISBLANK(M02S02F26),ISBLANK(M02S02F32),ISBLANK(M02S02F46)),MEASUREBLDG,""))</f>
        <v/>
      </c>
      <c r="BD24" s="59"/>
      <c r="BE24" s="806" t="str">
        <f ca="1">IF(OR(T24="",N24="",C24="",V24="",X24="",AB24="",AE24="",AG24=""),"",IF('M01-S01'!$V$82&lt;TODAY(),0,IF(M02S02F46="Gas Only",0,IF(OR(AK24="",AK24&lt;0,AU24&lt;=AN24),0,MIN(AU24-AN24,ROUND(AN24*0.2,2))))))</f>
        <v/>
      </c>
      <c r="BF24" s="806"/>
      <c r="BG24" s="59"/>
      <c r="BH24" s="59"/>
      <c r="BI24" s="59"/>
      <c r="BJ24" s="59"/>
      <c r="BK24" s="59"/>
      <c r="BL24" s="59"/>
      <c r="BM24" s="59"/>
      <c r="BN24" s="59"/>
      <c r="BO24" s="59"/>
      <c r="BP24" s="59"/>
      <c r="BQ24" s="59"/>
      <c r="BR24" s="59"/>
      <c r="BS24" s="59"/>
      <c r="BT24" s="59"/>
      <c r="BU24" s="59"/>
      <c r="BV24" s="59"/>
      <c r="BW24" s="59"/>
      <c r="BX24" s="59"/>
      <c r="BY24" s="59"/>
      <c r="BZ24" s="59"/>
    </row>
    <row r="25" spans="2:78" ht="15.95" customHeight="1">
      <c r="B25" s="829"/>
      <c r="C25" s="835"/>
      <c r="D25" s="836"/>
      <c r="E25" s="836"/>
      <c r="F25" s="836"/>
      <c r="G25" s="836"/>
      <c r="H25" s="836"/>
      <c r="I25" s="836"/>
      <c r="J25" s="836"/>
      <c r="K25" s="836"/>
      <c r="L25" s="836"/>
      <c r="M25" s="837"/>
      <c r="N25" s="911"/>
      <c r="O25" s="912"/>
      <c r="P25" s="912"/>
      <c r="Q25" s="912"/>
      <c r="R25" s="912"/>
      <c r="S25" s="913"/>
      <c r="T25" s="1006"/>
      <c r="U25" s="1007"/>
      <c r="V25" s="848"/>
      <c r="W25" s="849"/>
      <c r="X25" s="835"/>
      <c r="Y25" s="836"/>
      <c r="Z25" s="836"/>
      <c r="AA25" s="837"/>
      <c r="AB25" s="835"/>
      <c r="AC25" s="836"/>
      <c r="AD25" s="837"/>
      <c r="AE25" s="860"/>
      <c r="AF25" s="870"/>
      <c r="AG25" s="860"/>
      <c r="AH25" s="870"/>
      <c r="AI25" s="919"/>
      <c r="AJ25" s="865"/>
      <c r="AK25" s="906"/>
      <c r="AL25" s="907"/>
      <c r="AM25" s="936"/>
      <c r="AN25" s="818"/>
      <c r="AO25" s="819"/>
      <c r="AP25" s="819"/>
      <c r="AQ25" s="820"/>
      <c r="AR25" s="59"/>
      <c r="AS25" s="59"/>
      <c r="AT25" s="59"/>
      <c r="AU25" s="809"/>
      <c r="AV25" s="901"/>
      <c r="AW25" s="975"/>
      <c r="AX25" s="59"/>
      <c r="AY25" s="59"/>
      <c r="AZ25" s="59"/>
      <c r="BA25" s="59"/>
      <c r="BB25" s="59"/>
      <c r="BC25" s="826"/>
      <c r="BD25" s="59"/>
      <c r="BE25" s="807"/>
      <c r="BF25" s="807"/>
      <c r="BG25" s="59"/>
      <c r="BH25" s="59"/>
      <c r="BI25" s="59"/>
      <c r="BJ25" s="59"/>
      <c r="BK25" s="59"/>
      <c r="BL25" s="59"/>
      <c r="BM25" s="59"/>
      <c r="BN25" s="59"/>
      <c r="BO25" s="59"/>
      <c r="BP25" s="59"/>
      <c r="BQ25" s="59"/>
      <c r="BR25" s="59"/>
      <c r="BS25" s="59"/>
      <c r="BT25" s="59"/>
      <c r="BU25" s="59"/>
      <c r="BV25" s="59"/>
      <c r="BW25" s="59"/>
      <c r="BX25" s="59"/>
      <c r="BY25" s="59"/>
      <c r="BZ25" s="59"/>
    </row>
    <row r="26" spans="2:78" ht="15.95" customHeight="1">
      <c r="B26" s="829">
        <v>6</v>
      </c>
      <c r="C26" s="832"/>
      <c r="D26" s="833"/>
      <c r="E26" s="833"/>
      <c r="F26" s="833"/>
      <c r="G26" s="833"/>
      <c r="H26" s="833"/>
      <c r="I26" s="833"/>
      <c r="J26" s="833"/>
      <c r="K26" s="833"/>
      <c r="L26" s="833"/>
      <c r="M26" s="834"/>
      <c r="N26" s="908" t="str">
        <f>IFERROR(IF(C26="","",INDEX(PMEKITCHEN[Base Desc 1],MATCH(C26,PMEKITCHEN[Eff Desc 1],0))),"")</f>
        <v/>
      </c>
      <c r="O26" s="909"/>
      <c r="P26" s="909"/>
      <c r="Q26" s="909"/>
      <c r="R26" s="909"/>
      <c r="S26" s="910"/>
      <c r="T26" s="1004" t="str">
        <f>IFERROR(IF(C26="","",INDEX(PMEKITCHEN[Unit of Measure],MATCH(C26,PMEKITCHEN[Eff Desc 1],0))),"")</f>
        <v/>
      </c>
      <c r="U26" s="1005"/>
      <c r="V26" s="846"/>
      <c r="W26" s="847"/>
      <c r="X26" s="832"/>
      <c r="Y26" s="833"/>
      <c r="Z26" s="833"/>
      <c r="AA26" s="834"/>
      <c r="AB26" s="832"/>
      <c r="AC26" s="833"/>
      <c r="AD26" s="834"/>
      <c r="AE26" s="858"/>
      <c r="AF26" s="869"/>
      <c r="AG26" s="858"/>
      <c r="AH26" s="869"/>
      <c r="AI26" s="917" t="str">
        <f>IFERROR(IF(C26="","",INDEX(PMEKITCHEN[Inc Rate Unit],MATCH(C26,PMEKITCHEN[Eff Desc 1],0))),"")</f>
        <v/>
      </c>
      <c r="AJ26" s="918"/>
      <c r="AK26" s="904" t="str">
        <f>IF(OR(C26="",V26="",X26="",AB26="",AE26="",AG26=""),"",ROUND(V26*INDEX(PMEKITCHEN[Savings per Unit kWh],MATCH(C26,PMEKITCHEN[Eff Desc 1],2)),0))</f>
        <v/>
      </c>
      <c r="AL26" s="905"/>
      <c r="AM26" s="969"/>
      <c r="AN26" s="815" t="str">
        <f t="shared" ref="AN26" si="3">IF(OR(C26="",V26="",X26="",AB26="",AE26="",AG26=""),"",IF(BC26&lt;&gt;"",BC26,MIN(AU26,ROUND(V26*AI26,2))))</f>
        <v/>
      </c>
      <c r="AO26" s="816"/>
      <c r="AP26" s="816"/>
      <c r="AQ26" s="817"/>
      <c r="AR26" s="59"/>
      <c r="AS26" s="59"/>
      <c r="AT26" s="59"/>
      <c r="AU26" s="808" t="str">
        <f>IF(OR(,V26="",X26="",AB26="",AE26="",AG26=""),"",ROUND((AE26+AG26)*V26,2))</f>
        <v/>
      </c>
      <c r="AV26" s="922" t="str">
        <f>IF(OR(C26="",V26="",X26="",AB26="",AE26="",AG26=""),"",ROUND((V26*INDEX(PMEKITCHEN[Savings per Unit kW],MATCH(C26,PMEKITCHEN[Eff Desc 1],0)))*INDEX(ENDUSEALL[Lighting Coincidence Factor],MATCH("Commercial Cooking",ENDUSEALL[End Use],0)),3))</f>
        <v/>
      </c>
      <c r="AW26" s="974"/>
      <c r="AX26" s="59"/>
      <c r="AY26" s="59"/>
      <c r="AZ26" s="59"/>
      <c r="BA26" s="59"/>
      <c r="BB26" s="59"/>
      <c r="BC26" s="825" t="str">
        <f>IF(OR(N26="",T26="",C26="",V26="",X26="",AB26="",AE26="",AG26=""),"",IF(OR(ISBLANK(M02S02F26),ISBLANK(M02S02F32),ISBLANK(M02S02F46)),MEASUREBLDG,""))</f>
        <v/>
      </c>
      <c r="BD26" s="59"/>
      <c r="BE26" s="806" t="str">
        <f ca="1">IF(OR(T26="",N26="",C26="",V26="",X26="",AB26="",AE26="",AG26=""),"",IF('M01-S01'!$V$82&lt;TODAY(),0,IF(M02S02F46="Gas Only",0,IF(OR(AK26="",AK26&lt;0,AU26&lt;=AN26),0,MIN(AU26-AN26,ROUND(AN26*0.2,2))))))</f>
        <v/>
      </c>
      <c r="BF26" s="806"/>
      <c r="BG26" s="59"/>
      <c r="BH26" s="59"/>
      <c r="BI26" s="59"/>
      <c r="BJ26" s="59"/>
      <c r="BK26" s="59"/>
      <c r="BL26" s="59"/>
      <c r="BM26" s="59"/>
      <c r="BN26" s="59"/>
      <c r="BO26" s="59"/>
      <c r="BP26" s="59"/>
      <c r="BQ26" s="59"/>
      <c r="BR26" s="59"/>
      <c r="BS26" s="59"/>
      <c r="BT26" s="59"/>
      <c r="BU26" s="59"/>
      <c r="BV26" s="59"/>
      <c r="BW26" s="59"/>
      <c r="BX26" s="59"/>
      <c r="BY26" s="59"/>
      <c r="BZ26" s="59"/>
    </row>
    <row r="27" spans="2:78" ht="15.95" customHeight="1">
      <c r="B27" s="829"/>
      <c r="C27" s="835"/>
      <c r="D27" s="836"/>
      <c r="E27" s="836"/>
      <c r="F27" s="836"/>
      <c r="G27" s="836"/>
      <c r="H27" s="836"/>
      <c r="I27" s="836"/>
      <c r="J27" s="836"/>
      <c r="K27" s="836"/>
      <c r="L27" s="836"/>
      <c r="M27" s="837"/>
      <c r="N27" s="911"/>
      <c r="O27" s="912"/>
      <c r="P27" s="912"/>
      <c r="Q27" s="912"/>
      <c r="R27" s="912"/>
      <c r="S27" s="913"/>
      <c r="T27" s="1006"/>
      <c r="U27" s="1007"/>
      <c r="V27" s="848"/>
      <c r="W27" s="849"/>
      <c r="X27" s="835"/>
      <c r="Y27" s="836"/>
      <c r="Z27" s="836"/>
      <c r="AA27" s="837"/>
      <c r="AB27" s="835"/>
      <c r="AC27" s="836"/>
      <c r="AD27" s="837"/>
      <c r="AE27" s="860"/>
      <c r="AF27" s="870"/>
      <c r="AG27" s="860"/>
      <c r="AH27" s="870"/>
      <c r="AI27" s="919"/>
      <c r="AJ27" s="865"/>
      <c r="AK27" s="906"/>
      <c r="AL27" s="907"/>
      <c r="AM27" s="936"/>
      <c r="AN27" s="818"/>
      <c r="AO27" s="819"/>
      <c r="AP27" s="819"/>
      <c r="AQ27" s="820"/>
      <c r="AR27" s="59"/>
      <c r="AS27" s="59"/>
      <c r="AT27" s="59"/>
      <c r="AU27" s="809"/>
      <c r="AV27" s="901"/>
      <c r="AW27" s="975"/>
      <c r="AX27" s="59"/>
      <c r="AY27" s="59"/>
      <c r="AZ27" s="59"/>
      <c r="BA27" s="59"/>
      <c r="BB27" s="59"/>
      <c r="BC27" s="826"/>
      <c r="BD27" s="59"/>
      <c r="BE27" s="807"/>
      <c r="BF27" s="807"/>
      <c r="BG27" s="59"/>
      <c r="BH27" s="59"/>
      <c r="BI27" s="59"/>
      <c r="BJ27" s="59"/>
      <c r="BK27" s="59"/>
      <c r="BL27" s="59"/>
      <c r="BM27" s="59"/>
      <c r="BN27" s="59"/>
      <c r="BO27" s="59"/>
      <c r="BP27" s="59"/>
      <c r="BQ27" s="59"/>
      <c r="BR27" s="59"/>
      <c r="BS27" s="59"/>
      <c r="BT27" s="59"/>
      <c r="BU27" s="59"/>
      <c r="BV27" s="59"/>
      <c r="BW27" s="59"/>
      <c r="BX27" s="59"/>
      <c r="BY27" s="59"/>
      <c r="BZ27" s="59"/>
    </row>
    <row r="28" spans="2:78" ht="15.95" customHeight="1">
      <c r="B28" s="829">
        <v>7</v>
      </c>
      <c r="C28" s="832"/>
      <c r="D28" s="833"/>
      <c r="E28" s="833"/>
      <c r="F28" s="833"/>
      <c r="G28" s="833"/>
      <c r="H28" s="833"/>
      <c r="I28" s="833"/>
      <c r="J28" s="833"/>
      <c r="K28" s="833"/>
      <c r="L28" s="833"/>
      <c r="M28" s="834"/>
      <c r="N28" s="908" t="str">
        <f>IFERROR(IF(C28="","",INDEX(PMEKITCHEN[Base Desc 1],MATCH(C28,PMEKITCHEN[Eff Desc 1],0))),"")</f>
        <v/>
      </c>
      <c r="O28" s="909"/>
      <c r="P28" s="909"/>
      <c r="Q28" s="909"/>
      <c r="R28" s="909"/>
      <c r="S28" s="910"/>
      <c r="T28" s="1004" t="str">
        <f>IFERROR(IF(C28="","",INDEX(PMEKITCHEN[Unit of Measure],MATCH(C28,PMEKITCHEN[Eff Desc 1],0))),"")</f>
        <v/>
      </c>
      <c r="U28" s="1005"/>
      <c r="V28" s="846"/>
      <c r="W28" s="847"/>
      <c r="X28" s="832"/>
      <c r="Y28" s="833"/>
      <c r="Z28" s="833"/>
      <c r="AA28" s="834"/>
      <c r="AB28" s="832"/>
      <c r="AC28" s="833"/>
      <c r="AD28" s="834"/>
      <c r="AE28" s="858"/>
      <c r="AF28" s="869"/>
      <c r="AG28" s="858"/>
      <c r="AH28" s="869"/>
      <c r="AI28" s="917" t="str">
        <f>IFERROR(IF(C28="","",INDEX(PMEKITCHEN[Inc Rate Unit],MATCH(C28,PMEKITCHEN[Eff Desc 1],0))),"")</f>
        <v/>
      </c>
      <c r="AJ28" s="918"/>
      <c r="AK28" s="904" t="str">
        <f>IF(OR(C28="",V28="",X28="",AB28="",AE28="",AG28=""),"",ROUND(V28*INDEX(PMEKITCHEN[Savings per Unit kWh],MATCH(C28,PMEKITCHEN[Eff Desc 1],2)),0))</f>
        <v/>
      </c>
      <c r="AL28" s="905"/>
      <c r="AM28" s="969"/>
      <c r="AN28" s="815" t="str">
        <f t="shared" ref="AN28" si="4">IF(OR(C28="",V28="",X28="",AB28="",AE28="",AG28=""),"",IF(BC28&lt;&gt;"",BC28,MIN(AU28,ROUND(V28*AI28,2))))</f>
        <v/>
      </c>
      <c r="AO28" s="816"/>
      <c r="AP28" s="816"/>
      <c r="AQ28" s="817"/>
      <c r="AR28" s="59"/>
      <c r="AS28" s="59"/>
      <c r="AT28" s="59"/>
      <c r="AU28" s="808" t="str">
        <f>IF(OR(,V28="",X28="",AB28="",AE28="",AG28=""),"",ROUND((AE28+AG28)*V28,2))</f>
        <v/>
      </c>
      <c r="AV28" s="922" t="str">
        <f>IF(OR(C28="",V28="",X28="",AB28="",AE28="",AG28=""),"",ROUND((V28*INDEX(PMEKITCHEN[Savings per Unit kW],MATCH(C28,PMEKITCHEN[Eff Desc 1],0)))*INDEX(ENDUSEALL[Lighting Coincidence Factor],MATCH("Commercial Cooking",ENDUSEALL[End Use],0)),3))</f>
        <v/>
      </c>
      <c r="AW28" s="974"/>
      <c r="AX28" s="59"/>
      <c r="AY28" s="59"/>
      <c r="AZ28" s="59"/>
      <c r="BA28" s="59"/>
      <c r="BB28" s="59"/>
      <c r="BC28" s="825" t="str">
        <f>IF(OR(N28="",T28="",C28="",V28="",X28="",AB28="",AE28="",AG28=""),"",IF(OR(ISBLANK(M02S02F26),ISBLANK(M02S02F32),ISBLANK(M02S02F46)),MEASUREBLDG,""))</f>
        <v/>
      </c>
      <c r="BD28" s="59"/>
      <c r="BE28" s="806" t="str">
        <f ca="1">IF(OR(T28="",N28="",C28="",V28="",X28="",AB28="",AE28="",AG28=""),"",IF('M01-S01'!$V$82&lt;TODAY(),0,IF(M02S02F46="Gas Only",0,IF(OR(AK28="",AK28&lt;0,AU28&lt;=AN28),0,MIN(AU28-AN28,ROUND(AN28*0.2,2))))))</f>
        <v/>
      </c>
      <c r="BF28" s="806"/>
      <c r="BG28" s="59"/>
      <c r="BH28" s="59"/>
      <c r="BI28" s="59"/>
      <c r="BJ28" s="59"/>
      <c r="BK28" s="59"/>
      <c r="BL28" s="59"/>
      <c r="BM28" s="59"/>
      <c r="BN28" s="59"/>
      <c r="BO28" s="59"/>
      <c r="BP28" s="59"/>
      <c r="BQ28" s="59"/>
      <c r="BR28" s="59"/>
      <c r="BS28" s="59"/>
      <c r="BT28" s="59"/>
      <c r="BU28" s="59"/>
      <c r="BV28" s="59"/>
      <c r="BW28" s="59"/>
      <c r="BX28" s="59"/>
      <c r="BY28" s="59"/>
      <c r="BZ28" s="59"/>
    </row>
    <row r="29" spans="2:78" ht="15.95" customHeight="1">
      <c r="B29" s="829"/>
      <c r="C29" s="835"/>
      <c r="D29" s="836"/>
      <c r="E29" s="836"/>
      <c r="F29" s="836"/>
      <c r="G29" s="836"/>
      <c r="H29" s="836"/>
      <c r="I29" s="836"/>
      <c r="J29" s="836"/>
      <c r="K29" s="836"/>
      <c r="L29" s="836"/>
      <c r="M29" s="837"/>
      <c r="N29" s="911"/>
      <c r="O29" s="912"/>
      <c r="P29" s="912"/>
      <c r="Q29" s="912"/>
      <c r="R29" s="912"/>
      <c r="S29" s="913"/>
      <c r="T29" s="1006"/>
      <c r="U29" s="1007"/>
      <c r="V29" s="848"/>
      <c r="W29" s="849"/>
      <c r="X29" s="835"/>
      <c r="Y29" s="836"/>
      <c r="Z29" s="836"/>
      <c r="AA29" s="837"/>
      <c r="AB29" s="835"/>
      <c r="AC29" s="836"/>
      <c r="AD29" s="837"/>
      <c r="AE29" s="860"/>
      <c r="AF29" s="870"/>
      <c r="AG29" s="860"/>
      <c r="AH29" s="870"/>
      <c r="AI29" s="919"/>
      <c r="AJ29" s="865"/>
      <c r="AK29" s="906"/>
      <c r="AL29" s="907"/>
      <c r="AM29" s="936"/>
      <c r="AN29" s="818"/>
      <c r="AO29" s="819"/>
      <c r="AP29" s="819"/>
      <c r="AQ29" s="820"/>
      <c r="AR29" s="59"/>
      <c r="AS29" s="59"/>
      <c r="AT29" s="59"/>
      <c r="AU29" s="809"/>
      <c r="AV29" s="901"/>
      <c r="AW29" s="975"/>
      <c r="AX29" s="59"/>
      <c r="AY29" s="59"/>
      <c r="AZ29" s="59"/>
      <c r="BA29" s="59"/>
      <c r="BB29" s="59"/>
      <c r="BC29" s="826"/>
      <c r="BD29" s="59"/>
      <c r="BE29" s="807"/>
      <c r="BF29" s="807"/>
      <c r="BG29" s="59"/>
      <c r="BH29" s="59"/>
      <c r="BI29" s="59"/>
      <c r="BJ29" s="59"/>
      <c r="BK29" s="59"/>
      <c r="BL29" s="59"/>
      <c r="BM29" s="59"/>
      <c r="BN29" s="59"/>
      <c r="BO29" s="59"/>
      <c r="BP29" s="59"/>
      <c r="BQ29" s="59"/>
      <c r="BR29" s="59"/>
      <c r="BS29" s="59"/>
      <c r="BT29" s="59"/>
      <c r="BU29" s="59"/>
      <c r="BV29" s="59"/>
      <c r="BW29" s="59"/>
      <c r="BX29" s="59"/>
      <c r="BY29" s="59"/>
      <c r="BZ29" s="59"/>
    </row>
    <row r="30" spans="2:78" ht="15.95" customHeight="1">
      <c r="B30" s="829">
        <v>8</v>
      </c>
      <c r="C30" s="832"/>
      <c r="D30" s="833"/>
      <c r="E30" s="833"/>
      <c r="F30" s="833"/>
      <c r="G30" s="833"/>
      <c r="H30" s="833"/>
      <c r="I30" s="833"/>
      <c r="J30" s="833"/>
      <c r="K30" s="833"/>
      <c r="L30" s="833"/>
      <c r="M30" s="834"/>
      <c r="N30" s="908" t="str">
        <f>IFERROR(IF(C30="","",INDEX(PMEKITCHEN[Base Desc 1],MATCH(C30,PMEKITCHEN[Eff Desc 1],0))),"")</f>
        <v/>
      </c>
      <c r="O30" s="909"/>
      <c r="P30" s="909"/>
      <c r="Q30" s="909"/>
      <c r="R30" s="909"/>
      <c r="S30" s="910"/>
      <c r="T30" s="1004" t="str">
        <f>IFERROR(IF(C30="","",INDEX(PMEKITCHEN[Unit of Measure],MATCH(C30,PMEKITCHEN[Eff Desc 1],0))),"")</f>
        <v/>
      </c>
      <c r="U30" s="1005"/>
      <c r="V30" s="846"/>
      <c r="W30" s="847"/>
      <c r="X30" s="832"/>
      <c r="Y30" s="833"/>
      <c r="Z30" s="833"/>
      <c r="AA30" s="834"/>
      <c r="AB30" s="832"/>
      <c r="AC30" s="833"/>
      <c r="AD30" s="834"/>
      <c r="AE30" s="858"/>
      <c r="AF30" s="869"/>
      <c r="AG30" s="858"/>
      <c r="AH30" s="869"/>
      <c r="AI30" s="917" t="str">
        <f>IFERROR(IF(C30="","",INDEX(PMEKITCHEN[Inc Rate Unit],MATCH(C30,PMEKITCHEN[Eff Desc 1],0))),"")</f>
        <v/>
      </c>
      <c r="AJ30" s="918"/>
      <c r="AK30" s="904" t="str">
        <f>IF(OR(C30="",V30="",X30="",AB30="",AE30="",AG30=""),"",ROUND(V30*INDEX(PMEKITCHEN[Savings per Unit kWh],MATCH(C30,PMEKITCHEN[Eff Desc 1],2)),0))</f>
        <v/>
      </c>
      <c r="AL30" s="905"/>
      <c r="AM30" s="969"/>
      <c r="AN30" s="815" t="str">
        <f t="shared" ref="AN30" si="5">IF(OR(C30="",V30="",X30="",AB30="",AE30="",AG30=""),"",IF(BC30&lt;&gt;"",BC30,MIN(AU30,ROUND(V30*AI30,2))))</f>
        <v/>
      </c>
      <c r="AO30" s="816"/>
      <c r="AP30" s="816"/>
      <c r="AQ30" s="817"/>
      <c r="AR30" s="59"/>
      <c r="AS30" s="59"/>
      <c r="AT30" s="59"/>
      <c r="AU30" s="808" t="str">
        <f>IF(OR(,V30="",X30="",AB30="",AE30="",AG30=""),"",ROUND((AE30+AG30)*V30,2))</f>
        <v/>
      </c>
      <c r="AV30" s="922" t="str">
        <f>IF(OR(C30="",V30="",X30="",AB30="",AE30="",AG30=""),"",ROUND((V30*INDEX(PMEKITCHEN[Savings per Unit kW],MATCH(C30,PMEKITCHEN[Eff Desc 1],0)))*INDEX(ENDUSEALL[Lighting Coincidence Factor],MATCH("Commercial Cooking",ENDUSEALL[End Use],0)),3))</f>
        <v/>
      </c>
      <c r="AW30" s="974"/>
      <c r="AX30" s="59"/>
      <c r="AY30" s="59"/>
      <c r="AZ30" s="59"/>
      <c r="BA30" s="59"/>
      <c r="BB30" s="59"/>
      <c r="BC30" s="825" t="str">
        <f>IF(OR(N30="",T30="",C30="",V30="",X30="",AB30="",AE30="",AG30=""),"",IF(OR(ISBLANK(M02S02F26),ISBLANK(M02S02F32),ISBLANK(M02S02F46)),MEASUREBLDG,""))</f>
        <v/>
      </c>
      <c r="BD30" s="59"/>
      <c r="BE30" s="806" t="str">
        <f ca="1">IF(OR(T30="",N30="",C30="",V30="",X30="",AB30="",AE30="",AG30=""),"",IF('M01-S01'!$V$82&lt;TODAY(),0,IF(M02S02F46="Gas Only",0,IF(OR(AK30="",AK30&lt;0,AU30&lt;=AN30),0,MIN(AU30-AN30,ROUND(AN30*0.2,2))))))</f>
        <v/>
      </c>
      <c r="BF30" s="806"/>
      <c r="BG30" s="59"/>
      <c r="BH30" s="59"/>
      <c r="BI30" s="59"/>
      <c r="BJ30" s="59"/>
      <c r="BK30" s="59"/>
      <c r="BL30" s="59"/>
      <c r="BM30" s="59"/>
      <c r="BN30" s="59"/>
      <c r="BO30" s="59"/>
      <c r="BP30" s="59"/>
      <c r="BQ30" s="59"/>
      <c r="BR30" s="59"/>
      <c r="BS30" s="59"/>
      <c r="BT30" s="59"/>
      <c r="BU30" s="59"/>
      <c r="BV30" s="59"/>
      <c r="BW30" s="59"/>
      <c r="BX30" s="59"/>
      <c r="BY30" s="59"/>
      <c r="BZ30" s="59"/>
    </row>
    <row r="31" spans="2:78" ht="15.95" customHeight="1">
      <c r="B31" s="829"/>
      <c r="C31" s="835"/>
      <c r="D31" s="836"/>
      <c r="E31" s="836"/>
      <c r="F31" s="836"/>
      <c r="G31" s="836"/>
      <c r="H31" s="836"/>
      <c r="I31" s="836"/>
      <c r="J31" s="836"/>
      <c r="K31" s="836"/>
      <c r="L31" s="836"/>
      <c r="M31" s="837"/>
      <c r="N31" s="911"/>
      <c r="O31" s="912"/>
      <c r="P31" s="912"/>
      <c r="Q31" s="912"/>
      <c r="R31" s="912"/>
      <c r="S31" s="913"/>
      <c r="T31" s="1006"/>
      <c r="U31" s="1007"/>
      <c r="V31" s="848"/>
      <c r="W31" s="849"/>
      <c r="X31" s="835"/>
      <c r="Y31" s="836"/>
      <c r="Z31" s="836"/>
      <c r="AA31" s="837"/>
      <c r="AB31" s="835"/>
      <c r="AC31" s="836"/>
      <c r="AD31" s="837"/>
      <c r="AE31" s="860"/>
      <c r="AF31" s="870"/>
      <c r="AG31" s="860"/>
      <c r="AH31" s="870"/>
      <c r="AI31" s="919"/>
      <c r="AJ31" s="865"/>
      <c r="AK31" s="906"/>
      <c r="AL31" s="907"/>
      <c r="AM31" s="936"/>
      <c r="AN31" s="818"/>
      <c r="AO31" s="819"/>
      <c r="AP31" s="819"/>
      <c r="AQ31" s="820"/>
      <c r="AR31" s="59"/>
      <c r="AS31" s="59"/>
      <c r="AT31" s="59"/>
      <c r="AU31" s="809"/>
      <c r="AV31" s="901"/>
      <c r="AW31" s="975"/>
      <c r="AX31" s="59"/>
      <c r="AY31" s="59"/>
      <c r="AZ31" s="59"/>
      <c r="BA31" s="59"/>
      <c r="BB31" s="59"/>
      <c r="BC31" s="826"/>
      <c r="BD31" s="59"/>
      <c r="BE31" s="807"/>
      <c r="BF31" s="807"/>
      <c r="BG31" s="59"/>
      <c r="BH31" s="59"/>
      <c r="BI31" s="59"/>
      <c r="BJ31" s="59"/>
      <c r="BK31" s="59"/>
      <c r="BL31" s="59"/>
      <c r="BM31" s="59"/>
      <c r="BN31" s="59"/>
      <c r="BO31" s="59"/>
      <c r="BP31" s="59"/>
      <c r="BQ31" s="59"/>
      <c r="BR31" s="59"/>
      <c r="BS31" s="59"/>
      <c r="BT31" s="59"/>
      <c r="BU31" s="59"/>
      <c r="BV31" s="59"/>
      <c r="BW31" s="59"/>
      <c r="BX31" s="59"/>
      <c r="BY31" s="59"/>
      <c r="BZ31" s="59"/>
    </row>
    <row r="32" spans="2:78" ht="15.95" customHeight="1">
      <c r="B32" s="829">
        <v>9</v>
      </c>
      <c r="C32" s="832"/>
      <c r="D32" s="833"/>
      <c r="E32" s="833"/>
      <c r="F32" s="833"/>
      <c r="G32" s="833"/>
      <c r="H32" s="833"/>
      <c r="I32" s="833"/>
      <c r="J32" s="833"/>
      <c r="K32" s="833"/>
      <c r="L32" s="833"/>
      <c r="M32" s="834"/>
      <c r="N32" s="908" t="str">
        <f>IFERROR(IF(C32="","",INDEX(PMEKITCHEN[Base Desc 1],MATCH(C32,PMEKITCHEN[Eff Desc 1],0))),"")</f>
        <v/>
      </c>
      <c r="O32" s="909"/>
      <c r="P32" s="909"/>
      <c r="Q32" s="909"/>
      <c r="R32" s="909"/>
      <c r="S32" s="910"/>
      <c r="T32" s="1004" t="str">
        <f>IFERROR(IF(C32="","",INDEX(PMEKITCHEN[Unit of Measure],MATCH(C32,PMEKITCHEN[Eff Desc 1],0))),"")</f>
        <v/>
      </c>
      <c r="U32" s="1005"/>
      <c r="V32" s="846"/>
      <c r="W32" s="847"/>
      <c r="X32" s="832"/>
      <c r="Y32" s="833"/>
      <c r="Z32" s="833"/>
      <c r="AA32" s="834"/>
      <c r="AB32" s="832"/>
      <c r="AC32" s="833"/>
      <c r="AD32" s="834"/>
      <c r="AE32" s="858"/>
      <c r="AF32" s="869"/>
      <c r="AG32" s="858"/>
      <c r="AH32" s="869"/>
      <c r="AI32" s="917" t="str">
        <f>IFERROR(IF(C32="","",INDEX(PMEKITCHEN[Inc Rate Unit],MATCH(C32,PMEKITCHEN[Eff Desc 1],0))),"")</f>
        <v/>
      </c>
      <c r="AJ32" s="918"/>
      <c r="AK32" s="904" t="str">
        <f>IF(OR(C32="",V32="",X32="",AB32="",AE32="",AG32=""),"",ROUND(V32*INDEX(PMEKITCHEN[Savings per Unit kWh],MATCH(C32,PMEKITCHEN[Eff Desc 1],2)),0))</f>
        <v/>
      </c>
      <c r="AL32" s="905"/>
      <c r="AM32" s="969"/>
      <c r="AN32" s="815" t="str">
        <f t="shared" ref="AN32" si="6">IF(OR(C32="",V32="",X32="",AB32="",AE32="",AG32=""),"",IF(BC32&lt;&gt;"",BC32,MIN(AU32,ROUND(V32*AI32,2))))</f>
        <v/>
      </c>
      <c r="AO32" s="816"/>
      <c r="AP32" s="816"/>
      <c r="AQ32" s="817"/>
      <c r="AR32" s="59"/>
      <c r="AS32" s="59"/>
      <c r="AT32" s="59"/>
      <c r="AU32" s="808" t="str">
        <f>IF(OR(,V32="",X32="",AB32="",AE32="",AG32=""),"",ROUND((AE32+AG32)*V32,2))</f>
        <v/>
      </c>
      <c r="AV32" s="922" t="str">
        <f>IF(OR(C32="",V32="",X32="",AB32="",AE32="",AG32=""),"",ROUND((V32*INDEX(PMEKITCHEN[Savings per Unit kW],MATCH(C32,PMEKITCHEN[Eff Desc 1],0)))*INDEX(ENDUSEALL[Lighting Coincidence Factor],MATCH("Commercial Cooking",ENDUSEALL[End Use],0)),3))</f>
        <v/>
      </c>
      <c r="AW32" s="974"/>
      <c r="AX32" s="59"/>
      <c r="AY32" s="59"/>
      <c r="AZ32" s="59"/>
      <c r="BA32" s="59"/>
      <c r="BB32" s="59"/>
      <c r="BC32" s="825" t="str">
        <f>IF(OR(N32="",T32="",C32="",V32="",X32="",AB32="",AE32="",AG32=""),"",IF(OR(ISBLANK(M02S02F26),ISBLANK(M02S02F32),ISBLANK(M02S02F46)),MEASUREBLDG,""))</f>
        <v/>
      </c>
      <c r="BD32" s="59"/>
      <c r="BE32" s="806" t="str">
        <f ca="1">IF(OR(T32="",N32="",C32="",V32="",X32="",AB32="",AE32="",AG32=""),"",IF('M01-S01'!$V$82&lt;TODAY(),0,IF(M02S02F46="Gas Only",0,IF(OR(AK32="",AK32&lt;0,AU32&lt;=AN32),0,MIN(AU32-AN32,ROUND(AN32*0.2,2))))))</f>
        <v/>
      </c>
      <c r="BF32" s="806"/>
      <c r="BG32" s="59"/>
      <c r="BH32" s="59"/>
      <c r="BI32" s="59"/>
      <c r="BJ32" s="59"/>
      <c r="BK32" s="59"/>
      <c r="BL32" s="59"/>
      <c r="BM32" s="59"/>
      <c r="BN32" s="59"/>
      <c r="BO32" s="59"/>
      <c r="BP32" s="59"/>
      <c r="BQ32" s="59"/>
      <c r="BR32" s="59"/>
      <c r="BS32" s="59"/>
      <c r="BT32" s="59"/>
      <c r="BU32" s="59"/>
      <c r="BV32" s="59"/>
      <c r="BW32" s="59"/>
      <c r="BX32" s="59"/>
      <c r="BY32" s="59"/>
      <c r="BZ32" s="59"/>
    </row>
    <row r="33" spans="2:78" ht="15.95" customHeight="1">
      <c r="B33" s="829"/>
      <c r="C33" s="835"/>
      <c r="D33" s="836"/>
      <c r="E33" s="836"/>
      <c r="F33" s="836"/>
      <c r="G33" s="836"/>
      <c r="H33" s="836"/>
      <c r="I33" s="836"/>
      <c r="J33" s="836"/>
      <c r="K33" s="836"/>
      <c r="L33" s="836"/>
      <c r="M33" s="837"/>
      <c r="N33" s="911"/>
      <c r="O33" s="912"/>
      <c r="P33" s="912"/>
      <c r="Q33" s="912"/>
      <c r="R33" s="912"/>
      <c r="S33" s="913"/>
      <c r="T33" s="1006"/>
      <c r="U33" s="1007"/>
      <c r="V33" s="848"/>
      <c r="W33" s="849"/>
      <c r="X33" s="835"/>
      <c r="Y33" s="836"/>
      <c r="Z33" s="836"/>
      <c r="AA33" s="837"/>
      <c r="AB33" s="835"/>
      <c r="AC33" s="836"/>
      <c r="AD33" s="837"/>
      <c r="AE33" s="860"/>
      <c r="AF33" s="870"/>
      <c r="AG33" s="860"/>
      <c r="AH33" s="870"/>
      <c r="AI33" s="919"/>
      <c r="AJ33" s="865"/>
      <c r="AK33" s="906"/>
      <c r="AL33" s="907"/>
      <c r="AM33" s="936"/>
      <c r="AN33" s="818"/>
      <c r="AO33" s="819"/>
      <c r="AP33" s="819"/>
      <c r="AQ33" s="820"/>
      <c r="AR33" s="59"/>
      <c r="AS33" s="59"/>
      <c r="AT33" s="59"/>
      <c r="AU33" s="809"/>
      <c r="AV33" s="901"/>
      <c r="AW33" s="975"/>
      <c r="AX33" s="59"/>
      <c r="AY33" s="59"/>
      <c r="AZ33" s="59"/>
      <c r="BA33" s="59"/>
      <c r="BB33" s="59"/>
      <c r="BC33" s="826"/>
      <c r="BD33" s="59"/>
      <c r="BE33" s="807"/>
      <c r="BF33" s="807"/>
      <c r="BG33" s="59"/>
      <c r="BH33" s="59"/>
      <c r="BI33" s="59"/>
      <c r="BJ33" s="59"/>
      <c r="BK33" s="59"/>
      <c r="BL33" s="59"/>
      <c r="BM33" s="59"/>
      <c r="BN33" s="59"/>
      <c r="BO33" s="59"/>
      <c r="BP33" s="59"/>
      <c r="BQ33" s="59"/>
      <c r="BR33" s="59"/>
      <c r="BS33" s="59"/>
      <c r="BT33" s="59"/>
      <c r="BU33" s="59"/>
      <c r="BV33" s="59"/>
      <c r="BW33" s="59"/>
      <c r="BX33" s="59"/>
      <c r="BY33" s="59"/>
      <c r="BZ33" s="59"/>
    </row>
    <row r="34" spans="2:78" ht="15.95" customHeight="1">
      <c r="B34" s="829">
        <v>10</v>
      </c>
      <c r="C34" s="832"/>
      <c r="D34" s="833"/>
      <c r="E34" s="833"/>
      <c r="F34" s="833"/>
      <c r="G34" s="833"/>
      <c r="H34" s="833"/>
      <c r="I34" s="833"/>
      <c r="J34" s="833"/>
      <c r="K34" s="833"/>
      <c r="L34" s="833"/>
      <c r="M34" s="834"/>
      <c r="N34" s="908" t="str">
        <f>IFERROR(IF(C34="","",INDEX(PMEKITCHEN[Base Desc 1],MATCH(C34,PMEKITCHEN[Eff Desc 1],0))),"")</f>
        <v/>
      </c>
      <c r="O34" s="909"/>
      <c r="P34" s="909"/>
      <c r="Q34" s="909"/>
      <c r="R34" s="909"/>
      <c r="S34" s="910"/>
      <c r="T34" s="1004" t="str">
        <f>IFERROR(IF(C34="","",INDEX(PMEKITCHEN[Unit of Measure],MATCH(C34,PMEKITCHEN[Eff Desc 1],0))),"")</f>
        <v/>
      </c>
      <c r="U34" s="1005"/>
      <c r="V34" s="846"/>
      <c r="W34" s="847"/>
      <c r="X34" s="832"/>
      <c r="Y34" s="833"/>
      <c r="Z34" s="833"/>
      <c r="AA34" s="834"/>
      <c r="AB34" s="832"/>
      <c r="AC34" s="833"/>
      <c r="AD34" s="834"/>
      <c r="AE34" s="858"/>
      <c r="AF34" s="869"/>
      <c r="AG34" s="858"/>
      <c r="AH34" s="869"/>
      <c r="AI34" s="917" t="str">
        <f>IFERROR(IF(C34="","",INDEX(PMEKITCHEN[Inc Rate Unit],MATCH(C34,PMEKITCHEN[Eff Desc 1],0))),"")</f>
        <v/>
      </c>
      <c r="AJ34" s="918"/>
      <c r="AK34" s="904" t="str">
        <f>IF(OR(C34="",V34="",X34="",AB34="",AE34="",AG34=""),"",ROUND(V34*INDEX(PMEKITCHEN[Savings per Unit kWh],MATCH(C34,PMEKITCHEN[Eff Desc 1],2)),0))</f>
        <v/>
      </c>
      <c r="AL34" s="905"/>
      <c r="AM34" s="969"/>
      <c r="AN34" s="815" t="str">
        <f t="shared" ref="AN34" si="7">IF(OR(C34="",V34="",X34="",AB34="",AE34="",AG34=""),"",IF(BC34&lt;&gt;"",BC34,MIN(AU34,ROUND(V34*AI34,2))))</f>
        <v/>
      </c>
      <c r="AO34" s="816"/>
      <c r="AP34" s="816"/>
      <c r="AQ34" s="817"/>
      <c r="AR34" s="59"/>
      <c r="AS34" s="59"/>
      <c r="AT34" s="59"/>
      <c r="AU34" s="808" t="str">
        <f>IF(OR(,V34="",X34="",AB34="",AE34="",AG34=""),"",ROUND((AE34+AG34)*V34,2))</f>
        <v/>
      </c>
      <c r="AV34" s="922" t="str">
        <f>IF(OR(C34="",V34="",X34="",AB34="",AE34="",AG34=""),"",ROUND((V34*INDEX(PMEKITCHEN[Savings per Unit kW],MATCH(C34,PMEKITCHEN[Eff Desc 1],0)))*INDEX(ENDUSEALL[Lighting Coincidence Factor],MATCH("Commercial Cooking",ENDUSEALL[End Use],0)),3))</f>
        <v/>
      </c>
      <c r="AW34" s="974"/>
      <c r="AX34" s="59"/>
      <c r="AY34" s="59"/>
      <c r="AZ34" s="59"/>
      <c r="BA34" s="59"/>
      <c r="BB34" s="59"/>
      <c r="BC34" s="825" t="str">
        <f>IF(OR(N34="",T34="",C34="",V34="",X34="",AB34="",AE34="",AG34=""),"",IF(OR(ISBLANK(M02S02F26),ISBLANK(M02S02F32),ISBLANK(M02S02F46)),MEASUREBLDG,""))</f>
        <v/>
      </c>
      <c r="BD34" s="59"/>
      <c r="BE34" s="806" t="str">
        <f ca="1">IF(OR(T34="",N34="",C34="",V34="",X34="",AB34="",AE34="",AG34=""),"",IF('M01-S01'!$V$82&lt;TODAY(),0,IF(M02S02F46="Gas Only",0,IF(OR(AK34="",AK34&lt;0,AU34&lt;=AN34),0,MIN(AU34-AN34,ROUND(AN34*0.2,2))))))</f>
        <v/>
      </c>
      <c r="BF34" s="806"/>
      <c r="BG34" s="59"/>
      <c r="BH34" s="59"/>
      <c r="BI34" s="59"/>
      <c r="BJ34" s="59"/>
      <c r="BK34" s="59"/>
      <c r="BL34" s="59"/>
      <c r="BM34" s="59"/>
      <c r="BN34" s="59"/>
      <c r="BO34" s="59"/>
      <c r="BP34" s="59"/>
      <c r="BQ34" s="59"/>
      <c r="BR34" s="59"/>
      <c r="BS34" s="59"/>
      <c r="BT34" s="59"/>
      <c r="BU34" s="59"/>
      <c r="BV34" s="59"/>
      <c r="BW34" s="59"/>
      <c r="BX34" s="59"/>
      <c r="BY34" s="59"/>
      <c r="BZ34" s="59"/>
    </row>
    <row r="35" spans="2:78" ht="15.95" customHeight="1">
      <c r="B35" s="829"/>
      <c r="C35" s="835"/>
      <c r="D35" s="836"/>
      <c r="E35" s="836"/>
      <c r="F35" s="836"/>
      <c r="G35" s="836"/>
      <c r="H35" s="836"/>
      <c r="I35" s="836"/>
      <c r="J35" s="836"/>
      <c r="K35" s="836"/>
      <c r="L35" s="836"/>
      <c r="M35" s="837"/>
      <c r="N35" s="911"/>
      <c r="O35" s="912"/>
      <c r="P35" s="912"/>
      <c r="Q35" s="912"/>
      <c r="R35" s="912"/>
      <c r="S35" s="913"/>
      <c r="T35" s="1006"/>
      <c r="U35" s="1007"/>
      <c r="V35" s="848"/>
      <c r="W35" s="849"/>
      <c r="X35" s="835"/>
      <c r="Y35" s="836"/>
      <c r="Z35" s="836"/>
      <c r="AA35" s="837"/>
      <c r="AB35" s="835"/>
      <c r="AC35" s="836"/>
      <c r="AD35" s="837"/>
      <c r="AE35" s="860"/>
      <c r="AF35" s="870"/>
      <c r="AG35" s="860"/>
      <c r="AH35" s="870"/>
      <c r="AI35" s="919"/>
      <c r="AJ35" s="865"/>
      <c r="AK35" s="906"/>
      <c r="AL35" s="907"/>
      <c r="AM35" s="936"/>
      <c r="AN35" s="818"/>
      <c r="AO35" s="819"/>
      <c r="AP35" s="819"/>
      <c r="AQ35" s="820"/>
      <c r="AR35" s="59"/>
      <c r="AS35" s="59"/>
      <c r="AT35" s="59"/>
      <c r="AU35" s="809"/>
      <c r="AV35" s="901"/>
      <c r="AW35" s="975"/>
      <c r="AX35" s="59"/>
      <c r="AY35" s="59"/>
      <c r="AZ35" s="59"/>
      <c r="BA35" s="59"/>
      <c r="BB35" s="59"/>
      <c r="BC35" s="826"/>
      <c r="BD35" s="59"/>
      <c r="BE35" s="807"/>
      <c r="BF35" s="807"/>
      <c r="BG35" s="59"/>
      <c r="BH35" s="59"/>
      <c r="BI35" s="59"/>
      <c r="BJ35" s="59"/>
      <c r="BK35" s="59"/>
      <c r="BL35" s="59"/>
      <c r="BM35" s="59"/>
      <c r="BN35" s="59"/>
      <c r="BO35" s="59"/>
      <c r="BP35" s="59"/>
      <c r="BQ35" s="59"/>
      <c r="BR35" s="59"/>
      <c r="BS35" s="59"/>
      <c r="BT35" s="59"/>
      <c r="BU35" s="59"/>
      <c r="BV35" s="59"/>
      <c r="BW35" s="59"/>
      <c r="BX35" s="59"/>
      <c r="BY35" s="59"/>
      <c r="BZ35" s="59"/>
    </row>
    <row r="36" spans="2:78" ht="15.95" customHeight="1">
      <c r="C36" s="1008" t="s">
        <v>2394</v>
      </c>
      <c r="D36" s="1009"/>
      <c r="E36" s="1009"/>
      <c r="F36" s="1009"/>
      <c r="G36" s="1009"/>
      <c r="H36" s="1009"/>
      <c r="I36" s="1009"/>
      <c r="J36" s="1009"/>
      <c r="K36" s="1009"/>
      <c r="L36" s="1009"/>
      <c r="M36" s="1009"/>
      <c r="N36" s="1009"/>
      <c r="O36" s="1009"/>
      <c r="P36" s="1009"/>
      <c r="Q36" s="1009"/>
      <c r="R36" s="1009"/>
      <c r="S36" s="1009"/>
      <c r="T36" s="1009"/>
      <c r="U36" s="1009"/>
      <c r="V36" s="1009"/>
      <c r="W36" s="1009"/>
      <c r="X36" s="1009"/>
      <c r="Y36" s="1009"/>
      <c r="Z36" s="1009"/>
      <c r="AA36" s="1009"/>
      <c r="AB36" s="1009"/>
      <c r="AC36" s="1009"/>
      <c r="AD36" s="1009"/>
      <c r="AE36" s="1009"/>
      <c r="AF36" s="1009"/>
      <c r="AG36" s="1009"/>
      <c r="AH36" s="1009"/>
      <c r="AI36" s="1009"/>
      <c r="AJ36" s="1009"/>
      <c r="AK36" s="1009"/>
      <c r="AL36" s="1009"/>
      <c r="AM36" s="1009"/>
      <c r="AN36" s="1009"/>
      <c r="AO36" s="1009"/>
      <c r="AP36" s="1009"/>
      <c r="AQ36" s="1009"/>
      <c r="AR36" s="59"/>
      <c r="AS36" s="59"/>
      <c r="AT36" s="59"/>
      <c r="AU36" s="808"/>
      <c r="AV36" s="873"/>
      <c r="AW36" s="1013"/>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row>
    <row r="37" spans="2:78" ht="15.95" customHeight="1">
      <c r="C37" s="1010"/>
      <c r="D37" s="1011"/>
      <c r="E37" s="1011"/>
      <c r="F37" s="1011"/>
      <c r="G37" s="1011"/>
      <c r="H37" s="1011"/>
      <c r="I37" s="1011"/>
      <c r="J37" s="1011"/>
      <c r="K37" s="1011"/>
      <c r="L37" s="1011"/>
      <c r="M37" s="1011"/>
      <c r="N37" s="1011"/>
      <c r="O37" s="1011"/>
      <c r="P37" s="1011"/>
      <c r="Q37" s="1011"/>
      <c r="R37" s="1011"/>
      <c r="S37" s="1011"/>
      <c r="T37" s="1011"/>
      <c r="U37" s="1011"/>
      <c r="V37" s="1011"/>
      <c r="W37" s="1011"/>
      <c r="X37" s="1011"/>
      <c r="Y37" s="1011"/>
      <c r="Z37" s="1011"/>
      <c r="AA37" s="1011"/>
      <c r="AB37" s="1011"/>
      <c r="AC37" s="1011"/>
      <c r="AD37" s="1011"/>
      <c r="AE37" s="1011"/>
      <c r="AF37" s="1011"/>
      <c r="AG37" s="1011"/>
      <c r="AH37" s="1011"/>
      <c r="AI37" s="1011"/>
      <c r="AJ37" s="1011"/>
      <c r="AK37" s="1011"/>
      <c r="AL37" s="1011"/>
      <c r="AM37" s="1011"/>
      <c r="AN37" s="1011"/>
      <c r="AO37" s="1011"/>
      <c r="AP37" s="1011"/>
      <c r="AQ37" s="1011"/>
      <c r="AR37" s="59"/>
      <c r="AS37" s="59"/>
      <c r="AT37" s="59"/>
      <c r="AU37" s="809"/>
      <c r="AV37" s="874"/>
      <c r="AW37" s="975"/>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row>
    <row r="38" spans="2:78" ht="15.95" customHeight="1">
      <c r="C38" s="804" t="s">
        <v>99</v>
      </c>
      <c r="D38" s="804"/>
      <c r="E38" s="804"/>
      <c r="F38" s="804"/>
      <c r="G38" s="804"/>
      <c r="H38" s="804"/>
      <c r="I38" s="804"/>
      <c r="J38" s="804"/>
      <c r="K38" s="804"/>
      <c r="L38" s="804"/>
      <c r="M38" s="804"/>
      <c r="N38" s="804" t="s">
        <v>103</v>
      </c>
      <c r="O38" s="804"/>
      <c r="P38" s="804"/>
      <c r="Q38" s="804"/>
      <c r="R38" s="804"/>
      <c r="S38" s="804"/>
      <c r="T38" s="804" t="s">
        <v>100</v>
      </c>
      <c r="U38" s="804"/>
      <c r="V38" s="804" t="s">
        <v>91</v>
      </c>
      <c r="W38" s="804"/>
      <c r="X38" s="804" t="s">
        <v>115</v>
      </c>
      <c r="Y38" s="804"/>
      <c r="Z38" s="804"/>
      <c r="AA38" s="804"/>
      <c r="AB38" s="804" t="s">
        <v>104</v>
      </c>
      <c r="AC38" s="804"/>
      <c r="AD38" s="804"/>
      <c r="AE38" s="804" t="s">
        <v>97</v>
      </c>
      <c r="AF38" s="804"/>
      <c r="AG38" s="804" t="s">
        <v>98</v>
      </c>
      <c r="AH38" s="804"/>
      <c r="AI38" s="804" t="s">
        <v>93</v>
      </c>
      <c r="AJ38" s="804"/>
      <c r="AK38" s="804" t="s">
        <v>1362</v>
      </c>
      <c r="AL38" s="804"/>
      <c r="AM38" s="804"/>
      <c r="AN38" s="804" t="s">
        <v>108</v>
      </c>
      <c r="AO38" s="804"/>
      <c r="AP38" s="804"/>
      <c r="AQ38" s="804"/>
      <c r="AR38" s="59"/>
      <c r="AS38" s="59"/>
      <c r="AT38" s="59"/>
      <c r="AU38" s="808"/>
      <c r="AV38" s="873"/>
      <c r="AW38" s="974"/>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row>
    <row r="39" spans="2:78" ht="15.95" customHeight="1" thickBot="1">
      <c r="C39" s="805"/>
      <c r="D39" s="805"/>
      <c r="E39" s="805"/>
      <c r="F39" s="805"/>
      <c r="G39" s="805"/>
      <c r="H39" s="805"/>
      <c r="I39" s="805"/>
      <c r="J39" s="805"/>
      <c r="K39" s="805"/>
      <c r="L39" s="805"/>
      <c r="M39" s="805"/>
      <c r="N39" s="805"/>
      <c r="O39" s="805"/>
      <c r="P39" s="805"/>
      <c r="Q39" s="805"/>
      <c r="R39" s="805"/>
      <c r="S39" s="805"/>
      <c r="T39" s="805"/>
      <c r="U39" s="805"/>
      <c r="V39" s="805"/>
      <c r="W39" s="805"/>
      <c r="X39" s="805"/>
      <c r="Y39" s="805"/>
      <c r="Z39" s="805"/>
      <c r="AA39" s="805"/>
      <c r="AB39" s="805"/>
      <c r="AC39" s="805"/>
      <c r="AD39" s="805"/>
      <c r="AE39" s="805"/>
      <c r="AF39" s="805"/>
      <c r="AG39" s="805"/>
      <c r="AH39" s="805"/>
      <c r="AI39" s="805"/>
      <c r="AJ39" s="805"/>
      <c r="AK39" s="805"/>
      <c r="AL39" s="805"/>
      <c r="AM39" s="805"/>
      <c r="AN39" s="805"/>
      <c r="AO39" s="805"/>
      <c r="AP39" s="805"/>
      <c r="AQ39" s="805"/>
      <c r="AR39" s="59"/>
      <c r="AS39" s="59"/>
      <c r="AT39" s="59"/>
      <c r="AU39" s="809"/>
      <c r="AV39" s="874"/>
      <c r="AW39" s="975"/>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row>
    <row r="40" spans="2:78" ht="15.95" customHeight="1">
      <c r="B40" s="829">
        <v>13</v>
      </c>
      <c r="C40" s="832"/>
      <c r="D40" s="833"/>
      <c r="E40" s="833"/>
      <c r="F40" s="833"/>
      <c r="G40" s="833"/>
      <c r="H40" s="833"/>
      <c r="I40" s="833"/>
      <c r="J40" s="833"/>
      <c r="K40" s="833"/>
      <c r="L40" s="833"/>
      <c r="M40" s="834"/>
      <c r="N40" s="908" t="str">
        <f>IFERROR(IF(C40="","",INDEX(PMGKITCHEN[Base Desc 1],MATCH(C40,PMGKITCHEN[Eff Desc 1],0))),"")</f>
        <v/>
      </c>
      <c r="O40" s="909"/>
      <c r="P40" s="909"/>
      <c r="Q40" s="909"/>
      <c r="R40" s="909"/>
      <c r="S40" s="910"/>
      <c r="T40" s="1004" t="str">
        <f>IFERROR(IF(C40="","",INDEX(PMGKITCHEN[Unit of Measure],MATCH(C40,PMGKITCHEN[Eff Desc 1],0))),"")</f>
        <v/>
      </c>
      <c r="U40" s="1005"/>
      <c r="V40" s="846"/>
      <c r="W40" s="847"/>
      <c r="X40" s="832"/>
      <c r="Y40" s="833"/>
      <c r="Z40" s="833"/>
      <c r="AA40" s="834"/>
      <c r="AB40" s="832"/>
      <c r="AC40" s="833"/>
      <c r="AD40" s="834"/>
      <c r="AE40" s="858"/>
      <c r="AF40" s="869"/>
      <c r="AG40" s="858"/>
      <c r="AH40" s="869"/>
      <c r="AI40" s="917" t="str">
        <f>IFERROR(IF(C40="","",INDEX(PMGKITCHEN[Inc Rate Unit],MATCH(C40,PMGKITCHEN[Eff Desc 1],0))),"")</f>
        <v/>
      </c>
      <c r="AJ40" s="918"/>
      <c r="AK40" s="998" t="str">
        <f>IF(OR(C40="",V40="",X40="",AB40="",AE40="",AG40=""),"",ROUND(V40*INDEX(PMGKITCHEN[Savings per Unit Therm],MATCH(C40,PMGKITCHEN[Eff Desc 1],2)),0))</f>
        <v/>
      </c>
      <c r="AL40" s="999"/>
      <c r="AM40" s="1000"/>
      <c r="AN40" s="815" t="str">
        <f t="shared" ref="AN40" si="8">IF(OR(C40="",V40="",X40="",AB40="",AE40="",AG40=""),"",IF(BC40&lt;&gt;"",BC40,MIN(AU40,ROUND(V40*AI40,2))))</f>
        <v/>
      </c>
      <c r="AO40" s="816"/>
      <c r="AP40" s="816"/>
      <c r="AQ40" s="817"/>
      <c r="AR40" s="59"/>
      <c r="AS40" s="59"/>
      <c r="AT40" s="59"/>
      <c r="AU40" s="808" t="str">
        <f>IF(OR(,V40="",X40="",AB40="",AE40="",AG40=""),"",ROUND((AE40+AG40)*V40,2))</f>
        <v/>
      </c>
      <c r="AV40" s="873">
        <v>0</v>
      </c>
      <c r="AW40" s="974"/>
      <c r="AX40" s="59"/>
      <c r="AY40" s="59"/>
      <c r="AZ40" s="59"/>
      <c r="BA40" s="59"/>
      <c r="BB40" s="59"/>
      <c r="BC40" s="825" t="str">
        <f>IF(OR(N40="",T40="",C40="",V40="",X40="",AB40="",AE40="",AG40=""),"",IF(OR(ISBLANK(M02S02F26),ISBLANK(M02S02F32),ISBLANK(M02S02F46)),MEASUREBLDG,""))</f>
        <v/>
      </c>
      <c r="BD40" s="59"/>
      <c r="BE40" s="806"/>
      <c r="BF40" s="59"/>
      <c r="BG40" s="59"/>
      <c r="BH40" s="59"/>
      <c r="BI40" s="59"/>
      <c r="BJ40" s="59"/>
      <c r="BK40" s="59"/>
      <c r="BL40" s="59"/>
      <c r="BM40" s="59"/>
      <c r="BN40" s="59"/>
      <c r="BO40" s="59"/>
      <c r="BP40" s="59"/>
      <c r="BQ40" s="59"/>
      <c r="BR40" s="59"/>
      <c r="BS40" s="59"/>
      <c r="BT40" s="59"/>
      <c r="BU40" s="59"/>
      <c r="BV40" s="59"/>
      <c r="BW40" s="59"/>
      <c r="BX40" s="59"/>
      <c r="BY40" s="59"/>
      <c r="BZ40" s="59"/>
    </row>
    <row r="41" spans="2:78" ht="15.95" customHeight="1">
      <c r="B41" s="829"/>
      <c r="C41" s="835"/>
      <c r="D41" s="836"/>
      <c r="E41" s="836"/>
      <c r="F41" s="836"/>
      <c r="G41" s="836"/>
      <c r="H41" s="836"/>
      <c r="I41" s="836"/>
      <c r="J41" s="836"/>
      <c r="K41" s="836"/>
      <c r="L41" s="836"/>
      <c r="M41" s="837"/>
      <c r="N41" s="911"/>
      <c r="O41" s="912"/>
      <c r="P41" s="912"/>
      <c r="Q41" s="912"/>
      <c r="R41" s="912"/>
      <c r="S41" s="913"/>
      <c r="T41" s="1006"/>
      <c r="U41" s="1007"/>
      <c r="V41" s="848"/>
      <c r="W41" s="849"/>
      <c r="X41" s="835"/>
      <c r="Y41" s="836"/>
      <c r="Z41" s="836"/>
      <c r="AA41" s="837"/>
      <c r="AB41" s="835"/>
      <c r="AC41" s="836"/>
      <c r="AD41" s="837"/>
      <c r="AE41" s="860"/>
      <c r="AF41" s="870"/>
      <c r="AG41" s="860"/>
      <c r="AH41" s="870"/>
      <c r="AI41" s="919"/>
      <c r="AJ41" s="865"/>
      <c r="AK41" s="1001"/>
      <c r="AL41" s="1002"/>
      <c r="AM41" s="1003"/>
      <c r="AN41" s="818"/>
      <c r="AO41" s="819"/>
      <c r="AP41" s="819"/>
      <c r="AQ41" s="820"/>
      <c r="AR41" s="59"/>
      <c r="AS41" s="59"/>
      <c r="AT41" s="59"/>
      <c r="AU41" s="809"/>
      <c r="AV41" s="874"/>
      <c r="AW41" s="975"/>
      <c r="AX41" s="59"/>
      <c r="AY41" s="59"/>
      <c r="AZ41" s="59"/>
      <c r="BA41" s="59"/>
      <c r="BB41" s="59"/>
      <c r="BC41" s="826"/>
      <c r="BD41" s="59"/>
      <c r="BE41" s="807"/>
      <c r="BF41" s="59"/>
      <c r="BG41" s="59"/>
      <c r="BH41" s="59"/>
      <c r="BI41" s="59"/>
      <c r="BJ41" s="59"/>
      <c r="BK41" s="59"/>
      <c r="BL41" s="59"/>
      <c r="BM41" s="59"/>
      <c r="BN41" s="59"/>
      <c r="BO41" s="59"/>
      <c r="BP41" s="59"/>
      <c r="BQ41" s="59"/>
      <c r="BR41" s="59"/>
      <c r="BS41" s="59"/>
      <c r="BT41" s="59"/>
      <c r="BU41" s="59"/>
      <c r="BV41" s="59"/>
      <c r="BW41" s="59"/>
      <c r="BX41" s="59"/>
      <c r="BY41" s="59"/>
      <c r="BZ41" s="59"/>
    </row>
    <row r="42" spans="2:78" ht="15.95" customHeight="1">
      <c r="B42" s="829">
        <v>14</v>
      </c>
      <c r="C42" s="832"/>
      <c r="D42" s="833"/>
      <c r="E42" s="833"/>
      <c r="F42" s="833"/>
      <c r="G42" s="833"/>
      <c r="H42" s="833"/>
      <c r="I42" s="833"/>
      <c r="J42" s="833"/>
      <c r="K42" s="833"/>
      <c r="L42" s="833"/>
      <c r="M42" s="834"/>
      <c r="N42" s="908" t="str">
        <f>IFERROR(IF(C42="","",INDEX(PMGKITCHEN[Base Desc 1],MATCH(C42,PMGKITCHEN[Eff Desc 1],0))),"")</f>
        <v/>
      </c>
      <c r="O42" s="909"/>
      <c r="P42" s="909"/>
      <c r="Q42" s="909"/>
      <c r="R42" s="909"/>
      <c r="S42" s="910"/>
      <c r="T42" s="1004" t="str">
        <f>IFERROR(IF(C42="","",INDEX(PMGKITCHEN[Unit of Measure],MATCH(C42,PMGKITCHEN[Eff Desc 1],0))),"")</f>
        <v/>
      </c>
      <c r="U42" s="1005"/>
      <c r="V42" s="846"/>
      <c r="W42" s="847"/>
      <c r="X42" s="832"/>
      <c r="Y42" s="833"/>
      <c r="Z42" s="833"/>
      <c r="AA42" s="834"/>
      <c r="AB42" s="832"/>
      <c r="AC42" s="833"/>
      <c r="AD42" s="834"/>
      <c r="AE42" s="858"/>
      <c r="AF42" s="869"/>
      <c r="AG42" s="858"/>
      <c r="AH42" s="869"/>
      <c r="AI42" s="917" t="str">
        <f>IFERROR(IF(C42="","",INDEX(PMGKITCHEN[Inc Rate Unit],MATCH(C42,PMGKITCHEN[Eff Desc 1],0))),"")</f>
        <v/>
      </c>
      <c r="AJ42" s="918"/>
      <c r="AK42" s="998" t="str">
        <f>IF(OR(C42="",V42="",X42="",AB42="",AE42="",AG42=""),"",ROUND(V42*INDEX(PMGKITCHEN[Savings per Unit Therm],MATCH(C42,PMGKITCHEN[Eff Desc 1],2)),0))</f>
        <v/>
      </c>
      <c r="AL42" s="999"/>
      <c r="AM42" s="1000"/>
      <c r="AN42" s="815" t="str">
        <f t="shared" ref="AN42" si="9">IF(OR(C42="",V42="",X42="",AB42="",AE42="",AG42=""),"",IF(BC42&lt;&gt;"",BC42,MIN(AU42,ROUND(V42*AI42,2))))</f>
        <v/>
      </c>
      <c r="AO42" s="816"/>
      <c r="AP42" s="816"/>
      <c r="AQ42" s="817"/>
      <c r="AR42" s="59"/>
      <c r="AS42" s="59"/>
      <c r="AT42" s="59"/>
      <c r="AU42" s="808" t="str">
        <f>IF(OR(,V42="",X42="",AB42="",AE42="",AG42=""),"",ROUND((AE42+AG42)*V42,2))</f>
        <v/>
      </c>
      <c r="AV42" s="873">
        <v>0</v>
      </c>
      <c r="AW42" s="974"/>
      <c r="AX42" s="59"/>
      <c r="AY42" s="59"/>
      <c r="AZ42" s="59"/>
      <c r="BA42" s="59"/>
      <c r="BB42" s="59"/>
      <c r="BC42" s="825" t="str">
        <f>IF(OR(N42="",T42="",C42="",V42="",X42="",AB42="",AE42="",AG42=""),"",IF(OR(ISBLANK(M02S02F26),ISBLANK(M02S02F32),ISBLANK(M02S02F46)),MEASUREBLDG,""))</f>
        <v/>
      </c>
      <c r="BD42" s="59"/>
      <c r="BE42" s="806"/>
      <c r="BF42" s="59"/>
      <c r="BG42" s="59"/>
      <c r="BH42" s="59"/>
      <c r="BI42" s="59"/>
      <c r="BJ42" s="59"/>
      <c r="BK42" s="59"/>
      <c r="BL42" s="59"/>
      <c r="BM42" s="59"/>
      <c r="BN42" s="59"/>
      <c r="BO42" s="59"/>
      <c r="BP42" s="59"/>
      <c r="BQ42" s="59"/>
      <c r="BR42" s="59"/>
      <c r="BS42" s="59"/>
      <c r="BT42" s="59"/>
      <c r="BU42" s="59"/>
      <c r="BV42" s="59"/>
      <c r="BW42" s="59"/>
      <c r="BX42" s="59"/>
      <c r="BY42" s="59"/>
      <c r="BZ42" s="59"/>
    </row>
    <row r="43" spans="2:78" ht="15.95" customHeight="1">
      <c r="B43" s="829"/>
      <c r="C43" s="835"/>
      <c r="D43" s="836"/>
      <c r="E43" s="836"/>
      <c r="F43" s="836"/>
      <c r="G43" s="836"/>
      <c r="H43" s="836"/>
      <c r="I43" s="836"/>
      <c r="J43" s="836"/>
      <c r="K43" s="836"/>
      <c r="L43" s="836"/>
      <c r="M43" s="837"/>
      <c r="N43" s="911"/>
      <c r="O43" s="912"/>
      <c r="P43" s="912"/>
      <c r="Q43" s="912"/>
      <c r="R43" s="912"/>
      <c r="S43" s="913"/>
      <c r="T43" s="1006"/>
      <c r="U43" s="1007"/>
      <c r="V43" s="848"/>
      <c r="W43" s="849"/>
      <c r="X43" s="835"/>
      <c r="Y43" s="836"/>
      <c r="Z43" s="836"/>
      <c r="AA43" s="837"/>
      <c r="AB43" s="835"/>
      <c r="AC43" s="836"/>
      <c r="AD43" s="837"/>
      <c r="AE43" s="860"/>
      <c r="AF43" s="870"/>
      <c r="AG43" s="860"/>
      <c r="AH43" s="870"/>
      <c r="AI43" s="919"/>
      <c r="AJ43" s="865"/>
      <c r="AK43" s="1001"/>
      <c r="AL43" s="1002"/>
      <c r="AM43" s="1003"/>
      <c r="AN43" s="818"/>
      <c r="AO43" s="819"/>
      <c r="AP43" s="819"/>
      <c r="AQ43" s="820"/>
      <c r="AR43" s="59"/>
      <c r="AS43" s="59"/>
      <c r="AT43" s="59"/>
      <c r="AU43" s="809"/>
      <c r="AV43" s="874"/>
      <c r="AW43" s="975"/>
      <c r="AX43" s="59"/>
      <c r="AY43" s="59"/>
      <c r="AZ43" s="59"/>
      <c r="BA43" s="59"/>
      <c r="BB43" s="59"/>
      <c r="BC43" s="826"/>
      <c r="BD43" s="59"/>
      <c r="BE43" s="807"/>
      <c r="BF43" s="59"/>
      <c r="BG43" s="59"/>
      <c r="BH43" s="59"/>
      <c r="BI43" s="59"/>
      <c r="BJ43" s="59"/>
      <c r="BK43" s="59"/>
      <c r="BL43" s="59"/>
      <c r="BM43" s="59"/>
      <c r="BN43" s="59"/>
      <c r="BO43" s="59"/>
      <c r="BP43" s="59"/>
      <c r="BQ43" s="59"/>
      <c r="BR43" s="59"/>
      <c r="BS43" s="59"/>
      <c r="BT43" s="59"/>
      <c r="BU43" s="59"/>
      <c r="BV43" s="59"/>
      <c r="BW43" s="59"/>
      <c r="BX43" s="59"/>
      <c r="BY43" s="59"/>
      <c r="BZ43" s="59"/>
    </row>
    <row r="44" spans="2:78" ht="15.95" customHeight="1">
      <c r="B44" s="829">
        <v>15</v>
      </c>
      <c r="C44" s="832"/>
      <c r="D44" s="833"/>
      <c r="E44" s="833"/>
      <c r="F44" s="833"/>
      <c r="G44" s="833"/>
      <c r="H44" s="833"/>
      <c r="I44" s="833"/>
      <c r="J44" s="833"/>
      <c r="K44" s="833"/>
      <c r="L44" s="833"/>
      <c r="M44" s="834"/>
      <c r="N44" s="908" t="str">
        <f>IFERROR(IF(C44="","",INDEX(PMGKITCHEN[Base Desc 1],MATCH(C44,PMGKITCHEN[Eff Desc 1],0))),"")</f>
        <v/>
      </c>
      <c r="O44" s="909"/>
      <c r="P44" s="909"/>
      <c r="Q44" s="909"/>
      <c r="R44" s="909"/>
      <c r="S44" s="910"/>
      <c r="T44" s="1004" t="str">
        <f>IFERROR(IF(C44="","",INDEX(PMGKITCHEN[Unit of Measure],MATCH(C44,PMGKITCHEN[Eff Desc 1],0))),"")</f>
        <v/>
      </c>
      <c r="U44" s="1005"/>
      <c r="V44" s="846"/>
      <c r="W44" s="847"/>
      <c r="X44" s="832"/>
      <c r="Y44" s="833"/>
      <c r="Z44" s="833"/>
      <c r="AA44" s="834"/>
      <c r="AB44" s="832"/>
      <c r="AC44" s="833"/>
      <c r="AD44" s="834"/>
      <c r="AE44" s="858"/>
      <c r="AF44" s="869"/>
      <c r="AG44" s="858"/>
      <c r="AH44" s="869"/>
      <c r="AI44" s="917" t="str">
        <f>IFERROR(IF(C44="","",INDEX(PMGKITCHEN[Inc Rate Unit],MATCH(C44,PMGKITCHEN[Eff Desc 1],0))),"")</f>
        <v/>
      </c>
      <c r="AJ44" s="918"/>
      <c r="AK44" s="998" t="str">
        <f>IF(OR(C44="",V44="",X44="",AB44="",AE44="",AG44=""),"",ROUND(V44*INDEX(PMGKITCHEN[Savings per Unit Therm],MATCH(C44,PMGKITCHEN[Eff Desc 1],2)),0))</f>
        <v/>
      </c>
      <c r="AL44" s="999"/>
      <c r="AM44" s="1000"/>
      <c r="AN44" s="815" t="str">
        <f t="shared" ref="AN44" si="10">IF(OR(C44="",V44="",X44="",AB44="",AE44="",AG44=""),"",IF(BC44&lt;&gt;"",BC44,MIN(AU44,ROUND(V44*AI44,2))))</f>
        <v/>
      </c>
      <c r="AO44" s="816"/>
      <c r="AP44" s="816"/>
      <c r="AQ44" s="817"/>
      <c r="AS44" s="59"/>
      <c r="AT44" s="59"/>
      <c r="AU44" s="808" t="str">
        <f t="shared" ref="AU44" si="11">IF(OR(,V44="",X44="",AB44="",AE44="",AG44=""),"",ROUND((AE44+AG44)*V44,2))</f>
        <v/>
      </c>
      <c r="AV44" s="873">
        <v>0</v>
      </c>
      <c r="AW44" s="974"/>
      <c r="AX44" s="59"/>
      <c r="AZ44" s="59"/>
      <c r="BC44" s="825" t="str">
        <f>IF(OR(N44="",T44="",C44="",V44="",X44="",AB44="",AE44="",AG44=""),"",IF(OR(ISBLANK(M02S02F26),ISBLANK(M02S02F32),ISBLANK(M02S02F46)),MEASUREBLDG,""))</f>
        <v/>
      </c>
      <c r="BD44" s="59"/>
      <c r="BE44" s="806"/>
      <c r="BF44" s="59"/>
      <c r="BG44" s="59"/>
      <c r="BH44" s="59"/>
      <c r="BI44" s="59"/>
      <c r="BJ44" s="59"/>
      <c r="BK44" s="59"/>
      <c r="BL44" s="59"/>
      <c r="BM44" s="59"/>
      <c r="BN44" s="59"/>
      <c r="BO44" s="59"/>
      <c r="BP44" s="59"/>
      <c r="BQ44" s="59"/>
      <c r="BR44" s="59"/>
      <c r="BS44" s="59"/>
      <c r="BT44" s="59"/>
      <c r="BU44" s="59"/>
      <c r="BV44" s="59"/>
      <c r="BW44" s="59"/>
      <c r="BX44" s="59"/>
      <c r="BY44" s="59"/>
      <c r="BZ44" s="59"/>
    </row>
    <row r="45" spans="2:78" ht="15.95" customHeight="1">
      <c r="B45" s="829"/>
      <c r="C45" s="835"/>
      <c r="D45" s="836"/>
      <c r="E45" s="836"/>
      <c r="F45" s="836"/>
      <c r="G45" s="836"/>
      <c r="H45" s="836"/>
      <c r="I45" s="836"/>
      <c r="J45" s="836"/>
      <c r="K45" s="836"/>
      <c r="L45" s="836"/>
      <c r="M45" s="837"/>
      <c r="N45" s="911"/>
      <c r="O45" s="912"/>
      <c r="P45" s="912"/>
      <c r="Q45" s="912"/>
      <c r="R45" s="912"/>
      <c r="S45" s="913"/>
      <c r="T45" s="1006"/>
      <c r="U45" s="1007"/>
      <c r="V45" s="848"/>
      <c r="W45" s="849"/>
      <c r="X45" s="835"/>
      <c r="Y45" s="836"/>
      <c r="Z45" s="836"/>
      <c r="AA45" s="837"/>
      <c r="AB45" s="835"/>
      <c r="AC45" s="836"/>
      <c r="AD45" s="837"/>
      <c r="AE45" s="860"/>
      <c r="AF45" s="870"/>
      <c r="AG45" s="860"/>
      <c r="AH45" s="870"/>
      <c r="AI45" s="919"/>
      <c r="AJ45" s="865"/>
      <c r="AK45" s="1001"/>
      <c r="AL45" s="1002"/>
      <c r="AM45" s="1003"/>
      <c r="AN45" s="818"/>
      <c r="AO45" s="819"/>
      <c r="AP45" s="819"/>
      <c r="AQ45" s="820"/>
      <c r="AS45" s="59"/>
      <c r="AT45" s="59"/>
      <c r="AU45" s="809"/>
      <c r="AV45" s="874"/>
      <c r="AW45" s="975"/>
      <c r="AX45" s="59"/>
      <c r="AZ45" s="59"/>
      <c r="BC45" s="826"/>
      <c r="BD45" s="59"/>
      <c r="BE45" s="807"/>
      <c r="BF45" s="59"/>
      <c r="BG45" s="59"/>
      <c r="BH45" s="59"/>
      <c r="BI45" s="59"/>
      <c r="BJ45" s="59"/>
      <c r="BK45" s="59"/>
      <c r="BL45" s="59"/>
      <c r="BM45" s="59"/>
      <c r="BN45" s="59"/>
      <c r="BO45" s="59"/>
      <c r="BP45" s="59"/>
      <c r="BQ45" s="59"/>
      <c r="BR45" s="59"/>
      <c r="BS45" s="59"/>
      <c r="BT45" s="59"/>
      <c r="BU45" s="59"/>
      <c r="BV45" s="59"/>
      <c r="BW45" s="59"/>
      <c r="BX45" s="59"/>
      <c r="BY45" s="59"/>
      <c r="BZ45" s="59"/>
    </row>
    <row r="46" spans="2:78" ht="15.95" customHeight="1">
      <c r="B46" s="923">
        <v>16</v>
      </c>
      <c r="C46" s="832"/>
      <c r="D46" s="833"/>
      <c r="E46" s="833"/>
      <c r="F46" s="833"/>
      <c r="G46" s="833"/>
      <c r="H46" s="833"/>
      <c r="I46" s="833"/>
      <c r="J46" s="833"/>
      <c r="K46" s="833"/>
      <c r="L46" s="833"/>
      <c r="M46" s="834"/>
      <c r="N46" s="908" t="str">
        <f>IFERROR(IF(C46="","",INDEX(PMGKITCHEN[Base Desc 1],MATCH(C46,PMGKITCHEN[Eff Desc 1],0))),"")</f>
        <v/>
      </c>
      <c r="O46" s="909"/>
      <c r="P46" s="909"/>
      <c r="Q46" s="909"/>
      <c r="R46" s="909"/>
      <c r="S46" s="910"/>
      <c r="T46" s="1004" t="str">
        <f>IFERROR(IF(C46="","",INDEX(PMGKITCHEN[Unit of Measure],MATCH(C46,PMGKITCHEN[Eff Desc 1],0))),"")</f>
        <v/>
      </c>
      <c r="U46" s="1005"/>
      <c r="V46" s="846"/>
      <c r="W46" s="847"/>
      <c r="X46" s="832"/>
      <c r="Y46" s="833"/>
      <c r="Z46" s="833"/>
      <c r="AA46" s="834"/>
      <c r="AB46" s="832"/>
      <c r="AC46" s="833"/>
      <c r="AD46" s="834"/>
      <c r="AE46" s="858"/>
      <c r="AF46" s="869"/>
      <c r="AG46" s="858"/>
      <c r="AH46" s="869"/>
      <c r="AI46" s="917" t="str">
        <f>IFERROR(IF(C46="","",INDEX(PMGKITCHEN[Inc Rate Unit],MATCH(C46,PMGKITCHEN[Eff Desc 1],0))),"")</f>
        <v/>
      </c>
      <c r="AJ46" s="918"/>
      <c r="AK46" s="998" t="str">
        <f>IF(OR(C46="",V46="",X46="",AB46="",AE46="",AG46=""),"",ROUND(V46*INDEX(PMGKITCHEN[Savings per Unit Therm],MATCH(C46,PMGKITCHEN[Eff Desc 1],2)),0))</f>
        <v/>
      </c>
      <c r="AL46" s="999"/>
      <c r="AM46" s="1000"/>
      <c r="AN46" s="815" t="str">
        <f t="shared" ref="AN46" si="12">IF(OR(C46="",V46="",X46="",AB46="",AE46="",AG46=""),"",IF(BC46&lt;&gt;"",BC46,MIN(AU46,ROUND(V46*AI46,2))))</f>
        <v/>
      </c>
      <c r="AO46" s="816"/>
      <c r="AP46" s="816"/>
      <c r="AQ46" s="817"/>
      <c r="AS46" s="59"/>
      <c r="AT46" s="59"/>
      <c r="AU46" s="808" t="str">
        <f t="shared" ref="AU46" si="13">IF(OR(,V46="",X46="",AB46="",AE46="",AG46=""),"",ROUND((AE46+AG46)*V46,2))</f>
        <v/>
      </c>
      <c r="AV46" s="873">
        <v>0</v>
      </c>
      <c r="AW46" s="974"/>
      <c r="AX46" s="59"/>
      <c r="AY46" s="59"/>
      <c r="AZ46" s="59"/>
      <c r="BA46" s="59"/>
      <c r="BB46" s="59"/>
      <c r="BC46" s="825" t="str">
        <f>IF(OR(N46="",T46="",C46="",V46="",X46="",AB46="",AE46="",AG46=""),"",IF(OR(ISBLANK(M02S02F26),ISBLANK(M02S02F32),ISBLANK(M02S02F46)),MEASUREBLDG,""))</f>
        <v/>
      </c>
      <c r="BD46" s="59"/>
      <c r="BE46" s="806"/>
      <c r="BF46" s="59"/>
      <c r="BG46" s="59"/>
      <c r="BH46" s="59"/>
      <c r="BI46" s="59"/>
      <c r="BJ46" s="59"/>
      <c r="BK46" s="59"/>
      <c r="BL46" s="59"/>
      <c r="BM46" s="59"/>
      <c r="BN46" s="59"/>
      <c r="BO46" s="59"/>
      <c r="BP46" s="59"/>
      <c r="BQ46" s="59"/>
      <c r="BR46" s="59"/>
      <c r="BS46" s="59"/>
      <c r="BT46" s="59"/>
      <c r="BU46" s="59"/>
      <c r="BV46" s="59"/>
      <c r="BW46" s="59"/>
      <c r="BX46" s="59"/>
      <c r="BY46" s="59"/>
      <c r="BZ46" s="59"/>
    </row>
    <row r="47" spans="2:78" ht="15.95" customHeight="1">
      <c r="B47" s="923"/>
      <c r="C47" s="835"/>
      <c r="D47" s="836"/>
      <c r="E47" s="836"/>
      <c r="F47" s="836"/>
      <c r="G47" s="836"/>
      <c r="H47" s="836"/>
      <c r="I47" s="836"/>
      <c r="J47" s="836"/>
      <c r="K47" s="836"/>
      <c r="L47" s="836"/>
      <c r="M47" s="837"/>
      <c r="N47" s="911"/>
      <c r="O47" s="912"/>
      <c r="P47" s="912"/>
      <c r="Q47" s="912"/>
      <c r="R47" s="912"/>
      <c r="S47" s="913"/>
      <c r="T47" s="1006"/>
      <c r="U47" s="1007"/>
      <c r="V47" s="848"/>
      <c r="W47" s="849"/>
      <c r="X47" s="835"/>
      <c r="Y47" s="836"/>
      <c r="Z47" s="836"/>
      <c r="AA47" s="837"/>
      <c r="AB47" s="835"/>
      <c r="AC47" s="836"/>
      <c r="AD47" s="837"/>
      <c r="AE47" s="860"/>
      <c r="AF47" s="870"/>
      <c r="AG47" s="860"/>
      <c r="AH47" s="870"/>
      <c r="AI47" s="919"/>
      <c r="AJ47" s="865"/>
      <c r="AK47" s="1001"/>
      <c r="AL47" s="1002"/>
      <c r="AM47" s="1003"/>
      <c r="AN47" s="818"/>
      <c r="AO47" s="819"/>
      <c r="AP47" s="819"/>
      <c r="AQ47" s="820"/>
      <c r="AS47" s="59"/>
      <c r="AT47" s="59"/>
      <c r="AU47" s="809"/>
      <c r="AV47" s="874"/>
      <c r="AW47" s="975"/>
      <c r="AX47" s="59"/>
      <c r="AY47" s="59"/>
      <c r="AZ47" s="59"/>
      <c r="BA47" s="59"/>
      <c r="BB47" s="59"/>
      <c r="BC47" s="826"/>
      <c r="BD47" s="59"/>
      <c r="BE47" s="807"/>
      <c r="BF47" s="59"/>
      <c r="BG47" s="59"/>
      <c r="BH47" s="59"/>
      <c r="BI47" s="59"/>
      <c r="BJ47" s="59"/>
      <c r="BK47" s="59"/>
      <c r="BL47" s="59"/>
      <c r="BM47" s="59"/>
      <c r="BN47" s="59"/>
      <c r="BO47" s="59"/>
      <c r="BP47" s="59"/>
      <c r="BQ47" s="59"/>
      <c r="BR47" s="59"/>
      <c r="BS47" s="59"/>
      <c r="BT47" s="59"/>
      <c r="BU47" s="59"/>
      <c r="BV47" s="59"/>
      <c r="BW47" s="59"/>
      <c r="BX47" s="59"/>
      <c r="BY47" s="59"/>
      <c r="BZ47" s="59"/>
    </row>
    <row r="48" spans="2:78" ht="15.95" customHeight="1">
      <c r="B48" s="923">
        <v>17</v>
      </c>
      <c r="C48" s="832"/>
      <c r="D48" s="833"/>
      <c r="E48" s="833"/>
      <c r="F48" s="833"/>
      <c r="G48" s="833"/>
      <c r="H48" s="833"/>
      <c r="I48" s="833"/>
      <c r="J48" s="833"/>
      <c r="K48" s="833"/>
      <c r="L48" s="833"/>
      <c r="M48" s="834"/>
      <c r="N48" s="908" t="str">
        <f>IFERROR(IF(C48="","",INDEX(PMGKITCHEN[Base Desc 1],MATCH(C48,PMGKITCHEN[Eff Desc 1],0))),"")</f>
        <v/>
      </c>
      <c r="O48" s="909"/>
      <c r="P48" s="909"/>
      <c r="Q48" s="909"/>
      <c r="R48" s="909"/>
      <c r="S48" s="910"/>
      <c r="T48" s="1004" t="str">
        <f>IFERROR(IF(C48="","",INDEX(PMGKITCHEN[Unit of Measure],MATCH(C48,PMGKITCHEN[Eff Desc 1],0))),"")</f>
        <v/>
      </c>
      <c r="U48" s="1005"/>
      <c r="V48" s="846"/>
      <c r="W48" s="847"/>
      <c r="X48" s="832"/>
      <c r="Y48" s="833"/>
      <c r="Z48" s="833"/>
      <c r="AA48" s="834"/>
      <c r="AB48" s="832"/>
      <c r="AC48" s="833"/>
      <c r="AD48" s="834"/>
      <c r="AE48" s="858"/>
      <c r="AF48" s="869"/>
      <c r="AG48" s="858"/>
      <c r="AH48" s="869"/>
      <c r="AI48" s="917" t="str">
        <f>IFERROR(IF(C48="","",INDEX(PMGKITCHEN[Inc Rate Unit],MATCH(C48,PMGKITCHEN[Eff Desc 1],0))),"")</f>
        <v/>
      </c>
      <c r="AJ48" s="918"/>
      <c r="AK48" s="998" t="str">
        <f>IF(OR(C48="",V48="",X48="",AB48="",AE48="",AG48=""),"",ROUND(V48*INDEX(PMGKITCHEN[Savings per Unit Therm],MATCH(C48,PMGKITCHEN[Eff Desc 1],2)),0))</f>
        <v/>
      </c>
      <c r="AL48" s="999"/>
      <c r="AM48" s="1000"/>
      <c r="AN48" s="815" t="str">
        <f t="shared" ref="AN48" si="14">IF(OR(C48="",V48="",X48="",AB48="",AE48="",AG48=""),"",IF(BC48&lt;&gt;"",BC48,MIN(AU48,ROUND(V48*AI48,2))))</f>
        <v/>
      </c>
      <c r="AO48" s="816"/>
      <c r="AP48" s="816"/>
      <c r="AQ48" s="817"/>
      <c r="AS48" s="59"/>
      <c r="AT48" s="59"/>
      <c r="AU48" s="808" t="str">
        <f t="shared" ref="AU48" si="15">IF(OR(,V48="",X48="",AB48="",AE48="",AG48=""),"",ROUND((AE48+AG48)*V48,2))</f>
        <v/>
      </c>
      <c r="AV48" s="873">
        <v>0</v>
      </c>
      <c r="AW48" s="974"/>
      <c r="AX48" s="59"/>
      <c r="AY48" s="59"/>
      <c r="AZ48" s="59"/>
      <c r="BA48" s="59"/>
      <c r="BB48" s="59"/>
      <c r="BC48" s="825" t="str">
        <f>IF(OR(N48="",T48="",C48="",V48="",X48="",AB48="",AE48="",AG48=""),"",IF(OR(ISBLANK(M02S02F26),ISBLANK(M02S02F32),ISBLANK(M02S02F46)),MEASUREBLDG,""))</f>
        <v/>
      </c>
      <c r="BD48" s="59"/>
      <c r="BE48" s="806"/>
      <c r="BF48" s="59"/>
      <c r="BG48" s="59"/>
      <c r="BH48" s="59"/>
      <c r="BI48" s="59"/>
      <c r="BJ48" s="59"/>
      <c r="BK48" s="59"/>
      <c r="BL48" s="59"/>
      <c r="BM48" s="59"/>
      <c r="BN48" s="59"/>
      <c r="BO48" s="59"/>
      <c r="BP48" s="59"/>
      <c r="BQ48" s="59"/>
      <c r="BR48" s="59"/>
      <c r="BS48" s="59"/>
      <c r="BT48" s="59"/>
      <c r="BU48" s="59"/>
      <c r="BV48" s="59"/>
      <c r="BW48" s="59"/>
      <c r="BX48" s="59"/>
      <c r="BY48" s="59"/>
      <c r="BZ48" s="59"/>
    </row>
    <row r="49" spans="2:78" ht="15.95" customHeight="1">
      <c r="B49" s="923"/>
      <c r="C49" s="835"/>
      <c r="D49" s="836"/>
      <c r="E49" s="836"/>
      <c r="F49" s="836"/>
      <c r="G49" s="836"/>
      <c r="H49" s="836"/>
      <c r="I49" s="836"/>
      <c r="J49" s="836"/>
      <c r="K49" s="836"/>
      <c r="L49" s="836"/>
      <c r="M49" s="837"/>
      <c r="N49" s="911"/>
      <c r="O49" s="912"/>
      <c r="P49" s="912"/>
      <c r="Q49" s="912"/>
      <c r="R49" s="912"/>
      <c r="S49" s="913"/>
      <c r="T49" s="1006"/>
      <c r="U49" s="1007"/>
      <c r="V49" s="848"/>
      <c r="W49" s="849"/>
      <c r="X49" s="835"/>
      <c r="Y49" s="836"/>
      <c r="Z49" s="836"/>
      <c r="AA49" s="837"/>
      <c r="AB49" s="835"/>
      <c r="AC49" s="836"/>
      <c r="AD49" s="837"/>
      <c r="AE49" s="860"/>
      <c r="AF49" s="870"/>
      <c r="AG49" s="860"/>
      <c r="AH49" s="870"/>
      <c r="AI49" s="919"/>
      <c r="AJ49" s="865"/>
      <c r="AK49" s="1001"/>
      <c r="AL49" s="1002"/>
      <c r="AM49" s="1003"/>
      <c r="AN49" s="818"/>
      <c r="AO49" s="819"/>
      <c r="AP49" s="819"/>
      <c r="AQ49" s="820"/>
      <c r="AS49" s="59"/>
      <c r="AT49" s="59"/>
      <c r="AU49" s="809"/>
      <c r="AV49" s="874"/>
      <c r="AW49" s="975"/>
      <c r="AX49" s="59"/>
      <c r="AY49" s="59"/>
      <c r="AZ49" s="59"/>
      <c r="BA49" s="59"/>
      <c r="BB49" s="59"/>
      <c r="BC49" s="826"/>
      <c r="BD49" s="59"/>
      <c r="BE49" s="807"/>
      <c r="BF49" s="59"/>
      <c r="BG49" s="59"/>
      <c r="BH49" s="59"/>
      <c r="BI49" s="59"/>
      <c r="BJ49" s="59"/>
      <c r="BK49" s="59"/>
      <c r="BL49" s="59"/>
      <c r="BM49" s="59"/>
      <c r="BN49" s="59"/>
      <c r="BO49" s="59"/>
      <c r="BP49" s="59"/>
      <c r="BQ49" s="59"/>
      <c r="BR49" s="59"/>
      <c r="BS49" s="59"/>
      <c r="BT49" s="59"/>
      <c r="BU49" s="59"/>
      <c r="BV49" s="59"/>
      <c r="BW49" s="59"/>
      <c r="BX49" s="59"/>
      <c r="BY49" s="59"/>
      <c r="BZ49" s="59"/>
    </row>
    <row r="50" spans="2:78" ht="15.95" customHeight="1">
      <c r="B50" s="923">
        <v>18</v>
      </c>
      <c r="C50" s="832"/>
      <c r="D50" s="833"/>
      <c r="E50" s="833"/>
      <c r="F50" s="833"/>
      <c r="G50" s="833"/>
      <c r="H50" s="833"/>
      <c r="I50" s="833"/>
      <c r="J50" s="833"/>
      <c r="K50" s="833"/>
      <c r="L50" s="833"/>
      <c r="M50" s="834"/>
      <c r="N50" s="908" t="str">
        <f>IFERROR(IF(C50="","",INDEX(PMGKITCHEN[Base Desc 1],MATCH(C50,PMGKITCHEN[Eff Desc 1],0))),"")</f>
        <v/>
      </c>
      <c r="O50" s="909"/>
      <c r="P50" s="909"/>
      <c r="Q50" s="909"/>
      <c r="R50" s="909"/>
      <c r="S50" s="910"/>
      <c r="T50" s="1004" t="str">
        <f>IFERROR(IF(C50="","",INDEX(PMGKITCHEN[Unit of Measure],MATCH(C50,PMGKITCHEN[Eff Desc 1],0))),"")</f>
        <v/>
      </c>
      <c r="U50" s="1005"/>
      <c r="V50" s="846"/>
      <c r="W50" s="847"/>
      <c r="X50" s="832"/>
      <c r="Y50" s="833"/>
      <c r="Z50" s="833"/>
      <c r="AA50" s="834"/>
      <c r="AB50" s="832"/>
      <c r="AC50" s="833"/>
      <c r="AD50" s="834"/>
      <c r="AE50" s="858"/>
      <c r="AF50" s="869"/>
      <c r="AG50" s="858"/>
      <c r="AH50" s="869"/>
      <c r="AI50" s="917" t="str">
        <f>IFERROR(IF(C50="","",INDEX(PMGKITCHEN[Inc Rate Unit],MATCH(C50,PMGKITCHEN[Eff Desc 1],0))),"")</f>
        <v/>
      </c>
      <c r="AJ50" s="918"/>
      <c r="AK50" s="998" t="str">
        <f>IF(OR(C50="",V50="",X50="",AB50="",AE50="",AG50=""),"",ROUND(V50*INDEX(PMGKITCHEN[Savings per Unit Therm],MATCH(C50,PMGKITCHEN[Eff Desc 1],2)),0))</f>
        <v/>
      </c>
      <c r="AL50" s="999"/>
      <c r="AM50" s="1000"/>
      <c r="AN50" s="815" t="str">
        <f t="shared" ref="AN50" si="16">IF(OR(C50="",V50="",X50="",AB50="",AE50="",AG50=""),"",IF(BC50&lt;&gt;"",BC50,MIN(AU50,ROUND(V50*AI50,2))))</f>
        <v/>
      </c>
      <c r="AO50" s="816"/>
      <c r="AP50" s="816"/>
      <c r="AQ50" s="817"/>
      <c r="AS50" s="59"/>
      <c r="AT50" s="59"/>
      <c r="AU50" s="808" t="str">
        <f t="shared" ref="AU50" si="17">IF(OR(,V50="",X50="",AB50="",AE50="",AG50=""),"",ROUND((AE50+AG50)*V50,2))</f>
        <v/>
      </c>
      <c r="AV50" s="873">
        <v>0</v>
      </c>
      <c r="AW50" s="974"/>
      <c r="AX50" s="59"/>
      <c r="AY50" s="59"/>
      <c r="AZ50" s="59"/>
      <c r="BA50" s="59"/>
      <c r="BB50" s="59"/>
      <c r="BC50" s="825" t="str">
        <f>IF(OR(N50="",T50="",C50="",V50="",X50="",AB50="",AE50="",AG50=""),"",IF(OR(ISBLANK(M02S02F26),ISBLANK(M02S02F32),ISBLANK(M02S02F46)),MEASUREBLDG,""))</f>
        <v/>
      </c>
      <c r="BD50" s="59"/>
      <c r="BE50" s="806"/>
      <c r="BF50" s="59"/>
      <c r="BG50" s="59"/>
      <c r="BH50" s="59"/>
      <c r="BI50" s="59"/>
      <c r="BJ50" s="59"/>
      <c r="BK50" s="59"/>
      <c r="BL50" s="59"/>
      <c r="BM50" s="59"/>
      <c r="BN50" s="59"/>
      <c r="BO50" s="59"/>
      <c r="BP50" s="59"/>
      <c r="BQ50" s="59"/>
      <c r="BR50" s="59"/>
      <c r="BS50" s="59"/>
      <c r="BT50" s="59"/>
      <c r="BU50" s="59"/>
      <c r="BV50" s="59"/>
      <c r="BW50" s="59"/>
      <c r="BX50" s="59"/>
      <c r="BY50" s="59"/>
      <c r="BZ50" s="59"/>
    </row>
    <row r="51" spans="2:78" ht="15.95" customHeight="1">
      <c r="B51" s="923"/>
      <c r="C51" s="835"/>
      <c r="D51" s="836"/>
      <c r="E51" s="836"/>
      <c r="F51" s="836"/>
      <c r="G51" s="836"/>
      <c r="H51" s="836"/>
      <c r="I51" s="836"/>
      <c r="J51" s="836"/>
      <c r="K51" s="836"/>
      <c r="L51" s="836"/>
      <c r="M51" s="837"/>
      <c r="N51" s="911"/>
      <c r="O51" s="912"/>
      <c r="P51" s="912"/>
      <c r="Q51" s="912"/>
      <c r="R51" s="912"/>
      <c r="S51" s="913"/>
      <c r="T51" s="1006"/>
      <c r="U51" s="1007"/>
      <c r="V51" s="848"/>
      <c r="W51" s="849"/>
      <c r="X51" s="835"/>
      <c r="Y51" s="836"/>
      <c r="Z51" s="836"/>
      <c r="AA51" s="837"/>
      <c r="AB51" s="835"/>
      <c r="AC51" s="836"/>
      <c r="AD51" s="837"/>
      <c r="AE51" s="860"/>
      <c r="AF51" s="870"/>
      <c r="AG51" s="860"/>
      <c r="AH51" s="870"/>
      <c r="AI51" s="919"/>
      <c r="AJ51" s="865"/>
      <c r="AK51" s="1001"/>
      <c r="AL51" s="1002"/>
      <c r="AM51" s="1003"/>
      <c r="AN51" s="818"/>
      <c r="AO51" s="819"/>
      <c r="AP51" s="819"/>
      <c r="AQ51" s="820"/>
      <c r="AS51" s="59"/>
      <c r="AT51" s="59"/>
      <c r="AU51" s="809"/>
      <c r="AV51" s="874"/>
      <c r="AW51" s="975"/>
      <c r="AX51" s="59"/>
      <c r="AY51" s="59"/>
      <c r="AZ51" s="59"/>
      <c r="BA51" s="59"/>
      <c r="BB51" s="59"/>
      <c r="BC51" s="826"/>
      <c r="BD51" s="59"/>
      <c r="BE51" s="807"/>
      <c r="BF51" s="59"/>
      <c r="BG51" s="59"/>
      <c r="BH51" s="59"/>
      <c r="BI51" s="59"/>
      <c r="BJ51" s="59"/>
      <c r="BK51" s="59"/>
      <c r="BL51" s="59"/>
      <c r="BM51" s="59"/>
      <c r="BN51" s="59"/>
      <c r="BO51" s="59"/>
      <c r="BP51" s="59"/>
      <c r="BQ51" s="59"/>
      <c r="BR51" s="59"/>
      <c r="BS51" s="59"/>
      <c r="BT51" s="59"/>
      <c r="BU51" s="59"/>
      <c r="BV51" s="59"/>
      <c r="BW51" s="59"/>
      <c r="BX51" s="59"/>
      <c r="BY51" s="59"/>
      <c r="BZ51" s="59"/>
    </row>
    <row r="52" spans="2:78" ht="15.95" customHeight="1">
      <c r="B52" s="923">
        <v>19</v>
      </c>
      <c r="C52" s="832"/>
      <c r="D52" s="833"/>
      <c r="E52" s="833"/>
      <c r="F52" s="833"/>
      <c r="G52" s="833"/>
      <c r="H52" s="833"/>
      <c r="I52" s="833"/>
      <c r="J52" s="833"/>
      <c r="K52" s="833"/>
      <c r="L52" s="833"/>
      <c r="M52" s="834"/>
      <c r="N52" s="908" t="str">
        <f>IFERROR(IF(C52="","",INDEX(PMGKITCHEN[Base Desc 1],MATCH(C52,PMGKITCHEN[Eff Desc 1],0))),"")</f>
        <v/>
      </c>
      <c r="O52" s="909"/>
      <c r="P52" s="909"/>
      <c r="Q52" s="909"/>
      <c r="R52" s="909"/>
      <c r="S52" s="910"/>
      <c r="T52" s="1004" t="str">
        <f>IFERROR(IF(C52="","",INDEX(PMGKITCHEN[Unit of Measure],MATCH(C52,PMGKITCHEN[Eff Desc 1],0))),"")</f>
        <v/>
      </c>
      <c r="U52" s="1005"/>
      <c r="V52" s="846"/>
      <c r="W52" s="847"/>
      <c r="X52" s="832"/>
      <c r="Y52" s="833"/>
      <c r="Z52" s="833"/>
      <c r="AA52" s="834"/>
      <c r="AB52" s="832"/>
      <c r="AC52" s="833"/>
      <c r="AD52" s="834"/>
      <c r="AE52" s="858"/>
      <c r="AF52" s="869"/>
      <c r="AG52" s="858"/>
      <c r="AH52" s="869"/>
      <c r="AI52" s="917" t="str">
        <f>IFERROR(IF(C52="","",INDEX(PMGKITCHEN[Inc Rate Unit],MATCH(C52,PMGKITCHEN[Eff Desc 1],0))),"")</f>
        <v/>
      </c>
      <c r="AJ52" s="918"/>
      <c r="AK52" s="998" t="str">
        <f>IF(OR(C52="",V52="",X52="",AB52="",AE52="",AG52=""),"",ROUND(V52*INDEX(PMGKITCHEN[Savings per Unit Therm],MATCH(C52,PMGKITCHEN[Eff Desc 1],2)),0))</f>
        <v/>
      </c>
      <c r="AL52" s="999"/>
      <c r="AM52" s="1000"/>
      <c r="AN52" s="815" t="str">
        <f t="shared" ref="AN52" si="18">IF(OR(C52="",V52="",X52="",AB52="",AE52="",AG52=""),"",IF(BC52&lt;&gt;"",BC52,MIN(AU52,ROUND(V52*AI52,2))))</f>
        <v/>
      </c>
      <c r="AO52" s="816"/>
      <c r="AP52" s="816"/>
      <c r="AQ52" s="817"/>
      <c r="AS52" s="59"/>
      <c r="AT52" s="59"/>
      <c r="AU52" s="808" t="str">
        <f t="shared" ref="AU52" si="19">IF(OR(,V52="",X52="",AB52="",AE52="",AG52=""),"",ROUND((AE52+AG52)*V52,2))</f>
        <v/>
      </c>
      <c r="AV52" s="873">
        <v>0</v>
      </c>
      <c r="AW52" s="974"/>
      <c r="AX52" s="59"/>
      <c r="AY52" s="59"/>
      <c r="AZ52" s="59"/>
      <c r="BA52" s="59"/>
      <c r="BB52" s="59"/>
      <c r="BC52" s="825" t="str">
        <f>IF(OR(N52="",T52="",C52="",V52="",X52="",AB52="",AE52="",AG52=""),"",IF(OR(ISBLANK(M02S02F26),ISBLANK(M02S02F32),ISBLANK(M02S02F46)),MEASUREBLDG,""))</f>
        <v/>
      </c>
      <c r="BD52" s="59"/>
      <c r="BE52" s="806"/>
      <c r="BF52" s="59"/>
      <c r="BG52" s="59"/>
      <c r="BH52" s="59"/>
      <c r="BI52" s="59"/>
      <c r="BJ52" s="59"/>
      <c r="BK52" s="59"/>
      <c r="BL52" s="59"/>
      <c r="BM52" s="59"/>
      <c r="BN52" s="59"/>
      <c r="BO52" s="59"/>
      <c r="BP52" s="59"/>
      <c r="BQ52" s="59"/>
      <c r="BR52" s="59"/>
      <c r="BS52" s="59"/>
      <c r="BT52" s="59"/>
      <c r="BU52" s="59"/>
      <c r="BV52" s="59"/>
      <c r="BW52" s="59"/>
      <c r="BX52" s="59"/>
      <c r="BY52" s="59"/>
      <c r="BZ52" s="59"/>
    </row>
    <row r="53" spans="2:78" ht="15.95" customHeight="1">
      <c r="B53" s="923"/>
      <c r="C53" s="835"/>
      <c r="D53" s="836"/>
      <c r="E53" s="836"/>
      <c r="F53" s="836"/>
      <c r="G53" s="836"/>
      <c r="H53" s="836"/>
      <c r="I53" s="836"/>
      <c r="J53" s="836"/>
      <c r="K53" s="836"/>
      <c r="L53" s="836"/>
      <c r="M53" s="837"/>
      <c r="N53" s="911"/>
      <c r="O53" s="912"/>
      <c r="P53" s="912"/>
      <c r="Q53" s="912"/>
      <c r="R53" s="912"/>
      <c r="S53" s="913"/>
      <c r="T53" s="1006"/>
      <c r="U53" s="1007"/>
      <c r="V53" s="848"/>
      <c r="W53" s="849"/>
      <c r="X53" s="835"/>
      <c r="Y53" s="836"/>
      <c r="Z53" s="836"/>
      <c r="AA53" s="837"/>
      <c r="AB53" s="835"/>
      <c r="AC53" s="836"/>
      <c r="AD53" s="837"/>
      <c r="AE53" s="860"/>
      <c r="AF53" s="870"/>
      <c r="AG53" s="860"/>
      <c r="AH53" s="870"/>
      <c r="AI53" s="919"/>
      <c r="AJ53" s="865"/>
      <c r="AK53" s="1001"/>
      <c r="AL53" s="1002"/>
      <c r="AM53" s="1003"/>
      <c r="AN53" s="818"/>
      <c r="AO53" s="819"/>
      <c r="AP53" s="819"/>
      <c r="AQ53" s="820"/>
      <c r="AS53" s="59"/>
      <c r="AT53" s="59"/>
      <c r="AU53" s="809"/>
      <c r="AV53" s="874"/>
      <c r="AW53" s="975"/>
      <c r="AX53" s="59"/>
      <c r="AY53" s="59"/>
      <c r="AZ53" s="59"/>
      <c r="BA53" s="59"/>
      <c r="BB53" s="59"/>
      <c r="BC53" s="826"/>
      <c r="BD53" s="59"/>
      <c r="BE53" s="807"/>
      <c r="BF53" s="59"/>
      <c r="BG53" s="59"/>
      <c r="BH53" s="59"/>
      <c r="BI53" s="59"/>
      <c r="BJ53" s="59"/>
      <c r="BK53" s="59"/>
      <c r="BL53" s="59"/>
      <c r="BM53" s="59"/>
      <c r="BN53" s="59"/>
      <c r="BO53" s="59"/>
      <c r="BP53" s="59"/>
      <c r="BQ53" s="59"/>
      <c r="BR53" s="59"/>
      <c r="BS53" s="59"/>
      <c r="BT53" s="59"/>
      <c r="BU53" s="59"/>
      <c r="BV53" s="59"/>
      <c r="BW53" s="59"/>
      <c r="BX53" s="59"/>
      <c r="BY53" s="59"/>
      <c r="BZ53" s="59"/>
    </row>
    <row r="54" spans="2:78" ht="15.95" customHeight="1">
      <c r="B54" s="923">
        <v>20</v>
      </c>
      <c r="C54" s="832"/>
      <c r="D54" s="833"/>
      <c r="E54" s="833"/>
      <c r="F54" s="833"/>
      <c r="G54" s="833"/>
      <c r="H54" s="833"/>
      <c r="I54" s="833"/>
      <c r="J54" s="833"/>
      <c r="K54" s="833"/>
      <c r="L54" s="833"/>
      <c r="M54" s="834"/>
      <c r="N54" s="908" t="str">
        <f>IFERROR(IF(C54="","",INDEX(PMGKITCHEN[Base Desc 1],MATCH(C54,PMGKITCHEN[Eff Desc 1],0))),"")</f>
        <v/>
      </c>
      <c r="O54" s="909"/>
      <c r="P54" s="909"/>
      <c r="Q54" s="909"/>
      <c r="R54" s="909"/>
      <c r="S54" s="910"/>
      <c r="T54" s="1004" t="str">
        <f>IFERROR(IF(C54="","",INDEX(PMGKITCHEN[Unit of Measure],MATCH(C54,PMGKITCHEN[Eff Desc 1],0))),"")</f>
        <v/>
      </c>
      <c r="U54" s="1005"/>
      <c r="V54" s="846"/>
      <c r="W54" s="847"/>
      <c r="X54" s="832"/>
      <c r="Y54" s="833"/>
      <c r="Z54" s="833"/>
      <c r="AA54" s="834"/>
      <c r="AB54" s="832"/>
      <c r="AC54" s="833"/>
      <c r="AD54" s="834"/>
      <c r="AE54" s="858"/>
      <c r="AF54" s="869"/>
      <c r="AG54" s="858"/>
      <c r="AH54" s="869"/>
      <c r="AI54" s="917" t="str">
        <f>IFERROR(IF(C54="","",INDEX(PMGKITCHEN[Inc Rate Unit],MATCH(C54,PMGKITCHEN[Eff Desc 1],0))),"")</f>
        <v/>
      </c>
      <c r="AJ54" s="918"/>
      <c r="AK54" s="998" t="str">
        <f>IF(OR(C54="",V54="",X54="",AB54="",AE54="",AG54=""),"",ROUND(V54*INDEX(PMGKITCHEN[Savings per Unit Therm],MATCH(C54,PMGKITCHEN[Eff Desc 1],2)),0))</f>
        <v/>
      </c>
      <c r="AL54" s="999"/>
      <c r="AM54" s="1000"/>
      <c r="AN54" s="815" t="str">
        <f t="shared" ref="AN54" si="20">IF(OR(C54="",V54="",X54="",AB54="",AE54="",AG54=""),"",IF(BC54&lt;&gt;"",BC54,MIN(AU54,ROUND(V54*AI54,2))))</f>
        <v/>
      </c>
      <c r="AO54" s="816"/>
      <c r="AP54" s="816"/>
      <c r="AQ54" s="817"/>
      <c r="AS54" s="59"/>
      <c r="AT54" s="59"/>
      <c r="AU54" s="808" t="str">
        <f t="shared" ref="AU54" si="21">IF(OR(,V54="",X54="",AB54="",AE54="",AG54=""),"",ROUND((AE54+AG54)*V54,2))</f>
        <v/>
      </c>
      <c r="AV54" s="873">
        <v>0</v>
      </c>
      <c r="AW54" s="974"/>
      <c r="AX54" s="59"/>
      <c r="AY54" s="808"/>
      <c r="AZ54" s="59"/>
      <c r="BA54" s="808"/>
      <c r="BB54" s="59"/>
      <c r="BC54" s="825" t="str">
        <f>IF(OR(N54="",T54="",C54="",V54="",X54="",AB54="",AE54="",AG54=""),"",IF(OR(ISBLANK(M02S02F26),ISBLANK(M02S02F32),ISBLANK(M02S02F46)),MEASUREBLDG,""))</f>
        <v/>
      </c>
      <c r="BD54" s="59"/>
      <c r="BE54" s="806"/>
      <c r="BF54" s="59"/>
      <c r="BG54" s="59"/>
      <c r="BH54" s="59"/>
      <c r="BI54" s="59"/>
      <c r="BJ54" s="59"/>
      <c r="BK54" s="59"/>
      <c r="BL54" s="59"/>
      <c r="BM54" s="59"/>
      <c r="BN54" s="59"/>
      <c r="BO54" s="59"/>
      <c r="BP54" s="59"/>
      <c r="BQ54" s="59"/>
      <c r="BR54" s="59"/>
      <c r="BS54" s="59"/>
      <c r="BT54" s="59"/>
      <c r="BU54" s="59"/>
      <c r="BV54" s="59"/>
      <c r="BW54" s="59"/>
      <c r="BX54" s="59"/>
      <c r="BY54" s="59"/>
      <c r="BZ54" s="59"/>
    </row>
    <row r="55" spans="2:78" ht="15.95" customHeight="1">
      <c r="B55" s="923"/>
      <c r="C55" s="835"/>
      <c r="D55" s="836"/>
      <c r="E55" s="836"/>
      <c r="F55" s="836"/>
      <c r="G55" s="836"/>
      <c r="H55" s="836"/>
      <c r="I55" s="836"/>
      <c r="J55" s="836"/>
      <c r="K55" s="836"/>
      <c r="L55" s="836"/>
      <c r="M55" s="837"/>
      <c r="N55" s="911"/>
      <c r="O55" s="912"/>
      <c r="P55" s="912"/>
      <c r="Q55" s="912"/>
      <c r="R55" s="912"/>
      <c r="S55" s="913"/>
      <c r="T55" s="1006"/>
      <c r="U55" s="1007"/>
      <c r="V55" s="848"/>
      <c r="W55" s="849"/>
      <c r="X55" s="835"/>
      <c r="Y55" s="836"/>
      <c r="Z55" s="836"/>
      <c r="AA55" s="837"/>
      <c r="AB55" s="835"/>
      <c r="AC55" s="836"/>
      <c r="AD55" s="837"/>
      <c r="AE55" s="860"/>
      <c r="AF55" s="870"/>
      <c r="AG55" s="860"/>
      <c r="AH55" s="870"/>
      <c r="AI55" s="919"/>
      <c r="AJ55" s="865"/>
      <c r="AK55" s="1001"/>
      <c r="AL55" s="1002"/>
      <c r="AM55" s="1003"/>
      <c r="AN55" s="818"/>
      <c r="AO55" s="819"/>
      <c r="AP55" s="819"/>
      <c r="AQ55" s="820"/>
      <c r="AS55" s="59"/>
      <c r="AT55" s="59"/>
      <c r="AU55" s="809"/>
      <c r="AV55" s="874"/>
      <c r="AW55" s="975"/>
      <c r="AX55" s="59"/>
      <c r="AY55" s="809"/>
      <c r="AZ55" s="59"/>
      <c r="BA55" s="809"/>
      <c r="BB55" s="59"/>
      <c r="BC55" s="826"/>
      <c r="BD55" s="59"/>
      <c r="BE55" s="807"/>
      <c r="BF55" s="59"/>
      <c r="BG55" s="59"/>
      <c r="BH55" s="59"/>
      <c r="BI55" s="59"/>
      <c r="BJ55" s="59"/>
      <c r="BK55" s="59"/>
      <c r="BL55" s="59"/>
      <c r="BM55" s="59"/>
      <c r="BN55" s="59"/>
      <c r="BO55" s="59"/>
      <c r="BP55" s="59"/>
      <c r="BQ55" s="59"/>
      <c r="BR55" s="59"/>
      <c r="BS55" s="59"/>
      <c r="BT55" s="59"/>
      <c r="BU55" s="59"/>
      <c r="BV55" s="59"/>
      <c r="BW55" s="59"/>
      <c r="BX55" s="59"/>
      <c r="BY55" s="59"/>
      <c r="BZ55" s="59"/>
    </row>
    <row r="56" spans="2:78" ht="15.95" customHeight="1">
      <c r="B56" s="923">
        <v>21</v>
      </c>
      <c r="C56" s="832"/>
      <c r="D56" s="833"/>
      <c r="E56" s="833"/>
      <c r="F56" s="833"/>
      <c r="G56" s="833"/>
      <c r="H56" s="833"/>
      <c r="I56" s="833"/>
      <c r="J56" s="833"/>
      <c r="K56" s="833"/>
      <c r="L56" s="833"/>
      <c r="M56" s="834"/>
      <c r="N56" s="908" t="str">
        <f>IFERROR(IF(C56="","",INDEX(PMGKITCHEN[Base Desc 1],MATCH(C56,PMGKITCHEN[Eff Desc 1],0))),"")</f>
        <v/>
      </c>
      <c r="O56" s="909"/>
      <c r="P56" s="909"/>
      <c r="Q56" s="909"/>
      <c r="R56" s="909"/>
      <c r="S56" s="910"/>
      <c r="T56" s="1004" t="str">
        <f>IFERROR(IF(C56="","",INDEX(PMGKITCHEN[Unit of Measure],MATCH(C56,PMGKITCHEN[Eff Desc 1],0))),"")</f>
        <v/>
      </c>
      <c r="U56" s="1005"/>
      <c r="V56" s="846"/>
      <c r="W56" s="847"/>
      <c r="X56" s="832"/>
      <c r="Y56" s="833"/>
      <c r="Z56" s="833"/>
      <c r="AA56" s="834"/>
      <c r="AB56" s="832"/>
      <c r="AC56" s="833"/>
      <c r="AD56" s="834"/>
      <c r="AE56" s="858"/>
      <c r="AF56" s="869"/>
      <c r="AG56" s="858"/>
      <c r="AH56" s="869"/>
      <c r="AI56" s="917" t="str">
        <f>IFERROR(IF(C56="","",INDEX(PMGKITCHEN[Inc Rate Unit],MATCH(C56,PMGKITCHEN[Eff Desc 1],0))),"")</f>
        <v/>
      </c>
      <c r="AJ56" s="918"/>
      <c r="AK56" s="998" t="str">
        <f>IF(OR(C56="",V56="",X56="",AB56="",AE56="",AG56=""),"",ROUND(V56*INDEX(PMGKITCHEN[Savings per Unit Therm],MATCH(C56,PMGKITCHEN[Eff Desc 1],2)),0))</f>
        <v/>
      </c>
      <c r="AL56" s="999"/>
      <c r="AM56" s="1000"/>
      <c r="AN56" s="815" t="str">
        <f t="shared" ref="AN56" si="22">IF(OR(C56="",V56="",X56="",AB56="",AE56="",AG56=""),"",IF(BC56&lt;&gt;"",BC56,MIN(AU56,ROUND(V56*AI56,2))))</f>
        <v/>
      </c>
      <c r="AO56" s="816"/>
      <c r="AP56" s="816"/>
      <c r="AQ56" s="817"/>
      <c r="AS56" s="59"/>
      <c r="AT56" s="59"/>
      <c r="AU56" s="808" t="str">
        <f t="shared" ref="AU56" si="23">IF(OR(,V56="",X56="",AB56="",AE56="",AG56=""),"",ROUND((AE56+AG56)*V56,2))</f>
        <v/>
      </c>
      <c r="AV56" s="873">
        <v>0</v>
      </c>
      <c r="AW56" s="1013"/>
      <c r="AX56" s="59"/>
      <c r="AY56" s="808"/>
      <c r="AZ56" s="59"/>
      <c r="BA56" s="808"/>
      <c r="BB56" s="59"/>
      <c r="BC56" s="825" t="str">
        <f>IF(OR(N56="",T56="",C56="",V56="",X56="",AB56="",AE56="",AG56=""),"",IF(OR(ISBLANK(M02S02F26),ISBLANK(M02S02F32),ISBLANK(M02S02F46)),MEASUREBLDG,""))</f>
        <v/>
      </c>
      <c r="BD56" s="59"/>
      <c r="BE56" s="806"/>
      <c r="BF56" s="59"/>
      <c r="BG56" s="59"/>
      <c r="BH56" s="59"/>
      <c r="BI56" s="59"/>
      <c r="BJ56" s="59"/>
      <c r="BK56" s="59"/>
      <c r="BL56" s="59"/>
      <c r="BM56" s="59"/>
      <c r="BN56" s="59"/>
      <c r="BO56" s="59"/>
      <c r="BP56" s="59"/>
      <c r="BQ56" s="59"/>
      <c r="BR56" s="59"/>
      <c r="BS56" s="59"/>
      <c r="BT56" s="59"/>
      <c r="BU56" s="59"/>
      <c r="BV56" s="59"/>
      <c r="BW56" s="59"/>
      <c r="BX56" s="59"/>
      <c r="BY56" s="59"/>
      <c r="BZ56" s="59"/>
    </row>
    <row r="57" spans="2:78" ht="15.95" customHeight="1">
      <c r="B57" s="923"/>
      <c r="C57" s="835"/>
      <c r="D57" s="836"/>
      <c r="E57" s="836"/>
      <c r="F57" s="836"/>
      <c r="G57" s="836"/>
      <c r="H57" s="836"/>
      <c r="I57" s="836"/>
      <c r="J57" s="836"/>
      <c r="K57" s="836"/>
      <c r="L57" s="836"/>
      <c r="M57" s="837"/>
      <c r="N57" s="911"/>
      <c r="O57" s="912"/>
      <c r="P57" s="912"/>
      <c r="Q57" s="912"/>
      <c r="R57" s="912"/>
      <c r="S57" s="913"/>
      <c r="T57" s="1006"/>
      <c r="U57" s="1007"/>
      <c r="V57" s="848"/>
      <c r="W57" s="849"/>
      <c r="X57" s="835"/>
      <c r="Y57" s="836"/>
      <c r="Z57" s="836"/>
      <c r="AA57" s="837"/>
      <c r="AB57" s="835"/>
      <c r="AC57" s="836"/>
      <c r="AD57" s="837"/>
      <c r="AE57" s="860"/>
      <c r="AF57" s="870"/>
      <c r="AG57" s="860"/>
      <c r="AH57" s="870"/>
      <c r="AI57" s="919"/>
      <c r="AJ57" s="865"/>
      <c r="AK57" s="1001"/>
      <c r="AL57" s="1002"/>
      <c r="AM57" s="1003"/>
      <c r="AN57" s="818"/>
      <c r="AO57" s="819"/>
      <c r="AP57" s="819"/>
      <c r="AQ57" s="820"/>
      <c r="AS57" s="59"/>
      <c r="AT57" s="59"/>
      <c r="AU57" s="809"/>
      <c r="AV57" s="874"/>
      <c r="AW57" s="975"/>
      <c r="AX57" s="59"/>
      <c r="AY57" s="809"/>
      <c r="AZ57" s="59"/>
      <c r="BA57" s="809"/>
      <c r="BB57" s="59"/>
      <c r="BC57" s="826"/>
      <c r="BD57" s="59"/>
      <c r="BE57" s="807"/>
      <c r="BF57" s="59"/>
      <c r="BG57" s="59"/>
      <c r="BH57" s="59"/>
      <c r="BI57" s="59"/>
      <c r="BJ57" s="59"/>
      <c r="BK57" s="59"/>
      <c r="BL57" s="59"/>
      <c r="BM57" s="59"/>
      <c r="BN57" s="59"/>
      <c r="BO57" s="59"/>
      <c r="BP57" s="59"/>
      <c r="BQ57" s="59"/>
      <c r="BR57" s="59"/>
      <c r="BS57" s="59"/>
      <c r="BT57" s="59"/>
      <c r="BU57" s="59"/>
      <c r="BV57" s="59"/>
      <c r="BW57" s="59"/>
      <c r="BX57" s="59"/>
      <c r="BY57" s="59"/>
      <c r="BZ57" s="59"/>
    </row>
    <row r="58" spans="2:78" ht="15.95" customHeight="1">
      <c r="B58" s="923">
        <v>22</v>
      </c>
      <c r="C58" s="832"/>
      <c r="D58" s="833"/>
      <c r="E58" s="833"/>
      <c r="F58" s="833"/>
      <c r="G58" s="833"/>
      <c r="H58" s="833"/>
      <c r="I58" s="833"/>
      <c r="J58" s="833"/>
      <c r="K58" s="833"/>
      <c r="L58" s="833"/>
      <c r="M58" s="834"/>
      <c r="N58" s="908" t="str">
        <f>IFERROR(IF(C58="","",INDEX(PMGKITCHEN[Base Desc 1],MATCH(C58,PMGKITCHEN[Eff Desc 1],0))),"")</f>
        <v/>
      </c>
      <c r="O58" s="909"/>
      <c r="P58" s="909"/>
      <c r="Q58" s="909"/>
      <c r="R58" s="909"/>
      <c r="S58" s="910"/>
      <c r="T58" s="1004" t="str">
        <f>IFERROR(IF(C58="","",INDEX(PMGKITCHEN[Unit of Measure],MATCH(C58,PMGKITCHEN[Eff Desc 1],0))),"")</f>
        <v/>
      </c>
      <c r="U58" s="1005"/>
      <c r="V58" s="846"/>
      <c r="W58" s="847"/>
      <c r="X58" s="832"/>
      <c r="Y58" s="833"/>
      <c r="Z58" s="833"/>
      <c r="AA58" s="834"/>
      <c r="AB58" s="832"/>
      <c r="AC58" s="833"/>
      <c r="AD58" s="834"/>
      <c r="AE58" s="858"/>
      <c r="AF58" s="869"/>
      <c r="AG58" s="858"/>
      <c r="AH58" s="869"/>
      <c r="AI58" s="917" t="str">
        <f>IFERROR(IF(C58="","",INDEX(PMGKITCHEN[Inc Rate Unit],MATCH(C58,PMGKITCHEN[Eff Desc 1],0))),"")</f>
        <v/>
      </c>
      <c r="AJ58" s="918"/>
      <c r="AK58" s="998" t="str">
        <f>IF(OR(C58="",V58="",X58="",AB58="",AE58="",AG58=""),"",ROUND(V58*INDEX(PMGKITCHEN[Savings per Unit Therm],MATCH(C58,PMGKITCHEN[Eff Desc 1],2)),0))</f>
        <v/>
      </c>
      <c r="AL58" s="999"/>
      <c r="AM58" s="1000"/>
      <c r="AN58" s="815" t="str">
        <f t="shared" ref="AN58" si="24">IF(OR(C58="",V58="",X58="",AB58="",AE58="",AG58=""),"",IF(BC58&lt;&gt;"",BC58,MIN(AU58,ROUND(V58*AI58,2))))</f>
        <v/>
      </c>
      <c r="AO58" s="816"/>
      <c r="AP58" s="816"/>
      <c r="AQ58" s="817"/>
      <c r="AS58" s="59"/>
      <c r="AT58" s="59"/>
      <c r="AU58" s="808" t="str">
        <f t="shared" ref="AU58" si="25">IF(OR(,V58="",X58="",AB58="",AE58="",AG58=""),"",ROUND((AE58+AG58)*V58,2))</f>
        <v/>
      </c>
      <c r="AV58" s="873">
        <v>0</v>
      </c>
      <c r="AW58" s="974"/>
      <c r="AX58" s="59"/>
      <c r="AY58" s="808"/>
      <c r="AZ58" s="59"/>
      <c r="BA58" s="808"/>
      <c r="BB58" s="59"/>
      <c r="BC58" s="825" t="str">
        <f>IF(OR(N58="",T58="",C58="",V58="",X58="",AB58="",AE58="",AG58=""),"",IF(OR(ISBLANK(M02S02F26),ISBLANK(M02S02F32),ISBLANK(M02S02F46)),MEASUREBLDG,""))</f>
        <v/>
      </c>
      <c r="BD58" s="59"/>
      <c r="BE58" s="806"/>
      <c r="BF58" s="59"/>
      <c r="BG58" s="59"/>
      <c r="BH58" s="59"/>
      <c r="BI58" s="59"/>
      <c r="BJ58" s="59"/>
      <c r="BK58" s="59"/>
      <c r="BL58" s="59"/>
      <c r="BM58" s="59"/>
      <c r="BN58" s="59"/>
      <c r="BO58" s="59"/>
      <c r="BP58" s="59"/>
      <c r="BQ58" s="59"/>
      <c r="BR58" s="59"/>
      <c r="BS58" s="59"/>
      <c r="BT58" s="59"/>
      <c r="BU58" s="59"/>
      <c r="BV58" s="59"/>
      <c r="BW58" s="59"/>
      <c r="BX58" s="59"/>
      <c r="BY58" s="59"/>
      <c r="BZ58" s="59"/>
    </row>
    <row r="59" spans="2:78" ht="15.95" customHeight="1">
      <c r="B59" s="923"/>
      <c r="C59" s="835"/>
      <c r="D59" s="836"/>
      <c r="E59" s="836"/>
      <c r="F59" s="836"/>
      <c r="G59" s="836"/>
      <c r="H59" s="836"/>
      <c r="I59" s="836"/>
      <c r="J59" s="836"/>
      <c r="K59" s="836"/>
      <c r="L59" s="836"/>
      <c r="M59" s="837"/>
      <c r="N59" s="911"/>
      <c r="O59" s="912"/>
      <c r="P59" s="912"/>
      <c r="Q59" s="912"/>
      <c r="R59" s="912"/>
      <c r="S59" s="913"/>
      <c r="T59" s="1006"/>
      <c r="U59" s="1007"/>
      <c r="V59" s="848"/>
      <c r="W59" s="849"/>
      <c r="X59" s="835"/>
      <c r="Y59" s="836"/>
      <c r="Z59" s="836"/>
      <c r="AA59" s="837"/>
      <c r="AB59" s="835"/>
      <c r="AC59" s="836"/>
      <c r="AD59" s="837"/>
      <c r="AE59" s="860"/>
      <c r="AF59" s="870"/>
      <c r="AG59" s="860"/>
      <c r="AH59" s="870"/>
      <c r="AI59" s="919"/>
      <c r="AJ59" s="865"/>
      <c r="AK59" s="1001"/>
      <c r="AL59" s="1002"/>
      <c r="AM59" s="1003"/>
      <c r="AN59" s="818"/>
      <c r="AO59" s="819"/>
      <c r="AP59" s="819"/>
      <c r="AQ59" s="820"/>
      <c r="AS59" s="59"/>
      <c r="AT59" s="59"/>
      <c r="AU59" s="809"/>
      <c r="AV59" s="874"/>
      <c r="AW59" s="975"/>
      <c r="AX59" s="59"/>
      <c r="AY59" s="809"/>
      <c r="AZ59" s="59"/>
      <c r="BA59" s="809"/>
      <c r="BB59" s="59"/>
      <c r="BC59" s="826"/>
      <c r="BD59" s="59"/>
      <c r="BE59" s="807"/>
      <c r="BF59" s="59"/>
      <c r="BG59" s="59"/>
      <c r="BH59" s="59"/>
      <c r="BI59" s="59"/>
      <c r="BJ59" s="59"/>
      <c r="BK59" s="59"/>
      <c r="BL59" s="59"/>
      <c r="BM59" s="59"/>
      <c r="BN59" s="59"/>
      <c r="BO59" s="59"/>
      <c r="BP59" s="59"/>
      <c r="BQ59" s="59"/>
      <c r="BR59" s="59"/>
      <c r="BS59" s="59"/>
      <c r="BT59" s="59"/>
      <c r="BU59" s="59"/>
      <c r="BV59" s="59"/>
      <c r="BW59" s="59"/>
      <c r="BX59" s="59"/>
      <c r="BY59" s="59"/>
      <c r="BZ59" s="59"/>
    </row>
    <row r="60" spans="2:78" ht="15.95" customHeight="1">
      <c r="B60" s="923">
        <v>23</v>
      </c>
      <c r="C60" s="832"/>
      <c r="D60" s="833"/>
      <c r="E60" s="833"/>
      <c r="F60" s="833"/>
      <c r="G60" s="833"/>
      <c r="H60" s="833"/>
      <c r="I60" s="833"/>
      <c r="J60" s="833"/>
      <c r="K60" s="833"/>
      <c r="L60" s="833"/>
      <c r="M60" s="834"/>
      <c r="N60" s="908" t="str">
        <f>IFERROR(IF(C60="","",INDEX(PMGKITCHEN[Base Desc 1],MATCH(C60,PMGKITCHEN[Eff Desc 1],0))),"")</f>
        <v/>
      </c>
      <c r="O60" s="909"/>
      <c r="P60" s="909"/>
      <c r="Q60" s="909"/>
      <c r="R60" s="909"/>
      <c r="S60" s="910"/>
      <c r="T60" s="1004" t="str">
        <f>IFERROR(IF(C60="","",INDEX(PMGKITCHEN[Unit of Measure],MATCH(C60,PMGKITCHEN[Eff Desc 1],0))),"")</f>
        <v/>
      </c>
      <c r="U60" s="1005"/>
      <c r="V60" s="846"/>
      <c r="W60" s="847"/>
      <c r="X60" s="832"/>
      <c r="Y60" s="833"/>
      <c r="Z60" s="833"/>
      <c r="AA60" s="834"/>
      <c r="AB60" s="832"/>
      <c r="AC60" s="833"/>
      <c r="AD60" s="834"/>
      <c r="AE60" s="858"/>
      <c r="AF60" s="869"/>
      <c r="AG60" s="858"/>
      <c r="AH60" s="869"/>
      <c r="AI60" s="917" t="str">
        <f>IFERROR(IF(C60="","",INDEX(PMGKITCHEN[Inc Rate Unit],MATCH(C60,PMGKITCHEN[Eff Desc 1],0))),"")</f>
        <v/>
      </c>
      <c r="AJ60" s="918"/>
      <c r="AK60" s="998" t="str">
        <f>IF(OR(C60="",V60="",X60="",AB60="",AE60="",AG60=""),"",ROUND(V60*INDEX(PMGKITCHEN[Savings per Unit Therm],MATCH(C60,PMGKITCHEN[Eff Desc 1],2)),0))</f>
        <v/>
      </c>
      <c r="AL60" s="999"/>
      <c r="AM60" s="1000"/>
      <c r="AN60" s="815" t="str">
        <f t="shared" ref="AN60" si="26">IF(OR(C60="",V60="",X60="",AB60="",AE60="",AG60=""),"",IF(BC60&lt;&gt;"",BC60,MIN(AU60,ROUND(V60*AI60,2))))</f>
        <v/>
      </c>
      <c r="AO60" s="816"/>
      <c r="AP60" s="816"/>
      <c r="AQ60" s="817"/>
      <c r="AS60" s="59"/>
      <c r="AT60" s="59"/>
      <c r="AU60" s="808" t="str">
        <f t="shared" ref="AU60" si="27">IF(OR(,V60="",X60="",AB60="",AE60="",AG60=""),"",ROUND((AE60+AG60)*V60,2))</f>
        <v/>
      </c>
      <c r="AV60" s="873">
        <v>0</v>
      </c>
      <c r="AW60" s="974"/>
      <c r="AX60" s="59"/>
      <c r="AY60" s="808"/>
      <c r="AZ60" s="59"/>
      <c r="BA60" s="808"/>
      <c r="BB60" s="59"/>
      <c r="BC60" s="825" t="str">
        <f>IF(OR(N60="",T60="",C60="",V60="",X60="",AB60="",AE60="",AG60=""),"",IF(OR(ISBLANK(M02S02F26),ISBLANK(M02S02F32),ISBLANK(M02S02F46)),MEASUREBLDG,""))</f>
        <v/>
      </c>
      <c r="BD60" s="59"/>
      <c r="BE60" s="806"/>
      <c r="BF60" s="59"/>
      <c r="BG60" s="59"/>
      <c r="BH60" s="59"/>
      <c r="BI60" s="59"/>
      <c r="BJ60" s="59"/>
      <c r="BK60" s="59"/>
      <c r="BL60" s="59"/>
      <c r="BM60" s="59"/>
      <c r="BN60" s="59"/>
      <c r="BO60" s="59"/>
      <c r="BP60" s="59"/>
      <c r="BQ60" s="59"/>
      <c r="BR60" s="59"/>
      <c r="BS60" s="59"/>
      <c r="BT60" s="59"/>
      <c r="BU60" s="59"/>
      <c r="BV60" s="59"/>
      <c r="BW60" s="59"/>
      <c r="BX60" s="59"/>
      <c r="BY60" s="59"/>
      <c r="BZ60" s="59"/>
    </row>
    <row r="61" spans="2:78" ht="15.95" customHeight="1">
      <c r="B61" s="923"/>
      <c r="C61" s="835"/>
      <c r="D61" s="836"/>
      <c r="E61" s="836"/>
      <c r="F61" s="836"/>
      <c r="G61" s="836"/>
      <c r="H61" s="836"/>
      <c r="I61" s="836"/>
      <c r="J61" s="836"/>
      <c r="K61" s="836"/>
      <c r="L61" s="836"/>
      <c r="M61" s="837"/>
      <c r="N61" s="911"/>
      <c r="O61" s="912"/>
      <c r="P61" s="912"/>
      <c r="Q61" s="912"/>
      <c r="R61" s="912"/>
      <c r="S61" s="913"/>
      <c r="T61" s="1006"/>
      <c r="U61" s="1007"/>
      <c r="V61" s="848"/>
      <c r="W61" s="849"/>
      <c r="X61" s="835"/>
      <c r="Y61" s="836"/>
      <c r="Z61" s="836"/>
      <c r="AA61" s="837"/>
      <c r="AB61" s="835"/>
      <c r="AC61" s="836"/>
      <c r="AD61" s="837"/>
      <c r="AE61" s="860"/>
      <c r="AF61" s="870"/>
      <c r="AG61" s="860"/>
      <c r="AH61" s="870"/>
      <c r="AI61" s="919"/>
      <c r="AJ61" s="865"/>
      <c r="AK61" s="1001"/>
      <c r="AL61" s="1002"/>
      <c r="AM61" s="1003"/>
      <c r="AN61" s="818"/>
      <c r="AO61" s="819"/>
      <c r="AP61" s="819"/>
      <c r="AQ61" s="820"/>
      <c r="AS61" s="59"/>
      <c r="AT61" s="59"/>
      <c r="AU61" s="809"/>
      <c r="AV61" s="874"/>
      <c r="AW61" s="975"/>
      <c r="AX61" s="59"/>
      <c r="AY61" s="809"/>
      <c r="AZ61" s="59"/>
      <c r="BA61" s="809"/>
      <c r="BB61" s="59"/>
      <c r="BC61" s="826"/>
      <c r="BD61" s="59"/>
      <c r="BE61" s="807"/>
      <c r="BF61" s="59"/>
      <c r="BG61" s="59"/>
      <c r="BH61" s="59"/>
      <c r="BI61" s="59"/>
      <c r="BJ61" s="59"/>
      <c r="BK61" s="59"/>
      <c r="BL61" s="59"/>
      <c r="BM61" s="59"/>
      <c r="BN61" s="59"/>
      <c r="BO61" s="59"/>
      <c r="BP61" s="59"/>
      <c r="BQ61" s="59"/>
      <c r="BR61" s="59"/>
      <c r="BS61" s="59"/>
      <c r="BT61" s="59"/>
      <c r="BU61" s="59"/>
      <c r="BV61" s="59"/>
      <c r="BW61" s="59"/>
      <c r="BX61" s="59"/>
      <c r="BY61" s="59"/>
      <c r="BZ61" s="59"/>
    </row>
    <row r="62" spans="2:78" ht="15.95" hidden="1" customHeight="1">
      <c r="B62" s="923">
        <v>24</v>
      </c>
      <c r="C62" s="832">
        <f ca="1">IF(SUM(BE16:BE35)=0,0,INDEX(PMEBONUS[],3,3))</f>
        <v>0</v>
      </c>
      <c r="D62" s="833"/>
      <c r="E62" s="833"/>
      <c r="F62" s="833"/>
      <c r="G62" s="833"/>
      <c r="H62" s="833"/>
      <c r="I62" s="833"/>
      <c r="J62" s="833"/>
      <c r="K62" s="833"/>
      <c r="L62" s="833"/>
      <c r="M62" s="834"/>
      <c r="N62" s="908" t="str">
        <f ca="1">IF(SUM(BE16:BE35)=0,"",INDEX(PMEBONUS[],3,30))</f>
        <v/>
      </c>
      <c r="O62" s="909"/>
      <c r="P62" s="909"/>
      <c r="Q62" s="909"/>
      <c r="R62" s="909"/>
      <c r="S62" s="910"/>
      <c r="T62" s="947"/>
      <c r="U62" s="948"/>
      <c r="V62" s="846">
        <f ca="1">IF(OR(C62=0,C62=""),0,1)</f>
        <v>0</v>
      </c>
      <c r="W62" s="847"/>
      <c r="X62" s="832"/>
      <c r="Y62" s="833"/>
      <c r="Z62" s="833"/>
      <c r="AA62" s="834"/>
      <c r="AB62" s="832"/>
      <c r="AC62" s="833"/>
      <c r="AD62" s="834"/>
      <c r="AE62" s="858"/>
      <c r="AF62" s="869"/>
      <c r="AG62" s="858"/>
      <c r="AH62" s="869"/>
      <c r="AI62" s="917"/>
      <c r="AJ62" s="918"/>
      <c r="AK62" s="904"/>
      <c r="AL62" s="905"/>
      <c r="AM62" s="905"/>
      <c r="AN62" s="924" t="str">
        <f ca="1">IF(BA62="","",BA62)</f>
        <v/>
      </c>
      <c r="AO62" s="925"/>
      <c r="AP62" s="925"/>
      <c r="AQ62" s="863"/>
      <c r="AS62" s="59"/>
      <c r="AT62" s="59"/>
      <c r="AU62" s="59"/>
      <c r="AV62" s="59"/>
      <c r="AW62" s="59"/>
      <c r="AX62" s="59"/>
      <c r="AY62" s="808"/>
      <c r="AZ62" s="59"/>
      <c r="BA62" s="808" t="str">
        <f ca="1">IFERROR(IF(OR(C62="",N62="",SUM(AK16:AM35)=0,SUM(BE16:BE35)=0),"",SUM(BE16:BE35)),"")</f>
        <v/>
      </c>
      <c r="BB62" s="808"/>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row>
    <row r="63" spans="2:78" ht="15.95" hidden="1" customHeight="1">
      <c r="B63" s="923"/>
      <c r="C63" s="835"/>
      <c r="D63" s="836"/>
      <c r="E63" s="836"/>
      <c r="F63" s="836"/>
      <c r="G63" s="836"/>
      <c r="H63" s="836"/>
      <c r="I63" s="836"/>
      <c r="J63" s="836"/>
      <c r="K63" s="836"/>
      <c r="L63" s="836"/>
      <c r="M63" s="837"/>
      <c r="N63" s="911"/>
      <c r="O63" s="912"/>
      <c r="P63" s="912"/>
      <c r="Q63" s="912"/>
      <c r="R63" s="912"/>
      <c r="S63" s="913"/>
      <c r="T63" s="949"/>
      <c r="U63" s="950"/>
      <c r="V63" s="848"/>
      <c r="W63" s="849"/>
      <c r="X63" s="835"/>
      <c r="Y63" s="836"/>
      <c r="Z63" s="836"/>
      <c r="AA63" s="837"/>
      <c r="AB63" s="835"/>
      <c r="AC63" s="836"/>
      <c r="AD63" s="837"/>
      <c r="AE63" s="860"/>
      <c r="AF63" s="870"/>
      <c r="AG63" s="860"/>
      <c r="AH63" s="870"/>
      <c r="AI63" s="919"/>
      <c r="AJ63" s="865"/>
      <c r="AK63" s="906"/>
      <c r="AL63" s="907"/>
      <c r="AM63" s="907"/>
      <c r="AN63" s="919"/>
      <c r="AO63" s="926"/>
      <c r="AP63" s="926"/>
      <c r="AQ63" s="865"/>
      <c r="AS63" s="59"/>
      <c r="AT63" s="59"/>
      <c r="AU63" s="59"/>
      <c r="AV63" s="59"/>
      <c r="AW63" s="59"/>
      <c r="AX63" s="59"/>
      <c r="AY63" s="809"/>
      <c r="AZ63" s="59"/>
      <c r="BA63" s="809"/>
      <c r="BB63" s="809"/>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row>
    <row r="64" spans="2:78" ht="15.95" hidden="1" customHeight="1">
      <c r="B64" s="923">
        <v>25</v>
      </c>
      <c r="C64" s="832"/>
      <c r="D64" s="833"/>
      <c r="E64" s="833"/>
      <c r="F64" s="833"/>
      <c r="G64" s="833"/>
      <c r="H64" s="833"/>
      <c r="I64" s="833"/>
      <c r="J64" s="833"/>
      <c r="K64" s="833"/>
      <c r="L64" s="833"/>
      <c r="M64" s="834"/>
      <c r="N64" s="908"/>
      <c r="O64" s="909"/>
      <c r="P64" s="909"/>
      <c r="Q64" s="909"/>
      <c r="R64" s="909"/>
      <c r="S64" s="910"/>
      <c r="T64" s="947"/>
      <c r="U64" s="948"/>
      <c r="V64" s="846"/>
      <c r="W64" s="847"/>
      <c r="X64" s="832"/>
      <c r="Y64" s="833"/>
      <c r="Z64" s="833"/>
      <c r="AA64" s="834"/>
      <c r="AB64" s="832"/>
      <c r="AC64" s="833"/>
      <c r="AD64" s="834"/>
      <c r="AE64" s="858"/>
      <c r="AF64" s="869"/>
      <c r="AG64" s="858"/>
      <c r="AH64" s="869"/>
      <c r="AI64" s="917"/>
      <c r="AJ64" s="918"/>
      <c r="AK64" s="904"/>
      <c r="AL64" s="905"/>
      <c r="AM64" s="905"/>
      <c r="AN64" s="924"/>
      <c r="AO64" s="925"/>
      <c r="AP64" s="925"/>
      <c r="AQ64" s="863"/>
      <c r="AS64" s="59"/>
      <c r="AT64" s="59"/>
      <c r="AU64" s="59"/>
      <c r="AV64" s="59"/>
      <c r="AW64" s="59"/>
      <c r="AX64" s="59"/>
      <c r="AY64" s="59"/>
      <c r="AZ64" s="59"/>
      <c r="BA64" s="808" t="str">
        <f>IFERROR(IF(OR(C64="",N64="",SUM(AK16:AM35)=0,SUM(BF16:BF35)=0),"",SUM(BF16:BF35)),"")</f>
        <v/>
      </c>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row>
    <row r="65" spans="2:78" ht="15.95" hidden="1" customHeight="1">
      <c r="B65" s="923"/>
      <c r="C65" s="835"/>
      <c r="D65" s="836"/>
      <c r="E65" s="836"/>
      <c r="F65" s="836"/>
      <c r="G65" s="836"/>
      <c r="H65" s="836"/>
      <c r="I65" s="836"/>
      <c r="J65" s="836"/>
      <c r="K65" s="836"/>
      <c r="L65" s="836"/>
      <c r="M65" s="837"/>
      <c r="N65" s="911"/>
      <c r="O65" s="912"/>
      <c r="P65" s="912"/>
      <c r="Q65" s="912"/>
      <c r="R65" s="912"/>
      <c r="S65" s="913"/>
      <c r="T65" s="949"/>
      <c r="U65" s="950"/>
      <c r="V65" s="848"/>
      <c r="W65" s="849"/>
      <c r="X65" s="835"/>
      <c r="Y65" s="836"/>
      <c r="Z65" s="836"/>
      <c r="AA65" s="837"/>
      <c r="AB65" s="835"/>
      <c r="AC65" s="836"/>
      <c r="AD65" s="837"/>
      <c r="AE65" s="860"/>
      <c r="AF65" s="870"/>
      <c r="AG65" s="860"/>
      <c r="AH65" s="870"/>
      <c r="AI65" s="919"/>
      <c r="AJ65" s="865"/>
      <c r="AK65" s="906"/>
      <c r="AL65" s="907"/>
      <c r="AM65" s="907"/>
      <c r="AN65" s="919"/>
      <c r="AO65" s="926"/>
      <c r="AP65" s="926"/>
      <c r="AQ65" s="865"/>
      <c r="AS65" s="59"/>
      <c r="AT65" s="59"/>
      <c r="AU65" s="59"/>
      <c r="AV65" s="59"/>
      <c r="AW65" s="59"/>
      <c r="AX65" s="59"/>
      <c r="AY65" s="59"/>
      <c r="AZ65" s="59"/>
      <c r="BA65" s="80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2:78" ht="15.95" hidden="1" customHeight="1">
      <c r="B66" s="923">
        <v>26</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2:78" ht="15.95" hidden="1" customHeight="1">
      <c r="B67" s="923"/>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row>
    <row r="68" spans="2:78" ht="15.95" hidden="1" customHeight="1">
      <c r="B68" s="923">
        <v>27</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2:78" ht="15.95" hidden="1" customHeight="1">
      <c r="B69" s="923"/>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row>
    <row r="70" spans="2:78" ht="15.95" hidden="1" customHeight="1">
      <c r="B70" s="923">
        <v>28</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row>
    <row r="71" spans="2:78" ht="15.95" hidden="1" customHeight="1">
      <c r="B71" s="923"/>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row>
    <row r="72" spans="2:78" ht="15.95" hidden="1" customHeight="1">
      <c r="B72" s="923">
        <v>29</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row>
    <row r="73" spans="2:78" ht="15.95" hidden="1" customHeight="1">
      <c r="B73" s="923"/>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row>
    <row r="74" spans="2:78" ht="15.95" hidden="1" customHeight="1">
      <c r="B74" s="923">
        <v>30</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row>
    <row r="75" spans="2:78" ht="15.95" hidden="1" customHeight="1">
      <c r="B75" s="923"/>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S75" s="59"/>
      <c r="AT75" s="59"/>
      <c r="AU75" s="59"/>
      <c r="AV75" s="59"/>
      <c r="AW75" s="59"/>
      <c r="AX75" s="59"/>
      <c r="AY75" s="59"/>
      <c r="AZ75" s="59"/>
      <c r="BA75" s="59"/>
      <c r="BB75" s="59"/>
      <c r="BC75" s="59"/>
      <c r="BD75" s="59"/>
      <c r="BE75" s="59"/>
      <c r="BF75" s="59"/>
      <c r="BG75" s="59"/>
      <c r="BH75" s="59"/>
      <c r="BI75" s="59"/>
      <c r="BJ75" s="59"/>
      <c r="BK75" s="59"/>
      <c r="BL75" s="59"/>
      <c r="BM75" s="59"/>
      <c r="BN75" s="59"/>
      <c r="BO75" s="59"/>
      <c r="BP75" s="59"/>
      <c r="BQ75" s="59"/>
      <c r="BR75" s="59"/>
      <c r="BS75" s="59"/>
      <c r="BT75" s="59"/>
      <c r="BU75" s="59"/>
      <c r="BV75" s="59"/>
      <c r="BW75" s="59"/>
      <c r="BX75" s="59"/>
      <c r="BY75" s="59"/>
      <c r="BZ75" s="59"/>
    </row>
    <row r="76" spans="2:78" ht="15.95" hidden="1" customHeight="1">
      <c r="B76" s="923">
        <v>31</v>
      </c>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c r="BR76" s="59"/>
      <c r="BS76" s="59"/>
      <c r="BT76" s="59"/>
      <c r="BU76" s="59"/>
      <c r="BV76" s="59"/>
      <c r="BW76" s="59"/>
      <c r="BX76" s="59"/>
      <c r="BY76" s="59"/>
      <c r="BZ76" s="59"/>
    </row>
    <row r="77" spans="2:78" ht="15.95" hidden="1" customHeight="1">
      <c r="B77" s="923"/>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2:78" ht="15.95" hidden="1" customHeight="1">
      <c r="B78" s="923">
        <v>32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2:78" ht="15.95" hidden="1" customHeight="1">
      <c r="B79" s="923"/>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row>
    <row r="80" spans="2:78" ht="15.95" hidden="1" customHeight="1">
      <c r="B80" s="923">
        <v>33</v>
      </c>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59"/>
      <c r="BU80" s="59"/>
      <c r="BV80" s="59"/>
      <c r="BW80" s="59"/>
      <c r="BX80" s="59"/>
      <c r="BY80" s="59"/>
      <c r="BZ80" s="59"/>
    </row>
    <row r="81" spans="2:78" ht="15.95" hidden="1" customHeight="1">
      <c r="B81" s="923"/>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row>
    <row r="82" spans="2:78" ht="15.95" hidden="1" customHeight="1">
      <c r="B82" s="923">
        <v>34</v>
      </c>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59"/>
      <c r="BZ82" s="59"/>
    </row>
    <row r="83" spans="2:78" ht="15.95" hidden="1" customHeight="1">
      <c r="B83" s="923"/>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59"/>
      <c r="BZ83" s="59"/>
    </row>
    <row r="84" spans="2:78" ht="15.95" hidden="1" customHeight="1">
      <c r="B84" s="923">
        <v>35</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row>
    <row r="85" spans="2:78" ht="15.95" hidden="1" customHeight="1">
      <c r="B85" s="923"/>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c r="BX85" s="59"/>
      <c r="BY85" s="59"/>
      <c r="BZ85" s="59"/>
    </row>
    <row r="86" spans="2:78" ht="15.95" hidden="1" customHeight="1">
      <c r="B86" s="923">
        <v>36</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2:78" ht="15.95" hidden="1" customHeight="1">
      <c r="B87" s="923"/>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row>
    <row r="88" spans="2:78" ht="15.95" hidden="1" customHeight="1">
      <c r="B88" s="923">
        <v>37</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2:78" ht="15.95" hidden="1" customHeight="1">
      <c r="B89" s="923"/>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2:78" ht="15.95" hidden="1" customHeight="1">
      <c r="B90" s="923">
        <v>38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2:78" ht="15.95" hidden="1" customHeight="1">
      <c r="B91" s="923"/>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row>
    <row r="92" spans="2:78" ht="15.95" hidden="1" customHeight="1">
      <c r="B92" s="923">
        <v>39</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row>
    <row r="93" spans="2:78" ht="15.95" hidden="1" customHeight="1">
      <c r="B93" s="923"/>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59"/>
      <c r="BR93" s="59"/>
      <c r="BS93" s="59"/>
      <c r="BT93" s="59"/>
      <c r="BU93" s="59"/>
      <c r="BV93" s="59"/>
      <c r="BW93" s="59"/>
      <c r="BX93" s="59"/>
      <c r="BY93" s="59"/>
      <c r="BZ93" s="59"/>
    </row>
    <row r="94" spans="2:78" ht="15.95" hidden="1" customHeight="1">
      <c r="B94" s="923">
        <v>40</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S94" s="59"/>
      <c r="AT94" s="59"/>
      <c r="AU94" s="59"/>
      <c r="AV94" s="59"/>
      <c r="AW94" s="59"/>
      <c r="AX94" s="59"/>
      <c r="AY94" s="59"/>
      <c r="AZ94" s="59"/>
      <c r="BA94" s="59"/>
      <c r="BB94" s="59"/>
      <c r="BC94" s="59"/>
      <c r="BD94" s="59"/>
      <c r="BE94" s="59"/>
      <c r="BF94" s="59"/>
      <c r="BG94" s="59"/>
      <c r="BH94" s="59"/>
      <c r="BI94" s="59"/>
      <c r="BJ94" s="59"/>
      <c r="BK94" s="59"/>
      <c r="BL94" s="59"/>
      <c r="BM94" s="59"/>
      <c r="BN94" s="59"/>
      <c r="BO94" s="59"/>
      <c r="BP94" s="59"/>
      <c r="BQ94" s="59"/>
      <c r="BR94" s="59"/>
      <c r="BS94" s="59"/>
      <c r="BT94" s="59"/>
      <c r="BU94" s="59"/>
      <c r="BV94" s="59"/>
      <c r="BW94" s="59"/>
      <c r="BX94" s="59"/>
      <c r="BY94" s="59"/>
      <c r="BZ94" s="59"/>
    </row>
    <row r="95" spans="2:78" ht="15.95" hidden="1" customHeight="1">
      <c r="B95" s="923"/>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row>
    <row r="96" spans="2:78" ht="15.95" hidden="1" customHeight="1">
      <c r="B96" s="923">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S96" s="59"/>
      <c r="AT96" s="59"/>
      <c r="AU96" s="59"/>
      <c r="AV96" s="59"/>
      <c r="AW96" s="59"/>
      <c r="AX96" s="59"/>
      <c r="AY96" s="59"/>
      <c r="AZ96" s="59"/>
      <c r="BA96" s="59"/>
      <c r="BB96" s="59"/>
      <c r="BC96" s="59"/>
      <c r="BD96" s="59"/>
      <c r="BE96" s="59"/>
      <c r="BF96" s="59"/>
      <c r="BG96" s="59"/>
      <c r="BH96" s="59"/>
      <c r="BI96" s="59"/>
      <c r="BJ96" s="59"/>
      <c r="BK96" s="59"/>
      <c r="BL96" s="59"/>
      <c r="BM96" s="59"/>
      <c r="BN96" s="59"/>
      <c r="BO96" s="59"/>
      <c r="BP96" s="59"/>
      <c r="BQ96" s="59"/>
      <c r="BR96" s="59"/>
      <c r="BS96" s="59"/>
      <c r="BT96" s="59"/>
      <c r="BU96" s="59"/>
      <c r="BV96" s="59"/>
      <c r="BW96" s="59"/>
      <c r="BX96" s="59"/>
      <c r="BY96" s="59"/>
      <c r="BZ96" s="59"/>
    </row>
    <row r="97" spans="2:78" ht="15.95" hidden="1" customHeight="1">
      <c r="B97" s="923"/>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S97" s="59"/>
      <c r="AT97" s="59"/>
      <c r="AU97" s="59"/>
      <c r="AV97" s="59"/>
      <c r="AW97" s="59"/>
      <c r="AX97" s="59"/>
      <c r="AY97" s="59"/>
      <c r="AZ97" s="59"/>
      <c r="BA97" s="59"/>
      <c r="BB97" s="59"/>
      <c r="BC97" s="59"/>
      <c r="BD97" s="59"/>
      <c r="BE97" s="59"/>
      <c r="BF97" s="59"/>
      <c r="BG97" s="59"/>
      <c r="BH97" s="59"/>
      <c r="BI97" s="59"/>
      <c r="BJ97" s="59"/>
      <c r="BK97" s="59"/>
      <c r="BL97" s="59"/>
      <c r="BM97" s="59"/>
      <c r="BN97" s="59"/>
      <c r="BO97" s="59"/>
      <c r="BP97" s="59"/>
      <c r="BQ97" s="59"/>
      <c r="BR97" s="59"/>
      <c r="BS97" s="59"/>
      <c r="BT97" s="59"/>
      <c r="BU97" s="59"/>
      <c r="BV97" s="59"/>
      <c r="BW97" s="59"/>
      <c r="BX97" s="59"/>
      <c r="BY97" s="59"/>
      <c r="BZ97" s="59"/>
    </row>
    <row r="98" spans="2:78" ht="15.95" hidden="1" customHeight="1">
      <c r="B98" s="923">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59"/>
      <c r="BU98" s="59"/>
      <c r="BV98" s="59"/>
      <c r="BW98" s="59"/>
      <c r="BX98" s="59"/>
      <c r="BY98" s="59"/>
      <c r="BZ98" s="59"/>
    </row>
    <row r="99" spans="2:78" ht="15.95" hidden="1" customHeight="1">
      <c r="B99" s="923"/>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S99" s="59"/>
      <c r="AT99" s="59"/>
      <c r="AU99" s="59"/>
      <c r="AV99" s="59"/>
      <c r="AW99" s="59"/>
      <c r="AX99" s="59"/>
      <c r="AY99" s="59"/>
      <c r="AZ99" s="59"/>
      <c r="BA99" s="59"/>
      <c r="BB99" s="59"/>
      <c r="BC99" s="59"/>
      <c r="BD99" s="59"/>
      <c r="BE99" s="59"/>
      <c r="BF99" s="59"/>
      <c r="BG99" s="59"/>
      <c r="BH99" s="59"/>
      <c r="BI99" s="59"/>
      <c r="BJ99" s="59"/>
      <c r="BK99" s="59"/>
      <c r="BL99" s="59"/>
      <c r="BM99" s="59"/>
      <c r="BN99" s="59"/>
      <c r="BO99" s="59"/>
      <c r="BP99" s="59"/>
      <c r="BQ99" s="59"/>
      <c r="BR99" s="59"/>
      <c r="BS99" s="59"/>
      <c r="BT99" s="59"/>
      <c r="BU99" s="59"/>
      <c r="BV99" s="59"/>
      <c r="BW99" s="59"/>
      <c r="BX99" s="59"/>
      <c r="BY99" s="59"/>
      <c r="BZ99" s="59"/>
    </row>
    <row r="100" spans="2:78" ht="15.95" hidden="1" customHeight="1">
      <c r="B100" s="923">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2:78" ht="15.95" hidden="1" customHeight="1">
      <c r="B101" s="923"/>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2:78" ht="15.95" hidden="1" customHeight="1">
      <c r="B102" s="923">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2:78" ht="15.95" hidden="1" customHeight="1">
      <c r="B103" s="923"/>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S103" s="59"/>
      <c r="AT103" s="59"/>
      <c r="AU103" s="59"/>
      <c r="AV103" s="59"/>
      <c r="AW103" s="59"/>
      <c r="AX103" s="59"/>
      <c r="AY103" s="59"/>
      <c r="AZ103" s="59"/>
      <c r="BA103" s="59"/>
      <c r="BB103" s="59"/>
      <c r="BC103" s="59"/>
      <c r="BD103" s="59"/>
      <c r="BE103" s="59"/>
      <c r="BF103" s="59"/>
      <c r="BG103" s="59"/>
      <c r="BH103" s="59"/>
      <c r="BI103" s="59"/>
      <c r="BJ103" s="59"/>
      <c r="BK103" s="59"/>
      <c r="BL103" s="59"/>
      <c r="BM103" s="59"/>
      <c r="BN103" s="59"/>
      <c r="BO103" s="59"/>
      <c r="BP103" s="59"/>
      <c r="BQ103" s="59"/>
      <c r="BR103" s="59"/>
      <c r="BS103" s="59"/>
      <c r="BT103" s="59"/>
      <c r="BU103" s="59"/>
      <c r="BV103" s="59"/>
      <c r="BW103" s="59"/>
      <c r="BX103" s="59"/>
      <c r="BY103" s="59"/>
      <c r="BZ103" s="59"/>
    </row>
    <row r="104" spans="2:78" ht="15.95" hidden="1" customHeight="1">
      <c r="B104" s="923">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row>
    <row r="105" spans="2:78" ht="15.95" hidden="1" customHeight="1">
      <c r="B105" s="923"/>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S105" s="59"/>
      <c r="AT105" s="59"/>
      <c r="AU105" s="59"/>
      <c r="AV105" s="59"/>
      <c r="AW105" s="59"/>
      <c r="AX105" s="59"/>
      <c r="AY105" s="59"/>
      <c r="AZ105" s="59"/>
      <c r="BA105" s="59"/>
      <c r="BB105" s="59"/>
      <c r="BC105" s="59"/>
      <c r="BD105" s="59"/>
      <c r="BE105" s="59"/>
      <c r="BF105" s="59"/>
      <c r="BG105" s="59"/>
      <c r="BH105" s="59"/>
      <c r="BI105" s="59"/>
      <c r="BJ105" s="59"/>
      <c r="BK105" s="59"/>
      <c r="BL105" s="59"/>
      <c r="BM105" s="59"/>
      <c r="BN105" s="59"/>
      <c r="BO105" s="59"/>
      <c r="BP105" s="59"/>
      <c r="BQ105" s="59"/>
      <c r="BR105" s="59"/>
      <c r="BS105" s="59"/>
      <c r="BT105" s="59"/>
      <c r="BU105" s="59"/>
      <c r="BV105" s="59"/>
      <c r="BW105" s="59"/>
      <c r="BX105" s="59"/>
      <c r="BY105" s="59"/>
      <c r="BZ105" s="59"/>
    </row>
    <row r="106" spans="2:78" ht="15.95" hidden="1" customHeight="1">
      <c r="B106" s="923">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S106" s="59"/>
      <c r="AT106" s="59"/>
      <c r="AU106" s="59"/>
      <c r="AV106" s="59"/>
      <c r="AW106" s="59"/>
      <c r="AX106" s="59"/>
      <c r="AY106" s="59"/>
      <c r="AZ106" s="59"/>
      <c r="BA106" s="59"/>
      <c r="BB106" s="59"/>
      <c r="BC106" s="59"/>
      <c r="BD106" s="59"/>
      <c r="BE106" s="59"/>
      <c r="BF106" s="59"/>
      <c r="BG106" s="59"/>
      <c r="BH106" s="59"/>
      <c r="BI106" s="59"/>
      <c r="BJ106" s="59"/>
      <c r="BK106" s="59"/>
      <c r="BL106" s="59"/>
      <c r="BM106" s="59"/>
      <c r="BN106" s="59"/>
      <c r="BO106" s="59"/>
      <c r="BP106" s="59"/>
      <c r="BQ106" s="59"/>
      <c r="BR106" s="59"/>
      <c r="BS106" s="59"/>
      <c r="BT106" s="59"/>
      <c r="BU106" s="59"/>
      <c r="BV106" s="59"/>
      <c r="BW106" s="59"/>
      <c r="BX106" s="59"/>
      <c r="BY106" s="59"/>
      <c r="BZ106" s="59"/>
    </row>
    <row r="107" spans="2:78" ht="15.95" hidden="1" customHeight="1">
      <c r="B107" s="923"/>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S107" s="59"/>
      <c r="AT107" s="59"/>
      <c r="AU107" s="59"/>
      <c r="AV107" s="59"/>
      <c r="AW107" s="59"/>
      <c r="AX107" s="59"/>
      <c r="AY107" s="59"/>
      <c r="AZ107" s="59"/>
      <c r="BA107" s="59"/>
      <c r="BB107" s="59"/>
      <c r="BC107" s="59"/>
      <c r="BD107" s="59"/>
      <c r="BE107" s="59"/>
      <c r="BF107" s="59"/>
      <c r="BG107" s="59"/>
      <c r="BH107" s="59"/>
      <c r="BI107" s="59"/>
      <c r="BJ107" s="59"/>
      <c r="BK107" s="59"/>
      <c r="BL107" s="59"/>
      <c r="BM107" s="59"/>
      <c r="BN107" s="59"/>
      <c r="BO107" s="59"/>
      <c r="BP107" s="59"/>
      <c r="BQ107" s="59"/>
      <c r="BR107" s="59"/>
      <c r="BS107" s="59"/>
      <c r="BT107" s="59"/>
      <c r="BU107" s="59"/>
      <c r="BV107" s="59"/>
      <c r="BW107" s="59"/>
      <c r="BX107" s="59"/>
      <c r="BY107" s="59"/>
      <c r="BZ107" s="59"/>
    </row>
    <row r="108" spans="2:78" ht="15.95" hidden="1" customHeight="1">
      <c r="B108" s="923">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S108" s="59"/>
      <c r="AT108" s="59"/>
      <c r="AU108" s="59"/>
      <c r="AV108" s="59"/>
      <c r="AW108" s="59"/>
      <c r="AX108" s="59"/>
      <c r="AY108" s="59"/>
      <c r="AZ108" s="59"/>
      <c r="BA108" s="59"/>
      <c r="BB108" s="59"/>
      <c r="BC108" s="59"/>
      <c r="BD108" s="59"/>
      <c r="BE108" s="59"/>
      <c r="BF108" s="59"/>
      <c r="BG108" s="59"/>
      <c r="BH108" s="59"/>
      <c r="BI108" s="59"/>
      <c r="BJ108" s="59"/>
      <c r="BK108" s="59"/>
      <c r="BL108" s="59"/>
      <c r="BM108" s="59"/>
      <c r="BN108" s="59"/>
      <c r="BO108" s="59"/>
      <c r="BP108" s="59"/>
      <c r="BQ108" s="59"/>
      <c r="BR108" s="59"/>
      <c r="BS108" s="59"/>
      <c r="BT108" s="59"/>
      <c r="BU108" s="59"/>
      <c r="BV108" s="59"/>
      <c r="BW108" s="59"/>
      <c r="BX108" s="59"/>
      <c r="BY108" s="59"/>
      <c r="BZ108" s="59"/>
    </row>
    <row r="109" spans="2:78" ht="15.95" hidden="1" customHeight="1">
      <c r="B109" s="923"/>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row>
    <row r="110" spans="2:78" ht="15.95" hidden="1" customHeight="1">
      <c r="B110" s="923">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row>
    <row r="111" spans="2:78" ht="15.95" hidden="1" customHeight="1">
      <c r="B111" s="923"/>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row>
    <row r="112" spans="2:78" ht="15.95" hidden="1" customHeight="1">
      <c r="B112" s="923">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row>
    <row r="113" spans="2:78" ht="15.95" hidden="1" customHeight="1">
      <c r="B113" s="923"/>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row>
    <row r="114" spans="2:78" ht="15.95" hidden="1" customHeight="1">
      <c r="B114" s="923">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row>
    <row r="115" spans="2:78" ht="15.95" hidden="1" customHeight="1">
      <c r="B115" s="923"/>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row>
    <row r="116" spans="2:78" ht="15.95" hidden="1" customHeight="1">
      <c r="B116" s="923">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row>
    <row r="117" spans="2:78" ht="15.95" hidden="1" customHeight="1">
      <c r="B117" s="923"/>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59"/>
      <c r="BU117" s="59"/>
      <c r="BV117" s="59"/>
      <c r="BW117" s="59"/>
      <c r="BX117" s="59"/>
      <c r="BY117" s="59"/>
      <c r="BZ117" s="59"/>
    </row>
    <row r="118" spans="2:78" ht="15.95" hidden="1" customHeight="1">
      <c r="B118" s="923">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row>
    <row r="119" spans="2:78" ht="15.95" hidden="1" customHeight="1">
      <c r="B119" s="923"/>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row>
    <row r="120" spans="2:78" ht="15.95" hidden="1" customHeight="1">
      <c r="B120" s="923">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row>
    <row r="121" spans="2:78" ht="15.95" hidden="1" customHeight="1">
      <c r="B121" s="923"/>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S121" s="59"/>
      <c r="AT121" s="59"/>
      <c r="AU121" s="59"/>
      <c r="AV121" s="59"/>
      <c r="AW121" s="59"/>
      <c r="AX121" s="59"/>
      <c r="AY121" s="59"/>
      <c r="AZ121" s="59"/>
      <c r="BA121" s="59"/>
      <c r="BB121" s="59"/>
      <c r="BC121" s="59"/>
      <c r="BD121" s="59"/>
      <c r="BE121" s="59"/>
      <c r="BF121" s="59"/>
      <c r="BG121" s="59"/>
      <c r="BH121" s="59"/>
      <c r="BI121" s="59"/>
      <c r="BJ121" s="59"/>
      <c r="BK121" s="59"/>
      <c r="BL121" s="59"/>
      <c r="BM121" s="59"/>
      <c r="BN121" s="59"/>
      <c r="BO121" s="59"/>
      <c r="BP121" s="59"/>
      <c r="BQ121" s="59"/>
      <c r="BR121" s="59"/>
      <c r="BS121" s="59"/>
      <c r="BT121" s="59"/>
      <c r="BU121" s="59"/>
      <c r="BV121" s="59"/>
      <c r="BW121" s="59"/>
      <c r="BX121" s="59"/>
      <c r="BY121" s="59"/>
      <c r="BZ121" s="59"/>
    </row>
    <row r="122" spans="2:78" ht="15.95" hidden="1" customHeight="1">
      <c r="B122" s="923">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c r="BT122" s="59"/>
      <c r="BU122" s="59"/>
      <c r="BV122" s="59"/>
      <c r="BW122" s="59"/>
      <c r="BX122" s="59"/>
      <c r="BY122" s="59"/>
      <c r="BZ122" s="59"/>
    </row>
    <row r="123" spans="2:78" ht="15.95" hidden="1" customHeight="1">
      <c r="B123" s="923"/>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row>
    <row r="124" spans="2:78" ht="15.95" hidden="1" customHeight="1">
      <c r="B124" s="923">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c r="BT124" s="59"/>
      <c r="BU124" s="59"/>
      <c r="BV124" s="59"/>
      <c r="BW124" s="59"/>
      <c r="BX124" s="59"/>
      <c r="BY124" s="59"/>
      <c r="BZ124" s="59"/>
    </row>
    <row r="125" spans="2:78" ht="15.95" hidden="1" customHeight="1">
      <c r="B125" s="923"/>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S125" s="59"/>
      <c r="AT125" s="59"/>
      <c r="AU125" s="59"/>
      <c r="AV125" s="59"/>
      <c r="AW125" s="59"/>
      <c r="AX125" s="59"/>
      <c r="AY125" s="59"/>
      <c r="AZ125" s="59"/>
      <c r="BA125" s="59"/>
      <c r="BB125" s="59"/>
      <c r="BC125" s="59"/>
      <c r="BD125" s="59"/>
      <c r="BE125" s="59"/>
      <c r="BF125" s="59"/>
      <c r="BG125" s="59"/>
      <c r="BH125" s="59"/>
      <c r="BI125" s="59"/>
      <c r="BJ125" s="59"/>
      <c r="BK125" s="59"/>
      <c r="BL125" s="59"/>
      <c r="BM125" s="59"/>
      <c r="BN125" s="59"/>
      <c r="BO125" s="59"/>
      <c r="BP125" s="59"/>
      <c r="BQ125" s="59"/>
      <c r="BR125" s="59"/>
      <c r="BS125" s="59"/>
      <c r="BT125" s="59"/>
      <c r="BU125" s="59"/>
      <c r="BV125" s="59"/>
      <c r="BW125" s="59"/>
      <c r="BX125" s="59"/>
      <c r="BY125" s="59"/>
      <c r="BZ125" s="59"/>
    </row>
    <row r="126" spans="2:78" ht="15.95" hidden="1" customHeight="1">
      <c r="B126" s="923">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S126" s="59"/>
      <c r="AT126" s="59"/>
      <c r="AU126" s="59"/>
      <c r="AV126" s="59"/>
      <c r="AW126" s="59"/>
      <c r="AX126" s="59"/>
      <c r="AY126" s="59"/>
      <c r="AZ126" s="59"/>
      <c r="BA126" s="59"/>
      <c r="BB126" s="59"/>
      <c r="BC126" s="59"/>
      <c r="BD126" s="59"/>
      <c r="BE126" s="59"/>
      <c r="BF126" s="59"/>
      <c r="BG126" s="59"/>
      <c r="BH126" s="59"/>
      <c r="BI126" s="59"/>
      <c r="BJ126" s="59"/>
      <c r="BK126" s="59"/>
      <c r="BL126" s="59"/>
      <c r="BM126" s="59"/>
      <c r="BN126" s="59"/>
      <c r="BO126" s="59"/>
      <c r="BP126" s="59"/>
      <c r="BQ126" s="59"/>
      <c r="BR126" s="59"/>
      <c r="BS126" s="59"/>
      <c r="BT126" s="59"/>
      <c r="BU126" s="59"/>
      <c r="BV126" s="59"/>
      <c r="BW126" s="59"/>
      <c r="BX126" s="59"/>
      <c r="BY126" s="59"/>
      <c r="BZ126" s="59"/>
    </row>
    <row r="127" spans="2:78" ht="15.95" hidden="1" customHeight="1">
      <c r="B127" s="923"/>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row>
    <row r="128" spans="2:78" ht="15.95" hidden="1" customHeight="1">
      <c r="B128" s="923">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59"/>
      <c r="BO128" s="59"/>
      <c r="BP128" s="59"/>
      <c r="BQ128" s="59"/>
      <c r="BR128" s="59"/>
      <c r="BS128" s="59"/>
      <c r="BT128" s="59"/>
      <c r="BU128" s="59"/>
      <c r="BV128" s="59"/>
      <c r="BW128" s="59"/>
      <c r="BX128" s="59"/>
      <c r="BY128" s="59"/>
      <c r="BZ128" s="59"/>
    </row>
    <row r="129" spans="2:78" ht="15.95" hidden="1" customHeight="1">
      <c r="B129" s="923"/>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row>
    <row r="130" spans="2:78" ht="15.95" hidden="1" customHeight="1">
      <c r="B130" s="923">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2:78" ht="15.95" hidden="1" customHeight="1">
      <c r="B131" s="923"/>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row>
    <row r="132" spans="2:78" ht="15.95" hidden="1" customHeight="1">
      <c r="B132" s="923">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S132" s="59"/>
      <c r="AT132" s="59"/>
      <c r="AU132" s="59"/>
      <c r="AV132" s="59"/>
      <c r="AW132" s="59"/>
      <c r="AX132" s="59"/>
      <c r="AY132" s="59"/>
      <c r="AZ132" s="59"/>
      <c r="BA132" s="59"/>
      <c r="BB132" s="59"/>
      <c r="BC132" s="59"/>
      <c r="BD132" s="59"/>
      <c r="BE132" s="59"/>
      <c r="BF132" s="59"/>
      <c r="BG132" s="59"/>
      <c r="BH132" s="59"/>
      <c r="BI132" s="59"/>
      <c r="BJ132" s="59"/>
      <c r="BK132" s="59"/>
      <c r="BL132" s="59"/>
      <c r="BM132" s="59"/>
      <c r="BN132" s="59"/>
      <c r="BO132" s="59"/>
      <c r="BP132" s="59"/>
      <c r="BQ132" s="59"/>
      <c r="BR132" s="59"/>
      <c r="BS132" s="59"/>
      <c r="BT132" s="59"/>
      <c r="BU132" s="59"/>
      <c r="BV132" s="59"/>
      <c r="BW132" s="59"/>
      <c r="BX132" s="59"/>
      <c r="BY132" s="59"/>
      <c r="BZ132" s="59"/>
    </row>
    <row r="133" spans="2:78" ht="15.95" hidden="1" customHeight="1">
      <c r="B133" s="923"/>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S133" s="59"/>
      <c r="AT133" s="59"/>
      <c r="AU133" s="59"/>
      <c r="AV133" s="59"/>
      <c r="AW133" s="59"/>
      <c r="AX133" s="59"/>
      <c r="AY133" s="59"/>
      <c r="AZ133" s="59"/>
      <c r="BA133" s="59"/>
      <c r="BB133" s="59"/>
      <c r="BC133" s="59"/>
      <c r="BD133" s="59"/>
      <c r="BE133" s="59"/>
      <c r="BF133" s="59"/>
      <c r="BG133" s="59"/>
      <c r="BH133" s="59"/>
      <c r="BI133" s="59"/>
      <c r="BJ133" s="59"/>
      <c r="BK133" s="59"/>
      <c r="BL133" s="59"/>
      <c r="BM133" s="59"/>
      <c r="BN133" s="59"/>
      <c r="BO133" s="59"/>
      <c r="BP133" s="59"/>
      <c r="BQ133" s="59"/>
      <c r="BR133" s="59"/>
      <c r="BS133" s="59"/>
      <c r="BT133" s="59"/>
      <c r="BU133" s="59"/>
      <c r="BV133" s="59"/>
      <c r="BW133" s="59"/>
      <c r="BX133" s="59"/>
      <c r="BY133" s="59"/>
      <c r="BZ133" s="59"/>
    </row>
    <row r="134" spans="2:78" ht="15.95" hidden="1" customHeight="1">
      <c r="B134" s="923">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row>
    <row r="135" spans="2:78" ht="15.95" hidden="1" customHeight="1">
      <c r="B135" s="923"/>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row>
    <row r="136" spans="2:78" ht="15.95" hidden="1" customHeight="1">
      <c r="B136" s="923">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S136" s="59"/>
      <c r="AT136" s="59"/>
      <c r="AU136" s="59"/>
      <c r="AV136" s="59"/>
      <c r="AW136" s="59"/>
      <c r="AX136" s="59"/>
      <c r="AY136" s="59"/>
      <c r="AZ136" s="59"/>
      <c r="BA136" s="59"/>
      <c r="BB136" s="59"/>
      <c r="BC136" s="59"/>
      <c r="BD136" s="59"/>
      <c r="BE136" s="59"/>
      <c r="BF136" s="59"/>
      <c r="BG136" s="59"/>
      <c r="BH136" s="59"/>
      <c r="BI136" s="59"/>
      <c r="BJ136" s="59"/>
      <c r="BK136" s="59"/>
      <c r="BL136" s="59"/>
      <c r="BM136" s="59"/>
      <c r="BN136" s="59"/>
      <c r="BO136" s="59"/>
      <c r="BP136" s="59"/>
      <c r="BQ136" s="59"/>
      <c r="BR136" s="59"/>
      <c r="BS136" s="59"/>
      <c r="BT136" s="59"/>
      <c r="BU136" s="59"/>
      <c r="BV136" s="59"/>
      <c r="BW136" s="59"/>
      <c r="BX136" s="59"/>
      <c r="BY136" s="59"/>
      <c r="BZ136" s="59"/>
    </row>
    <row r="137" spans="2:78" ht="15.95" hidden="1" customHeight="1">
      <c r="B137" s="923"/>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S137" s="59"/>
      <c r="AT137" s="59"/>
      <c r="AU137" s="59"/>
      <c r="AV137" s="59"/>
      <c r="AW137" s="59"/>
      <c r="AX137" s="59"/>
      <c r="AY137" s="59"/>
      <c r="AZ137" s="59"/>
      <c r="BA137" s="59"/>
      <c r="BB137" s="59"/>
      <c r="BC137" s="59"/>
      <c r="BD137" s="59"/>
      <c r="BE137" s="59"/>
      <c r="BF137" s="59"/>
      <c r="BG137" s="59"/>
      <c r="BH137" s="59"/>
      <c r="BI137" s="59"/>
      <c r="BJ137" s="59"/>
      <c r="BK137" s="59"/>
      <c r="BL137" s="59"/>
      <c r="BM137" s="59"/>
      <c r="BN137" s="59"/>
      <c r="BO137" s="59"/>
      <c r="BP137" s="59"/>
      <c r="BQ137" s="59"/>
      <c r="BR137" s="59"/>
      <c r="BS137" s="59"/>
      <c r="BT137" s="59"/>
      <c r="BU137" s="59"/>
      <c r="BV137" s="59"/>
      <c r="BW137" s="59"/>
      <c r="BX137" s="59"/>
      <c r="BY137" s="59"/>
      <c r="BZ137" s="59"/>
    </row>
    <row r="138" spans="2:78" ht="15.95" hidden="1" customHeight="1">
      <c r="B138" s="923">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S138" s="59"/>
      <c r="AT138" s="59"/>
      <c r="AU138" s="59"/>
      <c r="AV138" s="59"/>
      <c r="AW138" s="59"/>
      <c r="AX138" s="59"/>
      <c r="AY138" s="59"/>
      <c r="AZ138" s="59"/>
      <c r="BA138" s="59"/>
      <c r="BB138" s="59"/>
      <c r="BC138" s="59"/>
      <c r="BD138" s="59"/>
      <c r="BE138" s="59"/>
      <c r="BF138" s="59"/>
      <c r="BG138" s="59"/>
      <c r="BH138" s="59"/>
      <c r="BI138" s="59"/>
      <c r="BJ138" s="59"/>
      <c r="BK138" s="59"/>
      <c r="BL138" s="59"/>
      <c r="BM138" s="59"/>
      <c r="BN138" s="59"/>
      <c r="BO138" s="59"/>
      <c r="BP138" s="59"/>
      <c r="BQ138" s="59"/>
      <c r="BR138" s="59"/>
      <c r="BS138" s="59"/>
      <c r="BT138" s="59"/>
      <c r="BU138" s="59"/>
      <c r="BV138" s="59"/>
      <c r="BW138" s="59"/>
      <c r="BX138" s="59"/>
      <c r="BY138" s="59"/>
      <c r="BZ138" s="59"/>
    </row>
    <row r="139" spans="2:78" ht="15.95" hidden="1" customHeight="1">
      <c r="B139" s="923"/>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59"/>
      <c r="BZ139" s="59"/>
    </row>
    <row r="140" spans="2:78" ht="15.95" hidden="1" customHeight="1">
      <c r="B140" s="923">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row>
    <row r="141" spans="2:78" ht="15.95" hidden="1" customHeight="1">
      <c r="B141" s="923"/>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row>
    <row r="142" spans="2:78" ht="15.95" hidden="1" customHeight="1">
      <c r="B142" s="923">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row>
    <row r="143" spans="2:78" ht="15.95" hidden="1" customHeight="1">
      <c r="B143" s="923"/>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S143" s="59"/>
      <c r="AT143" s="59"/>
      <c r="AU143" s="59"/>
      <c r="AV143" s="59"/>
      <c r="AW143" s="59"/>
      <c r="AX143" s="59"/>
      <c r="AY143" s="59"/>
      <c r="AZ143" s="59"/>
      <c r="BA143" s="59"/>
      <c r="BB143" s="59"/>
      <c r="BC143" s="59"/>
      <c r="BD143" s="59"/>
      <c r="BE143" s="59"/>
      <c r="BF143" s="59"/>
      <c r="BG143" s="59"/>
      <c r="BH143" s="59"/>
      <c r="BI143" s="59"/>
      <c r="BJ143" s="59"/>
      <c r="BK143" s="59"/>
      <c r="BL143" s="59"/>
      <c r="BM143" s="59"/>
      <c r="BN143" s="59"/>
      <c r="BO143" s="59"/>
      <c r="BP143" s="59"/>
      <c r="BQ143" s="59"/>
      <c r="BR143" s="59"/>
      <c r="BS143" s="59"/>
      <c r="BT143" s="59"/>
      <c r="BU143" s="59"/>
      <c r="BV143" s="59"/>
      <c r="BW143" s="59"/>
      <c r="BX143" s="59"/>
      <c r="BY143" s="59"/>
      <c r="BZ143" s="59"/>
    </row>
    <row r="144" spans="2:78" ht="15.95" hidden="1" customHeight="1">
      <c r="B144" s="923">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S144" s="59"/>
      <c r="AT144" s="59"/>
      <c r="AU144" s="59"/>
      <c r="AV144" s="59"/>
      <c r="AW144" s="59"/>
      <c r="AX144" s="59"/>
      <c r="AY144" s="59"/>
      <c r="AZ144" s="59"/>
      <c r="BA144" s="59"/>
      <c r="BB144" s="59"/>
      <c r="BC144" s="59"/>
      <c r="BD144" s="59"/>
      <c r="BE144" s="59"/>
      <c r="BF144" s="59"/>
      <c r="BG144" s="59"/>
      <c r="BH144" s="59"/>
      <c r="BI144" s="59"/>
      <c r="BJ144" s="59"/>
      <c r="BK144" s="59"/>
      <c r="BL144" s="59"/>
      <c r="BM144" s="59"/>
      <c r="BN144" s="59"/>
      <c r="BO144" s="59"/>
      <c r="BP144" s="59"/>
      <c r="BQ144" s="59"/>
      <c r="BR144" s="59"/>
      <c r="BS144" s="59"/>
      <c r="BT144" s="59"/>
      <c r="BU144" s="59"/>
      <c r="BV144" s="59"/>
      <c r="BW144" s="59"/>
      <c r="BX144" s="59"/>
      <c r="BY144" s="59"/>
      <c r="BZ144" s="59"/>
    </row>
    <row r="145" spans="2:78" ht="15.95" hidden="1" customHeight="1">
      <c r="B145" s="923"/>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row>
    <row r="146" spans="2:78" ht="15.95" hidden="1" customHeight="1">
      <c r="B146" s="923">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S146" s="59"/>
      <c r="AT146" s="59"/>
      <c r="AU146" s="59"/>
      <c r="AV146" s="59"/>
      <c r="AW146" s="59"/>
      <c r="AX146" s="59"/>
      <c r="AY146" s="59"/>
      <c r="AZ146" s="59"/>
      <c r="BA146" s="59"/>
      <c r="BB146" s="59"/>
      <c r="BC146" s="59"/>
      <c r="BD146" s="59"/>
      <c r="BE146" s="59"/>
      <c r="BF146" s="59"/>
      <c r="BG146" s="59"/>
      <c r="BH146" s="59"/>
      <c r="BI146" s="59"/>
      <c r="BJ146" s="59"/>
      <c r="BK146" s="59"/>
      <c r="BL146" s="59"/>
      <c r="BM146" s="59"/>
      <c r="BN146" s="59"/>
      <c r="BO146" s="59"/>
      <c r="BP146" s="59"/>
      <c r="BQ146" s="59"/>
      <c r="BR146" s="59"/>
      <c r="BS146" s="59"/>
      <c r="BT146" s="59"/>
      <c r="BU146" s="59"/>
      <c r="BV146" s="59"/>
      <c r="BW146" s="59"/>
      <c r="BX146" s="59"/>
      <c r="BY146" s="59"/>
      <c r="BZ146" s="59"/>
    </row>
    <row r="147" spans="2:78" ht="15.95" hidden="1" customHeight="1">
      <c r="B147" s="923"/>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S147" s="59"/>
      <c r="AT147" s="59"/>
      <c r="AU147" s="59"/>
      <c r="AV147" s="59"/>
      <c r="AW147" s="59"/>
      <c r="AX147" s="59"/>
      <c r="AY147" s="59"/>
      <c r="AZ147" s="59"/>
      <c r="BA147" s="59"/>
      <c r="BB147" s="59"/>
      <c r="BC147" s="59"/>
      <c r="BD147" s="59"/>
      <c r="BE147" s="59"/>
      <c r="BF147" s="59"/>
      <c r="BG147" s="59"/>
      <c r="BH147" s="59"/>
      <c r="BI147" s="59"/>
      <c r="BJ147" s="59"/>
      <c r="BK147" s="59"/>
      <c r="BL147" s="59"/>
      <c r="BM147" s="59"/>
      <c r="BN147" s="59"/>
      <c r="BO147" s="59"/>
      <c r="BP147" s="59"/>
      <c r="BQ147" s="59"/>
      <c r="BR147" s="59"/>
      <c r="BS147" s="59"/>
      <c r="BT147" s="59"/>
      <c r="BU147" s="59"/>
      <c r="BV147" s="59"/>
      <c r="BW147" s="59"/>
      <c r="BX147" s="59"/>
      <c r="BY147" s="59"/>
      <c r="BZ147" s="59"/>
    </row>
    <row r="148" spans="2:78" ht="15.95" hidden="1" customHeight="1">
      <c r="B148" s="923">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S148" s="59"/>
      <c r="AT148" s="59"/>
      <c r="AU148" s="59"/>
      <c r="AV148" s="59"/>
      <c r="AW148" s="59"/>
      <c r="AX148" s="59"/>
      <c r="AY148" s="59"/>
      <c r="AZ148" s="59"/>
      <c r="BA148" s="59"/>
      <c r="BB148" s="59"/>
      <c r="BC148" s="59"/>
      <c r="BD148" s="59"/>
      <c r="BE148" s="59"/>
      <c r="BF148" s="59"/>
      <c r="BG148" s="59"/>
      <c r="BH148" s="59"/>
      <c r="BI148" s="59"/>
      <c r="BJ148" s="59"/>
      <c r="BK148" s="59"/>
      <c r="BL148" s="59"/>
      <c r="BM148" s="59"/>
      <c r="BN148" s="59"/>
      <c r="BO148" s="59"/>
      <c r="BP148" s="59"/>
      <c r="BQ148" s="59"/>
      <c r="BR148" s="59"/>
      <c r="BS148" s="59"/>
      <c r="BT148" s="59"/>
      <c r="BU148" s="59"/>
      <c r="BV148" s="59"/>
      <c r="BW148" s="59"/>
      <c r="BX148" s="59"/>
      <c r="BY148" s="59"/>
      <c r="BZ148" s="59"/>
    </row>
    <row r="149" spans="2:78" ht="15.95" hidden="1" customHeight="1">
      <c r="B149" s="923"/>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row>
    <row r="150" spans="2:78" ht="15.95" hidden="1" customHeight="1">
      <c r="B150" s="923">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row>
    <row r="151" spans="2:78" ht="15.95" hidden="1" customHeight="1">
      <c r="B151" s="923"/>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row>
    <row r="152" spans="2:78" ht="15.95" hidden="1" customHeight="1">
      <c r="B152" s="923">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row>
    <row r="153" spans="2:78" ht="15.95" hidden="1" customHeight="1">
      <c r="B153" s="923"/>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row>
    <row r="154" spans="2:78" ht="15.95" hidden="1" customHeight="1">
      <c r="B154" s="923">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row>
    <row r="155" spans="2:78" ht="15.95" hidden="1" customHeight="1">
      <c r="B155" s="923"/>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S155" s="59"/>
      <c r="AT155" s="59"/>
      <c r="AU155" s="59"/>
      <c r="AV155" s="59"/>
      <c r="AW155" s="59"/>
      <c r="AX155" s="59"/>
      <c r="AY155" s="59"/>
      <c r="AZ155" s="59"/>
      <c r="BA155" s="59"/>
      <c r="BB155" s="59"/>
      <c r="BC155" s="59"/>
      <c r="BD155" s="59"/>
      <c r="BE155" s="59"/>
      <c r="BF155" s="59"/>
      <c r="BG155" s="59"/>
      <c r="BH155" s="59"/>
      <c r="BI155" s="59"/>
      <c r="BJ155" s="59"/>
      <c r="BK155" s="59"/>
      <c r="BL155" s="59"/>
      <c r="BM155" s="59"/>
      <c r="BN155" s="59"/>
      <c r="BO155" s="59"/>
      <c r="BP155" s="59"/>
      <c r="BQ155" s="59"/>
      <c r="BR155" s="59"/>
      <c r="BS155" s="59"/>
      <c r="BT155" s="59"/>
      <c r="BU155" s="59"/>
      <c r="BV155" s="59"/>
      <c r="BW155" s="59"/>
      <c r="BX155" s="59"/>
      <c r="BY155" s="59"/>
      <c r="BZ155" s="59"/>
    </row>
    <row r="156" spans="2:78" ht="15.95" hidden="1" customHeight="1">
      <c r="B156" s="923">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row>
    <row r="157" spans="2:78" ht="15.95" hidden="1" customHeight="1">
      <c r="B157" s="923"/>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S157" s="59"/>
      <c r="AT157" s="59"/>
      <c r="AU157" s="59"/>
      <c r="AV157" s="59"/>
      <c r="AW157" s="59"/>
      <c r="AX157" s="59"/>
      <c r="AY157" s="59"/>
      <c r="AZ157" s="59"/>
      <c r="BA157" s="59"/>
      <c r="BB157" s="59"/>
      <c r="BC157" s="59"/>
      <c r="BD157" s="59"/>
      <c r="BE157" s="59"/>
      <c r="BF157" s="59"/>
      <c r="BG157" s="59"/>
      <c r="BH157" s="59"/>
      <c r="BI157" s="59"/>
      <c r="BJ157" s="59"/>
      <c r="BK157" s="59"/>
      <c r="BL157" s="59"/>
      <c r="BM157" s="59"/>
      <c r="BN157" s="59"/>
      <c r="BO157" s="59"/>
      <c r="BP157" s="59"/>
      <c r="BQ157" s="59"/>
      <c r="BR157" s="59"/>
      <c r="BS157" s="59"/>
      <c r="BT157" s="59"/>
      <c r="BU157" s="59"/>
      <c r="BV157" s="59"/>
      <c r="BW157" s="59"/>
      <c r="BX157" s="59"/>
      <c r="BY157" s="59"/>
      <c r="BZ157" s="59"/>
    </row>
    <row r="158" spans="2:78" ht="15.95" hidden="1" customHeight="1">
      <c r="B158" s="923">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row>
    <row r="159" spans="2:78" ht="15.95" hidden="1" customHeight="1">
      <c r="B159" s="923"/>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row>
    <row r="160" spans="2:78" ht="15.95" hidden="1" customHeight="1">
      <c r="B160" s="923">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row>
    <row r="161" spans="2:78" ht="15.95" hidden="1" customHeight="1">
      <c r="B161" s="923"/>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row>
    <row r="162" spans="2:78" ht="15.95" hidden="1" customHeight="1">
      <c r="B162" s="923">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row>
    <row r="163" spans="2:78" ht="15.95" hidden="1" customHeight="1">
      <c r="B163" s="923"/>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row>
    <row r="164" spans="2:78" ht="15.95" hidden="1" customHeight="1">
      <c r="B164" s="923">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S164" s="59"/>
      <c r="AT164" s="59"/>
      <c r="AU164" s="59"/>
      <c r="AV164" s="59"/>
      <c r="AW164" s="59"/>
      <c r="AX164" s="59"/>
      <c r="AY164" s="59"/>
      <c r="AZ164" s="59"/>
      <c r="BA164" s="59"/>
      <c r="BB164" s="59"/>
      <c r="BC164" s="59"/>
      <c r="BD164" s="59"/>
      <c r="BE164" s="59"/>
      <c r="BF164" s="59"/>
      <c r="BG164" s="59"/>
      <c r="BH164" s="59"/>
      <c r="BI164" s="59"/>
      <c r="BJ164" s="59"/>
      <c r="BK164" s="59"/>
      <c r="BL164" s="59"/>
      <c r="BM164" s="59"/>
      <c r="BN164" s="59"/>
      <c r="BO164" s="59"/>
      <c r="BP164" s="59"/>
      <c r="BQ164" s="59"/>
      <c r="BR164" s="59"/>
      <c r="BS164" s="59"/>
      <c r="BT164" s="59"/>
      <c r="BU164" s="59"/>
      <c r="BV164" s="59"/>
      <c r="BW164" s="59"/>
      <c r="BX164" s="59"/>
      <c r="BY164" s="59"/>
      <c r="BZ164" s="59"/>
    </row>
    <row r="165" spans="2:78" ht="15.95" hidden="1" customHeight="1">
      <c r="B165" s="923"/>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S165" s="59"/>
      <c r="AT165" s="59"/>
      <c r="AU165" s="59"/>
      <c r="AV165" s="59"/>
      <c r="AW165" s="59"/>
      <c r="AX165" s="59"/>
      <c r="AY165" s="59"/>
      <c r="AZ165" s="59"/>
      <c r="BA165" s="59"/>
      <c r="BB165" s="59"/>
      <c r="BC165" s="59"/>
      <c r="BD165" s="59"/>
      <c r="BE165" s="59"/>
      <c r="BF165" s="59"/>
      <c r="BG165" s="59"/>
      <c r="BH165" s="59"/>
      <c r="BI165" s="59"/>
      <c r="BJ165" s="59"/>
      <c r="BK165" s="59"/>
      <c r="BL165" s="59"/>
      <c r="BM165" s="59"/>
      <c r="BN165" s="59"/>
      <c r="BO165" s="59"/>
      <c r="BP165" s="59"/>
      <c r="BQ165" s="59"/>
      <c r="BR165" s="59"/>
      <c r="BS165" s="59"/>
      <c r="BT165" s="59"/>
      <c r="BU165" s="59"/>
      <c r="BV165" s="59"/>
      <c r="BW165" s="59"/>
      <c r="BX165" s="59"/>
      <c r="BY165" s="59"/>
      <c r="BZ165" s="59"/>
    </row>
    <row r="166" spans="2:78" ht="15.95" hidden="1" customHeight="1">
      <c r="B166" s="923">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S166" s="59"/>
      <c r="AT166" s="59"/>
      <c r="AU166" s="59"/>
      <c r="AV166" s="59"/>
      <c r="AW166" s="59"/>
      <c r="AX166" s="59"/>
      <c r="AY166" s="59"/>
      <c r="AZ166" s="59"/>
      <c r="BA166" s="59"/>
      <c r="BB166" s="59"/>
      <c r="BC166" s="59"/>
      <c r="BD166" s="59"/>
      <c r="BE166" s="59"/>
      <c r="BF166" s="59"/>
      <c r="BG166" s="59"/>
      <c r="BH166" s="59"/>
      <c r="BI166" s="59"/>
      <c r="BJ166" s="59"/>
      <c r="BK166" s="59"/>
      <c r="BL166" s="59"/>
      <c r="BM166" s="59"/>
      <c r="BN166" s="59"/>
      <c r="BO166" s="59"/>
      <c r="BP166" s="59"/>
      <c r="BQ166" s="59"/>
      <c r="BR166" s="59"/>
      <c r="BS166" s="59"/>
      <c r="BT166" s="59"/>
      <c r="BU166" s="59"/>
      <c r="BV166" s="59"/>
      <c r="BW166" s="59"/>
      <c r="BX166" s="59"/>
      <c r="BY166" s="59"/>
      <c r="BZ166" s="59"/>
    </row>
    <row r="167" spans="2:78" ht="15.95" hidden="1" customHeight="1">
      <c r="B167" s="923"/>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S167" s="59"/>
      <c r="AT167" s="59"/>
      <c r="AU167" s="59"/>
      <c r="AV167" s="59"/>
      <c r="AW167" s="59"/>
      <c r="AX167" s="59"/>
      <c r="AY167" s="59"/>
      <c r="AZ167" s="59"/>
      <c r="BA167" s="59"/>
      <c r="BB167" s="59"/>
      <c r="BC167" s="59"/>
      <c r="BD167" s="59"/>
      <c r="BE167" s="59"/>
      <c r="BF167" s="59"/>
      <c r="BG167" s="59"/>
      <c r="BH167" s="59"/>
      <c r="BI167" s="59"/>
      <c r="BJ167" s="59"/>
      <c r="BK167" s="59"/>
      <c r="BL167" s="59"/>
      <c r="BM167" s="59"/>
      <c r="BN167" s="59"/>
      <c r="BO167" s="59"/>
      <c r="BP167" s="59"/>
      <c r="BQ167" s="59"/>
      <c r="BR167" s="59"/>
      <c r="BS167" s="59"/>
      <c r="BT167" s="59"/>
      <c r="BU167" s="59"/>
      <c r="BV167" s="59"/>
      <c r="BW167" s="59"/>
      <c r="BX167" s="59"/>
      <c r="BY167" s="59"/>
      <c r="BZ167" s="59"/>
    </row>
    <row r="168" spans="2:78" ht="15.95" hidden="1" customHeight="1">
      <c r="B168" s="923">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S168" s="59"/>
      <c r="AT168" s="59"/>
      <c r="AU168" s="59"/>
      <c r="AV168" s="59"/>
      <c r="AW168" s="59"/>
      <c r="AX168" s="59"/>
      <c r="AY168" s="59"/>
      <c r="AZ168" s="59"/>
      <c r="BA168" s="59"/>
      <c r="BB168" s="59"/>
      <c r="BC168" s="59"/>
      <c r="BD168" s="59"/>
      <c r="BE168" s="59"/>
      <c r="BF168" s="59"/>
      <c r="BG168" s="59"/>
      <c r="BH168" s="59"/>
      <c r="BI168" s="59"/>
      <c r="BJ168" s="59"/>
      <c r="BK168" s="59"/>
      <c r="BL168" s="59"/>
      <c r="BM168" s="59"/>
      <c r="BN168" s="59"/>
      <c r="BO168" s="59"/>
      <c r="BP168" s="59"/>
      <c r="BQ168" s="59"/>
      <c r="BR168" s="59"/>
      <c r="BS168" s="59"/>
      <c r="BT168" s="59"/>
      <c r="BU168" s="59"/>
      <c r="BV168" s="59"/>
      <c r="BW168" s="59"/>
      <c r="BX168" s="59"/>
      <c r="BY168" s="59"/>
      <c r="BZ168" s="59"/>
    </row>
    <row r="169" spans="2:78" ht="15.95" hidden="1" customHeight="1">
      <c r="B169" s="923"/>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S169" s="59"/>
      <c r="AT169" s="59"/>
      <c r="AU169" s="59"/>
      <c r="AV169" s="59"/>
      <c r="AW169" s="59"/>
      <c r="AX169" s="59"/>
      <c r="AY169" s="59"/>
      <c r="AZ169" s="59"/>
      <c r="BA169" s="59"/>
      <c r="BB169" s="59"/>
      <c r="BC169" s="59"/>
      <c r="BD169" s="59"/>
      <c r="BE169" s="59"/>
      <c r="BF169" s="59"/>
      <c r="BG169" s="59"/>
      <c r="BH169" s="59"/>
      <c r="BI169" s="59"/>
      <c r="BJ169" s="59"/>
      <c r="BK169" s="59"/>
      <c r="BL169" s="59"/>
      <c r="BM169" s="59"/>
      <c r="BN169" s="59"/>
      <c r="BO169" s="59"/>
      <c r="BP169" s="59"/>
      <c r="BQ169" s="59"/>
      <c r="BR169" s="59"/>
      <c r="BS169" s="59"/>
      <c r="BT169" s="59"/>
      <c r="BU169" s="59"/>
      <c r="BV169" s="59"/>
      <c r="BW169" s="59"/>
      <c r="BX169" s="59"/>
      <c r="BY169" s="59"/>
      <c r="BZ169" s="59"/>
    </row>
    <row r="170" spans="2:78" ht="15.95" hidden="1" customHeight="1">
      <c r="B170" s="923">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S170" s="59"/>
      <c r="AT170" s="59"/>
      <c r="AU170" s="59"/>
      <c r="AV170" s="59"/>
      <c r="AW170" s="59"/>
      <c r="AX170" s="59"/>
      <c r="AY170" s="59"/>
      <c r="AZ170" s="59"/>
      <c r="BA170" s="59"/>
      <c r="BB170" s="59"/>
      <c r="BC170" s="59"/>
      <c r="BD170" s="59"/>
      <c r="BE170" s="59"/>
      <c r="BF170" s="59"/>
      <c r="BG170" s="59"/>
      <c r="BH170" s="59"/>
      <c r="BI170" s="59"/>
      <c r="BJ170" s="59"/>
      <c r="BK170" s="59"/>
      <c r="BL170" s="59"/>
      <c r="BM170" s="59"/>
      <c r="BN170" s="59"/>
      <c r="BO170" s="59"/>
      <c r="BP170" s="59"/>
      <c r="BQ170" s="59"/>
      <c r="BR170" s="59"/>
      <c r="BS170" s="59"/>
      <c r="BT170" s="59"/>
      <c r="BU170" s="59"/>
      <c r="BV170" s="59"/>
      <c r="BW170" s="59"/>
      <c r="BX170" s="59"/>
      <c r="BY170" s="59"/>
      <c r="BZ170" s="59"/>
    </row>
    <row r="171" spans="2:78" ht="15.95" hidden="1" customHeight="1">
      <c r="B171" s="923"/>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S171" s="59"/>
      <c r="AT171" s="59"/>
      <c r="AU171" s="59"/>
      <c r="AV171" s="59"/>
      <c r="AW171" s="59"/>
      <c r="AX171" s="59"/>
      <c r="AY171" s="59"/>
      <c r="AZ171" s="59"/>
      <c r="BA171" s="59"/>
      <c r="BB171" s="59"/>
      <c r="BC171" s="59"/>
      <c r="BD171" s="59"/>
      <c r="BE171" s="59"/>
      <c r="BF171" s="59"/>
      <c r="BG171" s="59"/>
      <c r="BH171" s="59"/>
      <c r="BI171" s="59"/>
      <c r="BJ171" s="59"/>
      <c r="BK171" s="59"/>
      <c r="BL171" s="59"/>
      <c r="BM171" s="59"/>
      <c r="BN171" s="59"/>
      <c r="BO171" s="59"/>
      <c r="BP171" s="59"/>
      <c r="BQ171" s="59"/>
      <c r="BR171" s="59"/>
      <c r="BS171" s="59"/>
      <c r="BT171" s="59"/>
      <c r="BU171" s="59"/>
      <c r="BV171" s="59"/>
      <c r="BW171" s="59"/>
      <c r="BX171" s="59"/>
      <c r="BY171" s="59"/>
      <c r="BZ171" s="59"/>
    </row>
    <row r="172" spans="2:78" ht="15.95" hidden="1" customHeight="1">
      <c r="B172" s="923">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S172" s="59"/>
      <c r="AT172" s="59"/>
      <c r="AU172" s="59"/>
      <c r="AV172" s="59"/>
      <c r="AW172" s="59"/>
      <c r="AX172" s="59"/>
      <c r="AY172" s="59"/>
      <c r="AZ172" s="59"/>
      <c r="BA172" s="59"/>
      <c r="BB172" s="59"/>
      <c r="BC172" s="59"/>
      <c r="BD172" s="59"/>
      <c r="BE172" s="59"/>
      <c r="BF172" s="59"/>
      <c r="BG172" s="59"/>
      <c r="BH172" s="59"/>
      <c r="BI172" s="59"/>
      <c r="BJ172" s="59"/>
      <c r="BK172" s="59"/>
      <c r="BL172" s="59"/>
      <c r="BM172" s="59"/>
      <c r="BN172" s="59"/>
      <c r="BO172" s="59"/>
      <c r="BP172" s="59"/>
      <c r="BQ172" s="59"/>
      <c r="BR172" s="59"/>
      <c r="BS172" s="59"/>
      <c r="BT172" s="59"/>
      <c r="BU172" s="59"/>
      <c r="BV172" s="59"/>
      <c r="BW172" s="59"/>
      <c r="BX172" s="59"/>
      <c r="BY172" s="59"/>
      <c r="BZ172" s="59"/>
    </row>
    <row r="173" spans="2:78" ht="15.95" hidden="1" customHeight="1">
      <c r="B173" s="923"/>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row>
    <row r="174" spans="2:78" ht="15.95" hidden="1" customHeight="1">
      <c r="B174" s="923">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row>
    <row r="175" spans="2:78" ht="15.95" hidden="1" customHeight="1">
      <c r="B175" s="923"/>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S175" s="59"/>
      <c r="AT175" s="59"/>
      <c r="AU175" s="59"/>
      <c r="AV175" s="59"/>
      <c r="AW175" s="59"/>
      <c r="AX175" s="59"/>
      <c r="AY175" s="59"/>
      <c r="AZ175" s="59"/>
      <c r="BA175" s="59"/>
      <c r="BB175" s="59"/>
      <c r="BC175" s="59"/>
      <c r="BD175" s="59"/>
      <c r="BE175" s="59"/>
      <c r="BF175" s="59"/>
      <c r="BG175" s="59"/>
      <c r="BH175" s="59"/>
      <c r="BI175" s="59"/>
      <c r="BJ175" s="59"/>
      <c r="BK175" s="59"/>
      <c r="BL175" s="59"/>
      <c r="BM175" s="59"/>
      <c r="BN175" s="59"/>
      <c r="BO175" s="59"/>
      <c r="BP175" s="59"/>
      <c r="BQ175" s="59"/>
      <c r="BR175" s="59"/>
      <c r="BS175" s="59"/>
      <c r="BT175" s="59"/>
      <c r="BU175" s="59"/>
      <c r="BV175" s="59"/>
      <c r="BW175" s="59"/>
      <c r="BX175" s="59"/>
      <c r="BY175" s="59"/>
      <c r="BZ175" s="59"/>
    </row>
    <row r="176" spans="2:78" ht="15.95" hidden="1" customHeight="1">
      <c r="B176" s="923">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S176" s="59"/>
      <c r="AT176" s="59"/>
      <c r="AU176" s="59"/>
      <c r="AV176" s="59"/>
      <c r="AW176" s="59"/>
      <c r="AX176" s="59"/>
      <c r="AY176" s="59"/>
      <c r="AZ176" s="59"/>
      <c r="BA176" s="59"/>
      <c r="BB176" s="59"/>
      <c r="BC176" s="59"/>
      <c r="BD176" s="59"/>
      <c r="BE176" s="59"/>
      <c r="BF176" s="59"/>
      <c r="BG176" s="59"/>
      <c r="BH176" s="59"/>
      <c r="BI176" s="59"/>
      <c r="BJ176" s="59"/>
      <c r="BK176" s="59"/>
      <c r="BL176" s="59"/>
      <c r="BM176" s="59"/>
      <c r="BN176" s="59"/>
      <c r="BO176" s="59"/>
      <c r="BP176" s="59"/>
      <c r="BQ176" s="59"/>
      <c r="BR176" s="59"/>
      <c r="BS176" s="59"/>
      <c r="BT176" s="59"/>
      <c r="BU176" s="59"/>
      <c r="BV176" s="59"/>
      <c r="BW176" s="59"/>
      <c r="BX176" s="59"/>
      <c r="BY176" s="59"/>
      <c r="BZ176" s="59"/>
    </row>
    <row r="177" spans="2:78" ht="15.95" hidden="1" customHeight="1">
      <c r="B177" s="923"/>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S177" s="59"/>
      <c r="AT177" s="59"/>
      <c r="AU177" s="59"/>
      <c r="AV177" s="59"/>
      <c r="AW177" s="59"/>
      <c r="AX177" s="59"/>
      <c r="AY177" s="59"/>
      <c r="AZ177" s="59"/>
      <c r="BA177" s="59"/>
      <c r="BB177" s="59"/>
      <c r="BC177" s="59"/>
      <c r="BD177" s="59"/>
      <c r="BE177" s="59"/>
      <c r="BF177" s="59"/>
      <c r="BG177" s="59"/>
      <c r="BH177" s="59"/>
      <c r="BI177" s="59"/>
      <c r="BJ177" s="59"/>
      <c r="BK177" s="59"/>
      <c r="BL177" s="59"/>
      <c r="BM177" s="59"/>
      <c r="BN177" s="59"/>
      <c r="BO177" s="59"/>
      <c r="BP177" s="59"/>
      <c r="BQ177" s="59"/>
      <c r="BR177" s="59"/>
      <c r="BS177" s="59"/>
      <c r="BT177" s="59"/>
      <c r="BU177" s="59"/>
      <c r="BV177" s="59"/>
      <c r="BW177" s="59"/>
      <c r="BX177" s="59"/>
      <c r="BY177" s="59"/>
      <c r="BZ177" s="59"/>
    </row>
    <row r="178" spans="2:78" ht="15.95" hidden="1" customHeight="1">
      <c r="B178" s="923">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S178" s="59"/>
      <c r="AT178" s="59"/>
      <c r="AU178" s="59"/>
      <c r="AV178" s="59"/>
      <c r="AW178" s="59"/>
      <c r="AX178" s="59"/>
      <c r="AY178" s="59"/>
      <c r="AZ178" s="59"/>
      <c r="BA178" s="59"/>
      <c r="BB178" s="59"/>
      <c r="BC178" s="59"/>
      <c r="BD178" s="59"/>
      <c r="BE178" s="59"/>
      <c r="BF178" s="59"/>
      <c r="BG178" s="59"/>
      <c r="BH178" s="59"/>
      <c r="BI178" s="59"/>
      <c r="BJ178" s="59"/>
      <c r="BK178" s="59"/>
      <c r="BL178" s="59"/>
      <c r="BM178" s="59"/>
      <c r="BN178" s="59"/>
      <c r="BO178" s="59"/>
      <c r="BP178" s="59"/>
      <c r="BQ178" s="59"/>
      <c r="BR178" s="59"/>
      <c r="BS178" s="59"/>
      <c r="BT178" s="59"/>
      <c r="BU178" s="59"/>
      <c r="BV178" s="59"/>
      <c r="BW178" s="59"/>
      <c r="BX178" s="59"/>
      <c r="BY178" s="59"/>
      <c r="BZ178" s="59"/>
    </row>
    <row r="179" spans="2:78" ht="15.95" hidden="1" customHeight="1">
      <c r="B179" s="923"/>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S179" s="59"/>
      <c r="AT179" s="59"/>
      <c r="AU179" s="59"/>
      <c r="AV179" s="59"/>
      <c r="AW179" s="59"/>
      <c r="AX179" s="59"/>
      <c r="AY179" s="59"/>
      <c r="AZ179" s="59"/>
      <c r="BA179" s="59"/>
      <c r="BB179" s="59"/>
      <c r="BC179" s="59"/>
      <c r="BD179" s="59"/>
      <c r="BE179" s="59"/>
      <c r="BF179" s="59"/>
      <c r="BG179" s="59"/>
      <c r="BH179" s="59"/>
      <c r="BI179" s="59"/>
      <c r="BJ179" s="59"/>
      <c r="BK179" s="59"/>
      <c r="BL179" s="59"/>
      <c r="BM179" s="59"/>
      <c r="BN179" s="59"/>
      <c r="BO179" s="59"/>
      <c r="BP179" s="59"/>
      <c r="BQ179" s="59"/>
      <c r="BR179" s="59"/>
      <c r="BS179" s="59"/>
      <c r="BT179" s="59"/>
      <c r="BU179" s="59"/>
      <c r="BV179" s="59"/>
      <c r="BW179" s="59"/>
      <c r="BX179" s="59"/>
      <c r="BY179" s="59"/>
      <c r="BZ179" s="59"/>
    </row>
    <row r="180" spans="2:78" ht="15.95" hidden="1" customHeight="1">
      <c r="B180" s="923">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S180" s="59"/>
      <c r="AT180" s="59"/>
      <c r="AU180" s="59"/>
      <c r="AV180" s="59"/>
      <c r="AW180" s="59"/>
      <c r="AX180" s="59"/>
      <c r="AY180" s="59"/>
      <c r="AZ180" s="59"/>
      <c r="BA180" s="59"/>
      <c r="BB180" s="59"/>
      <c r="BC180" s="59"/>
      <c r="BD180" s="59"/>
      <c r="BE180" s="59"/>
      <c r="BF180" s="59"/>
      <c r="BG180" s="59"/>
      <c r="BH180" s="59"/>
      <c r="BI180" s="59"/>
      <c r="BJ180" s="59"/>
      <c r="BK180" s="59"/>
      <c r="BL180" s="59"/>
      <c r="BM180" s="59"/>
      <c r="BN180" s="59"/>
      <c r="BO180" s="59"/>
      <c r="BP180" s="59"/>
      <c r="BQ180" s="59"/>
      <c r="BR180" s="59"/>
      <c r="BS180" s="59"/>
      <c r="BT180" s="59"/>
      <c r="BU180" s="59"/>
      <c r="BV180" s="59"/>
      <c r="BW180" s="59"/>
      <c r="BX180" s="59"/>
      <c r="BY180" s="59"/>
      <c r="BZ180" s="59"/>
    </row>
    <row r="181" spans="2:78" ht="15.95" hidden="1" customHeight="1">
      <c r="B181" s="923"/>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row>
    <row r="182" spans="2:78" ht="15.95" hidden="1" customHeight="1">
      <c r="B182" s="923">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row>
    <row r="183" spans="2:78" ht="15.95" hidden="1" customHeight="1">
      <c r="B183" s="923"/>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S183" s="59"/>
      <c r="AT183" s="59"/>
      <c r="AU183" s="59"/>
      <c r="AV183" s="59"/>
      <c r="AW183" s="59"/>
      <c r="AX183" s="59"/>
      <c r="AY183" s="59"/>
      <c r="AZ183" s="59"/>
      <c r="BA183" s="59"/>
      <c r="BB183" s="59"/>
      <c r="BC183" s="59"/>
      <c r="BD183" s="59"/>
      <c r="BE183" s="59"/>
      <c r="BF183" s="59"/>
      <c r="BG183" s="59"/>
      <c r="BH183" s="59"/>
      <c r="BI183" s="59"/>
      <c r="BJ183" s="59"/>
      <c r="BK183" s="59"/>
      <c r="BL183" s="59"/>
      <c r="BM183" s="59"/>
      <c r="BN183" s="59"/>
      <c r="BO183" s="59"/>
      <c r="BP183" s="59"/>
      <c r="BQ183" s="59"/>
      <c r="BR183" s="59"/>
      <c r="BS183" s="59"/>
      <c r="BT183" s="59"/>
      <c r="BU183" s="59"/>
      <c r="BV183" s="59"/>
      <c r="BW183" s="59"/>
      <c r="BX183" s="59"/>
      <c r="BY183" s="59"/>
      <c r="BZ183" s="59"/>
    </row>
    <row r="184" spans="2:78" ht="15.95" hidden="1" customHeight="1">
      <c r="B184" s="923">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row>
    <row r="185" spans="2:78" ht="15.95" hidden="1" customHeight="1">
      <c r="B185" s="923"/>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row>
    <row r="186" spans="2:78" ht="15.95" hidden="1" customHeight="1">
      <c r="B186" s="923">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S186" s="59"/>
      <c r="AT186" s="59"/>
      <c r="AU186" s="59"/>
      <c r="AV186" s="59"/>
      <c r="AW186" s="59"/>
      <c r="AX186" s="59"/>
      <c r="AY186" s="59"/>
      <c r="AZ186" s="59"/>
      <c r="BA186" s="59"/>
      <c r="BB186" s="59"/>
      <c r="BC186" s="59"/>
      <c r="BD186" s="59"/>
      <c r="BE186" s="59"/>
      <c r="BF186" s="59"/>
      <c r="BG186" s="59"/>
      <c r="BH186" s="59"/>
      <c r="BI186" s="59"/>
      <c r="BJ186" s="59"/>
      <c r="BK186" s="59"/>
      <c r="BL186" s="59"/>
      <c r="BM186" s="59"/>
      <c r="BN186" s="59"/>
      <c r="BO186" s="59"/>
      <c r="BP186" s="59"/>
      <c r="BQ186" s="59"/>
      <c r="BR186" s="59"/>
      <c r="BS186" s="59"/>
      <c r="BT186" s="59"/>
      <c r="BU186" s="59"/>
      <c r="BV186" s="59"/>
      <c r="BW186" s="59"/>
      <c r="BX186" s="59"/>
      <c r="BY186" s="59"/>
      <c r="BZ186" s="59"/>
    </row>
    <row r="187" spans="2:78" ht="15.95" hidden="1" customHeight="1">
      <c r="B187" s="923"/>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S187" s="59"/>
      <c r="AT187" s="59"/>
      <c r="AU187" s="59"/>
      <c r="AV187" s="59"/>
      <c r="AW187" s="59"/>
      <c r="AX187" s="59"/>
      <c r="AY187" s="59"/>
      <c r="AZ187" s="59"/>
      <c r="BA187" s="59"/>
      <c r="BB187" s="59"/>
      <c r="BC187" s="59"/>
      <c r="BD187" s="59"/>
      <c r="BE187" s="59"/>
      <c r="BF187" s="59"/>
      <c r="BG187" s="59"/>
      <c r="BH187" s="59"/>
      <c r="BI187" s="59"/>
      <c r="BJ187" s="59"/>
      <c r="BK187" s="59"/>
      <c r="BL187" s="59"/>
      <c r="BM187" s="59"/>
      <c r="BN187" s="59"/>
      <c r="BO187" s="59"/>
      <c r="BP187" s="59"/>
      <c r="BQ187" s="59"/>
      <c r="BR187" s="59"/>
      <c r="BS187" s="59"/>
      <c r="BT187" s="59"/>
      <c r="BU187" s="59"/>
      <c r="BV187" s="59"/>
      <c r="BW187" s="59"/>
      <c r="BX187" s="59"/>
      <c r="BY187" s="59"/>
      <c r="BZ187" s="59"/>
    </row>
    <row r="188" spans="2:78" ht="15.95" hidden="1" customHeight="1">
      <c r="B188" s="923">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S188" s="59"/>
      <c r="AT188" s="59"/>
      <c r="AU188" s="59"/>
      <c r="AV188" s="59"/>
      <c r="AW188" s="59"/>
      <c r="AX188" s="59"/>
      <c r="AY188" s="59"/>
      <c r="AZ188" s="59"/>
      <c r="BA188" s="59"/>
      <c r="BB188" s="59"/>
      <c r="BC188" s="59"/>
      <c r="BD188" s="59"/>
      <c r="BE188" s="59"/>
      <c r="BF188" s="59"/>
      <c r="BG188" s="59"/>
      <c r="BH188" s="59"/>
      <c r="BI188" s="59"/>
      <c r="BJ188" s="59"/>
      <c r="BK188" s="59"/>
      <c r="BL188" s="59"/>
      <c r="BM188" s="59"/>
      <c r="BN188" s="59"/>
      <c r="BO188" s="59"/>
      <c r="BP188" s="59"/>
      <c r="BQ188" s="59"/>
      <c r="BR188" s="59"/>
      <c r="BS188" s="59"/>
      <c r="BT188" s="59"/>
      <c r="BU188" s="59"/>
      <c r="BV188" s="59"/>
      <c r="BW188" s="59"/>
      <c r="BX188" s="59"/>
      <c r="BY188" s="59"/>
      <c r="BZ188" s="59"/>
    </row>
    <row r="189" spans="2:78" ht="15.95" hidden="1" customHeight="1">
      <c r="B189" s="923"/>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S189" s="59"/>
      <c r="AT189" s="59"/>
      <c r="AU189" s="59"/>
      <c r="AV189" s="59"/>
      <c r="AW189" s="59"/>
      <c r="AX189" s="59"/>
      <c r="AY189" s="59"/>
      <c r="AZ189" s="59"/>
      <c r="BA189" s="59"/>
      <c r="BB189" s="59"/>
      <c r="BC189" s="59"/>
      <c r="BD189" s="59"/>
      <c r="BE189" s="59"/>
      <c r="BF189" s="59"/>
      <c r="BG189" s="59"/>
      <c r="BH189" s="59"/>
      <c r="BI189" s="59"/>
      <c r="BJ189" s="59"/>
      <c r="BK189" s="59"/>
      <c r="BL189" s="59"/>
      <c r="BM189" s="59"/>
      <c r="BN189" s="59"/>
      <c r="BO189" s="59"/>
      <c r="BP189" s="59"/>
      <c r="BQ189" s="59"/>
      <c r="BR189" s="59"/>
      <c r="BS189" s="59"/>
      <c r="BT189" s="59"/>
      <c r="BU189" s="59"/>
      <c r="BV189" s="59"/>
      <c r="BW189" s="59"/>
      <c r="BX189" s="59"/>
      <c r="BY189" s="59"/>
      <c r="BZ189" s="59"/>
    </row>
    <row r="190" spans="2:78" ht="15.95" hidden="1" customHeight="1">
      <c r="B190" s="923">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S190" s="59"/>
      <c r="AT190" s="59"/>
      <c r="AU190" s="59"/>
      <c r="AV190" s="59"/>
      <c r="AW190" s="59"/>
      <c r="AX190" s="59"/>
      <c r="AY190" s="59"/>
      <c r="AZ190" s="59"/>
      <c r="BA190" s="59"/>
      <c r="BB190" s="59"/>
      <c r="BC190" s="59"/>
      <c r="BD190" s="59"/>
      <c r="BE190" s="59"/>
      <c r="BF190" s="59"/>
      <c r="BG190" s="59"/>
      <c r="BH190" s="59"/>
      <c r="BI190" s="59"/>
      <c r="BJ190" s="59"/>
      <c r="BK190" s="59"/>
      <c r="BL190" s="59"/>
      <c r="BM190" s="59"/>
      <c r="BN190" s="59"/>
      <c r="BO190" s="59"/>
      <c r="BP190" s="59"/>
      <c r="BQ190" s="59"/>
      <c r="BR190" s="59"/>
      <c r="BS190" s="59"/>
      <c r="BT190" s="59"/>
      <c r="BU190" s="59"/>
      <c r="BV190" s="59"/>
      <c r="BW190" s="59"/>
      <c r="BX190" s="59"/>
      <c r="BY190" s="59"/>
      <c r="BZ190" s="59"/>
    </row>
    <row r="191" spans="2:78" ht="15.95" hidden="1" customHeight="1">
      <c r="B191" s="923"/>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S191" s="59"/>
      <c r="AT191" s="59"/>
      <c r="AU191" s="59"/>
      <c r="AV191" s="59"/>
      <c r="AW191" s="59"/>
      <c r="AX191" s="59"/>
      <c r="AY191" s="59"/>
      <c r="AZ191" s="59"/>
      <c r="BA191" s="59"/>
      <c r="BB191" s="59"/>
      <c r="BC191" s="59"/>
      <c r="BD191" s="59"/>
      <c r="BE191" s="59"/>
      <c r="BF191" s="59"/>
      <c r="BG191" s="59"/>
      <c r="BH191" s="59"/>
      <c r="BI191" s="59"/>
      <c r="BJ191" s="59"/>
      <c r="BK191" s="59"/>
      <c r="BL191" s="59"/>
      <c r="BM191" s="59"/>
      <c r="BN191" s="59"/>
      <c r="BO191" s="59"/>
      <c r="BP191" s="59"/>
      <c r="BQ191" s="59"/>
      <c r="BR191" s="59"/>
      <c r="BS191" s="59"/>
      <c r="BT191" s="59"/>
      <c r="BU191" s="59"/>
      <c r="BV191" s="59"/>
      <c r="BW191" s="59"/>
      <c r="BX191" s="59"/>
      <c r="BY191" s="59"/>
      <c r="BZ191" s="59"/>
    </row>
    <row r="192" spans="2:78" ht="15.95" hidden="1" customHeight="1">
      <c r="B192" s="923">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S192" s="59"/>
      <c r="AT192" s="59"/>
      <c r="AU192" s="59"/>
      <c r="AV192" s="59"/>
      <c r="AW192" s="59"/>
      <c r="AX192" s="59"/>
      <c r="AY192" s="59"/>
      <c r="AZ192" s="59"/>
      <c r="BA192" s="59"/>
      <c r="BB192" s="59"/>
      <c r="BC192" s="59"/>
      <c r="BD192" s="59"/>
      <c r="BE192" s="59"/>
      <c r="BF192" s="59"/>
      <c r="BG192" s="59"/>
      <c r="BH192" s="59"/>
      <c r="BI192" s="59"/>
      <c r="BJ192" s="59"/>
      <c r="BK192" s="59"/>
      <c r="BL192" s="59"/>
      <c r="BM192" s="59"/>
      <c r="BN192" s="59"/>
      <c r="BO192" s="59"/>
      <c r="BP192" s="59"/>
      <c r="BQ192" s="59"/>
      <c r="BR192" s="59"/>
      <c r="BS192" s="59"/>
      <c r="BT192" s="59"/>
      <c r="BU192" s="59"/>
      <c r="BV192" s="59"/>
      <c r="BW192" s="59"/>
      <c r="BX192" s="59"/>
      <c r="BY192" s="59"/>
      <c r="BZ192" s="59"/>
    </row>
    <row r="193" spans="2:78" ht="15.95" hidden="1" customHeight="1">
      <c r="B193" s="923"/>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c r="BO193" s="59"/>
      <c r="BP193" s="59"/>
      <c r="BQ193" s="59"/>
      <c r="BR193" s="59"/>
      <c r="BS193" s="59"/>
      <c r="BT193" s="59"/>
      <c r="BU193" s="59"/>
      <c r="BV193" s="59"/>
      <c r="BW193" s="59"/>
      <c r="BX193" s="59"/>
      <c r="BY193" s="59"/>
      <c r="BZ193" s="59"/>
    </row>
    <row r="194" spans="2:78" ht="15.95" hidden="1" customHeight="1">
      <c r="B194" s="923">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S194" s="59"/>
      <c r="AT194" s="59"/>
      <c r="AU194" s="59"/>
      <c r="AV194" s="59"/>
      <c r="AW194" s="59"/>
      <c r="AX194" s="59"/>
      <c r="AY194" s="59"/>
      <c r="AZ194" s="59"/>
      <c r="BA194" s="59"/>
      <c r="BB194" s="59"/>
      <c r="BC194" s="59"/>
      <c r="BD194" s="59"/>
      <c r="BE194" s="59"/>
      <c r="BF194" s="59"/>
      <c r="BG194" s="59"/>
      <c r="BH194" s="59"/>
      <c r="BI194" s="59"/>
      <c r="BJ194" s="59"/>
      <c r="BK194" s="59"/>
      <c r="BL194" s="59"/>
      <c r="BM194" s="59"/>
      <c r="BN194" s="59"/>
      <c r="BO194" s="59"/>
      <c r="BP194" s="59"/>
      <c r="BQ194" s="59"/>
      <c r="BR194" s="59"/>
      <c r="BS194" s="59"/>
      <c r="BT194" s="59"/>
      <c r="BU194" s="59"/>
      <c r="BV194" s="59"/>
      <c r="BW194" s="59"/>
      <c r="BX194" s="59"/>
      <c r="BY194" s="59"/>
      <c r="BZ194" s="59"/>
    </row>
    <row r="195" spans="2:78" ht="15.95" hidden="1" customHeight="1">
      <c r="B195" s="923"/>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S195" s="59"/>
      <c r="AT195" s="59"/>
      <c r="AU195" s="59"/>
      <c r="AV195" s="59"/>
      <c r="AW195" s="59"/>
      <c r="AX195" s="59"/>
      <c r="AY195" s="59"/>
      <c r="AZ195" s="59"/>
      <c r="BA195" s="59"/>
      <c r="BB195" s="59"/>
      <c r="BC195" s="59"/>
      <c r="BD195" s="59"/>
      <c r="BE195" s="59"/>
      <c r="BF195" s="59"/>
      <c r="BG195" s="59"/>
      <c r="BH195" s="59"/>
      <c r="BI195" s="59"/>
      <c r="BJ195" s="59"/>
      <c r="BK195" s="59"/>
      <c r="BL195" s="59"/>
      <c r="BM195" s="59"/>
      <c r="BN195" s="59"/>
      <c r="BO195" s="59"/>
      <c r="BP195" s="59"/>
      <c r="BQ195" s="59"/>
      <c r="BR195" s="59"/>
      <c r="BS195" s="59"/>
      <c r="BT195" s="59"/>
      <c r="BU195" s="59"/>
      <c r="BV195" s="59"/>
      <c r="BW195" s="59"/>
      <c r="BX195" s="59"/>
      <c r="BY195" s="59"/>
      <c r="BZ195" s="59"/>
    </row>
    <row r="196" spans="2:78" ht="15.95" hidden="1" customHeight="1">
      <c r="B196" s="923">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S196" s="59"/>
      <c r="AT196" s="59"/>
      <c r="AU196" s="59"/>
      <c r="AV196" s="59"/>
      <c r="AW196" s="59"/>
      <c r="AX196" s="59"/>
      <c r="AY196" s="59"/>
      <c r="AZ196" s="59"/>
      <c r="BA196" s="59"/>
      <c r="BB196" s="59"/>
      <c r="BC196" s="59"/>
      <c r="BD196" s="59"/>
      <c r="BE196" s="59"/>
      <c r="BF196" s="59"/>
      <c r="BG196" s="59"/>
      <c r="BH196" s="59"/>
      <c r="BI196" s="59"/>
      <c r="BJ196" s="59"/>
      <c r="BK196" s="59"/>
      <c r="BL196" s="59"/>
      <c r="BM196" s="59"/>
      <c r="BN196" s="59"/>
      <c r="BO196" s="59"/>
      <c r="BP196" s="59"/>
      <c r="BQ196" s="59"/>
      <c r="BR196" s="59"/>
      <c r="BS196" s="59"/>
      <c r="BT196" s="59"/>
      <c r="BU196" s="59"/>
      <c r="BV196" s="59"/>
      <c r="BW196" s="59"/>
      <c r="BX196" s="59"/>
      <c r="BY196" s="59"/>
      <c r="BZ196" s="59"/>
    </row>
    <row r="197" spans="2:78" ht="15.95" hidden="1" customHeight="1">
      <c r="B197" s="923"/>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S197" s="59"/>
      <c r="AT197" s="59"/>
      <c r="AU197" s="59"/>
      <c r="AV197" s="59"/>
      <c r="AW197" s="59"/>
      <c r="AX197" s="59"/>
      <c r="AY197" s="59"/>
      <c r="AZ197" s="59"/>
      <c r="BA197" s="59"/>
      <c r="BB197" s="59"/>
      <c r="BC197" s="59"/>
      <c r="BD197" s="59"/>
      <c r="BE197" s="59"/>
      <c r="BF197" s="59"/>
      <c r="BG197" s="59"/>
      <c r="BH197" s="59"/>
      <c r="BI197" s="59"/>
      <c r="BJ197" s="59"/>
      <c r="BK197" s="59"/>
      <c r="BL197" s="59"/>
      <c r="BM197" s="59"/>
      <c r="BN197" s="59"/>
      <c r="BO197" s="59"/>
      <c r="BP197" s="59"/>
      <c r="BQ197" s="59"/>
      <c r="BR197" s="59"/>
      <c r="BS197" s="59"/>
      <c r="BT197" s="59"/>
      <c r="BU197" s="59"/>
      <c r="BV197" s="59"/>
      <c r="BW197" s="59"/>
      <c r="BX197" s="59"/>
      <c r="BY197" s="59"/>
      <c r="BZ197" s="59"/>
    </row>
    <row r="198" spans="2:78" ht="15.95" hidden="1" customHeight="1">
      <c r="B198" s="923">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S198" s="59"/>
      <c r="AT198" s="59"/>
      <c r="AU198" s="59"/>
      <c r="AV198" s="59"/>
      <c r="AW198" s="59"/>
      <c r="AX198" s="59"/>
      <c r="AY198" s="59"/>
      <c r="AZ198" s="59"/>
      <c r="BA198" s="59"/>
      <c r="BB198" s="59"/>
      <c r="BC198" s="59"/>
      <c r="BD198" s="59"/>
      <c r="BE198" s="59"/>
      <c r="BF198" s="59"/>
      <c r="BG198" s="59"/>
      <c r="BH198" s="59"/>
      <c r="BI198" s="59"/>
      <c r="BJ198" s="59"/>
      <c r="BK198" s="59"/>
      <c r="BL198" s="59"/>
      <c r="BM198" s="59"/>
      <c r="BN198" s="59"/>
      <c r="BO198" s="59"/>
      <c r="BP198" s="59"/>
      <c r="BQ198" s="59"/>
      <c r="BR198" s="59"/>
      <c r="BS198" s="59"/>
      <c r="BT198" s="59"/>
      <c r="BU198" s="59"/>
      <c r="BV198" s="59"/>
      <c r="BW198" s="59"/>
      <c r="BX198" s="59"/>
      <c r="BY198" s="59"/>
      <c r="BZ198" s="59"/>
    </row>
    <row r="199" spans="2:78" ht="15.95" hidden="1" customHeight="1">
      <c r="B199" s="923"/>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S199" s="59"/>
      <c r="AT199" s="59"/>
      <c r="AU199" s="59"/>
      <c r="AV199" s="59"/>
      <c r="AW199" s="59"/>
      <c r="AX199" s="59"/>
      <c r="AY199" s="59"/>
      <c r="AZ199" s="59"/>
      <c r="BA199" s="59"/>
      <c r="BB199" s="59"/>
      <c r="BC199" s="59"/>
      <c r="BD199" s="59"/>
      <c r="BE199" s="59"/>
      <c r="BF199" s="59"/>
      <c r="BG199" s="59"/>
      <c r="BH199" s="59"/>
      <c r="BI199" s="59"/>
      <c r="BJ199" s="59"/>
      <c r="BK199" s="59"/>
      <c r="BL199" s="59"/>
      <c r="BM199" s="59"/>
      <c r="BN199" s="59"/>
      <c r="BO199" s="59"/>
      <c r="BP199" s="59"/>
      <c r="BQ199" s="59"/>
      <c r="BR199" s="59"/>
      <c r="BS199" s="59"/>
      <c r="BT199" s="59"/>
      <c r="BU199" s="59"/>
      <c r="BV199" s="59"/>
      <c r="BW199" s="59"/>
      <c r="BX199" s="59"/>
      <c r="BY199" s="59"/>
      <c r="BZ199" s="59"/>
    </row>
    <row r="200" spans="2:78">
      <c r="B200" s="272" t="str">
        <f>FOOT1</f>
        <v>NIPSCO Energy Efficiency Program</v>
      </c>
      <c r="C200" s="272"/>
      <c r="D200" s="272"/>
      <c r="E200" s="272"/>
      <c r="F200" s="272"/>
      <c r="G200" s="272"/>
      <c r="H200" s="272"/>
      <c r="I200" s="272"/>
      <c r="J200" s="272"/>
      <c r="K200" s="272"/>
      <c r="L200" s="272"/>
      <c r="M200" s="656" t="str">
        <f>FOOT4</f>
        <v>NIPSCO’s energy efficiency programs are administered by TRC, a third‐party implementation specialist that helps homes and businesses save energy.</v>
      </c>
      <c r="N200" s="656"/>
      <c r="O200" s="656"/>
      <c r="P200" s="656"/>
      <c r="Q200" s="656"/>
      <c r="R200" s="656"/>
      <c r="S200" s="656"/>
      <c r="T200" s="656"/>
      <c r="U200" s="656"/>
      <c r="V200" s="656"/>
      <c r="W200" s="656"/>
      <c r="X200" s="656"/>
      <c r="Y200" s="656"/>
      <c r="Z200" s="656"/>
      <c r="AA200" s="656"/>
      <c r="AB200" s="656"/>
      <c r="AC200" s="656"/>
      <c r="AD200" s="656"/>
      <c r="AE200" s="656"/>
      <c r="AF200" s="656"/>
      <c r="AG200" s="656"/>
      <c r="AH200" s="272"/>
      <c r="AI200" s="272"/>
      <c r="AJ200" s="272"/>
      <c r="AK200" s="272"/>
      <c r="AL200" s="272"/>
      <c r="AM200" s="272"/>
      <c r="AN200" s="272"/>
      <c r="AO200" s="272"/>
      <c r="AP200" s="272"/>
      <c r="AQ200" s="272"/>
      <c r="AR200" s="273" t="str">
        <f>FOOTDISCLAIM</f>
        <v/>
      </c>
      <c r="AS200" s="59"/>
      <c r="AT200" s="59"/>
      <c r="AU200" s="808">
        <f>SUM(AU16:AU35)</f>
        <v>0</v>
      </c>
      <c r="AV200" s="873">
        <f>SUM(AV16:AV199)</f>
        <v>0</v>
      </c>
      <c r="AW200" s="59"/>
      <c r="AX200" s="808">
        <f>SUM(AU40:AU61)</f>
        <v>0</v>
      </c>
      <c r="AZ200" s="808">
        <f>SUM(AN16:AQ35)</f>
        <v>0</v>
      </c>
      <c r="BA200" s="808">
        <f>SUM(AN40:AQ61)</f>
        <v>0</v>
      </c>
      <c r="BB200" s="59"/>
      <c r="BC200" s="59"/>
      <c r="BD200" s="59"/>
      <c r="BE200" s="59"/>
      <c r="BF200" s="59"/>
      <c r="BG200" s="59"/>
      <c r="BH200" s="59"/>
      <c r="BI200" s="59"/>
      <c r="BJ200" s="59"/>
      <c r="BK200" s="59"/>
      <c r="BL200" s="59"/>
      <c r="BM200" s="59"/>
      <c r="BN200" s="59"/>
      <c r="BO200" s="59"/>
      <c r="BP200" s="59"/>
      <c r="BQ200" s="59"/>
      <c r="BR200" s="59"/>
      <c r="BS200" s="59"/>
      <c r="BT200" s="59"/>
      <c r="BU200" s="59"/>
      <c r="BV200" s="59"/>
      <c r="BW200" s="59"/>
      <c r="BX200" s="59"/>
      <c r="BY200" s="59"/>
      <c r="BZ200" s="59"/>
    </row>
    <row r="201" spans="2:78">
      <c r="B201" s="272" t="str">
        <f>FOOT2</f>
        <v>Toll-Free 800-299-2501</v>
      </c>
      <c r="C201" s="272"/>
      <c r="D201" s="272"/>
      <c r="E201" s="272"/>
      <c r="F201" s="272"/>
      <c r="G201" s="272"/>
      <c r="H201" s="272"/>
      <c r="I201" s="272"/>
      <c r="J201" s="272"/>
      <c r="K201" s="272"/>
      <c r="L201" s="272"/>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272"/>
      <c r="AI201" s="272"/>
      <c r="AJ201" s="272"/>
      <c r="AK201" s="272"/>
      <c r="AL201" s="272"/>
      <c r="AM201" s="272"/>
      <c r="AN201" s="272"/>
      <c r="AO201" s="272"/>
      <c r="AP201" s="272"/>
      <c r="AQ201" s="272"/>
      <c r="AR201" s="273" t="str">
        <f>FOOT5</f>
        <v/>
      </c>
      <c r="AS201" s="59"/>
      <c r="AT201" s="59"/>
      <c r="AU201" s="809"/>
      <c r="AV201" s="874"/>
      <c r="AW201" s="59"/>
      <c r="AX201" s="809"/>
      <c r="AZ201" s="809"/>
      <c r="BA201" s="809"/>
      <c r="BB201" s="59"/>
      <c r="BC201" s="59"/>
      <c r="BD201" s="59"/>
      <c r="BE201" s="59"/>
      <c r="BF201" s="59"/>
      <c r="BG201" s="59"/>
      <c r="BH201" s="59"/>
      <c r="BI201" s="59"/>
      <c r="BJ201" s="59"/>
      <c r="BK201" s="59"/>
      <c r="BL201" s="59"/>
      <c r="BM201" s="59"/>
      <c r="BN201" s="59"/>
      <c r="BO201" s="59"/>
      <c r="BP201" s="59"/>
      <c r="BQ201" s="59"/>
      <c r="BR201" s="59"/>
      <c r="BS201" s="59"/>
      <c r="BT201" s="59"/>
      <c r="BU201" s="59"/>
      <c r="BV201" s="59"/>
      <c r="BW201" s="59"/>
      <c r="BX201" s="59"/>
      <c r="BY201" s="59"/>
      <c r="BZ201" s="59"/>
    </row>
    <row r="202" spans="2:78">
      <c r="B202" s="281" t="s">
        <v>1551</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v3.7.0</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c r="AS202" s="59"/>
      <c r="AT202" s="59"/>
      <c r="AU202" s="59"/>
      <c r="AV202" s="59"/>
      <c r="AW202" s="59"/>
      <c r="AX202" s="59"/>
      <c r="AY202" s="59"/>
      <c r="AZ202" s="59"/>
      <c r="BA202" s="59"/>
      <c r="BB202" s="59"/>
      <c r="BC202" s="59"/>
      <c r="BD202" s="59"/>
      <c r="BE202" s="59"/>
      <c r="BF202" s="59"/>
      <c r="BG202" s="59"/>
      <c r="BH202" s="59"/>
      <c r="BI202" s="59"/>
      <c r="BJ202" s="59"/>
      <c r="BK202" s="59"/>
      <c r="BL202" s="59"/>
      <c r="BM202" s="59"/>
      <c r="BN202" s="59"/>
      <c r="BO202" s="59"/>
      <c r="BP202" s="59"/>
      <c r="BQ202" s="59"/>
      <c r="BR202" s="59"/>
      <c r="BS202" s="59"/>
      <c r="BT202" s="59"/>
      <c r="BU202" s="59"/>
      <c r="BV202" s="59"/>
      <c r="BW202" s="59"/>
      <c r="BX202" s="59"/>
      <c r="BY202" s="59"/>
      <c r="BZ202" s="59"/>
    </row>
  </sheetData>
  <sheetProtection algorithmName="SHA-512" hashValue="bIZKByiIMGMVQkmfebKtYi2T0J4YBBInMzrQn0HMBdmD0MTSL7G/SilEXETSQt5MAPDRulIONkobJwqZkZhwVQ==" saltValue="144VG1QO3WuumTA2moEEWA==" spinCount="100000" sheet="1" objects="1" scenarios="1" selectLockedCells="1"/>
  <mergeCells count="528">
    <mergeCell ref="AX200:AX201"/>
    <mergeCell ref="AV50:AV51"/>
    <mergeCell ref="AV52:AV53"/>
    <mergeCell ref="AV54:AV55"/>
    <mergeCell ref="AV56:AV57"/>
    <mergeCell ref="AV58:AV59"/>
    <mergeCell ref="AV60:AV61"/>
    <mergeCell ref="BB62:BB63"/>
    <mergeCell ref="AY54:AY55"/>
    <mergeCell ref="AZ200:AZ201"/>
    <mergeCell ref="BA200:BA201"/>
    <mergeCell ref="BA64:BA65"/>
    <mergeCell ref="AK38:AM39"/>
    <mergeCell ref="AU14:AU15"/>
    <mergeCell ref="AV14:AV15"/>
    <mergeCell ref="AU16:AU17"/>
    <mergeCell ref="AV16:AV17"/>
    <mergeCell ref="AU18:AU19"/>
    <mergeCell ref="AV18:AV19"/>
    <mergeCell ref="AU20:AU21"/>
    <mergeCell ref="AV20:AV21"/>
    <mergeCell ref="AU22:AU23"/>
    <mergeCell ref="AV22:AV23"/>
    <mergeCell ref="AU24:AU25"/>
    <mergeCell ref="AV24:AV25"/>
    <mergeCell ref="AU26:AU27"/>
    <mergeCell ref="AV26:AV27"/>
    <mergeCell ref="AU28:AU29"/>
    <mergeCell ref="AV28:AV29"/>
    <mergeCell ref="AU30:AU31"/>
    <mergeCell ref="AU32:AU33"/>
    <mergeCell ref="AV32:AV33"/>
    <mergeCell ref="BE54:BE55"/>
    <mergeCell ref="BE56:BE57"/>
    <mergeCell ref="BE58:BE59"/>
    <mergeCell ref="BE60:BE61"/>
    <mergeCell ref="BC40:BC41"/>
    <mergeCell ref="BC42:BC43"/>
    <mergeCell ref="BC44:BC45"/>
    <mergeCell ref="BC46:BC47"/>
    <mergeCell ref="BC48:BC49"/>
    <mergeCell ref="BE40:BE41"/>
    <mergeCell ref="BE42:BE43"/>
    <mergeCell ref="BE44:BE45"/>
    <mergeCell ref="BE46:BE47"/>
    <mergeCell ref="BE48:BE49"/>
    <mergeCell ref="BE50:BE51"/>
    <mergeCell ref="BE52:BE53"/>
    <mergeCell ref="BC50:BC51"/>
    <mergeCell ref="BC52:BC53"/>
    <mergeCell ref="BC54:BC55"/>
    <mergeCell ref="BC56:BC57"/>
    <mergeCell ref="BC58:BC59"/>
    <mergeCell ref="BC60:BC61"/>
    <mergeCell ref="AK64:AM65"/>
    <mergeCell ref="AN64:AQ65"/>
    <mergeCell ref="AW14:AW15"/>
    <mergeCell ref="AW16:AW17"/>
    <mergeCell ref="AW18:AW19"/>
    <mergeCell ref="AW20:AW21"/>
    <mergeCell ref="AW22:AW23"/>
    <mergeCell ref="AW24:AW25"/>
    <mergeCell ref="AW26:AW27"/>
    <mergeCell ref="AW28:AW29"/>
    <mergeCell ref="AW30:AW31"/>
    <mergeCell ref="AW32:AW33"/>
    <mergeCell ref="AW34:AW35"/>
    <mergeCell ref="AW36:AW37"/>
    <mergeCell ref="AW38:AW39"/>
    <mergeCell ref="AW40:AW41"/>
    <mergeCell ref="AW42:AW43"/>
    <mergeCell ref="AW44:AW45"/>
    <mergeCell ref="AW46:AW47"/>
    <mergeCell ref="AW48:AW49"/>
    <mergeCell ref="AW50:AW51"/>
    <mergeCell ref="AW52:AW53"/>
    <mergeCell ref="AW54:AW55"/>
    <mergeCell ref="AW56:AW57"/>
    <mergeCell ref="C64:M65"/>
    <mergeCell ref="N64:S65"/>
    <mergeCell ref="T64:U65"/>
    <mergeCell ref="V64:W65"/>
    <mergeCell ref="X64:AA65"/>
    <mergeCell ref="AB64:AD65"/>
    <mergeCell ref="AE64:AF65"/>
    <mergeCell ref="AG64:AH65"/>
    <mergeCell ref="AI64:AJ65"/>
    <mergeCell ref="C56:M57"/>
    <mergeCell ref="AK60:AM61"/>
    <mergeCell ref="AN60:AQ61"/>
    <mergeCell ref="AY60:AY61"/>
    <mergeCell ref="BA60:BA61"/>
    <mergeCell ref="C62:M63"/>
    <mergeCell ref="N62:S63"/>
    <mergeCell ref="T62:U63"/>
    <mergeCell ref="V62:W63"/>
    <mergeCell ref="X62:AA63"/>
    <mergeCell ref="AB62:AD63"/>
    <mergeCell ref="AE62:AF63"/>
    <mergeCell ref="AG62:AH63"/>
    <mergeCell ref="AI62:AJ63"/>
    <mergeCell ref="AK62:AM63"/>
    <mergeCell ref="AN62:AQ63"/>
    <mergeCell ref="AY62:AY63"/>
    <mergeCell ref="AU60:AU61"/>
    <mergeCell ref="AW60:AW61"/>
    <mergeCell ref="C60:M61"/>
    <mergeCell ref="N60:S61"/>
    <mergeCell ref="T60:U61"/>
    <mergeCell ref="V60:W61"/>
    <mergeCell ref="X60:AA61"/>
    <mergeCell ref="C58:M59"/>
    <mergeCell ref="N58:S59"/>
    <mergeCell ref="T58:U59"/>
    <mergeCell ref="V58:W59"/>
    <mergeCell ref="X58:AA59"/>
    <mergeCell ref="AB58:AD59"/>
    <mergeCell ref="AE58:AF59"/>
    <mergeCell ref="AG58:AH59"/>
    <mergeCell ref="AI58:AJ59"/>
    <mergeCell ref="N56:S57"/>
    <mergeCell ref="T56:U57"/>
    <mergeCell ref="V56:W57"/>
    <mergeCell ref="X56:AA57"/>
    <mergeCell ref="AB56:AD57"/>
    <mergeCell ref="AE56:AF57"/>
    <mergeCell ref="AG56:AH57"/>
    <mergeCell ref="AI56:AJ57"/>
    <mergeCell ref="BA62:BA63"/>
    <mergeCell ref="AE60:AF61"/>
    <mergeCell ref="AG60:AH61"/>
    <mergeCell ref="AI60:AJ61"/>
    <mergeCell ref="AK56:AM57"/>
    <mergeCell ref="AN56:AQ57"/>
    <mergeCell ref="AY56:AY57"/>
    <mergeCell ref="BA56:BA57"/>
    <mergeCell ref="AK58:AM59"/>
    <mergeCell ref="AN58:AQ59"/>
    <mergeCell ref="AY58:AY59"/>
    <mergeCell ref="BA58:BA59"/>
    <mergeCell ref="AU56:AU57"/>
    <mergeCell ref="AU58:AU59"/>
    <mergeCell ref="AW58:AW59"/>
    <mergeCell ref="AB60:AD61"/>
    <mergeCell ref="AH1:AK1"/>
    <mergeCell ref="AL1:AP1"/>
    <mergeCell ref="AH2:AK3"/>
    <mergeCell ref="AL2:AP3"/>
    <mergeCell ref="AQ1:AR1"/>
    <mergeCell ref="AQ2:AR3"/>
    <mergeCell ref="AV30:AV31"/>
    <mergeCell ref="AJ11:AM11"/>
    <mergeCell ref="AJ12:AM13"/>
    <mergeCell ref="AG38:AH39"/>
    <mergeCell ref="AI38:AJ39"/>
    <mergeCell ref="AN38:AQ39"/>
    <mergeCell ref="C36:AQ37"/>
    <mergeCell ref="F11:P12"/>
    <mergeCell ref="R9:AC10"/>
    <mergeCell ref="AI16:AJ17"/>
    <mergeCell ref="AE14:AF15"/>
    <mergeCell ref="AG14:AH15"/>
    <mergeCell ref="AI14:AJ15"/>
    <mergeCell ref="AE38:AF39"/>
    <mergeCell ref="C34:M35"/>
    <mergeCell ref="N34:S35"/>
    <mergeCell ref="T34:U35"/>
    <mergeCell ref="V34:W35"/>
    <mergeCell ref="X34:AA35"/>
    <mergeCell ref="AB34:AD35"/>
    <mergeCell ref="AE34:AF35"/>
    <mergeCell ref="AG34:AH35"/>
    <mergeCell ref="AI34:AJ35"/>
    <mergeCell ref="C32:M33"/>
    <mergeCell ref="N32:S33"/>
    <mergeCell ref="T32:U33"/>
    <mergeCell ref="V32:W33"/>
    <mergeCell ref="C44:M45"/>
    <mergeCell ref="N44:S45"/>
    <mergeCell ref="T44:U45"/>
    <mergeCell ref="V44:W45"/>
    <mergeCell ref="X44:AA45"/>
    <mergeCell ref="AB44:AD45"/>
    <mergeCell ref="AE44:AF45"/>
    <mergeCell ref="AG44:AH45"/>
    <mergeCell ref="AI44:AJ45"/>
    <mergeCell ref="X32:AA33"/>
    <mergeCell ref="AB32:AD33"/>
    <mergeCell ref="AE32:AF33"/>
    <mergeCell ref="AG32:AH33"/>
    <mergeCell ref="AI32:AJ33"/>
    <mergeCell ref="C30:M31"/>
    <mergeCell ref="N30:S31"/>
    <mergeCell ref="T30:U31"/>
    <mergeCell ref="V30:W31"/>
    <mergeCell ref="X30:AA31"/>
    <mergeCell ref="AB30:AD31"/>
    <mergeCell ref="AE30:AF31"/>
    <mergeCell ref="AG30:AH31"/>
    <mergeCell ref="AI30:AJ31"/>
    <mergeCell ref="C28:M29"/>
    <mergeCell ref="N28:S29"/>
    <mergeCell ref="T28:U29"/>
    <mergeCell ref="V28:W29"/>
    <mergeCell ref="X28:AA29"/>
    <mergeCell ref="AB28:AD29"/>
    <mergeCell ref="AE28:AF29"/>
    <mergeCell ref="AG28:AH29"/>
    <mergeCell ref="AI28:AJ29"/>
    <mergeCell ref="C24:M25"/>
    <mergeCell ref="N24:S25"/>
    <mergeCell ref="T24:U25"/>
    <mergeCell ref="V24:W25"/>
    <mergeCell ref="X24:AA25"/>
    <mergeCell ref="AB24:AD25"/>
    <mergeCell ref="AE24:AF25"/>
    <mergeCell ref="AG24:AH25"/>
    <mergeCell ref="AI24:AJ25"/>
    <mergeCell ref="C26:M27"/>
    <mergeCell ref="N26:S27"/>
    <mergeCell ref="T26:U27"/>
    <mergeCell ref="V26:W27"/>
    <mergeCell ref="X26:AA27"/>
    <mergeCell ref="AB26:AD27"/>
    <mergeCell ref="AE26:AF27"/>
    <mergeCell ref="AG26:AH27"/>
    <mergeCell ref="AI26:AJ27"/>
    <mergeCell ref="C20:M21"/>
    <mergeCell ref="N20:S21"/>
    <mergeCell ref="T20:U21"/>
    <mergeCell ref="V20:W21"/>
    <mergeCell ref="X20:AA21"/>
    <mergeCell ref="AB20:AD21"/>
    <mergeCell ref="AE20:AF21"/>
    <mergeCell ref="AG20:AH21"/>
    <mergeCell ref="AI20:AJ21"/>
    <mergeCell ref="C22:M23"/>
    <mergeCell ref="N22:S23"/>
    <mergeCell ref="T22:U23"/>
    <mergeCell ref="V22:W23"/>
    <mergeCell ref="X22:AA23"/>
    <mergeCell ref="AB22:AD23"/>
    <mergeCell ref="AE22:AF23"/>
    <mergeCell ref="AG22:AH23"/>
    <mergeCell ref="AI22:AJ23"/>
    <mergeCell ref="C18:M19"/>
    <mergeCell ref="N18:S19"/>
    <mergeCell ref="T18:U19"/>
    <mergeCell ref="V18:W19"/>
    <mergeCell ref="X18:AA19"/>
    <mergeCell ref="AB18:AD19"/>
    <mergeCell ref="AE18:AF19"/>
    <mergeCell ref="AG18:AH19"/>
    <mergeCell ref="AI18:AJ19"/>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AE16:AF17"/>
    <mergeCell ref="AG16:AH17"/>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64:B65"/>
    <mergeCell ref="B42:B43"/>
    <mergeCell ref="B44:B45"/>
    <mergeCell ref="B46:B47"/>
    <mergeCell ref="B48:B49"/>
    <mergeCell ref="B50:B51"/>
    <mergeCell ref="B52:B53"/>
    <mergeCell ref="B54:B55"/>
    <mergeCell ref="B56:B57"/>
    <mergeCell ref="B58:B59"/>
    <mergeCell ref="B60:B61"/>
    <mergeCell ref="B62:B63"/>
    <mergeCell ref="B40:B41"/>
    <mergeCell ref="B18:B19"/>
    <mergeCell ref="B20:B21"/>
    <mergeCell ref="B22:B23"/>
    <mergeCell ref="B24:B25"/>
    <mergeCell ref="B26:B27"/>
    <mergeCell ref="B28:B29"/>
    <mergeCell ref="B30:B31"/>
    <mergeCell ref="B32:B33"/>
    <mergeCell ref="B34:B35"/>
    <mergeCell ref="B16:B17"/>
    <mergeCell ref="R11:U11"/>
    <mergeCell ref="V11:Y11"/>
    <mergeCell ref="Z11:AC11"/>
    <mergeCell ref="C14:M15"/>
    <mergeCell ref="N14:S15"/>
    <mergeCell ref="T14:U15"/>
    <mergeCell ref="V14:W15"/>
    <mergeCell ref="X14:AA15"/>
    <mergeCell ref="AB14:AD15"/>
    <mergeCell ref="C16:M17"/>
    <mergeCell ref="N16:S17"/>
    <mergeCell ref="T16:U17"/>
    <mergeCell ref="V16:W17"/>
    <mergeCell ref="X16:AA17"/>
    <mergeCell ref="AB16:AD17"/>
    <mergeCell ref="R12:U13"/>
    <mergeCell ref="V12:Y13"/>
    <mergeCell ref="Z12:AC13"/>
    <mergeCell ref="AU200:AU201"/>
    <mergeCell ref="AV200:AV201"/>
    <mergeCell ref="AU34:AU35"/>
    <mergeCell ref="AV34:AV35"/>
    <mergeCell ref="AU36:AU37"/>
    <mergeCell ref="AV36:AV37"/>
    <mergeCell ref="AU38:AU39"/>
    <mergeCell ref="AV38:AV39"/>
    <mergeCell ref="AU40:AU41"/>
    <mergeCell ref="AV40:AV41"/>
    <mergeCell ref="AU42:AU43"/>
    <mergeCell ref="AV42:AV43"/>
    <mergeCell ref="AU44:AU45"/>
    <mergeCell ref="AU46:AU47"/>
    <mergeCell ref="AU48:AU49"/>
    <mergeCell ref="AU50:AU51"/>
    <mergeCell ref="AU52:AU53"/>
    <mergeCell ref="AU54:AU55"/>
    <mergeCell ref="AV44:AV45"/>
    <mergeCell ref="AV46:AV47"/>
    <mergeCell ref="AV48:AV49"/>
    <mergeCell ref="BC14:BC15"/>
    <mergeCell ref="BC16:BC17"/>
    <mergeCell ref="BC18:BC19"/>
    <mergeCell ref="BC20:BC21"/>
    <mergeCell ref="BC22:BC23"/>
    <mergeCell ref="BC24:BC25"/>
    <mergeCell ref="BC26:BC27"/>
    <mergeCell ref="BC28:BC29"/>
    <mergeCell ref="BC30:BC31"/>
    <mergeCell ref="BC32:BC33"/>
    <mergeCell ref="BC34:BC35"/>
    <mergeCell ref="AK14:AM15"/>
    <mergeCell ref="AK18:AM19"/>
    <mergeCell ref="AK16:AM17"/>
    <mergeCell ref="AK20:AM21"/>
    <mergeCell ref="AK22:AM23"/>
    <mergeCell ref="AK24:AM25"/>
    <mergeCell ref="AK26:AM27"/>
    <mergeCell ref="AK28:AM29"/>
    <mergeCell ref="AK30:AM31"/>
    <mergeCell ref="AK32:AM33"/>
    <mergeCell ref="AK34:AM35"/>
    <mergeCell ref="AN18:AQ19"/>
    <mergeCell ref="AN16:AQ17"/>
    <mergeCell ref="AN20:AQ21"/>
    <mergeCell ref="AN22:AQ23"/>
    <mergeCell ref="AN24:AQ25"/>
    <mergeCell ref="AN26:AQ27"/>
    <mergeCell ref="AN28:AQ29"/>
    <mergeCell ref="AN30:AQ31"/>
    <mergeCell ref="AN32:AQ33"/>
    <mergeCell ref="AN34:AQ35"/>
    <mergeCell ref="AN14:AQ15"/>
    <mergeCell ref="X46:AA47"/>
    <mergeCell ref="AB46:AD47"/>
    <mergeCell ref="AE46:AF47"/>
    <mergeCell ref="AG46:AH47"/>
    <mergeCell ref="AI46:AJ47"/>
    <mergeCell ref="AK46:AM47"/>
    <mergeCell ref="AN46:AQ47"/>
    <mergeCell ref="C40:M41"/>
    <mergeCell ref="N40:S41"/>
    <mergeCell ref="T40:U41"/>
    <mergeCell ref="V40:W41"/>
    <mergeCell ref="X40:AA41"/>
    <mergeCell ref="AB40:AD41"/>
    <mergeCell ref="AE40:AF41"/>
    <mergeCell ref="AG40:AH41"/>
    <mergeCell ref="C42:M43"/>
    <mergeCell ref="N42:S43"/>
    <mergeCell ref="T42:U43"/>
    <mergeCell ref="V42:W43"/>
    <mergeCell ref="X42:AA43"/>
    <mergeCell ref="AB42:AD43"/>
    <mergeCell ref="AE42:AF43"/>
    <mergeCell ref="AG42:AH43"/>
    <mergeCell ref="AI42:AJ43"/>
    <mergeCell ref="C50:M51"/>
    <mergeCell ref="N50:S51"/>
    <mergeCell ref="T50:U51"/>
    <mergeCell ref="V50:W51"/>
    <mergeCell ref="X50:AA51"/>
    <mergeCell ref="AB50:AD51"/>
    <mergeCell ref="AE50:AF51"/>
    <mergeCell ref="AG50:AH51"/>
    <mergeCell ref="AI50:AJ51"/>
    <mergeCell ref="C38:M39"/>
    <mergeCell ref="N38:S39"/>
    <mergeCell ref="T38:U39"/>
    <mergeCell ref="V38:W39"/>
    <mergeCell ref="X38:AA39"/>
    <mergeCell ref="AB38:AD39"/>
    <mergeCell ref="AK48:AM49"/>
    <mergeCell ref="AK40:AM41"/>
    <mergeCell ref="AI40:AJ41"/>
    <mergeCell ref="AB48:AD49"/>
    <mergeCell ref="AE48:AF49"/>
    <mergeCell ref="AG48:AH49"/>
    <mergeCell ref="AI48:AJ49"/>
    <mergeCell ref="C48:M49"/>
    <mergeCell ref="N48:S49"/>
    <mergeCell ref="T48:U49"/>
    <mergeCell ref="V48:W49"/>
    <mergeCell ref="X48:AA49"/>
    <mergeCell ref="AK42:AM43"/>
    <mergeCell ref="AK44:AM45"/>
    <mergeCell ref="C46:M47"/>
    <mergeCell ref="N46:S47"/>
    <mergeCell ref="T46:U47"/>
    <mergeCell ref="V46:W47"/>
    <mergeCell ref="C52:M53"/>
    <mergeCell ref="N52:S53"/>
    <mergeCell ref="T52:U53"/>
    <mergeCell ref="V52:W53"/>
    <mergeCell ref="X52:AA53"/>
    <mergeCell ref="AB52:AD53"/>
    <mergeCell ref="AE52:AF53"/>
    <mergeCell ref="AG52:AH53"/>
    <mergeCell ref="AI52:AJ53"/>
    <mergeCell ref="C54:M55"/>
    <mergeCell ref="N54:S55"/>
    <mergeCell ref="T54:U55"/>
    <mergeCell ref="V54:W55"/>
    <mergeCell ref="X54:AA55"/>
    <mergeCell ref="AB54:AD55"/>
    <mergeCell ref="AE54:AF55"/>
    <mergeCell ref="AG54:AH55"/>
    <mergeCell ref="AI54:AJ55"/>
    <mergeCell ref="BE32:BE33"/>
    <mergeCell ref="BE34:BE35"/>
    <mergeCell ref="BA54:BA55"/>
    <mergeCell ref="AE11:AH11"/>
    <mergeCell ref="AE12:AH13"/>
    <mergeCell ref="BE14:BE15"/>
    <mergeCell ref="BE16:BE17"/>
    <mergeCell ref="BE18:BE19"/>
    <mergeCell ref="BE20:BE21"/>
    <mergeCell ref="BE22:BE23"/>
    <mergeCell ref="BE24:BE25"/>
    <mergeCell ref="BE26:BE27"/>
    <mergeCell ref="BE28:BE29"/>
    <mergeCell ref="BE30:BE31"/>
    <mergeCell ref="AN52:AQ53"/>
    <mergeCell ref="AK54:AM55"/>
    <mergeCell ref="AN54:AQ55"/>
    <mergeCell ref="AK52:AM53"/>
    <mergeCell ref="AN48:AQ49"/>
    <mergeCell ref="AK50:AM51"/>
    <mergeCell ref="AN50:AQ51"/>
    <mergeCell ref="AN40:AQ41"/>
    <mergeCell ref="AN42:AQ43"/>
    <mergeCell ref="AN44:AQ45"/>
    <mergeCell ref="BF34:BF35"/>
    <mergeCell ref="BF16:BF17"/>
    <mergeCell ref="BF18:BF19"/>
    <mergeCell ref="BF20:BF21"/>
    <mergeCell ref="BF22:BF23"/>
    <mergeCell ref="BF24:BF25"/>
    <mergeCell ref="BF26:BF27"/>
    <mergeCell ref="BF28:BF29"/>
    <mergeCell ref="BF30:BF31"/>
    <mergeCell ref="BF32:BF33"/>
  </mergeCells>
  <conditionalFormatting sqref="AH2 AL2">
    <cfRule type="expression" dxfId="184" priority="2">
      <formula>PROJSTATUS=PROJSTATELI</formula>
    </cfRule>
    <cfRule type="expression" dxfId="183" priority="3">
      <formula>PROJSTATUS=PROJSTATREVIEW</formula>
    </cfRule>
    <cfRule type="expression" dxfId="182" priority="7">
      <formula>PROJSTATUS=PROJSTATPREAPPROVE</formula>
    </cfRule>
    <cfRule type="expression" dxfId="181" priority="8">
      <formula>PROJSTATUS=PROJSTATSTANDARD</formula>
    </cfRule>
    <cfRule type="expression" dxfId="180" priority="9">
      <formula>PROJSTATUS=PROJSTATEXP</formula>
    </cfRule>
  </conditionalFormatting>
  <conditionalFormatting sqref="AN16 AN18 AN20 AN22 AN24 AN26 AN28 AN30 AN32 AN34 AN40 AN42 AN44 AN46 AN48 AN50 AN52 AN54 AN56 AN58 AN60">
    <cfRule type="expression" dxfId="179" priority="1">
      <formula>ISNUMBER(AN16)=FALSE</formula>
    </cfRule>
  </conditionalFormatting>
  <conditionalFormatting sqref="AQ2:AR3">
    <cfRule type="cellIs" dxfId="178" priority="4" operator="equal">
      <formula>1</formula>
    </cfRule>
    <cfRule type="cellIs" dxfId="177" priority="5" operator="between">
      <formula>0.51</formula>
      <formula>0.99</formula>
    </cfRule>
    <cfRule type="cellIs" dxfId="176" priority="6" operator="lessThanOrEqual">
      <formula>0.5</formula>
    </cfRule>
  </conditionalFormatting>
  <dataValidations xWindow="641" yWindow="648" count="5">
    <dataValidation type="decimal" allowBlank="1" showInputMessage="1" showErrorMessage="1" error="Please enter a numerical value" sqref="AG16:AH35 AG40:AH61" xr:uid="{00000000-0002-0000-1800-000000000000}">
      <formula1>0</formula1>
      <formula2>999999</formula2>
    </dataValidation>
    <dataValidation type="whole" allowBlank="1" showInputMessage="1" showErrorMessage="1" error="Please enter a numerical value" prompt="Reference the &quot;Unit of Measure&quot; column to ensure you enter the correct value based on unit type." sqref="V16:W35 V40:W61" xr:uid="{00000000-0002-0000-1800-000001000000}">
      <formula1>1</formula1>
      <formula2>99999</formula2>
    </dataValidation>
    <dataValidation type="list" allowBlank="1" showInputMessage="1" showErrorMessage="1" sqref="C16:M35" xr:uid="{00000000-0002-0000-1800-000002000000}">
      <formula1>PMEKITCHENEFF1</formula1>
    </dataValidation>
    <dataValidation type="decimal" allowBlank="1" showInputMessage="1" showErrorMessage="1" error="Please enter a numerical value" sqref="AE16:AF35 AE40:AF61" xr:uid="{00000000-0002-0000-1800-000003000000}">
      <formula1>0.01</formula1>
      <formula2>999999</formula2>
    </dataValidation>
    <dataValidation type="list" allowBlank="1" showInputMessage="1" showErrorMessage="1" sqref="C40:M61" xr:uid="{EB75E029-903F-4772-8CB9-8B552F79B8C1}">
      <formula1>PMGKITCHENEFF1</formula1>
    </dataValidation>
  </dataValidations>
  <hyperlinks>
    <hyperlink ref="B202" r:id="rId1" xr:uid="{A9E2014D-6419-42DA-9DE5-711EC96D9F66}"/>
  </hyperlinks>
  <pageMargins left="0.25" right="0.25" top="0.25" bottom="0.25" header="0.25" footer="0.25"/>
  <pageSetup scale="56" fitToHeight="0"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55DC5-FCD8-4BC0-AEBF-0D7170507845}">
  <sheetPr codeName="Sheet1">
    <pageSetUpPr fitToPage="1"/>
  </sheetPr>
  <dimension ref="A1:BZ203"/>
  <sheetViews>
    <sheetView showGridLines="0" showRowColHeaders="0" zoomScale="85" zoomScaleNormal="85" workbookViewId="0">
      <selection activeCell="C16" sqref="C16:I17"/>
    </sheetView>
  </sheetViews>
  <sheetFormatPr defaultColWidth="0" defaultRowHeight="0" customHeight="1" zeroHeight="1"/>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8" ht="15.95" customHeight="1">
      <c r="AH1" s="681" t="s">
        <v>471</v>
      </c>
      <c r="AI1" s="681"/>
      <c r="AJ1" s="681"/>
      <c r="AK1" s="681"/>
      <c r="AL1" s="682" t="s">
        <v>736</v>
      </c>
      <c r="AM1" s="682"/>
      <c r="AN1" s="682"/>
      <c r="AO1" s="682"/>
      <c r="AP1" s="682"/>
      <c r="AQ1" s="678" t="s">
        <v>474</v>
      </c>
      <c r="AR1" s="678"/>
    </row>
    <row r="2" spans="2:58" ht="15.95" customHeight="1">
      <c r="AH2" s="683" t="str">
        <f ca="1">INCENSTATUS</f>
        <v>---</v>
      </c>
      <c r="AI2" s="684"/>
      <c r="AJ2" s="684"/>
      <c r="AK2" s="684"/>
      <c r="AL2" s="685" t="str">
        <f ca="1">PROJSTATUS</f>
        <v>Enter Measures</v>
      </c>
      <c r="AM2" s="685"/>
      <c r="AN2" s="685"/>
      <c r="AO2" s="685"/>
      <c r="AP2" s="685"/>
      <c r="AQ2" s="679">
        <f ca="1">PROGRESSSTATUS</f>
        <v>2.8985507246376812E-2</v>
      </c>
      <c r="AR2" s="680"/>
    </row>
    <row r="3" spans="2:58" ht="15.95" customHeight="1">
      <c r="AH3" s="675"/>
      <c r="AI3" s="676"/>
      <c r="AJ3" s="676"/>
      <c r="AK3" s="676"/>
      <c r="AL3" s="668"/>
      <c r="AM3" s="668"/>
      <c r="AN3" s="668"/>
      <c r="AO3" s="668"/>
      <c r="AP3" s="668"/>
      <c r="AQ3" s="662"/>
      <c r="AR3" s="663"/>
    </row>
    <row r="4" spans="2:58" ht="15.95" customHeight="1">
      <c r="AR4" s="171"/>
      <c r="AZ4" s="310"/>
    </row>
    <row r="5" spans="2:58" ht="15.95" customHeight="1">
      <c r="AZ5" s="310"/>
    </row>
    <row r="6" spans="2:58" ht="15.95" customHeight="1">
      <c r="AU6" s="59" t="s">
        <v>907</v>
      </c>
      <c r="AV6" s="59">
        <f>PROJID</f>
        <v>0</v>
      </c>
    </row>
    <row r="7" spans="2:58" ht="15.95" customHeight="1">
      <c r="AU7" s="87"/>
      <c r="AV7" s="87" t="s">
        <v>866</v>
      </c>
      <c r="AW7" s="87" t="s">
        <v>231</v>
      </c>
      <c r="AX7" s="87" t="s">
        <v>892</v>
      </c>
      <c r="BD7" s="83"/>
    </row>
    <row r="8" spans="2:58" ht="15.95" customHeight="1">
      <c r="AU8" s="87" t="s">
        <v>219</v>
      </c>
      <c r="AV8" s="87" t="str">
        <f ca="1">CBPRESE</f>
        <v>NA</v>
      </c>
      <c r="AW8" s="87" t="str">
        <f ca="1">CBCUSE</f>
        <v>NA</v>
      </c>
      <c r="AX8" s="87" t="str">
        <f ca="1">CBALL</f>
        <v>NA</v>
      </c>
    </row>
    <row r="9" spans="2:58" ht="15.95" customHeight="1">
      <c r="B9" s="59"/>
      <c r="C9" s="59"/>
      <c r="D9" s="59"/>
      <c r="E9" s="59"/>
      <c r="F9" s="59"/>
      <c r="G9" s="59"/>
      <c r="H9" s="59"/>
      <c r="I9" s="59"/>
      <c r="J9" s="59"/>
      <c r="K9" s="59"/>
      <c r="L9" s="59"/>
      <c r="M9" s="59"/>
      <c r="N9" s="59"/>
      <c r="O9" s="59"/>
      <c r="P9" s="59"/>
      <c r="Q9" s="59"/>
      <c r="R9" s="730" t="str">
        <f>CONCATENATE(M3S8," ","Summary")</f>
        <v>Misc / Compressed Air / VFDs Summary</v>
      </c>
      <c r="S9" s="730"/>
      <c r="T9" s="730"/>
      <c r="U9" s="730"/>
      <c r="V9" s="730"/>
      <c r="W9" s="730"/>
      <c r="X9" s="730"/>
      <c r="Y9" s="730"/>
      <c r="Z9" s="730"/>
      <c r="AA9" s="730"/>
      <c r="AB9" s="730"/>
      <c r="AC9" s="730"/>
      <c r="AD9" s="59"/>
      <c r="AE9" s="59"/>
      <c r="AF9" s="59"/>
      <c r="AG9" s="59"/>
      <c r="AH9" s="59"/>
      <c r="AI9" s="59"/>
      <c r="AJ9" s="59"/>
      <c r="AK9" s="59"/>
      <c r="AL9" s="59"/>
      <c r="AM9" s="59"/>
      <c r="AN9" s="59"/>
      <c r="AO9" s="59"/>
      <c r="AP9" s="59"/>
      <c r="AQ9" s="59"/>
      <c r="AR9" s="59"/>
      <c r="AU9" s="87"/>
      <c r="AV9" s="87"/>
      <c r="AW9" s="87"/>
      <c r="AX9" s="87"/>
    </row>
    <row r="10" spans="2:58" ht="15.95" customHeight="1">
      <c r="B10" s="59"/>
      <c r="C10" s="59"/>
      <c r="D10" s="59"/>
      <c r="E10" s="59"/>
      <c r="F10" s="59"/>
      <c r="G10" s="59"/>
      <c r="H10" s="59"/>
      <c r="I10" s="59"/>
      <c r="J10" s="59"/>
      <c r="K10" s="59"/>
      <c r="L10" s="59"/>
      <c r="M10" s="59"/>
      <c r="N10" s="59"/>
      <c r="O10" s="59"/>
      <c r="P10" s="59"/>
      <c r="Q10" s="59"/>
      <c r="R10" s="730"/>
      <c r="S10" s="730"/>
      <c r="T10" s="730"/>
      <c r="U10" s="730"/>
      <c r="V10" s="730"/>
      <c r="W10" s="730"/>
      <c r="X10" s="730"/>
      <c r="Y10" s="730"/>
      <c r="Z10" s="730"/>
      <c r="AA10" s="730"/>
      <c r="AB10" s="730"/>
      <c r="AC10" s="730"/>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58" ht="15.95" customHeight="1">
      <c r="B11" s="59"/>
      <c r="C11" s="59"/>
      <c r="D11" s="59"/>
      <c r="E11" s="59"/>
      <c r="F11" s="59"/>
      <c r="G11" s="59"/>
      <c r="H11" s="59"/>
      <c r="I11" s="59"/>
      <c r="J11" s="59"/>
      <c r="K11" s="59"/>
      <c r="L11" s="59"/>
      <c r="M11" s="59"/>
      <c r="N11" s="59"/>
      <c r="O11" s="59"/>
      <c r="P11" s="59"/>
      <c r="Q11" s="59"/>
      <c r="R11" s="831" t="s">
        <v>68</v>
      </c>
      <c r="S11" s="831"/>
      <c r="T11" s="831"/>
      <c r="U11" s="831"/>
      <c r="V11" s="831" t="s">
        <v>69</v>
      </c>
      <c r="W11" s="831"/>
      <c r="X11" s="831"/>
      <c r="Y11" s="831"/>
      <c r="Z11" s="831" t="s">
        <v>70</v>
      </c>
      <c r="AA11" s="831"/>
      <c r="AB11" s="831"/>
      <c r="AC11" s="831"/>
      <c r="AD11" s="59"/>
      <c r="AE11" s="59"/>
      <c r="AF11" s="896" t="s">
        <v>2111</v>
      </c>
      <c r="AG11" s="896"/>
      <c r="AH11" s="896"/>
      <c r="AI11" s="896"/>
      <c r="AJ11" s="59"/>
      <c r="AK11" s="59"/>
      <c r="AL11" s="59"/>
      <c r="AM11" s="59"/>
      <c r="AN11" s="59"/>
      <c r="AO11" s="59"/>
      <c r="AP11" s="59"/>
      <c r="AQ11" s="59"/>
      <c r="AR11" s="59"/>
    </row>
    <row r="12" spans="2:58" ht="15.95" customHeight="1">
      <c r="B12" s="59"/>
      <c r="C12" s="59"/>
      <c r="D12" s="59"/>
      <c r="E12" s="59"/>
      <c r="F12" s="59"/>
      <c r="G12" s="59"/>
      <c r="H12" s="59"/>
      <c r="I12" s="59"/>
      <c r="J12" s="59"/>
      <c r="K12" s="59"/>
      <c r="L12" s="59"/>
      <c r="M12" s="59"/>
      <c r="N12" s="59"/>
      <c r="O12" s="59"/>
      <c r="P12" s="59"/>
      <c r="Q12" s="59"/>
      <c r="R12" s="875">
        <f>SUM(AO16:AQ33)+SUM(AO38:AQ43)</f>
        <v>0</v>
      </c>
      <c r="S12" s="875"/>
      <c r="T12" s="875"/>
      <c r="U12" s="875"/>
      <c r="V12" s="875">
        <f>AU200</f>
        <v>0</v>
      </c>
      <c r="W12" s="875"/>
      <c r="X12" s="875"/>
      <c r="Y12" s="875"/>
      <c r="Z12" s="876">
        <f>SUMIF(AO16:AQ33,"&gt;0",AK16:AN33)+SUMIF(AO38:AQ43,"&gt;0",AK38:AN43)</f>
        <v>0</v>
      </c>
      <c r="AA12" s="876"/>
      <c r="AB12" s="876"/>
      <c r="AC12" s="876"/>
      <c r="AD12" s="59"/>
      <c r="AE12" s="59"/>
      <c r="AF12" s="875">
        <f ca="1">IFERROR(IF(AO44="",0,AO44),0)</f>
        <v>0</v>
      </c>
      <c r="AG12" s="875"/>
      <c r="AH12" s="875"/>
      <c r="AI12" s="875"/>
      <c r="AJ12" s="59"/>
      <c r="AK12" s="59"/>
      <c r="AL12" s="59"/>
      <c r="AM12" s="59"/>
      <c r="AN12" s="59"/>
      <c r="AO12" s="59"/>
      <c r="AP12" s="59"/>
      <c r="AQ12" s="59"/>
      <c r="AR12" s="59"/>
    </row>
    <row r="13" spans="2:58" ht="15.95" customHeight="1">
      <c r="B13" s="59"/>
      <c r="C13" s="59"/>
      <c r="D13" s="59"/>
      <c r="E13" s="59"/>
      <c r="F13" s="59"/>
      <c r="G13" s="59"/>
      <c r="H13" s="59"/>
      <c r="I13" s="59"/>
      <c r="J13" s="59"/>
      <c r="K13" s="59"/>
      <c r="L13" s="59"/>
      <c r="M13" s="59"/>
      <c r="N13" s="59"/>
      <c r="O13" s="59"/>
      <c r="P13" s="59"/>
      <c r="Q13" s="59"/>
      <c r="R13" s="875"/>
      <c r="S13" s="875"/>
      <c r="T13" s="875"/>
      <c r="U13" s="875"/>
      <c r="V13" s="875"/>
      <c r="W13" s="875"/>
      <c r="X13" s="875"/>
      <c r="Y13" s="875"/>
      <c r="Z13" s="876"/>
      <c r="AA13" s="876"/>
      <c r="AB13" s="876"/>
      <c r="AC13" s="876"/>
      <c r="AD13" s="59"/>
      <c r="AE13" s="59"/>
      <c r="AF13" s="875"/>
      <c r="AG13" s="875"/>
      <c r="AH13" s="875"/>
      <c r="AI13" s="875"/>
      <c r="AJ13" s="59"/>
      <c r="AK13" s="59"/>
      <c r="AL13" s="59"/>
      <c r="AM13" s="59"/>
      <c r="AN13" s="59"/>
      <c r="AO13" s="59"/>
      <c r="AP13" s="59"/>
      <c r="AQ13" s="59"/>
      <c r="AR13" s="59"/>
    </row>
    <row r="14" spans="2:58" ht="15.95" customHeight="1">
      <c r="C14" s="804" t="s">
        <v>99</v>
      </c>
      <c r="D14" s="804"/>
      <c r="E14" s="804"/>
      <c r="F14" s="804"/>
      <c r="G14" s="804"/>
      <c r="H14" s="804"/>
      <c r="I14" s="804"/>
      <c r="J14" s="1042" t="s">
        <v>2421</v>
      </c>
      <c r="K14" s="1042"/>
      <c r="L14" s="1042"/>
      <c r="M14" s="1042"/>
      <c r="N14" s="1044" t="s">
        <v>1622</v>
      </c>
      <c r="O14" s="1044"/>
      <c r="P14" s="473"/>
      <c r="Q14" s="473"/>
      <c r="R14" s="473"/>
      <c r="S14" s="473"/>
      <c r="T14" s="804" t="s">
        <v>100</v>
      </c>
      <c r="U14" s="804"/>
      <c r="V14" s="470"/>
      <c r="W14" s="470"/>
      <c r="X14" s="1045" t="s">
        <v>1586</v>
      </c>
      <c r="Y14" s="1045"/>
      <c r="Z14" s="1045"/>
      <c r="AA14" s="982" t="s">
        <v>1587</v>
      </c>
      <c r="AB14" s="982"/>
      <c r="AC14" s="982"/>
      <c r="AD14" s="982"/>
      <c r="AE14" s="1047" t="s">
        <v>1588</v>
      </c>
      <c r="AF14" s="1047"/>
      <c r="AG14" s="1047"/>
      <c r="AH14" s="1047"/>
      <c r="AI14" s="804" t="s">
        <v>93</v>
      </c>
      <c r="AJ14" s="804"/>
      <c r="AK14" s="804" t="s">
        <v>92</v>
      </c>
      <c r="AL14" s="804"/>
      <c r="AM14" s="804"/>
      <c r="AN14" s="804"/>
      <c r="AO14" s="804" t="s">
        <v>1589</v>
      </c>
      <c r="AP14" s="804"/>
      <c r="AQ14" s="804"/>
      <c r="AU14" s="804" t="s">
        <v>196</v>
      </c>
      <c r="AV14" s="804" t="s">
        <v>1584</v>
      </c>
      <c r="AW14" s="804" t="s">
        <v>1585</v>
      </c>
      <c r="AX14" s="804" t="s">
        <v>1604</v>
      </c>
      <c r="AY14" s="804" t="s">
        <v>136</v>
      </c>
      <c r="BC14" s="804" t="s">
        <v>489</v>
      </c>
      <c r="BE14" s="804" t="s">
        <v>2025</v>
      </c>
      <c r="BF14" s="804" t="s">
        <v>2154</v>
      </c>
    </row>
    <row r="15" spans="2:58" ht="15.95" customHeight="1" thickBot="1">
      <c r="C15" s="805"/>
      <c r="D15" s="805"/>
      <c r="E15" s="805"/>
      <c r="F15" s="805"/>
      <c r="G15" s="805"/>
      <c r="H15" s="805"/>
      <c r="I15" s="805"/>
      <c r="J15" s="1043"/>
      <c r="K15" s="1043"/>
      <c r="L15" s="1043"/>
      <c r="M15" s="1043"/>
      <c r="N15" s="983"/>
      <c r="O15" s="983"/>
      <c r="P15" s="1014" t="s">
        <v>1590</v>
      </c>
      <c r="Q15" s="1014"/>
      <c r="R15" s="1014"/>
      <c r="S15" s="1014"/>
      <c r="T15" s="805"/>
      <c r="U15" s="805"/>
      <c r="V15" s="1015" t="s">
        <v>1603</v>
      </c>
      <c r="W15" s="1015"/>
      <c r="X15" s="1046"/>
      <c r="Y15" s="1046"/>
      <c r="Z15" s="1046"/>
      <c r="AA15" s="983" t="s">
        <v>110</v>
      </c>
      <c r="AB15" s="983"/>
      <c r="AC15" s="983" t="s">
        <v>111</v>
      </c>
      <c r="AD15" s="983"/>
      <c r="AE15" s="1046"/>
      <c r="AF15" s="1046"/>
      <c r="AG15" s="1046"/>
      <c r="AH15" s="1046"/>
      <c r="AI15" s="805"/>
      <c r="AJ15" s="805"/>
      <c r="AK15" s="805"/>
      <c r="AL15" s="805"/>
      <c r="AM15" s="805"/>
      <c r="AN15" s="805"/>
      <c r="AO15" s="805"/>
      <c r="AP15" s="805"/>
      <c r="AQ15" s="805"/>
      <c r="AU15" s="805"/>
      <c r="AV15" s="805"/>
      <c r="AW15" s="805"/>
      <c r="AX15" s="805"/>
      <c r="AY15" s="805"/>
      <c r="BC15" s="805"/>
      <c r="BE15" s="805"/>
      <c r="BF15" s="805"/>
    </row>
    <row r="16" spans="2:58" ht="15.95" customHeight="1">
      <c r="B16" s="830">
        <v>1</v>
      </c>
      <c r="C16" s="866"/>
      <c r="D16" s="867"/>
      <c r="E16" s="867"/>
      <c r="F16" s="867"/>
      <c r="G16" s="867"/>
      <c r="H16" s="867"/>
      <c r="I16" s="868"/>
      <c r="J16" s="832"/>
      <c r="K16" s="833"/>
      <c r="L16" s="833"/>
      <c r="M16" s="834"/>
      <c r="N16" s="846"/>
      <c r="O16" s="852"/>
      <c r="P16" s="1048" t="str">
        <f>IFERROR(IF(C16="","",INDEX(PMECA[Eff Desc 2],MATCH(C16,PMECA[Eff Desc 1],0))),"")</f>
        <v/>
      </c>
      <c r="Q16" s="1049"/>
      <c r="R16" s="1049"/>
      <c r="S16" s="1050"/>
      <c r="T16" s="1056" t="str">
        <f>IFERROR(IF(C16="","",INDEX(PMECA[Unit of Measure],MATCH(C16,PMECA[Eff Desc 1],0))),"")</f>
        <v/>
      </c>
      <c r="U16" s="1038"/>
      <c r="V16" s="846"/>
      <c r="W16" s="847"/>
      <c r="X16" s="832"/>
      <c r="Y16" s="833"/>
      <c r="Z16" s="834"/>
      <c r="AA16" s="945"/>
      <c r="AB16" s="937"/>
      <c r="AC16" s="937"/>
      <c r="AD16" s="938"/>
      <c r="AE16" s="941" t="str">
        <f>IFERROR(IF(C16="","",INDEX(PMECA[Base Desc 1],MATCH(C16,PMECA[Eff Desc 1],0))),"")</f>
        <v/>
      </c>
      <c r="AF16" s="941"/>
      <c r="AG16" s="941"/>
      <c r="AH16" s="942"/>
      <c r="AI16" s="917" t="str">
        <f>IFERROR(IF(C16="","",INDEX(PMECA[Inc Rate Unit],MATCH(C16,PMECA[Eff Desc 1],0))),"")</f>
        <v/>
      </c>
      <c r="AJ16" s="918"/>
      <c r="AK16" s="1020" t="str">
        <f>IFERROR(IF(OR(C16="",V16="",X16="",AA16="",J16="",N16="",AC16="",BC16&lt;&gt;""),"",AV16),"")</f>
        <v/>
      </c>
      <c r="AL16" s="1021"/>
      <c r="AM16" s="1021"/>
      <c r="AN16" s="1022" t="str">
        <f>IF(OR(C16="",V16="",X16="",AB16="",AE16="",AG16=""),"",IF(BC16&lt;&gt;"",BC16,MIN(AU16,ROUND(V16*AI16,2))))</f>
        <v/>
      </c>
      <c r="AO16" s="1059" t="str">
        <f>IFERROR(IF(OR(C16="",V16="",X16="",AA16="",J16="",N16="",AC16=""),"",AY16),"")</f>
        <v/>
      </c>
      <c r="AP16" s="1060"/>
      <c r="AQ16" s="1061"/>
      <c r="AU16" s="1055" t="str">
        <f>IF(OR(C16="",J16="",AA16="",X16="",V16="",AC16=""),"",ROUND((AA16+AC16),2))</f>
        <v/>
      </c>
      <c r="AV16" s="974" t="str">
        <f>IFERROR(IF(OR(C16="",J16="",N16="",V16="",X16="",AA16="",AC16=""),"",IF(BC16&lt;&gt;"",BC16,ROUND(
IF(ISNUMBER(SEARCH("VSD on Air Compressor",C16)),V16*0.9*(INDEX(CAShifts[Hours],MATCH(N16,CAShifts[Shift],0)))*
(IF(V16&lt;=40,(INDEX(CABaseline[CFb (≤ 40 HP)],MATCH(J16,CABaseline[Baseline],0))),(INDEX(CABaseline[CFb (50-200HP)],MATCH(J16,CABaseline[Baseline],0))))-IF(V16&lt;=40,0.705,0.658)),
IF(ISNUMBER(SEARCH("Leak",C16)),(V16*(J16*6.1*INDEX(CAShifts[Hours],MATCH(N16,CAShifts[Shift],0))*0.19*0.3/100)),
IF(ISNUMBER(SEARCH("Digital Scroll",C16)),(0.007*(INDEX(PMECA[Base Desc 2],MATCH(C16,PMECA[Eff Desc 1],0))-INDEX(PMECA[Base Watt],MATCH(C16,PMECA[Eff Desc 1],0)))*INDEX(CAShifts[Hours],MATCH(N16,CAShifts[Shift],0))*V16),
IF(ISNUMBER(SEARCH("VS Air Dryer",C16)),(0.007*(INDEX(PMECA[Base Desc 2],MATCH(C16,PMECA[Eff Desc 1],0))-INDEX(PMECA[Base Watt],MATCH(C16,PMECA[Eff Desc 1],0)))*INDEX(CAShifts[Hours],MATCH(N16,CAShifts[Shift],0))*V16),
IF(ISNUMBER(SEARCH("Thermal Mass",C16)),(0.007*(INDEX(PMECA[Base Desc 2],MATCH(C16,PMECA[Eff Desc 1],0))-INDEX(PMECA[Base Watt],MATCH(C16,PMECA[Eff Desc 1],0)))*INDEX(CAShifts[Hours],MATCH(N16,CAShifts[Shift],0))*V16),
IF(ISNUMBER(SEARCH("Heated Desiccant",C16)),(V16*((0.15*INDEX(CABaseline[Column1],MATCH(J16,CABaseline[Baseline],0)))-((INDEX(PMECA[Base Desc 2],MATCH(C16,PMECA[Eff Desc 1],0)))*INDEX(CABaseline[Column1],MATCH(J16,CABaseline[Baseline],0))+INDEX(PMECA[Base Watt],MATCH(C16,PMECA[Eff Desc 1],0))+INDEX(PMECA[Base Watt 2],MATCH(C16,PMECA[Eff Desc 1],0))))*INDEX(CAShifts[Hours],MATCH(N16,CAShifts[Shift],0))),
IF(ISNUMBER(SEARCH("Blower Purge",C16)),(V16*((0.15*INDEX(CABaseline[Column1],MATCH(J16,CABaseline[Baseline],0)))-((INDEX(PMECA[Base Desc 2],MATCH(C16,PMECA[Eff Desc 1],0)))*INDEX(CABaseline[Column1],MATCH(J16,CABaseline[Baseline],0))+INDEX(PMECA[Base Watt],MATCH(C16,PMECA[Eff Desc 1],0))+INDEX(PMECA[Base Watt 2],MATCH(C16,PMECA[Eff Desc 1],0))))*INDEX(CAShifts[Hours],MATCH(N16,CAShifts[Shift],0))),
IF(ISNUMBER(SEARCH("Drop Filter",C16)),(INDEX(CABaseline[Column1],MATCH(J16,CABaseline[Baseline],0))*2*0.005*INDEX(CAShifts[Hours],MATCH(N16,CAShifts[Shift],0))/100)*V16,
IF(ISNUMBER(SEARCH("Condensate Drains",C16)),V16*3*INDEX(CABaseline[Column1],MATCH(J16,CABaseline[Baseline],0))*INDEX(CAShifts[Hours],MATCH(N16,CAShifts[Shift],0)),
IF(ISNUMBER(SEARCH("HVAC Supply and Return",C16)),((0.746*V16*(0.65/0.95))*INDEX(LightingWHF[Total Fan Run Hours],MATCH(M02S02F26,LightingWHF[Building/Space Type],0))*INDEX(CABaseline[Column1],MATCH(J16,CABaseline[Baseline],0))-((0.746*V16*(0.65/0.95))*INDEX(LightingWHF[Total Fan Run Hours],MATCH(M02S02F26,LightingWHF[Building/Space Type],0))*0.3))*(1+0.157),
IF(ISNUMBER(SEARCH("HVAC Pumps",C16)),(V16*0.65)/0.93*(IF(J16="Hot Water Pump",INDEX(LightingWHF[Heating Run Hours],MATCH(M02S02F26,LightingWHF[Building/Space Type],0)),INDEX(LightingWHF[Cooling Run Hours],MATCH(M02S02F26,LightingWHF[Building/Space Type],0))))*INDEX(CABaseline[Column1],MATCH(J16,CABaseline[Baseline],0)),
IF(ISNUMBER(SEARCH("Nozzle",C16)),(INDEX(PMECA[Base Desc 2],MATCH(C16,PMECA[Eff Desc 1]))*0.5)*INDEX(CABaseline[Column1],MATCH(J16,CABaseline[Baseline],0))*0.05*INDEX(CAShifts[Hours],MATCH(N16,CAShifts[Shift],0)),
IF(ISNUMBER(SEARCH("Tankless",C16)),V16*INDEX(PMECA[Savings per Unit kWh],MATCH(C16,PMECA[Eff Desc 1],0)),
IF(ISNUMBER(SEARCH("Pool",C16)),V16*INDEX(PMECA[Savings per Unit kWh],MATCH(C16,PMECA[Eff Desc 1],0)),
)))))))))))))),2))),"")</f>
        <v/>
      </c>
      <c r="AW16" s="1054" t="str">
        <f>IFERROR(IF(OR(C16="",J16="",N16="",V16="",X16="",AA16="",AC16=""),"",ROUND(
IF(OR(ISNUMBER(SEARCH("VSD on Air Compressor",C16)),ISNUMBER(SEARCH("Nozzle",C16)),ISNUMBER(SEARCH("Digital Scroll",C16)),ISNUMBER(SEARCH("Leak",C16)),ISNUMBER(SEARCH("VS Air Dryer",C16)),ISNUMBER(SEARCH("Thermal Mass",C16)),ISNUMBER(SEARCH("Heated Desiccant",C16)),ISNUMBER(SEARCH("Blower Purge",C16)),ISNUMBER(SEARCH("Drop Filter",C16))),AV16/(INDEX(CAShifts[Hours],MATCH(N16,CAShifts[Shift],0)))*(INDEX(CAShifts[CF],MATCH(N16,CAShifts[Shift],0))),
IF(ISNUMBER(SEARCH("Condensate Drains",C16)),AV16/(INDEX(CAShifts[Hours],MATCH(N16,CAShifts[Shift],0)))*0.95,
IF(ISNUMBER(SEARCH("VSD for HVAC Pumps",C16)),IF(ISNUMBER(SEARCH("Pump",J16)),0,(V16*0.65)/0.93*INDEX(PMECA[Base Desc 2],MATCH(C16,PMECA[Eff Desc 1],0))),
IF(ISNUMBER(SEARCH("HVAC Supply and Return",C16)),IF(((0.746*V16*(0.65/0.95))*INDEX(CABaseline[CFb (50-200HP)],MATCH(J16,CABaseline[Baseline],0))-((0.746*V16*(0.65/0.95))*1.01))*(1+0.157)&lt;0,0,(0.746*V16*(0.65/0.95))*INDEX(CABaseline[CFb (50-200HP)],MATCH(J16,CABaseline[Baseline],0))-((0.746*V16*(0.65/0.95))*1.01))*(1+0.157),
IF(OR(ISNUMBER(SEARCH("Pool",C16)),ISNUMBER(SEARCH("Tankless",C16))),V16*INDEX(PMECA[Savings per Unit kW],MATCH(C16,PMECA[Eff Desc 1],0)),
))))),3)),"")</f>
        <v/>
      </c>
      <c r="AX16" s="808" t="str">
        <f>IF(OR(C16="",J16="",AA16="",X16="",V16="",AC16=""),"",
IF(ISNUMBER(SEARCH("Leak",C16)),V16*INDEX(PMECA[Incremental Cost],MATCH(C16,PMECA[Eff Desc 1],0)),(127*V16)+1446))</f>
        <v/>
      </c>
      <c r="AY16" s="808" t="str">
        <f>IF(OR(C16="",J16="",N16="",V16="",X16="",AA16="",AC16="",AI16="",AK16=""),"",IF(BC16&lt;&gt;"",BC16,IF(AV16=0,0,MIN(AU16,ROUND(V16*AI16,2)))))</f>
        <v/>
      </c>
      <c r="BC16" s="825" t="str">
        <f>IF(OR(J16="",N16="",C16="",V16="",X16="",AA16="",AE16="",AC16="",P16="",T16=""),"",IF(OR(ISBLANK(M02S02F26),ISBLANK(M02S02F32),ISBLANK(M02S02F46)),MEASUREBLDG,""))</f>
        <v/>
      </c>
      <c r="BE16" s="806" t="str">
        <f ca="1">IF(OR(C16="",J16="",N16="",P16="",T16="",V16="",AA16="",X16="",AC16=""),"",IF('M01-S01'!$V$82&lt;TODAY(),0,IF(M02S02F46="Gas Only",0,IF(OR(AK16="",AK16&lt;0,AU16&lt;=AO16),0,MIN(AU16-AO16,ROUND(AO16*0.2,2))))))</f>
        <v/>
      </c>
      <c r="BF16" s="806"/>
    </row>
    <row r="17" spans="2:58" ht="15.95" customHeight="1">
      <c r="B17" s="830"/>
      <c r="C17" s="835"/>
      <c r="D17" s="836"/>
      <c r="E17" s="836"/>
      <c r="F17" s="836"/>
      <c r="G17" s="836"/>
      <c r="H17" s="836"/>
      <c r="I17" s="837"/>
      <c r="J17" s="835"/>
      <c r="K17" s="836"/>
      <c r="L17" s="836"/>
      <c r="M17" s="837"/>
      <c r="N17" s="848"/>
      <c r="O17" s="853"/>
      <c r="P17" s="1051"/>
      <c r="Q17" s="1052"/>
      <c r="R17" s="1052"/>
      <c r="S17" s="1053"/>
      <c r="T17" s="1057"/>
      <c r="U17" s="1040"/>
      <c r="V17" s="848"/>
      <c r="W17" s="849"/>
      <c r="X17" s="835"/>
      <c r="Y17" s="836"/>
      <c r="Z17" s="837"/>
      <c r="AA17" s="946"/>
      <c r="AB17" s="939"/>
      <c r="AC17" s="939"/>
      <c r="AD17" s="940"/>
      <c r="AE17" s="943"/>
      <c r="AF17" s="943"/>
      <c r="AG17" s="943"/>
      <c r="AH17" s="944"/>
      <c r="AI17" s="919"/>
      <c r="AJ17" s="865"/>
      <c r="AK17" s="823"/>
      <c r="AL17" s="824"/>
      <c r="AM17" s="824"/>
      <c r="AN17" s="828"/>
      <c r="AO17" s="954"/>
      <c r="AP17" s="955"/>
      <c r="AQ17" s="956"/>
      <c r="AU17" s="809"/>
      <c r="AV17" s="975"/>
      <c r="AW17" s="996"/>
      <c r="AX17" s="809"/>
      <c r="AY17" s="809"/>
      <c r="BC17" s="826"/>
      <c r="BE17" s="807"/>
      <c r="BF17" s="807"/>
    </row>
    <row r="18" spans="2:58" ht="15.95" customHeight="1">
      <c r="B18" s="829">
        <v>2</v>
      </c>
      <c r="C18" s="866"/>
      <c r="D18" s="867"/>
      <c r="E18" s="867"/>
      <c r="F18" s="867"/>
      <c r="G18" s="867"/>
      <c r="H18" s="867"/>
      <c r="I18" s="868"/>
      <c r="J18" s="832"/>
      <c r="K18" s="833"/>
      <c r="L18" s="833"/>
      <c r="M18" s="834"/>
      <c r="N18" s="846"/>
      <c r="O18" s="847"/>
      <c r="P18" s="1062" t="str">
        <f>IFERROR(IF(C18="","",INDEX(PMECA[Eff Desc 2],MATCH(C18,PMECA[Eff Desc 1],0))),"")</f>
        <v/>
      </c>
      <c r="Q18" s="1063"/>
      <c r="R18" s="1063"/>
      <c r="S18" s="1064"/>
      <c r="T18" s="1037" t="str">
        <f>IFERROR(IF(C18="","",INDEX(PMECA[Unit of Measure],MATCH(C18,PMECA[Eff Desc 1],0))),"")</f>
        <v/>
      </c>
      <c r="U18" s="1038"/>
      <c r="V18" s="846"/>
      <c r="W18" s="847"/>
      <c r="X18" s="832"/>
      <c r="Y18" s="833"/>
      <c r="Z18" s="834"/>
      <c r="AA18" s="945"/>
      <c r="AB18" s="937"/>
      <c r="AC18" s="937"/>
      <c r="AD18" s="938"/>
      <c r="AE18" s="1016" t="str">
        <f>IFERROR(IF(C18="","",INDEX(PMECA[Base Desc 1],MATCH(C18,PMECA[Eff Desc 1],0))),"")</f>
        <v/>
      </c>
      <c r="AF18" s="1017"/>
      <c r="AG18" s="1017"/>
      <c r="AH18" s="1018"/>
      <c r="AI18" s="1023" t="str">
        <f>IFERROR(IF(C18="","",INDEX(PMECA[Inc Rate Unit],MATCH(C18,PMECA[Eff Desc 1],0))),"")</f>
        <v/>
      </c>
      <c r="AJ18" s="863"/>
      <c r="AK18" s="821" t="str">
        <f>IFERROR(IF(OR(C18="",V18="",X18="",AA18="",J18="",N18="",AC18=""),"",AV18),"")</f>
        <v/>
      </c>
      <c r="AL18" s="822"/>
      <c r="AM18" s="822"/>
      <c r="AN18" s="827" t="str">
        <f t="shared" ref="AN18" si="0">IF(OR(C18="",V18="",X18="",AB18="",AE18="",AG18=""),"",IF(BC18&lt;&gt;"",BC18,MIN(AU18,ROUND(V18*AI18,2))))</f>
        <v/>
      </c>
      <c r="AO18" s="951" t="str">
        <f t="shared" ref="AO18" si="1">IFERROR(IF(OR(C18="",V18="",X18="",AA18="",J18="",N18="",AC18=""),"",AY18),"")</f>
        <v/>
      </c>
      <c r="AP18" s="952"/>
      <c r="AQ18" s="952"/>
      <c r="AU18" s="893" t="str">
        <f t="shared" ref="AU18" si="2">IF(OR(C18="",J18="",AA18="",X18="",V18="",AC18=""),"",ROUND((AA18+AC18),2))</f>
        <v/>
      </c>
      <c r="AV18" s="974" t="str">
        <f>IFERROR(IF(OR(C18="",J18="",N18="",V18="",X18="",AA18="",AC18=""),"",IF(BC18&lt;&gt;"",BC18,ROUND(
IF(ISNUMBER(SEARCH("VSD on Air Compressor",C18)),V18*0.9*(INDEX(CAShifts[Hours],MATCH(N18,CAShifts[Shift],0)))*
(IF(V18&lt;=40,(INDEX(CABaseline[CFb (≤ 40 HP)],MATCH(J18,CABaseline[Baseline],0))),(INDEX(CABaseline[CFb (50-200HP)],MATCH(J18,CABaseline[Baseline],0))))-IF(V18&lt;=40,0.705,0.658)),
IF(ISNUMBER(SEARCH("Leak",C18)),(V18*(J18*6.1*INDEX(CAShifts[Hours],MATCH(N18,CAShifts[Shift],0))*0.19*0.3/100)),
IF(ISNUMBER(SEARCH("Digital Scroll",C18)),(0.007*(INDEX(PMECA[Base Desc 2],MATCH(C18,PMECA[Eff Desc 1],0))-INDEX(PMECA[Base Watt],MATCH(C18,PMECA[Eff Desc 1],0)))*INDEX(CAShifts[Hours],MATCH(N18,CAShifts[Shift],0))*V18),
IF(ISNUMBER(SEARCH("VS Air Dryer",C18)),(0.007*(INDEX(PMECA[Base Desc 2],MATCH(C18,PMECA[Eff Desc 1],0))-INDEX(PMECA[Base Watt],MATCH(C18,PMECA[Eff Desc 1],0)))*INDEX(CAShifts[Hours],MATCH(N18,CAShifts[Shift],0))*V18),
IF(ISNUMBER(SEARCH("Thermal Mass",C18)),(0.007*(INDEX(PMECA[Base Desc 2],MATCH(C18,PMECA[Eff Desc 1],0))-INDEX(PMECA[Base Watt],MATCH(C18,PMECA[Eff Desc 1],0)))*INDEX(CAShifts[Hours],MATCH(N18,CAShifts[Shift],0))*V18),
IF(ISNUMBER(SEARCH("Heated Desiccant",C18)),(V18*((0.15*INDEX(CABaseline[Column1],MATCH(J18,CABaseline[Baseline],0)))-((INDEX(PMECA[Base Desc 2],MATCH(C18,PMECA[Eff Desc 1],0)))*INDEX(CABaseline[Column1],MATCH(J18,CABaseline[Baseline],0))+INDEX(PMECA[Base Watt],MATCH(C18,PMECA[Eff Desc 1],0))+INDEX(PMECA[Base Watt 2],MATCH(C18,PMECA[Eff Desc 1],0))))*INDEX(CAShifts[Hours],MATCH(N18,CAShifts[Shift],0))),
IF(ISNUMBER(SEARCH("Blower Purge",C18)),(V18*((0.15*INDEX(CABaseline[Column1],MATCH(J18,CABaseline[Baseline],0)))-((INDEX(PMECA[Base Desc 2],MATCH(C18,PMECA[Eff Desc 1],0)))*INDEX(CABaseline[Column1],MATCH(J18,CABaseline[Baseline],0))+INDEX(PMECA[Base Watt],MATCH(C18,PMECA[Eff Desc 1],0))+INDEX(PMECA[Base Watt 2],MATCH(C18,PMECA[Eff Desc 1],0))))*INDEX(CAShifts[Hours],MATCH(N18,CAShifts[Shift],0))),
IF(ISNUMBER(SEARCH("Drop Filter",C18)),(INDEX(CABaseline[Column1],MATCH(J18,CABaseline[Baseline],0))*2*0.005*INDEX(CAShifts[Hours],MATCH(N18,CAShifts[Shift],0))/100)*V18,
IF(ISNUMBER(SEARCH("Condensate Drains",C18)),V18*3*INDEX(CABaseline[Column1],MATCH(J18,CABaseline[Baseline],0))*INDEX(CAShifts[Hours],MATCH(N18,CAShifts[Shift],0)),
IF(ISNUMBER(SEARCH("HVAC Supply and Return",C18)),((0.746*V18*(0.65/0.95))*INDEX(LightingWHF[Total Fan Run Hours],MATCH(M02S02F26,LightingWHF[Building/Space Type],0))*INDEX(CABaseline[Column1],MATCH(J18,CABaseline[Baseline],0))-((0.746*V18*(0.65/0.95))*INDEX(LightingWHF[Total Fan Run Hours],MATCH(M02S02F26,LightingWHF[Building/Space Type],0))*0.3))*(1+0.157),
IF(ISNUMBER(SEARCH("HVAC Pumps",C18)),(V18*0.65)/0.93*(IF(J18="Hot Water Pump",INDEX(LightingWHF[Heating Run Hours],MATCH(M02S02F26,LightingWHF[Building/Space Type],0)),INDEX(LightingWHF[Cooling Run Hours],MATCH(M02S02F26,LightingWHF[Building/Space Type],0))))*INDEX(CABaseline[Column1],MATCH(J18,CABaseline[Baseline],0)),
IF(ISNUMBER(SEARCH("Nozzle",C18)),(INDEX(PMECA[Base Desc 2],MATCH(C18,PMECA[Eff Desc 1]))*0.5)*INDEX(CABaseline[Column1],MATCH(J18,CABaseline[Baseline],0))*0.05*INDEX(CAShifts[Hours],MATCH(N18,CAShifts[Shift],0)),
IF(ISNUMBER(SEARCH("Tankless",C18)),V18*INDEX(PMECA[Savings per Unit kWh],MATCH(C18,PMECA[Eff Desc 1],0)),
IF(ISNUMBER(SEARCH("Pool",C18)),V18*INDEX(PMECA[Savings per Unit kWh],MATCH(C18,PMECA[Eff Desc 1],0)),
)))))))))))))),2))),"")</f>
        <v/>
      </c>
      <c r="AW18" s="1054" t="str">
        <f>IFERROR(IF(OR(C18="",J18="",N18="",V18="",X18="",AA18="",AC18=""),"",ROUND(
IF(OR(ISNUMBER(SEARCH("VSD on Air Compressor",C18)),ISNUMBER(SEARCH("Nozzle",C18)),ISNUMBER(SEARCH("Digital Scroll",C18)),ISNUMBER(SEARCH("Leak",C18)),ISNUMBER(SEARCH("VS Air Dryer",C18)),ISNUMBER(SEARCH("Thermal Mass",C18)),ISNUMBER(SEARCH("Heated Desiccant",C18)),ISNUMBER(SEARCH("Blower Purge",C18)),ISNUMBER(SEARCH("Drop Filter",C18))),AV18/(INDEX(CAShifts[Hours],MATCH(N18,CAShifts[Shift],0)))*(INDEX(CAShifts[CF],MATCH(N18,CAShifts[Shift],0))),
IF(ISNUMBER(SEARCH("Condensate Drains",C18)),AV18/(INDEX(CAShifts[Hours],MATCH(N18,CAShifts[Shift],0)))*0.95,
IF(ISNUMBER(SEARCH("VSD for HVAC Pumps",C18)),IF(ISNUMBER(SEARCH("Pump",J18)),0,(V18*0.65)/0.93*INDEX(PMECA[Base Desc 2],MATCH(C18,PMECA[Eff Desc 1],0))),
IF(ISNUMBER(SEARCH("HVAC Supply and Return",C18)),IF(((0.746*V18*(0.65/0.95))*INDEX(CABaseline[CFb (50-200HP)],MATCH(J18,CABaseline[Baseline],0))-((0.746*V18*(0.65/0.95))*1.01))*(1+0.157)&lt;0,0,(0.746*V18*(0.65/0.95))*INDEX(CABaseline[CFb (50-200HP)],MATCH(J18,CABaseline[Baseline],0))-((0.746*V18*(0.65/0.95))*1.01))*(1+0.157),
IF(OR(ISNUMBER(SEARCH("Pool",C18)),ISNUMBER(SEARCH("Tankless",C18))),V18*INDEX(PMECA[Savings per Unit kW],MATCH(C18,PMECA[Eff Desc 1],0)),
))))),3)),"")</f>
        <v/>
      </c>
      <c r="AX18" s="893" t="str">
        <f>IF(OR(C18="",J18="",AA18="",X18="",V18="",AC18=""),"",
IF(ISNUMBER(SEARCH("Leak",C18)),V18*INDEX(PMECA[Incremental Cost],MATCH(C18,PMECA[Eff Desc 1],0)),(127*V18)+1446))</f>
        <v/>
      </c>
      <c r="AY18" s="974" t="str">
        <f t="shared" ref="AY18" si="3">IF(OR(C18="",J18="",N18="",V18="",X18="",AA18="",AC18="",AI18="",AK18=""),"",IF(BC18&lt;&gt;"",BC18,IF(AV18=0,0,MIN(AU18,ROUND(V18*AI18,2)))))</f>
        <v/>
      </c>
      <c r="BC18" s="825" t="str">
        <f>IF(OR(J18="",N18="",C18="",V18="",X18="",AA18="",AE18="",AC18="",P18="",T18=""),"",IF(OR(ISBLANK(M02S02F26),ISBLANK(M02S02F32),ISBLANK(M02S02F46)),MEASUREBLDG,""))</f>
        <v/>
      </c>
      <c r="BE18" s="806" t="str">
        <f ca="1">IF(OR(C18="",J18="",N18="",P18="",T18="",V18="",AA18="",X18="",AC18=""),"",IF('M01-S01'!$V$82&lt;TODAY(),0,IF(M02S02F46="Gas Only",0,IF(OR(AK18="",AK18&lt;0,AU18&lt;=AO18),0,MIN(AU18-AO18,ROUND(AO18*0.2,2))))))</f>
        <v/>
      </c>
      <c r="BF18" s="806"/>
    </row>
    <row r="19" spans="2:58" ht="15.95" customHeight="1">
      <c r="B19" s="829"/>
      <c r="C19" s="835"/>
      <c r="D19" s="836"/>
      <c r="E19" s="836"/>
      <c r="F19" s="836"/>
      <c r="G19" s="836"/>
      <c r="H19" s="836"/>
      <c r="I19" s="837"/>
      <c r="J19" s="835"/>
      <c r="K19" s="836"/>
      <c r="L19" s="836"/>
      <c r="M19" s="837"/>
      <c r="N19" s="848"/>
      <c r="O19" s="849"/>
      <c r="P19" s="1034"/>
      <c r="Q19" s="1035"/>
      <c r="R19" s="1035"/>
      <c r="S19" s="1036"/>
      <c r="T19" s="1039"/>
      <c r="U19" s="1040"/>
      <c r="V19" s="848"/>
      <c r="W19" s="849"/>
      <c r="X19" s="835"/>
      <c r="Y19" s="836"/>
      <c r="Z19" s="837"/>
      <c r="AA19" s="946"/>
      <c r="AB19" s="939"/>
      <c r="AC19" s="939"/>
      <c r="AD19" s="940"/>
      <c r="AE19" s="1019"/>
      <c r="AF19" s="941"/>
      <c r="AG19" s="941"/>
      <c r="AH19" s="942"/>
      <c r="AI19" s="1024"/>
      <c r="AJ19" s="865"/>
      <c r="AK19" s="823"/>
      <c r="AL19" s="824"/>
      <c r="AM19" s="824"/>
      <c r="AN19" s="828"/>
      <c r="AO19" s="954"/>
      <c r="AP19" s="955"/>
      <c r="AQ19" s="955"/>
      <c r="AU19" s="809"/>
      <c r="AV19" s="975"/>
      <c r="AW19" s="996"/>
      <c r="AX19" s="809"/>
      <c r="AY19" s="975"/>
      <c r="BC19" s="826"/>
      <c r="BE19" s="807"/>
      <c r="BF19" s="807"/>
    </row>
    <row r="20" spans="2:58" ht="15.95" customHeight="1">
      <c r="B20" s="829">
        <v>3</v>
      </c>
      <c r="C20" s="866"/>
      <c r="D20" s="867"/>
      <c r="E20" s="867"/>
      <c r="F20" s="867"/>
      <c r="G20" s="867"/>
      <c r="H20" s="867"/>
      <c r="I20" s="868"/>
      <c r="J20" s="832"/>
      <c r="K20" s="833"/>
      <c r="L20" s="833"/>
      <c r="M20" s="834"/>
      <c r="N20" s="846"/>
      <c r="O20" s="847"/>
      <c r="P20" s="1031" t="str">
        <f>IFERROR(IF(C20="","",INDEX(PMECA[Eff Desc 2],MATCH(C20,PMECA[Eff Desc 1],0))),"")</f>
        <v/>
      </c>
      <c r="Q20" s="1032"/>
      <c r="R20" s="1032"/>
      <c r="S20" s="1033"/>
      <c r="T20" s="1037" t="str">
        <f>IFERROR(IF(C20="","",INDEX(PMECA[Unit of Measure],MATCH(C20,PMECA[Eff Desc 1],0))),"")</f>
        <v/>
      </c>
      <c r="U20" s="1038"/>
      <c r="V20" s="846"/>
      <c r="W20" s="847"/>
      <c r="X20" s="832"/>
      <c r="Y20" s="833"/>
      <c r="Z20" s="834"/>
      <c r="AA20" s="945"/>
      <c r="AB20" s="937"/>
      <c r="AC20" s="937"/>
      <c r="AD20" s="938"/>
      <c r="AE20" s="1016" t="str">
        <f>IFERROR(IF(C20="","",INDEX(PMECA[Base Desc 1],MATCH(C20,PMECA[Eff Desc 1],0))),"")</f>
        <v/>
      </c>
      <c r="AF20" s="1017"/>
      <c r="AG20" s="1017"/>
      <c r="AH20" s="1018"/>
      <c r="AI20" s="1023" t="str">
        <f>IFERROR(IF(C20="","",INDEX(PMECA[Inc Rate Unit],MATCH(C20,PMECA[Eff Desc 1],0))),"")</f>
        <v/>
      </c>
      <c r="AJ20" s="863"/>
      <c r="AK20" s="821" t="str">
        <f t="shared" ref="AK20" si="4">IFERROR(IF(OR(C20="",V20="",X20="",AA20="",J20="",N20="",AC20=""),"",AV20),"")</f>
        <v/>
      </c>
      <c r="AL20" s="822"/>
      <c r="AM20" s="822"/>
      <c r="AN20" s="827" t="str">
        <f t="shared" ref="AN20" si="5">IF(OR(C20="",V20="",X20="",AB20="",AE20="",AG20=""),"",IF(BC20&lt;&gt;"",BC20,MIN(AU20,ROUND(V20*AI20,2))))</f>
        <v/>
      </c>
      <c r="AO20" s="951" t="str">
        <f t="shared" ref="AO20" si="6">IFERROR(IF(OR(C20="",V20="",X20="",AA20="",J20="",N20="",AC20=""),"",AY20),"")</f>
        <v/>
      </c>
      <c r="AP20" s="952"/>
      <c r="AQ20" s="952"/>
      <c r="AU20" s="893" t="str">
        <f t="shared" ref="AU20" si="7">IF(OR(C20="",J20="",AA20="",X20="",V20="",AC20=""),"",ROUND((AA20+AC20),2))</f>
        <v/>
      </c>
      <c r="AV20" s="974" t="str">
        <f>IFERROR(IF(OR(C20="",J20="",N20="",V20="",X20="",AA20="",AC20=""),"",IF(BC20&lt;&gt;"",BC20,ROUND(
IF(ISNUMBER(SEARCH("VSD on Air Compressor",C20)),V20*0.9*(INDEX(CAShifts[Hours],MATCH(N20,CAShifts[Shift],0)))*
(IF(V20&lt;=40,(INDEX(CABaseline[CFb (≤ 40 HP)],MATCH(J20,CABaseline[Baseline],0))),(INDEX(CABaseline[CFb (50-200HP)],MATCH(J20,CABaseline[Baseline],0))))-IF(V20&lt;=40,0.705,0.658)),
IF(ISNUMBER(SEARCH("Leak",C20)),(V20*(J20*6.1*INDEX(CAShifts[Hours],MATCH(N20,CAShifts[Shift],0))*0.19*0.3/100)),
IF(ISNUMBER(SEARCH("Digital Scroll",C20)),(0.007*(INDEX(PMECA[Base Desc 2],MATCH(C20,PMECA[Eff Desc 1],0))-INDEX(PMECA[Base Watt],MATCH(C20,PMECA[Eff Desc 1],0)))*INDEX(CAShifts[Hours],MATCH(N20,CAShifts[Shift],0))*V20),
IF(ISNUMBER(SEARCH("VS Air Dryer",C20)),(0.007*(INDEX(PMECA[Base Desc 2],MATCH(C20,PMECA[Eff Desc 1],0))-INDEX(PMECA[Base Watt],MATCH(C20,PMECA[Eff Desc 1],0)))*INDEX(CAShifts[Hours],MATCH(N20,CAShifts[Shift],0))*V20),
IF(ISNUMBER(SEARCH("Thermal Mass",C20)),(0.007*(INDEX(PMECA[Base Desc 2],MATCH(C20,PMECA[Eff Desc 1],0))-INDEX(PMECA[Base Watt],MATCH(C20,PMECA[Eff Desc 1],0)))*INDEX(CAShifts[Hours],MATCH(N20,CAShifts[Shift],0))*V20),
IF(ISNUMBER(SEARCH("Heated Desiccant",C20)),(V20*((0.15*INDEX(CABaseline[Column1],MATCH(J20,CABaseline[Baseline],0)))-((INDEX(PMECA[Base Desc 2],MATCH(C20,PMECA[Eff Desc 1],0)))*INDEX(CABaseline[Column1],MATCH(J20,CABaseline[Baseline],0))+INDEX(PMECA[Base Watt],MATCH(C20,PMECA[Eff Desc 1],0))+INDEX(PMECA[Base Watt 2],MATCH(C20,PMECA[Eff Desc 1],0))))*INDEX(CAShifts[Hours],MATCH(N20,CAShifts[Shift],0))),
IF(ISNUMBER(SEARCH("Blower Purge",C20)),(V20*((0.15*INDEX(CABaseline[Column1],MATCH(J20,CABaseline[Baseline],0)))-((INDEX(PMECA[Base Desc 2],MATCH(C20,PMECA[Eff Desc 1],0)))*INDEX(CABaseline[Column1],MATCH(J20,CABaseline[Baseline],0))+INDEX(PMECA[Base Watt],MATCH(C20,PMECA[Eff Desc 1],0))+INDEX(PMECA[Base Watt 2],MATCH(C20,PMECA[Eff Desc 1],0))))*INDEX(CAShifts[Hours],MATCH(N20,CAShifts[Shift],0))),
IF(ISNUMBER(SEARCH("Drop Filter",C20)),(INDEX(CABaseline[Column1],MATCH(J20,CABaseline[Baseline],0))*2*0.005*INDEX(CAShifts[Hours],MATCH(N20,CAShifts[Shift],0))/100)*V20,
IF(ISNUMBER(SEARCH("Condensate Drains",C20)),V20*3*INDEX(CABaseline[Column1],MATCH(J20,CABaseline[Baseline],0))*INDEX(CAShifts[Hours],MATCH(N20,CAShifts[Shift],0)),
IF(ISNUMBER(SEARCH("HVAC Supply and Return",C20)),((0.746*V20*(0.65/0.95))*INDEX(LightingWHF[Total Fan Run Hours],MATCH(M02S02F26,LightingWHF[Building/Space Type],0))*INDEX(CABaseline[Column1],MATCH(J20,CABaseline[Baseline],0))-((0.746*V20*(0.65/0.95))*INDEX(LightingWHF[Total Fan Run Hours],MATCH(M02S02F26,LightingWHF[Building/Space Type],0))*0.3))*(1+0.157),
IF(ISNUMBER(SEARCH("HVAC Pumps",C20)),(V20*0.65)/0.93*(IF(J20="Hot Water Pump",INDEX(LightingWHF[Heating Run Hours],MATCH(M02S02F26,LightingWHF[Building/Space Type],0)),INDEX(LightingWHF[Cooling Run Hours],MATCH(M02S02F26,LightingWHF[Building/Space Type],0))))*INDEX(CABaseline[Column1],MATCH(J20,CABaseline[Baseline],0)),
IF(ISNUMBER(SEARCH("Nozzle",C20)),(INDEX(PMECA[Base Desc 2],MATCH(C20,PMECA[Eff Desc 1]))*0.5)*INDEX(CABaseline[Column1],MATCH(J20,CABaseline[Baseline],0))*0.05*INDEX(CAShifts[Hours],MATCH(N20,CAShifts[Shift],0)),
IF(ISNUMBER(SEARCH("Tankless",C20)),V20*INDEX(PMECA[Savings per Unit kWh],MATCH(C20,PMECA[Eff Desc 1],0)),
IF(ISNUMBER(SEARCH("Pool",C20)),V20*INDEX(PMECA[Savings per Unit kWh],MATCH(C20,PMECA[Eff Desc 1],0)),
)))))))))))))),2))),"")</f>
        <v/>
      </c>
      <c r="AW20" s="1054" t="str">
        <f>IFERROR(IF(OR(C20="",J20="",N20="",V20="",X20="",AA20="",AC20=""),"",ROUND(
IF(OR(ISNUMBER(SEARCH("VSD on Air Compressor",C20)),ISNUMBER(SEARCH("Nozzle",C20)),ISNUMBER(SEARCH("Digital Scroll",C20)),ISNUMBER(SEARCH("Leak",C20)),ISNUMBER(SEARCH("VS Air Dryer",C20)),ISNUMBER(SEARCH("Thermal Mass",C20)),ISNUMBER(SEARCH("Heated Desiccant",C20)),ISNUMBER(SEARCH("Blower Purge",C20)),ISNUMBER(SEARCH("Drop Filter",C20))),AV20/(INDEX(CAShifts[Hours],MATCH(N20,CAShifts[Shift],0)))*(INDEX(CAShifts[CF],MATCH(N20,CAShifts[Shift],0))),
IF(ISNUMBER(SEARCH("Condensate Drains",C20)),AV20/(INDEX(CAShifts[Hours],MATCH(N20,CAShifts[Shift],0)))*0.95,
IF(ISNUMBER(SEARCH("VSD for HVAC Pumps",C20)),IF(ISNUMBER(SEARCH("Pump",J20)),0,(V20*0.65)/0.93*INDEX(PMECA[Base Desc 2],MATCH(C20,PMECA[Eff Desc 1],0))),
IF(ISNUMBER(SEARCH("HVAC Supply and Return",C20)),IF(((0.746*V20*(0.65/0.95))*INDEX(CABaseline[CFb (50-200HP)],MATCH(J20,CABaseline[Baseline],0))-((0.746*V20*(0.65/0.95))*1.01))*(1+0.157)&lt;0,0,(0.746*V20*(0.65/0.95))*INDEX(CABaseline[CFb (50-200HP)],MATCH(J20,CABaseline[Baseline],0))-((0.746*V20*(0.65/0.95))*1.01))*(1+0.157),
IF(OR(ISNUMBER(SEARCH("Pool",C20)),ISNUMBER(SEARCH("Tankless",C20))),V20*INDEX(PMECA[Savings per Unit kW],MATCH(C20,PMECA[Eff Desc 1],0)),
))))),3)),"")</f>
        <v/>
      </c>
      <c r="AX20" s="893" t="str">
        <f>IF(OR(C20="",J20="",AA20="",X20="",V20="",AC20=""),"",
IF(ISNUMBER(SEARCH("Leak",C20)),V20*INDEX(PMECA[Incremental Cost],MATCH(C20,PMECA[Eff Desc 1],0)),(127*V20)+1446))</f>
        <v/>
      </c>
      <c r="AY20" s="974" t="str">
        <f t="shared" ref="AY20" si="8">IF(OR(C20="",J20="",N20="",V20="",X20="",AA20="",AC20="",AI20="",AK20=""),"",IF(BC20&lt;&gt;"",BC20,IF(AV20=0,0,MIN(AU20,ROUND(V20*AI20,2)))))</f>
        <v/>
      </c>
      <c r="BC20" s="825" t="str">
        <f>IF(OR(J20="",N20="",C20="",V20="",X20="",AA20="",AE20="",AC20="",P20="",T20=""),"",IF(OR(ISBLANK(M02S02F26),ISBLANK(M02S02F32),ISBLANK(M02S02F46)),MEASUREBLDG,""))</f>
        <v/>
      </c>
      <c r="BE20" s="806" t="str">
        <f ca="1">IF(OR(C20="",J20="",N20="",P20="",T20="",V20="",AA20="",X20="",AC20=""),"",IF('M01-S01'!$V$82&lt;TODAY(),0,IF(M02S02F46="Gas Only",0,IF(OR(AK20="",AK20&lt;0,AU20&lt;=AO20),0,MIN(AU20-AO20,ROUND(AO20*0.2,2))))))</f>
        <v/>
      </c>
      <c r="BF20" s="806"/>
    </row>
    <row r="21" spans="2:58" ht="15.95" customHeight="1">
      <c r="B21" s="829"/>
      <c r="C21" s="835"/>
      <c r="D21" s="836"/>
      <c r="E21" s="836"/>
      <c r="F21" s="836"/>
      <c r="G21" s="836"/>
      <c r="H21" s="836"/>
      <c r="I21" s="837"/>
      <c r="J21" s="835"/>
      <c r="K21" s="836"/>
      <c r="L21" s="836"/>
      <c r="M21" s="837"/>
      <c r="N21" s="848"/>
      <c r="O21" s="849"/>
      <c r="P21" s="1034"/>
      <c r="Q21" s="1035"/>
      <c r="R21" s="1035"/>
      <c r="S21" s="1036"/>
      <c r="T21" s="1039"/>
      <c r="U21" s="1040"/>
      <c r="V21" s="848"/>
      <c r="W21" s="849"/>
      <c r="X21" s="835"/>
      <c r="Y21" s="836"/>
      <c r="Z21" s="837"/>
      <c r="AA21" s="946"/>
      <c r="AB21" s="939"/>
      <c r="AC21" s="939"/>
      <c r="AD21" s="940"/>
      <c r="AE21" s="1019"/>
      <c r="AF21" s="941"/>
      <c r="AG21" s="941"/>
      <c r="AH21" s="942"/>
      <c r="AI21" s="1024"/>
      <c r="AJ21" s="865"/>
      <c r="AK21" s="823"/>
      <c r="AL21" s="824"/>
      <c r="AM21" s="824"/>
      <c r="AN21" s="828"/>
      <c r="AO21" s="954"/>
      <c r="AP21" s="955"/>
      <c r="AQ21" s="955"/>
      <c r="AU21" s="809"/>
      <c r="AV21" s="975"/>
      <c r="AW21" s="996"/>
      <c r="AX21" s="809"/>
      <c r="AY21" s="975"/>
      <c r="BC21" s="826"/>
      <c r="BE21" s="807"/>
      <c r="BF21" s="807"/>
    </row>
    <row r="22" spans="2:58" ht="15.95" customHeight="1">
      <c r="B22" s="829">
        <v>4</v>
      </c>
      <c r="C22" s="866"/>
      <c r="D22" s="867"/>
      <c r="E22" s="867"/>
      <c r="F22" s="867"/>
      <c r="G22" s="867"/>
      <c r="H22" s="867"/>
      <c r="I22" s="868"/>
      <c r="J22" s="832"/>
      <c r="K22" s="833"/>
      <c r="L22" s="833"/>
      <c r="M22" s="834"/>
      <c r="N22" s="846"/>
      <c r="O22" s="847"/>
      <c r="P22" s="1031" t="str">
        <f>IFERROR(IF(C22="","",INDEX(PMECA[Eff Desc 2],MATCH(C22,PMECA[Eff Desc 1],0))),"")</f>
        <v/>
      </c>
      <c r="Q22" s="1032"/>
      <c r="R22" s="1032"/>
      <c r="S22" s="1033"/>
      <c r="T22" s="1037" t="str">
        <f>IFERROR(IF(C22="","",INDEX(PMECA[Unit of Measure],MATCH(C22,PMECA[Eff Desc 1],0))),"")</f>
        <v/>
      </c>
      <c r="U22" s="1038"/>
      <c r="V22" s="846"/>
      <c r="W22" s="847"/>
      <c r="X22" s="832"/>
      <c r="Y22" s="833"/>
      <c r="Z22" s="834"/>
      <c r="AA22" s="945"/>
      <c r="AB22" s="937"/>
      <c r="AC22" s="937"/>
      <c r="AD22" s="938"/>
      <c r="AE22" s="1016" t="str">
        <f>IFERROR(IF(C22="","",INDEX(PMECA[Base Desc 1],MATCH(C22,PMECA[Eff Desc 1],0))),"")</f>
        <v/>
      </c>
      <c r="AF22" s="1017"/>
      <c r="AG22" s="1017"/>
      <c r="AH22" s="1018"/>
      <c r="AI22" s="1023" t="str">
        <f>IFERROR(IF(C22="","",INDEX(PMECA[Inc Rate Unit],MATCH(C22,PMECA[Eff Desc 1],0))),"")</f>
        <v/>
      </c>
      <c r="AJ22" s="863"/>
      <c r="AK22" s="821" t="str">
        <f t="shared" ref="AK22" si="9">IFERROR(IF(OR(C22="",V22="",X22="",AA22="",J22="",N22="",AC22=""),"",AV22),"")</f>
        <v/>
      </c>
      <c r="AL22" s="822"/>
      <c r="AM22" s="822"/>
      <c r="AN22" s="827" t="str">
        <f t="shared" ref="AN22" si="10">IF(OR(C22="",V22="",X22="",AB22="",AE22="",AG22=""),"",IF(BC22&lt;&gt;"",BC22,MIN(AU22,ROUND(V22*AI22,2))))</f>
        <v/>
      </c>
      <c r="AO22" s="951" t="str">
        <f t="shared" ref="AO22" si="11">IFERROR(IF(OR(C22="",V22="",X22="",AA22="",J22="",N22="",AC22=""),"",AY22),"")</f>
        <v/>
      </c>
      <c r="AP22" s="952"/>
      <c r="AQ22" s="952"/>
      <c r="AU22" s="893" t="str">
        <f t="shared" ref="AU22" si="12">IF(OR(C22="",J22="",AA22="",X22="",V22="",AC22=""),"",ROUND((AA22+AC22),2))</f>
        <v/>
      </c>
      <c r="AV22" s="974" t="str">
        <f>IFERROR(IF(OR(C22="",J22="",N22="",V22="",X22="",AA22="",AC22=""),"",IF(BC22&lt;&gt;"",BC22,ROUND(
IF(ISNUMBER(SEARCH("VSD on Air Compressor",C22)),V22*0.9*(INDEX(CAShifts[Hours],MATCH(N22,CAShifts[Shift],0)))*
(IF(V22&lt;=40,(INDEX(CABaseline[CFb (≤ 40 HP)],MATCH(J22,CABaseline[Baseline],0))),(INDEX(CABaseline[CFb (50-200HP)],MATCH(J22,CABaseline[Baseline],0))))-IF(V22&lt;=40,0.705,0.658)),
IF(ISNUMBER(SEARCH("Leak",C22)),(V22*(J22*6.1*INDEX(CAShifts[Hours],MATCH(N22,CAShifts[Shift],0))*0.19*0.3/100)),
IF(ISNUMBER(SEARCH("Digital Scroll",C22)),(0.007*(INDEX(PMECA[Base Desc 2],MATCH(C22,PMECA[Eff Desc 1],0))-INDEX(PMECA[Base Watt],MATCH(C22,PMECA[Eff Desc 1],0)))*INDEX(CAShifts[Hours],MATCH(N22,CAShifts[Shift],0))*V22),
IF(ISNUMBER(SEARCH("VS Air Dryer",C22)),(0.007*(INDEX(PMECA[Base Desc 2],MATCH(C22,PMECA[Eff Desc 1],0))-INDEX(PMECA[Base Watt],MATCH(C22,PMECA[Eff Desc 1],0)))*INDEX(CAShifts[Hours],MATCH(N22,CAShifts[Shift],0))*V22),
IF(ISNUMBER(SEARCH("Thermal Mass",C22)),(0.007*(INDEX(PMECA[Base Desc 2],MATCH(C22,PMECA[Eff Desc 1],0))-INDEX(PMECA[Base Watt],MATCH(C22,PMECA[Eff Desc 1],0)))*INDEX(CAShifts[Hours],MATCH(N22,CAShifts[Shift],0))*V22),
IF(ISNUMBER(SEARCH("Heated Desiccant",C22)),(V22*((0.15*INDEX(CABaseline[Column1],MATCH(J22,CABaseline[Baseline],0)))-((INDEX(PMECA[Base Desc 2],MATCH(C22,PMECA[Eff Desc 1],0)))*INDEX(CABaseline[Column1],MATCH(J22,CABaseline[Baseline],0))+INDEX(PMECA[Base Watt],MATCH(C22,PMECA[Eff Desc 1],0))+INDEX(PMECA[Base Watt 2],MATCH(C22,PMECA[Eff Desc 1],0))))*INDEX(CAShifts[Hours],MATCH(N22,CAShifts[Shift],0))),
IF(ISNUMBER(SEARCH("Blower Purge",C22)),(V22*((0.15*INDEX(CABaseline[Column1],MATCH(J22,CABaseline[Baseline],0)))-((INDEX(PMECA[Base Desc 2],MATCH(C22,PMECA[Eff Desc 1],0)))*INDEX(CABaseline[Column1],MATCH(J22,CABaseline[Baseline],0))+INDEX(PMECA[Base Watt],MATCH(C22,PMECA[Eff Desc 1],0))+INDEX(PMECA[Base Watt 2],MATCH(C22,PMECA[Eff Desc 1],0))))*INDEX(CAShifts[Hours],MATCH(N22,CAShifts[Shift],0))),
IF(ISNUMBER(SEARCH("Drop Filter",C22)),(INDEX(CABaseline[Column1],MATCH(J22,CABaseline[Baseline],0))*2*0.005*INDEX(CAShifts[Hours],MATCH(N22,CAShifts[Shift],0))/100)*V22,
IF(ISNUMBER(SEARCH("Condensate Drains",C22)),V22*3*INDEX(CABaseline[Column1],MATCH(J22,CABaseline[Baseline],0))*INDEX(CAShifts[Hours],MATCH(N22,CAShifts[Shift],0)),
IF(ISNUMBER(SEARCH("HVAC Supply and Return",C22)),((0.746*V22*(0.65/0.95))*INDEX(LightingWHF[Total Fan Run Hours],MATCH(M02S02F26,LightingWHF[Building/Space Type],0))*INDEX(CABaseline[Column1],MATCH(J22,CABaseline[Baseline],0))-((0.746*V22*(0.65/0.95))*INDEX(LightingWHF[Total Fan Run Hours],MATCH(M02S02F26,LightingWHF[Building/Space Type],0))*0.3))*(1+0.157),
IF(ISNUMBER(SEARCH("HVAC Pumps",C22)),(V22*0.65)/0.93*(IF(J22="Hot Water Pump",INDEX(LightingWHF[Heating Run Hours],MATCH(M02S02F26,LightingWHF[Building/Space Type],0)),INDEX(LightingWHF[Cooling Run Hours],MATCH(M02S02F26,LightingWHF[Building/Space Type],0))))*INDEX(CABaseline[Column1],MATCH(J22,CABaseline[Baseline],0)),
IF(ISNUMBER(SEARCH("Nozzle",C22)),(INDEX(PMECA[Base Desc 2],MATCH(C22,PMECA[Eff Desc 1]))*0.5)*INDEX(CABaseline[Column1],MATCH(J22,CABaseline[Baseline],0))*0.05*INDEX(CAShifts[Hours],MATCH(N22,CAShifts[Shift],0)),
IF(ISNUMBER(SEARCH("Tankless",C22)),V22*INDEX(PMECA[Savings per Unit kWh],MATCH(C22,PMECA[Eff Desc 1],0)),
IF(ISNUMBER(SEARCH("Pool",C22)),V22*INDEX(PMECA[Savings per Unit kWh],MATCH(C22,PMECA[Eff Desc 1],0)),
)))))))))))))),2))),"")</f>
        <v/>
      </c>
      <c r="AW22" s="1054" t="str">
        <f>IFERROR(IF(OR(C22="",J22="",N22="",V22="",X22="",AA22="",AC22=""),"",ROUND(
IF(OR(ISNUMBER(SEARCH("VSD on Air Compressor",C22)),ISNUMBER(SEARCH("Nozzle",C22)),ISNUMBER(SEARCH("Digital Scroll",C22)),ISNUMBER(SEARCH("Leak",C22)),ISNUMBER(SEARCH("VS Air Dryer",C22)),ISNUMBER(SEARCH("Thermal Mass",C22)),ISNUMBER(SEARCH("Heated Desiccant",C22)),ISNUMBER(SEARCH("Blower Purge",C22)),ISNUMBER(SEARCH("Drop Filter",C22))),AV22/(INDEX(CAShifts[Hours],MATCH(N22,CAShifts[Shift],0)))*(INDEX(CAShifts[CF],MATCH(N22,CAShifts[Shift],0))),
IF(ISNUMBER(SEARCH("Condensate Drains",C22)),AV22/(INDEX(CAShifts[Hours],MATCH(N22,CAShifts[Shift],0)))*0.95,
IF(ISNUMBER(SEARCH("VSD for HVAC Pumps",C22)),IF(ISNUMBER(SEARCH("Pump",J22)),0,(V22*0.65)/0.93*INDEX(PMECA[Base Desc 2],MATCH(C22,PMECA[Eff Desc 1],0))),
IF(ISNUMBER(SEARCH("HVAC Supply and Return",C22)),IF(((0.746*V22*(0.65/0.95))*INDEX(CABaseline[CFb (50-200HP)],MATCH(J22,CABaseline[Baseline],0))-((0.746*V22*(0.65/0.95))*1.01))*(1+0.157)&lt;0,0,(0.746*V22*(0.65/0.95))*INDEX(CABaseline[CFb (50-200HP)],MATCH(J22,CABaseline[Baseline],0))-((0.746*V22*(0.65/0.95))*1.01))*(1+0.157),
IF(OR(ISNUMBER(SEARCH("Pool",C22)),ISNUMBER(SEARCH("Tankless",C22))),V22*INDEX(PMECA[Savings per Unit kW],MATCH(C22,PMECA[Eff Desc 1],0)),
))))),3)),"")</f>
        <v/>
      </c>
      <c r="AX22" s="893" t="str">
        <f>IF(OR(C22="",J22="",AA22="",X22="",V22="",AC22=""),"",
IF(ISNUMBER(SEARCH("Leak",C22)),V22*INDEX(PMECA[Incremental Cost],MATCH(C22,PMECA[Eff Desc 1],0)),(127*V22)+1446))</f>
        <v/>
      </c>
      <c r="AY22" s="974" t="str">
        <f t="shared" ref="AY22" si="13">IF(OR(C22="",J22="",N22="",V22="",X22="",AA22="",AC22="",AI22="",AK22=""),"",IF(BC22&lt;&gt;"",BC22,IF(AV22=0,0,MIN(AU22,ROUND(V22*AI22,2)))))</f>
        <v/>
      </c>
      <c r="BC22" s="825" t="str">
        <f>IF(OR(J22="",N22="",C22="",V22="",X22="",AA22="",AE22="",AC22="",P22="",T22=""),"",IF(OR(ISBLANK(M02S02F26),ISBLANK(M02S02F32),ISBLANK(M02S02F46)),MEASUREBLDG,""))</f>
        <v/>
      </c>
      <c r="BE22" s="806" t="str">
        <f ca="1">IF(OR(C22="",J22="",N22="",P22="",T22="",V22="",AA22="",X22="",AC22=""),"",IF('M01-S01'!$V$82&lt;TODAY(),0,IF(M02S02F46="Gas Only",0,IF(OR(AK22="",AK22&lt;0,AU22&lt;=AO22),0,MIN(AU22-AO22,ROUND(AO22*0.2,2))))))</f>
        <v/>
      </c>
      <c r="BF22" s="806"/>
    </row>
    <row r="23" spans="2:58" ht="15.95" customHeight="1">
      <c r="B23" s="829"/>
      <c r="C23" s="835"/>
      <c r="D23" s="836"/>
      <c r="E23" s="836"/>
      <c r="F23" s="836"/>
      <c r="G23" s="836"/>
      <c r="H23" s="836"/>
      <c r="I23" s="837"/>
      <c r="J23" s="835"/>
      <c r="K23" s="836"/>
      <c r="L23" s="836"/>
      <c r="M23" s="837"/>
      <c r="N23" s="848"/>
      <c r="O23" s="849"/>
      <c r="P23" s="1034"/>
      <c r="Q23" s="1035"/>
      <c r="R23" s="1035"/>
      <c r="S23" s="1036"/>
      <c r="T23" s="1039"/>
      <c r="U23" s="1040"/>
      <c r="V23" s="848"/>
      <c r="W23" s="849"/>
      <c r="X23" s="835"/>
      <c r="Y23" s="836"/>
      <c r="Z23" s="837"/>
      <c r="AA23" s="946"/>
      <c r="AB23" s="939"/>
      <c r="AC23" s="939"/>
      <c r="AD23" s="940"/>
      <c r="AE23" s="1019"/>
      <c r="AF23" s="941"/>
      <c r="AG23" s="941"/>
      <c r="AH23" s="942"/>
      <c r="AI23" s="1024"/>
      <c r="AJ23" s="865"/>
      <c r="AK23" s="823"/>
      <c r="AL23" s="824"/>
      <c r="AM23" s="824"/>
      <c r="AN23" s="828"/>
      <c r="AO23" s="954"/>
      <c r="AP23" s="955"/>
      <c r="AQ23" s="955"/>
      <c r="AU23" s="809"/>
      <c r="AV23" s="975"/>
      <c r="AW23" s="996"/>
      <c r="AX23" s="809"/>
      <c r="AY23" s="975"/>
      <c r="BC23" s="826"/>
      <c r="BE23" s="807"/>
      <c r="BF23" s="807"/>
    </row>
    <row r="24" spans="2:58" ht="15.95" customHeight="1">
      <c r="B24" s="829">
        <v>5</v>
      </c>
      <c r="C24" s="866"/>
      <c r="D24" s="867"/>
      <c r="E24" s="867"/>
      <c r="F24" s="867"/>
      <c r="G24" s="867"/>
      <c r="H24" s="867"/>
      <c r="I24" s="868"/>
      <c r="J24" s="832"/>
      <c r="K24" s="833"/>
      <c r="L24" s="833"/>
      <c r="M24" s="834"/>
      <c r="N24" s="846"/>
      <c r="O24" s="847"/>
      <c r="P24" s="1031" t="str">
        <f>IFERROR(IF(C24="","",INDEX(PMECA[Eff Desc 2],MATCH(C24,PMECA[Eff Desc 1],0))),"")</f>
        <v/>
      </c>
      <c r="Q24" s="1032"/>
      <c r="R24" s="1032"/>
      <c r="S24" s="1033"/>
      <c r="T24" s="1037" t="str">
        <f>IFERROR(IF(C24="","",INDEX(PMECA[Unit of Measure],MATCH(C24,PMECA[Eff Desc 1],0))),"")</f>
        <v/>
      </c>
      <c r="U24" s="1038"/>
      <c r="V24" s="846"/>
      <c r="W24" s="847"/>
      <c r="X24" s="832"/>
      <c r="Y24" s="833"/>
      <c r="Z24" s="834"/>
      <c r="AA24" s="945"/>
      <c r="AB24" s="937"/>
      <c r="AC24" s="937"/>
      <c r="AD24" s="938"/>
      <c r="AE24" s="1016" t="str">
        <f>IFERROR(IF(C24="","",INDEX(PMECA[Base Desc 1],MATCH(C24,PMECA[Eff Desc 1],0))),"")</f>
        <v/>
      </c>
      <c r="AF24" s="1017"/>
      <c r="AG24" s="1017"/>
      <c r="AH24" s="1018"/>
      <c r="AI24" s="1023" t="str">
        <f>IFERROR(IF(C24="","",INDEX(PMECA[Inc Rate Unit],MATCH(C24,PMECA[Eff Desc 1],0))),"")</f>
        <v/>
      </c>
      <c r="AJ24" s="863"/>
      <c r="AK24" s="821" t="str">
        <f t="shared" ref="AK24" si="14">IFERROR(IF(OR(C24="",V24="",X24="",AA24="",J24="",N24="",AC24=""),"",AV24),"")</f>
        <v/>
      </c>
      <c r="AL24" s="822"/>
      <c r="AM24" s="822"/>
      <c r="AN24" s="827" t="str">
        <f t="shared" ref="AN24" si="15">IF(OR(C24="",V24="",X24="",AB24="",AE24="",AG24=""),"",IF(BC24&lt;&gt;"",BC24,MIN(AU24,ROUND(V24*AI24,2))))</f>
        <v/>
      </c>
      <c r="AO24" s="951" t="str">
        <f t="shared" ref="AO24" si="16">IFERROR(IF(OR(C24="",V24="",X24="",AA24="",J24="",N24="",AC24=""),"",AY24),"")</f>
        <v/>
      </c>
      <c r="AP24" s="952"/>
      <c r="AQ24" s="952"/>
      <c r="AU24" s="893" t="str">
        <f t="shared" ref="AU24" si="17">IF(OR(C24="",J24="",AA24="",X24="",V24="",AC24=""),"",ROUND((AA24+AC24),2))</f>
        <v/>
      </c>
      <c r="AV24" s="974" t="str">
        <f>IFERROR(IF(OR(C24="",J24="",N24="",V24="",X24="",AA24="",AC24=""),"",IF(BC24&lt;&gt;"",BC24,ROUND(
IF(ISNUMBER(SEARCH("VSD on Air Compressor",C24)),V24*0.9*(INDEX(CAShifts[Hours],MATCH(N24,CAShifts[Shift],0)))*
(IF(V24&lt;=40,(INDEX(CABaseline[CFb (≤ 40 HP)],MATCH(J24,CABaseline[Baseline],0))),(INDEX(CABaseline[CFb (50-200HP)],MATCH(J24,CABaseline[Baseline],0))))-IF(V24&lt;=40,0.705,0.658)),
IF(ISNUMBER(SEARCH("Leak",C24)),(V24*(J24*6.1*INDEX(CAShifts[Hours],MATCH(N24,CAShifts[Shift],0))*0.19*0.3/100)),
IF(ISNUMBER(SEARCH("Digital Scroll",C24)),(0.007*(INDEX(PMECA[Base Desc 2],MATCH(C24,PMECA[Eff Desc 1],0))-INDEX(PMECA[Base Watt],MATCH(C24,PMECA[Eff Desc 1],0)))*INDEX(CAShifts[Hours],MATCH(N24,CAShifts[Shift],0))*V24),
IF(ISNUMBER(SEARCH("VS Air Dryer",C24)),(0.007*(INDEX(PMECA[Base Desc 2],MATCH(C24,PMECA[Eff Desc 1],0))-INDEX(PMECA[Base Watt],MATCH(C24,PMECA[Eff Desc 1],0)))*INDEX(CAShifts[Hours],MATCH(N24,CAShifts[Shift],0))*V24),
IF(ISNUMBER(SEARCH("Thermal Mass",C24)),(0.007*(INDEX(PMECA[Base Desc 2],MATCH(C24,PMECA[Eff Desc 1],0))-INDEX(PMECA[Base Watt],MATCH(C24,PMECA[Eff Desc 1],0)))*INDEX(CAShifts[Hours],MATCH(N24,CAShifts[Shift],0))*V24),
IF(ISNUMBER(SEARCH("Heated Desiccant",C24)),(V24*((0.15*INDEX(CABaseline[Column1],MATCH(J24,CABaseline[Baseline],0)))-((INDEX(PMECA[Base Desc 2],MATCH(C24,PMECA[Eff Desc 1],0)))*INDEX(CABaseline[Column1],MATCH(J24,CABaseline[Baseline],0))+INDEX(PMECA[Base Watt],MATCH(C24,PMECA[Eff Desc 1],0))+INDEX(PMECA[Base Watt 2],MATCH(C24,PMECA[Eff Desc 1],0))))*INDEX(CAShifts[Hours],MATCH(N24,CAShifts[Shift],0))),
IF(ISNUMBER(SEARCH("Blower Purge",C24)),(V24*((0.15*INDEX(CABaseline[Column1],MATCH(J24,CABaseline[Baseline],0)))-((INDEX(PMECA[Base Desc 2],MATCH(C24,PMECA[Eff Desc 1],0)))*INDEX(CABaseline[Column1],MATCH(J24,CABaseline[Baseline],0))+INDEX(PMECA[Base Watt],MATCH(C24,PMECA[Eff Desc 1],0))+INDEX(PMECA[Base Watt 2],MATCH(C24,PMECA[Eff Desc 1],0))))*INDEX(CAShifts[Hours],MATCH(N24,CAShifts[Shift],0))),
IF(ISNUMBER(SEARCH("Drop Filter",C24)),(INDEX(CABaseline[Column1],MATCH(J24,CABaseline[Baseline],0))*2*0.005*INDEX(CAShifts[Hours],MATCH(N24,CAShifts[Shift],0))/100)*V24,
IF(ISNUMBER(SEARCH("Condensate Drains",C24)),V24*3*INDEX(CABaseline[Column1],MATCH(J24,CABaseline[Baseline],0))*INDEX(CAShifts[Hours],MATCH(N24,CAShifts[Shift],0)),
IF(ISNUMBER(SEARCH("HVAC Supply and Return",C24)),((0.746*V24*(0.65/0.95))*INDEX(LightingWHF[Total Fan Run Hours],MATCH(M02S02F26,LightingWHF[Building/Space Type],0))*INDEX(CABaseline[Column1],MATCH(J24,CABaseline[Baseline],0))-((0.746*V24*(0.65/0.95))*INDEX(LightingWHF[Total Fan Run Hours],MATCH(M02S02F26,LightingWHF[Building/Space Type],0))*0.3))*(1+0.157),
IF(ISNUMBER(SEARCH("HVAC Pumps",C24)),(V24*0.65)/0.93*(IF(J24="Hot Water Pump",INDEX(LightingWHF[Heating Run Hours],MATCH(M02S02F26,LightingWHF[Building/Space Type],0)),INDEX(LightingWHF[Cooling Run Hours],MATCH(M02S02F26,LightingWHF[Building/Space Type],0))))*INDEX(CABaseline[Column1],MATCH(J24,CABaseline[Baseline],0)),
IF(ISNUMBER(SEARCH("Nozzle",C24)),(INDEX(PMECA[Base Desc 2],MATCH(C24,PMECA[Eff Desc 1]))*0.5)*INDEX(CABaseline[Column1],MATCH(J24,CABaseline[Baseline],0))*0.05*INDEX(CAShifts[Hours],MATCH(N24,CAShifts[Shift],0)),
IF(ISNUMBER(SEARCH("Tankless",C24)),V24*INDEX(PMECA[Savings per Unit kWh],MATCH(C24,PMECA[Eff Desc 1],0)),
IF(ISNUMBER(SEARCH("Pool",C24)),V24*INDEX(PMECA[Savings per Unit kWh],MATCH(C24,PMECA[Eff Desc 1],0)),
)))))))))))))),2))),"")</f>
        <v/>
      </c>
      <c r="AW24" s="1054" t="str">
        <f>IFERROR(IF(OR(C24="",J24="",N24="",V24="",X24="",AA24="",AC24=""),"",ROUND(
IF(OR(ISNUMBER(SEARCH("VSD on Air Compressor",C24)),ISNUMBER(SEARCH("Nozzle",C24)),ISNUMBER(SEARCH("Digital Scroll",C24)),ISNUMBER(SEARCH("Leak",C24)),ISNUMBER(SEARCH("VS Air Dryer",C24)),ISNUMBER(SEARCH("Thermal Mass",C24)),ISNUMBER(SEARCH("Heated Desiccant",C24)),ISNUMBER(SEARCH("Blower Purge",C24)),ISNUMBER(SEARCH("Drop Filter",C24))),AV24/(INDEX(CAShifts[Hours],MATCH(N24,CAShifts[Shift],0)))*(INDEX(CAShifts[CF],MATCH(N24,CAShifts[Shift],0))),
IF(ISNUMBER(SEARCH("Condensate Drains",C24)),AV24/(INDEX(CAShifts[Hours],MATCH(N24,CAShifts[Shift],0)))*0.95,
IF(ISNUMBER(SEARCH("VSD for HVAC Pumps",C24)),IF(ISNUMBER(SEARCH("Pump",J24)),0,(V24*0.65)/0.93*INDEX(PMECA[Base Desc 2],MATCH(C24,PMECA[Eff Desc 1],0))),
IF(ISNUMBER(SEARCH("HVAC Supply and Return",C24)),IF(((0.746*V24*(0.65/0.95))*INDEX(CABaseline[CFb (50-200HP)],MATCH(J24,CABaseline[Baseline],0))-((0.746*V24*(0.65/0.95))*1.01))*(1+0.157)&lt;0,0,(0.746*V24*(0.65/0.95))*INDEX(CABaseline[CFb (50-200HP)],MATCH(J24,CABaseline[Baseline],0))-((0.746*V24*(0.65/0.95))*1.01))*(1+0.157),
IF(OR(ISNUMBER(SEARCH("Pool",C24)),ISNUMBER(SEARCH("Tankless",C24))),V24*INDEX(PMECA[Savings per Unit kW],MATCH(C24,PMECA[Eff Desc 1],0)),
))))),3)),"")</f>
        <v/>
      </c>
      <c r="AX24" s="893" t="str">
        <f>IF(OR(C24="",J24="",AA24="",X24="",V24="",AC24=""),"",
IF(ISNUMBER(SEARCH("Leak",C24)),V24*INDEX(PMECA[Incremental Cost],MATCH(C24,PMECA[Eff Desc 1],0)),(127*V24)+1446))</f>
        <v/>
      </c>
      <c r="AY24" s="974" t="str">
        <f t="shared" ref="AY24" si="18">IF(OR(C24="",J24="",N24="",V24="",X24="",AA24="",AC24="",AI24="",AK24=""),"",IF(BC24&lt;&gt;"",BC24,IF(AV24=0,0,MIN(AU24,ROUND(V24*AI24,2)))))</f>
        <v/>
      </c>
      <c r="BC24" s="825" t="str">
        <f>IF(OR(J24="",N24="",C24="",V24="",X24="",AA24="",AE24="",AC24="",P24="",T24=""),"",IF(OR(ISBLANK(M02S02F26),ISBLANK(M02S02F32),ISBLANK(M02S02F46)),MEASUREBLDG,""))</f>
        <v/>
      </c>
      <c r="BE24" s="806" t="str">
        <f ca="1">IF(OR(C24="",J24="",N24="",P24="",T24="",V24="",AA24="",X24="",AC24=""),"",IF('M01-S01'!$V$82&lt;TODAY(),0,IF(M02S02F46="Gas Only",0,IF(OR(AK24="",AK24&lt;0,AU24&lt;=AO24),0,MIN(AU24-AO24,ROUND(AO24*0.2,2))))))</f>
        <v/>
      </c>
      <c r="BF24" s="806"/>
    </row>
    <row r="25" spans="2:58" ht="15.95" customHeight="1">
      <c r="B25" s="829"/>
      <c r="C25" s="835"/>
      <c r="D25" s="836"/>
      <c r="E25" s="836"/>
      <c r="F25" s="836"/>
      <c r="G25" s="836"/>
      <c r="H25" s="836"/>
      <c r="I25" s="837"/>
      <c r="J25" s="835"/>
      <c r="K25" s="836"/>
      <c r="L25" s="836"/>
      <c r="M25" s="837"/>
      <c r="N25" s="848"/>
      <c r="O25" s="849"/>
      <c r="P25" s="1034"/>
      <c r="Q25" s="1035"/>
      <c r="R25" s="1035"/>
      <c r="S25" s="1036"/>
      <c r="T25" s="1039"/>
      <c r="U25" s="1040"/>
      <c r="V25" s="848"/>
      <c r="W25" s="849"/>
      <c r="X25" s="835"/>
      <c r="Y25" s="836"/>
      <c r="Z25" s="837"/>
      <c r="AA25" s="946"/>
      <c r="AB25" s="939"/>
      <c r="AC25" s="939"/>
      <c r="AD25" s="940"/>
      <c r="AE25" s="1019"/>
      <c r="AF25" s="941"/>
      <c r="AG25" s="941"/>
      <c r="AH25" s="942"/>
      <c r="AI25" s="1024"/>
      <c r="AJ25" s="865"/>
      <c r="AK25" s="823"/>
      <c r="AL25" s="824"/>
      <c r="AM25" s="824"/>
      <c r="AN25" s="828"/>
      <c r="AO25" s="954"/>
      <c r="AP25" s="955"/>
      <c r="AQ25" s="955"/>
      <c r="AU25" s="809"/>
      <c r="AV25" s="975"/>
      <c r="AW25" s="996"/>
      <c r="AX25" s="809"/>
      <c r="AY25" s="975"/>
      <c r="BC25" s="826"/>
      <c r="BE25" s="807"/>
      <c r="BF25" s="807"/>
    </row>
    <row r="26" spans="2:58" ht="15.95" customHeight="1">
      <c r="B26" s="829">
        <v>6</v>
      </c>
      <c r="C26" s="866"/>
      <c r="D26" s="867"/>
      <c r="E26" s="867"/>
      <c r="F26" s="867"/>
      <c r="G26" s="867"/>
      <c r="H26" s="867"/>
      <c r="I26" s="868"/>
      <c r="J26" s="832"/>
      <c r="K26" s="833"/>
      <c r="L26" s="833"/>
      <c r="M26" s="834"/>
      <c r="N26" s="846"/>
      <c r="O26" s="847"/>
      <c r="P26" s="1031" t="str">
        <f>IFERROR(IF(C26="","",INDEX(PMECA[Eff Desc 2],MATCH(C26,PMECA[Eff Desc 1],0))),"")</f>
        <v/>
      </c>
      <c r="Q26" s="1032"/>
      <c r="R26" s="1032"/>
      <c r="S26" s="1033"/>
      <c r="T26" s="1037" t="str">
        <f>IFERROR(IF(C26="","",INDEX(PMECA[Unit of Measure],MATCH(C26,PMECA[Eff Desc 1],0))),"")</f>
        <v/>
      </c>
      <c r="U26" s="1038"/>
      <c r="V26" s="846"/>
      <c r="W26" s="847"/>
      <c r="X26" s="832"/>
      <c r="Y26" s="833"/>
      <c r="Z26" s="834"/>
      <c r="AA26" s="945"/>
      <c r="AB26" s="937"/>
      <c r="AC26" s="937"/>
      <c r="AD26" s="938"/>
      <c r="AE26" s="1016" t="str">
        <f>IFERROR(IF(C26="","",INDEX(PMECA[Base Desc 1],MATCH(C26,PMECA[Eff Desc 1],0))),"")</f>
        <v/>
      </c>
      <c r="AF26" s="1017"/>
      <c r="AG26" s="1017"/>
      <c r="AH26" s="1018"/>
      <c r="AI26" s="1023" t="str">
        <f>IFERROR(IF(C26="","",INDEX(PMECA[Inc Rate Unit],MATCH(C26,PMECA[Eff Desc 1],0))),"")</f>
        <v/>
      </c>
      <c r="AJ26" s="863"/>
      <c r="AK26" s="821" t="str">
        <f t="shared" ref="AK26" si="19">IFERROR(IF(OR(C26="",V26="",X26="",AA26="",J26="",N26="",AC26=""),"",AV26),"")</f>
        <v/>
      </c>
      <c r="AL26" s="822"/>
      <c r="AM26" s="822"/>
      <c r="AN26" s="827" t="str">
        <f t="shared" ref="AN26" si="20">IF(OR(C26="",V26="",X26="",AB26="",AE26="",AG26=""),"",IF(BC26&lt;&gt;"",BC26,MIN(AU26,ROUND(V26*AI26,2))))</f>
        <v/>
      </c>
      <c r="AO26" s="951" t="str">
        <f t="shared" ref="AO26" si="21">IFERROR(IF(OR(C26="",V26="",X26="",AA26="",J26="",N26="",AC26=""),"",AY26),"")</f>
        <v/>
      </c>
      <c r="AP26" s="952"/>
      <c r="AQ26" s="952"/>
      <c r="AU26" s="893" t="str">
        <f t="shared" ref="AU26" si="22">IF(OR(C26="",J26="",AA26="",X26="",V26="",AC26=""),"",ROUND((AA26+AC26),2))</f>
        <v/>
      </c>
      <c r="AV26" s="974" t="str">
        <f>IFERROR(IF(OR(C26="",J26="",N26="",V26="",X26="",AA26="",AC26=""),"",IF(BC26&lt;&gt;"",BC26,ROUND(
IF(ISNUMBER(SEARCH("VSD on Air Compressor",C26)),V26*0.9*(INDEX(CAShifts[Hours],MATCH(N26,CAShifts[Shift],0)))*
(IF(V26&lt;=40,(INDEX(CABaseline[CFb (≤ 40 HP)],MATCH(J26,CABaseline[Baseline],0))),(INDEX(CABaseline[CFb (50-200HP)],MATCH(J26,CABaseline[Baseline],0))))-IF(V26&lt;=40,0.705,0.658)),
IF(ISNUMBER(SEARCH("Leak",C26)),(V26*(J26*6.1*INDEX(CAShifts[Hours],MATCH(N26,CAShifts[Shift],0))*0.19*0.3/100)),
IF(ISNUMBER(SEARCH("Digital Scroll",C26)),(0.007*(INDEX(PMECA[Base Desc 2],MATCH(C26,PMECA[Eff Desc 1],0))-INDEX(PMECA[Base Watt],MATCH(C26,PMECA[Eff Desc 1],0)))*INDEX(CAShifts[Hours],MATCH(N26,CAShifts[Shift],0))*V26),
IF(ISNUMBER(SEARCH("VS Air Dryer",C26)),(0.007*(INDEX(PMECA[Base Desc 2],MATCH(C26,PMECA[Eff Desc 1],0))-INDEX(PMECA[Base Watt],MATCH(C26,PMECA[Eff Desc 1],0)))*INDEX(CAShifts[Hours],MATCH(N26,CAShifts[Shift],0))*V26),
IF(ISNUMBER(SEARCH("Thermal Mass",C26)),(0.007*(INDEX(PMECA[Base Desc 2],MATCH(C26,PMECA[Eff Desc 1],0))-INDEX(PMECA[Base Watt],MATCH(C26,PMECA[Eff Desc 1],0)))*INDEX(CAShifts[Hours],MATCH(N26,CAShifts[Shift],0))*V26),
IF(ISNUMBER(SEARCH("Heated Desiccant",C26)),(V26*((0.15*INDEX(CABaseline[Column1],MATCH(J26,CABaseline[Baseline],0)))-((INDEX(PMECA[Base Desc 2],MATCH(C26,PMECA[Eff Desc 1],0)))*INDEX(CABaseline[Column1],MATCH(J26,CABaseline[Baseline],0))+INDEX(PMECA[Base Watt],MATCH(C26,PMECA[Eff Desc 1],0))+INDEX(PMECA[Base Watt 2],MATCH(C26,PMECA[Eff Desc 1],0))))*INDEX(CAShifts[Hours],MATCH(N26,CAShifts[Shift],0))),
IF(ISNUMBER(SEARCH("Blower Purge",C26)),(V26*((0.15*INDEX(CABaseline[Column1],MATCH(J26,CABaseline[Baseline],0)))-((INDEX(PMECA[Base Desc 2],MATCH(C26,PMECA[Eff Desc 1],0)))*INDEX(CABaseline[Column1],MATCH(J26,CABaseline[Baseline],0))+INDEX(PMECA[Base Watt],MATCH(C26,PMECA[Eff Desc 1],0))+INDEX(PMECA[Base Watt 2],MATCH(C26,PMECA[Eff Desc 1],0))))*INDEX(CAShifts[Hours],MATCH(N26,CAShifts[Shift],0))),
IF(ISNUMBER(SEARCH("Drop Filter",C26)),(INDEX(CABaseline[Column1],MATCH(J26,CABaseline[Baseline],0))*2*0.005*INDEX(CAShifts[Hours],MATCH(N26,CAShifts[Shift],0))/100)*V26,
IF(ISNUMBER(SEARCH("Condensate Drains",C26)),V26*3*INDEX(CABaseline[Column1],MATCH(J26,CABaseline[Baseline],0))*INDEX(CAShifts[Hours],MATCH(N26,CAShifts[Shift],0)),
IF(ISNUMBER(SEARCH("HVAC Supply and Return",C26)),((0.746*V26*(0.65/0.95))*INDEX(LightingWHF[Total Fan Run Hours],MATCH(M02S02F26,LightingWHF[Building/Space Type],0))*INDEX(CABaseline[Column1],MATCH(J26,CABaseline[Baseline],0))-((0.746*V26*(0.65/0.95))*INDEX(LightingWHF[Total Fan Run Hours],MATCH(M02S02F26,LightingWHF[Building/Space Type],0))*0.3))*(1+0.157),
IF(ISNUMBER(SEARCH("HVAC Pumps",C26)),(V26*0.65)/0.93*(IF(J26="Hot Water Pump",INDEX(LightingWHF[Heating Run Hours],MATCH(M02S02F26,LightingWHF[Building/Space Type],0)),INDEX(LightingWHF[Cooling Run Hours],MATCH(M02S02F26,LightingWHF[Building/Space Type],0))))*INDEX(CABaseline[Column1],MATCH(J26,CABaseline[Baseline],0)),
IF(ISNUMBER(SEARCH("Nozzle",C26)),(INDEX(PMECA[Base Desc 2],MATCH(C26,PMECA[Eff Desc 1]))*0.5)*INDEX(CABaseline[Column1],MATCH(J26,CABaseline[Baseline],0))*0.05*INDEX(CAShifts[Hours],MATCH(N26,CAShifts[Shift],0)),
IF(ISNUMBER(SEARCH("Tankless",C26)),V26*INDEX(PMECA[Savings per Unit kWh],MATCH(C26,PMECA[Eff Desc 1],0)),
IF(ISNUMBER(SEARCH("Pool",C26)),V26*INDEX(PMECA[Savings per Unit kWh],MATCH(C26,PMECA[Eff Desc 1],0)),
)))))))))))))),2))),"")</f>
        <v/>
      </c>
      <c r="AW26" s="1054" t="str">
        <f>IFERROR(IF(OR(C26="",J26="",N26="",V26="",X26="",AA26="",AC26=""),"",ROUND(
IF(OR(ISNUMBER(SEARCH("VSD on Air Compressor",C26)),ISNUMBER(SEARCH("Nozzle",C26)),ISNUMBER(SEARCH("Digital Scroll",C26)),ISNUMBER(SEARCH("Leak",C26)),ISNUMBER(SEARCH("VS Air Dryer",C26)),ISNUMBER(SEARCH("Thermal Mass",C26)),ISNUMBER(SEARCH("Heated Desiccant",C26)),ISNUMBER(SEARCH("Blower Purge",C26)),ISNUMBER(SEARCH("Drop Filter",C26))),AV26/(INDEX(CAShifts[Hours],MATCH(N26,CAShifts[Shift],0)))*(INDEX(CAShifts[CF],MATCH(N26,CAShifts[Shift],0))),
IF(ISNUMBER(SEARCH("Condensate Drains",C26)),AV26/(INDEX(CAShifts[Hours],MATCH(N26,CAShifts[Shift],0)))*0.95,
IF(ISNUMBER(SEARCH("VSD for HVAC Pumps",C26)),IF(ISNUMBER(SEARCH("Pump",J26)),0,(V26*0.65)/0.93*INDEX(PMECA[Base Desc 2],MATCH(C26,PMECA[Eff Desc 1],0))),
IF(ISNUMBER(SEARCH("HVAC Supply and Return",C26)),IF(((0.746*V26*(0.65/0.95))*INDEX(CABaseline[CFb (50-200HP)],MATCH(J26,CABaseline[Baseline],0))-((0.746*V26*(0.65/0.95))*1.01))*(1+0.157)&lt;0,0,(0.746*V26*(0.65/0.95))*INDEX(CABaseline[CFb (50-200HP)],MATCH(J26,CABaseline[Baseline],0))-((0.746*V26*(0.65/0.95))*1.01))*(1+0.157),
IF(OR(ISNUMBER(SEARCH("Pool",C26)),ISNUMBER(SEARCH("Tankless",C26))),V26*INDEX(PMECA[Savings per Unit kW],MATCH(C26,PMECA[Eff Desc 1],0)),
))))),3)),"")</f>
        <v/>
      </c>
      <c r="AX26" s="893" t="str">
        <f>IF(OR(C26="",J26="",AA26="",X26="",V26="",AC26=""),"",
IF(ISNUMBER(SEARCH("Leak",C26)),V26*INDEX(PMECA[Incremental Cost],MATCH(C26,PMECA[Eff Desc 1],0)),(127*V26)+1446))</f>
        <v/>
      </c>
      <c r="AY26" s="974" t="str">
        <f t="shared" ref="AY26" si="23">IF(OR(C26="",J26="",N26="",V26="",X26="",AA26="",AC26="",AI26="",AK26=""),"",IF(BC26&lt;&gt;"",BC26,IF(AV26=0,0,MIN(AU26,ROUND(V26*AI26,2)))))</f>
        <v/>
      </c>
      <c r="BC26" s="825" t="str">
        <f>IF(OR(J26="",N26="",C26="",V26="",X26="",AA26="",AE26="",AC26="",P26="",T26=""),"",IF(OR(ISBLANK(M02S02F26),ISBLANK(M02S02F32),ISBLANK(M02S02F46)),MEASUREBLDG,""))</f>
        <v/>
      </c>
      <c r="BE26" s="806" t="str">
        <f ca="1">IF(OR(C26="",J26="",N26="",P26="",T26="",V26="",AA26="",X26="",AC26=""),"",IF('M01-S01'!$V$82&lt;TODAY(),0,IF(M02S02F46="Gas Only",0,IF(OR(AK26="",AK26&lt;0,AU26&lt;=AO26),0,MIN(AU26-AO26,ROUND(AO26*0.2,2))))))</f>
        <v/>
      </c>
      <c r="BF26" s="806"/>
    </row>
    <row r="27" spans="2:58" ht="15.95" customHeight="1">
      <c r="B27" s="829"/>
      <c r="C27" s="835"/>
      <c r="D27" s="836"/>
      <c r="E27" s="836"/>
      <c r="F27" s="836"/>
      <c r="G27" s="836"/>
      <c r="H27" s="836"/>
      <c r="I27" s="837"/>
      <c r="J27" s="835"/>
      <c r="K27" s="836"/>
      <c r="L27" s="836"/>
      <c r="M27" s="837"/>
      <c r="N27" s="848"/>
      <c r="O27" s="849"/>
      <c r="P27" s="1034"/>
      <c r="Q27" s="1035"/>
      <c r="R27" s="1035"/>
      <c r="S27" s="1036"/>
      <c r="T27" s="1039"/>
      <c r="U27" s="1040"/>
      <c r="V27" s="848"/>
      <c r="W27" s="849"/>
      <c r="X27" s="835"/>
      <c r="Y27" s="836"/>
      <c r="Z27" s="837"/>
      <c r="AA27" s="946"/>
      <c r="AB27" s="939"/>
      <c r="AC27" s="939"/>
      <c r="AD27" s="940"/>
      <c r="AE27" s="1019"/>
      <c r="AF27" s="941"/>
      <c r="AG27" s="941"/>
      <c r="AH27" s="942"/>
      <c r="AI27" s="1024"/>
      <c r="AJ27" s="865"/>
      <c r="AK27" s="823"/>
      <c r="AL27" s="824"/>
      <c r="AM27" s="824"/>
      <c r="AN27" s="828"/>
      <c r="AO27" s="954"/>
      <c r="AP27" s="955"/>
      <c r="AQ27" s="955"/>
      <c r="AU27" s="809"/>
      <c r="AV27" s="975"/>
      <c r="AW27" s="996"/>
      <c r="AX27" s="809"/>
      <c r="AY27" s="975"/>
      <c r="BC27" s="826"/>
      <c r="BE27" s="807"/>
      <c r="BF27" s="807"/>
    </row>
    <row r="28" spans="2:58" ht="15.95" customHeight="1">
      <c r="B28" s="829">
        <v>7</v>
      </c>
      <c r="C28" s="866"/>
      <c r="D28" s="867"/>
      <c r="E28" s="867"/>
      <c r="F28" s="867"/>
      <c r="G28" s="867"/>
      <c r="H28" s="867"/>
      <c r="I28" s="868"/>
      <c r="J28" s="832"/>
      <c r="K28" s="833"/>
      <c r="L28" s="833"/>
      <c r="M28" s="834"/>
      <c r="N28" s="846"/>
      <c r="O28" s="847"/>
      <c r="P28" s="1031" t="str">
        <f>IFERROR(IF(C28="","",INDEX(PMECA[Eff Desc 2],MATCH(C28,PMECA[Eff Desc 1],0))),"")</f>
        <v/>
      </c>
      <c r="Q28" s="1032"/>
      <c r="R28" s="1032"/>
      <c r="S28" s="1033"/>
      <c r="T28" s="1037" t="str">
        <f>IFERROR(IF(C28="","",INDEX(PMECA[Unit of Measure],MATCH(C28,PMECA[Eff Desc 1],0))),"")</f>
        <v/>
      </c>
      <c r="U28" s="1038"/>
      <c r="V28" s="846"/>
      <c r="W28" s="847"/>
      <c r="X28" s="832"/>
      <c r="Y28" s="833"/>
      <c r="Z28" s="834"/>
      <c r="AA28" s="945"/>
      <c r="AB28" s="937"/>
      <c r="AC28" s="937"/>
      <c r="AD28" s="938"/>
      <c r="AE28" s="1016" t="str">
        <f>IFERROR(IF(C28="","",INDEX(PMECA[Base Desc 1],MATCH(C28,PMECA[Eff Desc 1],0))),"")</f>
        <v/>
      </c>
      <c r="AF28" s="1017"/>
      <c r="AG28" s="1017"/>
      <c r="AH28" s="1018"/>
      <c r="AI28" s="1023" t="str">
        <f>IFERROR(IF(C28="","",INDEX(PMECA[Inc Rate Unit],MATCH(C28,PMECA[Eff Desc 1],0))),"")</f>
        <v/>
      </c>
      <c r="AJ28" s="863"/>
      <c r="AK28" s="821" t="str">
        <f t="shared" ref="AK28" si="24">IFERROR(IF(OR(C28="",V28="",X28="",AA28="",J28="",N28="",AC28=""),"",AV28),"")</f>
        <v/>
      </c>
      <c r="AL28" s="822"/>
      <c r="AM28" s="822"/>
      <c r="AN28" s="827" t="str">
        <f t="shared" ref="AN28" si="25">IF(OR(C28="",V28="",X28="",AB28="",AE28="",AG28=""),"",IF(BC28&lt;&gt;"",BC28,MIN(AU28,ROUND(V28*AI28,2))))</f>
        <v/>
      </c>
      <c r="AO28" s="951" t="str">
        <f t="shared" ref="AO28" si="26">IFERROR(IF(OR(C28="",V28="",X28="",AA28="",J28="",N28="",AC28=""),"",AY28),"")</f>
        <v/>
      </c>
      <c r="AP28" s="952"/>
      <c r="AQ28" s="952"/>
      <c r="AU28" s="893" t="str">
        <f t="shared" ref="AU28" si="27">IF(OR(C28="",J28="",AA28="",X28="",V28="",AC28=""),"",ROUND((AA28+AC28),2))</f>
        <v/>
      </c>
      <c r="AV28" s="974" t="str">
        <f>IFERROR(IF(OR(C28="",J28="",N28="",V28="",X28="",AA28="",AC28=""),"",IF(BC28&lt;&gt;"",BC28,ROUND(
IF(ISNUMBER(SEARCH("VSD on Air Compressor",C28)),V28*0.9*(INDEX(CAShifts[Hours],MATCH(N28,CAShifts[Shift],0)))*
(IF(V28&lt;=40,(INDEX(CABaseline[CFb (≤ 40 HP)],MATCH(J28,CABaseline[Baseline],0))),(INDEX(CABaseline[CFb (50-200HP)],MATCH(J28,CABaseline[Baseline],0))))-IF(V28&lt;=40,0.705,0.658)),
IF(ISNUMBER(SEARCH("Leak",C28)),(V28*(J28*6.1*INDEX(CAShifts[Hours],MATCH(N28,CAShifts[Shift],0))*0.19*0.3/100)),
IF(ISNUMBER(SEARCH("Digital Scroll",C28)),(0.007*(INDEX(PMECA[Base Desc 2],MATCH(C28,PMECA[Eff Desc 1],0))-INDEX(PMECA[Base Watt],MATCH(C28,PMECA[Eff Desc 1],0)))*INDEX(CAShifts[Hours],MATCH(N28,CAShifts[Shift],0))*V28),
IF(ISNUMBER(SEARCH("VS Air Dryer",C28)),(0.007*(INDEX(PMECA[Base Desc 2],MATCH(C28,PMECA[Eff Desc 1],0))-INDEX(PMECA[Base Watt],MATCH(C28,PMECA[Eff Desc 1],0)))*INDEX(CAShifts[Hours],MATCH(N28,CAShifts[Shift],0))*V28),
IF(ISNUMBER(SEARCH("Thermal Mass",C28)),(0.007*(INDEX(PMECA[Base Desc 2],MATCH(C28,PMECA[Eff Desc 1],0))-INDEX(PMECA[Base Watt],MATCH(C28,PMECA[Eff Desc 1],0)))*INDEX(CAShifts[Hours],MATCH(N28,CAShifts[Shift],0))*V28),
IF(ISNUMBER(SEARCH("Heated Desiccant",C28)),(V28*((0.15*INDEX(CABaseline[Column1],MATCH(J28,CABaseline[Baseline],0)))-((INDEX(PMECA[Base Desc 2],MATCH(C28,PMECA[Eff Desc 1],0)))*INDEX(CABaseline[Column1],MATCH(J28,CABaseline[Baseline],0))+INDEX(PMECA[Base Watt],MATCH(C28,PMECA[Eff Desc 1],0))+INDEX(PMECA[Base Watt 2],MATCH(C28,PMECA[Eff Desc 1],0))))*INDEX(CAShifts[Hours],MATCH(N28,CAShifts[Shift],0))),
IF(ISNUMBER(SEARCH("Blower Purge",C28)),(V28*((0.15*INDEX(CABaseline[Column1],MATCH(J28,CABaseline[Baseline],0)))-((INDEX(PMECA[Base Desc 2],MATCH(C28,PMECA[Eff Desc 1],0)))*INDEX(CABaseline[Column1],MATCH(J28,CABaseline[Baseline],0))+INDEX(PMECA[Base Watt],MATCH(C28,PMECA[Eff Desc 1],0))+INDEX(PMECA[Base Watt 2],MATCH(C28,PMECA[Eff Desc 1],0))))*INDEX(CAShifts[Hours],MATCH(N28,CAShifts[Shift],0))),
IF(ISNUMBER(SEARCH("Drop Filter",C28)),(INDEX(CABaseline[Column1],MATCH(J28,CABaseline[Baseline],0))*2*0.005*INDEX(CAShifts[Hours],MATCH(N28,CAShifts[Shift],0))/100)*V28,
IF(ISNUMBER(SEARCH("Condensate Drains",C28)),V28*3*INDEX(CABaseline[Column1],MATCH(J28,CABaseline[Baseline],0))*INDEX(CAShifts[Hours],MATCH(N28,CAShifts[Shift],0)),
IF(ISNUMBER(SEARCH("HVAC Supply and Return",C28)),((0.746*V28*(0.65/0.95))*INDEX(LightingWHF[Total Fan Run Hours],MATCH(M02S02F26,LightingWHF[Building/Space Type],0))*INDEX(CABaseline[Column1],MATCH(J28,CABaseline[Baseline],0))-((0.746*V28*(0.65/0.95))*INDEX(LightingWHF[Total Fan Run Hours],MATCH(M02S02F26,LightingWHF[Building/Space Type],0))*0.3))*(1+0.157),
IF(ISNUMBER(SEARCH("HVAC Pumps",C28)),(V28*0.65)/0.93*(IF(J28="Hot Water Pump",INDEX(LightingWHF[Heating Run Hours],MATCH(M02S02F26,LightingWHF[Building/Space Type],0)),INDEX(LightingWHF[Cooling Run Hours],MATCH(M02S02F26,LightingWHF[Building/Space Type],0))))*INDEX(CABaseline[Column1],MATCH(J28,CABaseline[Baseline],0)),
IF(ISNUMBER(SEARCH("Nozzle",C28)),(INDEX(PMECA[Base Desc 2],MATCH(C28,PMECA[Eff Desc 1]))*0.5)*INDEX(CABaseline[Column1],MATCH(J28,CABaseline[Baseline],0))*0.05*INDEX(CAShifts[Hours],MATCH(N28,CAShifts[Shift],0)),
IF(ISNUMBER(SEARCH("Tankless",C28)),V28*INDEX(PMECA[Savings per Unit kWh],MATCH(C28,PMECA[Eff Desc 1],0)),
IF(ISNUMBER(SEARCH("Pool",C28)),V28*INDEX(PMECA[Savings per Unit kWh],MATCH(C28,PMECA[Eff Desc 1],0)),
)))))))))))))),2))),"")</f>
        <v/>
      </c>
      <c r="AW28" s="1054" t="str">
        <f>IFERROR(IF(OR(C28="",J28="",N28="",V28="",X28="",AA28="",AC28=""),"",ROUND(
IF(OR(ISNUMBER(SEARCH("VSD on Air Compressor",C28)),ISNUMBER(SEARCH("Nozzle",C28)),ISNUMBER(SEARCH("Digital Scroll",C28)),ISNUMBER(SEARCH("Leak",C28)),ISNUMBER(SEARCH("VS Air Dryer",C28)),ISNUMBER(SEARCH("Thermal Mass",C28)),ISNUMBER(SEARCH("Heated Desiccant",C28)),ISNUMBER(SEARCH("Blower Purge",C28)),ISNUMBER(SEARCH("Drop Filter",C28))),AV28/(INDEX(CAShifts[Hours],MATCH(N28,CAShifts[Shift],0)))*(INDEX(CAShifts[CF],MATCH(N28,CAShifts[Shift],0))),
IF(ISNUMBER(SEARCH("Condensate Drains",C28)),AV28/(INDEX(CAShifts[Hours],MATCH(N28,CAShifts[Shift],0)))*0.95,
IF(ISNUMBER(SEARCH("VSD for HVAC Pumps",C28)),IF(ISNUMBER(SEARCH("Pump",J28)),0,(V28*0.65)/0.93*INDEX(PMECA[Base Desc 2],MATCH(C28,PMECA[Eff Desc 1],0))),
IF(ISNUMBER(SEARCH("HVAC Supply and Return",C28)),IF(((0.746*V28*(0.65/0.95))*INDEX(CABaseline[CFb (50-200HP)],MATCH(J28,CABaseline[Baseline],0))-((0.746*V28*(0.65/0.95))*1.01))*(1+0.157)&lt;0,0,(0.746*V28*(0.65/0.95))*INDEX(CABaseline[CFb (50-200HP)],MATCH(J28,CABaseline[Baseline],0))-((0.746*V28*(0.65/0.95))*1.01))*(1+0.157),
IF(OR(ISNUMBER(SEARCH("Pool",C28)),ISNUMBER(SEARCH("Tankless",C28))),V28*INDEX(PMECA[Savings per Unit kW],MATCH(C28,PMECA[Eff Desc 1],0)),
))))),3)),"")</f>
        <v/>
      </c>
      <c r="AX28" s="893" t="str">
        <f>IF(OR(C28="",J28="",AA28="",X28="",V28="",AC28=""),"",
IF(ISNUMBER(SEARCH("Leak",C28)),V28*INDEX(PMECA[Incremental Cost],MATCH(C28,PMECA[Eff Desc 1],0)),(127*V28)+1446))</f>
        <v/>
      </c>
      <c r="AY28" s="974" t="str">
        <f t="shared" ref="AY28" si="28">IF(OR(C28="",J28="",N28="",V28="",X28="",AA28="",AC28="",AI28="",AK28=""),"",IF(BC28&lt;&gt;"",BC28,IF(AV28=0,0,MIN(AU28,ROUND(V28*AI28,2)))))</f>
        <v/>
      </c>
      <c r="BC28" s="825" t="str">
        <f>IF(OR(J28="",N28="",C28="",V28="",X28="",AA28="",AE28="",AC28="",P28="",T28=""),"",IF(OR(ISBLANK(M02S02F26),ISBLANK(M02S02F32),ISBLANK(M02S02F46)),MEASUREBLDG,""))</f>
        <v/>
      </c>
      <c r="BE28" s="806" t="str">
        <f ca="1">IF(OR(C28="",J28="",N28="",P28="",T28="",V28="",AA28="",X28="",AC28=""),"",IF('M01-S01'!$V$82&lt;TODAY(),0,IF(M02S02F46="Gas Only",0,IF(OR(AK28="",AK28&lt;0,AU28&lt;=AO28),0,MIN(AU28-AO28,ROUND(AO28*0.2,2))))))</f>
        <v/>
      </c>
      <c r="BF28" s="806"/>
    </row>
    <row r="29" spans="2:58" ht="15.95" customHeight="1">
      <c r="B29" s="829"/>
      <c r="C29" s="835"/>
      <c r="D29" s="836"/>
      <c r="E29" s="836"/>
      <c r="F29" s="836"/>
      <c r="G29" s="836"/>
      <c r="H29" s="836"/>
      <c r="I29" s="837"/>
      <c r="J29" s="835"/>
      <c r="K29" s="836"/>
      <c r="L29" s="836"/>
      <c r="M29" s="837"/>
      <c r="N29" s="848"/>
      <c r="O29" s="849"/>
      <c r="P29" s="1034"/>
      <c r="Q29" s="1035"/>
      <c r="R29" s="1035"/>
      <c r="S29" s="1036"/>
      <c r="T29" s="1039"/>
      <c r="U29" s="1040"/>
      <c r="V29" s="848"/>
      <c r="W29" s="849"/>
      <c r="X29" s="835"/>
      <c r="Y29" s="836"/>
      <c r="Z29" s="837"/>
      <c r="AA29" s="946"/>
      <c r="AB29" s="939"/>
      <c r="AC29" s="939"/>
      <c r="AD29" s="940"/>
      <c r="AE29" s="1019"/>
      <c r="AF29" s="941"/>
      <c r="AG29" s="941"/>
      <c r="AH29" s="942"/>
      <c r="AI29" s="1024"/>
      <c r="AJ29" s="865"/>
      <c r="AK29" s="823"/>
      <c r="AL29" s="824"/>
      <c r="AM29" s="824"/>
      <c r="AN29" s="828"/>
      <c r="AO29" s="954"/>
      <c r="AP29" s="955"/>
      <c r="AQ29" s="955"/>
      <c r="AU29" s="809"/>
      <c r="AV29" s="975"/>
      <c r="AW29" s="996"/>
      <c r="AX29" s="809"/>
      <c r="AY29" s="975"/>
      <c r="BC29" s="826"/>
      <c r="BE29" s="807"/>
      <c r="BF29" s="807"/>
    </row>
    <row r="30" spans="2:58" ht="15.95" customHeight="1">
      <c r="B30" s="829">
        <v>8</v>
      </c>
      <c r="C30" s="866"/>
      <c r="D30" s="867"/>
      <c r="E30" s="867"/>
      <c r="F30" s="867"/>
      <c r="G30" s="867"/>
      <c r="H30" s="867"/>
      <c r="I30" s="868"/>
      <c r="J30" s="832"/>
      <c r="K30" s="833"/>
      <c r="L30" s="833"/>
      <c r="M30" s="834"/>
      <c r="N30" s="846"/>
      <c r="O30" s="847"/>
      <c r="P30" s="1031" t="str">
        <f>IFERROR(IF(C30="","",INDEX(PMECA[Eff Desc 2],MATCH(C30,PMECA[Eff Desc 1],0))),"")</f>
        <v/>
      </c>
      <c r="Q30" s="1032"/>
      <c r="R30" s="1032"/>
      <c r="S30" s="1033"/>
      <c r="T30" s="1037" t="str">
        <f>IFERROR(IF(C30="","",INDEX(PMECA[Unit of Measure],MATCH(C30,PMECA[Eff Desc 1],0))),"")</f>
        <v/>
      </c>
      <c r="U30" s="1038"/>
      <c r="V30" s="846"/>
      <c r="W30" s="847"/>
      <c r="X30" s="832"/>
      <c r="Y30" s="833"/>
      <c r="Z30" s="834"/>
      <c r="AA30" s="945"/>
      <c r="AB30" s="937"/>
      <c r="AC30" s="937"/>
      <c r="AD30" s="938"/>
      <c r="AE30" s="1016" t="str">
        <f>IFERROR(IF(C30="","",INDEX(PMECA[Base Desc 1],MATCH(C30,PMECA[Eff Desc 1],0))),"")</f>
        <v/>
      </c>
      <c r="AF30" s="1017"/>
      <c r="AG30" s="1017"/>
      <c r="AH30" s="1018"/>
      <c r="AI30" s="1023" t="str">
        <f>IFERROR(IF(C30="","",INDEX(PMECA[Inc Rate Unit],MATCH(C30,PMECA[Eff Desc 1],0))),"")</f>
        <v/>
      </c>
      <c r="AJ30" s="863"/>
      <c r="AK30" s="821" t="str">
        <f t="shared" ref="AK30" si="29">IFERROR(IF(OR(C30="",V30="",X30="",AA30="",J30="",N30="",AC30=""),"",AV30),"")</f>
        <v/>
      </c>
      <c r="AL30" s="822"/>
      <c r="AM30" s="822"/>
      <c r="AN30" s="827" t="str">
        <f t="shared" ref="AN30" si="30">IF(OR(C30="",V30="",X30="",AB30="",AE30="",AG30=""),"",IF(BC30&lt;&gt;"",BC30,MIN(AU30,ROUND(V30*AI30,2))))</f>
        <v/>
      </c>
      <c r="AO30" s="951" t="str">
        <f t="shared" ref="AO30" si="31">IFERROR(IF(OR(C30="",V30="",X30="",AA30="",J30="",N30="",AC30=""),"",AY30),"")</f>
        <v/>
      </c>
      <c r="AP30" s="952"/>
      <c r="AQ30" s="952"/>
      <c r="AU30" s="893" t="str">
        <f t="shared" ref="AU30" si="32">IF(OR(C30="",J30="",AA30="",X30="",V30="",AC30=""),"",ROUND((AA30+AC30),2))</f>
        <v/>
      </c>
      <c r="AV30" s="974" t="str">
        <f>IFERROR(IF(OR(C30="",J30="",N30="",V30="",X30="",AA30="",AC30=""),"",IF(BC30&lt;&gt;"",BC30,ROUND(
IF(ISNUMBER(SEARCH("VSD on Air Compressor",C30)),V30*0.9*(INDEX(CAShifts[Hours],MATCH(N30,CAShifts[Shift],0)))*
(IF(V30&lt;=40,(INDEX(CABaseline[CFb (≤ 40 HP)],MATCH(J30,CABaseline[Baseline],0))),(INDEX(CABaseline[CFb (50-200HP)],MATCH(J30,CABaseline[Baseline],0))))-IF(V30&lt;=40,0.705,0.658)),
IF(ISNUMBER(SEARCH("Leak",C30)),(V30*(J30*6.1*INDEX(CAShifts[Hours],MATCH(N30,CAShifts[Shift],0))*0.19*0.3/100)),
IF(ISNUMBER(SEARCH("Digital Scroll",C30)),(0.007*(INDEX(PMECA[Base Desc 2],MATCH(C30,PMECA[Eff Desc 1],0))-INDEX(PMECA[Base Watt],MATCH(C30,PMECA[Eff Desc 1],0)))*INDEX(CAShifts[Hours],MATCH(N30,CAShifts[Shift],0))*V30),
IF(ISNUMBER(SEARCH("VS Air Dryer",C30)),(0.007*(INDEX(PMECA[Base Desc 2],MATCH(C30,PMECA[Eff Desc 1],0))-INDEX(PMECA[Base Watt],MATCH(C30,PMECA[Eff Desc 1],0)))*INDEX(CAShifts[Hours],MATCH(N30,CAShifts[Shift],0))*V30),
IF(ISNUMBER(SEARCH("Thermal Mass",C30)),(0.007*(INDEX(PMECA[Base Desc 2],MATCH(C30,PMECA[Eff Desc 1],0))-INDEX(PMECA[Base Watt],MATCH(C30,PMECA[Eff Desc 1],0)))*INDEX(CAShifts[Hours],MATCH(N30,CAShifts[Shift],0))*V30),
IF(ISNUMBER(SEARCH("Heated Desiccant",C30)),(V30*((0.15*INDEX(CABaseline[Column1],MATCH(J30,CABaseline[Baseline],0)))-((INDEX(PMECA[Base Desc 2],MATCH(C30,PMECA[Eff Desc 1],0)))*INDEX(CABaseline[Column1],MATCH(J30,CABaseline[Baseline],0))+INDEX(PMECA[Base Watt],MATCH(C30,PMECA[Eff Desc 1],0))+INDEX(PMECA[Base Watt 2],MATCH(C30,PMECA[Eff Desc 1],0))))*INDEX(CAShifts[Hours],MATCH(N30,CAShifts[Shift],0))),
IF(ISNUMBER(SEARCH("Blower Purge",C30)),(V30*((0.15*INDEX(CABaseline[Column1],MATCH(J30,CABaseline[Baseline],0)))-((INDEX(PMECA[Base Desc 2],MATCH(C30,PMECA[Eff Desc 1],0)))*INDEX(CABaseline[Column1],MATCH(J30,CABaseline[Baseline],0))+INDEX(PMECA[Base Watt],MATCH(C30,PMECA[Eff Desc 1],0))+INDEX(PMECA[Base Watt 2],MATCH(C30,PMECA[Eff Desc 1],0))))*INDEX(CAShifts[Hours],MATCH(N30,CAShifts[Shift],0))),
IF(ISNUMBER(SEARCH("Drop Filter",C30)),(INDEX(CABaseline[Column1],MATCH(J30,CABaseline[Baseline],0))*2*0.005*INDEX(CAShifts[Hours],MATCH(N30,CAShifts[Shift],0))/100)*V30,
IF(ISNUMBER(SEARCH("Condensate Drains",C30)),V30*3*INDEX(CABaseline[Column1],MATCH(J30,CABaseline[Baseline],0))*INDEX(CAShifts[Hours],MATCH(N30,CAShifts[Shift],0)),
IF(ISNUMBER(SEARCH("HVAC Supply and Return",C30)),((0.746*V30*(0.65/0.95))*INDEX(LightingWHF[Total Fan Run Hours],MATCH(M02S02F26,LightingWHF[Building/Space Type],0))*INDEX(CABaseline[Column1],MATCH(J30,CABaseline[Baseline],0))-((0.746*V30*(0.65/0.95))*INDEX(LightingWHF[Total Fan Run Hours],MATCH(M02S02F26,LightingWHF[Building/Space Type],0))*0.3))*(1+0.157),
IF(ISNUMBER(SEARCH("HVAC Pumps",C30)),(V30*0.65)/0.93*(IF(J30="Hot Water Pump",INDEX(LightingWHF[Heating Run Hours],MATCH(M02S02F26,LightingWHF[Building/Space Type],0)),INDEX(LightingWHF[Cooling Run Hours],MATCH(M02S02F26,LightingWHF[Building/Space Type],0))))*INDEX(CABaseline[Column1],MATCH(J30,CABaseline[Baseline],0)),
IF(ISNUMBER(SEARCH("Nozzle",C30)),(INDEX(PMECA[Base Desc 2],MATCH(C30,PMECA[Eff Desc 1]))*0.5)*INDEX(CABaseline[Column1],MATCH(J30,CABaseline[Baseline],0))*0.05*INDEX(CAShifts[Hours],MATCH(N30,CAShifts[Shift],0)),
IF(ISNUMBER(SEARCH("Tankless",C30)),V30*INDEX(PMECA[Savings per Unit kWh],MATCH(C30,PMECA[Eff Desc 1],0)),
IF(ISNUMBER(SEARCH("Pool",C30)),V30*INDEX(PMECA[Savings per Unit kWh],MATCH(C30,PMECA[Eff Desc 1],0)),
)))))))))))))),2))),"")</f>
        <v/>
      </c>
      <c r="AW30" s="1054" t="str">
        <f>IFERROR(IF(OR(C30="",J30="",N30="",V30="",X30="",AA30="",AC30=""),"",ROUND(
IF(OR(ISNUMBER(SEARCH("VSD on Air Compressor",C30)),ISNUMBER(SEARCH("Nozzle",C30)),ISNUMBER(SEARCH("Digital Scroll",C30)),ISNUMBER(SEARCH("Leak",C30)),ISNUMBER(SEARCH("VS Air Dryer",C30)),ISNUMBER(SEARCH("Thermal Mass",C30)),ISNUMBER(SEARCH("Heated Desiccant",C30)),ISNUMBER(SEARCH("Blower Purge",C30)),ISNUMBER(SEARCH("Drop Filter",C30))),AV30/(INDEX(CAShifts[Hours],MATCH(N30,CAShifts[Shift],0)))*(INDEX(CAShifts[CF],MATCH(N30,CAShifts[Shift],0))),
IF(ISNUMBER(SEARCH("Condensate Drains",C30)),AV30/(INDEX(CAShifts[Hours],MATCH(N30,CAShifts[Shift],0)))*0.95,
IF(ISNUMBER(SEARCH("VSD for HVAC Pumps",C30)),IF(ISNUMBER(SEARCH("Pump",J30)),0,(V30*0.65)/0.93*INDEX(PMECA[Base Desc 2],MATCH(C30,PMECA[Eff Desc 1],0))),
IF(ISNUMBER(SEARCH("HVAC Supply and Return",C30)),IF(((0.746*V30*(0.65/0.95))*INDEX(CABaseline[CFb (50-200HP)],MATCH(J30,CABaseline[Baseline],0))-((0.746*V30*(0.65/0.95))*1.01))*(1+0.157)&lt;0,0,(0.746*V30*(0.65/0.95))*INDEX(CABaseline[CFb (50-200HP)],MATCH(J30,CABaseline[Baseline],0))-((0.746*V30*(0.65/0.95))*1.01))*(1+0.157),
IF(OR(ISNUMBER(SEARCH("Pool",C30)),ISNUMBER(SEARCH("Tankless",C30))),V30*INDEX(PMECA[Savings per Unit kW],MATCH(C30,PMECA[Eff Desc 1],0)),
))))),3)),"")</f>
        <v/>
      </c>
      <c r="AX30" s="893" t="str">
        <f>IF(OR(C30="",J30="",AA30="",X30="",V30="",AC30=""),"",
IF(ISNUMBER(SEARCH("Leak",C30)),V30*INDEX(PMECA[Incremental Cost],MATCH(C30,PMECA[Eff Desc 1],0)),(127*V30)+1446))</f>
        <v/>
      </c>
      <c r="AY30" s="974" t="str">
        <f t="shared" ref="AY30" si="33">IF(OR(C30="",J30="",N30="",V30="",X30="",AA30="",AC30="",AI30="",AK30=""),"",IF(BC30&lt;&gt;"",BC30,IF(AV30=0,0,MIN(AU30,ROUND(V30*AI30,2)))))</f>
        <v/>
      </c>
      <c r="BC30" s="825" t="str">
        <f>IF(OR(J30="",N30="",C30="",V30="",X30="",AA30="",AE30="",AC30="",P30="",T30=""),"",IF(OR(ISBLANK(M02S02F26),ISBLANK(M02S02F32),ISBLANK(M02S02F46)),MEASUREBLDG,""))</f>
        <v/>
      </c>
      <c r="BE30" s="806" t="str">
        <f ca="1">IF(OR(C30="",J30="",N30="",P30="",T30="",V30="",AA30="",X30="",AC30=""),"",IF('M01-S01'!$V$82&lt;TODAY(),0,IF(M02S02F46="Gas Only",0,IF(OR(AK30="",AK30&lt;0,AU30&lt;=AO30),0,MIN(AU30-AO30,ROUND(AO30*0.2,2))))))</f>
        <v/>
      </c>
      <c r="BF30" s="806"/>
    </row>
    <row r="31" spans="2:58" ht="15.95" customHeight="1">
      <c r="B31" s="829"/>
      <c r="C31" s="835"/>
      <c r="D31" s="836"/>
      <c r="E31" s="836"/>
      <c r="F31" s="836"/>
      <c r="G31" s="836"/>
      <c r="H31" s="836"/>
      <c r="I31" s="837"/>
      <c r="J31" s="835"/>
      <c r="K31" s="836"/>
      <c r="L31" s="836"/>
      <c r="M31" s="837"/>
      <c r="N31" s="848"/>
      <c r="O31" s="849"/>
      <c r="P31" s="1034"/>
      <c r="Q31" s="1035"/>
      <c r="R31" s="1035"/>
      <c r="S31" s="1036"/>
      <c r="T31" s="1039"/>
      <c r="U31" s="1040"/>
      <c r="V31" s="848"/>
      <c r="W31" s="849"/>
      <c r="X31" s="835"/>
      <c r="Y31" s="836"/>
      <c r="Z31" s="837"/>
      <c r="AA31" s="946"/>
      <c r="AB31" s="939"/>
      <c r="AC31" s="939"/>
      <c r="AD31" s="940"/>
      <c r="AE31" s="1019"/>
      <c r="AF31" s="941"/>
      <c r="AG31" s="941"/>
      <c r="AH31" s="942"/>
      <c r="AI31" s="1024"/>
      <c r="AJ31" s="865"/>
      <c r="AK31" s="823"/>
      <c r="AL31" s="824"/>
      <c r="AM31" s="824"/>
      <c r="AN31" s="828"/>
      <c r="AO31" s="954"/>
      <c r="AP31" s="955"/>
      <c r="AQ31" s="955"/>
      <c r="AU31" s="809"/>
      <c r="AV31" s="975"/>
      <c r="AW31" s="996"/>
      <c r="AX31" s="809"/>
      <c r="AY31" s="975"/>
      <c r="BC31" s="826"/>
      <c r="BE31" s="807"/>
      <c r="BF31" s="807"/>
    </row>
    <row r="32" spans="2:58" ht="15.95" customHeight="1">
      <c r="B32" s="829">
        <v>9</v>
      </c>
      <c r="C32" s="866"/>
      <c r="D32" s="867"/>
      <c r="E32" s="867"/>
      <c r="F32" s="867"/>
      <c r="G32" s="867"/>
      <c r="H32" s="867"/>
      <c r="I32" s="868"/>
      <c r="J32" s="832"/>
      <c r="K32" s="833"/>
      <c r="L32" s="833"/>
      <c r="M32" s="834"/>
      <c r="N32" s="846"/>
      <c r="O32" s="847"/>
      <c r="P32" s="1031" t="str">
        <f>IFERROR(IF(C32="","",INDEX(PMECA[Eff Desc 2],MATCH(C32,PMECA[Eff Desc 1],0))),"")</f>
        <v/>
      </c>
      <c r="Q32" s="1032"/>
      <c r="R32" s="1032"/>
      <c r="S32" s="1033"/>
      <c r="T32" s="1037" t="str">
        <f>IFERROR(IF(C32="","",INDEX(PMECA[Unit of Measure],MATCH(C32,PMECA[Eff Desc 1],0))),"")</f>
        <v/>
      </c>
      <c r="U32" s="1038"/>
      <c r="V32" s="846"/>
      <c r="W32" s="847"/>
      <c r="X32" s="832"/>
      <c r="Y32" s="833"/>
      <c r="Z32" s="834"/>
      <c r="AA32" s="945"/>
      <c r="AB32" s="937"/>
      <c r="AC32" s="937"/>
      <c r="AD32" s="938"/>
      <c r="AE32" s="941" t="str">
        <f>IFERROR(IF(C32="","",INDEX(PMECA[Base Desc 1],MATCH(C32,PMECA[Eff Desc 1],0))),"")</f>
        <v/>
      </c>
      <c r="AF32" s="941"/>
      <c r="AG32" s="941"/>
      <c r="AH32" s="942"/>
      <c r="AI32" s="917" t="str">
        <f>IFERROR(IF(C32="","",INDEX(PMECA[Inc Rate Unit],MATCH(C32,PMECA[Eff Desc 1],0))),"")</f>
        <v/>
      </c>
      <c r="AJ32" s="918"/>
      <c r="AK32" s="821" t="str">
        <f t="shared" ref="AK32" si="34">IFERROR(IF(OR(C32="",V32="",X32="",AA32="",J32="",N32="",AC32=""),"",AV32),"")</f>
        <v/>
      </c>
      <c r="AL32" s="822"/>
      <c r="AM32" s="822"/>
      <c r="AN32" s="827" t="str">
        <f t="shared" ref="AN32" si="35">IF(OR(C32="",V32="",X32="",AB32="",AE32="",AG32=""),"",IF(BC32&lt;&gt;"",BC32,MIN(AU32,ROUND(V32*AI32,2))))</f>
        <v/>
      </c>
      <c r="AO32" s="951" t="str">
        <f t="shared" ref="AO32" si="36">IFERROR(IF(OR(C32="",V32="",X32="",AA32="",J32="",N32="",AC32=""),"",AY32),"")</f>
        <v/>
      </c>
      <c r="AP32" s="952"/>
      <c r="AQ32" s="952"/>
      <c r="AU32" s="893" t="str">
        <f t="shared" ref="AU32" si="37">IF(OR(C32="",J32="",AA32="",X32="",V32="",AC32=""),"",ROUND((AA32+AC32),2))</f>
        <v/>
      </c>
      <c r="AV32" s="974" t="str">
        <f>IFERROR(IF(OR(C32="",J32="",N32="",V32="",X32="",AA32="",AC32=""),"",IF(BC32&lt;&gt;"",BC32,ROUND(
IF(ISNUMBER(SEARCH("VSD on Air Compressor",C32)),V32*0.9*(INDEX(CAShifts[Hours],MATCH(N32,CAShifts[Shift],0)))*
(IF(V32&lt;=40,(INDEX(CABaseline[CFb (≤ 40 HP)],MATCH(J32,CABaseline[Baseline],0))),(INDEX(CABaseline[CFb (50-200HP)],MATCH(J32,CABaseline[Baseline],0))))-IF(V32&lt;=40,0.705,0.658)),
IF(ISNUMBER(SEARCH("Leak",C32)),(V32*(J32*6.1*INDEX(CAShifts[Hours],MATCH(N32,CAShifts[Shift],0))*0.19*0.3/100)),
IF(ISNUMBER(SEARCH("Digital Scroll",C32)),(0.007*(INDEX(PMECA[Base Desc 2],MATCH(C32,PMECA[Eff Desc 1],0))-INDEX(PMECA[Base Watt],MATCH(C32,PMECA[Eff Desc 1],0)))*INDEX(CAShifts[Hours],MATCH(N32,CAShifts[Shift],0))*V32),
IF(ISNUMBER(SEARCH("VS Air Dryer",C32)),(0.007*(INDEX(PMECA[Base Desc 2],MATCH(C32,PMECA[Eff Desc 1],0))-INDEX(PMECA[Base Watt],MATCH(C32,PMECA[Eff Desc 1],0)))*INDEX(CAShifts[Hours],MATCH(N32,CAShifts[Shift],0))*V32),
IF(ISNUMBER(SEARCH("Thermal Mass",C32)),(0.007*(INDEX(PMECA[Base Desc 2],MATCH(C32,PMECA[Eff Desc 1],0))-INDEX(PMECA[Base Watt],MATCH(C32,PMECA[Eff Desc 1],0)))*INDEX(CAShifts[Hours],MATCH(N32,CAShifts[Shift],0))*V32),
IF(ISNUMBER(SEARCH("Heated Desiccant",C32)),(V32*((0.15*INDEX(CABaseline[Column1],MATCH(J32,CABaseline[Baseline],0)))-((INDEX(PMECA[Base Desc 2],MATCH(C32,PMECA[Eff Desc 1],0)))*INDEX(CABaseline[Column1],MATCH(J32,CABaseline[Baseline],0))+INDEX(PMECA[Base Watt],MATCH(C32,PMECA[Eff Desc 1],0))+INDEX(PMECA[Base Watt 2],MATCH(C32,PMECA[Eff Desc 1],0))))*INDEX(CAShifts[Hours],MATCH(N32,CAShifts[Shift],0))),
IF(ISNUMBER(SEARCH("Blower Purge",C32)),(V32*((0.15*INDEX(CABaseline[Column1],MATCH(J32,CABaseline[Baseline],0)))-((INDEX(PMECA[Base Desc 2],MATCH(C32,PMECA[Eff Desc 1],0)))*INDEX(CABaseline[Column1],MATCH(J32,CABaseline[Baseline],0))+INDEX(PMECA[Base Watt],MATCH(C32,PMECA[Eff Desc 1],0))+INDEX(PMECA[Base Watt 2],MATCH(C32,PMECA[Eff Desc 1],0))))*INDEX(CAShifts[Hours],MATCH(N32,CAShifts[Shift],0))),
IF(ISNUMBER(SEARCH("Drop Filter",C32)),(INDEX(CABaseline[Column1],MATCH(J32,CABaseline[Baseline],0))*2*0.005*INDEX(CAShifts[Hours],MATCH(N32,CAShifts[Shift],0))/100)*V32,
IF(ISNUMBER(SEARCH("Condensate Drains",C32)),V32*3*INDEX(CABaseline[Column1],MATCH(J32,CABaseline[Baseline],0))*INDEX(CAShifts[Hours],MATCH(N32,CAShifts[Shift],0)),
IF(ISNUMBER(SEARCH("HVAC Supply and Return",C32)),((0.746*V32*(0.65/0.95))*INDEX(LightingWHF[Total Fan Run Hours],MATCH(M02S02F26,LightingWHF[Building/Space Type],0))*INDEX(CABaseline[Column1],MATCH(J32,CABaseline[Baseline],0))-((0.746*V32*(0.65/0.95))*INDEX(LightingWHF[Total Fan Run Hours],MATCH(M02S02F26,LightingWHF[Building/Space Type],0))*0.3))*(1+0.157),
IF(ISNUMBER(SEARCH("HVAC Pumps",C32)),(V32*0.65)/0.93*(IF(J32="Hot Water Pump",INDEX(LightingWHF[Heating Run Hours],MATCH(M02S02F26,LightingWHF[Building/Space Type],0)),INDEX(LightingWHF[Cooling Run Hours],MATCH(M02S02F26,LightingWHF[Building/Space Type],0))))*INDEX(CABaseline[Column1],MATCH(J32,CABaseline[Baseline],0)),
IF(ISNUMBER(SEARCH("Nozzle",C32)),(INDEX(PMECA[Base Desc 2],MATCH(C32,PMECA[Eff Desc 1]))*0.5)*INDEX(CABaseline[Column1],MATCH(J32,CABaseline[Baseline],0))*0.05*INDEX(CAShifts[Hours],MATCH(N32,CAShifts[Shift],0)),
IF(ISNUMBER(SEARCH("Tankless",C32)),V32*INDEX(PMECA[Savings per Unit kWh],MATCH(C32,PMECA[Eff Desc 1],0)),
IF(ISNUMBER(SEARCH("Pool",C32)),V32*INDEX(PMECA[Savings per Unit kWh],MATCH(C32,PMECA[Eff Desc 1],0)),
)))))))))))))),2))),"")</f>
        <v/>
      </c>
      <c r="AW32" s="1054" t="str">
        <f>IFERROR(IF(OR(C32="",J32="",N32="",V32="",X32="",AA32="",AC32=""),"",ROUND(
IF(OR(ISNUMBER(SEARCH("VSD on Air Compressor",C32)),ISNUMBER(SEARCH("Nozzle",C32)),ISNUMBER(SEARCH("Digital Scroll",C32)),ISNUMBER(SEARCH("Leak",C32)),ISNUMBER(SEARCH("VS Air Dryer",C32)),ISNUMBER(SEARCH("Thermal Mass",C32)),ISNUMBER(SEARCH("Heated Desiccant",C32)),ISNUMBER(SEARCH("Blower Purge",C32)),ISNUMBER(SEARCH("Drop Filter",C32))),AV32/(INDEX(CAShifts[Hours],MATCH(N32,CAShifts[Shift],0)))*(INDEX(CAShifts[CF],MATCH(N32,CAShifts[Shift],0))),
IF(ISNUMBER(SEARCH("Condensate Drains",C32)),AV32/(INDEX(CAShifts[Hours],MATCH(N32,CAShifts[Shift],0)))*0.95,
IF(ISNUMBER(SEARCH("VSD for HVAC Pumps",C32)),IF(ISNUMBER(SEARCH("Pump",J32)),0,(V32*0.65)/0.93*INDEX(PMECA[Base Desc 2],MATCH(C32,PMECA[Eff Desc 1],0))),
IF(ISNUMBER(SEARCH("HVAC Supply and Return",C32)),IF(((0.746*V32*(0.65/0.95))*INDEX(CABaseline[CFb (50-200HP)],MATCH(J32,CABaseline[Baseline],0))-((0.746*V32*(0.65/0.95))*1.01))*(1+0.157)&lt;0,0,(0.746*V32*(0.65/0.95))*INDEX(CABaseline[CFb (50-200HP)],MATCH(J32,CABaseline[Baseline],0))-((0.746*V32*(0.65/0.95))*1.01))*(1+0.157),
IF(OR(ISNUMBER(SEARCH("Pool",C32)),ISNUMBER(SEARCH("Tankless",C32))),V32*INDEX(PMECA[Savings per Unit kW],MATCH(C32,PMECA[Eff Desc 1],0)),
))))),3)),"")</f>
        <v/>
      </c>
      <c r="AX32" s="808" t="str">
        <f>IF(OR(C32="",J32="",AA32="",X32="",V32="",AC32=""),"",
IF(ISNUMBER(SEARCH("Leak",C32)),V32*INDEX(PMECA[Incremental Cost],MATCH(C32,PMECA[Eff Desc 1],0)),(127*V32)+1446))</f>
        <v/>
      </c>
      <c r="AY32" s="974" t="str">
        <f t="shared" ref="AY32" si="38">IF(OR(C32="",J32="",N32="",V32="",X32="",AA32="",AC32="",AI32="",AK32=""),"",IF(BC32&lt;&gt;"",BC32,MIN(AU32,ROUND(V32*AI32,2))))</f>
        <v/>
      </c>
      <c r="BC32" s="825" t="str">
        <f>IF(OR(J32="",N32="",C32="",V32="",X32="",AA32="",AE32="",AC32="",P32="",T32=""),"",IF(OR(ISBLANK(M02S02F26),ISBLANK(M02S02F32),ISBLANK(M02S02F46)),MEASUREBLDG,""))</f>
        <v/>
      </c>
      <c r="BE32" s="806" t="str">
        <f ca="1">IF(OR(C32="",J32="",N32="",P32="",T32="",V32="",AA32="",X32="",AC32=""),"",IF('M01-S01'!$V$82&lt;TODAY(),0,IF(M02S02F46="Gas Only",0,IF(OR(AK32="",AK32&lt;0,AU32&lt;=AO32),0,MIN(AU32-AO32,ROUND(AO32*0.2,2))))))</f>
        <v/>
      </c>
      <c r="BF32" s="806"/>
    </row>
    <row r="33" spans="2:58" ht="15.95" customHeight="1">
      <c r="B33" s="829"/>
      <c r="C33" s="835"/>
      <c r="D33" s="836"/>
      <c r="E33" s="836"/>
      <c r="F33" s="836"/>
      <c r="G33" s="836"/>
      <c r="H33" s="836"/>
      <c r="I33" s="837"/>
      <c r="J33" s="835"/>
      <c r="K33" s="836"/>
      <c r="L33" s="836"/>
      <c r="M33" s="837"/>
      <c r="N33" s="848"/>
      <c r="O33" s="849"/>
      <c r="P33" s="1034"/>
      <c r="Q33" s="1035"/>
      <c r="R33" s="1035"/>
      <c r="S33" s="1036"/>
      <c r="T33" s="1039"/>
      <c r="U33" s="1040"/>
      <c r="V33" s="848"/>
      <c r="W33" s="849"/>
      <c r="X33" s="835"/>
      <c r="Y33" s="836"/>
      <c r="Z33" s="837"/>
      <c r="AA33" s="946"/>
      <c r="AB33" s="939"/>
      <c r="AC33" s="939"/>
      <c r="AD33" s="940"/>
      <c r="AE33" s="943"/>
      <c r="AF33" s="943"/>
      <c r="AG33" s="943"/>
      <c r="AH33" s="944"/>
      <c r="AI33" s="919"/>
      <c r="AJ33" s="865"/>
      <c r="AK33" s="823"/>
      <c r="AL33" s="824"/>
      <c r="AM33" s="824"/>
      <c r="AN33" s="828"/>
      <c r="AO33" s="954"/>
      <c r="AP33" s="955"/>
      <c r="AQ33" s="955"/>
      <c r="AU33" s="809"/>
      <c r="AV33" s="975"/>
      <c r="AW33" s="996"/>
      <c r="AX33" s="809"/>
      <c r="AY33" s="975"/>
      <c r="BC33" s="826"/>
      <c r="BE33" s="807"/>
      <c r="BF33" s="807"/>
    </row>
    <row r="34" spans="2:58" ht="15.95" customHeight="1">
      <c r="C34" s="1008" t="s">
        <v>2419</v>
      </c>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09"/>
      <c r="AB34" s="1009"/>
      <c r="AC34" s="1009"/>
      <c r="AD34" s="1009"/>
      <c r="AE34" s="1009"/>
      <c r="AF34" s="1009"/>
      <c r="AG34" s="1009"/>
      <c r="AH34" s="1009"/>
      <c r="AI34" s="1009"/>
      <c r="AJ34" s="1009"/>
      <c r="AK34" s="1009"/>
      <c r="AL34" s="1009"/>
      <c r="AM34" s="1009"/>
      <c r="AN34" s="1009"/>
      <c r="AO34" s="1009"/>
      <c r="AP34" s="1009"/>
      <c r="AQ34" s="1009"/>
      <c r="AU34"/>
      <c r="AV34"/>
      <c r="AW34"/>
      <c r="AX34"/>
      <c r="AY34"/>
      <c r="AZ34"/>
      <c r="BA34"/>
      <c r="BB34"/>
      <c r="BC34"/>
      <c r="BE34"/>
    </row>
    <row r="35" spans="2:58" ht="15.95" customHeight="1">
      <c r="C35" s="1010"/>
      <c r="D35" s="1011"/>
      <c r="E35" s="1011"/>
      <c r="F35" s="1011"/>
      <c r="G35" s="1011"/>
      <c r="H35" s="1011"/>
      <c r="I35" s="1011"/>
      <c r="J35" s="1011"/>
      <c r="K35" s="1011"/>
      <c r="L35" s="1011"/>
      <c r="M35" s="1011"/>
      <c r="N35" s="1011"/>
      <c r="O35" s="1011"/>
      <c r="P35" s="1011"/>
      <c r="Q35" s="1011"/>
      <c r="R35" s="1011"/>
      <c r="S35" s="1011"/>
      <c r="T35" s="1011"/>
      <c r="U35" s="1011"/>
      <c r="V35" s="1011"/>
      <c r="W35" s="1011"/>
      <c r="X35" s="1011"/>
      <c r="Y35" s="1011"/>
      <c r="Z35" s="1011"/>
      <c r="AA35" s="1011"/>
      <c r="AB35" s="1011"/>
      <c r="AC35" s="1011"/>
      <c r="AD35" s="1011"/>
      <c r="AE35" s="1011"/>
      <c r="AF35" s="1011"/>
      <c r="AG35" s="1011"/>
      <c r="AH35" s="1011"/>
      <c r="AI35" s="1011"/>
      <c r="AJ35" s="1011"/>
      <c r="AK35" s="1011"/>
      <c r="AL35" s="1011"/>
      <c r="AM35" s="1011"/>
      <c r="AN35" s="1011"/>
      <c r="AO35" s="1011"/>
      <c r="AP35" s="1011"/>
      <c r="AQ35" s="1011"/>
      <c r="AU35"/>
      <c r="AV35"/>
      <c r="AW35"/>
      <c r="AX35"/>
      <c r="AY35"/>
      <c r="AZ35"/>
      <c r="BA35"/>
      <c r="BB35"/>
      <c r="BC35"/>
      <c r="BE35"/>
    </row>
    <row r="36" spans="2:58" ht="15.95" customHeight="1">
      <c r="C36" s="804" t="s">
        <v>99</v>
      </c>
      <c r="D36" s="804"/>
      <c r="E36" s="804"/>
      <c r="F36" s="804"/>
      <c r="G36" s="804"/>
      <c r="H36" s="804"/>
      <c r="I36" s="804"/>
      <c r="J36" s="1042" t="s">
        <v>2420</v>
      </c>
      <c r="K36" s="1042"/>
      <c r="L36" s="1042"/>
      <c r="M36" s="1042"/>
      <c r="N36" s="1044" t="s">
        <v>1622</v>
      </c>
      <c r="O36" s="1044"/>
      <c r="P36" s="473"/>
      <c r="Q36" s="473"/>
      <c r="R36" s="473"/>
      <c r="S36" s="473"/>
      <c r="T36" s="804" t="s">
        <v>100</v>
      </c>
      <c r="U36" s="804"/>
      <c r="V36" s="470"/>
      <c r="W36" s="470"/>
      <c r="X36" s="1045" t="s">
        <v>1586</v>
      </c>
      <c r="Y36" s="1045"/>
      <c r="Z36" s="1045"/>
      <c r="AA36" s="982" t="s">
        <v>1587</v>
      </c>
      <c r="AB36" s="982"/>
      <c r="AC36" s="982"/>
      <c r="AD36" s="982"/>
      <c r="AE36" s="1047" t="s">
        <v>1588</v>
      </c>
      <c r="AF36" s="1047"/>
      <c r="AG36" s="1047"/>
      <c r="AH36" s="1047"/>
      <c r="AI36" s="804" t="s">
        <v>93</v>
      </c>
      <c r="AJ36" s="804"/>
      <c r="AK36" s="804" t="s">
        <v>92</v>
      </c>
      <c r="AL36" s="804"/>
      <c r="AM36" s="804"/>
      <c r="AN36" s="804"/>
      <c r="AO36" s="804" t="s">
        <v>1589</v>
      </c>
      <c r="AP36" s="804"/>
      <c r="AQ36" s="804"/>
      <c r="AU36"/>
      <c r="AV36"/>
      <c r="AW36"/>
      <c r="AX36"/>
      <c r="AY36"/>
      <c r="AZ36"/>
      <c r="BA36"/>
      <c r="BB36"/>
      <c r="BC36"/>
      <c r="BE36"/>
    </row>
    <row r="37" spans="2:58" ht="15.95" customHeight="1" thickBot="1">
      <c r="C37" s="805"/>
      <c r="D37" s="805"/>
      <c r="E37" s="805"/>
      <c r="F37" s="805"/>
      <c r="G37" s="805"/>
      <c r="H37" s="805"/>
      <c r="I37" s="805"/>
      <c r="J37" s="1043"/>
      <c r="K37" s="1043"/>
      <c r="L37" s="1043"/>
      <c r="M37" s="1043"/>
      <c r="N37" s="983"/>
      <c r="O37" s="983"/>
      <c r="P37" s="1014" t="s">
        <v>1590</v>
      </c>
      <c r="Q37" s="1014"/>
      <c r="R37" s="1014"/>
      <c r="S37" s="1014"/>
      <c r="T37" s="805"/>
      <c r="U37" s="805"/>
      <c r="V37" s="1015" t="s">
        <v>1603</v>
      </c>
      <c r="W37" s="1015"/>
      <c r="X37" s="1046"/>
      <c r="Y37" s="1046"/>
      <c r="Z37" s="1046"/>
      <c r="AA37" s="983" t="s">
        <v>110</v>
      </c>
      <c r="AB37" s="983"/>
      <c r="AC37" s="983" t="s">
        <v>111</v>
      </c>
      <c r="AD37" s="983"/>
      <c r="AE37" s="1046"/>
      <c r="AF37" s="1046"/>
      <c r="AG37" s="1046"/>
      <c r="AH37" s="1046"/>
      <c r="AI37" s="805"/>
      <c r="AJ37" s="805"/>
      <c r="AK37" s="805"/>
      <c r="AL37" s="805"/>
      <c r="AM37" s="805"/>
      <c r="AN37" s="805"/>
      <c r="AO37" s="805"/>
      <c r="AP37" s="805"/>
      <c r="AQ37" s="805"/>
      <c r="AU37"/>
      <c r="AV37"/>
      <c r="AW37"/>
      <c r="AX37"/>
      <c r="AY37"/>
      <c r="AZ37"/>
      <c r="BA37"/>
      <c r="BB37"/>
      <c r="BC37"/>
      <c r="BE37"/>
    </row>
    <row r="38" spans="2:58" ht="15.95" customHeight="1">
      <c r="B38" s="829">
        <v>12</v>
      </c>
      <c r="C38" s="866"/>
      <c r="D38" s="867"/>
      <c r="E38" s="867"/>
      <c r="F38" s="867"/>
      <c r="G38" s="867"/>
      <c r="H38" s="867"/>
      <c r="I38" s="868"/>
      <c r="J38" s="832"/>
      <c r="K38" s="833"/>
      <c r="L38" s="833"/>
      <c r="M38" s="834"/>
      <c r="N38" s="846"/>
      <c r="O38" s="847"/>
      <c r="P38" s="1048" t="str">
        <f>IFERROR(IF(C38="","",INDEX(PMECA[Eff Desc 2],MATCH(C38,PMECA[Eff Desc 1],0))),"")</f>
        <v/>
      </c>
      <c r="Q38" s="1049"/>
      <c r="R38" s="1049"/>
      <c r="S38" s="1050"/>
      <c r="T38" s="1037" t="str">
        <f>IFERROR(IF(C38="","",INDEX(PMECA[Unit of Measure],MATCH(C38,PMECA[Eff Desc 1],0))),"")</f>
        <v/>
      </c>
      <c r="U38" s="1038"/>
      <c r="V38" s="846"/>
      <c r="W38" s="847"/>
      <c r="X38" s="832"/>
      <c r="Y38" s="833"/>
      <c r="Z38" s="834"/>
      <c r="AA38" s="945"/>
      <c r="AB38" s="937"/>
      <c r="AC38" s="937"/>
      <c r="AD38" s="938"/>
      <c r="AE38" s="1016" t="str">
        <f>IFERROR(IF(C38="","",INDEX(PMECA[Base Desc 1],MATCH(C38,PMECA[Eff Desc 1],0))),"")</f>
        <v/>
      </c>
      <c r="AF38" s="1017"/>
      <c r="AG38" s="1017"/>
      <c r="AH38" s="1018"/>
      <c r="AI38" s="1023" t="str">
        <f>IFERROR(IF(C38="","",INDEX(PMECA[Inc Rate Unit],MATCH(C38,PMECA[Eff Desc 1],0))),"")</f>
        <v/>
      </c>
      <c r="AJ38" s="863"/>
      <c r="AK38" s="821" t="str">
        <f t="shared" ref="AK38" si="39">IFERROR(IF(OR(C38="",V38="",X38="",AA38="",J38="",N38="",AC38=""),"",AV38),"")</f>
        <v/>
      </c>
      <c r="AL38" s="822"/>
      <c r="AM38" s="822"/>
      <c r="AN38" s="827" t="str">
        <f t="shared" ref="AN38" si="40">IF(OR(C38="",V38="",X38="",AB38="",AE38="",AG38=""),"",IF(BC38&lt;&gt;"",BC38,MIN(AU38,ROUND(V38*AI38,2))))</f>
        <v/>
      </c>
      <c r="AO38" s="951" t="str">
        <f t="shared" ref="AO38" si="41">IFERROR(IF(OR(C38="",V38="",X38="",AA38="",J38="",N38="",AC38=""),"",AY38),"")</f>
        <v/>
      </c>
      <c r="AP38" s="952"/>
      <c r="AQ38" s="952"/>
      <c r="AS38"/>
      <c r="AT38"/>
      <c r="AU38" s="893" t="str">
        <f t="shared" ref="AU38:AU42" si="42">IF(OR(C38="",J38="",AA38="",X38="",V38="",AC38=""),"",ROUND((AA38+AC38),2))</f>
        <v/>
      </c>
      <c r="AV38" s="974" t="str">
        <f>IFERROR(IF(OR(C38="",J38="",N38="",V38="",X38="",AA38="",AC38=""),"",IF(BC38&lt;&gt;"",BC38,ROUND((V38*6.1*(INDEX(CAShifts[Hours],MATCH(N38,CAShifts[Shift],0)))*0.19*0.3/100)*J38,2))),"")</f>
        <v/>
      </c>
      <c r="AW38" s="974" t="str">
        <f>IFERROR(IF(OR(C38="",J38="",N38="",V38="",X38="",AA38="",AC38=""),"",ROUND((AV38/(INDEX(CAShifts[Hours],MATCH(N38,CAShifts[Shift],0))))*0.89,3)),"")</f>
        <v/>
      </c>
      <c r="AX38" s="893" t="str">
        <f>IF(OR(C38="",J38="",AA38="",X38="",V38="",AC38=""),"",
IF(ISNUMBER(SEARCH("Leak",C38)),V38*INDEX(PMECA[Incremental Cost],MATCH(C38,PMECA[Eff Desc 1],0)),(127*V38)+1446))</f>
        <v/>
      </c>
      <c r="AY38" s="974" t="str">
        <f t="shared" ref="AY38" si="43">IF(OR(C38="",J38="",N38="",V38="",X38="",AA38="",AC38="",AI38="",AK38=""),"",IF(BC38&lt;&gt;"",BC38,IF(AV38=0,0,MIN(AU38,ROUND(V38*AI38,2)))))</f>
        <v/>
      </c>
      <c r="AZ38" s="974" t="str">
        <f>IFERROR(IF(C38="","",INDEX(PMECA[Base Equip Descr],MATCH(C38,PMECA[Eff Desc 1],0))),"")</f>
        <v/>
      </c>
      <c r="BC38" s="892" t="str">
        <f>IF(OR(J38="",N38="",C38="",V38="",X38="",AA38="",AE38="",AC38="",P38="",T38=""),"",IF(OR(ISBLANK(M02S02F26),ISBLANK(M02S02F32),ISBLANK(M02S02F46)),MEASUREBLDG,""))</f>
        <v/>
      </c>
      <c r="BE38" s="806" t="str">
        <f ca="1">IF(OR(C38="",J38="",N38="",P38="",T38="",V38="",AA38="",X38="",AC38=""),"",IF('M01-S01'!$V$82&lt;TODAY(),0,IF(M02S02F46="Gas Only",0,IF(OR(AK38="",AK38&lt;0,AU38&lt;=AO38),0,MIN(AU38-AO38,ROUND(AO38*0.2,2))))))</f>
        <v/>
      </c>
    </row>
    <row r="39" spans="2:58" ht="15.95" customHeight="1">
      <c r="B39" s="829"/>
      <c r="C39" s="835"/>
      <c r="D39" s="836"/>
      <c r="E39" s="836"/>
      <c r="F39" s="836"/>
      <c r="G39" s="836"/>
      <c r="H39" s="836"/>
      <c r="I39" s="837"/>
      <c r="J39" s="835"/>
      <c r="K39" s="836"/>
      <c r="L39" s="836"/>
      <c r="M39" s="837"/>
      <c r="N39" s="848"/>
      <c r="O39" s="849"/>
      <c r="P39" s="1051"/>
      <c r="Q39" s="1052"/>
      <c r="R39" s="1052"/>
      <c r="S39" s="1053"/>
      <c r="T39" s="1039"/>
      <c r="U39" s="1040"/>
      <c r="V39" s="848"/>
      <c r="W39" s="849"/>
      <c r="X39" s="835"/>
      <c r="Y39" s="836"/>
      <c r="Z39" s="837"/>
      <c r="AA39" s="946"/>
      <c r="AB39" s="939"/>
      <c r="AC39" s="939"/>
      <c r="AD39" s="940"/>
      <c r="AE39" s="1019"/>
      <c r="AF39" s="941"/>
      <c r="AG39" s="941"/>
      <c r="AH39" s="942"/>
      <c r="AI39" s="1024"/>
      <c r="AJ39" s="865"/>
      <c r="AK39" s="823"/>
      <c r="AL39" s="824"/>
      <c r="AM39" s="824"/>
      <c r="AN39" s="828"/>
      <c r="AO39" s="954"/>
      <c r="AP39" s="955"/>
      <c r="AQ39" s="955"/>
      <c r="AS39"/>
      <c r="AT39"/>
      <c r="AU39" s="809"/>
      <c r="AV39" s="975"/>
      <c r="AW39" s="975"/>
      <c r="AX39" s="809"/>
      <c r="AY39" s="975"/>
      <c r="AZ39" s="975"/>
      <c r="BC39" s="826"/>
      <c r="BE39" s="807"/>
    </row>
    <row r="40" spans="2:58" ht="15.95" customHeight="1">
      <c r="B40" s="829">
        <v>13</v>
      </c>
      <c r="C40" s="866"/>
      <c r="D40" s="867"/>
      <c r="E40" s="867"/>
      <c r="F40" s="867"/>
      <c r="G40" s="867"/>
      <c r="H40" s="867"/>
      <c r="I40" s="868"/>
      <c r="J40" s="832"/>
      <c r="K40" s="833"/>
      <c r="L40" s="833"/>
      <c r="M40" s="834"/>
      <c r="N40" s="846"/>
      <c r="O40" s="847"/>
      <c r="P40" s="1031" t="str">
        <f>IFERROR(IF(C40="","",INDEX(PMECA[Eff Desc 2],MATCH(C40,PMECA[Eff Desc 1],0))),"")</f>
        <v/>
      </c>
      <c r="Q40" s="1032"/>
      <c r="R40" s="1032"/>
      <c r="S40" s="1033"/>
      <c r="T40" s="1037" t="str">
        <f>IFERROR(IF(C40="","",INDEX(PMECA[Unit of Measure],MATCH(C40,PMECA[Eff Desc 1],0))),"")</f>
        <v/>
      </c>
      <c r="U40" s="1038"/>
      <c r="V40" s="846"/>
      <c r="W40" s="847"/>
      <c r="X40" s="832"/>
      <c r="Y40" s="833"/>
      <c r="Z40" s="834"/>
      <c r="AA40" s="945"/>
      <c r="AB40" s="937"/>
      <c r="AC40" s="937"/>
      <c r="AD40" s="938"/>
      <c r="AE40" s="1016" t="str">
        <f>IFERROR(IF(C40="","",INDEX(PMECA[Base Desc 1],MATCH(C40,PMECA[Eff Desc 1],0))),"")</f>
        <v/>
      </c>
      <c r="AF40" s="1017"/>
      <c r="AG40" s="1017"/>
      <c r="AH40" s="1018"/>
      <c r="AI40" s="1023" t="str">
        <f>IFERROR(IF(C40="","",INDEX(PMECA[Inc Rate Unit],MATCH(C40,PMECA[Eff Desc 1],0))),"")</f>
        <v/>
      </c>
      <c r="AJ40" s="863"/>
      <c r="AK40" s="821" t="str">
        <f t="shared" ref="AK40" si="44">IFERROR(IF(OR(C40="",V40="",X40="",AA40="",J40="",N40="",AC40=""),"",AV40),"")</f>
        <v/>
      </c>
      <c r="AL40" s="822"/>
      <c r="AM40" s="822"/>
      <c r="AN40" s="827" t="str">
        <f t="shared" ref="AN40" si="45">IF(OR(C40="",V40="",X40="",AB40="",AE40="",AG40=""),"",IF(BC40&lt;&gt;"",BC40,MIN(AU40,ROUND(V40*AI40,2))))</f>
        <v/>
      </c>
      <c r="AO40" s="951" t="str">
        <f t="shared" ref="AO40" si="46">IFERROR(IF(OR(C40="",V40="",X40="",AA40="",J40="",N40="",AC40=""),"",AY40),"")</f>
        <v/>
      </c>
      <c r="AP40" s="952"/>
      <c r="AQ40" s="952"/>
      <c r="AS40"/>
      <c r="AT40"/>
      <c r="AU40" s="893" t="str">
        <f t="shared" si="42"/>
        <v/>
      </c>
      <c r="AV40" s="974" t="str">
        <f>IFERROR(IF(OR(C40="",J40="",N40="",V40="",X40="",AA40="",AC40=""),"",IF(BC40&lt;&gt;"",BC40,ROUND((V40*6.1*(INDEX(CAShifts[Hours],MATCH(N40,CAShifts[Shift],0)))*0.19*0.3/100)*J40,2))),"")</f>
        <v/>
      </c>
      <c r="AW40" s="974" t="str">
        <f>IFERROR(IF(OR(C40="",J40="",N40="",V40="",X40="",AA40="",AC40=""),"",ROUND((AV40/(INDEX(CAShifts[Hours],MATCH(N40,CAShifts[Shift],0))))*0.89,3)),"")</f>
        <v/>
      </c>
      <c r="AX40" s="893" t="str">
        <f>IF(OR(C40="",J40="",AA40="",X40="",V40="",AC40=""),"",
IF(ISNUMBER(SEARCH("Leak",C40)),V40*INDEX(PMECA[Incremental Cost],MATCH(C40,PMECA[Eff Desc 1],0)),(127*V40)+1446))</f>
        <v/>
      </c>
      <c r="AY40" s="974" t="str">
        <f t="shared" ref="AY40" si="47">IF(OR(C40="",J40="",N40="",V40="",X40="",AA40="",AC40="",AI40="",AK40=""),"",IF(BC40&lt;&gt;"",BC40,IF(AV40=0,0,MIN(AU40,ROUND(V40*AI40,2)))))</f>
        <v/>
      </c>
      <c r="AZ40" s="974" t="str">
        <f>IFERROR(IF(C40="","",INDEX(PMECA[Base Equip Descr],MATCH(C40,PMECA[Eff Desc 1],0))),"")</f>
        <v/>
      </c>
      <c r="BC40" s="825" t="str">
        <f>IF(OR(J40="",N40="",C40="",V40="",X40="",AA40="",AE40="",AC40="",P40="",T40=""),"",IF(OR(ISBLANK(M02S02F26),ISBLANK(M02S02F32),ISBLANK(M02S02F46)),MEASUREBLDG,""))</f>
        <v/>
      </c>
      <c r="BE40" s="806"/>
    </row>
    <row r="41" spans="2:58" ht="15.95" customHeight="1">
      <c r="B41" s="829"/>
      <c r="C41" s="835"/>
      <c r="D41" s="836"/>
      <c r="E41" s="836"/>
      <c r="F41" s="836"/>
      <c r="G41" s="836"/>
      <c r="H41" s="836"/>
      <c r="I41" s="837"/>
      <c r="J41" s="835"/>
      <c r="K41" s="836"/>
      <c r="L41" s="836"/>
      <c r="M41" s="837"/>
      <c r="N41" s="848"/>
      <c r="O41" s="849"/>
      <c r="P41" s="1034"/>
      <c r="Q41" s="1035"/>
      <c r="R41" s="1035"/>
      <c r="S41" s="1036"/>
      <c r="T41" s="1039"/>
      <c r="U41" s="1040"/>
      <c r="V41" s="848"/>
      <c r="W41" s="849"/>
      <c r="X41" s="835"/>
      <c r="Y41" s="836"/>
      <c r="Z41" s="837"/>
      <c r="AA41" s="946"/>
      <c r="AB41" s="939"/>
      <c r="AC41" s="939"/>
      <c r="AD41" s="940"/>
      <c r="AE41" s="1019"/>
      <c r="AF41" s="941"/>
      <c r="AG41" s="941"/>
      <c r="AH41" s="942"/>
      <c r="AI41" s="1024"/>
      <c r="AJ41" s="865"/>
      <c r="AK41" s="823"/>
      <c r="AL41" s="824"/>
      <c r="AM41" s="824"/>
      <c r="AN41" s="828"/>
      <c r="AO41" s="954"/>
      <c r="AP41" s="955"/>
      <c r="AQ41" s="955"/>
      <c r="AS41"/>
      <c r="AT41"/>
      <c r="AU41" s="809"/>
      <c r="AV41" s="975"/>
      <c r="AW41" s="975"/>
      <c r="AX41" s="809"/>
      <c r="AY41" s="975"/>
      <c r="AZ41" s="975"/>
      <c r="BC41" s="826"/>
      <c r="BE41" s="807"/>
    </row>
    <row r="42" spans="2:58" ht="15.95" customHeight="1">
      <c r="B42" s="829">
        <v>14</v>
      </c>
      <c r="C42" s="866"/>
      <c r="D42" s="867"/>
      <c r="E42" s="867"/>
      <c r="F42" s="867"/>
      <c r="G42" s="867"/>
      <c r="H42" s="867"/>
      <c r="I42" s="868"/>
      <c r="J42" s="832"/>
      <c r="K42" s="833"/>
      <c r="L42" s="833"/>
      <c r="M42" s="834"/>
      <c r="N42" s="846"/>
      <c r="O42" s="847"/>
      <c r="P42" s="1031" t="str">
        <f>IFERROR(IF(C42="","",INDEX(PMECA[Eff Desc 2],MATCH(C42,PMECA[Eff Desc 1],0))),"")</f>
        <v/>
      </c>
      <c r="Q42" s="1032"/>
      <c r="R42" s="1032"/>
      <c r="S42" s="1033"/>
      <c r="T42" s="1037" t="str">
        <f>IFERROR(IF(C42="","",INDEX(PMECA[Unit of Measure],MATCH(C42,PMECA[Eff Desc 1],0))),"")</f>
        <v/>
      </c>
      <c r="U42" s="1038"/>
      <c r="V42" s="846"/>
      <c r="W42" s="847"/>
      <c r="X42" s="832"/>
      <c r="Y42" s="833"/>
      <c r="Z42" s="834"/>
      <c r="AA42" s="945"/>
      <c r="AB42" s="937"/>
      <c r="AC42" s="937"/>
      <c r="AD42" s="938"/>
      <c r="AE42" s="1016" t="str">
        <f>IFERROR(IF(C42="","",INDEX(PMECA[Base Desc 1],MATCH(C42,PMECA[Eff Desc 1],0))),"")</f>
        <v/>
      </c>
      <c r="AF42" s="1017"/>
      <c r="AG42" s="1017"/>
      <c r="AH42" s="1018"/>
      <c r="AI42" s="1023" t="str">
        <f>IFERROR(IF(C42="","",INDEX(PMECA[Inc Rate Unit],MATCH(C42,PMECA[Eff Desc 1],0))),"")</f>
        <v/>
      </c>
      <c r="AJ42" s="863"/>
      <c r="AK42" s="821" t="str">
        <f t="shared" ref="AK42" si="48">IFERROR(IF(OR(C42="",V42="",X42="",AA42="",J42="",N42="",AC42=""),"",AV42),"")</f>
        <v/>
      </c>
      <c r="AL42" s="822"/>
      <c r="AM42" s="822"/>
      <c r="AN42" s="827" t="str">
        <f t="shared" ref="AN42" si="49">IF(OR(C42="",V42="",X42="",AB42="",AE42="",AG42=""),"",IF(BC42&lt;&gt;"",BC42,MIN(AU42,ROUND(V42*AI42,2))))</f>
        <v/>
      </c>
      <c r="AO42" s="951" t="str">
        <f t="shared" ref="AO42" si="50">IFERROR(IF(OR(C42="",V42="",X42="",AA42="",J42="",N42="",AC42=""),"",AY42),"")</f>
        <v/>
      </c>
      <c r="AP42" s="952"/>
      <c r="AQ42" s="952"/>
      <c r="AS42"/>
      <c r="AT42"/>
      <c r="AU42" s="893" t="str">
        <f t="shared" si="42"/>
        <v/>
      </c>
      <c r="AV42" s="974" t="str">
        <f>IFERROR(IF(OR(C42="",J42="",N42="",V42="",X42="",AA42="",AC42=""),"",IF(BC42&lt;&gt;"",BC42,ROUND((V42*6.1*(INDEX(CAShifts[Hours],MATCH(N42,CAShifts[Shift],0)))*0.19*0.3/100)*J42,2))),"")</f>
        <v/>
      </c>
      <c r="AW42" s="974" t="str">
        <f>IFERROR(IF(OR(C42="",J42="",N42="",V42="",X42="",AA42="",AC42=""),"",ROUND((AV42/(INDEX(CAShifts[Hours],MATCH(N42,CAShifts[Shift],0))))*0.89,3)),"")</f>
        <v/>
      </c>
      <c r="AX42" s="893" t="str">
        <f>IF(OR(C42="",J42="",AA42="",X42="",V42="",AC42=""),"",
IF(ISNUMBER(SEARCH("Leak",C42)),V42*INDEX(PMECA[Incremental Cost],MATCH(C42,PMECA[Eff Desc 1],0)),(127*V42)+1446))</f>
        <v/>
      </c>
      <c r="AY42" s="974" t="str">
        <f t="shared" ref="AY42" si="51">IF(OR(C42="",J42="",N42="",V42="",X42="",AA42="",AC42="",AI42="",AK42=""),"",IF(BC42&lt;&gt;"",BC42,IF(AV42=0,0,MIN(AU42,ROUND(V42*AI42,2)))))</f>
        <v/>
      </c>
      <c r="AZ42" s="974" t="str">
        <f>IFERROR(IF(C42="","",INDEX(PMECA[Base Equip Descr],MATCH(C42,PMECA[Eff Desc 1],0))),"")</f>
        <v/>
      </c>
      <c r="BC42" s="825" t="str">
        <f>IF(OR(J42="",N42="",C42="",V42="",X42="",AA42="",AE42="",AC42="",P42="",T42=""),"",IF(OR(ISBLANK(M02S02F26),ISBLANK(M02S02F32),ISBLANK(M02S02F46)),MEASUREBLDG,""))</f>
        <v/>
      </c>
      <c r="BE42" s="806"/>
    </row>
    <row r="43" spans="2:58" ht="15.95" customHeight="1">
      <c r="B43" s="829"/>
      <c r="C43" s="835"/>
      <c r="D43" s="836"/>
      <c r="E43" s="836"/>
      <c r="F43" s="836"/>
      <c r="G43" s="836"/>
      <c r="H43" s="836"/>
      <c r="I43" s="837"/>
      <c r="J43" s="835"/>
      <c r="K43" s="836"/>
      <c r="L43" s="836"/>
      <c r="M43" s="837"/>
      <c r="N43" s="848"/>
      <c r="O43" s="849"/>
      <c r="P43" s="1034"/>
      <c r="Q43" s="1035"/>
      <c r="R43" s="1035"/>
      <c r="S43" s="1036"/>
      <c r="T43" s="1039"/>
      <c r="U43" s="1040"/>
      <c r="V43" s="848"/>
      <c r="W43" s="849"/>
      <c r="X43" s="835"/>
      <c r="Y43" s="836"/>
      <c r="Z43" s="837"/>
      <c r="AA43" s="946"/>
      <c r="AB43" s="939"/>
      <c r="AC43" s="939"/>
      <c r="AD43" s="940"/>
      <c r="AE43" s="1019"/>
      <c r="AF43" s="941"/>
      <c r="AG43" s="941"/>
      <c r="AH43" s="942"/>
      <c r="AI43" s="1024"/>
      <c r="AJ43" s="865"/>
      <c r="AK43" s="823"/>
      <c r="AL43" s="824"/>
      <c r="AM43" s="824"/>
      <c r="AN43" s="828"/>
      <c r="AO43" s="954"/>
      <c r="AP43" s="955"/>
      <c r="AQ43" s="955"/>
      <c r="AS43"/>
      <c r="AT43"/>
      <c r="AU43" s="809"/>
      <c r="AV43" s="975"/>
      <c r="AW43" s="975"/>
      <c r="AX43" s="809"/>
      <c r="AY43" s="975"/>
      <c r="AZ43" s="975"/>
      <c r="BC43" s="826"/>
      <c r="BE43" s="807"/>
    </row>
    <row r="44" spans="2:58" ht="15.95" hidden="1" customHeight="1">
      <c r="B44" s="829">
        <v>15</v>
      </c>
      <c r="C44" s="866">
        <f ca="1">IF(SUM(BE16:BE43)=0,0,INDEX(PMEBONUS[],3,3))</f>
        <v>0</v>
      </c>
      <c r="D44" s="867"/>
      <c r="E44" s="867"/>
      <c r="F44" s="867"/>
      <c r="G44" s="867"/>
      <c r="H44" s="867"/>
      <c r="I44" s="868"/>
      <c r="J44" s="832">
        <f ca="1">IF(OR(C44="",C44=0),0,INDEX(PMEBONUS[Base Desc 1],MATCH(C44,PMEBONUS[Eff Desc 1],0)))</f>
        <v>0</v>
      </c>
      <c r="K44" s="833"/>
      <c r="L44" s="833"/>
      <c r="M44" s="834"/>
      <c r="N44" s="846"/>
      <c r="O44" s="847"/>
      <c r="P44" s="1025" t="str">
        <f ca="1">IFERROR(IF(C44="","",INDEX(PMECA[Eff Desc 2],MATCH(C44,PMECA[Eff Desc 1],0))),"")</f>
        <v/>
      </c>
      <c r="Q44" s="1026"/>
      <c r="R44" s="1026"/>
      <c r="S44" s="1027"/>
      <c r="T44" s="1037"/>
      <c r="U44" s="1038"/>
      <c r="V44" s="846">
        <f ca="1">IF(OR(J44=0,J44=""),0,1)</f>
        <v>0</v>
      </c>
      <c r="W44" s="847"/>
      <c r="X44" s="1041"/>
      <c r="Y44" s="833"/>
      <c r="Z44" s="834"/>
      <c r="AA44" s="945"/>
      <c r="AB44" s="937"/>
      <c r="AC44" s="937"/>
      <c r="AD44" s="938"/>
      <c r="AE44" s="941"/>
      <c r="AF44" s="941"/>
      <c r="AG44" s="941"/>
      <c r="AH44" s="942"/>
      <c r="AI44" s="917"/>
      <c r="AJ44" s="918"/>
      <c r="AK44" s="1020"/>
      <c r="AL44" s="1021"/>
      <c r="AM44" s="1021"/>
      <c r="AN44" s="1022"/>
      <c r="AO44" s="951" t="str">
        <f ca="1">IF(AZ44="","",AZ44)</f>
        <v/>
      </c>
      <c r="AP44" s="952"/>
      <c r="AQ44" s="952"/>
      <c r="AS44"/>
      <c r="AT44"/>
      <c r="AU44"/>
      <c r="AV44"/>
      <c r="AW44"/>
      <c r="AX44"/>
      <c r="AZ44" s="974" t="str">
        <f ca="1">IFERROR(IF(OR(C44="",J44="",SUM(AK16:AN33)+SUM(AK38:AN43)=0,SUM(BE16:BE43)=0),"",SUM(BE16:BE43)),"")</f>
        <v/>
      </c>
    </row>
    <row r="45" spans="2:58" ht="15.95" hidden="1" customHeight="1">
      <c r="B45" s="829"/>
      <c r="C45" s="835"/>
      <c r="D45" s="836"/>
      <c r="E45" s="836"/>
      <c r="F45" s="836"/>
      <c r="G45" s="836"/>
      <c r="H45" s="836"/>
      <c r="I45" s="837"/>
      <c r="J45" s="835"/>
      <c r="K45" s="836"/>
      <c r="L45" s="836"/>
      <c r="M45" s="837"/>
      <c r="N45" s="848"/>
      <c r="O45" s="849"/>
      <c r="P45" s="1028"/>
      <c r="Q45" s="1029"/>
      <c r="R45" s="1029"/>
      <c r="S45" s="1030"/>
      <c r="T45" s="1039"/>
      <c r="U45" s="1040"/>
      <c r="V45" s="848"/>
      <c r="W45" s="849"/>
      <c r="X45" s="835"/>
      <c r="Y45" s="836"/>
      <c r="Z45" s="837"/>
      <c r="AA45" s="946"/>
      <c r="AB45" s="939"/>
      <c r="AC45" s="939"/>
      <c r="AD45" s="940"/>
      <c r="AE45" s="943"/>
      <c r="AF45" s="943"/>
      <c r="AG45" s="943"/>
      <c r="AH45" s="944"/>
      <c r="AI45" s="919"/>
      <c r="AJ45" s="865"/>
      <c r="AK45" s="823"/>
      <c r="AL45" s="824"/>
      <c r="AM45" s="824"/>
      <c r="AN45" s="828"/>
      <c r="AO45" s="954"/>
      <c r="AP45" s="955"/>
      <c r="AQ45" s="955"/>
      <c r="AS45"/>
      <c r="AT45"/>
      <c r="AU45"/>
      <c r="AV45"/>
      <c r="AW45"/>
      <c r="AX45"/>
      <c r="AZ45" s="975"/>
    </row>
    <row r="46" spans="2:58" ht="15.95" hidden="1" customHeight="1">
      <c r="B46" s="923">
        <v>16</v>
      </c>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row>
    <row r="47" spans="2:58" ht="15.95" hidden="1" customHeight="1">
      <c r="B47" s="923"/>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row>
    <row r="48" spans="2:58" ht="15.95" hidden="1" customHeight="1">
      <c r="B48" s="923">
        <v>17</v>
      </c>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row>
    <row r="49" spans="2:43" ht="15.95" hidden="1" customHeight="1">
      <c r="B49" s="923"/>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row>
    <row r="50" spans="2:43" ht="15.95" hidden="1" customHeight="1">
      <c r="B50" s="923">
        <v>18</v>
      </c>
      <c r="C50" s="8"/>
      <c r="D50" s="8"/>
      <c r="E50" s="8"/>
      <c r="F50" s="8"/>
      <c r="G50" s="8"/>
      <c r="H50" s="8"/>
      <c r="I50" s="8"/>
      <c r="J50" s="8"/>
      <c r="K50" s="8"/>
      <c r="L50" s="8"/>
      <c r="M50" s="8"/>
      <c r="N50" s="8"/>
      <c r="O50" s="8"/>
      <c r="P50" s="8"/>
      <c r="Q50" s="8"/>
      <c r="R50" s="8"/>
      <c r="S50" s="8"/>
      <c r="T50" s="8"/>
      <c r="U50" s="8"/>
      <c r="W50" s="8"/>
      <c r="X50" s="8"/>
      <c r="Y50" s="8"/>
      <c r="Z50" s="8"/>
      <c r="AA50" s="8"/>
      <c r="AB50" s="8"/>
      <c r="AC50" s="8"/>
      <c r="AD50" s="8"/>
      <c r="AE50" s="8"/>
      <c r="AF50" s="8"/>
      <c r="AG50" s="8"/>
      <c r="AH50" s="8"/>
      <c r="AI50" s="8"/>
      <c r="AJ50" s="8"/>
      <c r="AK50" s="8"/>
      <c r="AL50" s="8"/>
      <c r="AM50" s="8"/>
      <c r="AN50" s="8"/>
      <c r="AO50" s="8"/>
      <c r="AP50" s="8"/>
      <c r="AQ50" s="8"/>
    </row>
    <row r="51" spans="2:43" ht="15.95" hidden="1" customHeight="1">
      <c r="B51" s="923"/>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row>
    <row r="52" spans="2:43" ht="15.95" hidden="1" customHeight="1">
      <c r="B52" s="923">
        <v>19</v>
      </c>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row>
    <row r="53" spans="2:43" ht="15.95" hidden="1" customHeight="1">
      <c r="B53" s="923"/>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row>
    <row r="54" spans="2:43" ht="15.95" hidden="1" customHeight="1">
      <c r="B54" s="923">
        <v>20</v>
      </c>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row>
    <row r="55" spans="2:43" ht="15.95" hidden="1" customHeight="1">
      <c r="B55" s="923"/>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row>
    <row r="56" spans="2:43" ht="15.95" hidden="1" customHeight="1">
      <c r="B56" s="923">
        <v>21</v>
      </c>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row>
    <row r="57" spans="2:43" ht="15.95" hidden="1" customHeight="1">
      <c r="B57" s="923"/>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row>
    <row r="58" spans="2:43" ht="15.95" hidden="1" customHeight="1">
      <c r="B58" s="923">
        <v>22</v>
      </c>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row>
    <row r="59" spans="2:43" ht="15.95" hidden="1" customHeight="1">
      <c r="B59" s="923"/>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row>
    <row r="60" spans="2:43" ht="15.95" hidden="1" customHeight="1">
      <c r="B60" s="923">
        <v>23</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row>
    <row r="61" spans="2:43" ht="15.95" hidden="1" customHeight="1">
      <c r="B61" s="923"/>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row>
    <row r="62" spans="2:43" ht="15.95" hidden="1" customHeight="1">
      <c r="B62" s="923">
        <v>24</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row>
    <row r="63" spans="2:43" ht="15.95" hidden="1" customHeight="1">
      <c r="B63" s="923"/>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row>
    <row r="64" spans="2:43" ht="15.95" hidden="1" customHeight="1">
      <c r="B64" s="923">
        <v>25</v>
      </c>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row>
    <row r="65" spans="2:43" ht="15.95" hidden="1" customHeight="1">
      <c r="B65" s="923"/>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row>
    <row r="66" spans="2:43" ht="15.95" hidden="1" customHeight="1">
      <c r="B66" s="923">
        <v>26</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row>
    <row r="67" spans="2:43" ht="15.95" hidden="1" customHeight="1">
      <c r="B67" s="923"/>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row>
    <row r="68" spans="2:43" ht="15.95" hidden="1" customHeight="1">
      <c r="B68" s="923">
        <v>27</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row>
    <row r="69" spans="2:43" ht="15.95" hidden="1" customHeight="1">
      <c r="B69" s="923"/>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row>
    <row r="70" spans="2:43" ht="15.95" hidden="1" customHeight="1">
      <c r="B70" s="923">
        <v>28</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row>
    <row r="71" spans="2:43" ht="15.95" hidden="1" customHeight="1">
      <c r="B71" s="923"/>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row>
    <row r="72" spans="2:43" ht="15.95" hidden="1" customHeight="1">
      <c r="B72" s="923">
        <v>29</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row>
    <row r="73" spans="2:43" ht="15.95" hidden="1" customHeight="1">
      <c r="B73" s="923"/>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row>
    <row r="74" spans="2:43" ht="15.95" hidden="1" customHeight="1">
      <c r="B74" s="923">
        <v>30</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row>
    <row r="75" spans="2:43" ht="15.95" hidden="1" customHeight="1">
      <c r="B75" s="923"/>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row>
    <row r="76" spans="2:43" ht="15.95" hidden="1" customHeight="1">
      <c r="B76" s="923">
        <v>31</v>
      </c>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row>
    <row r="77" spans="2:43" ht="15.95" hidden="1" customHeight="1">
      <c r="B77" s="923"/>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row>
    <row r="78" spans="2:43" ht="15.95" hidden="1" customHeight="1">
      <c r="B78" s="923">
        <v>32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row>
    <row r="79" spans="2:43" ht="15.95" hidden="1" customHeight="1">
      <c r="B79" s="923"/>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row>
    <row r="80" spans="2:43" ht="15.95" hidden="1" customHeight="1">
      <c r="B80" s="923">
        <v>33</v>
      </c>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row>
    <row r="81" spans="2:43" ht="15.95" hidden="1" customHeight="1">
      <c r="B81" s="923"/>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row>
    <row r="82" spans="2:43" ht="15.95" hidden="1" customHeight="1">
      <c r="B82" s="923">
        <v>34</v>
      </c>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row>
    <row r="83" spans="2:43" ht="15.95" hidden="1" customHeight="1">
      <c r="B83" s="923"/>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row>
    <row r="84" spans="2:43" ht="15.95" hidden="1" customHeight="1">
      <c r="B84" s="923">
        <v>35</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row>
    <row r="85" spans="2:43" ht="15.95" hidden="1" customHeight="1">
      <c r="B85" s="923"/>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row>
    <row r="86" spans="2:43" ht="15.95" hidden="1" customHeight="1">
      <c r="B86" s="923">
        <v>36</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row>
    <row r="87" spans="2:43" ht="15.95" hidden="1" customHeight="1">
      <c r="B87" s="923"/>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row>
    <row r="88" spans="2:43" ht="15.95" hidden="1" customHeight="1">
      <c r="B88" s="923">
        <v>37</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row>
    <row r="89" spans="2:43" ht="15.95" hidden="1" customHeight="1">
      <c r="B89" s="923"/>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row>
    <row r="90" spans="2:43" ht="15.95" hidden="1" customHeight="1">
      <c r="B90" s="923">
        <v>38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row>
    <row r="91" spans="2:43" ht="15.95" hidden="1" customHeight="1">
      <c r="B91" s="923"/>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row>
    <row r="92" spans="2:43" ht="15.95" hidden="1" customHeight="1">
      <c r="B92" s="923">
        <v>39</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row>
    <row r="93" spans="2:43" ht="15.95" hidden="1" customHeight="1">
      <c r="B93" s="923"/>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row>
    <row r="94" spans="2:43" ht="15.95" hidden="1" customHeight="1">
      <c r="B94" s="923">
        <v>40</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row>
    <row r="95" spans="2:43" ht="15.95" hidden="1" customHeight="1">
      <c r="B95" s="923"/>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row>
    <row r="96" spans="2:43" ht="15.95" hidden="1" customHeight="1">
      <c r="B96" s="923">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row>
    <row r="97" spans="2:43" ht="15.95" hidden="1" customHeight="1">
      <c r="B97" s="923"/>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row>
    <row r="98" spans="2:43" ht="15.95" hidden="1" customHeight="1">
      <c r="B98" s="923">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row>
    <row r="99" spans="2:43" ht="15.95" hidden="1" customHeight="1">
      <c r="B99" s="923"/>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row>
    <row r="100" spans="2:43" ht="15.95" hidden="1" customHeight="1">
      <c r="B100" s="923">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row>
    <row r="101" spans="2:43" ht="15.95" hidden="1" customHeight="1">
      <c r="B101" s="923"/>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row>
    <row r="102" spans="2:43" ht="15.95" hidden="1" customHeight="1">
      <c r="B102" s="923">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row>
    <row r="103" spans="2:43" ht="15.95" hidden="1" customHeight="1">
      <c r="B103" s="923"/>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row>
    <row r="104" spans="2:43" ht="15.95" hidden="1" customHeight="1">
      <c r="B104" s="923">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row>
    <row r="105" spans="2:43" ht="15.95" hidden="1" customHeight="1">
      <c r="B105" s="923"/>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row>
    <row r="106" spans="2:43" ht="15.95" hidden="1" customHeight="1">
      <c r="B106" s="923">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row>
    <row r="107" spans="2:43" ht="15.95" hidden="1" customHeight="1">
      <c r="B107" s="923"/>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row>
    <row r="108" spans="2:43" ht="15.95" hidden="1" customHeight="1">
      <c r="B108" s="923">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row>
    <row r="109" spans="2:43" ht="15.95" hidden="1" customHeight="1">
      <c r="B109" s="923"/>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row>
    <row r="110" spans="2:43" ht="15.95" hidden="1" customHeight="1">
      <c r="B110" s="923">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row>
    <row r="111" spans="2:43" ht="15.95" hidden="1" customHeight="1">
      <c r="B111" s="923"/>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row>
    <row r="112" spans="2:43" ht="15.95" hidden="1" customHeight="1">
      <c r="B112" s="923">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row>
    <row r="113" spans="2:43" ht="15.95" hidden="1" customHeight="1">
      <c r="B113" s="923"/>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row>
    <row r="114" spans="2:43" ht="15.95" hidden="1" customHeight="1">
      <c r="B114" s="923">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row>
    <row r="115" spans="2:43" ht="15.95" hidden="1" customHeight="1">
      <c r="B115" s="923"/>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row>
    <row r="116" spans="2:43" ht="15.95" hidden="1" customHeight="1">
      <c r="B116" s="923">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43" ht="15.95" hidden="1" customHeight="1">
      <c r="B117" s="923"/>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43" ht="15.95" hidden="1" customHeight="1">
      <c r="B118" s="923">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43" ht="15.95" hidden="1" customHeight="1">
      <c r="B119" s="923"/>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43" ht="15.95" hidden="1" customHeight="1">
      <c r="B120" s="923">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43" ht="15.95" hidden="1" customHeight="1">
      <c r="B121" s="923"/>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43" ht="15.95" hidden="1" customHeight="1">
      <c r="B122" s="923">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43" ht="15.95" hidden="1" customHeight="1">
      <c r="B123" s="923"/>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43" ht="15.95" hidden="1" customHeight="1">
      <c r="B124" s="923">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43" ht="15.95" hidden="1" customHeight="1">
      <c r="B125" s="923"/>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43" ht="15.95" hidden="1" customHeight="1">
      <c r="B126" s="923">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43" ht="15.95" hidden="1" customHeight="1">
      <c r="B127" s="923"/>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43" ht="15.95" hidden="1" customHeight="1">
      <c r="B128" s="923">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23"/>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23">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23"/>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23">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23"/>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23">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23"/>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23">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23"/>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23">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23"/>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23">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23"/>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23">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23"/>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923">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23"/>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23">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23"/>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23">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23"/>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23">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23"/>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23">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23"/>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23">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23"/>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23">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23"/>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23">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23"/>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23">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23"/>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23">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23"/>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23">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23"/>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23">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23"/>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23">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23"/>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23">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23"/>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23">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23"/>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23">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23"/>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23">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23"/>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23">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23"/>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23">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23"/>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23">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23"/>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23">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23"/>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23">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23"/>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23">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23"/>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23">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23"/>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23">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51" ht="15.95" hidden="1" customHeight="1">
      <c r="B193" s="923"/>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51" ht="15.95" hidden="1" customHeight="1">
      <c r="B194" s="923">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51" ht="15.95" hidden="1" customHeight="1">
      <c r="B195" s="923"/>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51" ht="15.95" hidden="1" customHeight="1">
      <c r="B196" s="923">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51" ht="15.95" hidden="1" customHeight="1">
      <c r="B197" s="923"/>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51" ht="15.95" hidden="1" customHeight="1">
      <c r="B198" s="923">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51" ht="15.95" hidden="1" customHeight="1">
      <c r="B199" s="923"/>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51" ht="15.95" customHeight="1">
      <c r="B200" s="272" t="str">
        <f>FOOT1</f>
        <v>NIPSCO Energy Efficiency Program</v>
      </c>
      <c r="C200" s="272"/>
      <c r="D200" s="272"/>
      <c r="E200" s="272"/>
      <c r="F200" s="272"/>
      <c r="G200" s="272"/>
      <c r="H200" s="272"/>
      <c r="I200" s="272"/>
      <c r="J200" s="272"/>
      <c r="K200" s="272"/>
      <c r="L200" s="272"/>
      <c r="M200" s="656" t="str">
        <f>FOOT4</f>
        <v>NIPSCO’s energy efficiency programs are administered by TRC, a third‐party implementation specialist that helps homes and businesses save energy.</v>
      </c>
      <c r="N200" s="656"/>
      <c r="O200" s="656"/>
      <c r="P200" s="656"/>
      <c r="Q200" s="656"/>
      <c r="R200" s="656"/>
      <c r="S200" s="656"/>
      <c r="T200" s="656"/>
      <c r="U200" s="656"/>
      <c r="V200" s="656"/>
      <c r="W200" s="656"/>
      <c r="X200" s="656"/>
      <c r="Y200" s="656"/>
      <c r="Z200" s="656"/>
      <c r="AA200" s="656"/>
      <c r="AB200" s="656"/>
      <c r="AC200" s="656"/>
      <c r="AD200" s="656"/>
      <c r="AE200" s="656"/>
      <c r="AF200" s="656"/>
      <c r="AG200" s="656"/>
      <c r="AH200" s="272"/>
      <c r="AI200" s="272"/>
      <c r="AJ200" s="272"/>
      <c r="AK200" s="272"/>
      <c r="AL200" s="272"/>
      <c r="AM200" s="272"/>
      <c r="AN200" s="272"/>
      <c r="AO200" s="272"/>
      <c r="AP200" s="272"/>
      <c r="AQ200" s="272"/>
      <c r="AR200" s="273" t="str">
        <f>FOOTDISCLAIM</f>
        <v/>
      </c>
      <c r="AU200" s="808">
        <f>SUM(AU16:AU199)</f>
        <v>0</v>
      </c>
      <c r="AV200" s="1013">
        <f>SUM(AV16:AV199)</f>
        <v>0</v>
      </c>
      <c r="AW200" s="1058">
        <f>SUM(AW16:AW199)</f>
        <v>0</v>
      </c>
      <c r="AX200" s="808">
        <f>SUM(AX16:AX199)</f>
        <v>0</v>
      </c>
      <c r="AY200" s="808">
        <f>SUM(AY16:AY199)</f>
        <v>0</v>
      </c>
    </row>
    <row r="201" spans="2:51" ht="15.95" customHeight="1">
      <c r="B201" s="272" t="str">
        <f>FOOT2</f>
        <v>Toll-Free 800-299-2501</v>
      </c>
      <c r="C201" s="272"/>
      <c r="D201" s="272"/>
      <c r="E201" s="272"/>
      <c r="F201" s="272"/>
      <c r="G201" s="272"/>
      <c r="H201" s="272"/>
      <c r="I201" s="272"/>
      <c r="J201" s="272"/>
      <c r="K201" s="272"/>
      <c r="L201" s="272"/>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272"/>
      <c r="AI201" s="272"/>
      <c r="AJ201" s="272"/>
      <c r="AK201" s="272"/>
      <c r="AL201" s="272"/>
      <c r="AM201" s="272"/>
      <c r="AN201" s="272"/>
      <c r="AO201" s="272"/>
      <c r="AP201" s="272"/>
      <c r="AQ201" s="272"/>
      <c r="AR201" s="273" t="str">
        <f>FOOT5</f>
        <v/>
      </c>
      <c r="AU201" s="809"/>
      <c r="AV201" s="975"/>
      <c r="AW201" s="996"/>
      <c r="AX201" s="809"/>
      <c r="AY201" s="809"/>
    </row>
    <row r="202" spans="2:51" ht="15.95" customHeight="1">
      <c r="B202" s="281" t="s">
        <v>1551</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v3.7.0</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c r="AV202"/>
    </row>
    <row r="203" spans="2:51" ht="15" hidden="1" customHeight="1"/>
  </sheetData>
  <sheetProtection algorithmName="SHA-512" hashValue="6XIyLgLDDXa1346pkZdFEwIYH1siytTcD6EJIiUd04E0lYLF8sJFdo4wNUJnn2T0xSjLCfR4NtEe673czOSelQ==" saltValue="Tc3BKOfExre4D80sWI4rRQ==" spinCount="100000" sheet="1" objects="1" scenarios="1" selectLockedCells="1"/>
  <dataConsolidate/>
  <mergeCells count="414">
    <mergeCell ref="AA14:AD14"/>
    <mergeCell ref="J14:M15"/>
    <mergeCell ref="BE32:BE33"/>
    <mergeCell ref="BE14:BE15"/>
    <mergeCell ref="BE16:BE17"/>
    <mergeCell ref="BE18:BE19"/>
    <mergeCell ref="BE20:BE21"/>
    <mergeCell ref="BE22:BE23"/>
    <mergeCell ref="BE24:BE25"/>
    <mergeCell ref="BE26:BE27"/>
    <mergeCell ref="BE28:BE29"/>
    <mergeCell ref="BE30:BE31"/>
    <mergeCell ref="AE26:AH27"/>
    <mergeCell ref="AK26:AN27"/>
    <mergeCell ref="AO26:AQ27"/>
    <mergeCell ref="T24:U25"/>
    <mergeCell ref="V24:W25"/>
    <mergeCell ref="AW26:AW27"/>
    <mergeCell ref="AW28:AW29"/>
    <mergeCell ref="AW30:AW31"/>
    <mergeCell ref="AW32:AW33"/>
    <mergeCell ref="AW18:AW19"/>
    <mergeCell ref="AV20:AV21"/>
    <mergeCell ref="AC22:AD23"/>
    <mergeCell ref="N26:O27"/>
    <mergeCell ref="P26:S27"/>
    <mergeCell ref="X26:Z27"/>
    <mergeCell ref="AA26:AB27"/>
    <mergeCell ref="AC26:AD27"/>
    <mergeCell ref="V18:W19"/>
    <mergeCell ref="P22:S23"/>
    <mergeCell ref="X22:Z23"/>
    <mergeCell ref="AA22:AB23"/>
    <mergeCell ref="C18:I19"/>
    <mergeCell ref="J18:M19"/>
    <mergeCell ref="N18:O19"/>
    <mergeCell ref="P18:S19"/>
    <mergeCell ref="X18:Z19"/>
    <mergeCell ref="AA18:AB19"/>
    <mergeCell ref="AC18:AD19"/>
    <mergeCell ref="C20:I21"/>
    <mergeCell ref="J20:M21"/>
    <mergeCell ref="N20:O21"/>
    <mergeCell ref="P20:S21"/>
    <mergeCell ref="X20:Z21"/>
    <mergeCell ref="AA20:AB21"/>
    <mergeCell ref="AC20:AD21"/>
    <mergeCell ref="AX200:AX201"/>
    <mergeCell ref="AY14:AY15"/>
    <mergeCell ref="AY16:AY17"/>
    <mergeCell ref="AY18:AY19"/>
    <mergeCell ref="AY20:AY21"/>
    <mergeCell ref="AY22:AY23"/>
    <mergeCell ref="AY24:AY25"/>
    <mergeCell ref="AY26:AY27"/>
    <mergeCell ref="AY28:AY29"/>
    <mergeCell ref="AY30:AY31"/>
    <mergeCell ref="AY32:AY33"/>
    <mergeCell ref="AY200:AY201"/>
    <mergeCell ref="AX24:AX25"/>
    <mergeCell ref="AX30:AX31"/>
    <mergeCell ref="AX26:AX27"/>
    <mergeCell ref="AX14:AX15"/>
    <mergeCell ref="AX16:AX17"/>
    <mergeCell ref="AX18:AX19"/>
    <mergeCell ref="AW200:AW201"/>
    <mergeCell ref="AV24:AV25"/>
    <mergeCell ref="AV30:AV31"/>
    <mergeCell ref="AV26:AV27"/>
    <mergeCell ref="AV200:AV201"/>
    <mergeCell ref="AQ1:AR1"/>
    <mergeCell ref="AH2:AK3"/>
    <mergeCell ref="AL2:AP3"/>
    <mergeCell ref="AQ2:AR3"/>
    <mergeCell ref="AV14:AV15"/>
    <mergeCell ref="AV16:AV17"/>
    <mergeCell ref="AV18:AV19"/>
    <mergeCell ref="AE16:AH17"/>
    <mergeCell ref="AK16:AN17"/>
    <mergeCell ref="AO16:AQ17"/>
    <mergeCell ref="AE14:AH15"/>
    <mergeCell ref="AK14:AN15"/>
    <mergeCell ref="AO14:AQ15"/>
    <mergeCell ref="AE18:AH19"/>
    <mergeCell ref="AK18:AN19"/>
    <mergeCell ref="AO18:AQ19"/>
    <mergeCell ref="AU18:AU19"/>
    <mergeCell ref="AW14:AW15"/>
    <mergeCell ref="AW16:AW17"/>
    <mergeCell ref="AF11:AI11"/>
    <mergeCell ref="R9:AC10"/>
    <mergeCell ref="R11:U11"/>
    <mergeCell ref="V11:Y11"/>
    <mergeCell ref="Z11:AC11"/>
    <mergeCell ref="R12:U13"/>
    <mergeCell ref="V12:Y13"/>
    <mergeCell ref="Z12:AC13"/>
    <mergeCell ref="AH1:AK1"/>
    <mergeCell ref="AL1:AP1"/>
    <mergeCell ref="AF12:AI13"/>
    <mergeCell ref="BC14:BC15"/>
    <mergeCell ref="B16:B17"/>
    <mergeCell ref="V16:W17"/>
    <mergeCell ref="AI14:AJ15"/>
    <mergeCell ref="AU14:AU15"/>
    <mergeCell ref="T14:U15"/>
    <mergeCell ref="C16:I17"/>
    <mergeCell ref="AI16:AJ17"/>
    <mergeCell ref="AU16:AU17"/>
    <mergeCell ref="BC16:BC17"/>
    <mergeCell ref="AA15:AB15"/>
    <mergeCell ref="AC15:AD15"/>
    <mergeCell ref="J16:M17"/>
    <mergeCell ref="V15:W15"/>
    <mergeCell ref="P16:S17"/>
    <mergeCell ref="P15:S15"/>
    <mergeCell ref="T16:U17"/>
    <mergeCell ref="N14:O15"/>
    <mergeCell ref="N16:O17"/>
    <mergeCell ref="X16:Z17"/>
    <mergeCell ref="AA16:AB17"/>
    <mergeCell ref="AC16:AD17"/>
    <mergeCell ref="C14:I15"/>
    <mergeCell ref="X14:Z15"/>
    <mergeCell ref="BC18:BC19"/>
    <mergeCell ref="B20:B21"/>
    <mergeCell ref="T20:U21"/>
    <mergeCell ref="V20:W21"/>
    <mergeCell ref="AI18:AJ19"/>
    <mergeCell ref="AV22:AV23"/>
    <mergeCell ref="AX22:AX23"/>
    <mergeCell ref="AO20:AQ21"/>
    <mergeCell ref="C22:I23"/>
    <mergeCell ref="BC20:BC21"/>
    <mergeCell ref="B22:B23"/>
    <mergeCell ref="T22:U23"/>
    <mergeCell ref="V22:W23"/>
    <mergeCell ref="AI20:AJ21"/>
    <mergeCell ref="AU20:AU21"/>
    <mergeCell ref="J22:M23"/>
    <mergeCell ref="N22:O23"/>
    <mergeCell ref="AI22:AJ23"/>
    <mergeCell ref="AU22:AU23"/>
    <mergeCell ref="BC22:BC23"/>
    <mergeCell ref="B18:B19"/>
    <mergeCell ref="T18:U19"/>
    <mergeCell ref="AE22:AH23"/>
    <mergeCell ref="AK22:AN23"/>
    <mergeCell ref="AO22:AQ23"/>
    <mergeCell ref="AU24:AU25"/>
    <mergeCell ref="AX20:AX21"/>
    <mergeCell ref="P24:S25"/>
    <mergeCell ref="X24:Z25"/>
    <mergeCell ref="AA24:AB25"/>
    <mergeCell ref="AC24:AD25"/>
    <mergeCell ref="AE24:AH25"/>
    <mergeCell ref="AK24:AN25"/>
    <mergeCell ref="AO24:AQ25"/>
    <mergeCell ref="AW24:AW25"/>
    <mergeCell ref="AE20:AH21"/>
    <mergeCell ref="AK20:AN21"/>
    <mergeCell ref="AW20:AW21"/>
    <mergeCell ref="AW22:AW23"/>
    <mergeCell ref="BC24:BC25"/>
    <mergeCell ref="B26:B27"/>
    <mergeCell ref="T26:U27"/>
    <mergeCell ref="V26:W27"/>
    <mergeCell ref="AI24:AJ25"/>
    <mergeCell ref="AV28:AV29"/>
    <mergeCell ref="AX28:AX29"/>
    <mergeCell ref="J24:M25"/>
    <mergeCell ref="N24:O25"/>
    <mergeCell ref="BC26:BC27"/>
    <mergeCell ref="B28:B29"/>
    <mergeCell ref="T28:U29"/>
    <mergeCell ref="V28:W29"/>
    <mergeCell ref="AI26:AJ27"/>
    <mergeCell ref="AU26:AU27"/>
    <mergeCell ref="C28:I29"/>
    <mergeCell ref="J28:M29"/>
    <mergeCell ref="AI28:AJ29"/>
    <mergeCell ref="AU28:AU29"/>
    <mergeCell ref="BC28:BC29"/>
    <mergeCell ref="B24:B25"/>
    <mergeCell ref="C24:I25"/>
    <mergeCell ref="C26:I27"/>
    <mergeCell ref="J26:M27"/>
    <mergeCell ref="N28:O29"/>
    <mergeCell ref="P28:S29"/>
    <mergeCell ref="X28:Z29"/>
    <mergeCell ref="AA28:AB29"/>
    <mergeCell ref="AC28:AD29"/>
    <mergeCell ref="AE28:AH29"/>
    <mergeCell ref="AK28:AN29"/>
    <mergeCell ref="AO28:AQ29"/>
    <mergeCell ref="AU30:AU31"/>
    <mergeCell ref="N30:O31"/>
    <mergeCell ref="P30:S31"/>
    <mergeCell ref="X30:Z31"/>
    <mergeCell ref="AA30:AB31"/>
    <mergeCell ref="AC30:AD31"/>
    <mergeCell ref="AE30:AH31"/>
    <mergeCell ref="AK30:AN31"/>
    <mergeCell ref="AO30:AQ31"/>
    <mergeCell ref="BC30:BC31"/>
    <mergeCell ref="B32:B33"/>
    <mergeCell ref="T32:U33"/>
    <mergeCell ref="V32:W33"/>
    <mergeCell ref="AI30:AJ31"/>
    <mergeCell ref="C30:I31"/>
    <mergeCell ref="J30:M31"/>
    <mergeCell ref="B30:B31"/>
    <mergeCell ref="T30:U31"/>
    <mergeCell ref="V30:W31"/>
    <mergeCell ref="AV32:AV33"/>
    <mergeCell ref="AX32:AX33"/>
    <mergeCell ref="C32:I33"/>
    <mergeCell ref="J32:M33"/>
    <mergeCell ref="N32:O33"/>
    <mergeCell ref="P32:S33"/>
    <mergeCell ref="X32:Z33"/>
    <mergeCell ref="AA32:AB33"/>
    <mergeCell ref="AC32:AD33"/>
    <mergeCell ref="AE32:AH33"/>
    <mergeCell ref="BC32:BC33"/>
    <mergeCell ref="AI32:AJ33"/>
    <mergeCell ref="AU32:AU33"/>
    <mergeCell ref="P40:S41"/>
    <mergeCell ref="T40:U41"/>
    <mergeCell ref="V40:W41"/>
    <mergeCell ref="X40:Z41"/>
    <mergeCell ref="AA40:AB41"/>
    <mergeCell ref="AC40:AD41"/>
    <mergeCell ref="B48:B49"/>
    <mergeCell ref="AK32:AN33"/>
    <mergeCell ref="AO32:AQ33"/>
    <mergeCell ref="C36:I37"/>
    <mergeCell ref="J36:M37"/>
    <mergeCell ref="N36:O37"/>
    <mergeCell ref="T36:U37"/>
    <mergeCell ref="X36:Z37"/>
    <mergeCell ref="AE36:AH37"/>
    <mergeCell ref="AI36:AJ37"/>
    <mergeCell ref="AK36:AN37"/>
    <mergeCell ref="AE40:AH41"/>
    <mergeCell ref="AI40:AJ41"/>
    <mergeCell ref="AK40:AN41"/>
    <mergeCell ref="AO40:AQ41"/>
    <mergeCell ref="P38:S39"/>
    <mergeCell ref="T38:U39"/>
    <mergeCell ref="V38:W39"/>
    <mergeCell ref="B50:B51"/>
    <mergeCell ref="B52:B53"/>
    <mergeCell ref="B54:B55"/>
    <mergeCell ref="B56:B57"/>
    <mergeCell ref="B58:B59"/>
    <mergeCell ref="B46:B47"/>
    <mergeCell ref="C38:I39"/>
    <mergeCell ref="J38:M39"/>
    <mergeCell ref="N38:O39"/>
    <mergeCell ref="C40:I41"/>
    <mergeCell ref="J40:M41"/>
    <mergeCell ref="N40:O41"/>
    <mergeCell ref="C42:I43"/>
    <mergeCell ref="J42:M43"/>
    <mergeCell ref="B72:B73"/>
    <mergeCell ref="B74:B75"/>
    <mergeCell ref="B76:B77"/>
    <mergeCell ref="B78:B79"/>
    <mergeCell ref="B80:B81"/>
    <mergeCell ref="B82:B83"/>
    <mergeCell ref="B60:B61"/>
    <mergeCell ref="B62:B63"/>
    <mergeCell ref="B64:B65"/>
    <mergeCell ref="B66:B67"/>
    <mergeCell ref="B68:B69"/>
    <mergeCell ref="B70:B71"/>
    <mergeCell ref="B96:B97"/>
    <mergeCell ref="B98:B99"/>
    <mergeCell ref="B100:B101"/>
    <mergeCell ref="B102:B103"/>
    <mergeCell ref="B104:B105"/>
    <mergeCell ref="B106:B107"/>
    <mergeCell ref="B84:B85"/>
    <mergeCell ref="B86:B87"/>
    <mergeCell ref="B88:B89"/>
    <mergeCell ref="B90:B91"/>
    <mergeCell ref="B92:B93"/>
    <mergeCell ref="B94:B95"/>
    <mergeCell ref="B120:B121"/>
    <mergeCell ref="B122:B123"/>
    <mergeCell ref="B124:B125"/>
    <mergeCell ref="B126:B127"/>
    <mergeCell ref="B128:B129"/>
    <mergeCell ref="B130:B131"/>
    <mergeCell ref="B108:B109"/>
    <mergeCell ref="B110:B111"/>
    <mergeCell ref="B112:B113"/>
    <mergeCell ref="B114:B115"/>
    <mergeCell ref="B116:B117"/>
    <mergeCell ref="B118:B119"/>
    <mergeCell ref="B144:B145"/>
    <mergeCell ref="B146:B147"/>
    <mergeCell ref="B148:B149"/>
    <mergeCell ref="B150:B151"/>
    <mergeCell ref="B152:B153"/>
    <mergeCell ref="B154:B155"/>
    <mergeCell ref="B132:B133"/>
    <mergeCell ref="B134:B135"/>
    <mergeCell ref="B136:B137"/>
    <mergeCell ref="B138:B139"/>
    <mergeCell ref="B140:B141"/>
    <mergeCell ref="B142:B143"/>
    <mergeCell ref="B168:B169"/>
    <mergeCell ref="B170:B171"/>
    <mergeCell ref="B172:B173"/>
    <mergeCell ref="B174:B175"/>
    <mergeCell ref="B176:B177"/>
    <mergeCell ref="B178:B179"/>
    <mergeCell ref="B156:B157"/>
    <mergeCell ref="B158:B159"/>
    <mergeCell ref="B160:B161"/>
    <mergeCell ref="B162:B163"/>
    <mergeCell ref="B164:B165"/>
    <mergeCell ref="B166:B167"/>
    <mergeCell ref="B192:B193"/>
    <mergeCell ref="B194:B195"/>
    <mergeCell ref="B196:B197"/>
    <mergeCell ref="B198:B199"/>
    <mergeCell ref="M200:AG201"/>
    <mergeCell ref="AU200:AU201"/>
    <mergeCell ref="B180:B181"/>
    <mergeCell ref="B182:B183"/>
    <mergeCell ref="B184:B185"/>
    <mergeCell ref="B186:B187"/>
    <mergeCell ref="B188:B189"/>
    <mergeCell ref="B190:B191"/>
    <mergeCell ref="AA42:AB43"/>
    <mergeCell ref="AC42:AD43"/>
    <mergeCell ref="T44:U45"/>
    <mergeCell ref="V44:W45"/>
    <mergeCell ref="X44:Z45"/>
    <mergeCell ref="AA44:AB45"/>
    <mergeCell ref="AC44:AD45"/>
    <mergeCell ref="BF32:BF33"/>
    <mergeCell ref="BF14:BF15"/>
    <mergeCell ref="BF16:BF17"/>
    <mergeCell ref="BF18:BF19"/>
    <mergeCell ref="BF20:BF21"/>
    <mergeCell ref="BF22:BF23"/>
    <mergeCell ref="BF24:BF25"/>
    <mergeCell ref="BF26:BF27"/>
    <mergeCell ref="BF28:BF29"/>
    <mergeCell ref="BF30:BF31"/>
    <mergeCell ref="AZ38:AZ39"/>
    <mergeCell ref="AZ40:AZ41"/>
    <mergeCell ref="AZ42:AZ43"/>
    <mergeCell ref="AI38:AJ39"/>
    <mergeCell ref="AK38:AN39"/>
    <mergeCell ref="AO38:AQ39"/>
    <mergeCell ref="X38:Z39"/>
    <mergeCell ref="AE44:AH45"/>
    <mergeCell ref="AI44:AJ45"/>
    <mergeCell ref="AK44:AN45"/>
    <mergeCell ref="AO44:AQ45"/>
    <mergeCell ref="B38:B39"/>
    <mergeCell ref="B40:B41"/>
    <mergeCell ref="B42:B43"/>
    <mergeCell ref="B44:B45"/>
    <mergeCell ref="AZ44:AZ45"/>
    <mergeCell ref="AX38:AX39"/>
    <mergeCell ref="AY38:AY39"/>
    <mergeCell ref="AE42:AH43"/>
    <mergeCell ref="AI42:AJ43"/>
    <mergeCell ref="AK42:AN43"/>
    <mergeCell ref="AO42:AQ43"/>
    <mergeCell ref="C44:I45"/>
    <mergeCell ref="J44:M45"/>
    <mergeCell ref="N44:O45"/>
    <mergeCell ref="P44:S45"/>
    <mergeCell ref="N42:O43"/>
    <mergeCell ref="P42:S43"/>
    <mergeCell ref="T42:U43"/>
    <mergeCell ref="V42:W43"/>
    <mergeCell ref="X42:Z43"/>
    <mergeCell ref="C34:AQ35"/>
    <mergeCell ref="AA36:AD36"/>
    <mergeCell ref="P37:S37"/>
    <mergeCell ref="V37:W37"/>
    <mergeCell ref="AA37:AB37"/>
    <mergeCell ref="AC37:AD37"/>
    <mergeCell ref="AU38:AU39"/>
    <mergeCell ref="AV38:AV39"/>
    <mergeCell ref="AW38:AW39"/>
    <mergeCell ref="AA38:AB39"/>
    <mergeCell ref="AC38:AD39"/>
    <mergeCell ref="AE38:AH39"/>
    <mergeCell ref="AO36:AQ37"/>
    <mergeCell ref="BE38:BE39"/>
    <mergeCell ref="BE40:BE41"/>
    <mergeCell ref="BE42:BE43"/>
    <mergeCell ref="BC38:BC39"/>
    <mergeCell ref="AU40:AU41"/>
    <mergeCell ref="AV40:AV41"/>
    <mergeCell ref="AW40:AW41"/>
    <mergeCell ref="AX40:AX41"/>
    <mergeCell ref="AY40:AY41"/>
    <mergeCell ref="BC40:BC41"/>
    <mergeCell ref="AU42:AU43"/>
    <mergeCell ref="AV42:AV43"/>
    <mergeCell ref="AW42:AW43"/>
    <mergeCell ref="AX42:AX43"/>
    <mergeCell ref="AY42:AY43"/>
    <mergeCell ref="BC42:BC43"/>
  </mergeCells>
  <conditionalFormatting sqref="J16:O33">
    <cfRule type="expression" dxfId="175" priority="19">
      <formula>AND(ISBLANK($C16)=FALSE,OR(ISBLANK(J16)=TRUE,J16=""))</formula>
    </cfRule>
  </conditionalFormatting>
  <conditionalFormatting sqref="J38:O43">
    <cfRule type="expression" dxfId="174" priority="1">
      <formula>AND(ISBLANK($C38)=FALSE,OR(ISBLANK(J38)=TRUE,J38=""))</formula>
    </cfRule>
  </conditionalFormatting>
  <conditionalFormatting sqref="V16:Z33">
    <cfRule type="expression" dxfId="173" priority="86">
      <formula>AND(ISBLANK($C16)=FALSE,OR(ISBLANK(V16)=TRUE,V16=""))</formula>
    </cfRule>
  </conditionalFormatting>
  <conditionalFormatting sqref="V38:Z43">
    <cfRule type="expression" dxfId="172" priority="3">
      <formula>AND(ISBLANK($C38)=FALSE,OR(ISBLANK(V38)=TRUE,V38=""))</formula>
    </cfRule>
  </conditionalFormatting>
  <conditionalFormatting sqref="AA16:AD33">
    <cfRule type="expression" dxfId="171" priority="82">
      <formula>AND(ISBLANK($C16)=FALSE,OR(ISBLANK(AA16)=TRUE,AA16=""))</formula>
    </cfRule>
  </conditionalFormatting>
  <conditionalFormatting sqref="AA38:AD43">
    <cfRule type="expression" dxfId="170" priority="2">
      <formula>AND(ISBLANK($C38)=FALSE,OR(ISBLANK(AA38)=TRUE,AA38=""))</formula>
    </cfRule>
  </conditionalFormatting>
  <conditionalFormatting sqref="AH2 AL2">
    <cfRule type="expression" dxfId="169" priority="87">
      <formula>PROJSTATUS=PROJSTATELI</formula>
    </cfRule>
    <cfRule type="expression" dxfId="168" priority="88">
      <formula>PROJSTATUS=PROJSTATREVIEW</formula>
    </cfRule>
    <cfRule type="expression" dxfId="167" priority="92">
      <formula>PROJSTATUS=PROJSTATPREAPPROVE</formula>
    </cfRule>
    <cfRule type="expression" dxfId="166" priority="93">
      <formula>PROJSTATUS=PROJSTATSTANDARD</formula>
    </cfRule>
    <cfRule type="expression" dxfId="165" priority="94">
      <formula>PROJSTATUS=PROJSTATEXP</formula>
    </cfRule>
  </conditionalFormatting>
  <conditionalFormatting sqref="AK16:AN33 AK38:AN45">
    <cfRule type="expression" dxfId="164" priority="4">
      <formula>ISNUMBER(AK16)=FALSE</formula>
    </cfRule>
  </conditionalFormatting>
  <conditionalFormatting sqref="AQ2:AR3">
    <cfRule type="cellIs" dxfId="163" priority="89" operator="equal">
      <formula>1</formula>
    </cfRule>
    <cfRule type="cellIs" dxfId="162" priority="90" operator="between">
      <formula>0.51</formula>
      <formula>0.99</formula>
    </cfRule>
    <cfRule type="cellIs" dxfId="161" priority="91" operator="lessThanOrEqual">
      <formula>0.5</formula>
    </cfRule>
  </conditionalFormatting>
  <dataValidations xWindow="306" yWindow="575" count="10">
    <dataValidation type="list" allowBlank="1" showInputMessage="1" showErrorMessage="1" prompt="Please select the number of shifts which most approximates operation.  If unknown, select unknown." sqref="N16:O33 N38:O43" xr:uid="{5C32CF0F-3A9E-45E4-88BD-88B769E74ECE}">
      <formula1>CAShift</formula1>
    </dataValidation>
    <dataValidation type="decimal" showInputMessage="1" showErrorMessage="1" error="Please enter a value within the measure parameters." prompt="Reference the &quot;Unit of Measure&quot; column to ensure you enter the correct value based on unit type." sqref="V16:W33 V38:W43" xr:uid="{80745F9D-FEE5-4BCF-81DB-775FB90C9120}">
      <formula1>INDEX(PMECAEFFW1,MATCH(C16,PMECAEFF2,0))</formula1>
      <formula2>INDEX(PMECAEFFW2,MATCH(C16,PMECAEFF2,0))</formula2>
    </dataValidation>
    <dataValidation type="list" allowBlank="1" showInputMessage="1" showErrorMessage="1" sqref="C16:I33" xr:uid="{447CBAD1-5DCE-4EFC-8458-0AAA0599070E}">
      <formula1>IF(ISBLANK(J16),CAMeasureSelect,"")</formula1>
    </dataValidation>
    <dataValidation allowBlank="1" showInputMessage="1" showErrorMessage="1" prompt="Please enter the total material cost." sqref="AA32:AB33 AA44:AB45" xr:uid="{837C5B98-4E54-4542-AE4F-84C71BEE5519}"/>
    <dataValidation allowBlank="1" showInputMessage="1" showErrorMessage="1" prompt="Please enter the total labor cost." sqref="AC32:AD33 AC44:AD45" xr:uid="{393DB482-65E0-4C55-B216-2234457BD0FD}"/>
    <dataValidation allowBlank="1" showInputMessage="1" showErrorMessage="1" prompt="This is the TOTAL Material Cost of the measure, NOT a per unit basis." sqref="AA16:AB31 AA38:AB43" xr:uid="{074CF24B-C8D8-4B75-A054-2F47F9F56648}"/>
    <dataValidation allowBlank="1" showInputMessage="1" showErrorMessage="1" prompt="This is the TOTAL Labor Cost of the measure, NOT a per unit basis." sqref="AC16:AD31 AC38:AD43" xr:uid="{AD226762-525F-484E-A813-E98569999C8D}"/>
    <dataValidation type="list" allowBlank="1" showInputMessage="1" showErrorMessage="1" prompt="Please select baseline control where applicable.  Clear this value to re-select measure." sqref="J16:M33" xr:uid="{61A95DE4-948A-4149-BF4A-24BB3760AC98}">
      <formula1>PMECAEFF1</formula1>
    </dataValidation>
    <dataValidation showInputMessage="1" showErrorMessage="1" error="Please enter a value within the measure parameters." prompt="Reference the &quot;Unit of Measure&quot; column to ensure you enter the correct value based on unit type." sqref="V44:W45" xr:uid="{409927D1-1352-4432-83BA-D52BAE19E5DE}"/>
    <dataValidation type="whole" allowBlank="1" showInputMessage="1" showErrorMessage="1" prompt="Please Enter the Total System HP." sqref="J38:M43" xr:uid="{77ACAC14-2BF3-410A-B66D-927EB800AB55}">
      <formula1>0</formula1>
      <formula2>200</formula2>
    </dataValidation>
  </dataValidations>
  <hyperlinks>
    <hyperlink ref="B202" r:id="rId1" xr:uid="{856E23D3-1943-4274-8B5E-917412D3D46B}"/>
  </hyperlinks>
  <pageMargins left="0.25" right="0.25" top="0.25" bottom="0.25" header="0.25" footer="0.25"/>
  <pageSetup scale="56" fitToHeight="0" orientation="landscape" r:id="rId2"/>
  <drawing r:id="rId3"/>
  <extLst>
    <ext xmlns:x14="http://schemas.microsoft.com/office/spreadsheetml/2009/9/main" uri="{CCE6A557-97BC-4b89-ADB6-D9C93CAAB3DF}">
      <x14:dataValidations xmlns:xm="http://schemas.microsoft.com/office/excel/2006/main" xWindow="306" yWindow="575" count="1">
        <x14:dataValidation type="list" allowBlank="1" showInputMessage="1" showErrorMessage="1" xr:uid="{C96C16AE-2A2D-4679-B643-C794B6609ECB}">
          <x14:formula1>
            <xm:f>PRESCRIPTIVE!$AH$171</xm:f>
          </x14:formula1>
          <xm:sqref>C38:I43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A1FE3-F584-4A1F-8C84-D3A11A34F836}">
  <sheetPr codeName="Sheet8"/>
  <dimension ref="A1:BE203"/>
  <sheetViews>
    <sheetView showGridLines="0" showRowColHeaders="0" zoomScale="85" zoomScaleNormal="85" workbookViewId="0">
      <selection activeCell="C16" sqref="C16:M17"/>
    </sheetView>
  </sheetViews>
  <sheetFormatPr defaultColWidth="0" defaultRowHeight="15" zeroHeight="1"/>
  <cols>
    <col min="1" max="45" width="4.7109375" customWidth="1"/>
    <col min="46" max="46" width="4.7109375" hidden="1" customWidth="1"/>
    <col min="47" max="71" width="9.140625" hidden="1" customWidth="1"/>
    <col min="72" max="16384" width="9.140625" hidden="1"/>
  </cols>
  <sheetData>
    <row r="1" spans="2:57" ht="16.5">
      <c r="AH1" s="681" t="s">
        <v>471</v>
      </c>
      <c r="AI1" s="681"/>
      <c r="AJ1" s="681"/>
      <c r="AK1" s="681"/>
      <c r="AL1" s="682" t="s">
        <v>736</v>
      </c>
      <c r="AM1" s="682"/>
      <c r="AN1" s="682"/>
      <c r="AO1" s="682"/>
      <c r="AP1" s="682"/>
      <c r="AQ1" s="678" t="s">
        <v>474</v>
      </c>
      <c r="AR1" s="678"/>
      <c r="AS1" s="59"/>
      <c r="AT1" s="59"/>
      <c r="AU1" s="59"/>
      <c r="AV1" s="59"/>
      <c r="AW1" s="59"/>
      <c r="AX1" s="59"/>
      <c r="AY1" s="59"/>
      <c r="AZ1" s="59"/>
      <c r="BA1" s="59"/>
      <c r="BB1" s="59"/>
      <c r="BC1" s="59"/>
    </row>
    <row r="2" spans="2:57">
      <c r="AH2" s="683" t="str">
        <f ca="1">INCENSTATUS</f>
        <v>---</v>
      </c>
      <c r="AI2" s="684"/>
      <c r="AJ2" s="684"/>
      <c r="AK2" s="684"/>
      <c r="AL2" s="685" t="str">
        <f ca="1">PROJSTATUS</f>
        <v>Enter Measures</v>
      </c>
      <c r="AM2" s="685"/>
      <c r="AN2" s="685"/>
      <c r="AO2" s="685"/>
      <c r="AP2" s="685"/>
      <c r="AQ2" s="679">
        <f ca="1">PROGRESSSTATUS</f>
        <v>2.8985507246376812E-2</v>
      </c>
      <c r="AR2" s="680"/>
      <c r="AS2" s="59"/>
      <c r="AT2" s="59"/>
      <c r="AU2" s="59"/>
      <c r="AV2" s="59"/>
      <c r="AW2" s="59"/>
      <c r="AX2" s="59"/>
      <c r="AY2" s="59"/>
      <c r="AZ2" s="59"/>
      <c r="BA2" s="59"/>
      <c r="BB2" s="59"/>
      <c r="BC2" s="59"/>
    </row>
    <row r="3" spans="2:57">
      <c r="AH3" s="675"/>
      <c r="AI3" s="676"/>
      <c r="AJ3" s="676"/>
      <c r="AK3" s="676"/>
      <c r="AL3" s="668"/>
      <c r="AM3" s="668"/>
      <c r="AN3" s="668"/>
      <c r="AO3" s="668"/>
      <c r="AP3" s="668"/>
      <c r="AQ3" s="662"/>
      <c r="AR3" s="663"/>
      <c r="AS3" s="59"/>
      <c r="AT3" s="59"/>
      <c r="AU3" s="59"/>
      <c r="AV3" s="59"/>
      <c r="AW3" s="59"/>
      <c r="AX3" s="59"/>
      <c r="AY3" s="59"/>
      <c r="AZ3" s="59"/>
      <c r="BA3" s="59"/>
      <c r="BB3" s="59"/>
      <c r="BC3" s="59"/>
    </row>
    <row r="4" spans="2:57">
      <c r="AR4" s="171"/>
      <c r="AS4" s="59"/>
      <c r="AT4" s="59"/>
      <c r="AU4" s="59"/>
      <c r="AV4" s="59"/>
      <c r="AW4" s="59"/>
      <c r="AX4" s="59"/>
      <c r="AY4" s="59"/>
      <c r="AZ4" s="59"/>
      <c r="BA4" s="59"/>
      <c r="BB4" s="59"/>
      <c r="BC4" s="59"/>
    </row>
    <row r="5" spans="2:57">
      <c r="AS5" s="59"/>
      <c r="AT5" s="59"/>
      <c r="AU5" s="59"/>
      <c r="AV5" s="59"/>
      <c r="AW5" s="59"/>
      <c r="AX5" s="59"/>
      <c r="AY5" s="59"/>
      <c r="AZ5" s="59"/>
      <c r="BA5" s="59"/>
      <c r="BB5" s="59"/>
      <c r="BC5" s="59"/>
    </row>
    <row r="6" spans="2:57">
      <c r="AS6" s="59"/>
      <c r="AT6" s="59"/>
      <c r="AU6" s="59" t="s">
        <v>907</v>
      </c>
      <c r="AV6" s="59">
        <f>PROJID</f>
        <v>0</v>
      </c>
      <c r="AW6" s="59"/>
      <c r="AX6" s="59"/>
      <c r="AY6" s="59"/>
      <c r="AZ6" s="59"/>
      <c r="BA6" s="59"/>
      <c r="BB6" s="59"/>
      <c r="BC6" s="59"/>
    </row>
    <row r="7" spans="2:57">
      <c r="AS7" s="59"/>
      <c r="AT7" s="59"/>
      <c r="AU7" s="87"/>
      <c r="AV7" s="87" t="s">
        <v>866</v>
      </c>
      <c r="AW7" s="87" t="s">
        <v>231</v>
      </c>
      <c r="AX7" s="87" t="s">
        <v>892</v>
      </c>
      <c r="AY7" s="59"/>
      <c r="AZ7" s="59"/>
      <c r="BA7" s="59"/>
      <c r="BB7" s="59"/>
      <c r="BC7" s="59"/>
    </row>
    <row r="8" spans="2:57">
      <c r="AS8" s="59"/>
      <c r="AT8" s="59"/>
      <c r="AU8" s="87" t="s">
        <v>219</v>
      </c>
      <c r="AV8" s="87" t="str">
        <f ca="1">CBPRESE</f>
        <v>NA</v>
      </c>
      <c r="AW8" s="87" t="str">
        <f ca="1">CBCUSE</f>
        <v>NA</v>
      </c>
      <c r="AX8" s="87" t="str">
        <f ca="1">CBALL</f>
        <v>NA</v>
      </c>
      <c r="AY8" s="59"/>
      <c r="AZ8" s="59"/>
      <c r="BA8" s="59"/>
      <c r="BB8" s="59"/>
      <c r="BC8" s="59"/>
    </row>
    <row r="9" spans="2:57">
      <c r="B9" s="59"/>
      <c r="C9" s="59"/>
      <c r="D9" s="59"/>
      <c r="E9" s="59"/>
      <c r="F9" s="59"/>
      <c r="G9" s="59"/>
      <c r="H9" s="59"/>
      <c r="I9" s="59"/>
      <c r="J9" s="59"/>
      <c r="K9" s="59"/>
      <c r="L9" s="59"/>
      <c r="M9" s="59"/>
      <c r="N9" s="59"/>
      <c r="O9" s="59"/>
      <c r="P9" s="59"/>
      <c r="Q9" s="59"/>
      <c r="R9" s="730" t="str">
        <f>CONCATENATE(M3S9," ","Summary")</f>
        <v>Agriculture (Elec/Gas) Summary</v>
      </c>
      <c r="S9" s="730"/>
      <c r="T9" s="730"/>
      <c r="U9" s="730"/>
      <c r="V9" s="730"/>
      <c r="W9" s="730"/>
      <c r="X9" s="730"/>
      <c r="Y9" s="730"/>
      <c r="Z9" s="730"/>
      <c r="AA9" s="730"/>
      <c r="AB9" s="730"/>
      <c r="AC9" s="730"/>
      <c r="AD9" s="59"/>
      <c r="AE9" s="59"/>
      <c r="AF9" s="59"/>
      <c r="AG9" s="59"/>
      <c r="AH9" s="59"/>
      <c r="AI9" s="59"/>
      <c r="AJ9" s="59"/>
      <c r="AK9" s="59"/>
      <c r="AL9" s="59"/>
      <c r="AM9" s="59"/>
      <c r="AN9" s="59"/>
      <c r="AO9" s="59"/>
      <c r="AP9" s="59"/>
      <c r="AQ9" s="59"/>
      <c r="AR9" s="59"/>
      <c r="AS9" s="59"/>
      <c r="AT9" s="59"/>
      <c r="AU9" s="87"/>
      <c r="AV9" s="87"/>
      <c r="AW9" s="87"/>
      <c r="AX9" s="87"/>
      <c r="AY9" s="59"/>
      <c r="AZ9" s="59"/>
      <c r="BA9" s="415"/>
      <c r="BB9" s="59"/>
      <c r="BC9" s="59"/>
    </row>
    <row r="10" spans="2:57">
      <c r="B10" s="59"/>
      <c r="C10" s="59"/>
      <c r="D10" s="59"/>
      <c r="E10" s="59"/>
      <c r="F10" s="360"/>
      <c r="G10" s="360"/>
      <c r="H10" s="360"/>
      <c r="I10" s="360"/>
      <c r="J10" s="360"/>
      <c r="K10" s="360"/>
      <c r="L10" s="360"/>
      <c r="M10" s="360"/>
      <c r="N10" s="360"/>
      <c r="O10" s="360"/>
      <c r="P10" s="360"/>
      <c r="Q10" s="59"/>
      <c r="R10" s="730"/>
      <c r="S10" s="730"/>
      <c r="T10" s="730"/>
      <c r="U10" s="730"/>
      <c r="V10" s="730"/>
      <c r="W10" s="730"/>
      <c r="X10" s="730"/>
      <c r="Y10" s="730"/>
      <c r="Z10" s="730"/>
      <c r="AA10" s="730"/>
      <c r="AB10" s="730"/>
      <c r="AC10" s="730"/>
      <c r="AD10" s="59"/>
      <c r="AE10" s="59"/>
      <c r="AF10" s="59"/>
      <c r="AG10" s="59"/>
      <c r="AH10" s="59"/>
      <c r="AI10" s="59"/>
      <c r="AJ10" s="59"/>
      <c r="AK10" s="59"/>
      <c r="AL10" s="59"/>
      <c r="AM10" s="59"/>
      <c r="AN10" s="59"/>
      <c r="AO10" s="59"/>
      <c r="AP10" s="59"/>
      <c r="AQ10" s="59"/>
      <c r="AR10" s="59"/>
      <c r="AS10" s="59"/>
      <c r="AT10" s="59"/>
      <c r="AU10" s="87" t="s">
        <v>581</v>
      </c>
      <c r="AV10" s="87" t="str">
        <f ca="1">PAYPRESE</f>
        <v>NA</v>
      </c>
      <c r="AW10" s="87" t="str">
        <f ca="1">PAYCUSE</f>
        <v>NA</v>
      </c>
      <c r="AX10" s="367" t="str">
        <f ca="1">PAYALL</f>
        <v>NA</v>
      </c>
      <c r="AY10" s="59"/>
      <c r="AZ10" s="59"/>
      <c r="BA10" s="59"/>
      <c r="BB10" s="59"/>
      <c r="BC10" s="59"/>
    </row>
    <row r="11" spans="2:57" ht="16.5" customHeight="1">
      <c r="B11" s="59"/>
      <c r="C11" s="59"/>
      <c r="D11" s="59"/>
      <c r="E11" s="59"/>
      <c r="F11" s="1012" t="s">
        <v>2057</v>
      </c>
      <c r="G11" s="1012"/>
      <c r="H11" s="1012"/>
      <c r="I11" s="1012"/>
      <c r="J11" s="1012"/>
      <c r="K11" s="1012"/>
      <c r="L11" s="1012"/>
      <c r="M11" s="1012"/>
      <c r="N11" s="1012"/>
      <c r="O11" s="1012"/>
      <c r="P11" s="1012"/>
      <c r="Q11" s="59"/>
      <c r="R11" s="831" t="s">
        <v>68</v>
      </c>
      <c r="S11" s="831"/>
      <c r="T11" s="831"/>
      <c r="U11" s="831"/>
      <c r="V11" s="831" t="s">
        <v>69</v>
      </c>
      <c r="W11" s="831"/>
      <c r="X11" s="831"/>
      <c r="Y11" s="831"/>
      <c r="Z11" s="831" t="s">
        <v>70</v>
      </c>
      <c r="AA11" s="831"/>
      <c r="AB11" s="831"/>
      <c r="AC11" s="831"/>
      <c r="AD11" s="59"/>
      <c r="AE11" s="831" t="s">
        <v>198</v>
      </c>
      <c r="AF11" s="831"/>
      <c r="AG11" s="831"/>
      <c r="AH11" s="831"/>
      <c r="AJ11" s="896" t="s">
        <v>2111</v>
      </c>
      <c r="AK11" s="896"/>
      <c r="AL11" s="896"/>
      <c r="AM11" s="896"/>
      <c r="AN11" s="59"/>
      <c r="AO11" s="59"/>
      <c r="AP11" s="59"/>
      <c r="AQ11" s="59"/>
      <c r="AR11" s="59"/>
      <c r="AS11" s="59"/>
      <c r="AT11" s="59"/>
      <c r="AU11" s="59"/>
      <c r="AV11" s="59"/>
      <c r="AW11" s="59"/>
      <c r="AX11" s="59"/>
      <c r="AY11" s="59"/>
      <c r="AZ11" s="59"/>
      <c r="BA11" s="59"/>
      <c r="BB11" s="59"/>
      <c r="BC11" s="59"/>
    </row>
    <row r="12" spans="2:57">
      <c r="B12" s="59"/>
      <c r="D12" s="59"/>
      <c r="E12" s="59"/>
      <c r="F12" s="1012"/>
      <c r="G12" s="1012"/>
      <c r="H12" s="1012"/>
      <c r="I12" s="1012"/>
      <c r="J12" s="1012"/>
      <c r="K12" s="1012"/>
      <c r="L12" s="1012"/>
      <c r="M12" s="1012"/>
      <c r="N12" s="1012"/>
      <c r="O12" s="1012"/>
      <c r="P12" s="1012"/>
      <c r="Q12" s="59"/>
      <c r="R12" s="875">
        <f>SUM(AN16:AQ65)</f>
        <v>0</v>
      </c>
      <c r="S12" s="875"/>
      <c r="T12" s="875"/>
      <c r="U12" s="875"/>
      <c r="V12" s="875">
        <f>AU200</f>
        <v>0</v>
      </c>
      <c r="W12" s="875"/>
      <c r="X12" s="875"/>
      <c r="Y12" s="875"/>
      <c r="Z12" s="876">
        <f ca="1">SUMIF(AN16:AQ45,"&gt;0",AK16:AM45)</f>
        <v>0</v>
      </c>
      <c r="AA12" s="876"/>
      <c r="AB12" s="876"/>
      <c r="AC12" s="876"/>
      <c r="AD12" s="59"/>
      <c r="AE12" s="997">
        <f ca="1">SUMIF(AN50:AQ199,"&gt;0",AK50:AM65)</f>
        <v>0</v>
      </c>
      <c r="AF12" s="997"/>
      <c r="AG12" s="997"/>
      <c r="AH12" s="997"/>
      <c r="AJ12" s="875">
        <f ca="1">IFERROR(IF(AN66="",0,AN66),0)</f>
        <v>0</v>
      </c>
      <c r="AK12" s="875"/>
      <c r="AL12" s="875"/>
      <c r="AM12" s="875"/>
      <c r="AN12" s="59"/>
      <c r="AO12" s="59"/>
      <c r="AP12" s="59"/>
      <c r="AQ12" s="59"/>
      <c r="AR12" s="59"/>
      <c r="AS12" s="59"/>
      <c r="AT12" s="59"/>
      <c r="AU12" s="59"/>
      <c r="AV12" s="59"/>
      <c r="AW12" s="59"/>
      <c r="AX12" s="59"/>
      <c r="AY12" s="59"/>
      <c r="AZ12" s="59"/>
      <c r="BA12" s="59"/>
      <c r="BB12" s="59"/>
      <c r="BC12" s="59"/>
    </row>
    <row r="13" spans="2:57">
      <c r="B13" s="59"/>
      <c r="D13" s="59"/>
      <c r="E13" s="59"/>
      <c r="F13" s="82"/>
      <c r="G13" s="82"/>
      <c r="H13" s="82"/>
      <c r="I13" s="82"/>
      <c r="J13" s="82"/>
      <c r="K13" s="82"/>
      <c r="L13" s="82"/>
      <c r="M13" s="82"/>
      <c r="N13" s="82"/>
      <c r="O13" s="82"/>
      <c r="P13" s="82"/>
      <c r="Q13" s="59"/>
      <c r="R13" s="875"/>
      <c r="S13" s="875"/>
      <c r="T13" s="875"/>
      <c r="U13" s="875"/>
      <c r="V13" s="875"/>
      <c r="W13" s="875"/>
      <c r="X13" s="875"/>
      <c r="Y13" s="875"/>
      <c r="Z13" s="876"/>
      <c r="AA13" s="876"/>
      <c r="AB13" s="876"/>
      <c r="AC13" s="876"/>
      <c r="AD13" s="59"/>
      <c r="AE13" s="997"/>
      <c r="AF13" s="997"/>
      <c r="AG13" s="997"/>
      <c r="AH13" s="997"/>
      <c r="AJ13" s="875"/>
      <c r="AK13" s="875"/>
      <c r="AL13" s="875"/>
      <c r="AM13" s="875"/>
      <c r="AN13" s="59"/>
      <c r="AO13" s="59"/>
      <c r="AP13" s="59"/>
      <c r="AQ13" s="59"/>
      <c r="AR13" s="59"/>
      <c r="AS13" s="59"/>
      <c r="AT13" s="59"/>
      <c r="AU13" s="59"/>
      <c r="AV13" s="59"/>
      <c r="AW13" s="59"/>
      <c r="AX13" s="59"/>
      <c r="AY13" s="59"/>
      <c r="AZ13" s="59"/>
      <c r="BA13" s="59"/>
      <c r="BB13" s="59"/>
      <c r="BC13" s="59"/>
    </row>
    <row r="14" spans="2:57" ht="15" customHeight="1">
      <c r="B14" s="59"/>
      <c r="C14" s="804" t="s">
        <v>99</v>
      </c>
      <c r="D14" s="804"/>
      <c r="E14" s="804"/>
      <c r="F14" s="804"/>
      <c r="G14" s="804"/>
      <c r="H14" s="804"/>
      <c r="I14" s="804"/>
      <c r="J14" s="804"/>
      <c r="K14" s="804"/>
      <c r="L14" s="804"/>
      <c r="M14" s="804"/>
      <c r="N14" s="804" t="s">
        <v>103</v>
      </c>
      <c r="O14" s="804"/>
      <c r="P14" s="804"/>
      <c r="Q14" s="804"/>
      <c r="R14" s="804"/>
      <c r="S14" s="804"/>
      <c r="T14" s="804" t="s">
        <v>100</v>
      </c>
      <c r="U14" s="804"/>
      <c r="V14" s="804" t="s">
        <v>91</v>
      </c>
      <c r="W14" s="804"/>
      <c r="X14" s="804" t="s">
        <v>115</v>
      </c>
      <c r="Y14" s="804"/>
      <c r="Z14" s="804"/>
      <c r="AA14" s="804"/>
      <c r="AB14" s="804" t="s">
        <v>104</v>
      </c>
      <c r="AC14" s="804"/>
      <c r="AD14" s="804"/>
      <c r="AE14" s="920" t="s">
        <v>1587</v>
      </c>
      <c r="AF14" s="920"/>
      <c r="AG14" s="920"/>
      <c r="AH14" s="920"/>
      <c r="AI14" s="804" t="s">
        <v>93</v>
      </c>
      <c r="AJ14" s="804"/>
      <c r="AK14" s="804" t="s">
        <v>92</v>
      </c>
      <c r="AL14" s="804"/>
      <c r="AM14" s="804"/>
      <c r="AN14" s="804" t="s">
        <v>108</v>
      </c>
      <c r="AO14" s="804"/>
      <c r="AP14" s="804"/>
      <c r="AQ14" s="804"/>
      <c r="AU14" s="804" t="s">
        <v>196</v>
      </c>
      <c r="AV14" s="804" t="s">
        <v>197</v>
      </c>
      <c r="AW14" s="804" t="s">
        <v>1584</v>
      </c>
      <c r="AX14" s="804" t="s">
        <v>1227</v>
      </c>
      <c r="AY14" s="804" t="s">
        <v>1928</v>
      </c>
      <c r="BC14" s="804" t="s">
        <v>489</v>
      </c>
      <c r="BE14" s="804" t="s">
        <v>2025</v>
      </c>
    </row>
    <row r="15" spans="2:57" ht="15.75" customHeight="1" thickBot="1">
      <c r="B15" s="59"/>
      <c r="C15" s="805"/>
      <c r="D15" s="805"/>
      <c r="E15" s="805"/>
      <c r="F15" s="805"/>
      <c r="G15" s="805"/>
      <c r="H15" s="805"/>
      <c r="I15" s="805"/>
      <c r="J15" s="805"/>
      <c r="K15" s="805"/>
      <c r="L15" s="805"/>
      <c r="M15" s="805"/>
      <c r="N15" s="805"/>
      <c r="O15" s="805"/>
      <c r="P15" s="805"/>
      <c r="Q15" s="805"/>
      <c r="R15" s="805"/>
      <c r="S15" s="805"/>
      <c r="T15" s="805"/>
      <c r="U15" s="805"/>
      <c r="V15" s="805"/>
      <c r="W15" s="805"/>
      <c r="X15" s="805"/>
      <c r="Y15" s="805"/>
      <c r="Z15" s="805"/>
      <c r="AA15" s="805"/>
      <c r="AB15" s="805"/>
      <c r="AC15" s="805"/>
      <c r="AD15" s="805"/>
      <c r="AE15" s="921" t="s">
        <v>110</v>
      </c>
      <c r="AF15" s="921"/>
      <c r="AG15" s="921" t="s">
        <v>111</v>
      </c>
      <c r="AH15" s="921"/>
      <c r="AI15" s="805"/>
      <c r="AJ15" s="805"/>
      <c r="AK15" s="805"/>
      <c r="AL15" s="805"/>
      <c r="AM15" s="805"/>
      <c r="AN15" s="805"/>
      <c r="AO15" s="805"/>
      <c r="AP15" s="805"/>
      <c r="AQ15" s="805"/>
      <c r="AU15" s="805"/>
      <c r="AV15" s="805"/>
      <c r="AW15" s="805"/>
      <c r="AX15" s="805"/>
      <c r="AY15" s="805"/>
      <c r="BC15" s="805"/>
      <c r="BE15" s="805"/>
    </row>
    <row r="16" spans="2:57" ht="15" customHeight="1">
      <c r="B16" s="830">
        <v>1</v>
      </c>
      <c r="C16" s="832"/>
      <c r="D16" s="833"/>
      <c r="E16" s="833"/>
      <c r="F16" s="833"/>
      <c r="G16" s="833"/>
      <c r="H16" s="833"/>
      <c r="I16" s="833"/>
      <c r="J16" s="833"/>
      <c r="K16" s="833"/>
      <c r="L16" s="833"/>
      <c r="M16" s="834"/>
      <c r="N16" s="908" t="str">
        <f>IFERROR(IF(C16="","",INDEX(PMEAGG[Base Desc 1],MATCH(C16,PMEAGG[Eff Desc 1],0))),"")</f>
        <v/>
      </c>
      <c r="O16" s="909"/>
      <c r="P16" s="909"/>
      <c r="Q16" s="909"/>
      <c r="R16" s="909"/>
      <c r="S16" s="910"/>
      <c r="T16" s="947" t="str">
        <f>IFERROR(IF(C16="","",INDEX(PMEAGG[Unit of Measure],MATCH(C16,PMEAGG[Eff Desc 1],0))),"")</f>
        <v/>
      </c>
      <c r="U16" s="948"/>
      <c r="V16" s="846"/>
      <c r="W16" s="847"/>
      <c r="X16" s="832"/>
      <c r="Y16" s="833"/>
      <c r="Z16" s="833"/>
      <c r="AA16" s="834"/>
      <c r="AB16" s="832"/>
      <c r="AC16" s="833"/>
      <c r="AD16" s="834"/>
      <c r="AE16" s="858"/>
      <c r="AF16" s="869"/>
      <c r="AG16" s="858"/>
      <c r="AH16" s="869"/>
      <c r="AI16" s="917" t="str">
        <f>IFERROR(IF(C16="","",INDEX(PMEAGG[Inc Rate Unit],MATCH(C16,PMEAGG[Eff Desc 1],0))),"")</f>
        <v/>
      </c>
      <c r="AJ16" s="918"/>
      <c r="AK16" s="904" t="str">
        <f>IF(OR(C16="",V16="",X16="",AB16="",AE16="",AG16=""),"",AW16)</f>
        <v/>
      </c>
      <c r="AL16" s="905"/>
      <c r="AM16" s="905"/>
      <c r="AN16" s="1059" t="str">
        <f>IF(OR(C16="",V16="",X16="",AB16="",AE16="",AG16=""),"",
IF(OR(ISNUMBER(SEARCH("Heat Recovery",C16)),ISNUMBER(SEARCH("VSD Milk Pump w/",C16)),ISNUMBER(SEARCH("Scroll Compressor",C16)),ISNUMBER(SEARCH("Milk Pre-Cooler",C16))),IF(BC16&lt;&gt;"",BC16,MIN(AU16,ROUND(AI16,2))),
IF(BC16&lt;&gt;"",BC16,MIN(AU16,ROUND(V16*AI16,2)))))</f>
        <v/>
      </c>
      <c r="AO16" s="1060"/>
      <c r="AP16" s="1060"/>
      <c r="AQ16" s="1061"/>
      <c r="AU16" s="808" t="str">
        <f>IF(OR(C16="",N16="",T16="",V16="",X16="",AI16="",AE16="",AB16=""),"",IF(AK16="","",ROUND((AE16+AG16),2)))</f>
        <v/>
      </c>
      <c r="AV16" s="922" t="str">
        <f>IF(OR(C16="",N16="",T16="",V16="",X16="",AB16="",AG16="",AE16=""),"",ROUND(
IF(OR(ISNUMBER(SEARCH("Heat Recovery",C16)),ISNUMBER(SEARCH("VSD Milk Pump w/",C16))),0,
IF(ISNUMBER(SEARCH("Scroll Compressor",C16)),(AW16/2920)*0.34,
IF(ISNUMBER(SEARCH("Milk Pre-Cooler",C16)),(AW16/2920)*0.16,
V16*INDEX(PMEAGG[Savings per Unit kW],MATCH(C16,PMEAGG[Eff Desc 1],0)))
)),3))</f>
        <v/>
      </c>
      <c r="AW16" s="1013" t="str">
        <f>IF(OR(C16="",V16="",X16="",AB16="",AE16="",AG16=""),"",ROUND(
IF(ISNUMBER(SEARCH("Heat Recovery",C16)),V16*(MIN(68*101*0.93*(56.3-38)*0.55,131.7*1*8.34*(120-52.3))*365.25*(1/0.9)/3412),
IF(ISNUMBER(SEARCH("VSD Milk Pump w/",C16)),V16*((1/8)*0.93*11.7*68*101*365/1000),
IF(ISNUMBER(SEARCH("Scroll Compressor",C16)),((((1/8.4)-(1/10.6))*(0.93*30*68*101*365.25))/1000)*V16,
IF(ISNUMBER(SEARCH("Milk Pre-Cooler",C16)),V16*((30*68*101*0.93*365)/(8*1000)),
IF(ISNUMBER(SEARCH("Fan Thermostat Controller",C16)),V16*0.75*0.746*2820/0.825,
V16*INDEX(PMEAGG[Savings per Unit kWh],MATCH(C16,PMEAGG[Eff Desc 1],0))
))))),2))</f>
        <v/>
      </c>
      <c r="AX16" s="922" t="str">
        <f>IF(OR(C16="",N16="",T16="",V16="",X16="",AG16="",AE16="",AB16=""),"",INDEX(PMEAGG[End Use Category],MATCH(C16,PMEAGG[Eff Desc 1],0)))</f>
        <v/>
      </c>
      <c r="AY16" s="1013"/>
      <c r="BC16" s="825" t="str">
        <f>IF(OR(N16="",T16="",C16="",V16="",X16="",AB16="",AE16="",AG16=""),"",IF(OR(ISBLANK(M02S02F26),ISBLANK(M02S02F32),ISBLANK(M02S02F46)),MEASUREBLDG,""))</f>
        <v/>
      </c>
      <c r="BE16" s="806" t="str">
        <f ca="1">IF(OR(T16="",N16="",C16="",V16="",X16="",AB16="",AE16="",AG16=""),"",IF('M01-S01'!$V$82&lt;TODAY(),0,IF(M02S02F46="Gas Only",0,IF(OR(AK16="",AK16&lt;0,AU16&lt;=AN16),0,MIN(AU16-AN16,ROUND(AN16*0.2,2))))))</f>
        <v/>
      </c>
    </row>
    <row r="17" spans="2:57">
      <c r="B17" s="830"/>
      <c r="C17" s="835"/>
      <c r="D17" s="836"/>
      <c r="E17" s="836"/>
      <c r="F17" s="836"/>
      <c r="G17" s="836"/>
      <c r="H17" s="836"/>
      <c r="I17" s="836"/>
      <c r="J17" s="836"/>
      <c r="K17" s="836"/>
      <c r="L17" s="836"/>
      <c r="M17" s="837"/>
      <c r="N17" s="911"/>
      <c r="O17" s="912"/>
      <c r="P17" s="912"/>
      <c r="Q17" s="912"/>
      <c r="R17" s="912"/>
      <c r="S17" s="913"/>
      <c r="T17" s="949"/>
      <c r="U17" s="950"/>
      <c r="V17" s="848"/>
      <c r="W17" s="849"/>
      <c r="X17" s="835"/>
      <c r="Y17" s="836"/>
      <c r="Z17" s="836"/>
      <c r="AA17" s="837"/>
      <c r="AB17" s="835"/>
      <c r="AC17" s="836"/>
      <c r="AD17" s="837"/>
      <c r="AE17" s="860"/>
      <c r="AF17" s="870"/>
      <c r="AG17" s="860"/>
      <c r="AH17" s="870"/>
      <c r="AI17" s="919"/>
      <c r="AJ17" s="865"/>
      <c r="AK17" s="906"/>
      <c r="AL17" s="907"/>
      <c r="AM17" s="907"/>
      <c r="AN17" s="954"/>
      <c r="AO17" s="955"/>
      <c r="AP17" s="955"/>
      <c r="AQ17" s="956"/>
      <c r="AU17" s="809"/>
      <c r="AV17" s="901"/>
      <c r="AW17" s="975"/>
      <c r="AX17" s="901"/>
      <c r="AY17" s="975"/>
      <c r="BC17" s="826"/>
      <c r="BE17" s="807"/>
    </row>
    <row r="18" spans="2:57" ht="15" customHeight="1">
      <c r="B18" s="829">
        <v>2</v>
      </c>
      <c r="C18" s="866"/>
      <c r="D18" s="867"/>
      <c r="E18" s="867"/>
      <c r="F18" s="867"/>
      <c r="G18" s="867"/>
      <c r="H18" s="867"/>
      <c r="I18" s="867"/>
      <c r="J18" s="867"/>
      <c r="K18" s="867"/>
      <c r="L18" s="867"/>
      <c r="M18" s="868"/>
      <c r="N18" s="914" t="str">
        <f>IFERROR(IF(C18="","",INDEX(PMEAGG[Base Desc 1],MATCH(C18,PMEAGG[Eff Desc 1],0))),"")</f>
        <v/>
      </c>
      <c r="O18" s="915"/>
      <c r="P18" s="915"/>
      <c r="Q18" s="915"/>
      <c r="R18" s="915"/>
      <c r="S18" s="916"/>
      <c r="T18" s="987" t="str">
        <f>IFERROR(IF(C18="","",INDEX(PMEAGG[Unit of Measure],MATCH(C18,PMEAGG[Eff Desc 1],0))),"")</f>
        <v/>
      </c>
      <c r="U18" s="988"/>
      <c r="V18" s="871"/>
      <c r="W18" s="872"/>
      <c r="X18" s="866"/>
      <c r="Y18" s="867"/>
      <c r="Z18" s="867"/>
      <c r="AA18" s="868"/>
      <c r="AB18" s="866"/>
      <c r="AC18" s="867"/>
      <c r="AD18" s="868"/>
      <c r="AE18" s="889"/>
      <c r="AF18" s="1067"/>
      <c r="AG18" s="889"/>
      <c r="AH18" s="1067"/>
      <c r="AI18" s="924" t="str">
        <f>IFERROR(IF(C18="","",INDEX(PMEAGG[Inc Rate Unit],MATCH(C18,PMEAGG[Eff Desc 1],0))),"")</f>
        <v/>
      </c>
      <c r="AJ18" s="863"/>
      <c r="AK18" s="904" t="str">
        <f t="shared" ref="AK18" si="0">IF(OR(C18="",V18="",X18="",AB18="",AE18="",AG18=""),"",AW18)</f>
        <v/>
      </c>
      <c r="AL18" s="905"/>
      <c r="AM18" s="969"/>
      <c r="AN18" s="951" t="str">
        <f t="shared" ref="AN18" si="1">IF(OR(C18="",V18="",X18="",AB18="",AE18="",AG18=""),"",
IF(OR(ISNUMBER(SEARCH("Heat Recovery",C18)),ISNUMBER(SEARCH("VSD Milk Pump w/",C18)),ISNUMBER(SEARCH("Scroll Compressor",C18)),ISNUMBER(SEARCH("Milk Pre-Cooler",C18))),IF(BC18&lt;&gt;"",BC18,MIN(AU18,ROUND(AI18,2))),
IF(BC18&lt;&gt;"",BC18,MIN(AU18,ROUND(V18*AI18,2)))))</f>
        <v/>
      </c>
      <c r="AO18" s="952"/>
      <c r="AP18" s="952"/>
      <c r="AQ18" s="953"/>
      <c r="AU18" s="893" t="str">
        <f t="shared" ref="AU18" si="2">IF(OR(C18="",N18="",T18="",V18="",X18="",AI18="",AE18="",AB18=""),"",IF(AK18="","",ROUND((AE18+AG18),2)))</f>
        <v/>
      </c>
      <c r="AV18" s="900" t="str">
        <f>IF(OR(C18="",N18="",T18="",V18="",X18="",AB18="",AG18="",AE18=""),"",ROUND(
IF(OR(ISNUMBER(SEARCH("Heat Recovery",C18)),ISNUMBER(SEARCH("VSD Milk Pump w/",C18))),0,
IF(ISNUMBER(SEARCH("Scroll Compressor",C18)),(AW18/2920)*0.34,
IF(ISNUMBER(SEARCH("Milk Pre-Cooler",C18)),(AW18/2920)*0.16,
V18*INDEX(PMEAGG[Savings per Unit kW],MATCH(C18,PMEAGG[Eff Desc 1],0)))
)),3))</f>
        <v/>
      </c>
      <c r="AW18" s="1013" t="str">
        <f>IF(OR(C18="",V18="",X18="",AB18="",AE18="",AG18=""),"",ROUND(
IF(ISNUMBER(SEARCH("Heat Recovery",C18)),V18*(MIN(68*101*0.93*(56.3-38)*0.55,131.7*1*8.34*(120-52.3))*365.25*(1/0.9)/3412),
IF(ISNUMBER(SEARCH("VSD Milk Pump w/",C18)),V18*((1/8)*0.93*11.7*68*101*365/1000),
IF(ISNUMBER(SEARCH("Scroll Compressor",C18)),((((1/8.4)-(1/10.6))*(0.93*30*68*101*365.25))/1000)*V18,
IF(ISNUMBER(SEARCH("Milk Pre-Cooler",C18)),V18*((30*68*101*0.93*365)/(8*1000)),
IF(ISNUMBER(SEARCH("Fan Thermostat Controller",C18)),V18*0.75*0.746*2820/0.825,
V18*INDEX(PMEAGG[Savings per Unit kWh],MATCH(C18,PMEAGG[Eff Desc 1],0))
))))),2))</f>
        <v/>
      </c>
      <c r="AX18" s="900" t="str">
        <f>IF(OR(C18="",N18="",T18="",V18="",X18="",AG18="",AE18="",AB18=""),"",INDEX(PMEAGG[End Use Category],MATCH(C18,PMEAGG[Eff Desc 1],0)))</f>
        <v/>
      </c>
      <c r="AY18" s="974"/>
      <c r="BC18" s="825" t="str">
        <f>IF(OR(N18="",T18="",C18="",V18="",X18="",AB18="",AE18="",AG18=""),"",IF(OR(ISBLANK(M02S02F26),ISBLANK(M02S02F32),ISBLANK(M02S02F46)),MEASUREBLDG,""))</f>
        <v/>
      </c>
      <c r="BE18" s="806" t="str">
        <f ca="1">IF(OR(T18="",N18="",C18="",V18="",X18="",AB18="",AE18="",AG18=""),"",IF('M01-S01'!$V$82&lt;TODAY(),0,IF(M02S02F46="Gas Only",0,IF(OR(AK18="",AK18&lt;0,AU18&lt;=AN18),0,MIN(AU18-AN18,ROUND(AN18*0.2,2))))))</f>
        <v/>
      </c>
    </row>
    <row r="19" spans="2:57">
      <c r="B19" s="829"/>
      <c r="C19" s="835"/>
      <c r="D19" s="836"/>
      <c r="E19" s="836"/>
      <c r="F19" s="836"/>
      <c r="G19" s="836"/>
      <c r="H19" s="836"/>
      <c r="I19" s="836"/>
      <c r="J19" s="836"/>
      <c r="K19" s="836"/>
      <c r="L19" s="836"/>
      <c r="M19" s="837"/>
      <c r="N19" s="911"/>
      <c r="O19" s="912"/>
      <c r="P19" s="912"/>
      <c r="Q19" s="912"/>
      <c r="R19" s="912"/>
      <c r="S19" s="913"/>
      <c r="T19" s="949"/>
      <c r="U19" s="950"/>
      <c r="V19" s="848"/>
      <c r="W19" s="849"/>
      <c r="X19" s="835"/>
      <c r="Y19" s="836"/>
      <c r="Z19" s="836"/>
      <c r="AA19" s="837"/>
      <c r="AB19" s="835"/>
      <c r="AC19" s="836"/>
      <c r="AD19" s="837"/>
      <c r="AE19" s="860"/>
      <c r="AF19" s="870"/>
      <c r="AG19" s="860"/>
      <c r="AH19" s="870"/>
      <c r="AI19" s="919"/>
      <c r="AJ19" s="865"/>
      <c r="AK19" s="906"/>
      <c r="AL19" s="907"/>
      <c r="AM19" s="936"/>
      <c r="AN19" s="954"/>
      <c r="AO19" s="955"/>
      <c r="AP19" s="955"/>
      <c r="AQ19" s="956"/>
      <c r="AU19" s="809"/>
      <c r="AV19" s="901"/>
      <c r="AW19" s="975"/>
      <c r="AX19" s="901"/>
      <c r="AY19" s="975"/>
      <c r="BC19" s="826"/>
      <c r="BE19" s="807"/>
    </row>
    <row r="20" spans="2:57">
      <c r="B20" s="829">
        <v>3</v>
      </c>
      <c r="C20" s="866"/>
      <c r="D20" s="867"/>
      <c r="E20" s="867"/>
      <c r="F20" s="867"/>
      <c r="G20" s="867"/>
      <c r="H20" s="867"/>
      <c r="I20" s="867"/>
      <c r="J20" s="867"/>
      <c r="K20" s="867"/>
      <c r="L20" s="867"/>
      <c r="M20" s="868"/>
      <c r="N20" s="914" t="str">
        <f>IFERROR(IF(C20="","",INDEX(PMEAGG[Base Desc 1],MATCH(C20,PMEAGG[Eff Desc 1],0))),"")</f>
        <v/>
      </c>
      <c r="O20" s="915"/>
      <c r="P20" s="915"/>
      <c r="Q20" s="915"/>
      <c r="R20" s="915"/>
      <c r="S20" s="916"/>
      <c r="T20" s="987" t="str">
        <f>IFERROR(IF(C20="","",INDEX(PMEAGG[Unit of Measure],MATCH(C20,PMEAGG[Eff Desc 1],0))),"")</f>
        <v/>
      </c>
      <c r="U20" s="988"/>
      <c r="V20" s="871"/>
      <c r="W20" s="872"/>
      <c r="X20" s="866"/>
      <c r="Y20" s="867"/>
      <c r="Z20" s="867"/>
      <c r="AA20" s="868"/>
      <c r="AB20" s="866"/>
      <c r="AC20" s="867"/>
      <c r="AD20" s="868"/>
      <c r="AE20" s="889"/>
      <c r="AF20" s="1067"/>
      <c r="AG20" s="889"/>
      <c r="AH20" s="1067"/>
      <c r="AI20" s="924" t="str">
        <f>IFERROR(IF(C20="","",INDEX(PMEAGG[Inc Rate Unit],MATCH(C20,PMEAGG[Eff Desc 1],0))),"")</f>
        <v/>
      </c>
      <c r="AJ20" s="863"/>
      <c r="AK20" s="904" t="str">
        <f t="shared" ref="AK20" si="3">IF(OR(C20="",V20="",X20="",AB20="",AE20="",AG20=""),"",AW20)</f>
        <v/>
      </c>
      <c r="AL20" s="905"/>
      <c r="AM20" s="969"/>
      <c r="AN20" s="951" t="str">
        <f t="shared" ref="AN20" si="4">IF(OR(C20="",V20="",X20="",AB20="",AE20="",AG20=""),"",
IF(OR(ISNUMBER(SEARCH("Heat Recovery",C20)),ISNUMBER(SEARCH("VSD Milk Pump w/",C20)),ISNUMBER(SEARCH("Scroll Compressor",C20)),ISNUMBER(SEARCH("Milk Pre-Cooler",C20))),IF(BC20&lt;&gt;"",BC20,MIN(AU20,ROUND(AI20,2))),
IF(BC20&lt;&gt;"",BC20,MIN(AU20,ROUND(V20*AI20,2)))))</f>
        <v/>
      </c>
      <c r="AO20" s="952"/>
      <c r="AP20" s="952"/>
      <c r="AQ20" s="953"/>
      <c r="AU20" s="893" t="str">
        <f t="shared" ref="AU20" si="5">IF(OR(C20="",N20="",T20="",V20="",X20="",AI20="",AE20="",AB20=""),"",IF(AK20="","",ROUND((AE20+AG20),2)))</f>
        <v/>
      </c>
      <c r="AV20" s="900" t="str">
        <f>IF(OR(C20="",N20="",T20="",V20="",X20="",AB20="",AG20="",AE20=""),"",ROUND(
IF(OR(ISNUMBER(SEARCH("Heat Recovery",C20)),ISNUMBER(SEARCH("VSD Milk Pump w/",C20))),0,
IF(ISNUMBER(SEARCH("Scroll Compressor",C20)),(AW20/2920)*0.34,
IF(ISNUMBER(SEARCH("Milk Pre-Cooler",C20)),(AW20/2920)*0.16,
V20*INDEX(PMEAGG[Savings per Unit kW],MATCH(C20,PMEAGG[Eff Desc 1],0)))
)),3))</f>
        <v/>
      </c>
      <c r="AW20" s="1013" t="str">
        <f>IF(OR(C20="",V20="",X20="",AB20="",AE20="",AG20=""),"",ROUND(
IF(ISNUMBER(SEARCH("Heat Recovery",C20)),V20*(MIN(68*101*0.93*(56.3-38)*0.55,131.7*1*8.34*(120-52.3))*365.25*(1/0.9)/3412),
IF(ISNUMBER(SEARCH("VSD Milk Pump w/",C20)),V20*((1/8)*0.93*11.7*68*101*365/1000),
IF(ISNUMBER(SEARCH("Scroll Compressor",C20)),((((1/8.4)-(1/10.6))*(0.93*30*68*101*365.25))/1000)*V20,
IF(ISNUMBER(SEARCH("Milk Pre-Cooler",C20)),V20*((30*68*101*0.93*365)/(8*1000)),
IF(ISNUMBER(SEARCH("Fan Thermostat Controller",C20)),V20*0.75*0.746*2820/0.825,
V20*INDEX(PMEAGG[Savings per Unit kWh],MATCH(C20,PMEAGG[Eff Desc 1],0))
))))),2))</f>
        <v/>
      </c>
      <c r="AX20" s="900" t="str">
        <f>IF(OR(C20="",N20="",T20="",V20="",X20="",AG20="",AE20="",AB20=""),"",INDEX(PMEAGG[End Use Category],MATCH(C20,PMEAGG[Eff Desc 1],0)))</f>
        <v/>
      </c>
      <c r="AY20" s="974"/>
      <c r="BC20" s="825" t="str">
        <f>IF(OR(N20="",T20="",C20="",V20="",X20="",AB20="",AE20="",AG20=""),"",IF(OR(ISBLANK(M02S02F26),ISBLANK(M02S02F32),ISBLANK(M02S02F46)),MEASUREBLDG,""))</f>
        <v/>
      </c>
      <c r="BE20" s="806" t="str">
        <f ca="1">IF(OR(T20="",N20="",C20="",V20="",X20="",AB20="",AE20="",AG20=""),"",IF('M01-S01'!$V$82&lt;TODAY(),0,IF(M02S02F46="Gas Only",0,IF(OR(AK20="",AK20&lt;0,AU20&lt;=AN20),0,MIN(AU20-AN20,ROUND(AN20*0.2,2))))))</f>
        <v/>
      </c>
    </row>
    <row r="21" spans="2:57">
      <c r="B21" s="829"/>
      <c r="C21" s="835"/>
      <c r="D21" s="836"/>
      <c r="E21" s="836"/>
      <c r="F21" s="836"/>
      <c r="G21" s="836"/>
      <c r="H21" s="836"/>
      <c r="I21" s="836"/>
      <c r="J21" s="836"/>
      <c r="K21" s="836"/>
      <c r="L21" s="836"/>
      <c r="M21" s="837"/>
      <c r="N21" s="911"/>
      <c r="O21" s="912"/>
      <c r="P21" s="912"/>
      <c r="Q21" s="912"/>
      <c r="R21" s="912"/>
      <c r="S21" s="913"/>
      <c r="T21" s="949"/>
      <c r="U21" s="950"/>
      <c r="V21" s="848"/>
      <c r="W21" s="849"/>
      <c r="X21" s="835"/>
      <c r="Y21" s="836"/>
      <c r="Z21" s="836"/>
      <c r="AA21" s="837"/>
      <c r="AB21" s="835"/>
      <c r="AC21" s="836"/>
      <c r="AD21" s="837"/>
      <c r="AE21" s="860"/>
      <c r="AF21" s="870"/>
      <c r="AG21" s="860"/>
      <c r="AH21" s="870"/>
      <c r="AI21" s="919"/>
      <c r="AJ21" s="865"/>
      <c r="AK21" s="906"/>
      <c r="AL21" s="907"/>
      <c r="AM21" s="936"/>
      <c r="AN21" s="954"/>
      <c r="AO21" s="955"/>
      <c r="AP21" s="955"/>
      <c r="AQ21" s="956"/>
      <c r="AU21" s="809"/>
      <c r="AV21" s="901"/>
      <c r="AW21" s="975"/>
      <c r="AX21" s="901"/>
      <c r="AY21" s="975"/>
      <c r="BC21" s="826"/>
      <c r="BE21" s="807"/>
    </row>
    <row r="22" spans="2:57">
      <c r="B22" s="829">
        <v>4</v>
      </c>
      <c r="C22" s="866"/>
      <c r="D22" s="867"/>
      <c r="E22" s="867"/>
      <c r="F22" s="867"/>
      <c r="G22" s="867"/>
      <c r="H22" s="867"/>
      <c r="I22" s="867"/>
      <c r="J22" s="867"/>
      <c r="K22" s="867"/>
      <c r="L22" s="867"/>
      <c r="M22" s="868"/>
      <c r="N22" s="914" t="str">
        <f>IFERROR(IF(C22="","",INDEX(PMEAGG[Base Desc 1],MATCH(C22,PMEAGG[Eff Desc 1],0))),"")</f>
        <v/>
      </c>
      <c r="O22" s="915"/>
      <c r="P22" s="915"/>
      <c r="Q22" s="915"/>
      <c r="R22" s="915"/>
      <c r="S22" s="916"/>
      <c r="T22" s="987" t="str">
        <f>IFERROR(IF(C22="","",INDEX(PMEAGG[Unit of Measure],MATCH(C22,PMEAGG[Eff Desc 1],0))),"")</f>
        <v/>
      </c>
      <c r="U22" s="988"/>
      <c r="V22" s="871"/>
      <c r="W22" s="872"/>
      <c r="X22" s="866"/>
      <c r="Y22" s="867"/>
      <c r="Z22" s="867"/>
      <c r="AA22" s="868"/>
      <c r="AB22" s="866"/>
      <c r="AC22" s="867"/>
      <c r="AD22" s="868"/>
      <c r="AE22" s="889"/>
      <c r="AF22" s="1067"/>
      <c r="AG22" s="889"/>
      <c r="AH22" s="1067"/>
      <c r="AI22" s="924" t="str">
        <f>IFERROR(IF(C22="","",INDEX(PMEAGG[Inc Rate Unit],MATCH(C22,PMEAGG[Eff Desc 1],0))),"")</f>
        <v/>
      </c>
      <c r="AJ22" s="863"/>
      <c r="AK22" s="904" t="str">
        <f t="shared" ref="AK22" si="6">IF(OR(C22="",V22="",X22="",AB22="",AE22="",AG22=""),"",AW22)</f>
        <v/>
      </c>
      <c r="AL22" s="905"/>
      <c r="AM22" s="969"/>
      <c r="AN22" s="951" t="str">
        <f t="shared" ref="AN22" si="7">IF(OR(C22="",V22="",X22="",AB22="",AE22="",AG22=""),"",
IF(OR(ISNUMBER(SEARCH("Heat Recovery",C22)),ISNUMBER(SEARCH("VSD Milk Pump w/",C22)),ISNUMBER(SEARCH("Scroll Compressor",C22)),ISNUMBER(SEARCH("Milk Pre-Cooler",C22))),IF(BC22&lt;&gt;"",BC22,MIN(AU22,ROUND(AI22,2))),
IF(BC22&lt;&gt;"",BC22,MIN(AU22,ROUND(V22*AI22,2)))))</f>
        <v/>
      </c>
      <c r="AO22" s="952"/>
      <c r="AP22" s="952"/>
      <c r="AQ22" s="953"/>
      <c r="AU22" s="893" t="str">
        <f t="shared" ref="AU22" si="8">IF(OR(C22="",N22="",T22="",V22="",X22="",AI22="",AE22="",AB22=""),"",IF(AK22="","",ROUND((AE22+AG22),2)))</f>
        <v/>
      </c>
      <c r="AV22" s="900" t="str">
        <f>IF(OR(C22="",N22="",T22="",V22="",X22="",AB22="",AG22="",AE22=""),"",ROUND(
IF(OR(ISNUMBER(SEARCH("Heat Recovery",C22)),ISNUMBER(SEARCH("VSD Milk Pump w/",C22))),0,
IF(ISNUMBER(SEARCH("Scroll Compressor",C22)),(AW22/2920)*0.34,
IF(ISNUMBER(SEARCH("Milk Pre-Cooler",C22)),(AW22/2920)*0.16,
V22*INDEX(PMEAGG[Savings per Unit kW],MATCH(C22,PMEAGG[Eff Desc 1],0)))
)),3))</f>
        <v/>
      </c>
      <c r="AW22" s="1013" t="str">
        <f>IF(OR(C22="",V22="",X22="",AB22="",AE22="",AG22=""),"",ROUND(
IF(ISNUMBER(SEARCH("Heat Recovery",C22)),V22*(MIN(68*101*0.93*(56.3-38)*0.55,131.7*1*8.34*(120-52.3))*365.25*(1/0.9)/3412),
IF(ISNUMBER(SEARCH("VSD Milk Pump w/",C22)),V22*((1/8)*0.93*11.7*68*101*365/1000),
IF(ISNUMBER(SEARCH("Scroll Compressor",C22)),((((1/8.4)-(1/10.6))*(0.93*30*68*101*365.25))/1000)*V22,
IF(ISNUMBER(SEARCH("Milk Pre-Cooler",C22)),V22*((30*68*101*0.93*365)/(8*1000)),
IF(ISNUMBER(SEARCH("Fan Thermostat Controller",C22)),V22*0.75*0.746*2820/0.825,
V22*INDEX(PMEAGG[Savings per Unit kWh],MATCH(C22,PMEAGG[Eff Desc 1],0))
))))),2))</f>
        <v/>
      </c>
      <c r="AX22" s="900" t="str">
        <f>IF(OR(C22="",N22="",T22="",V22="",X22="",AG22="",AE22="",AB22=""),"",INDEX(PMEAGG[End Use Category],MATCH(C22,PMEAGG[Eff Desc 1],0)))</f>
        <v/>
      </c>
      <c r="AY22" s="974"/>
      <c r="BC22" s="825" t="str">
        <f>IF(OR(N22="",T22="",C22="",V22="",X22="",AB22="",AE22="",AG22=""),"",IF(OR(ISBLANK(M02S02F26),ISBLANK(M02S02F32),ISBLANK(M02S02F46)),MEASUREBLDG,""))</f>
        <v/>
      </c>
      <c r="BE22" s="806" t="str">
        <f ca="1">IF(OR(T22="",N22="",C22="",V22="",X22="",AB22="",AE22="",AG22=""),"",IF('M01-S01'!$V$82&lt;TODAY(),0,IF(M02S02F46="Gas Only",0,IF(OR(AK22="",AK22&lt;0,AU22&lt;=AN22),0,MIN(AU22-AN22,ROUND(AN22*0.2,2))))))</f>
        <v/>
      </c>
    </row>
    <row r="23" spans="2:57">
      <c r="B23" s="829"/>
      <c r="C23" s="835"/>
      <c r="D23" s="836"/>
      <c r="E23" s="836"/>
      <c r="F23" s="836"/>
      <c r="G23" s="836"/>
      <c r="H23" s="836"/>
      <c r="I23" s="836"/>
      <c r="J23" s="836"/>
      <c r="K23" s="836"/>
      <c r="L23" s="836"/>
      <c r="M23" s="837"/>
      <c r="N23" s="911"/>
      <c r="O23" s="912"/>
      <c r="P23" s="912"/>
      <c r="Q23" s="912"/>
      <c r="R23" s="912"/>
      <c r="S23" s="913"/>
      <c r="T23" s="949"/>
      <c r="U23" s="950"/>
      <c r="V23" s="848"/>
      <c r="W23" s="849"/>
      <c r="X23" s="835"/>
      <c r="Y23" s="836"/>
      <c r="Z23" s="836"/>
      <c r="AA23" s="837"/>
      <c r="AB23" s="835"/>
      <c r="AC23" s="836"/>
      <c r="AD23" s="837"/>
      <c r="AE23" s="860"/>
      <c r="AF23" s="870"/>
      <c r="AG23" s="860"/>
      <c r="AH23" s="870"/>
      <c r="AI23" s="919"/>
      <c r="AJ23" s="865"/>
      <c r="AK23" s="906"/>
      <c r="AL23" s="907"/>
      <c r="AM23" s="936"/>
      <c r="AN23" s="954"/>
      <c r="AO23" s="955"/>
      <c r="AP23" s="955"/>
      <c r="AQ23" s="956"/>
      <c r="AU23" s="809"/>
      <c r="AV23" s="901"/>
      <c r="AW23" s="975"/>
      <c r="AX23" s="901"/>
      <c r="AY23" s="975"/>
      <c r="BC23" s="826"/>
      <c r="BE23" s="807"/>
    </row>
    <row r="24" spans="2:57">
      <c r="B24" s="829">
        <v>5</v>
      </c>
      <c r="C24" s="866"/>
      <c r="D24" s="867"/>
      <c r="E24" s="867"/>
      <c r="F24" s="867"/>
      <c r="G24" s="867"/>
      <c r="H24" s="867"/>
      <c r="I24" s="867"/>
      <c r="J24" s="867"/>
      <c r="K24" s="867"/>
      <c r="L24" s="867"/>
      <c r="M24" s="868"/>
      <c r="N24" s="914" t="str">
        <f>IFERROR(IF(C24="","",INDEX(PMEAGG[Base Desc 1],MATCH(C24,PMEAGG[Eff Desc 1],0))),"")</f>
        <v/>
      </c>
      <c r="O24" s="915"/>
      <c r="P24" s="915"/>
      <c r="Q24" s="915"/>
      <c r="R24" s="915"/>
      <c r="S24" s="916"/>
      <c r="T24" s="987" t="str">
        <f>IFERROR(IF(C24="","",INDEX(PMEAGG[Unit of Measure],MATCH(C24,PMEAGG[Eff Desc 1],0))),"")</f>
        <v/>
      </c>
      <c r="U24" s="988"/>
      <c r="V24" s="871"/>
      <c r="W24" s="872"/>
      <c r="X24" s="866"/>
      <c r="Y24" s="867"/>
      <c r="Z24" s="867"/>
      <c r="AA24" s="868"/>
      <c r="AB24" s="866"/>
      <c r="AC24" s="867"/>
      <c r="AD24" s="868"/>
      <c r="AE24" s="889"/>
      <c r="AF24" s="1067"/>
      <c r="AG24" s="889"/>
      <c r="AH24" s="1067"/>
      <c r="AI24" s="924" t="str">
        <f>IFERROR(IF(C24="","",INDEX(PMEAGG[Inc Rate Unit],MATCH(C24,PMEAGG[Eff Desc 1],0))),"")</f>
        <v/>
      </c>
      <c r="AJ24" s="863"/>
      <c r="AK24" s="904" t="str">
        <f t="shared" ref="AK24" si="9">IF(OR(C24="",V24="",X24="",AB24="",AE24="",AG24=""),"",AW24)</f>
        <v/>
      </c>
      <c r="AL24" s="905"/>
      <c r="AM24" s="969"/>
      <c r="AN24" s="951" t="str">
        <f t="shared" ref="AN24" si="10">IF(OR(C24="",V24="",X24="",AB24="",AE24="",AG24=""),"",
IF(OR(ISNUMBER(SEARCH("Heat Recovery",C24)),ISNUMBER(SEARCH("VSD Milk Pump w/",C24)),ISNUMBER(SEARCH("Scroll Compressor",C24)),ISNUMBER(SEARCH("Milk Pre-Cooler",C24))),IF(BC24&lt;&gt;"",BC24,MIN(AU24,ROUND(AI24,2))),
IF(BC24&lt;&gt;"",BC24,MIN(AU24,ROUND(V24*AI24,2)))))</f>
        <v/>
      </c>
      <c r="AO24" s="952"/>
      <c r="AP24" s="952"/>
      <c r="AQ24" s="953"/>
      <c r="AU24" s="893" t="str">
        <f t="shared" ref="AU24" si="11">IF(OR(C24="",N24="",T24="",V24="",X24="",AI24="",AE24="",AB24=""),"",IF(AK24="","",ROUND((AE24+AG24),2)))</f>
        <v/>
      </c>
      <c r="AV24" s="900" t="str">
        <f>IF(OR(C24="",N24="",T24="",V24="",X24="",AB24="",AG24="",AE24=""),"",ROUND(
IF(OR(ISNUMBER(SEARCH("Heat Recovery",C24)),ISNUMBER(SEARCH("VSD Milk Pump w/",C24))),0,
IF(ISNUMBER(SEARCH("Scroll Compressor",C24)),(AW24/2920)*0.34,
IF(ISNUMBER(SEARCH("Milk Pre-Cooler",C24)),(AW24/2920)*0.16,
V24*INDEX(PMEAGG[Savings per Unit kW],MATCH(C24,PMEAGG[Eff Desc 1],0)))
)),3))</f>
        <v/>
      </c>
      <c r="AW24" s="1013" t="str">
        <f>IF(OR(C24="",V24="",X24="",AB24="",AE24="",AG24=""),"",ROUND(
IF(ISNUMBER(SEARCH("Heat Recovery",C24)),V24*(MIN(68*101*0.93*(56.3-38)*0.55,131.7*1*8.34*(120-52.3))*365.25*(1/0.9)/3412),
IF(ISNUMBER(SEARCH("VSD Milk Pump w/",C24)),V24*((1/8)*0.93*11.7*68*101*365/1000),
IF(ISNUMBER(SEARCH("Scroll Compressor",C24)),((((1/8.4)-(1/10.6))*(0.93*30*68*101*365.25))/1000)*V24,
IF(ISNUMBER(SEARCH("Milk Pre-Cooler",C24)),V24*((30*68*101*0.93*365)/(8*1000)),
IF(ISNUMBER(SEARCH("Fan Thermostat Controller",C24)),V24*0.75*0.746*2820/0.825,
V24*INDEX(PMEAGG[Savings per Unit kWh],MATCH(C24,PMEAGG[Eff Desc 1],0))
))))),2))</f>
        <v/>
      </c>
      <c r="AX24" s="900" t="str">
        <f>IF(OR(C24="",N24="",T24="",V24="",X24="",AG24="",AE24="",AB24=""),"",INDEX(PMEAGG[End Use Category],MATCH(C24,PMEAGG[Eff Desc 1],0)))</f>
        <v/>
      </c>
      <c r="AY24" s="974"/>
      <c r="BC24" s="825" t="str">
        <f>IF(OR(N24="",T24="",C24="",V24="",X24="",AB24="",AE24="",AG24=""),"",IF(OR(ISBLANK(M02S02F26),ISBLANK(M02S02F32),ISBLANK(M02S02F46)),MEASUREBLDG,""))</f>
        <v/>
      </c>
      <c r="BE24" s="806" t="str">
        <f ca="1">IF(OR(T24="",N24="",C24="",V24="",X24="",AB24="",AE24="",AG24=""),"",IF('M01-S01'!$V$82&lt;TODAY(),0,IF(M02S02F46="Gas Only",0,IF(OR(AK24="",AK24&lt;0,AU24&lt;=AN24),0,MIN(AU24-AN24,ROUND(AN24*0.2,2))))))</f>
        <v/>
      </c>
    </row>
    <row r="25" spans="2:57">
      <c r="B25" s="829"/>
      <c r="C25" s="835"/>
      <c r="D25" s="836"/>
      <c r="E25" s="836"/>
      <c r="F25" s="836"/>
      <c r="G25" s="836"/>
      <c r="H25" s="836"/>
      <c r="I25" s="836"/>
      <c r="J25" s="836"/>
      <c r="K25" s="836"/>
      <c r="L25" s="836"/>
      <c r="M25" s="837"/>
      <c r="N25" s="911"/>
      <c r="O25" s="912"/>
      <c r="P25" s="912"/>
      <c r="Q25" s="912"/>
      <c r="R25" s="912"/>
      <c r="S25" s="913"/>
      <c r="T25" s="949"/>
      <c r="U25" s="950"/>
      <c r="V25" s="848"/>
      <c r="W25" s="849"/>
      <c r="X25" s="835"/>
      <c r="Y25" s="836"/>
      <c r="Z25" s="836"/>
      <c r="AA25" s="837"/>
      <c r="AB25" s="835"/>
      <c r="AC25" s="836"/>
      <c r="AD25" s="837"/>
      <c r="AE25" s="860"/>
      <c r="AF25" s="870"/>
      <c r="AG25" s="860"/>
      <c r="AH25" s="870"/>
      <c r="AI25" s="919"/>
      <c r="AJ25" s="865"/>
      <c r="AK25" s="906"/>
      <c r="AL25" s="907"/>
      <c r="AM25" s="936"/>
      <c r="AN25" s="954"/>
      <c r="AO25" s="955"/>
      <c r="AP25" s="955"/>
      <c r="AQ25" s="956"/>
      <c r="AU25" s="809"/>
      <c r="AV25" s="901"/>
      <c r="AW25" s="975"/>
      <c r="AX25" s="901"/>
      <c r="AY25" s="975"/>
      <c r="BC25" s="826"/>
      <c r="BE25" s="807"/>
    </row>
    <row r="26" spans="2:57" ht="15" customHeight="1">
      <c r="B26" s="829">
        <v>6</v>
      </c>
      <c r="C26" s="866"/>
      <c r="D26" s="867"/>
      <c r="E26" s="867"/>
      <c r="F26" s="867"/>
      <c r="G26" s="867"/>
      <c r="H26" s="867"/>
      <c r="I26" s="867"/>
      <c r="J26" s="867"/>
      <c r="K26" s="867"/>
      <c r="L26" s="867"/>
      <c r="M26" s="868"/>
      <c r="N26" s="914" t="str">
        <f>IFERROR(IF(C26="","",INDEX(PMEAGG[Base Desc 1],MATCH(C26,PMEAGG[Eff Desc 1],0))),"")</f>
        <v/>
      </c>
      <c r="O26" s="915"/>
      <c r="P26" s="915"/>
      <c r="Q26" s="915"/>
      <c r="R26" s="915"/>
      <c r="S26" s="916"/>
      <c r="T26" s="987" t="str">
        <f>IFERROR(IF(C26="","",INDEX(PMEAGG[Unit of Measure],MATCH(C26,PMEAGG[Eff Desc 1],0))),"")</f>
        <v/>
      </c>
      <c r="U26" s="988"/>
      <c r="V26" s="871"/>
      <c r="W26" s="872"/>
      <c r="X26" s="866"/>
      <c r="Y26" s="867"/>
      <c r="Z26" s="867"/>
      <c r="AA26" s="868"/>
      <c r="AB26" s="866"/>
      <c r="AC26" s="867"/>
      <c r="AD26" s="868"/>
      <c r="AE26" s="889"/>
      <c r="AF26" s="1067"/>
      <c r="AG26" s="889"/>
      <c r="AH26" s="1067"/>
      <c r="AI26" s="924" t="str">
        <f>IFERROR(IF(C26="","",INDEX(PMEAGG[Inc Rate Unit],MATCH(C26,PMEAGG[Eff Desc 1],0))),"")</f>
        <v/>
      </c>
      <c r="AJ26" s="863"/>
      <c r="AK26" s="904" t="str">
        <f t="shared" ref="AK26" si="12">IF(OR(C26="",V26="",X26="",AB26="",AE26="",AG26=""),"",AW26)</f>
        <v/>
      </c>
      <c r="AL26" s="905"/>
      <c r="AM26" s="969"/>
      <c r="AN26" s="951" t="str">
        <f t="shared" ref="AN26" si="13">IF(OR(C26="",V26="",X26="",AB26="",AE26="",AG26=""),"",
IF(OR(ISNUMBER(SEARCH("Heat Recovery",C26)),ISNUMBER(SEARCH("VSD Milk Pump w/",C26)),ISNUMBER(SEARCH("Scroll Compressor",C26)),ISNUMBER(SEARCH("Milk Pre-Cooler",C26))),IF(BC26&lt;&gt;"",BC26,MIN(AU26,ROUND(AI26,2))),
IF(BC26&lt;&gt;"",BC26,MIN(AU26,ROUND(V26*AI26,2)))))</f>
        <v/>
      </c>
      <c r="AO26" s="952"/>
      <c r="AP26" s="952"/>
      <c r="AQ26" s="953"/>
      <c r="AU26" s="893" t="str">
        <f t="shared" ref="AU26" si="14">IF(OR(C26="",N26="",T26="",V26="",X26="",AI26="",AE26="",AB26=""),"",IF(AK26="","",ROUND((AE26+AG26),2)))</f>
        <v/>
      </c>
      <c r="AV26" s="900" t="str">
        <f>IF(OR(C26="",N26="",T26="",V26="",X26="",AB26="",AG26="",AE26=""),"",ROUND(
IF(OR(ISNUMBER(SEARCH("Heat Recovery",C26)),ISNUMBER(SEARCH("VSD Milk Pump w/",C26))),0,
IF(ISNUMBER(SEARCH("Scroll Compressor",C26)),(AW26/2920)*0.34,
IF(ISNUMBER(SEARCH("Milk Pre-Cooler",C26)),(AW26/2920)*0.16,
V26*INDEX(PMEAGG[Savings per Unit kW],MATCH(C26,PMEAGG[Eff Desc 1],0)))
)),3))</f>
        <v/>
      </c>
      <c r="AW26" s="1013" t="str">
        <f>IF(OR(C26="",V26="",X26="",AB26="",AE26="",AG26=""),"",ROUND(
IF(ISNUMBER(SEARCH("Heat Recovery",C26)),V26*(MIN(68*101*0.93*(56.3-38)*0.55,131.7*1*8.34*(120-52.3))*365.25*(1/0.9)/3412),
IF(ISNUMBER(SEARCH("VSD Milk Pump w/",C26)),V26*((1/8)*0.93*11.7*68*101*365/1000),
IF(ISNUMBER(SEARCH("Scroll Compressor",C26)),((((1/8.4)-(1/10.6))*(0.93*30*68*101*365.25))/1000)*V26,
IF(ISNUMBER(SEARCH("Milk Pre-Cooler",C26)),V26*((30*68*101*0.93*365)/(8*1000)),
IF(ISNUMBER(SEARCH("Fan Thermostat Controller",C26)),V26*0.75*0.746*2820/0.825,
V26*INDEX(PMEAGG[Savings per Unit kWh],MATCH(C26,PMEAGG[Eff Desc 1],0))
))))),2))</f>
        <v/>
      </c>
      <c r="AX26" s="900" t="str">
        <f>IF(OR(C26="",N26="",T26="",V26="",X26="",AG26="",AE26="",AB26=""),"",INDEX(PMEAGG[End Use Category],MATCH(C26,PMEAGG[Eff Desc 1],0)))</f>
        <v/>
      </c>
      <c r="AY26" s="974"/>
      <c r="BC26" s="825" t="str">
        <f>IF(OR(N26="",T26="",C26="",V26="",X26="",AB26="",AE26="",AG26=""),"",IF(OR(ISBLANK(M02S02F26),ISBLANK(M02S02F32),ISBLANK(M02S02F46)),MEASUREBLDG,""))</f>
        <v/>
      </c>
      <c r="BE26" s="806" t="str">
        <f ca="1">IF(OR(T26="",N26="",C26="",V26="",X26="",AB26="",AE26="",AG26=""),"",IF('M01-S01'!$V$82&lt;TODAY(),0,IF(M02S02F46="Gas Only",0,IF(OR(AK26="",AK26&lt;0,AU26&lt;=AN26),0,MIN(AU26-AN26,ROUND(AN26*0.2,2))))))</f>
        <v/>
      </c>
    </row>
    <row r="27" spans="2:57">
      <c r="B27" s="829"/>
      <c r="C27" s="835"/>
      <c r="D27" s="836"/>
      <c r="E27" s="836"/>
      <c r="F27" s="836"/>
      <c r="G27" s="836"/>
      <c r="H27" s="836"/>
      <c r="I27" s="836"/>
      <c r="J27" s="836"/>
      <c r="K27" s="836"/>
      <c r="L27" s="836"/>
      <c r="M27" s="837"/>
      <c r="N27" s="911"/>
      <c r="O27" s="912"/>
      <c r="P27" s="912"/>
      <c r="Q27" s="912"/>
      <c r="R27" s="912"/>
      <c r="S27" s="913"/>
      <c r="T27" s="949"/>
      <c r="U27" s="950"/>
      <c r="V27" s="848"/>
      <c r="W27" s="849"/>
      <c r="X27" s="835"/>
      <c r="Y27" s="836"/>
      <c r="Z27" s="836"/>
      <c r="AA27" s="837"/>
      <c r="AB27" s="835"/>
      <c r="AC27" s="836"/>
      <c r="AD27" s="837"/>
      <c r="AE27" s="860"/>
      <c r="AF27" s="870"/>
      <c r="AG27" s="860"/>
      <c r="AH27" s="870"/>
      <c r="AI27" s="919"/>
      <c r="AJ27" s="865"/>
      <c r="AK27" s="906"/>
      <c r="AL27" s="907"/>
      <c r="AM27" s="936"/>
      <c r="AN27" s="954"/>
      <c r="AO27" s="955"/>
      <c r="AP27" s="955"/>
      <c r="AQ27" s="956"/>
      <c r="AU27" s="809"/>
      <c r="AV27" s="901"/>
      <c r="AW27" s="975"/>
      <c r="AX27" s="901"/>
      <c r="AY27" s="975"/>
      <c r="BC27" s="826"/>
      <c r="BE27" s="807"/>
    </row>
    <row r="28" spans="2:57">
      <c r="B28" s="829">
        <v>7</v>
      </c>
      <c r="C28" s="866"/>
      <c r="D28" s="867"/>
      <c r="E28" s="867"/>
      <c r="F28" s="867"/>
      <c r="G28" s="867"/>
      <c r="H28" s="867"/>
      <c r="I28" s="867"/>
      <c r="J28" s="867"/>
      <c r="K28" s="867"/>
      <c r="L28" s="867"/>
      <c r="M28" s="868"/>
      <c r="N28" s="914" t="str">
        <f>IFERROR(IF(C28="","",INDEX(PMEAGG[Base Desc 1],MATCH(C28,PMEAGG[Eff Desc 1],0))),"")</f>
        <v/>
      </c>
      <c r="O28" s="915"/>
      <c r="P28" s="915"/>
      <c r="Q28" s="915"/>
      <c r="R28" s="915"/>
      <c r="S28" s="916"/>
      <c r="T28" s="987" t="str">
        <f>IFERROR(IF(C28="","",INDEX(PMEAGG[Unit of Measure],MATCH(C28,PMEAGG[Eff Desc 1],0))),"")</f>
        <v/>
      </c>
      <c r="U28" s="988"/>
      <c r="V28" s="871"/>
      <c r="W28" s="872"/>
      <c r="X28" s="866"/>
      <c r="Y28" s="867"/>
      <c r="Z28" s="867"/>
      <c r="AA28" s="868"/>
      <c r="AB28" s="866"/>
      <c r="AC28" s="867"/>
      <c r="AD28" s="868"/>
      <c r="AE28" s="889"/>
      <c r="AF28" s="1067"/>
      <c r="AG28" s="889"/>
      <c r="AH28" s="1067"/>
      <c r="AI28" s="924" t="str">
        <f>IFERROR(IF(C28="","",INDEX(PMEAGG[Inc Rate Unit],MATCH(C28,PMEAGG[Eff Desc 1],0))),"")</f>
        <v/>
      </c>
      <c r="AJ28" s="863"/>
      <c r="AK28" s="904" t="str">
        <f t="shared" ref="AK28" si="15">IF(OR(C28="",V28="",X28="",AB28="",AE28="",AG28=""),"",AW28)</f>
        <v/>
      </c>
      <c r="AL28" s="905"/>
      <c r="AM28" s="969"/>
      <c r="AN28" s="951" t="str">
        <f t="shared" ref="AN28" si="16">IF(OR(C28="",V28="",X28="",AB28="",AE28="",AG28=""),"",
IF(OR(ISNUMBER(SEARCH("Heat Recovery",C28)),ISNUMBER(SEARCH("VSD Milk Pump w/",C28)),ISNUMBER(SEARCH("Scroll Compressor",C28)),ISNUMBER(SEARCH("Milk Pre-Cooler",C28))),IF(BC28&lt;&gt;"",BC28,MIN(AU28,ROUND(AI28,2))),
IF(BC28&lt;&gt;"",BC28,MIN(AU28,ROUND(V28*AI28,2)))))</f>
        <v/>
      </c>
      <c r="AO28" s="952"/>
      <c r="AP28" s="952"/>
      <c r="AQ28" s="953"/>
      <c r="AU28" s="893" t="str">
        <f t="shared" ref="AU28" si="17">IF(OR(C28="",N28="",T28="",V28="",X28="",AI28="",AE28="",AB28=""),"",IF(AK28="","",ROUND((AE28+AG28),2)))</f>
        <v/>
      </c>
      <c r="AV28" s="900" t="str">
        <f>IF(OR(C28="",N28="",T28="",V28="",X28="",AB28="",AG28="",AE28=""),"",ROUND(
IF(OR(ISNUMBER(SEARCH("Heat Recovery",C28)),ISNUMBER(SEARCH("VSD Milk Pump w/",C28))),0,
IF(ISNUMBER(SEARCH("Scroll Compressor",C28)),(AW28/2920)*0.34,
IF(ISNUMBER(SEARCH("Milk Pre-Cooler",C28)),(AW28/2920)*0.16,
V28*INDEX(PMEAGG[Savings per Unit kW],MATCH(C28,PMEAGG[Eff Desc 1],0)))
)),3))</f>
        <v/>
      </c>
      <c r="AW28" s="1013" t="str">
        <f>IF(OR(C28="",V28="",X28="",AB28="",AE28="",AG28=""),"",ROUND(
IF(ISNUMBER(SEARCH("Heat Recovery",C28)),V28*(MIN(68*101*0.93*(56.3-38)*0.55,131.7*1*8.34*(120-52.3))*365.25*(1/0.9)/3412),
IF(ISNUMBER(SEARCH("VSD Milk Pump w/",C28)),V28*((1/8)*0.93*11.7*68*101*365/1000),
IF(ISNUMBER(SEARCH("Scroll Compressor",C28)),((((1/8.4)-(1/10.6))*(0.93*30*68*101*365.25))/1000)*V28,
IF(ISNUMBER(SEARCH("Milk Pre-Cooler",C28)),V28*((30*68*101*0.93*365)/(8*1000)),
IF(ISNUMBER(SEARCH("Fan Thermostat Controller",C28)),V28*0.75*0.746*2820/0.825,
V28*INDEX(PMEAGG[Savings per Unit kWh],MATCH(C28,PMEAGG[Eff Desc 1],0))
))))),2))</f>
        <v/>
      </c>
      <c r="AX28" s="900" t="str">
        <f>IF(OR(C28="",N28="",T28="",V28="",X28="",AG28="",AE28="",AB28=""),"",INDEX(PMEAGG[End Use Category],MATCH(C28,PMEAGG[Eff Desc 1],0)))</f>
        <v/>
      </c>
      <c r="AY28" s="974"/>
      <c r="BC28" s="825" t="str">
        <f>IF(OR(N28="",T28="",C28="",V28="",X28="",AB28="",AE28="",AG28=""),"",IF(OR(ISBLANK(M02S02F26),ISBLANK(M02S02F32),ISBLANK(M02S02F46)),MEASUREBLDG,""))</f>
        <v/>
      </c>
      <c r="BE28" s="806" t="str">
        <f ca="1">IF(OR(T28="",N28="",C28="",V28="",X28="",AB28="",AE28="",AG28=""),"",IF('M01-S01'!$V$82&lt;TODAY(),0,IF(M02S02F46="Gas Only",0,IF(OR(AK28="",AK28&lt;0,AU28&lt;=AN28),0,MIN(AU28-AN28,ROUND(AN28*0.2,2))))))</f>
        <v/>
      </c>
    </row>
    <row r="29" spans="2:57">
      <c r="B29" s="829"/>
      <c r="C29" s="835"/>
      <c r="D29" s="836"/>
      <c r="E29" s="836"/>
      <c r="F29" s="836"/>
      <c r="G29" s="836"/>
      <c r="H29" s="836"/>
      <c r="I29" s="836"/>
      <c r="J29" s="836"/>
      <c r="K29" s="836"/>
      <c r="L29" s="836"/>
      <c r="M29" s="837"/>
      <c r="N29" s="911"/>
      <c r="O29" s="912"/>
      <c r="P29" s="912"/>
      <c r="Q29" s="912"/>
      <c r="R29" s="912"/>
      <c r="S29" s="913"/>
      <c r="T29" s="949"/>
      <c r="U29" s="950"/>
      <c r="V29" s="848"/>
      <c r="W29" s="849"/>
      <c r="X29" s="835"/>
      <c r="Y29" s="836"/>
      <c r="Z29" s="836"/>
      <c r="AA29" s="837"/>
      <c r="AB29" s="835"/>
      <c r="AC29" s="836"/>
      <c r="AD29" s="837"/>
      <c r="AE29" s="860"/>
      <c r="AF29" s="870"/>
      <c r="AG29" s="860"/>
      <c r="AH29" s="870"/>
      <c r="AI29" s="919"/>
      <c r="AJ29" s="865"/>
      <c r="AK29" s="906"/>
      <c r="AL29" s="907"/>
      <c r="AM29" s="936"/>
      <c r="AN29" s="954"/>
      <c r="AO29" s="955"/>
      <c r="AP29" s="955"/>
      <c r="AQ29" s="956"/>
      <c r="AU29" s="809"/>
      <c r="AV29" s="901"/>
      <c r="AW29" s="975"/>
      <c r="AX29" s="901"/>
      <c r="AY29" s="975"/>
      <c r="BC29" s="826"/>
      <c r="BE29" s="807"/>
    </row>
    <row r="30" spans="2:57">
      <c r="B30" s="829">
        <v>8</v>
      </c>
      <c r="C30" s="866"/>
      <c r="D30" s="867"/>
      <c r="E30" s="867"/>
      <c r="F30" s="867"/>
      <c r="G30" s="867"/>
      <c r="H30" s="867"/>
      <c r="I30" s="867"/>
      <c r="J30" s="867"/>
      <c r="K30" s="867"/>
      <c r="L30" s="867"/>
      <c r="M30" s="868"/>
      <c r="N30" s="914" t="str">
        <f>IFERROR(IF(C30="","",INDEX(PMEAGG[Base Desc 1],MATCH(C30,PMEAGG[Eff Desc 1],0))),"")</f>
        <v/>
      </c>
      <c r="O30" s="915"/>
      <c r="P30" s="915"/>
      <c r="Q30" s="915"/>
      <c r="R30" s="915"/>
      <c r="S30" s="916"/>
      <c r="T30" s="987" t="str">
        <f>IFERROR(IF(C30="","",INDEX(PMEAGG[Unit of Measure],MATCH(C30,PMEAGG[Eff Desc 1],0))),"")</f>
        <v/>
      </c>
      <c r="U30" s="988"/>
      <c r="V30" s="871"/>
      <c r="W30" s="872"/>
      <c r="X30" s="866"/>
      <c r="Y30" s="867"/>
      <c r="Z30" s="867"/>
      <c r="AA30" s="868"/>
      <c r="AB30" s="866"/>
      <c r="AC30" s="867"/>
      <c r="AD30" s="868"/>
      <c r="AE30" s="889"/>
      <c r="AF30" s="1067"/>
      <c r="AG30" s="889"/>
      <c r="AH30" s="1067"/>
      <c r="AI30" s="924" t="str">
        <f>IFERROR(IF(C30="","",INDEX(PMEAGG[Inc Rate Unit],MATCH(C30,PMEAGG[Eff Desc 1],0))),"")</f>
        <v/>
      </c>
      <c r="AJ30" s="863"/>
      <c r="AK30" s="904" t="str">
        <f t="shared" ref="AK30" si="18">IF(OR(C30="",V30="",X30="",AB30="",AE30="",AG30=""),"",AW30)</f>
        <v/>
      </c>
      <c r="AL30" s="905"/>
      <c r="AM30" s="969"/>
      <c r="AN30" s="951" t="str">
        <f t="shared" ref="AN30" si="19">IF(OR(C30="",V30="",X30="",AB30="",AE30="",AG30=""),"",
IF(OR(ISNUMBER(SEARCH("Heat Recovery",C30)),ISNUMBER(SEARCH("VSD Milk Pump w/",C30)),ISNUMBER(SEARCH("Scroll Compressor",C30)),ISNUMBER(SEARCH("Milk Pre-Cooler",C30))),IF(BC30&lt;&gt;"",BC30,MIN(AU30,ROUND(AI30,2))),
IF(BC30&lt;&gt;"",BC30,MIN(AU30,ROUND(V30*AI30,2)))))</f>
        <v/>
      </c>
      <c r="AO30" s="952"/>
      <c r="AP30" s="952"/>
      <c r="AQ30" s="953"/>
      <c r="AU30" s="893" t="str">
        <f t="shared" ref="AU30" si="20">IF(OR(C30="",N30="",T30="",V30="",X30="",AI30="",AE30="",AB30=""),"",IF(AK30="","",ROUND((AE30+AG30),2)))</f>
        <v/>
      </c>
      <c r="AV30" s="900" t="str">
        <f>IF(OR(C30="",N30="",T30="",V30="",X30="",AB30="",AG30="",AE30=""),"",ROUND(
IF(OR(ISNUMBER(SEARCH("Heat Recovery",C30)),ISNUMBER(SEARCH("VSD Milk Pump w/",C30))),0,
IF(ISNUMBER(SEARCH("Scroll Compressor",C30)),(AW30/2920)*0.34,
IF(ISNUMBER(SEARCH("Milk Pre-Cooler",C30)),(AW30/2920)*0.16,
V30*INDEX(PMEAGG[Savings per Unit kW],MATCH(C30,PMEAGG[Eff Desc 1],0)))
)),3))</f>
        <v/>
      </c>
      <c r="AW30" s="1013" t="str">
        <f>IF(OR(C30="",V30="",X30="",AB30="",AE30="",AG30=""),"",ROUND(
IF(ISNUMBER(SEARCH("Heat Recovery",C30)),V30*(MIN(68*101*0.93*(56.3-38)*0.55,131.7*1*8.34*(120-52.3))*365.25*(1/0.9)/3412),
IF(ISNUMBER(SEARCH("VSD Milk Pump w/",C30)),V30*((1/8)*0.93*11.7*68*101*365/1000),
IF(ISNUMBER(SEARCH("Scroll Compressor",C30)),((((1/8.4)-(1/10.6))*(0.93*30*68*101*365.25))/1000)*V30,
IF(ISNUMBER(SEARCH("Milk Pre-Cooler",C30)),V30*((30*68*101*0.93*365)/(8*1000)),
IF(ISNUMBER(SEARCH("Fan Thermostat Controller",C30)),V30*0.75*0.746*2820/0.825,
V30*INDEX(PMEAGG[Savings per Unit kWh],MATCH(C30,PMEAGG[Eff Desc 1],0))
))))),2))</f>
        <v/>
      </c>
      <c r="AX30" s="900" t="str">
        <f>IF(OR(C30="",N30="",T30="",V30="",X30="",AG30="",AE30="",AB30=""),"",INDEX(PMEAGG[End Use Category],MATCH(C30,PMEAGG[Eff Desc 1],0)))</f>
        <v/>
      </c>
      <c r="AY30" s="974"/>
      <c r="BC30" s="825" t="str">
        <f>IF(OR(N30="",T30="",C30="",V30="",X30="",AB30="",AE30="",AG30=""),"",IF(OR(ISBLANK(M02S02F26),ISBLANK(M02S02F32),ISBLANK(M02S02F46)),MEASUREBLDG,""))</f>
        <v/>
      </c>
      <c r="BE30" s="806" t="str">
        <f ca="1">IF(OR(T30="",N30="",C30="",V30="",X30="",AB30="",AE30="",AG30=""),"",IF('M01-S01'!$V$82&lt;TODAY(),0,IF(M02S02F46="Gas Only",0,IF(OR(AK30="",AK30&lt;0,AU30&lt;=AN30),0,MIN(AU30-AN30,ROUND(AN30*0.2,2))))))</f>
        <v/>
      </c>
    </row>
    <row r="31" spans="2:57">
      <c r="B31" s="829"/>
      <c r="C31" s="835"/>
      <c r="D31" s="836"/>
      <c r="E31" s="836"/>
      <c r="F31" s="836"/>
      <c r="G31" s="836"/>
      <c r="H31" s="836"/>
      <c r="I31" s="836"/>
      <c r="J31" s="836"/>
      <c r="K31" s="836"/>
      <c r="L31" s="836"/>
      <c r="M31" s="837"/>
      <c r="N31" s="911"/>
      <c r="O31" s="912"/>
      <c r="P31" s="912"/>
      <c r="Q31" s="912"/>
      <c r="R31" s="912"/>
      <c r="S31" s="913"/>
      <c r="T31" s="949"/>
      <c r="U31" s="950"/>
      <c r="V31" s="848"/>
      <c r="W31" s="849"/>
      <c r="X31" s="835"/>
      <c r="Y31" s="836"/>
      <c r="Z31" s="836"/>
      <c r="AA31" s="837"/>
      <c r="AB31" s="835"/>
      <c r="AC31" s="836"/>
      <c r="AD31" s="837"/>
      <c r="AE31" s="860"/>
      <c r="AF31" s="870"/>
      <c r="AG31" s="860"/>
      <c r="AH31" s="870"/>
      <c r="AI31" s="919"/>
      <c r="AJ31" s="865"/>
      <c r="AK31" s="906"/>
      <c r="AL31" s="907"/>
      <c r="AM31" s="936"/>
      <c r="AN31" s="954"/>
      <c r="AO31" s="955"/>
      <c r="AP31" s="955"/>
      <c r="AQ31" s="956"/>
      <c r="AU31" s="809"/>
      <c r="AV31" s="901"/>
      <c r="AW31" s="975"/>
      <c r="AX31" s="901"/>
      <c r="AY31" s="975"/>
      <c r="BC31" s="826"/>
      <c r="BE31" s="807"/>
    </row>
    <row r="32" spans="2:57">
      <c r="B32" s="829">
        <v>9</v>
      </c>
      <c r="C32" s="866"/>
      <c r="D32" s="867"/>
      <c r="E32" s="867"/>
      <c r="F32" s="867"/>
      <c r="G32" s="867"/>
      <c r="H32" s="867"/>
      <c r="I32" s="867"/>
      <c r="J32" s="867"/>
      <c r="K32" s="867"/>
      <c r="L32" s="867"/>
      <c r="M32" s="868"/>
      <c r="N32" s="914" t="str">
        <f>IFERROR(IF(C32="","",INDEX(PMEAGG[Base Desc 1],MATCH(C32,PMEAGG[Eff Desc 1],0))),"")</f>
        <v/>
      </c>
      <c r="O32" s="915"/>
      <c r="P32" s="915"/>
      <c r="Q32" s="915"/>
      <c r="R32" s="915"/>
      <c r="S32" s="916"/>
      <c r="T32" s="987" t="str">
        <f>IFERROR(IF(C32="","",INDEX(PMEAGG[Unit of Measure],MATCH(C32,PMEAGG[Eff Desc 1],0))),"")</f>
        <v/>
      </c>
      <c r="U32" s="988"/>
      <c r="V32" s="871"/>
      <c r="W32" s="872"/>
      <c r="X32" s="866"/>
      <c r="Y32" s="867"/>
      <c r="Z32" s="867"/>
      <c r="AA32" s="868"/>
      <c r="AB32" s="866"/>
      <c r="AC32" s="867"/>
      <c r="AD32" s="868"/>
      <c r="AE32" s="889"/>
      <c r="AF32" s="1067"/>
      <c r="AG32" s="889"/>
      <c r="AH32" s="1067"/>
      <c r="AI32" s="924" t="str">
        <f>IFERROR(IF(C32="","",INDEX(PMEAGG[Inc Rate Unit],MATCH(C32,PMEAGG[Eff Desc 1],0))),"")</f>
        <v/>
      </c>
      <c r="AJ32" s="863"/>
      <c r="AK32" s="904" t="str">
        <f t="shared" ref="AK32" si="21">IF(OR(C32="",V32="",X32="",AB32="",AE32="",AG32=""),"",AW32)</f>
        <v/>
      </c>
      <c r="AL32" s="905"/>
      <c r="AM32" s="969"/>
      <c r="AN32" s="951" t="str">
        <f t="shared" ref="AN32" si="22">IF(OR(C32="",V32="",X32="",AB32="",AE32="",AG32=""),"",
IF(OR(ISNUMBER(SEARCH("Heat Recovery",C32)),ISNUMBER(SEARCH("VSD Milk Pump w/",C32)),ISNUMBER(SEARCH("Scroll Compressor",C32)),ISNUMBER(SEARCH("Milk Pre-Cooler",C32))),IF(BC32&lt;&gt;"",BC32,MIN(AU32,ROUND(AI32,2))),
IF(BC32&lt;&gt;"",BC32,MIN(AU32,ROUND(V32*AI32,2)))))</f>
        <v/>
      </c>
      <c r="AO32" s="952"/>
      <c r="AP32" s="952"/>
      <c r="AQ32" s="953"/>
      <c r="AU32" s="893" t="str">
        <f t="shared" ref="AU32" si="23">IF(OR(C32="",N32="",T32="",V32="",X32="",AI32="",AE32="",AB32=""),"",IF(AK32="","",ROUND((AE32+AG32),2)))</f>
        <v/>
      </c>
      <c r="AV32" s="900" t="str">
        <f>IF(OR(C32="",N32="",T32="",V32="",X32="",AB32="",AG32="",AE32=""),"",ROUND(
IF(OR(ISNUMBER(SEARCH("Heat Recovery",C32)),ISNUMBER(SEARCH("VSD Milk Pump w/",C32))),0,
IF(ISNUMBER(SEARCH("Scroll Compressor",C32)),(AW32/2920)*0.34,
IF(ISNUMBER(SEARCH("Milk Pre-Cooler",C32)),(AW32/2920)*0.16,
V32*INDEX(PMEAGG[Savings per Unit kW],MATCH(C32,PMEAGG[Eff Desc 1],0)))
)),3))</f>
        <v/>
      </c>
      <c r="AW32" s="1013" t="str">
        <f>IF(OR(C32="",V32="",X32="",AB32="",AE32="",AG32=""),"",ROUND(
IF(ISNUMBER(SEARCH("Heat Recovery",C32)),V32*(MIN(68*101*0.93*(56.3-38)*0.55,131.7*1*8.34*(120-52.3))*365.25*(1/0.9)/3412),
IF(ISNUMBER(SEARCH("VSD Milk Pump w/",C32)),V32*((1/8)*0.93*11.7*68*101*365/1000),
IF(ISNUMBER(SEARCH("Scroll Compressor",C32)),((((1/8.4)-(1/10.6))*(0.93*30*68*101*365.25))/1000)*V32,
IF(ISNUMBER(SEARCH("Milk Pre-Cooler",C32)),V32*((30*68*101*0.93*365)/(8*1000)),
IF(ISNUMBER(SEARCH("Fan Thermostat Controller",C32)),V32*0.75*0.746*2820/0.825,
V32*INDEX(PMEAGG[Savings per Unit kWh],MATCH(C32,PMEAGG[Eff Desc 1],0))
))))),2))</f>
        <v/>
      </c>
      <c r="AX32" s="900" t="str">
        <f>IF(OR(C32="",N32="",T32="",V32="",X32="",AG32="",AE32="",AB32=""),"",INDEX(PMEAGG[End Use Category],MATCH(C32,PMEAGG[Eff Desc 1],0)))</f>
        <v/>
      </c>
      <c r="AY32" s="974"/>
      <c r="BC32" s="825" t="str">
        <f>IF(OR(N32="",T32="",C32="",V32="",X32="",AB32="",AE32="",AG32=""),"",IF(OR(ISBLANK(M02S02F26),ISBLANK(M02S02F32),ISBLANK(M02S02F46)),MEASUREBLDG,""))</f>
        <v/>
      </c>
      <c r="BE32" s="806" t="str">
        <f ca="1">IF(OR(T32="",N32="",C32="",V32="",X32="",AB32="",AE32="",AG32=""),"",IF('M01-S01'!$V$82&lt;TODAY(),0,IF(M02S02F46="Gas Only",0,IF(OR(AK32="",AK32&lt;0,AU32&lt;=AN32),0,MIN(AU32-AN32,ROUND(AN32*0.2,2))))))</f>
        <v/>
      </c>
    </row>
    <row r="33" spans="2:57">
      <c r="B33" s="829"/>
      <c r="C33" s="835"/>
      <c r="D33" s="836"/>
      <c r="E33" s="836"/>
      <c r="F33" s="836"/>
      <c r="G33" s="836"/>
      <c r="H33" s="836"/>
      <c r="I33" s="836"/>
      <c r="J33" s="836"/>
      <c r="K33" s="836"/>
      <c r="L33" s="836"/>
      <c r="M33" s="837"/>
      <c r="N33" s="911"/>
      <c r="O33" s="912"/>
      <c r="P33" s="912"/>
      <c r="Q33" s="912"/>
      <c r="R33" s="912"/>
      <c r="S33" s="913"/>
      <c r="T33" s="949"/>
      <c r="U33" s="950"/>
      <c r="V33" s="848"/>
      <c r="W33" s="849"/>
      <c r="X33" s="835"/>
      <c r="Y33" s="836"/>
      <c r="Z33" s="836"/>
      <c r="AA33" s="837"/>
      <c r="AB33" s="835"/>
      <c r="AC33" s="836"/>
      <c r="AD33" s="837"/>
      <c r="AE33" s="860"/>
      <c r="AF33" s="870"/>
      <c r="AG33" s="860"/>
      <c r="AH33" s="870"/>
      <c r="AI33" s="919"/>
      <c r="AJ33" s="865"/>
      <c r="AK33" s="906"/>
      <c r="AL33" s="907"/>
      <c r="AM33" s="936"/>
      <c r="AN33" s="954"/>
      <c r="AO33" s="955"/>
      <c r="AP33" s="955"/>
      <c r="AQ33" s="956"/>
      <c r="AU33" s="809"/>
      <c r="AV33" s="901"/>
      <c r="AW33" s="975"/>
      <c r="AX33" s="901"/>
      <c r="AY33" s="975"/>
      <c r="BC33" s="826"/>
      <c r="BE33" s="807"/>
    </row>
    <row r="34" spans="2:57">
      <c r="B34" s="829">
        <v>10</v>
      </c>
      <c r="C34" s="866"/>
      <c r="D34" s="867"/>
      <c r="E34" s="867"/>
      <c r="F34" s="867"/>
      <c r="G34" s="867"/>
      <c r="H34" s="867"/>
      <c r="I34" s="867"/>
      <c r="J34" s="867"/>
      <c r="K34" s="867"/>
      <c r="L34" s="867"/>
      <c r="M34" s="868"/>
      <c r="N34" s="914" t="str">
        <f>IFERROR(IF(C34="","",INDEX(PMEAGG[Base Desc 1],MATCH(C34,PMEAGG[Eff Desc 1],0))),"")</f>
        <v/>
      </c>
      <c r="O34" s="915"/>
      <c r="P34" s="915"/>
      <c r="Q34" s="915"/>
      <c r="R34" s="915"/>
      <c r="S34" s="916"/>
      <c r="T34" s="987" t="str">
        <f>IFERROR(IF(C34="","",INDEX(PMEAGG[Unit of Measure],MATCH(C34,PMEAGG[Eff Desc 1],0))),"")</f>
        <v/>
      </c>
      <c r="U34" s="988"/>
      <c r="V34" s="871"/>
      <c r="W34" s="872"/>
      <c r="X34" s="866"/>
      <c r="Y34" s="867"/>
      <c r="Z34" s="867"/>
      <c r="AA34" s="868"/>
      <c r="AB34" s="866"/>
      <c r="AC34" s="867"/>
      <c r="AD34" s="868"/>
      <c r="AE34" s="889"/>
      <c r="AF34" s="1067"/>
      <c r="AG34" s="889"/>
      <c r="AH34" s="1067"/>
      <c r="AI34" s="924" t="str">
        <f>IFERROR(IF(C34="","",INDEX(PMEAGG[Inc Rate Unit],MATCH(C34,PMEAGG[Eff Desc 1],0))),"")</f>
        <v/>
      </c>
      <c r="AJ34" s="863"/>
      <c r="AK34" s="904" t="str">
        <f t="shared" ref="AK34" si="24">IF(OR(C34="",V34="",X34="",AB34="",AE34="",AG34=""),"",AW34)</f>
        <v/>
      </c>
      <c r="AL34" s="905"/>
      <c r="AM34" s="969"/>
      <c r="AN34" s="951" t="str">
        <f t="shared" ref="AN34" si="25">IF(OR(C34="",V34="",X34="",AB34="",AE34="",AG34=""),"",
IF(OR(ISNUMBER(SEARCH("Heat Recovery",C34)),ISNUMBER(SEARCH("VSD Milk Pump w/",C34)),ISNUMBER(SEARCH("Scroll Compressor",C34)),ISNUMBER(SEARCH("Milk Pre-Cooler",C34))),IF(BC34&lt;&gt;"",BC34,MIN(AU34,ROUND(AI34,2))),
IF(BC34&lt;&gt;"",BC34,MIN(AU34,ROUND(V34*AI34,2)))))</f>
        <v/>
      </c>
      <c r="AO34" s="952"/>
      <c r="AP34" s="952"/>
      <c r="AQ34" s="953"/>
      <c r="AU34" s="893" t="str">
        <f t="shared" ref="AU34" si="26">IF(OR(C34="",N34="",T34="",V34="",X34="",AI34="",AE34="",AB34=""),"",IF(AK34="","",ROUND((AE34+AG34),2)))</f>
        <v/>
      </c>
      <c r="AV34" s="900" t="str">
        <f>IF(OR(C34="",N34="",T34="",V34="",X34="",AB34="",AG34="",AE34=""),"",ROUND(
IF(OR(ISNUMBER(SEARCH("Heat Recovery",C34)),ISNUMBER(SEARCH("VSD Milk Pump w/",C34))),0,
IF(ISNUMBER(SEARCH("Scroll Compressor",C34)),(AW34/2920)*0.34,
IF(ISNUMBER(SEARCH("Milk Pre-Cooler",C34)),(AW34/2920)*0.16,
V34*INDEX(PMEAGG[Savings per Unit kW],MATCH(C34,PMEAGG[Eff Desc 1],0)))
)),3))</f>
        <v/>
      </c>
      <c r="AW34" s="1013" t="str">
        <f>IF(OR(C34="",V34="",X34="",AB34="",AE34="",AG34=""),"",ROUND(
IF(ISNUMBER(SEARCH("Heat Recovery",C34)),V34*(MIN(68*101*0.93*(56.3-38)*0.55,131.7*1*8.34*(120-52.3))*365.25*(1/0.9)/3412),
IF(ISNUMBER(SEARCH("VSD Milk Pump w/",C34)),V34*((1/8)*0.93*11.7*68*101*365/1000),
IF(ISNUMBER(SEARCH("Scroll Compressor",C34)),((((1/8.4)-(1/10.6))*(0.93*30*68*101*365.25))/1000)*V34,
IF(ISNUMBER(SEARCH("Milk Pre-Cooler",C34)),V34*((30*68*101*0.93*365)/(8*1000)),
IF(ISNUMBER(SEARCH("Fan Thermostat Controller",C34)),V34*0.75*0.746*2820/0.825,
V34*INDEX(PMEAGG[Savings per Unit kWh],MATCH(C34,PMEAGG[Eff Desc 1],0))
))))),2))</f>
        <v/>
      </c>
      <c r="AX34" s="900" t="str">
        <f>IF(OR(C34="",N34="",T34="",V34="",X34="",AG34="",AE34="",AB34=""),"",INDEX(PMEAGG[End Use Category],MATCH(C34,PMEAGG[Eff Desc 1],0)))</f>
        <v/>
      </c>
      <c r="AY34" s="974"/>
      <c r="BC34" s="825" t="str">
        <f>IF(OR(N34="",T34="",C34="",V34="",X34="",AB34="",AE34="",AG34=""),"",IF(OR(ISBLANK(M02S02F26),ISBLANK(M02S02F32),ISBLANK(M02S02F46)),MEASUREBLDG,""))</f>
        <v/>
      </c>
      <c r="BE34" s="806" t="str">
        <f ca="1">IF(OR(T34="",N34="",C34="",V34="",X34="",AB34="",AE34="",AG34=""),"",IF('M01-S01'!$V$82&lt;TODAY(),0,IF(M02S02F46="Gas Only",0,IF(OR(AK34="",AK34&lt;0,AU34&lt;=AN34),0,MIN(AU34-AN34,ROUND(AN34*0.2,2))))))</f>
        <v/>
      </c>
    </row>
    <row r="35" spans="2:57">
      <c r="B35" s="829"/>
      <c r="C35" s="835"/>
      <c r="D35" s="836"/>
      <c r="E35" s="836"/>
      <c r="F35" s="836"/>
      <c r="G35" s="836"/>
      <c r="H35" s="836"/>
      <c r="I35" s="836"/>
      <c r="J35" s="836"/>
      <c r="K35" s="836"/>
      <c r="L35" s="836"/>
      <c r="M35" s="837"/>
      <c r="N35" s="911"/>
      <c r="O35" s="912"/>
      <c r="P35" s="912"/>
      <c r="Q35" s="912"/>
      <c r="R35" s="912"/>
      <c r="S35" s="913"/>
      <c r="T35" s="949"/>
      <c r="U35" s="950"/>
      <c r="V35" s="848"/>
      <c r="W35" s="849"/>
      <c r="X35" s="835"/>
      <c r="Y35" s="836"/>
      <c r="Z35" s="836"/>
      <c r="AA35" s="837"/>
      <c r="AB35" s="835"/>
      <c r="AC35" s="836"/>
      <c r="AD35" s="837"/>
      <c r="AE35" s="860"/>
      <c r="AF35" s="870"/>
      <c r="AG35" s="860"/>
      <c r="AH35" s="870"/>
      <c r="AI35" s="919"/>
      <c r="AJ35" s="865"/>
      <c r="AK35" s="906"/>
      <c r="AL35" s="907"/>
      <c r="AM35" s="936"/>
      <c r="AN35" s="954"/>
      <c r="AO35" s="955"/>
      <c r="AP35" s="955"/>
      <c r="AQ35" s="956"/>
      <c r="AU35" s="809"/>
      <c r="AV35" s="901"/>
      <c r="AW35" s="975"/>
      <c r="AX35" s="901"/>
      <c r="AY35" s="975"/>
      <c r="BC35" s="826"/>
      <c r="BE35" s="807"/>
    </row>
    <row r="36" spans="2:57" ht="15" customHeight="1">
      <c r="B36" s="829">
        <v>11</v>
      </c>
      <c r="C36" s="866"/>
      <c r="D36" s="867"/>
      <c r="E36" s="867"/>
      <c r="F36" s="867"/>
      <c r="G36" s="867"/>
      <c r="H36" s="867"/>
      <c r="I36" s="867"/>
      <c r="J36" s="867"/>
      <c r="K36" s="867"/>
      <c r="L36" s="867"/>
      <c r="M36" s="868"/>
      <c r="N36" s="914" t="str">
        <f>IFERROR(IF(C36="","",INDEX(PMEAGG[Base Desc 1],MATCH(C36,PMEAGG[Eff Desc 1],0))),"")</f>
        <v/>
      </c>
      <c r="O36" s="915"/>
      <c r="P36" s="915"/>
      <c r="Q36" s="915"/>
      <c r="R36" s="915"/>
      <c r="S36" s="916"/>
      <c r="T36" s="987" t="str">
        <f>IFERROR(IF(C36="","",INDEX(PMEAGG[Unit of Measure],MATCH(C36,PMEAGG[Eff Desc 1],0))),"")</f>
        <v/>
      </c>
      <c r="U36" s="988"/>
      <c r="V36" s="871"/>
      <c r="W36" s="872"/>
      <c r="X36" s="866"/>
      <c r="Y36" s="867"/>
      <c r="Z36" s="867"/>
      <c r="AA36" s="868"/>
      <c r="AB36" s="866"/>
      <c r="AC36" s="867"/>
      <c r="AD36" s="868"/>
      <c r="AE36" s="889"/>
      <c r="AF36" s="1067"/>
      <c r="AG36" s="889"/>
      <c r="AH36" s="1067"/>
      <c r="AI36" s="924" t="str">
        <f>IFERROR(IF(C36="","",INDEX(PMEAGG[Inc Rate Unit],MATCH(C36,PMEAGG[Eff Desc 1],0))),"")</f>
        <v/>
      </c>
      <c r="AJ36" s="863"/>
      <c r="AK36" s="904" t="str">
        <f t="shared" ref="AK36" si="27">IF(OR(C36="",V36="",X36="",AB36="",AE36="",AG36=""),"",AW36)</f>
        <v/>
      </c>
      <c r="AL36" s="905"/>
      <c r="AM36" s="969"/>
      <c r="AN36" s="951" t="str">
        <f t="shared" ref="AN36" si="28">IF(OR(C36="",V36="",X36="",AB36="",AE36="",AG36=""),"",
IF(OR(ISNUMBER(SEARCH("Heat Recovery",C36)),ISNUMBER(SEARCH("VSD Milk Pump w/",C36)),ISNUMBER(SEARCH("Scroll Compressor",C36)),ISNUMBER(SEARCH("Milk Pre-Cooler",C36))),IF(BC36&lt;&gt;"",BC36,MIN(AU36,ROUND(AI36,2))),
IF(BC36&lt;&gt;"",BC36,MIN(AU36,ROUND(V36*AI36,2)))))</f>
        <v/>
      </c>
      <c r="AO36" s="952"/>
      <c r="AP36" s="952"/>
      <c r="AQ36" s="953"/>
      <c r="AU36" s="893" t="str">
        <f t="shared" ref="AU36" si="29">IF(OR(C36="",N36="",T36="",V36="",X36="",AI36="",AE36="",AB36=""),"",IF(AK36="","",ROUND((AE36+AG36),2)))</f>
        <v/>
      </c>
      <c r="AV36" s="900" t="str">
        <f>IF(OR(C36="",N36="",T36="",V36="",X36="",AB36="",AG36="",AE36=""),"",ROUND(
IF(OR(ISNUMBER(SEARCH("Heat Recovery",C36)),ISNUMBER(SEARCH("VSD Milk Pump w/",C36))),0,
IF(ISNUMBER(SEARCH("Scroll Compressor",C36)),(AW36/2920)*0.34,
IF(ISNUMBER(SEARCH("Milk Pre-Cooler",C36)),(AW36/2920)*0.16,
V36*INDEX(PMEAGG[Savings per Unit kW],MATCH(C36,PMEAGG[Eff Desc 1],0)))
)),3))</f>
        <v/>
      </c>
      <c r="AW36" s="1013" t="str">
        <f>IF(OR(C36="",V36="",X36="",AB36="",AE36="",AG36=""),"",ROUND(
IF(ISNUMBER(SEARCH("Heat Recovery",C36)),V36*(MIN(68*101*0.93*(56.3-38)*0.55,131.7*1*8.34*(120-52.3))*365.25*(1/0.9)/3412),
IF(ISNUMBER(SEARCH("VSD Milk Pump w/",C36)),V36*((1/8)*0.93*11.7*68*101*365/1000),
IF(ISNUMBER(SEARCH("Scroll Compressor",C36)),((((1/8.4)-(1/10.6))*(0.93*30*68*101*365.25))/1000)*V36,
IF(ISNUMBER(SEARCH("Milk Pre-Cooler",C36)),V36*((30*68*101*0.93*365)/(8*1000)),
IF(ISNUMBER(SEARCH("Fan Thermostat Controller",C36)),V36*0.75*0.746*2820/0.825,
V36*INDEX(PMEAGG[Savings per Unit kWh],MATCH(C36,PMEAGG[Eff Desc 1],0))
))))),2))</f>
        <v/>
      </c>
      <c r="AX36" s="900" t="str">
        <f>IF(OR(C36="",N36="",T36="",V36="",X36="",AG36="",AE36="",AB36=""),"",INDEX(PMEAGG[End Use Category],MATCH(C36,PMEAGG[Eff Desc 1],0)))</f>
        <v/>
      </c>
      <c r="AY36" s="974"/>
      <c r="BC36" s="825" t="str">
        <f>IF(OR(N36="",T36="",C36="",V36="",X36="",AB36="",AE36="",AG36=""),"",IF(OR(ISBLANK(M02S02F26),ISBLANK(M02S02F32),ISBLANK(M02S02F46)),MEASUREBLDG,""))</f>
        <v/>
      </c>
      <c r="BE36" s="806" t="str">
        <f ca="1">IF(OR(T36="",N36="",C36="",V36="",X36="",AB36="",AE36="",AG36=""),"",IF('M01-S01'!$V$82&lt;TODAY(),0,IF(M02S02F46="Gas Only",0,IF(OR(AK36="",AK36&lt;0,AU36&lt;=AN36),0,MIN(AU36-AN36,ROUND(AN36*0.2,2))))))</f>
        <v/>
      </c>
    </row>
    <row r="37" spans="2:57">
      <c r="B37" s="829"/>
      <c r="C37" s="835"/>
      <c r="D37" s="836"/>
      <c r="E37" s="836"/>
      <c r="F37" s="836"/>
      <c r="G37" s="836"/>
      <c r="H37" s="836"/>
      <c r="I37" s="836"/>
      <c r="J37" s="836"/>
      <c r="K37" s="836"/>
      <c r="L37" s="836"/>
      <c r="M37" s="837"/>
      <c r="N37" s="911"/>
      <c r="O37" s="912"/>
      <c r="P37" s="912"/>
      <c r="Q37" s="912"/>
      <c r="R37" s="912"/>
      <c r="S37" s="913"/>
      <c r="T37" s="949"/>
      <c r="U37" s="950"/>
      <c r="V37" s="848"/>
      <c r="W37" s="849"/>
      <c r="X37" s="835"/>
      <c r="Y37" s="836"/>
      <c r="Z37" s="836"/>
      <c r="AA37" s="837"/>
      <c r="AB37" s="835"/>
      <c r="AC37" s="836"/>
      <c r="AD37" s="837"/>
      <c r="AE37" s="860"/>
      <c r="AF37" s="870"/>
      <c r="AG37" s="860"/>
      <c r="AH37" s="870"/>
      <c r="AI37" s="919"/>
      <c r="AJ37" s="865"/>
      <c r="AK37" s="906"/>
      <c r="AL37" s="907"/>
      <c r="AM37" s="936"/>
      <c r="AN37" s="954"/>
      <c r="AO37" s="955"/>
      <c r="AP37" s="955"/>
      <c r="AQ37" s="956"/>
      <c r="AU37" s="809"/>
      <c r="AV37" s="901"/>
      <c r="AW37" s="975"/>
      <c r="AX37" s="901"/>
      <c r="AY37" s="975"/>
      <c r="BC37" s="826"/>
      <c r="BE37" s="807"/>
    </row>
    <row r="38" spans="2:57">
      <c r="B38" s="829">
        <v>12</v>
      </c>
      <c r="C38" s="866"/>
      <c r="D38" s="867"/>
      <c r="E38" s="867"/>
      <c r="F38" s="867"/>
      <c r="G38" s="867"/>
      <c r="H38" s="867"/>
      <c r="I38" s="867"/>
      <c r="J38" s="867"/>
      <c r="K38" s="867"/>
      <c r="L38" s="867"/>
      <c r="M38" s="868"/>
      <c r="N38" s="914" t="str">
        <f>IFERROR(IF(C38="","",INDEX(PMEAGG[Base Desc 1],MATCH(C38,PMEAGG[Eff Desc 1],0))),"")</f>
        <v/>
      </c>
      <c r="O38" s="915"/>
      <c r="P38" s="915"/>
      <c r="Q38" s="915"/>
      <c r="R38" s="915"/>
      <c r="S38" s="916"/>
      <c r="T38" s="987" t="str">
        <f>IFERROR(IF(C38="","",INDEX(PMEAGG[Unit of Measure],MATCH(C38,PMEAGG[Eff Desc 1],0))),"")</f>
        <v/>
      </c>
      <c r="U38" s="988"/>
      <c r="V38" s="871"/>
      <c r="W38" s="872"/>
      <c r="X38" s="866"/>
      <c r="Y38" s="867"/>
      <c r="Z38" s="867"/>
      <c r="AA38" s="868"/>
      <c r="AB38" s="866"/>
      <c r="AC38" s="867"/>
      <c r="AD38" s="868"/>
      <c r="AE38" s="889"/>
      <c r="AF38" s="1067"/>
      <c r="AG38" s="889"/>
      <c r="AH38" s="1067"/>
      <c r="AI38" s="924" t="str">
        <f>IFERROR(IF(C38="","",INDEX(PMEAGG[Inc Rate Unit],MATCH(C38,PMEAGG[Eff Desc 1],0))),"")</f>
        <v/>
      </c>
      <c r="AJ38" s="863"/>
      <c r="AK38" s="904" t="str">
        <f t="shared" ref="AK38" si="30">IF(OR(C38="",V38="",X38="",AB38="",AE38="",AG38=""),"",AW38)</f>
        <v/>
      </c>
      <c r="AL38" s="905"/>
      <c r="AM38" s="969"/>
      <c r="AN38" s="951" t="str">
        <f t="shared" ref="AN38" si="31">IF(OR(C38="",V38="",X38="",AB38="",AE38="",AG38=""),"",
IF(OR(ISNUMBER(SEARCH("Heat Recovery",C38)),ISNUMBER(SEARCH("VSD Milk Pump w/",C38)),ISNUMBER(SEARCH("Scroll Compressor",C38)),ISNUMBER(SEARCH("Milk Pre-Cooler",C38))),IF(BC38&lt;&gt;"",BC38,MIN(AU38,ROUND(AI38,2))),
IF(BC38&lt;&gt;"",BC38,MIN(AU38,ROUND(V38*AI38,2)))))</f>
        <v/>
      </c>
      <c r="AO38" s="952"/>
      <c r="AP38" s="952"/>
      <c r="AQ38" s="953"/>
      <c r="AU38" s="893" t="str">
        <f t="shared" ref="AU38" si="32">IF(OR(C38="",N38="",T38="",V38="",X38="",AI38="",AE38="",AB38=""),"",IF(AK38="","",ROUND((AE38+AG38),2)))</f>
        <v/>
      </c>
      <c r="AV38" s="900" t="str">
        <f>IF(OR(C38="",N38="",T38="",V38="",X38="",AB38="",AG38="",AE38=""),"",ROUND(
IF(OR(ISNUMBER(SEARCH("Heat Recovery",C38)),ISNUMBER(SEARCH("VSD Milk Pump w/",C38))),0,
IF(ISNUMBER(SEARCH("Scroll Compressor",C38)),(AW38/2920)*0.34,
IF(ISNUMBER(SEARCH("Milk Pre-Cooler",C38)),(AW38/2920)*0.16,
V38*INDEX(PMEAGG[Savings per Unit kW],MATCH(C38,PMEAGG[Eff Desc 1],0)))
)),3))</f>
        <v/>
      </c>
      <c r="AW38" s="1013" t="str">
        <f>IF(OR(C38="",V38="",X38="",AB38="",AE38="",AG38=""),"",ROUND(
IF(ISNUMBER(SEARCH("Heat Recovery",C38)),V38*(MIN(68*101*0.93*(56.3-38)*0.55,131.7*1*8.34*(120-52.3))*365.25*(1/0.9)/3412),
IF(ISNUMBER(SEARCH("VSD Milk Pump w/",C38)),V38*((1/8)*0.93*11.7*68*101*365/1000),
IF(ISNUMBER(SEARCH("Scroll Compressor",C38)),((((1/8.4)-(1/10.6))*(0.93*30*68*101*365.25))/1000)*V38,
IF(ISNUMBER(SEARCH("Milk Pre-Cooler",C38)),V38*((30*68*101*0.93*365)/(8*1000)),
IF(ISNUMBER(SEARCH("Fan Thermostat Controller",C38)),V38*0.75*0.746*2820/0.825,
V38*INDEX(PMEAGG[Savings per Unit kWh],MATCH(C38,PMEAGG[Eff Desc 1],0))
))))),2))</f>
        <v/>
      </c>
      <c r="AX38" s="900" t="str">
        <f>IF(OR(C38="",N38="",T38="",V38="",X38="",AG38="",AE38="",AB38=""),"",INDEX(PMEAGG[End Use Category],MATCH(C38,PMEAGG[Eff Desc 1],0)))</f>
        <v/>
      </c>
      <c r="AY38" s="974"/>
      <c r="BC38" s="825" t="str">
        <f>IF(OR(N38="",T38="",C38="",V38="",X38="",AB38="",AE38="",AG38=""),"",IF(OR(ISBLANK(M02S02F26),ISBLANK(M02S02F32),ISBLANK(M02S02F46)),MEASUREBLDG,""))</f>
        <v/>
      </c>
      <c r="BE38" s="806" t="str">
        <f ca="1">IF(OR(T38="",N38="",C38="",V38="",X38="",AB38="",AE38="",AG38=""),"",IF('M01-S01'!$V$82&lt;TODAY(),0,IF(M02S02F46="Gas Only",0,IF(OR(AK38="",AK38&lt;0,AU38&lt;=AN38),0,MIN(AU38-AN38,ROUND(AN38*0.2,2))))))</f>
        <v/>
      </c>
    </row>
    <row r="39" spans="2:57">
      <c r="B39" s="829"/>
      <c r="C39" s="835"/>
      <c r="D39" s="836"/>
      <c r="E39" s="836"/>
      <c r="F39" s="836"/>
      <c r="G39" s="836"/>
      <c r="H39" s="836"/>
      <c r="I39" s="836"/>
      <c r="J39" s="836"/>
      <c r="K39" s="836"/>
      <c r="L39" s="836"/>
      <c r="M39" s="837"/>
      <c r="N39" s="911"/>
      <c r="O39" s="912"/>
      <c r="P39" s="912"/>
      <c r="Q39" s="912"/>
      <c r="R39" s="912"/>
      <c r="S39" s="913"/>
      <c r="T39" s="949"/>
      <c r="U39" s="950"/>
      <c r="V39" s="848"/>
      <c r="W39" s="849"/>
      <c r="X39" s="835"/>
      <c r="Y39" s="836"/>
      <c r="Z39" s="836"/>
      <c r="AA39" s="837"/>
      <c r="AB39" s="835"/>
      <c r="AC39" s="836"/>
      <c r="AD39" s="837"/>
      <c r="AE39" s="860"/>
      <c r="AF39" s="870"/>
      <c r="AG39" s="860"/>
      <c r="AH39" s="870"/>
      <c r="AI39" s="919"/>
      <c r="AJ39" s="865"/>
      <c r="AK39" s="906"/>
      <c r="AL39" s="907"/>
      <c r="AM39" s="936"/>
      <c r="AN39" s="954"/>
      <c r="AO39" s="955"/>
      <c r="AP39" s="955"/>
      <c r="AQ39" s="956"/>
      <c r="AU39" s="809"/>
      <c r="AV39" s="901"/>
      <c r="AW39" s="975"/>
      <c r="AX39" s="901"/>
      <c r="AY39" s="975"/>
      <c r="BC39" s="826"/>
      <c r="BE39" s="807"/>
    </row>
    <row r="40" spans="2:57">
      <c r="B40" s="829">
        <v>13</v>
      </c>
      <c r="C40" s="866"/>
      <c r="D40" s="867"/>
      <c r="E40" s="867"/>
      <c r="F40" s="867"/>
      <c r="G40" s="867"/>
      <c r="H40" s="867"/>
      <c r="I40" s="867"/>
      <c r="J40" s="867"/>
      <c r="K40" s="867"/>
      <c r="L40" s="867"/>
      <c r="M40" s="868"/>
      <c r="N40" s="914" t="str">
        <f>IFERROR(IF(C40="","",INDEX(PMEAGG[Base Desc 1],MATCH(C40,PMEAGG[Eff Desc 1],0))),"")</f>
        <v/>
      </c>
      <c r="O40" s="915"/>
      <c r="P40" s="915"/>
      <c r="Q40" s="915"/>
      <c r="R40" s="915"/>
      <c r="S40" s="916"/>
      <c r="T40" s="987" t="str">
        <f>IFERROR(IF(C40="","",INDEX(PMEAGG[Unit of Measure],MATCH(C40,PMEAGG[Eff Desc 1],0))),"")</f>
        <v/>
      </c>
      <c r="U40" s="988"/>
      <c r="V40" s="871"/>
      <c r="W40" s="872"/>
      <c r="X40" s="866"/>
      <c r="Y40" s="867"/>
      <c r="Z40" s="867"/>
      <c r="AA40" s="868"/>
      <c r="AB40" s="866"/>
      <c r="AC40" s="867"/>
      <c r="AD40" s="868"/>
      <c r="AE40" s="889"/>
      <c r="AF40" s="1067"/>
      <c r="AG40" s="889"/>
      <c r="AH40" s="1067"/>
      <c r="AI40" s="924" t="str">
        <f>IFERROR(IF(C40="","",INDEX(PMEAGG[Inc Rate Unit],MATCH(C40,PMEAGG[Eff Desc 1],0))),"")</f>
        <v/>
      </c>
      <c r="AJ40" s="863"/>
      <c r="AK40" s="904" t="str">
        <f t="shared" ref="AK40" si="33">IF(OR(C40="",V40="",X40="",AB40="",AE40="",AG40=""),"",AW40)</f>
        <v/>
      </c>
      <c r="AL40" s="905"/>
      <c r="AM40" s="969"/>
      <c r="AN40" s="951" t="str">
        <f t="shared" ref="AN40" si="34">IF(OR(C40="",V40="",X40="",AB40="",AE40="",AG40=""),"",
IF(OR(ISNUMBER(SEARCH("Heat Recovery",C40)),ISNUMBER(SEARCH("VSD Milk Pump w/",C40)),ISNUMBER(SEARCH("Scroll Compressor",C40)),ISNUMBER(SEARCH("Milk Pre-Cooler",C40))),IF(BC40&lt;&gt;"",BC40,MIN(AU40,ROUND(AI40,2))),
IF(BC40&lt;&gt;"",BC40,MIN(AU40,ROUND(V40*AI40,2)))))</f>
        <v/>
      </c>
      <c r="AO40" s="952"/>
      <c r="AP40" s="952"/>
      <c r="AQ40" s="953"/>
      <c r="AU40" s="893" t="str">
        <f t="shared" ref="AU40" si="35">IF(OR(C40="",N40="",T40="",V40="",X40="",AI40="",AE40="",AB40=""),"",IF(AK40="","",ROUND((AE40+AG40),2)))</f>
        <v/>
      </c>
      <c r="AV40" s="900" t="str">
        <f>IF(OR(C40="",N40="",T40="",V40="",X40="",AB40="",AG40="",AE40=""),"",ROUND(
IF(OR(ISNUMBER(SEARCH("Heat Recovery",C40)),ISNUMBER(SEARCH("VSD Milk Pump w/",C40))),0,
IF(ISNUMBER(SEARCH("Scroll Compressor",C40)),(AW40/2920)*0.34,
IF(ISNUMBER(SEARCH("Milk Pre-Cooler",C40)),(AW40/2920)*0.16,
V40*INDEX(PMEAGG[Savings per Unit kW],MATCH(C40,PMEAGG[Eff Desc 1],0)))
)),3))</f>
        <v/>
      </c>
      <c r="AW40" s="1013" t="str">
        <f>IF(OR(C40="",V40="",X40="",AB40="",AE40="",AG40=""),"",ROUND(
IF(ISNUMBER(SEARCH("Heat Recovery",C40)),V40*(MIN(68*101*0.93*(56.3-38)*0.55,131.7*1*8.34*(120-52.3))*365.25*(1/0.9)/3412),
IF(ISNUMBER(SEARCH("VSD Milk Pump w/",C40)),V40*((1/8)*0.93*11.7*68*101*365/1000),
IF(ISNUMBER(SEARCH("Scroll Compressor",C40)),((((1/8.4)-(1/10.6))*(0.93*30*68*101*365.25))/1000)*V40,
IF(ISNUMBER(SEARCH("Milk Pre-Cooler",C40)),V40*((30*68*101*0.93*365)/(8*1000)),
IF(ISNUMBER(SEARCH("Fan Thermostat Controller",C40)),V40*0.75*0.746*2820/0.825,
V40*INDEX(PMEAGG[Savings per Unit kWh],MATCH(C40,PMEAGG[Eff Desc 1],0))
))))),2))</f>
        <v/>
      </c>
      <c r="AX40" s="900" t="str">
        <f>IF(OR(C40="",N40="",T40="",V40="",X40="",AG40="",AE40="",AB40=""),"",INDEX(PMEAGG[End Use Category],MATCH(C40,PMEAGG[Eff Desc 1],0)))</f>
        <v/>
      </c>
      <c r="AY40" s="974"/>
      <c r="BC40" s="825" t="str">
        <f>IF(OR(N40="",T40="",C40="",V40="",X40="",AB40="",AE40="",AG40=""),"",IF(OR(ISBLANK(M02S02F26),ISBLANK(M02S02F32),ISBLANK(M02S02F46)),MEASUREBLDG,""))</f>
        <v/>
      </c>
      <c r="BE40" s="806" t="str">
        <f ca="1">IF(OR(T40="",N40="",C40="",V40="",X40="",AB40="",AE40="",AG40=""),"",IF('M01-S01'!$V$82&lt;TODAY(),0,IF(M02S02F46="Gas Only",0,IF(OR(AK40="",AK40&lt;0,AU40&lt;=AN40),0,MIN(AU40-AN40,ROUND(AN40*0.2,2))))))</f>
        <v/>
      </c>
    </row>
    <row r="41" spans="2:57">
      <c r="B41" s="829"/>
      <c r="C41" s="835"/>
      <c r="D41" s="836"/>
      <c r="E41" s="836"/>
      <c r="F41" s="836"/>
      <c r="G41" s="836"/>
      <c r="H41" s="836"/>
      <c r="I41" s="836"/>
      <c r="J41" s="836"/>
      <c r="K41" s="836"/>
      <c r="L41" s="836"/>
      <c r="M41" s="837"/>
      <c r="N41" s="911"/>
      <c r="O41" s="912"/>
      <c r="P41" s="912"/>
      <c r="Q41" s="912"/>
      <c r="R41" s="912"/>
      <c r="S41" s="913"/>
      <c r="T41" s="949"/>
      <c r="U41" s="950"/>
      <c r="V41" s="848"/>
      <c r="W41" s="849"/>
      <c r="X41" s="835"/>
      <c r="Y41" s="836"/>
      <c r="Z41" s="836"/>
      <c r="AA41" s="837"/>
      <c r="AB41" s="835"/>
      <c r="AC41" s="836"/>
      <c r="AD41" s="837"/>
      <c r="AE41" s="860"/>
      <c r="AF41" s="870"/>
      <c r="AG41" s="860"/>
      <c r="AH41" s="870"/>
      <c r="AI41" s="919"/>
      <c r="AJ41" s="865"/>
      <c r="AK41" s="906"/>
      <c r="AL41" s="907"/>
      <c r="AM41" s="936"/>
      <c r="AN41" s="954"/>
      <c r="AO41" s="955"/>
      <c r="AP41" s="955"/>
      <c r="AQ41" s="956"/>
      <c r="AU41" s="809"/>
      <c r="AV41" s="901"/>
      <c r="AW41" s="975"/>
      <c r="AX41" s="901"/>
      <c r="AY41" s="975"/>
      <c r="BC41" s="826"/>
      <c r="BE41" s="807"/>
    </row>
    <row r="42" spans="2:57">
      <c r="B42" s="829">
        <v>14</v>
      </c>
      <c r="C42" s="866"/>
      <c r="D42" s="867"/>
      <c r="E42" s="867"/>
      <c r="F42" s="867"/>
      <c r="G42" s="867"/>
      <c r="H42" s="867"/>
      <c r="I42" s="867"/>
      <c r="J42" s="867"/>
      <c r="K42" s="867"/>
      <c r="L42" s="867"/>
      <c r="M42" s="868"/>
      <c r="N42" s="914" t="str">
        <f>IFERROR(IF(C42="","",INDEX(PMEAGG[Base Desc 1],MATCH(C42,PMEAGG[Eff Desc 1],0))),"")</f>
        <v/>
      </c>
      <c r="O42" s="915"/>
      <c r="P42" s="915"/>
      <c r="Q42" s="915"/>
      <c r="R42" s="915"/>
      <c r="S42" s="916"/>
      <c r="T42" s="987" t="str">
        <f>IFERROR(IF(C42="","",INDEX(PMEAGG[Unit of Measure],MATCH(C42,PMEAGG[Eff Desc 1],0))),"")</f>
        <v/>
      </c>
      <c r="U42" s="988"/>
      <c r="V42" s="871"/>
      <c r="W42" s="872"/>
      <c r="X42" s="866"/>
      <c r="Y42" s="867"/>
      <c r="Z42" s="867"/>
      <c r="AA42" s="868"/>
      <c r="AB42" s="866"/>
      <c r="AC42" s="867"/>
      <c r="AD42" s="868"/>
      <c r="AE42" s="889"/>
      <c r="AF42" s="1067"/>
      <c r="AG42" s="889"/>
      <c r="AH42" s="1067"/>
      <c r="AI42" s="924" t="str">
        <f>IFERROR(IF(C42="","",INDEX(PMEAGG[Inc Rate Unit],MATCH(C42,PMEAGG[Eff Desc 1],0))),"")</f>
        <v/>
      </c>
      <c r="AJ42" s="863"/>
      <c r="AK42" s="904" t="str">
        <f t="shared" ref="AK42" si="36">IF(OR(C42="",V42="",X42="",AB42="",AE42="",AG42=""),"",AW42)</f>
        <v/>
      </c>
      <c r="AL42" s="905"/>
      <c r="AM42" s="969"/>
      <c r="AN42" s="951" t="str">
        <f t="shared" ref="AN42" si="37">IF(OR(C42="",V42="",X42="",AB42="",AE42="",AG42=""),"",
IF(OR(ISNUMBER(SEARCH("Heat Recovery",C42)),ISNUMBER(SEARCH("VSD Milk Pump w/",C42)),ISNUMBER(SEARCH("Scroll Compressor",C42)),ISNUMBER(SEARCH("Milk Pre-Cooler",C42))),IF(BC42&lt;&gt;"",BC42,MIN(AU42,ROUND(AI42,2))),
IF(BC42&lt;&gt;"",BC42,MIN(AU42,ROUND(V42*AI42,2)))))</f>
        <v/>
      </c>
      <c r="AO42" s="952"/>
      <c r="AP42" s="952"/>
      <c r="AQ42" s="953"/>
      <c r="AU42" s="893" t="str">
        <f t="shared" ref="AU42" si="38">IF(OR(C42="",N42="",T42="",V42="",X42="",AI42="",AE42="",AB42=""),"",IF(AK42="","",ROUND((AE42+AG42),2)))</f>
        <v/>
      </c>
      <c r="AV42" s="900" t="str">
        <f>IF(OR(C42="",N42="",T42="",V42="",X42="",AB42="",AG42="",AE42=""),"",ROUND(
IF(OR(ISNUMBER(SEARCH("Heat Recovery",C42)),ISNUMBER(SEARCH("VSD Milk Pump w/",C42))),0,
IF(ISNUMBER(SEARCH("Scroll Compressor",C42)),(AW42/2920)*0.34,
IF(ISNUMBER(SEARCH("Milk Pre-Cooler",C42)),(AW42/2920)*0.16,
V42*INDEX(PMEAGG[Savings per Unit kW],MATCH(C42,PMEAGG[Eff Desc 1],0)))
)),3))</f>
        <v/>
      </c>
      <c r="AW42" s="1013" t="str">
        <f>IF(OR(C42="",V42="",X42="",AB42="",AE42="",AG42=""),"",ROUND(
IF(ISNUMBER(SEARCH("Heat Recovery",C42)),V42*(MIN(68*101*0.93*(56.3-38)*0.55,131.7*1*8.34*(120-52.3))*365.25*(1/0.9)/3412),
IF(ISNUMBER(SEARCH("VSD Milk Pump w/",C42)),V42*((1/8)*0.93*11.7*68*101*365/1000),
IF(ISNUMBER(SEARCH("Scroll Compressor",C42)),((((1/8.4)-(1/10.6))*(0.93*30*68*101*365.25))/1000)*V42,
IF(ISNUMBER(SEARCH("Milk Pre-Cooler",C42)),V42*((30*68*101*0.93*365)/(8*1000)),
IF(ISNUMBER(SEARCH("Fan Thermostat Controller",C42)),V42*0.75*0.746*2820/0.825,
V42*INDEX(PMEAGG[Savings per Unit kWh],MATCH(C42,PMEAGG[Eff Desc 1],0))
))))),2))</f>
        <v/>
      </c>
      <c r="AX42" s="900" t="str">
        <f>IF(OR(C42="",N42="",T42="",V42="",X42="",AG42="",AE42="",AB42=""),"",INDEX(PMEAGG[End Use Category],MATCH(C42,PMEAGG[Eff Desc 1],0)))</f>
        <v/>
      </c>
      <c r="AY42" s="974"/>
      <c r="BC42" s="825" t="str">
        <f>IF(OR(N42="",T42="",C42="",V42="",X42="",AB42="",AE42="",AG42=""),"",IF(OR(ISBLANK(M02S02F26),ISBLANK(M02S02F32),ISBLANK(M02S02F46)),MEASUREBLDG,""))</f>
        <v/>
      </c>
      <c r="BE42" s="806" t="str">
        <f ca="1">IF(OR(T42="",N42="",C42="",V42="",X42="",AB42="",AE42="",AG42=""),"",IF('M01-S01'!$V$82&lt;TODAY(),0,IF(M02S02F46="Gas Only",0,IF(OR(AK42="",AK42&lt;0,AU42&lt;=AN42),0,MIN(AU42-AN42,ROUND(AN42*0.2,2))))))</f>
        <v/>
      </c>
    </row>
    <row r="43" spans="2:57">
      <c r="B43" s="829"/>
      <c r="C43" s="835"/>
      <c r="D43" s="836"/>
      <c r="E43" s="836"/>
      <c r="F43" s="836"/>
      <c r="G43" s="836"/>
      <c r="H43" s="836"/>
      <c r="I43" s="836"/>
      <c r="J43" s="836"/>
      <c r="K43" s="836"/>
      <c r="L43" s="836"/>
      <c r="M43" s="837"/>
      <c r="N43" s="911"/>
      <c r="O43" s="912"/>
      <c r="P43" s="912"/>
      <c r="Q43" s="912"/>
      <c r="R43" s="912"/>
      <c r="S43" s="913"/>
      <c r="T43" s="949"/>
      <c r="U43" s="950"/>
      <c r="V43" s="848"/>
      <c r="W43" s="849"/>
      <c r="X43" s="835"/>
      <c r="Y43" s="836"/>
      <c r="Z43" s="836"/>
      <c r="AA43" s="837"/>
      <c r="AB43" s="835"/>
      <c r="AC43" s="836"/>
      <c r="AD43" s="837"/>
      <c r="AE43" s="860"/>
      <c r="AF43" s="870"/>
      <c r="AG43" s="860"/>
      <c r="AH43" s="870"/>
      <c r="AI43" s="919"/>
      <c r="AJ43" s="865"/>
      <c r="AK43" s="906"/>
      <c r="AL43" s="907"/>
      <c r="AM43" s="936"/>
      <c r="AN43" s="954"/>
      <c r="AO43" s="955"/>
      <c r="AP43" s="955"/>
      <c r="AQ43" s="956"/>
      <c r="AU43" s="809"/>
      <c r="AV43" s="901"/>
      <c r="AW43" s="975"/>
      <c r="AX43" s="901"/>
      <c r="AY43" s="975"/>
      <c r="BC43" s="826"/>
      <c r="BE43" s="807"/>
    </row>
    <row r="44" spans="2:57">
      <c r="B44" s="829">
        <v>15</v>
      </c>
      <c r="C44" s="866"/>
      <c r="D44" s="867"/>
      <c r="E44" s="867"/>
      <c r="F44" s="867"/>
      <c r="G44" s="867"/>
      <c r="H44" s="867"/>
      <c r="I44" s="867"/>
      <c r="J44" s="867"/>
      <c r="K44" s="867"/>
      <c r="L44" s="867"/>
      <c r="M44" s="868"/>
      <c r="N44" s="914" t="str">
        <f>IFERROR(IF(C44="","",INDEX(PMEAGG[Base Desc 1],MATCH(C44,PMEAGG[Eff Desc 1],0))),"")</f>
        <v/>
      </c>
      <c r="O44" s="915"/>
      <c r="P44" s="915"/>
      <c r="Q44" s="915"/>
      <c r="R44" s="915"/>
      <c r="S44" s="916"/>
      <c r="T44" s="987" t="str">
        <f>IFERROR(IF(C44="","",INDEX(PMEAGG[Unit of Measure],MATCH(C44,PMEAGG[Eff Desc 1],0))),"")</f>
        <v/>
      </c>
      <c r="U44" s="988"/>
      <c r="V44" s="871"/>
      <c r="W44" s="872"/>
      <c r="X44" s="866"/>
      <c r="Y44" s="867"/>
      <c r="Z44" s="867"/>
      <c r="AA44" s="868"/>
      <c r="AB44" s="866"/>
      <c r="AC44" s="867"/>
      <c r="AD44" s="868"/>
      <c r="AE44" s="889"/>
      <c r="AF44" s="1067"/>
      <c r="AG44" s="889"/>
      <c r="AH44" s="1067"/>
      <c r="AI44" s="924" t="str">
        <f>IFERROR(IF(C44="","",INDEX(PMEAGG[Inc Rate Unit],MATCH(C44,PMEAGG[Eff Desc 1],0))),"")</f>
        <v/>
      </c>
      <c r="AJ44" s="863"/>
      <c r="AK44" s="904" t="str">
        <f t="shared" ref="AK44" si="39">IF(OR(C44="",V44="",X44="",AB44="",AE44="",AG44=""),"",AW44)</f>
        <v/>
      </c>
      <c r="AL44" s="905"/>
      <c r="AM44" s="969"/>
      <c r="AN44" s="951" t="str">
        <f t="shared" ref="AN44" si="40">IF(OR(C44="",V44="",X44="",AB44="",AE44="",AG44=""),"",
IF(OR(ISNUMBER(SEARCH("Heat Recovery",C44)),ISNUMBER(SEARCH("VSD Milk Pump w/",C44)),ISNUMBER(SEARCH("Scroll Compressor",C44)),ISNUMBER(SEARCH("Milk Pre-Cooler",C44))),IF(BC44&lt;&gt;"",BC44,MIN(AU44,ROUND(AI44,2))),
IF(BC44&lt;&gt;"",BC44,MIN(AU44,ROUND(V44*AI44,2)))))</f>
        <v/>
      </c>
      <c r="AO44" s="952"/>
      <c r="AP44" s="952"/>
      <c r="AQ44" s="953"/>
      <c r="AU44" s="893" t="str">
        <f t="shared" ref="AU44" si="41">IF(OR(C44="",N44="",T44="",V44="",X44="",AI44="",AE44="",AB44=""),"",IF(AK44="","",ROUND((AE44+AG44),2)))</f>
        <v/>
      </c>
      <c r="AV44" s="900" t="str">
        <f>IF(OR(C44="",N44="",T44="",V44="",X44="",AB44="",AG44="",AE44=""),"",ROUND(
IF(OR(ISNUMBER(SEARCH("Heat Recovery",C44)),ISNUMBER(SEARCH("VSD Milk Pump w/",C44))),0,
IF(ISNUMBER(SEARCH("Scroll Compressor",C44)),(AW44/2920)*0.34,
IF(ISNUMBER(SEARCH("Milk Pre-Cooler",C44)),(AW44/2920)*0.16,
V44*INDEX(PMEAGG[Savings per Unit kW],MATCH(C44,PMEAGG[Eff Desc 1],0)))
)),3))</f>
        <v/>
      </c>
      <c r="AW44" s="1013" t="str">
        <f>IF(OR(C44="",V44="",X44="",AB44="",AE44="",AG44=""),"",ROUND(
IF(ISNUMBER(SEARCH("Heat Recovery",C44)),V44*(MIN(68*101*0.93*(56.3-38)*0.55,131.7*1*8.34*(120-52.3))*365.25*(1/0.9)/3412),
IF(ISNUMBER(SEARCH("VSD Milk Pump w/",C44)),V44*((1/8)*0.93*11.7*68*101*365/1000),
IF(ISNUMBER(SEARCH("Scroll Compressor",C44)),((((1/8.4)-(1/10.6))*(0.93*30*68*101*365.25))/1000)*V44,
IF(ISNUMBER(SEARCH("Milk Pre-Cooler",C44)),V44*((30*68*101*0.93*365)/(8*1000)),
IF(ISNUMBER(SEARCH("Fan Thermostat Controller",C44)),V44*0.75*0.746*2820/0.825,
V44*INDEX(PMEAGG[Savings per Unit kWh],MATCH(C44,PMEAGG[Eff Desc 1],0))
))))),2))</f>
        <v/>
      </c>
      <c r="AX44" s="900" t="str">
        <f>IF(OR(C44="",N44="",T44="",V44="",X44="",AG44="",AE44="",AB44=""),"",INDEX(PMEAGG[End Use Category],MATCH(C44,PMEAGG[Eff Desc 1],0)))</f>
        <v/>
      </c>
      <c r="AY44" s="974"/>
      <c r="BC44" s="825" t="str">
        <f>IF(OR(N44="",T44="",C44="",V44="",X44="",AB44="",AE44="",AG44=""),"",IF(OR(ISBLANK(M02S02F26),ISBLANK(M02S02F32),ISBLANK(M02S02F46)),MEASUREBLDG,""))</f>
        <v/>
      </c>
      <c r="BE44" s="806" t="str">
        <f ca="1">IF(OR(T44="",N44="",C44="",V44="",X44="",AB44="",AE44="",AG44=""),"",IF('M01-S01'!$V$82&lt;TODAY(),0,IF(M02S02F46="Gas Only",0,IF(OR(AK44="",AK44&lt;0,AU44&lt;=AN44),0,MIN(AU44-AN44,ROUND(AN44*0.2,2))))))</f>
        <v/>
      </c>
    </row>
    <row r="45" spans="2:57">
      <c r="B45" s="829"/>
      <c r="C45" s="835"/>
      <c r="D45" s="836"/>
      <c r="E45" s="836"/>
      <c r="F45" s="836"/>
      <c r="G45" s="836"/>
      <c r="H45" s="836"/>
      <c r="I45" s="836"/>
      <c r="J45" s="836"/>
      <c r="K45" s="836"/>
      <c r="L45" s="836"/>
      <c r="M45" s="837"/>
      <c r="N45" s="911"/>
      <c r="O45" s="912"/>
      <c r="P45" s="912"/>
      <c r="Q45" s="912"/>
      <c r="R45" s="912"/>
      <c r="S45" s="913"/>
      <c r="T45" s="949"/>
      <c r="U45" s="950"/>
      <c r="V45" s="848"/>
      <c r="W45" s="849"/>
      <c r="X45" s="835"/>
      <c r="Y45" s="836"/>
      <c r="Z45" s="836"/>
      <c r="AA45" s="837"/>
      <c r="AB45" s="835"/>
      <c r="AC45" s="836"/>
      <c r="AD45" s="837"/>
      <c r="AE45" s="860"/>
      <c r="AF45" s="870"/>
      <c r="AG45" s="860"/>
      <c r="AH45" s="870"/>
      <c r="AI45" s="919"/>
      <c r="AJ45" s="865"/>
      <c r="AK45" s="906"/>
      <c r="AL45" s="907"/>
      <c r="AM45" s="936"/>
      <c r="AN45" s="954"/>
      <c r="AO45" s="955"/>
      <c r="AP45" s="955"/>
      <c r="AQ45" s="956"/>
      <c r="AU45" s="809"/>
      <c r="AV45" s="901"/>
      <c r="AW45" s="975"/>
      <c r="AX45" s="901"/>
      <c r="AY45" s="975"/>
      <c r="BC45" s="826"/>
      <c r="BE45" s="807"/>
    </row>
    <row r="46" spans="2:57">
      <c r="C46" s="1008" t="s">
        <v>1929</v>
      </c>
      <c r="D46" s="1009"/>
      <c r="E46" s="1009"/>
      <c r="F46" s="1009"/>
      <c r="G46" s="1009"/>
      <c r="H46" s="1009"/>
      <c r="I46" s="1009"/>
      <c r="J46" s="1009"/>
      <c r="K46" s="1009"/>
      <c r="L46" s="1009"/>
      <c r="M46" s="1009"/>
      <c r="N46" s="1009"/>
      <c r="O46" s="1009"/>
      <c r="P46" s="1009"/>
      <c r="Q46" s="1009"/>
      <c r="R46" s="1009"/>
      <c r="S46" s="1009"/>
      <c r="T46" s="1009"/>
      <c r="U46" s="1009"/>
      <c r="V46" s="1009"/>
      <c r="W46" s="1009"/>
      <c r="X46" s="1009"/>
      <c r="Y46" s="1009"/>
      <c r="Z46" s="1009"/>
      <c r="AA46" s="1009"/>
      <c r="AB46" s="1009"/>
      <c r="AC46" s="1009"/>
      <c r="AD46" s="1009"/>
      <c r="AE46" s="1009"/>
      <c r="AF46" s="1009"/>
      <c r="AG46" s="1009"/>
      <c r="AH46" s="1009"/>
      <c r="AI46" s="1009"/>
      <c r="AJ46" s="1009"/>
      <c r="AK46" s="1009"/>
      <c r="AL46" s="1009"/>
      <c r="AM46" s="1009"/>
      <c r="AN46" s="1009"/>
      <c r="AO46" s="1009"/>
      <c r="AP46" s="1009"/>
      <c r="AQ46" s="1009"/>
    </row>
    <row r="47" spans="2:57">
      <c r="C47" s="1010"/>
      <c r="D47" s="1011"/>
      <c r="E47" s="1011"/>
      <c r="F47" s="1011"/>
      <c r="G47" s="1011"/>
      <c r="H47" s="1011"/>
      <c r="I47" s="1011"/>
      <c r="J47" s="1011"/>
      <c r="K47" s="1011"/>
      <c r="L47" s="1011"/>
      <c r="M47" s="1011"/>
      <c r="N47" s="1011"/>
      <c r="O47" s="1011"/>
      <c r="P47" s="1011"/>
      <c r="Q47" s="1011"/>
      <c r="R47" s="1011"/>
      <c r="S47" s="1011"/>
      <c r="T47" s="1011"/>
      <c r="U47" s="1011"/>
      <c r="V47" s="1011"/>
      <c r="W47" s="1011"/>
      <c r="X47" s="1011"/>
      <c r="Y47" s="1011"/>
      <c r="Z47" s="1011"/>
      <c r="AA47" s="1011"/>
      <c r="AB47" s="1011"/>
      <c r="AC47" s="1011"/>
      <c r="AD47" s="1011"/>
      <c r="AE47" s="1011"/>
      <c r="AF47" s="1011"/>
      <c r="AG47" s="1011"/>
      <c r="AH47" s="1011"/>
      <c r="AI47" s="1011"/>
      <c r="AJ47" s="1011"/>
      <c r="AK47" s="1011"/>
      <c r="AL47" s="1011"/>
      <c r="AM47" s="1011"/>
      <c r="AN47" s="1011"/>
      <c r="AO47" s="1011"/>
      <c r="AP47" s="1011"/>
      <c r="AQ47" s="1011"/>
    </row>
    <row r="48" spans="2:57" ht="15" customHeight="1">
      <c r="C48" s="804" t="s">
        <v>99</v>
      </c>
      <c r="D48" s="804"/>
      <c r="E48" s="804"/>
      <c r="F48" s="804"/>
      <c r="G48" s="804"/>
      <c r="H48" s="804"/>
      <c r="I48" s="804"/>
      <c r="J48" s="804"/>
      <c r="K48" s="804"/>
      <c r="L48" s="804"/>
      <c r="M48" s="804"/>
      <c r="N48" s="804" t="s">
        <v>103</v>
      </c>
      <c r="O48" s="804"/>
      <c r="P48" s="804"/>
      <c r="Q48" s="804"/>
      <c r="R48" s="804"/>
      <c r="S48" s="804"/>
      <c r="T48" s="804" t="s">
        <v>100</v>
      </c>
      <c r="U48" s="804"/>
      <c r="V48" s="804" t="s">
        <v>91</v>
      </c>
      <c r="W48" s="804"/>
      <c r="X48" s="804" t="s">
        <v>115</v>
      </c>
      <c r="Y48" s="804"/>
      <c r="Z48" s="804"/>
      <c r="AA48" s="804"/>
      <c r="AB48" s="804" t="s">
        <v>104</v>
      </c>
      <c r="AC48" s="804"/>
      <c r="AD48" s="804"/>
      <c r="AE48" s="920" t="s">
        <v>1587</v>
      </c>
      <c r="AF48" s="920"/>
      <c r="AG48" s="920"/>
      <c r="AH48" s="920"/>
      <c r="AI48" s="804" t="s">
        <v>93</v>
      </c>
      <c r="AJ48" s="804"/>
      <c r="AK48" s="804" t="s">
        <v>1362</v>
      </c>
      <c r="AL48" s="804"/>
      <c r="AM48" s="804"/>
      <c r="AN48" s="804" t="s">
        <v>108</v>
      </c>
      <c r="AO48" s="804"/>
      <c r="AP48" s="804"/>
      <c r="AQ48" s="804"/>
    </row>
    <row r="49" spans="2:55" ht="15.75" thickBot="1">
      <c r="C49" s="805"/>
      <c r="D49" s="805"/>
      <c r="E49" s="805"/>
      <c r="F49" s="805"/>
      <c r="G49" s="805"/>
      <c r="H49" s="805"/>
      <c r="I49" s="805"/>
      <c r="J49" s="805"/>
      <c r="K49" s="805"/>
      <c r="L49" s="805"/>
      <c r="M49" s="805"/>
      <c r="N49" s="805"/>
      <c r="O49" s="805"/>
      <c r="P49" s="805"/>
      <c r="Q49" s="805"/>
      <c r="R49" s="805"/>
      <c r="S49" s="805"/>
      <c r="T49" s="805"/>
      <c r="U49" s="805"/>
      <c r="V49" s="805"/>
      <c r="W49" s="805"/>
      <c r="X49" s="805"/>
      <c r="Y49" s="805"/>
      <c r="Z49" s="805"/>
      <c r="AA49" s="805"/>
      <c r="AB49" s="805"/>
      <c r="AC49" s="805"/>
      <c r="AD49" s="805"/>
      <c r="AE49" s="921" t="s">
        <v>110</v>
      </c>
      <c r="AF49" s="921"/>
      <c r="AG49" s="921" t="s">
        <v>111</v>
      </c>
      <c r="AH49" s="921"/>
      <c r="AI49" s="805"/>
      <c r="AJ49" s="805"/>
      <c r="AK49" s="805"/>
      <c r="AL49" s="805"/>
      <c r="AM49" s="805"/>
      <c r="AN49" s="805"/>
      <c r="AO49" s="805"/>
      <c r="AP49" s="805"/>
      <c r="AQ49" s="805"/>
    </row>
    <row r="50" spans="2:55">
      <c r="B50" s="830">
        <v>18</v>
      </c>
      <c r="C50" s="866"/>
      <c r="D50" s="867"/>
      <c r="E50" s="867"/>
      <c r="F50" s="867"/>
      <c r="G50" s="867"/>
      <c r="H50" s="867"/>
      <c r="I50" s="867"/>
      <c r="J50" s="867"/>
      <c r="K50" s="867"/>
      <c r="L50" s="867"/>
      <c r="M50" s="868"/>
      <c r="N50" s="914" t="str">
        <f>IFERROR(IF(C50="","",INDEX(PMGAGG[Base Desc 1],MATCH(C50,PMGAGG[Eff Desc 1],0))),"")</f>
        <v/>
      </c>
      <c r="O50" s="915"/>
      <c r="P50" s="915"/>
      <c r="Q50" s="915"/>
      <c r="R50" s="915"/>
      <c r="S50" s="916"/>
      <c r="T50" s="987" t="str">
        <f>IFERROR(IF(C50="","",INDEX(PMGAGG[Unit of Measure],MATCH(C50,PMGAGG[Eff Desc 1],0))),"")</f>
        <v/>
      </c>
      <c r="U50" s="988"/>
      <c r="V50" s="871"/>
      <c r="W50" s="872"/>
      <c r="X50" s="866"/>
      <c r="Y50" s="867"/>
      <c r="Z50" s="867"/>
      <c r="AA50" s="868"/>
      <c r="AB50" s="866"/>
      <c r="AC50" s="867"/>
      <c r="AD50" s="868"/>
      <c r="AE50" s="889"/>
      <c r="AF50" s="1067"/>
      <c r="AG50" s="889"/>
      <c r="AH50" s="1067"/>
      <c r="AI50" s="924" t="str">
        <f>IFERROR(IF(C50="","",INDEX(PMGAGG[Inc Rate Unit],MATCH(C50,PMGAGG[Eff Desc 1],0))),"")</f>
        <v/>
      </c>
      <c r="AJ50" s="863"/>
      <c r="AK50" s="998" t="str">
        <f>IF(OR(C50="",V50="",X50="",AB50="",AE50="",AG50=""),"",IF(AY50&lt;1,1,AY50))</f>
        <v/>
      </c>
      <c r="AL50" s="999"/>
      <c r="AM50" s="1000"/>
      <c r="AN50" s="924" t="str">
        <f>IF(OR(C50="",V50="",X50="",AB50="",AE50="",AG50=""),"",
IF(OR(ISNUMBER(SEARCH("Heat Recovery",C50)),ISNUMBER(SEARCH("VSD Milk Pump w/",C50)),ISNUMBER(SEARCH("Scroll Compressor",C50))),IF(BC50&lt;&gt;"",BC50,MIN(AU50,ROUND(AI50,2))),
IF(BC50&lt;&gt;"",BC50,MIN(AU50,ROUND(V50*AI50,2)))))</f>
        <v/>
      </c>
      <c r="AO50" s="925"/>
      <c r="AP50" s="925"/>
      <c r="AQ50" s="863"/>
      <c r="AU50" s="893" t="str">
        <f t="shared" ref="AU50:AU64" si="42">IF(OR(C50="",N50="",T50="",V50="",X50="",AI50="",AE50="",AB50=""),"",IF(AK50="","",ROUND((AE50+AG50),2)))</f>
        <v/>
      </c>
      <c r="AV50" s="900">
        <v>0</v>
      </c>
      <c r="AW50" s="900">
        <v>0</v>
      </c>
      <c r="AX50" s="900" t="str">
        <f>IF(OR(C50="",N50="",T50="",V50="",X50="",AG50="",AE50="",AB50=""),"",INDEX(PMGAGG[End Use Category],MATCH(C50,PMGAGG[Eff Desc 1],0)))</f>
        <v/>
      </c>
      <c r="AY50" s="1065" t="str">
        <f>IF(OR(C50="",V50="",X50="",AB50="",AE50="",AG50=""),"",ROUND(
IF(ISNUMBER(SEARCH("Heat Recovery",C50)),(MIN(68*101*0.93*(56.3-38)*0.55,131.7*1*8.34*(120-52.3))*365.25*(1/0.59)/100000)*V50,
V50*INDEX(PMGAGG[Savings per Unit Therm],MATCH(C50,PMGAGG[Eff Desc 1],0))
),0))</f>
        <v/>
      </c>
      <c r="BC50" s="1068"/>
    </row>
    <row r="51" spans="2:55">
      <c r="B51" s="830"/>
      <c r="C51" s="835"/>
      <c r="D51" s="836"/>
      <c r="E51" s="836"/>
      <c r="F51" s="836"/>
      <c r="G51" s="836"/>
      <c r="H51" s="836"/>
      <c r="I51" s="836"/>
      <c r="J51" s="836"/>
      <c r="K51" s="836"/>
      <c r="L51" s="836"/>
      <c r="M51" s="837"/>
      <c r="N51" s="911"/>
      <c r="O51" s="912"/>
      <c r="P51" s="912"/>
      <c r="Q51" s="912"/>
      <c r="R51" s="912"/>
      <c r="S51" s="913"/>
      <c r="T51" s="949"/>
      <c r="U51" s="950"/>
      <c r="V51" s="848"/>
      <c r="W51" s="849"/>
      <c r="X51" s="835"/>
      <c r="Y51" s="836"/>
      <c r="Z51" s="836"/>
      <c r="AA51" s="837"/>
      <c r="AB51" s="835"/>
      <c r="AC51" s="836"/>
      <c r="AD51" s="837"/>
      <c r="AE51" s="860"/>
      <c r="AF51" s="870"/>
      <c r="AG51" s="860"/>
      <c r="AH51" s="870"/>
      <c r="AI51" s="919"/>
      <c r="AJ51" s="865"/>
      <c r="AK51" s="1001"/>
      <c r="AL51" s="1002"/>
      <c r="AM51" s="1003"/>
      <c r="AN51" s="919"/>
      <c r="AO51" s="926"/>
      <c r="AP51" s="926"/>
      <c r="AQ51" s="865"/>
      <c r="AU51" s="809"/>
      <c r="AV51" s="901"/>
      <c r="AW51" s="901"/>
      <c r="AX51" s="901"/>
      <c r="AY51" s="1066"/>
      <c r="BC51" s="1069"/>
    </row>
    <row r="52" spans="2:55">
      <c r="B52" s="829">
        <v>19</v>
      </c>
      <c r="C52" s="866"/>
      <c r="D52" s="867"/>
      <c r="E52" s="867"/>
      <c r="F52" s="867"/>
      <c r="G52" s="867"/>
      <c r="H52" s="867"/>
      <c r="I52" s="867"/>
      <c r="J52" s="867"/>
      <c r="K52" s="867"/>
      <c r="L52" s="867"/>
      <c r="M52" s="868"/>
      <c r="N52" s="914" t="str">
        <f>IFERROR(IF(C52="","",INDEX(PMGAGG[Base Desc 1],MATCH(C52,PMGAGG[Eff Desc 1],0))),"")</f>
        <v/>
      </c>
      <c r="O52" s="915"/>
      <c r="P52" s="915"/>
      <c r="Q52" s="915"/>
      <c r="R52" s="915"/>
      <c r="S52" s="916"/>
      <c r="T52" s="987" t="str">
        <f>IFERROR(IF(C52="","",INDEX(PMGAGG[Unit of Measure],MATCH(C52,PMGAGG[Eff Desc 1],0))),"")</f>
        <v/>
      </c>
      <c r="U52" s="988"/>
      <c r="V52" s="871"/>
      <c r="W52" s="872"/>
      <c r="X52" s="866"/>
      <c r="Y52" s="867"/>
      <c r="Z52" s="867"/>
      <c r="AA52" s="868"/>
      <c r="AB52" s="866"/>
      <c r="AC52" s="867"/>
      <c r="AD52" s="868"/>
      <c r="AE52" s="889"/>
      <c r="AF52" s="1067"/>
      <c r="AG52" s="889"/>
      <c r="AH52" s="1067"/>
      <c r="AI52" s="924" t="str">
        <f>IFERROR(IF(C52="","",INDEX(PMGAGG[Inc Rate Unit],MATCH(C52,PMGAGG[Eff Desc 1],0))),"")</f>
        <v/>
      </c>
      <c r="AJ52" s="863"/>
      <c r="AK52" s="998" t="str">
        <f t="shared" ref="AK52" si="43">IF(OR(C52="",V52="",X52="",AB52="",AE52="",AG52=""),"",IF(AY52&lt;1,1,AY52))</f>
        <v/>
      </c>
      <c r="AL52" s="999"/>
      <c r="AM52" s="1000"/>
      <c r="AN52" s="924" t="str">
        <f t="shared" ref="AN52" si="44">IF(OR(C52="",V52="",X52="",AB52="",AE52="",AG52=""),"",
IF(OR(ISNUMBER(SEARCH("Heat Recovery",C52)),ISNUMBER(SEARCH("VSD Milk Pump w/",C52)),ISNUMBER(SEARCH("Scroll Compressor",C52))),IF(BC52&lt;&gt;"",BC52,MIN(AU52,ROUND(AI52,2))),
IF(BC52&lt;&gt;"",BC52,MIN(AU52,ROUND(V52*AI52,2)))))</f>
        <v/>
      </c>
      <c r="AO52" s="925"/>
      <c r="AP52" s="925"/>
      <c r="AQ52" s="863"/>
      <c r="AU52" s="893" t="str">
        <f t="shared" si="42"/>
        <v/>
      </c>
      <c r="AV52" s="900">
        <v>0</v>
      </c>
      <c r="AW52" s="900">
        <v>0</v>
      </c>
      <c r="AX52" s="900" t="str">
        <f>IF(OR(C52="",N52="",T52="",V52="",X52="",AG52="",AE52="",AB52=""),"",INDEX(PMGAGG[End Use Category],MATCH(C52,PMGAGG[Eff Desc 1],0)))</f>
        <v/>
      </c>
      <c r="AY52" s="1065" t="str">
        <f>IF(OR(C52="",V52="",X52="",AB52="",AE52="",AG52=""),"",ROUND(
IF(ISNUMBER(SEARCH("Heat Recovery",C52)),(MIN(68*101*0.93*(56.3-38)*0.55,131.7*1*8.34*(120-52.3))*365.25*(1/0.59)/100000)*V52,
V52*INDEX(PMGAGG[Savings per Unit Therm],MATCH(C52,PMGAGG[Eff Desc 1],0))
),0))</f>
        <v/>
      </c>
      <c r="BC52" s="825"/>
    </row>
    <row r="53" spans="2:55">
      <c r="B53" s="829"/>
      <c r="C53" s="835"/>
      <c r="D53" s="836"/>
      <c r="E53" s="836"/>
      <c r="F53" s="836"/>
      <c r="G53" s="836"/>
      <c r="H53" s="836"/>
      <c r="I53" s="836"/>
      <c r="J53" s="836"/>
      <c r="K53" s="836"/>
      <c r="L53" s="836"/>
      <c r="M53" s="837"/>
      <c r="N53" s="911"/>
      <c r="O53" s="912"/>
      <c r="P53" s="912"/>
      <c r="Q53" s="912"/>
      <c r="R53" s="912"/>
      <c r="S53" s="913"/>
      <c r="T53" s="949"/>
      <c r="U53" s="950"/>
      <c r="V53" s="848"/>
      <c r="W53" s="849"/>
      <c r="X53" s="835"/>
      <c r="Y53" s="836"/>
      <c r="Z53" s="836"/>
      <c r="AA53" s="837"/>
      <c r="AB53" s="835"/>
      <c r="AC53" s="836"/>
      <c r="AD53" s="837"/>
      <c r="AE53" s="860"/>
      <c r="AF53" s="870"/>
      <c r="AG53" s="860"/>
      <c r="AH53" s="870"/>
      <c r="AI53" s="919"/>
      <c r="AJ53" s="865"/>
      <c r="AK53" s="1001"/>
      <c r="AL53" s="1002"/>
      <c r="AM53" s="1003"/>
      <c r="AN53" s="919"/>
      <c r="AO53" s="926"/>
      <c r="AP53" s="926"/>
      <c r="AQ53" s="865"/>
      <c r="AU53" s="809"/>
      <c r="AV53" s="901"/>
      <c r="AW53" s="901"/>
      <c r="AX53" s="901"/>
      <c r="AY53" s="1066"/>
      <c r="BC53" s="826"/>
    </row>
    <row r="54" spans="2:55">
      <c r="B54" s="829">
        <v>20</v>
      </c>
      <c r="C54" s="866"/>
      <c r="D54" s="867"/>
      <c r="E54" s="867"/>
      <c r="F54" s="867"/>
      <c r="G54" s="867"/>
      <c r="H54" s="867"/>
      <c r="I54" s="867"/>
      <c r="J54" s="867"/>
      <c r="K54" s="867"/>
      <c r="L54" s="867"/>
      <c r="M54" s="868"/>
      <c r="N54" s="914" t="str">
        <f>IFERROR(IF(C54="","",INDEX(PMGAGG[Base Desc 1],MATCH(C54,PMGAGG[Eff Desc 1],0))),"")</f>
        <v/>
      </c>
      <c r="O54" s="915"/>
      <c r="P54" s="915"/>
      <c r="Q54" s="915"/>
      <c r="R54" s="915"/>
      <c r="S54" s="916"/>
      <c r="T54" s="987" t="str">
        <f>IFERROR(IF(C54="","",INDEX(PMGAGG[Unit of Measure],MATCH(C54,PMGAGG[Eff Desc 1],0))),"")</f>
        <v/>
      </c>
      <c r="U54" s="988"/>
      <c r="V54" s="871"/>
      <c r="W54" s="872"/>
      <c r="X54" s="866"/>
      <c r="Y54" s="867"/>
      <c r="Z54" s="867"/>
      <c r="AA54" s="868"/>
      <c r="AB54" s="866"/>
      <c r="AC54" s="867"/>
      <c r="AD54" s="868"/>
      <c r="AE54" s="889"/>
      <c r="AF54" s="1067"/>
      <c r="AG54" s="889"/>
      <c r="AH54" s="1067"/>
      <c r="AI54" s="924" t="str">
        <f>IFERROR(IF(C54="","",INDEX(PMGAGG[Inc Rate Unit],MATCH(C54,PMGAGG[Eff Desc 1],0))),"")</f>
        <v/>
      </c>
      <c r="AJ54" s="863"/>
      <c r="AK54" s="998" t="str">
        <f t="shared" ref="AK54" si="45">IF(OR(C54="",V54="",X54="",AB54="",AE54="",AG54=""),"",IF(AY54&lt;1,1,AY54))</f>
        <v/>
      </c>
      <c r="AL54" s="999"/>
      <c r="AM54" s="1000"/>
      <c r="AN54" s="924" t="str">
        <f t="shared" ref="AN54" si="46">IF(OR(C54="",V54="",X54="",AB54="",AE54="",AG54=""),"",
IF(OR(ISNUMBER(SEARCH("Heat Recovery",C54)),ISNUMBER(SEARCH("VSD Milk Pump w/",C54)),ISNUMBER(SEARCH("Scroll Compressor",C54))),IF(BC54&lt;&gt;"",BC54,MIN(AU54,ROUND(AI54,2))),
IF(BC54&lt;&gt;"",BC54,MIN(AU54,ROUND(V54*AI54,2)))))</f>
        <v/>
      </c>
      <c r="AO54" s="925"/>
      <c r="AP54" s="925"/>
      <c r="AQ54" s="863"/>
      <c r="AU54" s="893" t="str">
        <f t="shared" si="42"/>
        <v/>
      </c>
      <c r="AV54" s="900">
        <v>0</v>
      </c>
      <c r="AW54" s="900">
        <v>0</v>
      </c>
      <c r="AX54" s="900" t="str">
        <f>IF(OR(C54="",N54="",T54="",V54="",X54="",AG54="",AE54="",AB54=""),"",INDEX(PMGAGG[End Use Category],MATCH(C54,PMGAGG[Eff Desc 1],0)))</f>
        <v/>
      </c>
      <c r="AY54" s="1065" t="str">
        <f>IF(OR(C54="",V54="",X54="",AB54="",AE54="",AG54=""),"",ROUND(
IF(ISNUMBER(SEARCH("Heat Recovery",C54)),(MIN(68*101*0.93*(56.3-38)*0.55,131.7*1*8.34*(120-52.3))*365.25*(1/0.59)/100000)*V54,
V54*INDEX(PMGAGG[Savings per Unit Therm],MATCH(C54,PMGAGG[Eff Desc 1],0))
),0))</f>
        <v/>
      </c>
      <c r="BC54" s="825"/>
    </row>
    <row r="55" spans="2:55">
      <c r="B55" s="829"/>
      <c r="C55" s="835"/>
      <c r="D55" s="836"/>
      <c r="E55" s="836"/>
      <c r="F55" s="836"/>
      <c r="G55" s="836"/>
      <c r="H55" s="836"/>
      <c r="I55" s="836"/>
      <c r="J55" s="836"/>
      <c r="K55" s="836"/>
      <c r="L55" s="836"/>
      <c r="M55" s="837"/>
      <c r="N55" s="911"/>
      <c r="O55" s="912"/>
      <c r="P55" s="912"/>
      <c r="Q55" s="912"/>
      <c r="R55" s="912"/>
      <c r="S55" s="913"/>
      <c r="T55" s="949"/>
      <c r="U55" s="950"/>
      <c r="V55" s="848"/>
      <c r="W55" s="849"/>
      <c r="X55" s="835"/>
      <c r="Y55" s="836"/>
      <c r="Z55" s="836"/>
      <c r="AA55" s="837"/>
      <c r="AB55" s="835"/>
      <c r="AC55" s="836"/>
      <c r="AD55" s="837"/>
      <c r="AE55" s="860"/>
      <c r="AF55" s="870"/>
      <c r="AG55" s="860"/>
      <c r="AH55" s="870"/>
      <c r="AI55" s="919"/>
      <c r="AJ55" s="865"/>
      <c r="AK55" s="1001"/>
      <c r="AL55" s="1002"/>
      <c r="AM55" s="1003"/>
      <c r="AN55" s="919"/>
      <c r="AO55" s="926"/>
      <c r="AP55" s="926"/>
      <c r="AQ55" s="865"/>
      <c r="AU55" s="809"/>
      <c r="AV55" s="901"/>
      <c r="AW55" s="901"/>
      <c r="AX55" s="901"/>
      <c r="AY55" s="1066"/>
      <c r="BC55" s="826"/>
    </row>
    <row r="56" spans="2:55">
      <c r="B56" s="829">
        <v>21</v>
      </c>
      <c r="C56" s="866"/>
      <c r="D56" s="867"/>
      <c r="E56" s="867"/>
      <c r="F56" s="867"/>
      <c r="G56" s="867"/>
      <c r="H56" s="867"/>
      <c r="I56" s="867"/>
      <c r="J56" s="867"/>
      <c r="K56" s="867"/>
      <c r="L56" s="867"/>
      <c r="M56" s="868"/>
      <c r="N56" s="914" t="str">
        <f>IFERROR(IF(C56="","",INDEX(PMGAGG[Base Desc 1],MATCH(C56,PMGAGG[Eff Desc 1],0))),"")</f>
        <v/>
      </c>
      <c r="O56" s="915"/>
      <c r="P56" s="915"/>
      <c r="Q56" s="915"/>
      <c r="R56" s="915"/>
      <c r="S56" s="916"/>
      <c r="T56" s="987" t="str">
        <f>IFERROR(IF(C56="","",INDEX(PMGAGG[Unit of Measure],MATCH(C56,PMGAGG[Eff Desc 1],0))),"")</f>
        <v/>
      </c>
      <c r="U56" s="988"/>
      <c r="V56" s="871"/>
      <c r="W56" s="872"/>
      <c r="X56" s="866"/>
      <c r="Y56" s="867"/>
      <c r="Z56" s="867"/>
      <c r="AA56" s="868"/>
      <c r="AB56" s="866"/>
      <c r="AC56" s="867"/>
      <c r="AD56" s="868"/>
      <c r="AE56" s="889"/>
      <c r="AF56" s="1067"/>
      <c r="AG56" s="889"/>
      <c r="AH56" s="1067"/>
      <c r="AI56" s="924" t="str">
        <f>IFERROR(IF(C56="","",INDEX(PMGAGG[Inc Rate Unit],MATCH(C56,PMGAGG[Eff Desc 1],0))),"")</f>
        <v/>
      </c>
      <c r="AJ56" s="863"/>
      <c r="AK56" s="998" t="str">
        <f t="shared" ref="AK56" si="47">IF(OR(C56="",V56="",X56="",AB56="",AE56="",AG56=""),"",IF(AY56&lt;1,1,AY56))</f>
        <v/>
      </c>
      <c r="AL56" s="999"/>
      <c r="AM56" s="1000"/>
      <c r="AN56" s="924" t="str">
        <f t="shared" ref="AN56" si="48">IF(OR(C56="",V56="",X56="",AB56="",AE56="",AG56=""),"",
IF(OR(ISNUMBER(SEARCH("Heat Recovery",C56)),ISNUMBER(SEARCH("VSD Milk Pump w/",C56)),ISNUMBER(SEARCH("Scroll Compressor",C56))),IF(BC56&lt;&gt;"",BC56,MIN(AU56,ROUND(AI56,2))),
IF(BC56&lt;&gt;"",BC56,MIN(AU56,ROUND(V56*AI56,2)))))</f>
        <v/>
      </c>
      <c r="AO56" s="925"/>
      <c r="AP56" s="925"/>
      <c r="AQ56" s="863"/>
      <c r="AU56" s="893" t="str">
        <f t="shared" si="42"/>
        <v/>
      </c>
      <c r="AV56" s="900">
        <v>0</v>
      </c>
      <c r="AW56" s="900">
        <v>0</v>
      </c>
      <c r="AX56" s="900" t="str">
        <f>IF(OR(C56="",N56="",T56="",V56="",X56="",AG56="",AE56="",AB56=""),"",INDEX(PMGAGG[End Use Category],MATCH(C56,PMGAGG[Eff Desc 1],0)))</f>
        <v/>
      </c>
      <c r="AY56" s="1065" t="str">
        <f>IF(OR(C56="",V56="",X56="",AB56="",AE56="",AG56=""),"",ROUND(
IF(ISNUMBER(SEARCH("Heat Recovery",C56)),(MIN(68*101*0.93*(56.3-38)*0.55,131.7*1*8.34*(120-52.3))*365.25*(1/0.59)/100000)*V56,
V56*INDEX(PMGAGG[Savings per Unit Therm],MATCH(C56,PMGAGG[Eff Desc 1],0))
),0))</f>
        <v/>
      </c>
      <c r="BC56" s="825"/>
    </row>
    <row r="57" spans="2:55">
      <c r="B57" s="829"/>
      <c r="C57" s="835"/>
      <c r="D57" s="836"/>
      <c r="E57" s="836"/>
      <c r="F57" s="836"/>
      <c r="G57" s="836"/>
      <c r="H57" s="836"/>
      <c r="I57" s="836"/>
      <c r="J57" s="836"/>
      <c r="K57" s="836"/>
      <c r="L57" s="836"/>
      <c r="M57" s="837"/>
      <c r="N57" s="911"/>
      <c r="O57" s="912"/>
      <c r="P57" s="912"/>
      <c r="Q57" s="912"/>
      <c r="R57" s="912"/>
      <c r="S57" s="913"/>
      <c r="T57" s="949"/>
      <c r="U57" s="950"/>
      <c r="V57" s="848"/>
      <c r="W57" s="849"/>
      <c r="X57" s="835"/>
      <c r="Y57" s="836"/>
      <c r="Z57" s="836"/>
      <c r="AA57" s="837"/>
      <c r="AB57" s="835"/>
      <c r="AC57" s="836"/>
      <c r="AD57" s="837"/>
      <c r="AE57" s="860"/>
      <c r="AF57" s="870"/>
      <c r="AG57" s="860"/>
      <c r="AH57" s="870"/>
      <c r="AI57" s="919"/>
      <c r="AJ57" s="865"/>
      <c r="AK57" s="1001"/>
      <c r="AL57" s="1002"/>
      <c r="AM57" s="1003"/>
      <c r="AN57" s="919"/>
      <c r="AO57" s="926"/>
      <c r="AP57" s="926"/>
      <c r="AQ57" s="865"/>
      <c r="AU57" s="809"/>
      <c r="AV57" s="901"/>
      <c r="AW57" s="901"/>
      <c r="AX57" s="901"/>
      <c r="AY57" s="1066"/>
      <c r="BC57" s="826"/>
    </row>
    <row r="58" spans="2:55">
      <c r="B58" s="829">
        <v>22</v>
      </c>
      <c r="C58" s="866"/>
      <c r="D58" s="867"/>
      <c r="E58" s="867"/>
      <c r="F58" s="867"/>
      <c r="G58" s="867"/>
      <c r="H58" s="867"/>
      <c r="I58" s="867"/>
      <c r="J58" s="867"/>
      <c r="K58" s="867"/>
      <c r="L58" s="867"/>
      <c r="M58" s="868"/>
      <c r="N58" s="914" t="str">
        <f>IFERROR(IF(C58="","",INDEX(PMGAGG[Base Desc 1],MATCH(C58,PMGAGG[Eff Desc 1],0))),"")</f>
        <v/>
      </c>
      <c r="O58" s="915"/>
      <c r="P58" s="915"/>
      <c r="Q58" s="915"/>
      <c r="R58" s="915"/>
      <c r="S58" s="916"/>
      <c r="T58" s="987" t="str">
        <f>IFERROR(IF(C58="","",INDEX(PMGAGG[Unit of Measure],MATCH(C58,PMGAGG[Eff Desc 1],0))),"")</f>
        <v/>
      </c>
      <c r="U58" s="988"/>
      <c r="V58" s="871"/>
      <c r="W58" s="872"/>
      <c r="X58" s="866"/>
      <c r="Y58" s="867"/>
      <c r="Z58" s="867"/>
      <c r="AA58" s="868"/>
      <c r="AB58" s="866"/>
      <c r="AC58" s="867"/>
      <c r="AD58" s="868"/>
      <c r="AE58" s="889"/>
      <c r="AF58" s="1067"/>
      <c r="AG58" s="889"/>
      <c r="AH58" s="1067"/>
      <c r="AI58" s="924" t="str">
        <f>IFERROR(IF(C58="","",INDEX(PMGAGG[Inc Rate Unit],MATCH(C58,PMGAGG[Eff Desc 1],0))),"")</f>
        <v/>
      </c>
      <c r="AJ58" s="863"/>
      <c r="AK58" s="998" t="str">
        <f t="shared" ref="AK58" si="49">IF(OR(C58="",V58="",X58="",AB58="",AE58="",AG58=""),"",IF(AY58&lt;1,1,AY58))</f>
        <v/>
      </c>
      <c r="AL58" s="999"/>
      <c r="AM58" s="1000"/>
      <c r="AN58" s="924" t="str">
        <f t="shared" ref="AN58" si="50">IF(OR(C58="",V58="",X58="",AB58="",AE58="",AG58=""),"",
IF(OR(ISNUMBER(SEARCH("Heat Recovery",C58)),ISNUMBER(SEARCH("VSD Milk Pump w/",C58)),ISNUMBER(SEARCH("Scroll Compressor",C58))),IF(BC58&lt;&gt;"",BC58,MIN(AU58,ROUND(AI58,2))),
IF(BC58&lt;&gt;"",BC58,MIN(AU58,ROUND(V58*AI58,2)))))</f>
        <v/>
      </c>
      <c r="AO58" s="925"/>
      <c r="AP58" s="925"/>
      <c r="AQ58" s="863"/>
      <c r="AU58" s="893" t="str">
        <f t="shared" si="42"/>
        <v/>
      </c>
      <c r="AV58" s="900">
        <v>0</v>
      </c>
      <c r="AW58" s="900">
        <v>0</v>
      </c>
      <c r="AX58" s="900" t="str">
        <f>IF(OR(C58="",N58="",T58="",V58="",X58="",AG58="",AE58="",AB58=""),"",INDEX(PMGAGG[End Use Category],MATCH(C58,PMGAGG[Eff Desc 1],0)))</f>
        <v/>
      </c>
      <c r="AY58" s="1065" t="str">
        <f>IF(OR(C58="",V58="",X58="",AB58="",AE58="",AG58=""),"",ROUND(
IF(ISNUMBER(SEARCH("Heat Recovery",C58)),(MIN(68*101*0.93*(56.3-38)*0.55,131.7*1*8.34*(120-52.3))*365.25*(1/0.59)/100000)*V58,
V58*INDEX(PMGAGG[Savings per Unit Therm],MATCH(C58,PMGAGG[Eff Desc 1],0))
),0))</f>
        <v/>
      </c>
      <c r="BC58" s="825"/>
    </row>
    <row r="59" spans="2:55">
      <c r="B59" s="829"/>
      <c r="C59" s="835"/>
      <c r="D59" s="836"/>
      <c r="E59" s="836"/>
      <c r="F59" s="836"/>
      <c r="G59" s="836"/>
      <c r="H59" s="836"/>
      <c r="I59" s="836"/>
      <c r="J59" s="836"/>
      <c r="K59" s="836"/>
      <c r="L59" s="836"/>
      <c r="M59" s="837"/>
      <c r="N59" s="911"/>
      <c r="O59" s="912"/>
      <c r="P59" s="912"/>
      <c r="Q59" s="912"/>
      <c r="R59" s="912"/>
      <c r="S59" s="913"/>
      <c r="T59" s="949"/>
      <c r="U59" s="950"/>
      <c r="V59" s="848"/>
      <c r="W59" s="849"/>
      <c r="X59" s="835"/>
      <c r="Y59" s="836"/>
      <c r="Z59" s="836"/>
      <c r="AA59" s="837"/>
      <c r="AB59" s="835"/>
      <c r="AC59" s="836"/>
      <c r="AD59" s="837"/>
      <c r="AE59" s="860"/>
      <c r="AF59" s="870"/>
      <c r="AG59" s="860"/>
      <c r="AH59" s="870"/>
      <c r="AI59" s="919"/>
      <c r="AJ59" s="865"/>
      <c r="AK59" s="1001"/>
      <c r="AL59" s="1002"/>
      <c r="AM59" s="1003"/>
      <c r="AN59" s="919"/>
      <c r="AO59" s="926"/>
      <c r="AP59" s="926"/>
      <c r="AQ59" s="865"/>
      <c r="AU59" s="809"/>
      <c r="AV59" s="901"/>
      <c r="AW59" s="901"/>
      <c r="AX59" s="901"/>
      <c r="AY59" s="1066"/>
      <c r="BC59" s="826"/>
    </row>
    <row r="60" spans="2:55">
      <c r="B60" s="829">
        <v>23</v>
      </c>
      <c r="C60" s="866"/>
      <c r="D60" s="867"/>
      <c r="E60" s="867"/>
      <c r="F60" s="867"/>
      <c r="G60" s="867"/>
      <c r="H60" s="867"/>
      <c r="I60" s="867"/>
      <c r="J60" s="867"/>
      <c r="K60" s="867"/>
      <c r="L60" s="867"/>
      <c r="M60" s="868"/>
      <c r="N60" s="914" t="str">
        <f>IFERROR(IF(C60="","",INDEX(PMGAGG[Base Desc 1],MATCH(C60,PMGAGG[Eff Desc 1],0))),"")</f>
        <v/>
      </c>
      <c r="O60" s="915"/>
      <c r="P60" s="915"/>
      <c r="Q60" s="915"/>
      <c r="R60" s="915"/>
      <c r="S60" s="916"/>
      <c r="T60" s="987" t="str">
        <f>IFERROR(IF(C60="","",INDEX(PMGAGG[Unit of Measure],MATCH(C60,PMGAGG[Eff Desc 1],0))),"")</f>
        <v/>
      </c>
      <c r="U60" s="988"/>
      <c r="V60" s="871"/>
      <c r="W60" s="872"/>
      <c r="X60" s="866"/>
      <c r="Y60" s="867"/>
      <c r="Z60" s="867"/>
      <c r="AA60" s="868"/>
      <c r="AB60" s="866"/>
      <c r="AC60" s="867"/>
      <c r="AD60" s="868"/>
      <c r="AE60" s="889"/>
      <c r="AF60" s="1067"/>
      <c r="AG60" s="889"/>
      <c r="AH60" s="1067"/>
      <c r="AI60" s="924" t="str">
        <f>IFERROR(IF(C60="","",INDEX(PMGAGG[Inc Rate Unit],MATCH(C60,PMGAGG[Eff Desc 1],0))),"")</f>
        <v/>
      </c>
      <c r="AJ60" s="863"/>
      <c r="AK60" s="998" t="str">
        <f t="shared" ref="AK60" si="51">IF(OR(C60="",V60="",X60="",AB60="",AE60="",AG60=""),"",IF(AY60&lt;1,1,AY60))</f>
        <v/>
      </c>
      <c r="AL60" s="999"/>
      <c r="AM60" s="1000"/>
      <c r="AN60" s="924" t="str">
        <f t="shared" ref="AN60" si="52">IF(OR(C60="",V60="",X60="",AB60="",AE60="",AG60=""),"",
IF(OR(ISNUMBER(SEARCH("Heat Recovery",C60)),ISNUMBER(SEARCH("VSD Milk Pump w/",C60)),ISNUMBER(SEARCH("Scroll Compressor",C60))),IF(BC60&lt;&gt;"",BC60,MIN(AU60,ROUND(AI60,2))),
IF(BC60&lt;&gt;"",BC60,MIN(AU60,ROUND(V60*AI60,2)))))</f>
        <v/>
      </c>
      <c r="AO60" s="925"/>
      <c r="AP60" s="925"/>
      <c r="AQ60" s="863"/>
      <c r="AU60" s="893" t="str">
        <f t="shared" si="42"/>
        <v/>
      </c>
      <c r="AV60" s="900">
        <v>0</v>
      </c>
      <c r="AW60" s="900">
        <v>0</v>
      </c>
      <c r="AX60" s="900" t="str">
        <f>IF(OR(C60="",N60="",T60="",V60="",X60="",AG60="",AE60="",AB60=""),"",INDEX(PMGAGG[End Use Category],MATCH(C60,PMGAGG[Eff Desc 1],0)))</f>
        <v/>
      </c>
      <c r="AY60" s="1065" t="str">
        <f>IF(OR(C60="",V60="",X60="",AB60="",AE60="",AG60=""),"",ROUND(
IF(ISNUMBER(SEARCH("Heat Recovery",C60)),(MIN(68*101*0.93*(56.3-38)*0.55,131.7*1*8.34*(120-52.3))*365.25*(1/0.59)/100000)*V60,
V60*INDEX(PMGAGG[Savings per Unit Therm],MATCH(C60,PMGAGG[Eff Desc 1],0))
),0))</f>
        <v/>
      </c>
      <c r="BC60" s="825"/>
    </row>
    <row r="61" spans="2:55">
      <c r="B61" s="829"/>
      <c r="C61" s="835"/>
      <c r="D61" s="836"/>
      <c r="E61" s="836"/>
      <c r="F61" s="836"/>
      <c r="G61" s="836"/>
      <c r="H61" s="836"/>
      <c r="I61" s="836"/>
      <c r="J61" s="836"/>
      <c r="K61" s="836"/>
      <c r="L61" s="836"/>
      <c r="M61" s="837"/>
      <c r="N61" s="911"/>
      <c r="O61" s="912"/>
      <c r="P61" s="912"/>
      <c r="Q61" s="912"/>
      <c r="R61" s="912"/>
      <c r="S61" s="913"/>
      <c r="T61" s="949"/>
      <c r="U61" s="950"/>
      <c r="V61" s="848"/>
      <c r="W61" s="849"/>
      <c r="X61" s="835"/>
      <c r="Y61" s="836"/>
      <c r="Z61" s="836"/>
      <c r="AA61" s="837"/>
      <c r="AB61" s="835"/>
      <c r="AC61" s="836"/>
      <c r="AD61" s="837"/>
      <c r="AE61" s="860"/>
      <c r="AF61" s="870"/>
      <c r="AG61" s="860"/>
      <c r="AH61" s="870"/>
      <c r="AI61" s="919"/>
      <c r="AJ61" s="865"/>
      <c r="AK61" s="1001"/>
      <c r="AL61" s="1002"/>
      <c r="AM61" s="1003"/>
      <c r="AN61" s="919"/>
      <c r="AO61" s="926"/>
      <c r="AP61" s="926"/>
      <c r="AQ61" s="865"/>
      <c r="AU61" s="809"/>
      <c r="AV61" s="901"/>
      <c r="AW61" s="901"/>
      <c r="AX61" s="901"/>
      <c r="AY61" s="1066"/>
      <c r="BC61" s="826"/>
    </row>
    <row r="62" spans="2:55">
      <c r="B62" s="829">
        <v>24</v>
      </c>
      <c r="C62" s="866"/>
      <c r="D62" s="867"/>
      <c r="E62" s="867"/>
      <c r="F62" s="867"/>
      <c r="G62" s="867"/>
      <c r="H62" s="867"/>
      <c r="I62" s="867"/>
      <c r="J62" s="867"/>
      <c r="K62" s="867"/>
      <c r="L62" s="867"/>
      <c r="M62" s="868"/>
      <c r="N62" s="914" t="str">
        <f>IFERROR(IF(C62="","",INDEX(PMGAGG[Base Desc 1],MATCH(C62,PMGAGG[Eff Desc 1],0))),"")</f>
        <v/>
      </c>
      <c r="O62" s="915"/>
      <c r="P62" s="915"/>
      <c r="Q62" s="915"/>
      <c r="R62" s="915"/>
      <c r="S62" s="916"/>
      <c r="T62" s="987" t="str">
        <f>IFERROR(IF(C62="","",INDEX(PMGAGG[Unit of Measure],MATCH(C62,PMGAGG[Eff Desc 1],0))),"")</f>
        <v/>
      </c>
      <c r="U62" s="988"/>
      <c r="V62" s="871"/>
      <c r="W62" s="872"/>
      <c r="X62" s="866"/>
      <c r="Y62" s="867"/>
      <c r="Z62" s="867"/>
      <c r="AA62" s="868"/>
      <c r="AB62" s="866"/>
      <c r="AC62" s="867"/>
      <c r="AD62" s="868"/>
      <c r="AE62" s="889"/>
      <c r="AF62" s="1067"/>
      <c r="AG62" s="889"/>
      <c r="AH62" s="1067"/>
      <c r="AI62" s="924" t="str">
        <f>IFERROR(IF(C62="","",INDEX(PMGAGG[Inc Rate Unit],MATCH(C62,PMGAGG[Eff Desc 1],0))),"")</f>
        <v/>
      </c>
      <c r="AJ62" s="863"/>
      <c r="AK62" s="998" t="str">
        <f t="shared" ref="AK62" si="53">IF(OR(C62="",V62="",X62="",AB62="",AE62="",AG62=""),"",IF(AY62&lt;1,1,AY62))</f>
        <v/>
      </c>
      <c r="AL62" s="999"/>
      <c r="AM62" s="1000"/>
      <c r="AN62" s="924" t="str">
        <f t="shared" ref="AN62" si="54">IF(OR(C62="",V62="",X62="",AB62="",AE62="",AG62=""),"",
IF(OR(ISNUMBER(SEARCH("Heat Recovery",C62)),ISNUMBER(SEARCH("VSD Milk Pump w/",C62)),ISNUMBER(SEARCH("Scroll Compressor",C62))),IF(BC62&lt;&gt;"",BC62,MIN(AU62,ROUND(AI62,2))),
IF(BC62&lt;&gt;"",BC62,MIN(AU62,ROUND(V62*AI62,2)))))</f>
        <v/>
      </c>
      <c r="AO62" s="925"/>
      <c r="AP62" s="925"/>
      <c r="AQ62" s="863"/>
      <c r="AU62" s="893" t="str">
        <f t="shared" si="42"/>
        <v/>
      </c>
      <c r="AV62" s="900">
        <v>0</v>
      </c>
      <c r="AW62" s="900">
        <v>0</v>
      </c>
      <c r="AX62" s="900" t="str">
        <f>IF(OR(C62="",N62="",T62="",V62="",X62="",AG62="",AE62="",AB62=""),"",INDEX(PMGAGG[End Use Category],MATCH(C62,PMGAGG[Eff Desc 1],0)))</f>
        <v/>
      </c>
      <c r="AY62" s="1065" t="str">
        <f>IF(OR(C62="",V62="",X62="",AB62="",AE62="",AG62=""),"",ROUND(
IF(ISNUMBER(SEARCH("Heat Recovery",C62)),(MIN(68*101*0.93*(56.3-38)*0.55,131.7*1*8.34*(120-52.3))*365.25*(1/0.59)/100000)*V62,
V62*INDEX(PMGAGG[Savings per Unit Therm],MATCH(C62,PMGAGG[Eff Desc 1],0))
),0))</f>
        <v/>
      </c>
      <c r="BC62" s="825"/>
    </row>
    <row r="63" spans="2:55">
      <c r="B63" s="829"/>
      <c r="C63" s="835"/>
      <c r="D63" s="836"/>
      <c r="E63" s="836"/>
      <c r="F63" s="836"/>
      <c r="G63" s="836"/>
      <c r="H63" s="836"/>
      <c r="I63" s="836"/>
      <c r="J63" s="836"/>
      <c r="K63" s="836"/>
      <c r="L63" s="836"/>
      <c r="M63" s="837"/>
      <c r="N63" s="911"/>
      <c r="O63" s="912"/>
      <c r="P63" s="912"/>
      <c r="Q63" s="912"/>
      <c r="R63" s="912"/>
      <c r="S63" s="913"/>
      <c r="T63" s="949"/>
      <c r="U63" s="950"/>
      <c r="V63" s="848"/>
      <c r="W63" s="849"/>
      <c r="X63" s="835"/>
      <c r="Y63" s="836"/>
      <c r="Z63" s="836"/>
      <c r="AA63" s="837"/>
      <c r="AB63" s="835"/>
      <c r="AC63" s="836"/>
      <c r="AD63" s="837"/>
      <c r="AE63" s="860"/>
      <c r="AF63" s="870"/>
      <c r="AG63" s="860"/>
      <c r="AH63" s="870"/>
      <c r="AI63" s="919"/>
      <c r="AJ63" s="865"/>
      <c r="AK63" s="1001"/>
      <c r="AL63" s="1002"/>
      <c r="AM63" s="1003"/>
      <c r="AN63" s="919"/>
      <c r="AO63" s="926"/>
      <c r="AP63" s="926"/>
      <c r="AQ63" s="865"/>
      <c r="AU63" s="809"/>
      <c r="AV63" s="901"/>
      <c r="AW63" s="901"/>
      <c r="AX63" s="901"/>
      <c r="AY63" s="1066"/>
      <c r="BC63" s="826"/>
    </row>
    <row r="64" spans="2:55">
      <c r="B64" s="829">
        <v>25</v>
      </c>
      <c r="C64" s="866"/>
      <c r="D64" s="867"/>
      <c r="E64" s="867"/>
      <c r="F64" s="867"/>
      <c r="G64" s="867"/>
      <c r="H64" s="867"/>
      <c r="I64" s="867"/>
      <c r="J64" s="867"/>
      <c r="K64" s="867"/>
      <c r="L64" s="867"/>
      <c r="M64" s="868"/>
      <c r="N64" s="914" t="str">
        <f>IFERROR(IF(C64="","",INDEX(PMGAGG[Base Desc 1],MATCH(C64,PMGAGG[Eff Desc 1],0))),"")</f>
        <v/>
      </c>
      <c r="O64" s="915"/>
      <c r="P64" s="915"/>
      <c r="Q64" s="915"/>
      <c r="R64" s="915"/>
      <c r="S64" s="916"/>
      <c r="T64" s="987" t="str">
        <f>IFERROR(IF(C64="","",INDEX(PMGAGG[Unit of Measure],MATCH(C64,PMGAGG[Eff Desc 1],0))),"")</f>
        <v/>
      </c>
      <c r="U64" s="988"/>
      <c r="V64" s="871"/>
      <c r="W64" s="872"/>
      <c r="X64" s="866"/>
      <c r="Y64" s="867"/>
      <c r="Z64" s="867"/>
      <c r="AA64" s="868"/>
      <c r="AB64" s="866"/>
      <c r="AC64" s="867"/>
      <c r="AD64" s="868"/>
      <c r="AE64" s="889"/>
      <c r="AF64" s="1067"/>
      <c r="AG64" s="889"/>
      <c r="AH64" s="1067"/>
      <c r="AI64" s="924" t="str">
        <f>IFERROR(IF(C64="","",INDEX(PMGAGG[Inc Rate Unit],MATCH(C64,PMGAGG[Eff Desc 1],0))),"")</f>
        <v/>
      </c>
      <c r="AJ64" s="863"/>
      <c r="AK64" s="998" t="str">
        <f t="shared" ref="AK64" si="55">IF(OR(C64="",V64="",X64="",AB64="",AE64="",AG64=""),"",IF(AY64&lt;1,1,AY64))</f>
        <v/>
      </c>
      <c r="AL64" s="999"/>
      <c r="AM64" s="1000"/>
      <c r="AN64" s="924" t="str">
        <f t="shared" ref="AN64" si="56">IF(OR(C64="",V64="",X64="",AB64="",AE64="",AG64=""),"",
IF(OR(ISNUMBER(SEARCH("Heat Recovery",C64)),ISNUMBER(SEARCH("VSD Milk Pump w/",C64)),ISNUMBER(SEARCH("Scroll Compressor",C64))),IF(BC64&lt;&gt;"",BC64,MIN(AU64,ROUND(AI64,2))),
IF(BC64&lt;&gt;"",BC64,MIN(AU64,ROUND(V64*AI64,2)))))</f>
        <v/>
      </c>
      <c r="AO64" s="925"/>
      <c r="AP64" s="925"/>
      <c r="AQ64" s="863"/>
      <c r="AU64" s="893" t="str">
        <f t="shared" si="42"/>
        <v/>
      </c>
      <c r="AV64" s="900">
        <v>0</v>
      </c>
      <c r="AW64" s="900">
        <v>0</v>
      </c>
      <c r="AX64" s="900" t="str">
        <f>IF(OR(C64="",N64="",T64="",V64="",X64="",AG64="",AE64="",AB64=""),"",INDEX(PMGAGG[End Use Category],MATCH(C64,PMGAGG[Eff Desc 1],0)))</f>
        <v/>
      </c>
      <c r="AY64" s="1065" t="str">
        <f>IF(OR(C64="",V64="",X64="",AB64="",AE64="",AG64=""),"",ROUND(
IF(ISNUMBER(SEARCH("Heat Recovery",C64)),(MIN(68*101*0.93*(56.3-38)*0.55,131.7*1*8.34*(120-52.3))*365.25*(1/0.59)/100000)*V64,
V64*INDEX(PMGAGG[Savings per Unit Therm],MATCH(C64,PMGAGG[Eff Desc 1],0))
),0))</f>
        <v/>
      </c>
      <c r="BC64" s="825"/>
    </row>
    <row r="65" spans="2:55">
      <c r="B65" s="829"/>
      <c r="C65" s="835"/>
      <c r="D65" s="836"/>
      <c r="E65" s="836"/>
      <c r="F65" s="836"/>
      <c r="G65" s="836"/>
      <c r="H65" s="836"/>
      <c r="I65" s="836"/>
      <c r="J65" s="836"/>
      <c r="K65" s="836"/>
      <c r="L65" s="836"/>
      <c r="M65" s="837"/>
      <c r="N65" s="911"/>
      <c r="O65" s="912"/>
      <c r="P65" s="912"/>
      <c r="Q65" s="912"/>
      <c r="R65" s="912"/>
      <c r="S65" s="913"/>
      <c r="T65" s="949"/>
      <c r="U65" s="950"/>
      <c r="V65" s="848"/>
      <c r="W65" s="849"/>
      <c r="X65" s="835"/>
      <c r="Y65" s="836"/>
      <c r="Z65" s="836"/>
      <c r="AA65" s="837"/>
      <c r="AB65" s="835"/>
      <c r="AC65" s="836"/>
      <c r="AD65" s="837"/>
      <c r="AE65" s="860"/>
      <c r="AF65" s="870"/>
      <c r="AG65" s="860"/>
      <c r="AH65" s="870"/>
      <c r="AI65" s="919"/>
      <c r="AJ65" s="865"/>
      <c r="AK65" s="1001"/>
      <c r="AL65" s="1002"/>
      <c r="AM65" s="1003"/>
      <c r="AN65" s="919"/>
      <c r="AO65" s="926"/>
      <c r="AP65" s="926"/>
      <c r="AQ65" s="865"/>
      <c r="AU65" s="809"/>
      <c r="AV65" s="901"/>
      <c r="AW65" s="901"/>
      <c r="AX65" s="901"/>
      <c r="AY65" s="1066"/>
      <c r="BC65" s="826"/>
    </row>
    <row r="66" spans="2:55" hidden="1">
      <c r="B66" s="829">
        <v>26</v>
      </c>
      <c r="C66" s="832">
        <f ca="1">IF(SUM(BE16:BE45)=0,0,INDEX(PMEBONUS[],3,3))</f>
        <v>0</v>
      </c>
      <c r="D66" s="833"/>
      <c r="E66" s="833"/>
      <c r="F66" s="833"/>
      <c r="G66" s="833"/>
      <c r="H66" s="833"/>
      <c r="I66" s="833"/>
      <c r="J66" s="833"/>
      <c r="K66" s="833"/>
      <c r="L66" s="833"/>
      <c r="M66" s="834"/>
      <c r="N66" s="908" t="str">
        <f ca="1">IF(SUM(BE16:BE45)=0,"",INDEX(PMEBONUS[],3,30))</f>
        <v/>
      </c>
      <c r="O66" s="909"/>
      <c r="P66" s="909"/>
      <c r="Q66" s="909"/>
      <c r="R66" s="909"/>
      <c r="S66" s="910"/>
      <c r="T66" s="947"/>
      <c r="U66" s="948"/>
      <c r="V66" s="846">
        <f ca="1">IF(OR(C66=0,C66=""),0,1)</f>
        <v>0</v>
      </c>
      <c r="W66" s="847"/>
      <c r="X66" s="832"/>
      <c r="Y66" s="833"/>
      <c r="Z66" s="833"/>
      <c r="AA66" s="834"/>
      <c r="AB66" s="832"/>
      <c r="AC66" s="833"/>
      <c r="AD66" s="834"/>
      <c r="AE66" s="858"/>
      <c r="AF66" s="869"/>
      <c r="AG66" s="858"/>
      <c r="AH66" s="869"/>
      <c r="AI66" s="917"/>
      <c r="AJ66" s="918"/>
      <c r="AK66" s="904"/>
      <c r="AL66" s="905"/>
      <c r="AM66" s="905"/>
      <c r="AN66" s="924" t="str">
        <f ca="1">IF(BA66="","",BA66)</f>
        <v/>
      </c>
      <c r="AO66" s="925"/>
      <c r="AP66" s="925"/>
      <c r="AQ66" s="863"/>
      <c r="AS66" s="59"/>
      <c r="AT66" s="59"/>
      <c r="AU66" s="59"/>
      <c r="AV66" s="59"/>
      <c r="AW66" s="59"/>
      <c r="AX66" s="59"/>
      <c r="AY66" s="808"/>
      <c r="AZ66" s="59"/>
      <c r="BA66" s="808" t="str">
        <f ca="1">IFERROR(IF(OR(C66="",N66="",SUM(AK16:AM45)=0,SUM(BE16:BE45)=0),"",SUM(BE16:BE45)),"")</f>
        <v/>
      </c>
    </row>
    <row r="67" spans="2:55" hidden="1">
      <c r="B67" s="829"/>
      <c r="C67" s="835"/>
      <c r="D67" s="836"/>
      <c r="E67" s="836"/>
      <c r="F67" s="836"/>
      <c r="G67" s="836"/>
      <c r="H67" s="836"/>
      <c r="I67" s="836"/>
      <c r="J67" s="836"/>
      <c r="K67" s="836"/>
      <c r="L67" s="836"/>
      <c r="M67" s="837"/>
      <c r="N67" s="911"/>
      <c r="O67" s="912"/>
      <c r="P67" s="912"/>
      <c r="Q67" s="912"/>
      <c r="R67" s="912"/>
      <c r="S67" s="913"/>
      <c r="T67" s="949"/>
      <c r="U67" s="950"/>
      <c r="V67" s="848"/>
      <c r="W67" s="849"/>
      <c r="X67" s="835"/>
      <c r="Y67" s="836"/>
      <c r="Z67" s="836"/>
      <c r="AA67" s="837"/>
      <c r="AB67" s="835"/>
      <c r="AC67" s="836"/>
      <c r="AD67" s="837"/>
      <c r="AE67" s="860"/>
      <c r="AF67" s="870"/>
      <c r="AG67" s="860"/>
      <c r="AH67" s="870"/>
      <c r="AI67" s="919"/>
      <c r="AJ67" s="865"/>
      <c r="AK67" s="906"/>
      <c r="AL67" s="907"/>
      <c r="AM67" s="907"/>
      <c r="AN67" s="919"/>
      <c r="AO67" s="926"/>
      <c r="AP67" s="926"/>
      <c r="AQ67" s="865"/>
      <c r="AS67" s="59"/>
      <c r="AT67" s="59"/>
      <c r="AU67" s="59"/>
      <c r="AV67" s="59"/>
      <c r="AW67" s="59"/>
      <c r="AX67" s="59"/>
      <c r="AY67" s="809"/>
      <c r="AZ67" s="59"/>
      <c r="BA67" s="809"/>
    </row>
    <row r="200" spans="2:53">
      <c r="B200" s="272" t="str">
        <f>FOOT1</f>
        <v>NIPSCO Energy Efficiency Program</v>
      </c>
      <c r="C200" s="272"/>
      <c r="D200" s="272"/>
      <c r="E200" s="272"/>
      <c r="F200" s="272"/>
      <c r="G200" s="272"/>
      <c r="H200" s="272"/>
      <c r="I200" s="272"/>
      <c r="J200" s="272"/>
      <c r="K200" s="272"/>
      <c r="L200" s="272"/>
      <c r="M200" s="656" t="str">
        <f>FOOT4</f>
        <v>NIPSCO’s energy efficiency programs are administered by TRC, a third‐party implementation specialist that helps homes and businesses save energy.</v>
      </c>
      <c r="N200" s="656"/>
      <c r="O200" s="656"/>
      <c r="P200" s="656"/>
      <c r="Q200" s="656"/>
      <c r="R200" s="656"/>
      <c r="S200" s="656"/>
      <c r="T200" s="656"/>
      <c r="U200" s="656"/>
      <c r="V200" s="656"/>
      <c r="W200" s="656"/>
      <c r="X200" s="656"/>
      <c r="Y200" s="656"/>
      <c r="Z200" s="656"/>
      <c r="AA200" s="656"/>
      <c r="AB200" s="656"/>
      <c r="AC200" s="656"/>
      <c r="AD200" s="656"/>
      <c r="AE200" s="656"/>
      <c r="AF200" s="656"/>
      <c r="AG200" s="656"/>
      <c r="AH200" s="272"/>
      <c r="AI200" s="272"/>
      <c r="AJ200" s="272"/>
      <c r="AK200" s="272"/>
      <c r="AL200" s="272"/>
      <c r="AM200" s="272"/>
      <c r="AN200" s="272"/>
      <c r="AO200" s="272"/>
      <c r="AP200" s="272"/>
      <c r="AQ200" s="272"/>
      <c r="AR200" s="273" t="str">
        <f>FOOTDISCLAIM</f>
        <v/>
      </c>
      <c r="AU200" s="808">
        <f>SUM(AU16:AU45)</f>
        <v>0</v>
      </c>
      <c r="AV200" s="873">
        <f>SUM(AV16:AV199)</f>
        <v>0</v>
      </c>
      <c r="AW200" s="873">
        <f t="shared" ref="AW200:AY200" si="57">SUM(AW16:AW199)</f>
        <v>0</v>
      </c>
      <c r="AX200" s="808">
        <f>SUM(AU50:AU65)</f>
        <v>0</v>
      </c>
      <c r="AY200" s="873">
        <f t="shared" si="57"/>
        <v>0</v>
      </c>
      <c r="AZ200" s="808">
        <f>SUM(AN16:AQ45)</f>
        <v>0</v>
      </c>
      <c r="BA200" s="808">
        <f>SUM(AN50:AQ65)</f>
        <v>0</v>
      </c>
    </row>
    <row r="201" spans="2:53">
      <c r="B201" s="272" t="str">
        <f>FOOT2</f>
        <v>Toll-Free 800-299-2501</v>
      </c>
      <c r="C201" s="272"/>
      <c r="D201" s="272"/>
      <c r="E201" s="272"/>
      <c r="F201" s="272"/>
      <c r="G201" s="272"/>
      <c r="H201" s="272"/>
      <c r="I201" s="272"/>
      <c r="J201" s="272"/>
      <c r="K201" s="272"/>
      <c r="L201" s="272"/>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272"/>
      <c r="AI201" s="272"/>
      <c r="AJ201" s="272"/>
      <c r="AK201" s="272"/>
      <c r="AL201" s="272"/>
      <c r="AM201" s="272"/>
      <c r="AN201" s="272"/>
      <c r="AO201" s="272"/>
      <c r="AP201" s="272"/>
      <c r="AQ201" s="272"/>
      <c r="AR201" s="273" t="str">
        <f>FOOT5</f>
        <v/>
      </c>
      <c r="AU201" s="809"/>
      <c r="AV201" s="874"/>
      <c r="AW201" s="874"/>
      <c r="AX201" s="874"/>
      <c r="AY201" s="874"/>
      <c r="AZ201" s="874"/>
      <c r="BA201" s="874"/>
    </row>
    <row r="202" spans="2:53">
      <c r="B202" s="281" t="s">
        <v>1551</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v3.7.0</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53"/>
  </sheetData>
  <sheetProtection algorithmName="SHA-512" hashValue="2DgHQCDARk+p3VWDGJ6KVSFW0HDsUr0vTiPXNc48EdUNbk0MVS+YA75/U41xOuSPfiuGoQxTWwK0Q6E5OrGFew==" saltValue="iFZ7Oul7SoMqz/6ykA7TTg==" spinCount="100000" sheet="1" objects="1" scenarios="1" selectLockedCells="1"/>
  <protectedRanges>
    <protectedRange sqref="C16:M45 C50:M65" name="Range2"/>
    <protectedRange sqref="C16:M17" name="Range1"/>
  </protectedRanges>
  <mergeCells count="501">
    <mergeCell ref="M200:AG201"/>
    <mergeCell ref="R9:AC10"/>
    <mergeCell ref="R11:U11"/>
    <mergeCell ref="V11:Y11"/>
    <mergeCell ref="Z11:AC11"/>
    <mergeCell ref="R12:U13"/>
    <mergeCell ref="V12:Y13"/>
    <mergeCell ref="Z12:AC13"/>
    <mergeCell ref="C18:M19"/>
    <mergeCell ref="N18:S19"/>
    <mergeCell ref="T18:U19"/>
    <mergeCell ref="V18:W19"/>
    <mergeCell ref="X18:AA19"/>
    <mergeCell ref="AB18:AD19"/>
    <mergeCell ref="T14:U15"/>
    <mergeCell ref="V14:W15"/>
    <mergeCell ref="X14:AA15"/>
    <mergeCell ref="AB14:AD15"/>
    <mergeCell ref="V16:W17"/>
    <mergeCell ref="X16:AA17"/>
    <mergeCell ref="AB16:AD17"/>
    <mergeCell ref="C14:M15"/>
    <mergeCell ref="N14:S15"/>
    <mergeCell ref="AB30:AD31"/>
    <mergeCell ref="AN24:AQ25"/>
    <mergeCell ref="AG26:AH27"/>
    <mergeCell ref="AI22:AJ23"/>
    <mergeCell ref="AK22:AM23"/>
    <mergeCell ref="AU20:AU21"/>
    <mergeCell ref="AV20:AV21"/>
    <mergeCell ref="AW20:AW21"/>
    <mergeCell ref="AN26:AQ27"/>
    <mergeCell ref="AG24:AH25"/>
    <mergeCell ref="AI24:AJ25"/>
    <mergeCell ref="AK24:AM25"/>
    <mergeCell ref="AU24:AU25"/>
    <mergeCell ref="AV24:AV25"/>
    <mergeCell ref="AW24:AW25"/>
    <mergeCell ref="AH1:AK1"/>
    <mergeCell ref="AL1:AP1"/>
    <mergeCell ref="AQ1:AR1"/>
    <mergeCell ref="AH2:AK3"/>
    <mergeCell ref="AL2:AP3"/>
    <mergeCell ref="AQ2:AR3"/>
    <mergeCell ref="AK16:AM17"/>
    <mergeCell ref="AG18:AH19"/>
    <mergeCell ref="AI18:AJ19"/>
    <mergeCell ref="AK18:AM19"/>
    <mergeCell ref="AN18:AQ19"/>
    <mergeCell ref="AI14:AJ15"/>
    <mergeCell ref="AK14:AM15"/>
    <mergeCell ref="AN14:AQ15"/>
    <mergeCell ref="AN16:AQ17"/>
    <mergeCell ref="AI16:AJ17"/>
    <mergeCell ref="AJ11:AM11"/>
    <mergeCell ref="AJ12:AM13"/>
    <mergeCell ref="AX32:AX33"/>
    <mergeCell ref="AU34:AU35"/>
    <mergeCell ref="AV34:AV35"/>
    <mergeCell ref="AW34:AW35"/>
    <mergeCell ref="AX34:AX35"/>
    <mergeCell ref="AW28:AW29"/>
    <mergeCell ref="AX28:AX29"/>
    <mergeCell ref="AU30:AU31"/>
    <mergeCell ref="AV30:AV31"/>
    <mergeCell ref="AW30:AW31"/>
    <mergeCell ref="AX30:AX31"/>
    <mergeCell ref="AU32:AU33"/>
    <mergeCell ref="AV32:AV33"/>
    <mergeCell ref="AU28:AU29"/>
    <mergeCell ref="AV28:AV29"/>
    <mergeCell ref="AX24:AX25"/>
    <mergeCell ref="AU26:AU27"/>
    <mergeCell ref="AV26:AV27"/>
    <mergeCell ref="AU22:AU23"/>
    <mergeCell ref="AV22:AV23"/>
    <mergeCell ref="AW22:AW23"/>
    <mergeCell ref="B16:B17"/>
    <mergeCell ref="B18:B19"/>
    <mergeCell ref="B20:B21"/>
    <mergeCell ref="C16:M17"/>
    <mergeCell ref="N16:S17"/>
    <mergeCell ref="T16:U17"/>
    <mergeCell ref="AE18:AF19"/>
    <mergeCell ref="AE16:AF17"/>
    <mergeCell ref="AG16:AH17"/>
    <mergeCell ref="AB22:AD23"/>
    <mergeCell ref="AE22:AF23"/>
    <mergeCell ref="AW16:AW17"/>
    <mergeCell ref="AU16:AU17"/>
    <mergeCell ref="AV16:AV17"/>
    <mergeCell ref="AK20:AM21"/>
    <mergeCell ref="AN20:AQ21"/>
    <mergeCell ref="AG22:AH23"/>
    <mergeCell ref="AN22:AQ23"/>
    <mergeCell ref="AX16:AX17"/>
    <mergeCell ref="AU18:AU19"/>
    <mergeCell ref="AV18:AV19"/>
    <mergeCell ref="AW18:AW19"/>
    <mergeCell ref="AX18:AX19"/>
    <mergeCell ref="AU14:AU15"/>
    <mergeCell ref="AV14:AV15"/>
    <mergeCell ref="AW14:AW15"/>
    <mergeCell ref="AX14:AX15"/>
    <mergeCell ref="AY20:AY21"/>
    <mergeCell ref="AY22:AY23"/>
    <mergeCell ref="AY14:AY15"/>
    <mergeCell ref="AY16:AY17"/>
    <mergeCell ref="AY18:AY19"/>
    <mergeCell ref="BC22:BC23"/>
    <mergeCell ref="BC24:BC25"/>
    <mergeCell ref="BC26:BC27"/>
    <mergeCell ref="BC28:BC29"/>
    <mergeCell ref="AY24:AY25"/>
    <mergeCell ref="AY26:AY27"/>
    <mergeCell ref="AY28:AY29"/>
    <mergeCell ref="BC14:BC15"/>
    <mergeCell ref="BC16:BC17"/>
    <mergeCell ref="BC18:BC19"/>
    <mergeCell ref="BC30:BC31"/>
    <mergeCell ref="AW26:AW27"/>
    <mergeCell ref="AX26:AX27"/>
    <mergeCell ref="AI26:AJ27"/>
    <mergeCell ref="AK26:AM27"/>
    <mergeCell ref="AX22:AX23"/>
    <mergeCell ref="C20:M21"/>
    <mergeCell ref="N20:S21"/>
    <mergeCell ref="T20:U21"/>
    <mergeCell ref="V20:W21"/>
    <mergeCell ref="X20:AA21"/>
    <mergeCell ref="AB20:AD21"/>
    <mergeCell ref="AE20:AF21"/>
    <mergeCell ref="AG20:AH21"/>
    <mergeCell ref="BC20:BC21"/>
    <mergeCell ref="AX20:AX21"/>
    <mergeCell ref="AI20:AJ21"/>
    <mergeCell ref="AB24:AD25"/>
    <mergeCell ref="AB26:AD27"/>
    <mergeCell ref="AE26:AF27"/>
    <mergeCell ref="N26:S27"/>
    <mergeCell ref="T26:U27"/>
    <mergeCell ref="V26:W27"/>
    <mergeCell ref="X26:AA27"/>
    <mergeCell ref="BC32:BC33"/>
    <mergeCell ref="BC34:BC35"/>
    <mergeCell ref="AW32:AW33"/>
    <mergeCell ref="AE24:AF25"/>
    <mergeCell ref="C22:M23"/>
    <mergeCell ref="N22:S23"/>
    <mergeCell ref="T22:U23"/>
    <mergeCell ref="V22:W23"/>
    <mergeCell ref="X22:AA23"/>
    <mergeCell ref="N30:S31"/>
    <mergeCell ref="T30:U31"/>
    <mergeCell ref="V30:W31"/>
    <mergeCell ref="X30:AA31"/>
    <mergeCell ref="C28:M29"/>
    <mergeCell ref="N28:S29"/>
    <mergeCell ref="T28:U29"/>
    <mergeCell ref="V28:W29"/>
    <mergeCell ref="X28:AA29"/>
    <mergeCell ref="C26:M27"/>
    <mergeCell ref="C24:M25"/>
    <mergeCell ref="N24:S25"/>
    <mergeCell ref="T24:U25"/>
    <mergeCell ref="V24:W25"/>
    <mergeCell ref="X24:AA25"/>
    <mergeCell ref="AB28:AD29"/>
    <mergeCell ref="AB34:AD35"/>
    <mergeCell ref="AE34:AF35"/>
    <mergeCell ref="AG34:AH35"/>
    <mergeCell ref="AI34:AJ35"/>
    <mergeCell ref="AK34:AM35"/>
    <mergeCell ref="AN34:AQ35"/>
    <mergeCell ref="AE32:AF33"/>
    <mergeCell ref="AG32:AH33"/>
    <mergeCell ref="AI32:AJ33"/>
    <mergeCell ref="AK32:AM33"/>
    <mergeCell ref="AN32:AQ33"/>
    <mergeCell ref="AB32:AD33"/>
    <mergeCell ref="AE30:AF31"/>
    <mergeCell ref="AG30:AH31"/>
    <mergeCell ref="AI30:AJ31"/>
    <mergeCell ref="AK30:AM31"/>
    <mergeCell ref="AN30:AQ31"/>
    <mergeCell ref="AE28:AF29"/>
    <mergeCell ref="AG28:AH29"/>
    <mergeCell ref="AI28:AJ29"/>
    <mergeCell ref="AK28:AM29"/>
    <mergeCell ref="AN28:AQ29"/>
    <mergeCell ref="B34:B35"/>
    <mergeCell ref="C36:M37"/>
    <mergeCell ref="N36:S37"/>
    <mergeCell ref="T36:U37"/>
    <mergeCell ref="V36:W37"/>
    <mergeCell ref="X36:AA37"/>
    <mergeCell ref="B36:B37"/>
    <mergeCell ref="B22:B23"/>
    <mergeCell ref="B24:B25"/>
    <mergeCell ref="B26:B27"/>
    <mergeCell ref="B28:B29"/>
    <mergeCell ref="B30:B31"/>
    <mergeCell ref="B32:B33"/>
    <mergeCell ref="C34:M35"/>
    <mergeCell ref="N34:S35"/>
    <mergeCell ref="T34:U35"/>
    <mergeCell ref="V34:W35"/>
    <mergeCell ref="X34:AA35"/>
    <mergeCell ref="C32:M33"/>
    <mergeCell ref="N32:S33"/>
    <mergeCell ref="T32:U33"/>
    <mergeCell ref="V32:W33"/>
    <mergeCell ref="X32:AA33"/>
    <mergeCell ref="C30:M31"/>
    <mergeCell ref="C38:M39"/>
    <mergeCell ref="N38:S39"/>
    <mergeCell ref="T38:U39"/>
    <mergeCell ref="V38:W39"/>
    <mergeCell ref="X38:AA39"/>
    <mergeCell ref="AB38:AD39"/>
    <mergeCell ref="AE38:AF39"/>
    <mergeCell ref="AG38:AH39"/>
    <mergeCell ref="AB36:AD37"/>
    <mergeCell ref="AE36:AF37"/>
    <mergeCell ref="AG36:AH37"/>
    <mergeCell ref="C40:M41"/>
    <mergeCell ref="N40:S41"/>
    <mergeCell ref="T40:U41"/>
    <mergeCell ref="V40:W41"/>
    <mergeCell ref="X40:AA41"/>
    <mergeCell ref="AB40:AD41"/>
    <mergeCell ref="AE40:AF41"/>
    <mergeCell ref="AI40:AJ41"/>
    <mergeCell ref="AK40:AM41"/>
    <mergeCell ref="AG40:AH41"/>
    <mergeCell ref="AE42:AF43"/>
    <mergeCell ref="AG42:AH43"/>
    <mergeCell ref="AI42:AJ43"/>
    <mergeCell ref="AK42:AM43"/>
    <mergeCell ref="AN42:AQ43"/>
    <mergeCell ref="C44:M45"/>
    <mergeCell ref="N44:S45"/>
    <mergeCell ref="T44:U45"/>
    <mergeCell ref="V44:W45"/>
    <mergeCell ref="X44:AA45"/>
    <mergeCell ref="BC36:BC37"/>
    <mergeCell ref="BC38:BC39"/>
    <mergeCell ref="BC40:BC41"/>
    <mergeCell ref="BC42:BC43"/>
    <mergeCell ref="BC44:BC45"/>
    <mergeCell ref="AY40:AY41"/>
    <mergeCell ref="AW36:AW37"/>
    <mergeCell ref="AX36:AX37"/>
    <mergeCell ref="AW38:AW39"/>
    <mergeCell ref="AX38:AX39"/>
    <mergeCell ref="AW40:AW41"/>
    <mergeCell ref="AX40:AX41"/>
    <mergeCell ref="AY38:AY39"/>
    <mergeCell ref="B38:B39"/>
    <mergeCell ref="B40:B41"/>
    <mergeCell ref="B42:B43"/>
    <mergeCell ref="B44:B45"/>
    <mergeCell ref="C50:M51"/>
    <mergeCell ref="N50:S51"/>
    <mergeCell ref="B50:B51"/>
    <mergeCell ref="AB44:AD45"/>
    <mergeCell ref="AE44:AF45"/>
    <mergeCell ref="C46:AQ47"/>
    <mergeCell ref="C48:M49"/>
    <mergeCell ref="N48:S49"/>
    <mergeCell ref="T48:U49"/>
    <mergeCell ref="V48:W49"/>
    <mergeCell ref="X48:AA49"/>
    <mergeCell ref="AB48:AD49"/>
    <mergeCell ref="AN40:AQ41"/>
    <mergeCell ref="C42:M43"/>
    <mergeCell ref="N42:S43"/>
    <mergeCell ref="T42:U43"/>
    <mergeCell ref="V42:W43"/>
    <mergeCell ref="X42:AA43"/>
    <mergeCell ref="AB42:AD43"/>
    <mergeCell ref="AI44:AJ45"/>
    <mergeCell ref="AK48:AM49"/>
    <mergeCell ref="AN48:AQ49"/>
    <mergeCell ref="AW42:AW43"/>
    <mergeCell ref="AX42:AX43"/>
    <mergeCell ref="AW44:AW45"/>
    <mergeCell ref="AX44:AX45"/>
    <mergeCell ref="AU36:AU37"/>
    <mergeCell ref="AU38:AU39"/>
    <mergeCell ref="AU40:AU41"/>
    <mergeCell ref="AU42:AU43"/>
    <mergeCell ref="AU44:AU45"/>
    <mergeCell ref="AV36:AV37"/>
    <mergeCell ref="AV38:AV39"/>
    <mergeCell ref="AV40:AV41"/>
    <mergeCell ref="AV42:AV43"/>
    <mergeCell ref="AV44:AV45"/>
    <mergeCell ref="AY30:AY31"/>
    <mergeCell ref="AY32:AY33"/>
    <mergeCell ref="AY34:AY35"/>
    <mergeCell ref="AY36:AY37"/>
    <mergeCell ref="AW50:AW51"/>
    <mergeCell ref="AX50:AX51"/>
    <mergeCell ref="AY50:AY51"/>
    <mergeCell ref="AG52:AH53"/>
    <mergeCell ref="AI52:AJ53"/>
    <mergeCell ref="AK52:AM53"/>
    <mergeCell ref="AN52:AQ53"/>
    <mergeCell ref="AY42:AY43"/>
    <mergeCell ref="AY44:AY45"/>
    <mergeCell ref="AG50:AH51"/>
    <mergeCell ref="AG44:AH45"/>
    <mergeCell ref="AK44:AM45"/>
    <mergeCell ref="AN44:AQ45"/>
    <mergeCell ref="AK36:AM37"/>
    <mergeCell ref="AN36:AQ37"/>
    <mergeCell ref="AI36:AJ37"/>
    <mergeCell ref="AI38:AJ39"/>
    <mergeCell ref="AK38:AM39"/>
    <mergeCell ref="AN38:AQ39"/>
    <mergeCell ref="AI48:AJ49"/>
    <mergeCell ref="BC50:BC51"/>
    <mergeCell ref="C52:M53"/>
    <mergeCell ref="N52:S53"/>
    <mergeCell ref="T52:U53"/>
    <mergeCell ref="V52:W53"/>
    <mergeCell ref="X52:AA53"/>
    <mergeCell ref="AU50:AU51"/>
    <mergeCell ref="AV50:AV51"/>
    <mergeCell ref="AI50:AJ51"/>
    <mergeCell ref="AK50:AM51"/>
    <mergeCell ref="AN50:AQ51"/>
    <mergeCell ref="T50:U51"/>
    <mergeCell ref="AU52:AU53"/>
    <mergeCell ref="AV52:AV53"/>
    <mergeCell ref="AW52:AW53"/>
    <mergeCell ref="AX52:AX53"/>
    <mergeCell ref="AY52:AY53"/>
    <mergeCell ref="V50:W51"/>
    <mergeCell ref="X50:AA51"/>
    <mergeCell ref="AB50:AD51"/>
    <mergeCell ref="AE50:AF51"/>
    <mergeCell ref="AI56:AJ57"/>
    <mergeCell ref="AK56:AM57"/>
    <mergeCell ref="AN56:AQ57"/>
    <mergeCell ref="AE54:AF55"/>
    <mergeCell ref="AG54:AH55"/>
    <mergeCell ref="AI54:AJ55"/>
    <mergeCell ref="AK54:AM55"/>
    <mergeCell ref="AN54:AQ55"/>
    <mergeCell ref="AB54:AD55"/>
    <mergeCell ref="C56:M57"/>
    <mergeCell ref="N56:S57"/>
    <mergeCell ref="T56:U57"/>
    <mergeCell ref="V56:W57"/>
    <mergeCell ref="X56:AA57"/>
    <mergeCell ref="C54:M55"/>
    <mergeCell ref="N54:S55"/>
    <mergeCell ref="T54:U55"/>
    <mergeCell ref="V54:W55"/>
    <mergeCell ref="X54:AA55"/>
    <mergeCell ref="AI60:AJ61"/>
    <mergeCell ref="AK60:AM61"/>
    <mergeCell ref="AN60:AQ61"/>
    <mergeCell ref="AE58:AF59"/>
    <mergeCell ref="AG58:AH59"/>
    <mergeCell ref="AI58:AJ59"/>
    <mergeCell ref="AK58:AM59"/>
    <mergeCell ref="AN58:AQ59"/>
    <mergeCell ref="C60:M61"/>
    <mergeCell ref="N60:S61"/>
    <mergeCell ref="T60:U61"/>
    <mergeCell ref="V60:W61"/>
    <mergeCell ref="X60:AA61"/>
    <mergeCell ref="C58:M59"/>
    <mergeCell ref="N58:S59"/>
    <mergeCell ref="T58:U59"/>
    <mergeCell ref="V58:W59"/>
    <mergeCell ref="X58:AA59"/>
    <mergeCell ref="AB58:AD59"/>
    <mergeCell ref="AI64:AJ65"/>
    <mergeCell ref="AK64:AM65"/>
    <mergeCell ref="AN64:AQ65"/>
    <mergeCell ref="AE62:AF63"/>
    <mergeCell ref="AG62:AH63"/>
    <mergeCell ref="AI62:AJ63"/>
    <mergeCell ref="AK62:AM63"/>
    <mergeCell ref="AN62:AQ63"/>
    <mergeCell ref="C64:M65"/>
    <mergeCell ref="N64:S65"/>
    <mergeCell ref="T64:U65"/>
    <mergeCell ref="V64:W65"/>
    <mergeCell ref="X64:AA65"/>
    <mergeCell ref="C62:M63"/>
    <mergeCell ref="N62:S63"/>
    <mergeCell ref="T62:U63"/>
    <mergeCell ref="V62:W63"/>
    <mergeCell ref="X62:AA63"/>
    <mergeCell ref="AB62:AD63"/>
    <mergeCell ref="B64:B65"/>
    <mergeCell ref="AE14:AH14"/>
    <mergeCell ref="AE15:AF15"/>
    <mergeCell ref="AG15:AH15"/>
    <mergeCell ref="AE48:AH48"/>
    <mergeCell ref="AE49:AF49"/>
    <mergeCell ref="AG49:AH49"/>
    <mergeCell ref="B52:B53"/>
    <mergeCell ref="B54:B55"/>
    <mergeCell ref="B56:B57"/>
    <mergeCell ref="B58:B59"/>
    <mergeCell ref="B60:B61"/>
    <mergeCell ref="B62:B63"/>
    <mergeCell ref="AB64:AD65"/>
    <mergeCell ref="AE64:AF65"/>
    <mergeCell ref="AG64:AH65"/>
    <mergeCell ref="AB60:AD61"/>
    <mergeCell ref="AE60:AF61"/>
    <mergeCell ref="AG60:AH61"/>
    <mergeCell ref="AB56:AD57"/>
    <mergeCell ref="AE56:AF57"/>
    <mergeCell ref="AG56:AH57"/>
    <mergeCell ref="AB52:AD53"/>
    <mergeCell ref="AE52:AF53"/>
    <mergeCell ref="AU54:AU55"/>
    <mergeCell ref="AV54:AV55"/>
    <mergeCell ref="AW54:AW55"/>
    <mergeCell ref="AX54:AX55"/>
    <mergeCell ref="AY54:AY55"/>
    <mergeCell ref="AU62:AU63"/>
    <mergeCell ref="AV62:AV63"/>
    <mergeCell ref="AW62:AW63"/>
    <mergeCell ref="AX62:AX63"/>
    <mergeCell ref="AY62:AY63"/>
    <mergeCell ref="AU56:AU57"/>
    <mergeCell ref="AV56:AV57"/>
    <mergeCell ref="AW56:AW57"/>
    <mergeCell ref="AX56:AX57"/>
    <mergeCell ref="AY56:AY57"/>
    <mergeCell ref="AU58:AU59"/>
    <mergeCell ref="AV58:AV59"/>
    <mergeCell ref="AW58:AW59"/>
    <mergeCell ref="AX58:AX59"/>
    <mergeCell ref="AY58:AY59"/>
    <mergeCell ref="F11:P12"/>
    <mergeCell ref="AZ200:AZ201"/>
    <mergeCell ref="BA200:BA201"/>
    <mergeCell ref="BC62:BC63"/>
    <mergeCell ref="BC64:BC65"/>
    <mergeCell ref="AE11:AH11"/>
    <mergeCell ref="AE12:AH13"/>
    <mergeCell ref="AU200:AU201"/>
    <mergeCell ref="AV200:AV201"/>
    <mergeCell ref="AW200:AW201"/>
    <mergeCell ref="AX200:AX201"/>
    <mergeCell ref="AY200:AY201"/>
    <mergeCell ref="AU64:AU65"/>
    <mergeCell ref="AV64:AV65"/>
    <mergeCell ref="AW64:AW65"/>
    <mergeCell ref="AX64:AX65"/>
    <mergeCell ref="AY64:AY65"/>
    <mergeCell ref="BC52:BC53"/>
    <mergeCell ref="BC54:BC55"/>
    <mergeCell ref="BC56:BC57"/>
    <mergeCell ref="BC58:BC59"/>
    <mergeCell ref="BC60:BC61"/>
    <mergeCell ref="AU60:AU61"/>
    <mergeCell ref="AV60:AV61"/>
    <mergeCell ref="BE14:BE15"/>
    <mergeCell ref="BE16:BE17"/>
    <mergeCell ref="BE18:BE19"/>
    <mergeCell ref="BE20:BE21"/>
    <mergeCell ref="BE22:BE23"/>
    <mergeCell ref="BE24:BE25"/>
    <mergeCell ref="BE26:BE27"/>
    <mergeCell ref="BE28:BE29"/>
    <mergeCell ref="BE30:BE31"/>
    <mergeCell ref="B66:B67"/>
    <mergeCell ref="BE32:BE33"/>
    <mergeCell ref="BE34:BE35"/>
    <mergeCell ref="BE36:BE37"/>
    <mergeCell ref="BE38:BE39"/>
    <mergeCell ref="BE40:BE41"/>
    <mergeCell ref="BE42:BE43"/>
    <mergeCell ref="BE44:BE45"/>
    <mergeCell ref="C66:M67"/>
    <mergeCell ref="N66:S67"/>
    <mergeCell ref="T66:U67"/>
    <mergeCell ref="V66:W67"/>
    <mergeCell ref="X66:AA67"/>
    <mergeCell ref="AB66:AD67"/>
    <mergeCell ref="AE66:AF67"/>
    <mergeCell ref="AG66:AH67"/>
    <mergeCell ref="AI66:AJ67"/>
    <mergeCell ref="AK66:AM67"/>
    <mergeCell ref="AN66:AQ67"/>
    <mergeCell ref="AY66:AY67"/>
    <mergeCell ref="BA66:BA67"/>
    <mergeCell ref="AW60:AW61"/>
    <mergeCell ref="AX60:AX61"/>
    <mergeCell ref="AY60:AY61"/>
  </mergeCells>
  <conditionalFormatting sqref="AH2 AL2">
    <cfRule type="expression" dxfId="160" priority="7">
      <formula>PROJSTATUS=PROJSTATELI</formula>
    </cfRule>
    <cfRule type="expression" dxfId="159" priority="8">
      <formula>PROJSTATUS=PROJSTATREVIEW</formula>
    </cfRule>
    <cfRule type="expression" dxfId="158" priority="12">
      <formula>PROJSTATUS=PROJSTATPREAPPROVE</formula>
    </cfRule>
    <cfRule type="expression" dxfId="157" priority="13">
      <formula>PROJSTATUS=PROJSTATSTANDARD</formula>
    </cfRule>
    <cfRule type="expression" dxfId="156" priority="14">
      <formula>PROJSTATUS=PROJSTATEXP</formula>
    </cfRule>
  </conditionalFormatting>
  <conditionalFormatting sqref="AN16:AQ45">
    <cfRule type="expression" dxfId="155" priority="1">
      <formula>ISNUMBER(AN16)=FALSE</formula>
    </cfRule>
  </conditionalFormatting>
  <conditionalFormatting sqref="AQ2:AR3">
    <cfRule type="cellIs" dxfId="154" priority="9" operator="equal">
      <formula>1</formula>
    </cfRule>
    <cfRule type="cellIs" dxfId="153" priority="10" operator="between">
      <formula>0.51</formula>
      <formula>0.99</formula>
    </cfRule>
    <cfRule type="cellIs" dxfId="152" priority="11" operator="lessThanOrEqual">
      <formula>0.5</formula>
    </cfRule>
  </conditionalFormatting>
  <dataValidations count="6">
    <dataValidation type="list" allowBlank="1" showInputMessage="1" showErrorMessage="1" sqref="C16:M45" xr:uid="{6E68B49D-45CC-4BD0-8E2A-E4247D31FB06}">
      <formula1>PMEAGGEFF1</formula1>
    </dataValidation>
    <dataValidation type="list" allowBlank="1" showInputMessage="1" showErrorMessage="1" sqref="C50:M65" xr:uid="{473BA764-366B-47F8-80DF-207D0A031C37}">
      <formula1>PMGAGGEFF1</formula1>
    </dataValidation>
    <dataValidation type="decimal" allowBlank="1" showInputMessage="1" showErrorMessage="1" prompt="This is the TOTAL Material Cost of the measure, NOT a per unit basis." sqref="AE16:AF45" xr:uid="{3EF82A1E-8C03-40F0-A39F-175C43A453F2}">
      <formula1>0</formula1>
      <formula2>999999999</formula2>
    </dataValidation>
    <dataValidation type="decimal" allowBlank="1" showInputMessage="1" showErrorMessage="1" prompt="This is the TOTAL Labor Cost of the measure, NOT a per unit basis." sqref="AG16:AH45" xr:uid="{1E449FA7-FB99-46CB-8092-D96F28944E3D}">
      <formula1>0</formula1>
      <formula2>9999999</formula2>
    </dataValidation>
    <dataValidation type="decimal" allowBlank="1" showInputMessage="1" showErrorMessage="1" prompt="This is the TOTAL Labor Cost of the measure, NOT a per unit basis." sqref="AG50:AH65" xr:uid="{7B7D1324-EAA0-4800-A24A-26F4344AE7FE}">
      <formula1>0</formula1>
      <formula2>999999999</formula2>
    </dataValidation>
    <dataValidation type="decimal" allowBlank="1" showInputMessage="1" showErrorMessage="1" prompt="This is the TOTAL Material Cost of the measure, NOT a per unit basis." sqref="AE50:AF65" xr:uid="{4CA671D9-64E0-433D-9358-2605C8F326E7}">
      <formula1>0</formula1>
      <formula2>99999999999</formula2>
    </dataValidation>
  </dataValidations>
  <hyperlinks>
    <hyperlink ref="B202" r:id="rId1" xr:uid="{20AF3DF3-789F-41A5-9ACD-EFA774C945EF}"/>
  </hyperlinks>
  <pageMargins left="0.7" right="0.7" top="0.75" bottom="0.75" header="0.3" footer="0.3"/>
  <pageSetup orientation="portrait" horizontalDpi="1200" verticalDpi="1200"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pageSetUpPr fitToPage="1"/>
  </sheetPr>
  <dimension ref="A1:BE202"/>
  <sheetViews>
    <sheetView showGridLines="0" showRowColHeaders="0" zoomScale="85" zoomScaleNormal="85" workbookViewId="0">
      <selection activeCell="C16" sqref="C16:M17"/>
    </sheetView>
  </sheetViews>
  <sheetFormatPr defaultColWidth="0" defaultRowHeight="15" customHeight="1" zeroHeight="1"/>
  <cols>
    <col min="1" max="45" width="4.7109375" customWidth="1"/>
    <col min="46" max="46" width="4.7109375" hidden="1" customWidth="1"/>
    <col min="47" max="78" width="9.140625" hidden="1" customWidth="1"/>
    <col min="79" max="16384" width="9.140625" hidden="1"/>
  </cols>
  <sheetData>
    <row r="1" spans="2:57" ht="15.95" customHeight="1">
      <c r="AH1" s="1073" t="s">
        <v>471</v>
      </c>
      <c r="AI1" s="1073"/>
      <c r="AJ1" s="1073"/>
      <c r="AK1" s="1073"/>
      <c r="AL1" s="1074" t="s">
        <v>736</v>
      </c>
      <c r="AM1" s="1074"/>
      <c r="AN1" s="1074"/>
      <c r="AO1" s="1074"/>
      <c r="AP1" s="1074"/>
      <c r="AQ1" s="1072" t="s">
        <v>474</v>
      </c>
      <c r="AR1" s="1072"/>
    </row>
    <row r="2" spans="2:57" ht="15.95" customHeight="1">
      <c r="AH2" s="683" t="str">
        <f ca="1">INCENSTATUS</f>
        <v>---</v>
      </c>
      <c r="AI2" s="684"/>
      <c r="AJ2" s="684"/>
      <c r="AK2" s="684"/>
      <c r="AL2" s="685" t="str">
        <f ca="1">PROJSTATUS</f>
        <v>Enter Measures</v>
      </c>
      <c r="AM2" s="685"/>
      <c r="AN2" s="685"/>
      <c r="AO2" s="685"/>
      <c r="AP2" s="685"/>
      <c r="AQ2" s="679">
        <f ca="1">PROGRESSSTATUS</f>
        <v>2.8985507246376812E-2</v>
      </c>
      <c r="AR2" s="680"/>
    </row>
    <row r="3" spans="2:57" ht="15.95" customHeight="1">
      <c r="AH3" s="675"/>
      <c r="AI3" s="676"/>
      <c r="AJ3" s="676"/>
      <c r="AK3" s="676"/>
      <c r="AL3" s="668"/>
      <c r="AM3" s="668"/>
      <c r="AN3" s="668"/>
      <c r="AO3" s="668"/>
      <c r="AP3" s="668"/>
      <c r="AQ3" s="662"/>
      <c r="AR3" s="663"/>
    </row>
    <row r="4" spans="2:57" ht="15.95" customHeight="1"/>
    <row r="5" spans="2:57" ht="15.95" customHeight="1"/>
    <row r="6" spans="2:57" ht="15.95" customHeight="1">
      <c r="AU6" s="59" t="s">
        <v>907</v>
      </c>
      <c r="AV6" s="59">
        <f>PROJID</f>
        <v>0</v>
      </c>
      <c r="AW6" s="59"/>
      <c r="AX6" s="59"/>
    </row>
    <row r="7" spans="2:57" ht="15.95" customHeight="1">
      <c r="AU7" s="87"/>
      <c r="AV7" s="87" t="s">
        <v>866</v>
      </c>
      <c r="AW7" s="87" t="s">
        <v>231</v>
      </c>
      <c r="AX7" s="87" t="s">
        <v>892</v>
      </c>
    </row>
    <row r="8" spans="2:57" ht="15.95" customHeight="1">
      <c r="AU8" s="87" t="s">
        <v>219</v>
      </c>
      <c r="AV8" s="87" t="str">
        <f ca="1">CBPRESE</f>
        <v>NA</v>
      </c>
      <c r="AW8" s="87" t="str">
        <f ca="1">CBCUSE</f>
        <v>NA</v>
      </c>
      <c r="AX8" s="87" t="str">
        <f ca="1">CBALL</f>
        <v>NA</v>
      </c>
    </row>
    <row r="9" spans="2:57" ht="15.95" customHeight="1">
      <c r="B9" s="59"/>
      <c r="C9" s="59"/>
      <c r="D9" s="59"/>
      <c r="E9" s="59"/>
      <c r="F9" s="59"/>
      <c r="G9" s="59"/>
      <c r="H9" s="59"/>
      <c r="I9" s="59"/>
      <c r="J9" s="59"/>
      <c r="K9" s="59"/>
      <c r="L9" s="59"/>
      <c r="M9" s="59"/>
      <c r="N9" s="59"/>
      <c r="O9" s="59"/>
      <c r="P9" s="59"/>
      <c r="Q9" s="59"/>
      <c r="R9" s="730" t="str">
        <f>CONCATENATE(M3S6," ","Summary")</f>
        <v>HVAC 
(Gas) Summary</v>
      </c>
      <c r="S9" s="730"/>
      <c r="T9" s="730"/>
      <c r="U9" s="730"/>
      <c r="V9" s="730"/>
      <c r="W9" s="730"/>
      <c r="X9" s="730"/>
      <c r="Y9" s="730"/>
      <c r="Z9" s="730"/>
      <c r="AA9" s="730"/>
      <c r="AB9" s="730"/>
      <c r="AC9" s="730"/>
      <c r="AD9" s="730"/>
      <c r="AE9" s="59"/>
      <c r="AF9" s="59"/>
      <c r="AG9" s="59"/>
      <c r="AH9" s="59"/>
      <c r="AI9" s="59"/>
      <c r="AJ9" s="59"/>
      <c r="AK9" s="59"/>
      <c r="AL9" s="59"/>
      <c r="AM9" s="59"/>
      <c r="AN9" s="59"/>
      <c r="AO9" s="59"/>
      <c r="AP9" s="59"/>
      <c r="AQ9" s="59"/>
      <c r="AR9" s="59"/>
      <c r="AU9" s="87"/>
      <c r="AV9" s="87"/>
      <c r="AW9" s="87"/>
      <c r="AX9" s="87"/>
    </row>
    <row r="10" spans="2:57" ht="15.95" customHeight="1">
      <c r="B10" s="59"/>
      <c r="C10" s="59"/>
      <c r="D10" s="59"/>
      <c r="E10" s="59"/>
      <c r="F10" s="59"/>
      <c r="G10" s="59"/>
      <c r="H10" s="59"/>
      <c r="I10" s="59"/>
      <c r="J10" s="59"/>
      <c r="K10" s="59"/>
      <c r="L10" s="59"/>
      <c r="M10" s="59"/>
      <c r="N10" s="59"/>
      <c r="O10" s="59"/>
      <c r="P10" s="59"/>
      <c r="Q10" s="59"/>
      <c r="R10" s="730"/>
      <c r="S10" s="730"/>
      <c r="T10" s="730"/>
      <c r="U10" s="730"/>
      <c r="V10" s="730"/>
      <c r="W10" s="730"/>
      <c r="X10" s="730"/>
      <c r="Y10" s="730"/>
      <c r="Z10" s="730"/>
      <c r="AA10" s="730"/>
      <c r="AB10" s="730"/>
      <c r="AC10" s="730"/>
      <c r="AD10" s="730"/>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57" ht="15.95" customHeight="1">
      <c r="B11" s="59"/>
      <c r="C11" s="59"/>
      <c r="D11" s="59"/>
      <c r="E11" s="59"/>
      <c r="F11" s="59"/>
      <c r="I11" s="59"/>
      <c r="J11" s="59"/>
      <c r="K11" s="59"/>
      <c r="L11" s="59"/>
      <c r="M11" s="59"/>
      <c r="N11" s="59"/>
      <c r="O11" s="59"/>
      <c r="P11" s="59"/>
      <c r="Q11" s="59"/>
      <c r="R11" s="831" t="s">
        <v>68</v>
      </c>
      <c r="S11" s="831"/>
      <c r="T11" s="831"/>
      <c r="U11" s="831"/>
      <c r="V11" s="831" t="s">
        <v>69</v>
      </c>
      <c r="W11" s="831"/>
      <c r="X11" s="831"/>
      <c r="Y11" s="831"/>
      <c r="Z11" s="831" t="s">
        <v>198</v>
      </c>
      <c r="AA11" s="831"/>
      <c r="AB11" s="831"/>
      <c r="AC11" s="831"/>
      <c r="AE11" s="59"/>
      <c r="AF11" s="896" t="s">
        <v>2111</v>
      </c>
      <c r="AG11" s="896"/>
      <c r="AH11" s="896"/>
      <c r="AI11" s="896"/>
      <c r="AK11" s="59"/>
      <c r="AL11" s="59"/>
      <c r="AM11" s="59"/>
      <c r="AN11" s="59"/>
      <c r="AO11" s="59"/>
      <c r="AP11" s="59"/>
      <c r="AQ11" s="59"/>
      <c r="AR11" s="59"/>
    </row>
    <row r="12" spans="2:57" ht="15.95" customHeight="1">
      <c r="B12" s="59"/>
      <c r="C12" s="59"/>
      <c r="D12" s="59"/>
      <c r="E12" s="59"/>
      <c r="F12" s="59"/>
      <c r="I12" s="59"/>
      <c r="J12" s="59"/>
      <c r="K12" s="59"/>
      <c r="L12" s="59"/>
      <c r="M12" s="59"/>
      <c r="N12" s="59"/>
      <c r="O12" s="59"/>
      <c r="P12" s="59"/>
      <c r="Q12" s="59"/>
      <c r="R12" s="875">
        <f ca="1">SUM(AN16:AQ199)</f>
        <v>0</v>
      </c>
      <c r="S12" s="875"/>
      <c r="T12" s="875"/>
      <c r="U12" s="875"/>
      <c r="V12" s="875">
        <f>AU200</f>
        <v>0</v>
      </c>
      <c r="W12" s="875"/>
      <c r="X12" s="875"/>
      <c r="Y12" s="875"/>
      <c r="Z12" s="997">
        <f ca="1">SUMIF(AN16:AQ199,"&gt;0",AK16:AM199)</f>
        <v>0</v>
      </c>
      <c r="AA12" s="997"/>
      <c r="AB12" s="997"/>
      <c r="AC12" s="997"/>
      <c r="AE12" s="59"/>
      <c r="AF12" s="875">
        <f ca="1">IFERROR(IF(AN66="",0,AN66),0)</f>
        <v>0</v>
      </c>
      <c r="AG12" s="875"/>
      <c r="AH12" s="875"/>
      <c r="AI12" s="875"/>
      <c r="AJ12" s="59"/>
      <c r="AK12" s="59"/>
      <c r="AL12" s="59"/>
      <c r="AM12" s="59"/>
      <c r="AN12" s="59"/>
      <c r="AO12" s="59"/>
      <c r="AP12" s="59"/>
      <c r="AQ12" s="59"/>
      <c r="AR12" s="59"/>
    </row>
    <row r="13" spans="2:57" ht="15.95" customHeight="1">
      <c r="B13" s="59"/>
      <c r="C13" s="59"/>
      <c r="D13" s="59"/>
      <c r="E13" s="59"/>
      <c r="F13" s="59"/>
      <c r="G13" s="59"/>
      <c r="H13" s="59"/>
      <c r="I13" s="59"/>
      <c r="J13" s="59"/>
      <c r="K13" s="59"/>
      <c r="L13" s="59"/>
      <c r="M13" s="59"/>
      <c r="N13" s="59"/>
      <c r="O13" s="59"/>
      <c r="P13" s="59"/>
      <c r="Q13" s="59"/>
      <c r="R13" s="875"/>
      <c r="S13" s="875"/>
      <c r="T13" s="875"/>
      <c r="U13" s="875"/>
      <c r="V13" s="875"/>
      <c r="W13" s="875"/>
      <c r="X13" s="875"/>
      <c r="Y13" s="875"/>
      <c r="Z13" s="997"/>
      <c r="AA13" s="997"/>
      <c r="AB13" s="997"/>
      <c r="AC13" s="997"/>
      <c r="AE13" s="59"/>
      <c r="AF13" s="875"/>
      <c r="AG13" s="875"/>
      <c r="AH13" s="875"/>
      <c r="AI13" s="875"/>
      <c r="AJ13" s="59"/>
      <c r="AK13" s="59"/>
      <c r="AL13" s="59"/>
      <c r="AM13" s="59"/>
      <c r="AN13" s="59"/>
      <c r="AO13" s="59"/>
      <c r="AP13" s="59"/>
      <c r="AQ13" s="59"/>
      <c r="AR13" s="59"/>
    </row>
    <row r="14" spans="2:57" ht="15.95" customHeight="1">
      <c r="C14" s="804" t="s">
        <v>99</v>
      </c>
      <c r="D14" s="804"/>
      <c r="E14" s="804"/>
      <c r="F14" s="804"/>
      <c r="G14" s="804"/>
      <c r="H14" s="804"/>
      <c r="I14" s="804"/>
      <c r="J14" s="804"/>
      <c r="K14" s="804"/>
      <c r="L14" s="804"/>
      <c r="M14" s="804"/>
      <c r="N14" s="804" t="s">
        <v>103</v>
      </c>
      <c r="O14" s="804"/>
      <c r="P14" s="804"/>
      <c r="Q14" s="804"/>
      <c r="R14" s="804"/>
      <c r="S14" s="804"/>
      <c r="T14" s="804" t="s">
        <v>100</v>
      </c>
      <c r="U14" s="804"/>
      <c r="V14" s="804" t="s">
        <v>91</v>
      </c>
      <c r="W14" s="804"/>
      <c r="X14" s="804" t="s">
        <v>115</v>
      </c>
      <c r="Y14" s="804"/>
      <c r="Z14" s="804"/>
      <c r="AA14" s="804"/>
      <c r="AB14" s="804" t="s">
        <v>104</v>
      </c>
      <c r="AC14" s="804"/>
      <c r="AD14" s="804"/>
      <c r="AE14" s="920" t="s">
        <v>1587</v>
      </c>
      <c r="AF14" s="920"/>
      <c r="AG14" s="920"/>
      <c r="AH14" s="920"/>
      <c r="AI14" s="804" t="s">
        <v>93</v>
      </c>
      <c r="AJ14" s="804"/>
      <c r="AK14" s="804" t="s">
        <v>1362</v>
      </c>
      <c r="AL14" s="804"/>
      <c r="AM14" s="804"/>
      <c r="AN14" s="804" t="s">
        <v>108</v>
      </c>
      <c r="AO14" s="804"/>
      <c r="AP14" s="804"/>
      <c r="AQ14" s="804"/>
      <c r="AS14" s="59"/>
      <c r="AT14" s="59"/>
      <c r="AU14" s="804" t="s">
        <v>196</v>
      </c>
      <c r="AV14" s="804" t="s">
        <v>1928</v>
      </c>
      <c r="AW14" s="59"/>
      <c r="BC14" s="804" t="s">
        <v>489</v>
      </c>
      <c r="BE14" s="804" t="s">
        <v>2025</v>
      </c>
    </row>
    <row r="15" spans="2:57" ht="15.95" customHeight="1" thickBot="1">
      <c r="C15" s="805"/>
      <c r="D15" s="805"/>
      <c r="E15" s="805"/>
      <c r="F15" s="805"/>
      <c r="G15" s="805"/>
      <c r="H15" s="805"/>
      <c r="I15" s="805"/>
      <c r="J15" s="805"/>
      <c r="K15" s="805"/>
      <c r="L15" s="805"/>
      <c r="M15" s="805"/>
      <c r="N15" s="805"/>
      <c r="O15" s="805"/>
      <c r="P15" s="805"/>
      <c r="Q15" s="805"/>
      <c r="R15" s="805"/>
      <c r="S15" s="805"/>
      <c r="T15" s="805"/>
      <c r="U15" s="805"/>
      <c r="V15" s="805"/>
      <c r="W15" s="805"/>
      <c r="X15" s="805"/>
      <c r="Y15" s="805"/>
      <c r="Z15" s="805"/>
      <c r="AA15" s="805"/>
      <c r="AB15" s="805"/>
      <c r="AC15" s="805"/>
      <c r="AD15" s="805"/>
      <c r="AE15" s="921" t="s">
        <v>110</v>
      </c>
      <c r="AF15" s="921"/>
      <c r="AG15" s="921" t="s">
        <v>111</v>
      </c>
      <c r="AH15" s="921"/>
      <c r="AI15" s="805"/>
      <c r="AJ15" s="805"/>
      <c r="AK15" s="805"/>
      <c r="AL15" s="805"/>
      <c r="AM15" s="805"/>
      <c r="AN15" s="805"/>
      <c r="AO15" s="805"/>
      <c r="AP15" s="805"/>
      <c r="AQ15" s="805"/>
      <c r="AS15" s="59"/>
      <c r="AT15" s="59"/>
      <c r="AU15" s="805"/>
      <c r="AV15" s="805"/>
      <c r="AW15" s="59"/>
      <c r="BC15" s="805"/>
      <c r="BE15" s="805"/>
    </row>
    <row r="16" spans="2:57" ht="15.95" customHeight="1">
      <c r="B16" s="830">
        <v>1</v>
      </c>
      <c r="C16" s="866"/>
      <c r="D16" s="867"/>
      <c r="E16" s="867"/>
      <c r="F16" s="867"/>
      <c r="G16" s="867"/>
      <c r="H16" s="867"/>
      <c r="I16" s="867"/>
      <c r="J16" s="867"/>
      <c r="K16" s="867"/>
      <c r="L16" s="867"/>
      <c r="M16" s="868"/>
      <c r="N16" s="908" t="str">
        <f>IFERROR(IF(C16="","",INDEX(PMGHVAC[Base Desc 1],MATCH(C16,PMGHVAC[Eff Desc 1],0))),"")</f>
        <v/>
      </c>
      <c r="O16" s="909"/>
      <c r="P16" s="909"/>
      <c r="Q16" s="909"/>
      <c r="R16" s="909"/>
      <c r="S16" s="910"/>
      <c r="T16" s="947" t="str">
        <f>IFERROR(IF(C16="","",INDEX(PMGHVAC[Unit of Measure],MATCH(C16,PMGHVAC[Eff Desc 1],0))),"")</f>
        <v/>
      </c>
      <c r="U16" s="948"/>
      <c r="V16" s="871"/>
      <c r="W16" s="872"/>
      <c r="X16" s="832"/>
      <c r="Y16" s="833"/>
      <c r="Z16" s="833"/>
      <c r="AA16" s="834"/>
      <c r="AB16" s="832"/>
      <c r="AC16" s="833"/>
      <c r="AD16" s="834"/>
      <c r="AE16" s="858"/>
      <c r="AF16" s="869"/>
      <c r="AG16" s="858"/>
      <c r="AH16" s="869"/>
      <c r="AI16" s="917" t="str">
        <f>IFERROR(IF(C16="","",INDEX(PMGHVAC[Inc Rate Unit],MATCH(C16,PMGHVAC[Eff Desc 1],0))),"")</f>
        <v/>
      </c>
      <c r="AJ16" s="918"/>
      <c r="AK16" s="998" t="str">
        <f>IF(OR(C16="",V16="",X16="",AB16="",AE16="",AG16=""),"",IF(AND(AV16&lt;1,AV16&gt;0),1,AV16))</f>
        <v/>
      </c>
      <c r="AL16" s="999"/>
      <c r="AM16" s="999"/>
      <c r="AN16" s="924" t="str">
        <f>IF(OR(C16="",V16="",X16="",AB16="",AE16="",AG16=""),"",IF(BC16&lt;&gt;"",BC16,MIN(AU16,ROUND(V16*AI16,2))))</f>
        <v/>
      </c>
      <c r="AO16" s="925"/>
      <c r="AP16" s="925"/>
      <c r="AQ16" s="863"/>
      <c r="AS16" s="59"/>
      <c r="AT16" s="59"/>
      <c r="AU16" s="808" t="str">
        <f>IF(OR(C16="",N16="",T16="",V16="",X16="",AI16="",AE16="",AB16=""),"",IF(AK16="","",ROUND((AE16+AG16),2)))</f>
        <v/>
      </c>
      <c r="AV16" s="1013" t="str">
        <f>IF(OR(C16="",V16="",X16="",AB16="",AE16="",AG16=""),"",ROUND(V16*INDEX(PMGHVAC[Savings per Unit Therm],MATCH(C16,PMGHVAC[Eff Desc 1],2)),0))</f>
        <v/>
      </c>
      <c r="AW16" s="59"/>
      <c r="BC16" s="825"/>
      <c r="BE16" s="806" t="str">
        <f ca="1">IF(OR(T16="",N16="",C16="",V16="",X16="",AB16="",AE16="",AG16=""),"",IF('M01-S01'!$V$82&lt;TODAY(),0,IF(M02S02F46="Electric Only",0,IF(ISNUMBER(SEARCH("Boiler Tune-Up",C16)),IF(OR(AK16="",AK16&lt;0,AU16&lt;=AN16),0,MIN(AU16-AN16,ROUND(AN16*0.2,2))),0))))</f>
        <v/>
      </c>
    </row>
    <row r="17" spans="2:57" ht="15.95" customHeight="1">
      <c r="B17" s="830"/>
      <c r="C17" s="835"/>
      <c r="D17" s="836"/>
      <c r="E17" s="836"/>
      <c r="F17" s="836"/>
      <c r="G17" s="836"/>
      <c r="H17" s="836"/>
      <c r="I17" s="836"/>
      <c r="J17" s="836"/>
      <c r="K17" s="836"/>
      <c r="L17" s="836"/>
      <c r="M17" s="837"/>
      <c r="N17" s="911"/>
      <c r="O17" s="912"/>
      <c r="P17" s="912"/>
      <c r="Q17" s="912"/>
      <c r="R17" s="912"/>
      <c r="S17" s="913"/>
      <c r="T17" s="949"/>
      <c r="U17" s="950"/>
      <c r="V17" s="848"/>
      <c r="W17" s="849"/>
      <c r="X17" s="835"/>
      <c r="Y17" s="836"/>
      <c r="Z17" s="836"/>
      <c r="AA17" s="837"/>
      <c r="AB17" s="835"/>
      <c r="AC17" s="836"/>
      <c r="AD17" s="837"/>
      <c r="AE17" s="860"/>
      <c r="AF17" s="870"/>
      <c r="AG17" s="860"/>
      <c r="AH17" s="870"/>
      <c r="AI17" s="919"/>
      <c r="AJ17" s="865"/>
      <c r="AK17" s="1001"/>
      <c r="AL17" s="1002"/>
      <c r="AM17" s="1002"/>
      <c r="AN17" s="919"/>
      <c r="AO17" s="926"/>
      <c r="AP17" s="926"/>
      <c r="AQ17" s="865"/>
      <c r="AS17" s="59"/>
      <c r="AT17" s="59"/>
      <c r="AU17" s="809"/>
      <c r="AV17" s="975"/>
      <c r="AW17" s="59"/>
      <c r="BC17" s="826"/>
      <c r="BE17" s="807"/>
    </row>
    <row r="18" spans="2:57" ht="15.95" customHeight="1">
      <c r="B18" s="829">
        <v>2</v>
      </c>
      <c r="C18" s="866"/>
      <c r="D18" s="867"/>
      <c r="E18" s="867"/>
      <c r="F18" s="867"/>
      <c r="G18" s="867"/>
      <c r="H18" s="867"/>
      <c r="I18" s="867"/>
      <c r="J18" s="867"/>
      <c r="K18" s="867"/>
      <c r="L18" s="867"/>
      <c r="M18" s="868"/>
      <c r="N18" s="908" t="str">
        <f>IFERROR(IF(C18="","",INDEX(PMGHVAC[Base Desc 1],MATCH(C18,PMGHVAC[Eff Desc 1],0))),"")</f>
        <v/>
      </c>
      <c r="O18" s="909"/>
      <c r="P18" s="909"/>
      <c r="Q18" s="909"/>
      <c r="R18" s="909"/>
      <c r="S18" s="910"/>
      <c r="T18" s="947" t="str">
        <f>IFERROR(IF(C18="","",INDEX(PMGHVAC[Unit of Measure],MATCH(C18,PMGHVAC[Eff Desc 1],0))),"")</f>
        <v/>
      </c>
      <c r="U18" s="948"/>
      <c r="V18" s="871"/>
      <c r="W18" s="872"/>
      <c r="X18" s="832"/>
      <c r="Y18" s="833"/>
      <c r="Z18" s="833"/>
      <c r="AA18" s="834"/>
      <c r="AB18" s="832"/>
      <c r="AC18" s="833"/>
      <c r="AD18" s="834"/>
      <c r="AE18" s="858"/>
      <c r="AF18" s="869"/>
      <c r="AG18" s="858"/>
      <c r="AH18" s="869"/>
      <c r="AI18" s="924" t="str">
        <f>IFERROR(IF(C18="","",INDEX(PMGHVAC[Inc Rate Unit],MATCH(C18,PMGHVAC[Eff Desc 1],0))),"")</f>
        <v/>
      </c>
      <c r="AJ18" s="863"/>
      <c r="AK18" s="998" t="str">
        <f t="shared" ref="AK18" si="0">IF(OR(C18="",V18="",X18="",AB18="",AE18="",AG18=""),"",IF(AND(AV18&lt;1,AV18&gt;0),1,AV18))</f>
        <v/>
      </c>
      <c r="AL18" s="999"/>
      <c r="AM18" s="1000"/>
      <c r="AN18" s="924" t="str">
        <f t="shared" ref="AN18" si="1">IF(OR(C18="",V18="",X18="",AB18="",AE18="",AG18=""),"",IF(BC18&lt;&gt;"",BC18,MIN(AU18,ROUND(V18*AI18,2))))</f>
        <v/>
      </c>
      <c r="AO18" s="925"/>
      <c r="AP18" s="925"/>
      <c r="AQ18" s="863"/>
      <c r="AS18" s="59"/>
      <c r="AT18" s="59"/>
      <c r="AU18" s="808" t="str">
        <f t="shared" ref="AU18" si="2">IF(OR(C18="",N18="",T18="",V18="",X18="",AI18="",AE18="",AB18=""),"",IF(AK18="","",ROUND((AE18+AG18),2)))</f>
        <v/>
      </c>
      <c r="AV18" s="1013" t="str">
        <f>IF(OR(C18="",V18="",X18="",AB18="",AE18="",AG18=""),"",ROUND(V18*INDEX(PMGHVAC[Savings per Unit Therm],MATCH(C18,PMGHVAC[Eff Desc 1],2)),0))</f>
        <v/>
      </c>
      <c r="AW18" s="59"/>
      <c r="BC18" s="825"/>
      <c r="BE18" s="806" t="str">
        <f ca="1">IF(OR(T18="",N18="",C18="",V18="",X18="",AB18="",AE18="",AG18=""),"",IF('M01-S01'!$V$82&lt;TODAY(),0,IF(M02S02F46="Electric Only",0,IF(ISNUMBER(SEARCH("Boiler Tune-Up",C18)),IF(OR(AK18="",AK18&lt;0,AU18&lt;=AN18),0,MIN(AU18-AN18,ROUND(AN18*0.2,2))),0))))</f>
        <v/>
      </c>
    </row>
    <row r="19" spans="2:57" ht="15.95" customHeight="1">
      <c r="B19" s="829"/>
      <c r="C19" s="835"/>
      <c r="D19" s="836"/>
      <c r="E19" s="836"/>
      <c r="F19" s="836"/>
      <c r="G19" s="836"/>
      <c r="H19" s="836"/>
      <c r="I19" s="836"/>
      <c r="J19" s="836"/>
      <c r="K19" s="836"/>
      <c r="L19" s="836"/>
      <c r="M19" s="837"/>
      <c r="N19" s="911"/>
      <c r="O19" s="912"/>
      <c r="P19" s="912"/>
      <c r="Q19" s="912"/>
      <c r="R19" s="912"/>
      <c r="S19" s="913"/>
      <c r="T19" s="949"/>
      <c r="U19" s="950"/>
      <c r="V19" s="848"/>
      <c r="W19" s="849"/>
      <c r="X19" s="835"/>
      <c r="Y19" s="836"/>
      <c r="Z19" s="836"/>
      <c r="AA19" s="837"/>
      <c r="AB19" s="835"/>
      <c r="AC19" s="836"/>
      <c r="AD19" s="837"/>
      <c r="AE19" s="860"/>
      <c r="AF19" s="870"/>
      <c r="AG19" s="860"/>
      <c r="AH19" s="870"/>
      <c r="AI19" s="919"/>
      <c r="AJ19" s="865"/>
      <c r="AK19" s="1001"/>
      <c r="AL19" s="1002"/>
      <c r="AM19" s="1003"/>
      <c r="AN19" s="919"/>
      <c r="AO19" s="926"/>
      <c r="AP19" s="926"/>
      <c r="AQ19" s="865"/>
      <c r="AS19" s="59"/>
      <c r="AT19" s="59"/>
      <c r="AU19" s="809"/>
      <c r="AV19" s="975"/>
      <c r="AW19" s="59"/>
      <c r="BC19" s="826"/>
      <c r="BE19" s="807"/>
    </row>
    <row r="20" spans="2:57" ht="15.95" customHeight="1">
      <c r="B20" s="829">
        <v>3</v>
      </c>
      <c r="C20" s="866"/>
      <c r="D20" s="867"/>
      <c r="E20" s="867"/>
      <c r="F20" s="867"/>
      <c r="G20" s="867"/>
      <c r="H20" s="867"/>
      <c r="I20" s="867"/>
      <c r="J20" s="867"/>
      <c r="K20" s="867"/>
      <c r="L20" s="867"/>
      <c r="M20" s="868"/>
      <c r="N20" s="908" t="str">
        <f>IFERROR(IF(C20="","",INDEX(PMGHVAC[Base Desc 1],MATCH(C20,PMGHVAC[Eff Desc 1],0))),"")</f>
        <v/>
      </c>
      <c r="O20" s="909"/>
      <c r="P20" s="909"/>
      <c r="Q20" s="909"/>
      <c r="R20" s="909"/>
      <c r="S20" s="910"/>
      <c r="T20" s="947" t="str">
        <f>IFERROR(IF(C20="","",INDEX(PMGHVAC[Unit of Measure],MATCH(C20,PMGHVAC[Eff Desc 1],0))),"")</f>
        <v/>
      </c>
      <c r="U20" s="948"/>
      <c r="V20" s="871"/>
      <c r="W20" s="872"/>
      <c r="X20" s="832"/>
      <c r="Y20" s="833"/>
      <c r="Z20" s="833"/>
      <c r="AA20" s="834"/>
      <c r="AB20" s="832"/>
      <c r="AC20" s="833"/>
      <c r="AD20" s="834"/>
      <c r="AE20" s="858"/>
      <c r="AF20" s="869"/>
      <c r="AG20" s="858"/>
      <c r="AH20" s="869"/>
      <c r="AI20" s="924" t="str">
        <f>IFERROR(IF(C20="","",INDEX(PMGHVAC[Inc Rate Unit],MATCH(C20,PMGHVAC[Eff Desc 1],0))),"")</f>
        <v/>
      </c>
      <c r="AJ20" s="863"/>
      <c r="AK20" s="998" t="str">
        <f t="shared" ref="AK20" si="3">IF(OR(C20="",V20="",X20="",AB20="",AE20="",AG20=""),"",IF(AND(AV20&lt;1,AV20&gt;0),1,AV20))</f>
        <v/>
      </c>
      <c r="AL20" s="999"/>
      <c r="AM20" s="1000"/>
      <c r="AN20" s="924" t="str">
        <f t="shared" ref="AN20" si="4">IF(OR(C20="",V20="",X20="",AB20="",AE20="",AG20=""),"",IF(BC20&lt;&gt;"",BC20,MIN(AU20,ROUND(V20*AI20,2))))</f>
        <v/>
      </c>
      <c r="AO20" s="925"/>
      <c r="AP20" s="925"/>
      <c r="AQ20" s="863"/>
      <c r="AS20" s="59"/>
      <c r="AT20" s="59"/>
      <c r="AU20" s="808" t="str">
        <f t="shared" ref="AU20" si="5">IF(OR(C20="",N20="",T20="",V20="",X20="",AI20="",AE20="",AB20=""),"",IF(AK20="","",ROUND((AE20+AG20),2)))</f>
        <v/>
      </c>
      <c r="AV20" s="1013" t="str">
        <f>IF(OR(C20="",V20="",X20="",AB20="",AE20="",AG20=""),"",ROUND(V20*INDEX(PMGHVAC[Savings per Unit Therm],MATCH(C20,PMGHVAC[Eff Desc 1],2)),0))</f>
        <v/>
      </c>
      <c r="AW20" s="59"/>
      <c r="BC20" s="825"/>
      <c r="BE20" s="806" t="str">
        <f ca="1">IF(OR(T20="",N20="",C20="",V20="",X20="",AB20="",AE20="",AG20=""),"",IF('M01-S01'!$V$82&lt;TODAY(),0,IF(M02S02F46="Electric Only",0,IF(ISNUMBER(SEARCH("Boiler Tune-Up",C20)),IF(OR(AK20="",AK20&lt;0,AU20&lt;=AN20),0,MIN(AU20-AN20,ROUND(AN20*0.2,2))),0))))</f>
        <v/>
      </c>
    </row>
    <row r="21" spans="2:57" ht="15.95" customHeight="1">
      <c r="B21" s="829"/>
      <c r="C21" s="835"/>
      <c r="D21" s="836"/>
      <c r="E21" s="836"/>
      <c r="F21" s="836"/>
      <c r="G21" s="836"/>
      <c r="H21" s="836"/>
      <c r="I21" s="836"/>
      <c r="J21" s="836"/>
      <c r="K21" s="836"/>
      <c r="L21" s="836"/>
      <c r="M21" s="837"/>
      <c r="N21" s="911"/>
      <c r="O21" s="912"/>
      <c r="P21" s="912"/>
      <c r="Q21" s="912"/>
      <c r="R21" s="912"/>
      <c r="S21" s="913"/>
      <c r="T21" s="949"/>
      <c r="U21" s="950"/>
      <c r="V21" s="848"/>
      <c r="W21" s="849"/>
      <c r="X21" s="835"/>
      <c r="Y21" s="836"/>
      <c r="Z21" s="836"/>
      <c r="AA21" s="837"/>
      <c r="AB21" s="835"/>
      <c r="AC21" s="836"/>
      <c r="AD21" s="837"/>
      <c r="AE21" s="860"/>
      <c r="AF21" s="870"/>
      <c r="AG21" s="860"/>
      <c r="AH21" s="870"/>
      <c r="AI21" s="919"/>
      <c r="AJ21" s="865"/>
      <c r="AK21" s="1001"/>
      <c r="AL21" s="1002"/>
      <c r="AM21" s="1003"/>
      <c r="AN21" s="919"/>
      <c r="AO21" s="926"/>
      <c r="AP21" s="926"/>
      <c r="AQ21" s="865"/>
      <c r="AS21" s="59"/>
      <c r="AT21" s="59"/>
      <c r="AU21" s="809"/>
      <c r="AV21" s="975"/>
      <c r="AW21" s="59"/>
      <c r="BC21" s="826"/>
      <c r="BE21" s="807"/>
    </row>
    <row r="22" spans="2:57" ht="15.95" customHeight="1">
      <c r="B22" s="829">
        <v>4</v>
      </c>
      <c r="C22" s="866"/>
      <c r="D22" s="867"/>
      <c r="E22" s="867"/>
      <c r="F22" s="867"/>
      <c r="G22" s="867"/>
      <c r="H22" s="867"/>
      <c r="I22" s="867"/>
      <c r="J22" s="867"/>
      <c r="K22" s="867"/>
      <c r="L22" s="867"/>
      <c r="M22" s="868"/>
      <c r="N22" s="908" t="str">
        <f>IFERROR(IF(C22="","",INDEX(PMGHVAC[Base Desc 1],MATCH(C22,PMGHVAC[Eff Desc 1],0))),"")</f>
        <v/>
      </c>
      <c r="O22" s="909"/>
      <c r="P22" s="909"/>
      <c r="Q22" s="909"/>
      <c r="R22" s="909"/>
      <c r="S22" s="910"/>
      <c r="T22" s="947" t="str">
        <f>IFERROR(IF(C22="","",INDEX(PMGHVAC[Unit of Measure],MATCH(C22,PMGHVAC[Eff Desc 1],0))),"")</f>
        <v/>
      </c>
      <c r="U22" s="948"/>
      <c r="V22" s="871"/>
      <c r="W22" s="872"/>
      <c r="X22" s="832"/>
      <c r="Y22" s="833"/>
      <c r="Z22" s="833"/>
      <c r="AA22" s="834"/>
      <c r="AB22" s="832"/>
      <c r="AC22" s="833"/>
      <c r="AD22" s="834"/>
      <c r="AE22" s="858"/>
      <c r="AF22" s="869"/>
      <c r="AG22" s="858"/>
      <c r="AH22" s="869"/>
      <c r="AI22" s="924" t="str">
        <f>IFERROR(IF(C22="","",INDEX(PMGHVAC[Inc Rate Unit],MATCH(C22,PMGHVAC[Eff Desc 1],0))),"")</f>
        <v/>
      </c>
      <c r="AJ22" s="863"/>
      <c r="AK22" s="998" t="str">
        <f t="shared" ref="AK22" si="6">IF(OR(C22="",V22="",X22="",AB22="",AE22="",AG22=""),"",IF(AND(AV22&lt;1,AV22&gt;0),1,AV22))</f>
        <v/>
      </c>
      <c r="AL22" s="999"/>
      <c r="AM22" s="1000"/>
      <c r="AN22" s="924" t="str">
        <f t="shared" ref="AN22" si="7">IF(OR(C22="",V22="",X22="",AB22="",AE22="",AG22=""),"",IF(BC22&lt;&gt;"",BC22,MIN(AU22,ROUND(V22*AI22,2))))</f>
        <v/>
      </c>
      <c r="AO22" s="925"/>
      <c r="AP22" s="925"/>
      <c r="AQ22" s="863"/>
      <c r="AS22" s="59"/>
      <c r="AT22" s="59"/>
      <c r="AU22" s="808" t="str">
        <f t="shared" ref="AU22" si="8">IF(OR(C22="",N22="",T22="",V22="",X22="",AI22="",AE22="",AB22=""),"",IF(AK22="","",ROUND((AE22+AG22),2)))</f>
        <v/>
      </c>
      <c r="AV22" s="1013" t="str">
        <f>IF(OR(C22="",V22="",X22="",AB22="",AE22="",AG22=""),"",ROUND(V22*INDEX(PMGHVAC[Savings per Unit Therm],MATCH(C22,PMGHVAC[Eff Desc 1],2)),0))</f>
        <v/>
      </c>
      <c r="AW22" s="59"/>
      <c r="BC22" s="825"/>
      <c r="BE22" s="806" t="str">
        <f ca="1">IF(OR(T22="",N22="",C22="",V22="",X22="",AB22="",AE22="",AG22=""),"",IF('M01-S01'!$V$82&lt;TODAY(),0,IF(M02S02F46="Electric Only",0,IF(ISNUMBER(SEARCH("Boiler Tune-Up",C22)),IF(OR(AK22="",AK22&lt;0,AU22&lt;=AN22),0,MIN(AU22-AN22,ROUND(AN22*0.2,2))),0))))</f>
        <v/>
      </c>
    </row>
    <row r="23" spans="2:57" ht="15.95" customHeight="1">
      <c r="B23" s="829"/>
      <c r="C23" s="835"/>
      <c r="D23" s="836"/>
      <c r="E23" s="836"/>
      <c r="F23" s="836"/>
      <c r="G23" s="836"/>
      <c r="H23" s="836"/>
      <c r="I23" s="836"/>
      <c r="J23" s="836"/>
      <c r="K23" s="836"/>
      <c r="L23" s="836"/>
      <c r="M23" s="837"/>
      <c r="N23" s="911"/>
      <c r="O23" s="912"/>
      <c r="P23" s="912"/>
      <c r="Q23" s="912"/>
      <c r="R23" s="912"/>
      <c r="S23" s="913"/>
      <c r="T23" s="949"/>
      <c r="U23" s="950"/>
      <c r="V23" s="848"/>
      <c r="W23" s="849"/>
      <c r="X23" s="835"/>
      <c r="Y23" s="836"/>
      <c r="Z23" s="836"/>
      <c r="AA23" s="837"/>
      <c r="AB23" s="835"/>
      <c r="AC23" s="836"/>
      <c r="AD23" s="837"/>
      <c r="AE23" s="860"/>
      <c r="AF23" s="870"/>
      <c r="AG23" s="860"/>
      <c r="AH23" s="870"/>
      <c r="AI23" s="919"/>
      <c r="AJ23" s="865"/>
      <c r="AK23" s="1001"/>
      <c r="AL23" s="1002"/>
      <c r="AM23" s="1003"/>
      <c r="AN23" s="919"/>
      <c r="AO23" s="926"/>
      <c r="AP23" s="926"/>
      <c r="AQ23" s="865"/>
      <c r="AS23" s="59"/>
      <c r="AT23" s="59"/>
      <c r="AU23" s="809"/>
      <c r="AV23" s="975"/>
      <c r="AW23" s="59"/>
      <c r="BC23" s="826"/>
      <c r="BE23" s="807"/>
    </row>
    <row r="24" spans="2:57" ht="15.95" customHeight="1">
      <c r="B24" s="829">
        <v>5</v>
      </c>
      <c r="C24" s="866"/>
      <c r="D24" s="867"/>
      <c r="E24" s="867"/>
      <c r="F24" s="867"/>
      <c r="G24" s="867"/>
      <c r="H24" s="867"/>
      <c r="I24" s="867"/>
      <c r="J24" s="867"/>
      <c r="K24" s="867"/>
      <c r="L24" s="867"/>
      <c r="M24" s="868"/>
      <c r="N24" s="908" t="str">
        <f>IFERROR(IF(C24="","",INDEX(PMGHVAC[Base Desc 1],MATCH(C24,PMGHVAC[Eff Desc 1],0))),"")</f>
        <v/>
      </c>
      <c r="O24" s="909"/>
      <c r="P24" s="909"/>
      <c r="Q24" s="909"/>
      <c r="R24" s="909"/>
      <c r="S24" s="910"/>
      <c r="T24" s="947" t="str">
        <f>IFERROR(IF(C24="","",INDEX(PMGHVAC[Unit of Measure],MATCH(C24,PMGHVAC[Eff Desc 1],0))),"")</f>
        <v/>
      </c>
      <c r="U24" s="948"/>
      <c r="V24" s="871"/>
      <c r="W24" s="872"/>
      <c r="X24" s="832"/>
      <c r="Y24" s="833"/>
      <c r="Z24" s="833"/>
      <c r="AA24" s="834"/>
      <c r="AB24" s="832"/>
      <c r="AC24" s="833"/>
      <c r="AD24" s="834"/>
      <c r="AE24" s="858"/>
      <c r="AF24" s="869"/>
      <c r="AG24" s="858"/>
      <c r="AH24" s="869"/>
      <c r="AI24" s="924" t="str">
        <f>IFERROR(IF(C24="","",INDEX(PMGHVAC[Inc Rate Unit],MATCH(C24,PMGHVAC[Eff Desc 1],0))),"")</f>
        <v/>
      </c>
      <c r="AJ24" s="863"/>
      <c r="AK24" s="998" t="str">
        <f t="shared" ref="AK24" si="9">IF(OR(C24="",V24="",X24="",AB24="",AE24="",AG24=""),"",IF(AND(AV24&lt;1,AV24&gt;0),1,AV24))</f>
        <v/>
      </c>
      <c r="AL24" s="999"/>
      <c r="AM24" s="1000"/>
      <c r="AN24" s="924" t="str">
        <f t="shared" ref="AN24" si="10">IF(OR(C24="",V24="",X24="",AB24="",AE24="",AG24=""),"",IF(BC24&lt;&gt;"",BC24,MIN(AU24,ROUND(V24*AI24,2))))</f>
        <v/>
      </c>
      <c r="AO24" s="925"/>
      <c r="AP24" s="925"/>
      <c r="AQ24" s="863"/>
      <c r="AS24" s="59"/>
      <c r="AT24" s="59"/>
      <c r="AU24" s="808" t="str">
        <f t="shared" ref="AU24" si="11">IF(OR(C24="",N24="",T24="",V24="",X24="",AI24="",AE24="",AB24=""),"",IF(AK24="","",ROUND((AE24+AG24),2)))</f>
        <v/>
      </c>
      <c r="AV24" s="1013" t="str">
        <f>IF(OR(C24="",V24="",X24="",AB24="",AE24="",AG24=""),"",ROUND(V24*INDEX(PMGHVAC[Savings per Unit Therm],MATCH(C24,PMGHVAC[Eff Desc 1],2)),0))</f>
        <v/>
      </c>
      <c r="AW24" s="59"/>
      <c r="BC24" s="825"/>
      <c r="BE24" s="806" t="str">
        <f ca="1">IF(OR(T24="",N24="",C24="",V24="",X24="",AB24="",AE24="",AG24=""),"",IF('M01-S01'!$V$82&lt;TODAY(),0,IF(M02S02F46="Electric Only",0,IF(ISNUMBER(SEARCH("Boiler Tune-Up",C24)),IF(OR(AK24="",AK24&lt;0,AU24&lt;=AN24),0,MIN(AU24-AN24,ROUND(AN24*0.2,2))),0))))</f>
        <v/>
      </c>
    </row>
    <row r="25" spans="2:57" ht="15.95" customHeight="1">
      <c r="B25" s="829"/>
      <c r="C25" s="835"/>
      <c r="D25" s="836"/>
      <c r="E25" s="836"/>
      <c r="F25" s="836"/>
      <c r="G25" s="836"/>
      <c r="H25" s="836"/>
      <c r="I25" s="836"/>
      <c r="J25" s="836"/>
      <c r="K25" s="836"/>
      <c r="L25" s="836"/>
      <c r="M25" s="837"/>
      <c r="N25" s="911"/>
      <c r="O25" s="912"/>
      <c r="P25" s="912"/>
      <c r="Q25" s="912"/>
      <c r="R25" s="912"/>
      <c r="S25" s="913"/>
      <c r="T25" s="949"/>
      <c r="U25" s="950"/>
      <c r="V25" s="848"/>
      <c r="W25" s="849"/>
      <c r="X25" s="835"/>
      <c r="Y25" s="836"/>
      <c r="Z25" s="836"/>
      <c r="AA25" s="837"/>
      <c r="AB25" s="835"/>
      <c r="AC25" s="836"/>
      <c r="AD25" s="837"/>
      <c r="AE25" s="860"/>
      <c r="AF25" s="870"/>
      <c r="AG25" s="860"/>
      <c r="AH25" s="870"/>
      <c r="AI25" s="919"/>
      <c r="AJ25" s="865"/>
      <c r="AK25" s="1001"/>
      <c r="AL25" s="1002"/>
      <c r="AM25" s="1003"/>
      <c r="AN25" s="919"/>
      <c r="AO25" s="926"/>
      <c r="AP25" s="926"/>
      <c r="AQ25" s="865"/>
      <c r="AS25" s="59"/>
      <c r="AT25" s="59"/>
      <c r="AU25" s="809"/>
      <c r="AV25" s="975"/>
      <c r="AW25" s="59"/>
      <c r="BC25" s="826"/>
      <c r="BE25" s="807"/>
    </row>
    <row r="26" spans="2:57" ht="15.95" customHeight="1">
      <c r="B26" s="829">
        <v>6</v>
      </c>
      <c r="C26" s="866"/>
      <c r="D26" s="867"/>
      <c r="E26" s="867"/>
      <c r="F26" s="867"/>
      <c r="G26" s="867"/>
      <c r="H26" s="867"/>
      <c r="I26" s="867"/>
      <c r="J26" s="867"/>
      <c r="K26" s="867"/>
      <c r="L26" s="867"/>
      <c r="M26" s="868"/>
      <c r="N26" s="908" t="str">
        <f>IFERROR(IF(C26="","",INDEX(PMGHVAC[Base Desc 1],MATCH(C26,PMGHVAC[Eff Desc 1],0))),"")</f>
        <v/>
      </c>
      <c r="O26" s="909"/>
      <c r="P26" s="909"/>
      <c r="Q26" s="909"/>
      <c r="R26" s="909"/>
      <c r="S26" s="910"/>
      <c r="T26" s="947" t="str">
        <f>IFERROR(IF(C26="","",INDEX(PMGHVAC[Unit of Measure],MATCH(C26,PMGHVAC[Eff Desc 1],0))),"")</f>
        <v/>
      </c>
      <c r="U26" s="948"/>
      <c r="V26" s="871"/>
      <c r="W26" s="872"/>
      <c r="X26" s="832"/>
      <c r="Y26" s="833"/>
      <c r="Z26" s="833"/>
      <c r="AA26" s="834"/>
      <c r="AB26" s="832"/>
      <c r="AC26" s="833"/>
      <c r="AD26" s="834"/>
      <c r="AE26" s="858"/>
      <c r="AF26" s="869"/>
      <c r="AG26" s="858"/>
      <c r="AH26" s="869"/>
      <c r="AI26" s="924" t="str">
        <f>IFERROR(IF(C26="","",INDEX(PMGHVAC[Inc Rate Unit],MATCH(C26,PMGHVAC[Eff Desc 1],0))),"")</f>
        <v/>
      </c>
      <c r="AJ26" s="863"/>
      <c r="AK26" s="998" t="str">
        <f t="shared" ref="AK26" si="12">IF(OR(C26="",V26="",X26="",AB26="",AE26="",AG26=""),"",IF(AND(AV26&lt;1,AV26&gt;0),1,AV26))</f>
        <v/>
      </c>
      <c r="AL26" s="999"/>
      <c r="AM26" s="1000"/>
      <c r="AN26" s="924" t="str">
        <f t="shared" ref="AN26" si="13">IF(OR(C26="",V26="",X26="",AB26="",AE26="",AG26=""),"",IF(BC26&lt;&gt;"",BC26,MIN(AU26,ROUND(V26*AI26,2))))</f>
        <v/>
      </c>
      <c r="AO26" s="925"/>
      <c r="AP26" s="925"/>
      <c r="AQ26" s="863"/>
      <c r="AS26" s="59"/>
      <c r="AT26" s="59"/>
      <c r="AU26" s="808" t="str">
        <f t="shared" ref="AU26" si="14">IF(OR(C26="",N26="",T26="",V26="",X26="",AI26="",AE26="",AB26=""),"",IF(AK26="","",ROUND((AE26+AG26),2)))</f>
        <v/>
      </c>
      <c r="AV26" s="1013" t="str">
        <f>IF(OR(C26="",V26="",X26="",AB26="",AE26="",AG26=""),"",ROUND(V26*INDEX(PMGHVAC[Savings per Unit Therm],MATCH(C26,PMGHVAC[Eff Desc 1],2)),0))</f>
        <v/>
      </c>
      <c r="AW26" s="59"/>
      <c r="BC26" s="825"/>
      <c r="BE26" s="806" t="str">
        <f ca="1">IF(OR(T26="",N26="",C26="",V26="",X26="",AB26="",AE26="",AG26=""),"",IF('M01-S01'!$V$82&lt;TODAY(),0,IF(M02S02F46="Electric Only",0,IF(ISNUMBER(SEARCH("Boiler Tune-Up",C26)),IF(OR(AK26="",AK26&lt;0,AU26&lt;=AN26),0,MIN(AU26-AN26,ROUND(AN26*0.2,2))),0))))</f>
        <v/>
      </c>
    </row>
    <row r="27" spans="2:57" ht="15.95" customHeight="1">
      <c r="B27" s="829"/>
      <c r="C27" s="835"/>
      <c r="D27" s="836"/>
      <c r="E27" s="836"/>
      <c r="F27" s="836"/>
      <c r="G27" s="836"/>
      <c r="H27" s="836"/>
      <c r="I27" s="836"/>
      <c r="J27" s="836"/>
      <c r="K27" s="836"/>
      <c r="L27" s="836"/>
      <c r="M27" s="837"/>
      <c r="N27" s="911"/>
      <c r="O27" s="912"/>
      <c r="P27" s="912"/>
      <c r="Q27" s="912"/>
      <c r="R27" s="912"/>
      <c r="S27" s="913"/>
      <c r="T27" s="949"/>
      <c r="U27" s="950"/>
      <c r="V27" s="848"/>
      <c r="W27" s="849"/>
      <c r="X27" s="835"/>
      <c r="Y27" s="836"/>
      <c r="Z27" s="836"/>
      <c r="AA27" s="837"/>
      <c r="AB27" s="835"/>
      <c r="AC27" s="836"/>
      <c r="AD27" s="837"/>
      <c r="AE27" s="860"/>
      <c r="AF27" s="870"/>
      <c r="AG27" s="860"/>
      <c r="AH27" s="870"/>
      <c r="AI27" s="919"/>
      <c r="AJ27" s="865"/>
      <c r="AK27" s="1001"/>
      <c r="AL27" s="1002"/>
      <c r="AM27" s="1003"/>
      <c r="AN27" s="919"/>
      <c r="AO27" s="926"/>
      <c r="AP27" s="926"/>
      <c r="AQ27" s="865"/>
      <c r="AS27" s="59"/>
      <c r="AT27" s="59"/>
      <c r="AU27" s="809"/>
      <c r="AV27" s="975"/>
      <c r="AW27" s="59"/>
      <c r="BC27" s="826"/>
      <c r="BE27" s="807"/>
    </row>
    <row r="28" spans="2:57" ht="15.95" customHeight="1">
      <c r="B28" s="829">
        <v>7</v>
      </c>
      <c r="C28" s="866"/>
      <c r="D28" s="867"/>
      <c r="E28" s="867"/>
      <c r="F28" s="867"/>
      <c r="G28" s="867"/>
      <c r="H28" s="867"/>
      <c r="I28" s="867"/>
      <c r="J28" s="867"/>
      <c r="K28" s="867"/>
      <c r="L28" s="867"/>
      <c r="M28" s="868"/>
      <c r="N28" s="908" t="str">
        <f>IFERROR(IF(C28="","",INDEX(PMGHVAC[Base Desc 1],MATCH(C28,PMGHVAC[Eff Desc 1],0))),"")</f>
        <v/>
      </c>
      <c r="O28" s="909"/>
      <c r="P28" s="909"/>
      <c r="Q28" s="909"/>
      <c r="R28" s="909"/>
      <c r="S28" s="910"/>
      <c r="T28" s="947" t="str">
        <f>IFERROR(IF(C28="","",INDEX(PMGHVAC[Unit of Measure],MATCH(C28,PMGHVAC[Eff Desc 1],0))),"")</f>
        <v/>
      </c>
      <c r="U28" s="948"/>
      <c r="V28" s="871"/>
      <c r="W28" s="872"/>
      <c r="X28" s="832"/>
      <c r="Y28" s="833"/>
      <c r="Z28" s="833"/>
      <c r="AA28" s="834"/>
      <c r="AB28" s="832"/>
      <c r="AC28" s="833"/>
      <c r="AD28" s="834"/>
      <c r="AE28" s="858"/>
      <c r="AF28" s="869"/>
      <c r="AG28" s="858"/>
      <c r="AH28" s="869"/>
      <c r="AI28" s="924" t="str">
        <f>IFERROR(IF(C28="","",INDEX(PMGHVAC[Inc Rate Unit],MATCH(C28,PMGHVAC[Eff Desc 1],0))),"")</f>
        <v/>
      </c>
      <c r="AJ28" s="863"/>
      <c r="AK28" s="998" t="str">
        <f t="shared" ref="AK28" si="15">IF(OR(C28="",V28="",X28="",AB28="",AE28="",AG28=""),"",IF(AND(AV28&lt;1,AV28&gt;0),1,AV28))</f>
        <v/>
      </c>
      <c r="AL28" s="999"/>
      <c r="AM28" s="1000"/>
      <c r="AN28" s="924" t="str">
        <f t="shared" ref="AN28" si="16">IF(OR(C28="",V28="",X28="",AB28="",AE28="",AG28=""),"",IF(BC28&lt;&gt;"",BC28,MIN(AU28,ROUND(V28*AI28,2))))</f>
        <v/>
      </c>
      <c r="AO28" s="925"/>
      <c r="AP28" s="925"/>
      <c r="AQ28" s="863"/>
      <c r="AS28" s="59"/>
      <c r="AT28" s="59"/>
      <c r="AU28" s="808" t="str">
        <f t="shared" ref="AU28" si="17">IF(OR(C28="",N28="",T28="",V28="",X28="",AI28="",AE28="",AB28=""),"",IF(AK28="","",ROUND((AE28+AG28),2)))</f>
        <v/>
      </c>
      <c r="AV28" s="1013" t="str">
        <f>IF(OR(C28="",V28="",X28="",AB28="",AE28="",AG28=""),"",ROUND(V28*INDEX(PMGHVAC[Savings per Unit Therm],MATCH(C28,PMGHVAC[Eff Desc 1],2)),0))</f>
        <v/>
      </c>
      <c r="AW28" s="59"/>
      <c r="BC28" s="825"/>
      <c r="BE28" s="806" t="str">
        <f ca="1">IF(OR(T28="",N28="",C28="",V28="",X28="",AB28="",AE28="",AG28=""),"",IF('M01-S01'!$V$82&lt;TODAY(),0,IF(M02S02F46="Electric Only",0,IF(ISNUMBER(SEARCH("Boiler Tune-Up",C28)),IF(OR(AK28="",AK28&lt;0,AU28&lt;=AN28),0,MIN(AU28-AN28,ROUND(AN28*0.2,2))),0))))</f>
        <v/>
      </c>
    </row>
    <row r="29" spans="2:57" ht="15.95" customHeight="1">
      <c r="B29" s="829"/>
      <c r="C29" s="835"/>
      <c r="D29" s="836"/>
      <c r="E29" s="836"/>
      <c r="F29" s="836"/>
      <c r="G29" s="836"/>
      <c r="H29" s="836"/>
      <c r="I29" s="836"/>
      <c r="J29" s="836"/>
      <c r="K29" s="836"/>
      <c r="L29" s="836"/>
      <c r="M29" s="837"/>
      <c r="N29" s="911"/>
      <c r="O29" s="912"/>
      <c r="P29" s="912"/>
      <c r="Q29" s="912"/>
      <c r="R29" s="912"/>
      <c r="S29" s="913"/>
      <c r="T29" s="949"/>
      <c r="U29" s="950"/>
      <c r="V29" s="848"/>
      <c r="W29" s="849"/>
      <c r="X29" s="835"/>
      <c r="Y29" s="836"/>
      <c r="Z29" s="836"/>
      <c r="AA29" s="837"/>
      <c r="AB29" s="835"/>
      <c r="AC29" s="836"/>
      <c r="AD29" s="837"/>
      <c r="AE29" s="860"/>
      <c r="AF29" s="870"/>
      <c r="AG29" s="860"/>
      <c r="AH29" s="870"/>
      <c r="AI29" s="919"/>
      <c r="AJ29" s="865"/>
      <c r="AK29" s="1001"/>
      <c r="AL29" s="1002"/>
      <c r="AM29" s="1003"/>
      <c r="AN29" s="919"/>
      <c r="AO29" s="926"/>
      <c r="AP29" s="926"/>
      <c r="AQ29" s="865"/>
      <c r="AS29" s="59"/>
      <c r="AT29" s="59"/>
      <c r="AU29" s="809"/>
      <c r="AV29" s="975"/>
      <c r="AW29" s="59"/>
      <c r="BC29" s="826"/>
      <c r="BE29" s="807"/>
    </row>
    <row r="30" spans="2:57" ht="15.95" customHeight="1">
      <c r="B30" s="829">
        <v>8</v>
      </c>
      <c r="C30" s="866"/>
      <c r="D30" s="867"/>
      <c r="E30" s="867"/>
      <c r="F30" s="867"/>
      <c r="G30" s="867"/>
      <c r="H30" s="867"/>
      <c r="I30" s="867"/>
      <c r="J30" s="867"/>
      <c r="K30" s="867"/>
      <c r="L30" s="867"/>
      <c r="M30" s="868"/>
      <c r="N30" s="908" t="str">
        <f>IFERROR(IF(C30="","",INDEX(PMGHVAC[Base Desc 1],MATCH(C30,PMGHVAC[Eff Desc 1],0))),"")</f>
        <v/>
      </c>
      <c r="O30" s="909"/>
      <c r="P30" s="909"/>
      <c r="Q30" s="909"/>
      <c r="R30" s="909"/>
      <c r="S30" s="910"/>
      <c r="T30" s="947" t="str">
        <f>IFERROR(IF(C30="","",INDEX(PMGHVAC[Unit of Measure],MATCH(C30,PMGHVAC[Eff Desc 1],0))),"")</f>
        <v/>
      </c>
      <c r="U30" s="948"/>
      <c r="V30" s="871"/>
      <c r="W30" s="872"/>
      <c r="X30" s="832"/>
      <c r="Y30" s="833"/>
      <c r="Z30" s="833"/>
      <c r="AA30" s="834"/>
      <c r="AB30" s="832"/>
      <c r="AC30" s="833"/>
      <c r="AD30" s="834"/>
      <c r="AE30" s="858"/>
      <c r="AF30" s="869"/>
      <c r="AG30" s="858"/>
      <c r="AH30" s="869"/>
      <c r="AI30" s="924" t="str">
        <f>IFERROR(IF(C30="","",INDEX(PMGHVAC[Inc Rate Unit],MATCH(C30,PMGHVAC[Eff Desc 1],0))),"")</f>
        <v/>
      </c>
      <c r="AJ30" s="863"/>
      <c r="AK30" s="998" t="str">
        <f t="shared" ref="AK30" si="18">IF(OR(C30="",V30="",X30="",AB30="",AE30="",AG30=""),"",IF(AND(AV30&lt;1,AV30&gt;0),1,AV30))</f>
        <v/>
      </c>
      <c r="AL30" s="999"/>
      <c r="AM30" s="1000"/>
      <c r="AN30" s="924" t="str">
        <f t="shared" ref="AN30" si="19">IF(OR(C30="",V30="",X30="",AB30="",AE30="",AG30=""),"",IF(BC30&lt;&gt;"",BC30,MIN(AU30,ROUND(V30*AI30,2))))</f>
        <v/>
      </c>
      <c r="AO30" s="925"/>
      <c r="AP30" s="925"/>
      <c r="AQ30" s="863"/>
      <c r="AS30" s="59"/>
      <c r="AT30" s="59"/>
      <c r="AU30" s="808" t="str">
        <f t="shared" ref="AU30" si="20">IF(OR(C30="",N30="",T30="",V30="",X30="",AI30="",AE30="",AB30=""),"",IF(AK30="","",ROUND((AE30+AG30),2)))</f>
        <v/>
      </c>
      <c r="AV30" s="1013" t="str">
        <f>IF(OR(C30="",V30="",X30="",AB30="",AE30="",AG30=""),"",ROUND(V30*INDEX(PMGHVAC[Savings per Unit Therm],MATCH(C30,PMGHVAC[Eff Desc 1],2)),0))</f>
        <v/>
      </c>
      <c r="AW30" s="59"/>
      <c r="BC30" s="825"/>
      <c r="BE30" s="806" t="str">
        <f ca="1">IF(OR(T30="",N30="",C30="",V30="",X30="",AB30="",AE30="",AG30=""),"",IF('M01-S01'!$V$82&lt;TODAY(),0,IF(M02S02F46="Electric Only",0,IF(ISNUMBER(SEARCH("Boiler Tune-Up",C30)),IF(OR(AK30="",AK30&lt;0,AU30&lt;=AN30),0,MIN(AU30-AN30,ROUND(AN30*0.2,2))),0))))</f>
        <v/>
      </c>
    </row>
    <row r="31" spans="2:57" ht="15.95" customHeight="1">
      <c r="B31" s="829"/>
      <c r="C31" s="835"/>
      <c r="D31" s="836"/>
      <c r="E31" s="836"/>
      <c r="F31" s="836"/>
      <c r="G31" s="836"/>
      <c r="H31" s="836"/>
      <c r="I31" s="836"/>
      <c r="J31" s="836"/>
      <c r="K31" s="836"/>
      <c r="L31" s="836"/>
      <c r="M31" s="837"/>
      <c r="N31" s="911"/>
      <c r="O31" s="912"/>
      <c r="P31" s="912"/>
      <c r="Q31" s="912"/>
      <c r="R31" s="912"/>
      <c r="S31" s="913"/>
      <c r="T31" s="949"/>
      <c r="U31" s="950"/>
      <c r="V31" s="848"/>
      <c r="W31" s="849"/>
      <c r="X31" s="835"/>
      <c r="Y31" s="836"/>
      <c r="Z31" s="836"/>
      <c r="AA31" s="837"/>
      <c r="AB31" s="835"/>
      <c r="AC31" s="836"/>
      <c r="AD31" s="837"/>
      <c r="AE31" s="860"/>
      <c r="AF31" s="870"/>
      <c r="AG31" s="860"/>
      <c r="AH31" s="870"/>
      <c r="AI31" s="919"/>
      <c r="AJ31" s="865"/>
      <c r="AK31" s="1001"/>
      <c r="AL31" s="1002"/>
      <c r="AM31" s="1003"/>
      <c r="AN31" s="919"/>
      <c r="AO31" s="926"/>
      <c r="AP31" s="926"/>
      <c r="AQ31" s="865"/>
      <c r="AS31" s="59"/>
      <c r="AT31" s="59"/>
      <c r="AU31" s="809"/>
      <c r="AV31" s="975"/>
      <c r="AW31" s="59"/>
      <c r="BC31" s="826"/>
      <c r="BE31" s="807"/>
    </row>
    <row r="32" spans="2:57" ht="15.95" customHeight="1">
      <c r="B32" s="829">
        <v>9</v>
      </c>
      <c r="C32" s="866"/>
      <c r="D32" s="867"/>
      <c r="E32" s="867"/>
      <c r="F32" s="867"/>
      <c r="G32" s="867"/>
      <c r="H32" s="867"/>
      <c r="I32" s="867"/>
      <c r="J32" s="867"/>
      <c r="K32" s="867"/>
      <c r="L32" s="867"/>
      <c r="M32" s="868"/>
      <c r="N32" s="908" t="str">
        <f>IFERROR(IF(C32="","",INDEX(PMGHVAC[Base Desc 1],MATCH(C32,PMGHVAC[Eff Desc 1],0))),"")</f>
        <v/>
      </c>
      <c r="O32" s="909"/>
      <c r="P32" s="909"/>
      <c r="Q32" s="909"/>
      <c r="R32" s="909"/>
      <c r="S32" s="910"/>
      <c r="T32" s="947" t="str">
        <f>IFERROR(IF(C32="","",INDEX(PMGHVAC[Unit of Measure],MATCH(C32,PMGHVAC[Eff Desc 1],0))),"")</f>
        <v/>
      </c>
      <c r="U32" s="948"/>
      <c r="V32" s="871"/>
      <c r="W32" s="872"/>
      <c r="X32" s="832"/>
      <c r="Y32" s="833"/>
      <c r="Z32" s="833"/>
      <c r="AA32" s="834"/>
      <c r="AB32" s="832"/>
      <c r="AC32" s="833"/>
      <c r="AD32" s="834"/>
      <c r="AE32" s="858"/>
      <c r="AF32" s="869"/>
      <c r="AG32" s="858"/>
      <c r="AH32" s="869"/>
      <c r="AI32" s="924" t="str">
        <f>IFERROR(IF(C32="","",INDEX(PMGHVAC[Inc Rate Unit],MATCH(C32,PMGHVAC[Eff Desc 1],0))),"")</f>
        <v/>
      </c>
      <c r="AJ32" s="863"/>
      <c r="AK32" s="998" t="str">
        <f t="shared" ref="AK32" si="21">IF(OR(C32="",V32="",X32="",AB32="",AE32="",AG32=""),"",IF(AND(AV32&lt;1,AV32&gt;0),1,AV32))</f>
        <v/>
      </c>
      <c r="AL32" s="999"/>
      <c r="AM32" s="1000"/>
      <c r="AN32" s="924" t="str">
        <f t="shared" ref="AN32" si="22">IF(OR(C32="",V32="",X32="",AB32="",AE32="",AG32=""),"",IF(BC32&lt;&gt;"",BC32,MIN(AU32,ROUND(V32*AI32,2))))</f>
        <v/>
      </c>
      <c r="AO32" s="925"/>
      <c r="AP32" s="925"/>
      <c r="AQ32" s="863"/>
      <c r="AS32" s="59"/>
      <c r="AT32" s="59"/>
      <c r="AU32" s="808" t="str">
        <f t="shared" ref="AU32" si="23">IF(OR(C32="",N32="",T32="",V32="",X32="",AI32="",AE32="",AB32=""),"",IF(AK32="","",ROUND((AE32+AG32),2)))</f>
        <v/>
      </c>
      <c r="AV32" s="1013" t="str">
        <f>IF(OR(C32="",V32="",X32="",AB32="",AE32="",AG32=""),"",ROUND(V32*INDEX(PMGHVAC[Savings per Unit Therm],MATCH(C32,PMGHVAC[Eff Desc 1],2)),0))</f>
        <v/>
      </c>
      <c r="AW32" s="59"/>
      <c r="BC32" s="825"/>
      <c r="BE32" s="806" t="str">
        <f ca="1">IF(OR(T32="",N32="",C32="",V32="",X32="",AB32="",AE32="",AG32=""),"",IF('M01-S01'!$V$82&lt;TODAY(),0,IF(M02S02F46="Electric Only",0,IF(ISNUMBER(SEARCH("Boiler Tune-Up",C32)),IF(OR(AK32="",AK32&lt;0,AU32&lt;=AN32),0,MIN(AU32-AN32,ROUND(AN32*0.2,2))),0))))</f>
        <v/>
      </c>
    </row>
    <row r="33" spans="2:57" ht="15.95" customHeight="1">
      <c r="B33" s="829"/>
      <c r="C33" s="835"/>
      <c r="D33" s="836"/>
      <c r="E33" s="836"/>
      <c r="F33" s="836"/>
      <c r="G33" s="836"/>
      <c r="H33" s="836"/>
      <c r="I33" s="836"/>
      <c r="J33" s="836"/>
      <c r="K33" s="836"/>
      <c r="L33" s="836"/>
      <c r="M33" s="837"/>
      <c r="N33" s="911"/>
      <c r="O33" s="912"/>
      <c r="P33" s="912"/>
      <c r="Q33" s="912"/>
      <c r="R33" s="912"/>
      <c r="S33" s="913"/>
      <c r="T33" s="949"/>
      <c r="U33" s="950"/>
      <c r="V33" s="848"/>
      <c r="W33" s="849"/>
      <c r="X33" s="835"/>
      <c r="Y33" s="836"/>
      <c r="Z33" s="836"/>
      <c r="AA33" s="837"/>
      <c r="AB33" s="835"/>
      <c r="AC33" s="836"/>
      <c r="AD33" s="837"/>
      <c r="AE33" s="860"/>
      <c r="AF33" s="870"/>
      <c r="AG33" s="860"/>
      <c r="AH33" s="870"/>
      <c r="AI33" s="919"/>
      <c r="AJ33" s="865"/>
      <c r="AK33" s="1001"/>
      <c r="AL33" s="1002"/>
      <c r="AM33" s="1003"/>
      <c r="AN33" s="919"/>
      <c r="AO33" s="926"/>
      <c r="AP33" s="926"/>
      <c r="AQ33" s="865"/>
      <c r="AS33" s="59"/>
      <c r="AT33" s="59"/>
      <c r="AU33" s="809"/>
      <c r="AV33" s="975"/>
      <c r="AW33" s="59"/>
      <c r="BC33" s="826"/>
      <c r="BE33" s="807"/>
    </row>
    <row r="34" spans="2:57" ht="15.75" customHeight="1">
      <c r="B34" s="829">
        <v>10</v>
      </c>
      <c r="C34" s="866"/>
      <c r="D34" s="867"/>
      <c r="E34" s="867"/>
      <c r="F34" s="867"/>
      <c r="G34" s="867"/>
      <c r="H34" s="867"/>
      <c r="I34" s="867"/>
      <c r="J34" s="867"/>
      <c r="K34" s="867"/>
      <c r="L34" s="867"/>
      <c r="M34" s="868"/>
      <c r="N34" s="908" t="str">
        <f>IFERROR(IF(C34="","",INDEX(PMGHVAC[Base Desc 1],MATCH(C34,PMGHVAC[Eff Desc 1],0))),"")</f>
        <v/>
      </c>
      <c r="O34" s="909"/>
      <c r="P34" s="909"/>
      <c r="Q34" s="909"/>
      <c r="R34" s="909"/>
      <c r="S34" s="910"/>
      <c r="T34" s="947" t="str">
        <f>IFERROR(IF(C34="","",INDEX(PMGHVAC[Unit of Measure],MATCH(C34,PMGHVAC[Eff Desc 1],0))),"")</f>
        <v/>
      </c>
      <c r="U34" s="948"/>
      <c r="V34" s="871"/>
      <c r="W34" s="872"/>
      <c r="X34" s="832"/>
      <c r="Y34" s="833"/>
      <c r="Z34" s="833"/>
      <c r="AA34" s="834"/>
      <c r="AB34" s="832"/>
      <c r="AC34" s="833"/>
      <c r="AD34" s="834"/>
      <c r="AE34" s="858"/>
      <c r="AF34" s="869"/>
      <c r="AG34" s="858"/>
      <c r="AH34" s="869"/>
      <c r="AI34" s="924" t="str">
        <f>IFERROR(IF(C34="","",INDEX(PMGHVAC[Inc Rate Unit],MATCH(C34,PMGHVAC[Eff Desc 1],0))),"")</f>
        <v/>
      </c>
      <c r="AJ34" s="863"/>
      <c r="AK34" s="998" t="str">
        <f t="shared" ref="AK34" si="24">IF(OR(C34="",V34="",X34="",AB34="",AE34="",AG34=""),"",IF(AND(AV34&lt;1,AV34&gt;0),1,AV34))</f>
        <v/>
      </c>
      <c r="AL34" s="999"/>
      <c r="AM34" s="1000"/>
      <c r="AN34" s="924" t="str">
        <f t="shared" ref="AN34" si="25">IF(OR(C34="",V34="",X34="",AB34="",AE34="",AG34=""),"",IF(BC34&lt;&gt;"",BC34,MIN(AU34,ROUND(V34*AI34,2))))</f>
        <v/>
      </c>
      <c r="AO34" s="925"/>
      <c r="AP34" s="925"/>
      <c r="AQ34" s="863"/>
      <c r="AS34" s="59"/>
      <c r="AT34" s="59"/>
      <c r="AU34" s="808" t="str">
        <f t="shared" ref="AU34" si="26">IF(OR(C34="",N34="",T34="",V34="",X34="",AI34="",AE34="",AB34=""),"",IF(AK34="","",ROUND((AE34+AG34),2)))</f>
        <v/>
      </c>
      <c r="AV34" s="1013" t="str">
        <f>IF(OR(C34="",V34="",X34="",AB34="",AE34="",AG34=""),"",ROUND(V34*INDEX(PMGHVAC[Savings per Unit Therm],MATCH(C34,PMGHVAC[Eff Desc 1],2)),0))</f>
        <v/>
      </c>
      <c r="AW34" s="59"/>
      <c r="BC34" s="825"/>
      <c r="BE34" s="806" t="str">
        <f ca="1">IF(OR(T34="",N34="",C34="",V34="",X34="",AB34="",AE34="",AG34=""),"",IF('M01-S01'!$V$82&lt;TODAY(),0,IF(M02S02F46="Electric Only",0,IF(ISNUMBER(SEARCH("Boiler Tune-Up",C34)),IF(OR(AK34="",AK34&lt;0,AU34&lt;=AN34),0,MIN(AU34-AN34,ROUND(AN34*0.2,2))),0))))</f>
        <v/>
      </c>
    </row>
    <row r="35" spans="2:57" ht="15.95" customHeight="1">
      <c r="B35" s="829"/>
      <c r="C35" s="835"/>
      <c r="D35" s="836"/>
      <c r="E35" s="836"/>
      <c r="F35" s="836"/>
      <c r="G35" s="836"/>
      <c r="H35" s="836"/>
      <c r="I35" s="836"/>
      <c r="J35" s="836"/>
      <c r="K35" s="836"/>
      <c r="L35" s="836"/>
      <c r="M35" s="837"/>
      <c r="N35" s="911"/>
      <c r="O35" s="912"/>
      <c r="P35" s="912"/>
      <c r="Q35" s="912"/>
      <c r="R35" s="912"/>
      <c r="S35" s="913"/>
      <c r="T35" s="949"/>
      <c r="U35" s="950"/>
      <c r="V35" s="848"/>
      <c r="W35" s="849"/>
      <c r="X35" s="835"/>
      <c r="Y35" s="836"/>
      <c r="Z35" s="836"/>
      <c r="AA35" s="837"/>
      <c r="AB35" s="835"/>
      <c r="AC35" s="836"/>
      <c r="AD35" s="837"/>
      <c r="AE35" s="860"/>
      <c r="AF35" s="870"/>
      <c r="AG35" s="860"/>
      <c r="AH35" s="870"/>
      <c r="AI35" s="919"/>
      <c r="AJ35" s="865"/>
      <c r="AK35" s="1001"/>
      <c r="AL35" s="1002"/>
      <c r="AM35" s="1003"/>
      <c r="AN35" s="919"/>
      <c r="AO35" s="926"/>
      <c r="AP35" s="926"/>
      <c r="AQ35" s="865"/>
      <c r="AS35" s="59"/>
      <c r="AT35" s="59"/>
      <c r="AU35" s="809"/>
      <c r="AV35" s="975"/>
      <c r="AW35" s="59"/>
      <c r="BC35" s="826"/>
      <c r="BE35" s="807"/>
    </row>
    <row r="36" spans="2:57" ht="15.95" customHeight="1">
      <c r="B36" s="923">
        <v>11</v>
      </c>
      <c r="C36" s="866"/>
      <c r="D36" s="867"/>
      <c r="E36" s="867"/>
      <c r="F36" s="867"/>
      <c r="G36" s="867"/>
      <c r="H36" s="867"/>
      <c r="I36" s="867"/>
      <c r="J36" s="867"/>
      <c r="K36" s="867"/>
      <c r="L36" s="867"/>
      <c r="M36" s="868"/>
      <c r="N36" s="908" t="str">
        <f>IFERROR(IF(C36="","",INDEX(PMGHVAC[Base Desc 1],MATCH(C36,PMGHVAC[Eff Desc 1],0))),"")</f>
        <v/>
      </c>
      <c r="O36" s="909"/>
      <c r="P36" s="909"/>
      <c r="Q36" s="909"/>
      <c r="R36" s="909"/>
      <c r="S36" s="910"/>
      <c r="T36" s="947" t="str">
        <f>IFERROR(IF(C36="","",INDEX(PMGHVAC[Unit of Measure],MATCH(C36,PMGHVAC[Eff Desc 1],0))),"")</f>
        <v/>
      </c>
      <c r="U36" s="948"/>
      <c r="V36" s="871"/>
      <c r="W36" s="872"/>
      <c r="X36" s="832"/>
      <c r="Y36" s="833"/>
      <c r="Z36" s="833"/>
      <c r="AA36" s="834"/>
      <c r="AB36" s="832"/>
      <c r="AC36" s="833"/>
      <c r="AD36" s="834"/>
      <c r="AE36" s="858"/>
      <c r="AF36" s="869"/>
      <c r="AG36" s="858"/>
      <c r="AH36" s="869"/>
      <c r="AI36" s="917" t="str">
        <f>IFERROR(IF(C36="","",INDEX(PMGHVAC[Inc Rate Unit],MATCH(C36,PMGHVAC[Eff Desc 1],0))),"")</f>
        <v/>
      </c>
      <c r="AJ36" s="918"/>
      <c r="AK36" s="998" t="str">
        <f>IF(OR(C36="",V36="",X36="",AB36="",AE36="",AG36=""),"",ROUND(V36*INDEX(PMGHVAC[Savings per Unit Therm],MATCH(C36,PMGHVAC[Eff Desc 1],0)),2))</f>
        <v/>
      </c>
      <c r="AL36" s="999"/>
      <c r="AM36" s="999"/>
      <c r="AN36" s="924" t="str">
        <f t="shared" ref="AN36" si="27">IF(OR(C36="",V36="",X36="",AB36="",AE36="",AG36=""),"",IF(BC36&lt;&gt;"",BC36,MIN(AU36,ROUND(V36*AI36,2))))</f>
        <v/>
      </c>
      <c r="AO36" s="925"/>
      <c r="AP36" s="925"/>
      <c r="AQ36" s="863"/>
      <c r="AS36" s="59"/>
      <c r="AT36" s="59"/>
      <c r="AU36" s="808" t="str">
        <f t="shared" ref="AU36" si="28">IF(OR(C36="",V36="",X36="",AB36="",AE36="",AG36=""),"",ROUND((AE36+AG36)*V36,2))</f>
        <v/>
      </c>
      <c r="AV36" s="1013">
        <v>0</v>
      </c>
      <c r="AW36" s="59"/>
      <c r="BC36" s="825"/>
      <c r="BE36" s="806" t="str">
        <f ca="1">IF(OR(T36="",N36="",C36="",V36="",X36="",AB36="",AE36="",AG36=""),"",IF('M01-S01'!$V$82&lt;TODAY(),0,IF(M02S02F46="Electric Only",0,IF(ISNUMBER(SEARCH("Boiler Tune-Up",C36)),IF(OR(AK36="",AK36&lt;0,AU36&lt;=AN36),0,MIN(AU36-AN36,ROUND(AN36*0.2,2))),0))))</f>
        <v/>
      </c>
    </row>
    <row r="37" spans="2:57" ht="15.95" customHeight="1">
      <c r="B37" s="923"/>
      <c r="C37" s="835"/>
      <c r="D37" s="836"/>
      <c r="E37" s="836"/>
      <c r="F37" s="836"/>
      <c r="G37" s="836"/>
      <c r="H37" s="836"/>
      <c r="I37" s="836"/>
      <c r="J37" s="836"/>
      <c r="K37" s="836"/>
      <c r="L37" s="836"/>
      <c r="M37" s="837"/>
      <c r="N37" s="911"/>
      <c r="O37" s="912"/>
      <c r="P37" s="912"/>
      <c r="Q37" s="912"/>
      <c r="R37" s="912"/>
      <c r="S37" s="913"/>
      <c r="T37" s="949"/>
      <c r="U37" s="950"/>
      <c r="V37" s="848"/>
      <c r="W37" s="849"/>
      <c r="X37" s="835"/>
      <c r="Y37" s="836"/>
      <c r="Z37" s="836"/>
      <c r="AA37" s="837"/>
      <c r="AB37" s="835"/>
      <c r="AC37" s="836"/>
      <c r="AD37" s="837"/>
      <c r="AE37" s="860"/>
      <c r="AF37" s="870"/>
      <c r="AG37" s="860"/>
      <c r="AH37" s="870"/>
      <c r="AI37" s="919"/>
      <c r="AJ37" s="865"/>
      <c r="AK37" s="1001"/>
      <c r="AL37" s="1002"/>
      <c r="AM37" s="1002"/>
      <c r="AN37" s="919"/>
      <c r="AO37" s="926"/>
      <c r="AP37" s="926"/>
      <c r="AQ37" s="865"/>
      <c r="AS37" s="59"/>
      <c r="AT37" s="59"/>
      <c r="AU37" s="809"/>
      <c r="AV37" s="975"/>
      <c r="AW37" s="59"/>
      <c r="BC37" s="826"/>
      <c r="BE37" s="807"/>
    </row>
    <row r="38" spans="2:57" ht="15.95" customHeight="1">
      <c r="B38" s="923">
        <v>12</v>
      </c>
      <c r="C38" s="866"/>
      <c r="D38" s="867"/>
      <c r="E38" s="867"/>
      <c r="F38" s="867"/>
      <c r="G38" s="867"/>
      <c r="H38" s="867"/>
      <c r="I38" s="867"/>
      <c r="J38" s="867"/>
      <c r="K38" s="867"/>
      <c r="L38" s="867"/>
      <c r="M38" s="868"/>
      <c r="N38" s="908" t="str">
        <f>IFERROR(IF(C38="","",INDEX(PMGHVAC[Base Desc 1],MATCH(C38,PMGHVAC[Eff Desc 1],0))),"")</f>
        <v/>
      </c>
      <c r="O38" s="909"/>
      <c r="P38" s="909"/>
      <c r="Q38" s="909"/>
      <c r="R38" s="909"/>
      <c r="S38" s="910"/>
      <c r="T38" s="947" t="str">
        <f>IFERROR(IF(C38="","",INDEX(PMGHVAC[Unit of Measure],MATCH(C38,PMGHVAC[Eff Desc 1],0))),"")</f>
        <v/>
      </c>
      <c r="U38" s="948"/>
      <c r="V38" s="871"/>
      <c r="W38" s="872"/>
      <c r="X38" s="832"/>
      <c r="Y38" s="833"/>
      <c r="Z38" s="833"/>
      <c r="AA38" s="834"/>
      <c r="AB38" s="832"/>
      <c r="AC38" s="833"/>
      <c r="AD38" s="834"/>
      <c r="AE38" s="858"/>
      <c r="AF38" s="869"/>
      <c r="AG38" s="858"/>
      <c r="AH38" s="869"/>
      <c r="AI38" s="917" t="str">
        <f>IFERROR(IF(C38="","",INDEX(PMGHVAC[Inc Rate Unit],MATCH(C38,PMGHVAC[Eff Desc 1],0))),"")</f>
        <v/>
      </c>
      <c r="AJ38" s="918"/>
      <c r="AK38" s="998" t="str">
        <f>IF(OR(C38="",V38="",X38="",AB38="",AE38="",AG38=""),"",ROUND(V38*INDEX(PMGHVAC[Savings per Unit Therm],MATCH(C38,PMGHVAC[Eff Desc 1],0)),2))</f>
        <v/>
      </c>
      <c r="AL38" s="999"/>
      <c r="AM38" s="999"/>
      <c r="AN38" s="924" t="str">
        <f t="shared" ref="AN38" si="29">IF(OR(C38="",V38="",X38="",AB38="",AE38="",AG38=""),"",IF(BC38&lt;&gt;"",BC38,MIN(AU38,ROUND(V38*AI38,2))))</f>
        <v/>
      </c>
      <c r="AO38" s="925"/>
      <c r="AP38" s="925"/>
      <c r="AQ38" s="863"/>
      <c r="AS38" s="59"/>
      <c r="AT38" s="59"/>
      <c r="AU38" s="808" t="str">
        <f t="shared" ref="AU38" si="30">IF(OR(C38="",V38="",X38="",AB38="",AE38="",AG38=""),"",ROUND((AE38+AG38)*V38,2))</f>
        <v/>
      </c>
      <c r="AV38" s="1013">
        <v>0</v>
      </c>
      <c r="AW38" s="59"/>
      <c r="BC38" s="825"/>
      <c r="BE38" s="806" t="str">
        <f ca="1">IF(OR(T38="",N38="",C38="",V38="",X38="",AB38="",AE38="",AG38=""),"",IF('M01-S01'!$V$82&lt;TODAY(),0,IF(M02S02F46="Electric Only",0,IF(ISNUMBER(SEARCH("Boiler Tune-Up",C38)),IF(OR(AK38="",AK38&lt;0,AU38&lt;=AN38),0,MIN(AU38-AN38,ROUND(AN38*0.2,2))),0))))</f>
        <v/>
      </c>
    </row>
    <row r="39" spans="2:57" ht="15.95" customHeight="1">
      <c r="B39" s="923"/>
      <c r="C39" s="835"/>
      <c r="D39" s="836"/>
      <c r="E39" s="836"/>
      <c r="F39" s="836"/>
      <c r="G39" s="836"/>
      <c r="H39" s="836"/>
      <c r="I39" s="836"/>
      <c r="J39" s="836"/>
      <c r="K39" s="836"/>
      <c r="L39" s="836"/>
      <c r="M39" s="837"/>
      <c r="N39" s="911"/>
      <c r="O39" s="912"/>
      <c r="P39" s="912"/>
      <c r="Q39" s="912"/>
      <c r="R39" s="912"/>
      <c r="S39" s="913"/>
      <c r="T39" s="949"/>
      <c r="U39" s="950"/>
      <c r="V39" s="848"/>
      <c r="W39" s="849"/>
      <c r="X39" s="835"/>
      <c r="Y39" s="836"/>
      <c r="Z39" s="836"/>
      <c r="AA39" s="837"/>
      <c r="AB39" s="835"/>
      <c r="AC39" s="836"/>
      <c r="AD39" s="837"/>
      <c r="AE39" s="860"/>
      <c r="AF39" s="870"/>
      <c r="AG39" s="860"/>
      <c r="AH39" s="870"/>
      <c r="AI39" s="919"/>
      <c r="AJ39" s="865"/>
      <c r="AK39" s="1001"/>
      <c r="AL39" s="1002"/>
      <c r="AM39" s="1002"/>
      <c r="AN39" s="919"/>
      <c r="AO39" s="926"/>
      <c r="AP39" s="926"/>
      <c r="AQ39" s="865"/>
      <c r="AS39" s="59"/>
      <c r="AT39" s="59"/>
      <c r="AU39" s="809"/>
      <c r="AV39" s="975"/>
      <c r="AW39" s="59"/>
      <c r="BC39" s="826"/>
      <c r="BE39" s="807"/>
    </row>
    <row r="40" spans="2:57" ht="15.95" customHeight="1">
      <c r="B40" s="923">
        <v>13</v>
      </c>
      <c r="C40" s="866"/>
      <c r="D40" s="867"/>
      <c r="E40" s="867"/>
      <c r="F40" s="867"/>
      <c r="G40" s="867"/>
      <c r="H40" s="867"/>
      <c r="I40" s="867"/>
      <c r="J40" s="867"/>
      <c r="K40" s="867"/>
      <c r="L40" s="867"/>
      <c r="M40" s="868"/>
      <c r="N40" s="908" t="str">
        <f>IFERROR(IF(C40="","",INDEX(PMGHVAC[Base Desc 1],MATCH(C40,PMGHVAC[Eff Desc 1],0))),"")</f>
        <v/>
      </c>
      <c r="O40" s="909"/>
      <c r="P40" s="909"/>
      <c r="Q40" s="909"/>
      <c r="R40" s="909"/>
      <c r="S40" s="910"/>
      <c r="T40" s="947" t="str">
        <f>IFERROR(IF(C40="","",INDEX(PMGHVAC[Unit of Measure],MATCH(C40,PMGHVAC[Eff Desc 1],0))),"")</f>
        <v/>
      </c>
      <c r="U40" s="948"/>
      <c r="V40" s="871"/>
      <c r="W40" s="872"/>
      <c r="X40" s="832"/>
      <c r="Y40" s="833"/>
      <c r="Z40" s="833"/>
      <c r="AA40" s="834"/>
      <c r="AB40" s="832"/>
      <c r="AC40" s="833"/>
      <c r="AD40" s="834"/>
      <c r="AE40" s="858"/>
      <c r="AF40" s="869"/>
      <c r="AG40" s="858"/>
      <c r="AH40" s="869"/>
      <c r="AI40" s="917" t="str">
        <f>IFERROR(IF(C40="","",INDEX(PMGHVAC[Inc Rate Unit],MATCH(C40,PMGHVAC[Eff Desc 1],0))),"")</f>
        <v/>
      </c>
      <c r="AJ40" s="918"/>
      <c r="AK40" s="998" t="str">
        <f>IF(OR(C40="",V40="",X40="",AB40="",AE40="",AG40=""),"",ROUND(V40*INDEX(PMGHVAC[Savings per Unit Therm],MATCH(C40,PMGHVAC[Eff Desc 1],0)),2))</f>
        <v/>
      </c>
      <c r="AL40" s="999"/>
      <c r="AM40" s="999"/>
      <c r="AN40" s="924" t="str">
        <f t="shared" ref="AN40" si="31">IF(OR(C40="",V40="",X40="",AB40="",AE40="",AG40=""),"",IF(BC40&lt;&gt;"",BC40,MIN(AU40,ROUND(V40*AI40,2))))</f>
        <v/>
      </c>
      <c r="AO40" s="925"/>
      <c r="AP40" s="925"/>
      <c r="AQ40" s="863"/>
      <c r="AS40" s="59"/>
      <c r="AT40" s="59"/>
      <c r="AU40" s="808" t="str">
        <f t="shared" ref="AU40" si="32">IF(OR(C40="",V40="",X40="",AB40="",AE40="",AG40=""),"",ROUND((AE40+AG40)*V40,2))</f>
        <v/>
      </c>
      <c r="AV40" s="1013">
        <v>0</v>
      </c>
      <c r="AW40" s="59"/>
      <c r="BC40" s="825"/>
      <c r="BE40" s="806" t="str">
        <f ca="1">IF(OR(T40="",N40="",C40="",V40="",X40="",AB40="",AE40="",AG40=""),"",IF('M01-S01'!$V$82&lt;TODAY(),0,IF(M02S02F46="Electric Only",0,IF(ISNUMBER(SEARCH("Boiler Tune-Up",C40)),IF(OR(AK40="",AK40&lt;0,AU40&lt;=AN40),0,MIN(AU40-AN40,ROUND(AN40*0.2,2))),0))))</f>
        <v/>
      </c>
    </row>
    <row r="41" spans="2:57" ht="15.95" customHeight="1">
      <c r="B41" s="923"/>
      <c r="C41" s="835"/>
      <c r="D41" s="836"/>
      <c r="E41" s="836"/>
      <c r="F41" s="836"/>
      <c r="G41" s="836"/>
      <c r="H41" s="836"/>
      <c r="I41" s="836"/>
      <c r="J41" s="836"/>
      <c r="K41" s="836"/>
      <c r="L41" s="836"/>
      <c r="M41" s="837"/>
      <c r="N41" s="911"/>
      <c r="O41" s="912"/>
      <c r="P41" s="912"/>
      <c r="Q41" s="912"/>
      <c r="R41" s="912"/>
      <c r="S41" s="913"/>
      <c r="T41" s="949"/>
      <c r="U41" s="950"/>
      <c r="V41" s="848"/>
      <c r="W41" s="849"/>
      <c r="X41" s="835"/>
      <c r="Y41" s="836"/>
      <c r="Z41" s="836"/>
      <c r="AA41" s="837"/>
      <c r="AB41" s="835"/>
      <c r="AC41" s="836"/>
      <c r="AD41" s="837"/>
      <c r="AE41" s="860"/>
      <c r="AF41" s="870"/>
      <c r="AG41" s="860"/>
      <c r="AH41" s="870"/>
      <c r="AI41" s="919"/>
      <c r="AJ41" s="865"/>
      <c r="AK41" s="1001"/>
      <c r="AL41" s="1002"/>
      <c r="AM41" s="1002"/>
      <c r="AN41" s="919"/>
      <c r="AO41" s="926"/>
      <c r="AP41" s="926"/>
      <c r="AQ41" s="865"/>
      <c r="AS41" s="59"/>
      <c r="AT41" s="59"/>
      <c r="AU41" s="809"/>
      <c r="AV41" s="975"/>
      <c r="AW41" s="59"/>
      <c r="BC41" s="826"/>
      <c r="BE41" s="807"/>
    </row>
    <row r="42" spans="2:57" ht="15.95" customHeight="1">
      <c r="B42" s="923">
        <v>14</v>
      </c>
      <c r="C42" s="866"/>
      <c r="D42" s="867"/>
      <c r="E42" s="867"/>
      <c r="F42" s="867"/>
      <c r="G42" s="867"/>
      <c r="H42" s="867"/>
      <c r="I42" s="867"/>
      <c r="J42" s="867"/>
      <c r="K42" s="867"/>
      <c r="L42" s="867"/>
      <c r="M42" s="868"/>
      <c r="N42" s="908" t="str">
        <f>IFERROR(IF(C42="","",INDEX(PMGHVAC[Base Desc 1],MATCH(C42,PMGHVAC[Eff Desc 1],0))),"")</f>
        <v/>
      </c>
      <c r="O42" s="909"/>
      <c r="P42" s="909"/>
      <c r="Q42" s="909"/>
      <c r="R42" s="909"/>
      <c r="S42" s="910"/>
      <c r="T42" s="947" t="str">
        <f>IFERROR(IF(C42="","",INDEX(PMGHVAC[Unit of Measure],MATCH(C42,PMGHVAC[Eff Desc 1],0))),"")</f>
        <v/>
      </c>
      <c r="U42" s="948"/>
      <c r="V42" s="871"/>
      <c r="W42" s="872"/>
      <c r="X42" s="832"/>
      <c r="Y42" s="833"/>
      <c r="Z42" s="833"/>
      <c r="AA42" s="834"/>
      <c r="AB42" s="832"/>
      <c r="AC42" s="833"/>
      <c r="AD42" s="834"/>
      <c r="AE42" s="858"/>
      <c r="AF42" s="869"/>
      <c r="AG42" s="858"/>
      <c r="AH42" s="869"/>
      <c r="AI42" s="917" t="str">
        <f>IFERROR(IF(C42="","",INDEX(PMGHVAC[Inc Rate Unit],MATCH(C42,PMGHVAC[Eff Desc 1],0))),"")</f>
        <v/>
      </c>
      <c r="AJ42" s="918"/>
      <c r="AK42" s="998" t="str">
        <f>IF(OR(C42="",V42="",X42="",AB42="",AE42="",AG42=""),"",ROUND(V42*INDEX(PMGHVAC[Savings per Unit Therm],MATCH(C42,PMGHVAC[Eff Desc 1],0)),2))</f>
        <v/>
      </c>
      <c r="AL42" s="999"/>
      <c r="AM42" s="999"/>
      <c r="AN42" s="924" t="str">
        <f t="shared" ref="AN42" si="33">IF(OR(C42="",V42="",X42="",AB42="",AE42="",AG42=""),"",IF(BC42&lt;&gt;"",BC42,MIN(AU42,ROUND(V42*AI42,2))))</f>
        <v/>
      </c>
      <c r="AO42" s="925"/>
      <c r="AP42" s="925"/>
      <c r="AQ42" s="863"/>
      <c r="AS42" s="59"/>
      <c r="AT42" s="59"/>
      <c r="AU42" s="808" t="str">
        <f t="shared" ref="AU42" si="34">IF(OR(C42="",V42="",X42="",AB42="",AE42="",AG42=""),"",ROUND((AE42+AG42)*V42,2))</f>
        <v/>
      </c>
      <c r="AV42" s="1013">
        <v>0</v>
      </c>
      <c r="AW42" s="59"/>
      <c r="BC42" s="825"/>
      <c r="BE42" s="806" t="str">
        <f ca="1">IF(OR(T42="",N42="",C42="",V42="",X42="",AB42="",AE42="",AG42=""),"",IF('M01-S01'!$V$82&lt;TODAY(),0,IF(M02S02F46="Electric Only",0,IF(ISNUMBER(SEARCH("Boiler Tune-Up",C42)),IF(OR(AK42="",AK42&lt;0,AU42&lt;=AN42),0,MIN(AU42-AN42,ROUND(AN42*0.2,2))),0))))</f>
        <v/>
      </c>
    </row>
    <row r="43" spans="2:57" ht="15.95" customHeight="1">
      <c r="B43" s="923"/>
      <c r="C43" s="835"/>
      <c r="D43" s="836"/>
      <c r="E43" s="836"/>
      <c r="F43" s="836"/>
      <c r="G43" s="836"/>
      <c r="H43" s="836"/>
      <c r="I43" s="836"/>
      <c r="J43" s="836"/>
      <c r="K43" s="836"/>
      <c r="L43" s="836"/>
      <c r="M43" s="837"/>
      <c r="N43" s="911"/>
      <c r="O43" s="912"/>
      <c r="P43" s="912"/>
      <c r="Q43" s="912"/>
      <c r="R43" s="912"/>
      <c r="S43" s="913"/>
      <c r="T43" s="949"/>
      <c r="U43" s="950"/>
      <c r="V43" s="848"/>
      <c r="W43" s="849"/>
      <c r="X43" s="835"/>
      <c r="Y43" s="836"/>
      <c r="Z43" s="836"/>
      <c r="AA43" s="837"/>
      <c r="AB43" s="835"/>
      <c r="AC43" s="836"/>
      <c r="AD43" s="837"/>
      <c r="AE43" s="860"/>
      <c r="AF43" s="870"/>
      <c r="AG43" s="860"/>
      <c r="AH43" s="870"/>
      <c r="AI43" s="919"/>
      <c r="AJ43" s="865"/>
      <c r="AK43" s="1001"/>
      <c r="AL43" s="1002"/>
      <c r="AM43" s="1002"/>
      <c r="AN43" s="919"/>
      <c r="AO43" s="926"/>
      <c r="AP43" s="926"/>
      <c r="AQ43" s="865"/>
      <c r="AS43" s="59"/>
      <c r="AT43" s="59"/>
      <c r="AU43" s="809"/>
      <c r="AV43" s="975"/>
      <c r="AW43" s="59"/>
      <c r="BC43" s="826"/>
      <c r="BE43" s="807"/>
    </row>
    <row r="44" spans="2:57" ht="15.95" customHeight="1">
      <c r="B44" s="923">
        <v>15</v>
      </c>
      <c r="C44" s="866"/>
      <c r="D44" s="867"/>
      <c r="E44" s="867"/>
      <c r="F44" s="867"/>
      <c r="G44" s="867"/>
      <c r="H44" s="867"/>
      <c r="I44" s="867"/>
      <c r="J44" s="867"/>
      <c r="K44" s="867"/>
      <c r="L44" s="867"/>
      <c r="M44" s="868"/>
      <c r="N44" s="908" t="str">
        <f>IFERROR(IF(C44="","",INDEX(PMGHVAC[Base Desc 1],MATCH(C44,PMGHVAC[Eff Desc 1],0))),"")</f>
        <v/>
      </c>
      <c r="O44" s="909"/>
      <c r="P44" s="909"/>
      <c r="Q44" s="909"/>
      <c r="R44" s="909"/>
      <c r="S44" s="910"/>
      <c r="T44" s="947" t="str">
        <f>IFERROR(IF(C44="","",INDEX(PMGHVAC[Unit of Measure],MATCH(C44,PMGHVAC[Eff Desc 1],0))),"")</f>
        <v/>
      </c>
      <c r="U44" s="948"/>
      <c r="V44" s="871"/>
      <c r="W44" s="872"/>
      <c r="X44" s="832"/>
      <c r="Y44" s="833"/>
      <c r="Z44" s="833"/>
      <c r="AA44" s="834"/>
      <c r="AB44" s="832"/>
      <c r="AC44" s="833"/>
      <c r="AD44" s="834"/>
      <c r="AE44" s="858"/>
      <c r="AF44" s="869"/>
      <c r="AG44" s="858"/>
      <c r="AH44" s="869"/>
      <c r="AI44" s="917" t="str">
        <f>IFERROR(IF(C44="","",INDEX(PMGHVAC[Inc Rate Unit],MATCH(C44,PMGHVAC[Eff Desc 1],0))),"")</f>
        <v/>
      </c>
      <c r="AJ44" s="918"/>
      <c r="AK44" s="998" t="str">
        <f>IF(OR(C44="",V44="",X44="",AB44="",AE44="",AG44=""),"",ROUND(V44*INDEX(PMGHVAC[Savings per Unit Therm],MATCH(C44,PMGHVAC[Eff Desc 1],0)),2))</f>
        <v/>
      </c>
      <c r="AL44" s="999"/>
      <c r="AM44" s="999"/>
      <c r="AN44" s="924" t="str">
        <f t="shared" ref="AN44" si="35">IF(OR(C44="",V44="",X44="",AB44="",AE44="",AG44=""),"",IF(BC44&lt;&gt;"",BC44,MIN(AU44,ROUND(V44*AI44,2))))</f>
        <v/>
      </c>
      <c r="AO44" s="925"/>
      <c r="AP44" s="925"/>
      <c r="AQ44" s="863"/>
      <c r="AS44" s="59"/>
      <c r="AT44" s="59"/>
      <c r="AU44" s="808" t="str">
        <f t="shared" ref="AU44" si="36">IF(OR(C44="",V44="",X44="",AB44="",AE44="",AG44=""),"",ROUND((AE44+AG44)*V44,2))</f>
        <v/>
      </c>
      <c r="AV44" s="1013">
        <v>0</v>
      </c>
      <c r="AW44" s="59"/>
      <c r="BC44" s="825"/>
      <c r="BE44" s="806" t="str">
        <f ca="1">IF(OR(T44="",N44="",C44="",V44="",X44="",AB44="",AE44="",AG44=""),"",IF('M01-S01'!$V$82&lt;TODAY(),0,IF(M02S02F46="Electric Only",0,IF(ISNUMBER(SEARCH("Boiler Tune-Up",C44)),IF(OR(AK44="",AK44&lt;0,AU44&lt;=AN44),0,MIN(AU44-AN44,ROUND(AN44*0.2,2))),0))))</f>
        <v/>
      </c>
    </row>
    <row r="45" spans="2:57" ht="15.95" customHeight="1">
      <c r="B45" s="923"/>
      <c r="C45" s="835"/>
      <c r="D45" s="836"/>
      <c r="E45" s="836"/>
      <c r="F45" s="836"/>
      <c r="G45" s="836"/>
      <c r="H45" s="836"/>
      <c r="I45" s="836"/>
      <c r="J45" s="836"/>
      <c r="K45" s="836"/>
      <c r="L45" s="836"/>
      <c r="M45" s="837"/>
      <c r="N45" s="911"/>
      <c r="O45" s="912"/>
      <c r="P45" s="912"/>
      <c r="Q45" s="912"/>
      <c r="R45" s="912"/>
      <c r="S45" s="913"/>
      <c r="T45" s="949"/>
      <c r="U45" s="950"/>
      <c r="V45" s="848"/>
      <c r="W45" s="849"/>
      <c r="X45" s="835"/>
      <c r="Y45" s="836"/>
      <c r="Z45" s="836"/>
      <c r="AA45" s="837"/>
      <c r="AB45" s="835"/>
      <c r="AC45" s="836"/>
      <c r="AD45" s="837"/>
      <c r="AE45" s="860"/>
      <c r="AF45" s="870"/>
      <c r="AG45" s="860"/>
      <c r="AH45" s="870"/>
      <c r="AI45" s="919"/>
      <c r="AJ45" s="865"/>
      <c r="AK45" s="1001"/>
      <c r="AL45" s="1002"/>
      <c r="AM45" s="1002"/>
      <c r="AN45" s="919"/>
      <c r="AO45" s="926"/>
      <c r="AP45" s="926"/>
      <c r="AQ45" s="865"/>
      <c r="AS45" s="59"/>
      <c r="AT45" s="59"/>
      <c r="AU45" s="809"/>
      <c r="AV45" s="975"/>
      <c r="AW45" s="59"/>
      <c r="BC45" s="826"/>
      <c r="BE45" s="807"/>
    </row>
    <row r="46" spans="2:57" ht="15.95" hidden="1" customHeight="1">
      <c r="B46" s="923">
        <v>16</v>
      </c>
      <c r="C46" s="866"/>
      <c r="D46" s="867"/>
      <c r="E46" s="867"/>
      <c r="F46" s="867"/>
      <c r="G46" s="867"/>
      <c r="H46" s="867"/>
      <c r="I46" s="867"/>
      <c r="J46" s="867"/>
      <c r="K46" s="867"/>
      <c r="L46" s="867"/>
      <c r="M46" s="868"/>
      <c r="N46" s="908" t="str">
        <f>IFERROR(IF(C46="","",INDEX(PMGHVAC[Base Desc 1],MATCH(C46,PMGHVAC[Eff Desc 1],0))),"")</f>
        <v/>
      </c>
      <c r="O46" s="909"/>
      <c r="P46" s="909"/>
      <c r="Q46" s="909"/>
      <c r="R46" s="909"/>
      <c r="S46" s="910"/>
      <c r="T46" s="947" t="str">
        <f>IFERROR(IF(C46="","",INDEX(PMGHVAC[Unit of Measure],MATCH(C46,PMGHVAC[Eff Desc 1],0))),"")</f>
        <v/>
      </c>
      <c r="U46" s="948"/>
      <c r="V46" s="871"/>
      <c r="W46" s="872"/>
      <c r="X46" s="832"/>
      <c r="Y46" s="833"/>
      <c r="Z46" s="833"/>
      <c r="AA46" s="834"/>
      <c r="AB46" s="832"/>
      <c r="AC46" s="833"/>
      <c r="AD46" s="834"/>
      <c r="AE46" s="858"/>
      <c r="AF46" s="869"/>
      <c r="AG46" s="858"/>
      <c r="AH46" s="869"/>
      <c r="AI46" s="917" t="str">
        <f>IFERROR(IF(C46="","",INDEX(PMGHVAC[Inc Rate Unit],MATCH(C46,PMGHVAC[Eff Desc 1],0))),"")</f>
        <v/>
      </c>
      <c r="AJ46" s="918"/>
      <c r="AK46" s="998" t="str">
        <f>IF(OR(C46="",V46="",X46="",AB46="",AE46="",AG46=""),"",ROUND(V46*INDEX(PMGHVAC[Savings per Unit Therm],MATCH(C46,PMGHVAC[Eff Desc 1],0)),2))</f>
        <v/>
      </c>
      <c r="AL46" s="999"/>
      <c r="AM46" s="999"/>
      <c r="AN46" s="924" t="str">
        <f t="shared" ref="AN46" si="37">IF(OR(C46="",V46="",X46="",AB46="",AE46="",AG46=""),"",IF(BC46&lt;&gt;"",BC46,MIN(AU46,ROUND(V46*AI46,2))))</f>
        <v/>
      </c>
      <c r="AO46" s="925"/>
      <c r="AP46" s="925"/>
      <c r="AQ46" s="863"/>
      <c r="AS46" s="59"/>
      <c r="AT46" s="59"/>
      <c r="AU46" s="808" t="str">
        <f t="shared" ref="AU46" si="38">IF(OR(C46="",V46="",X46="",AB46="",AE46="",AG46=""),"",ROUND((AE46+AG46)*V46,2))</f>
        <v/>
      </c>
      <c r="AW46" s="59"/>
      <c r="BC46" s="825"/>
    </row>
    <row r="47" spans="2:57" ht="15.95" hidden="1" customHeight="1">
      <c r="B47" s="923"/>
      <c r="C47" s="835"/>
      <c r="D47" s="836"/>
      <c r="E47" s="836"/>
      <c r="F47" s="836"/>
      <c r="G47" s="836"/>
      <c r="H47" s="836"/>
      <c r="I47" s="836"/>
      <c r="J47" s="836"/>
      <c r="K47" s="836"/>
      <c r="L47" s="836"/>
      <c r="M47" s="837"/>
      <c r="N47" s="911"/>
      <c r="O47" s="912"/>
      <c r="P47" s="912"/>
      <c r="Q47" s="912"/>
      <c r="R47" s="912"/>
      <c r="S47" s="913"/>
      <c r="T47" s="949"/>
      <c r="U47" s="950"/>
      <c r="V47" s="848"/>
      <c r="W47" s="849"/>
      <c r="X47" s="835"/>
      <c r="Y47" s="836"/>
      <c r="Z47" s="836"/>
      <c r="AA47" s="837"/>
      <c r="AB47" s="835"/>
      <c r="AC47" s="836"/>
      <c r="AD47" s="837"/>
      <c r="AE47" s="860"/>
      <c r="AF47" s="870"/>
      <c r="AG47" s="860"/>
      <c r="AH47" s="870"/>
      <c r="AI47" s="919"/>
      <c r="AJ47" s="865"/>
      <c r="AK47" s="1001"/>
      <c r="AL47" s="1002"/>
      <c r="AM47" s="1002"/>
      <c r="AN47" s="919"/>
      <c r="AO47" s="926"/>
      <c r="AP47" s="926"/>
      <c r="AQ47" s="865"/>
      <c r="AS47" s="59"/>
      <c r="AT47" s="59"/>
      <c r="AU47" s="809"/>
      <c r="AW47" s="59"/>
      <c r="BC47" s="826"/>
    </row>
    <row r="48" spans="2:57" ht="15.95" hidden="1" customHeight="1">
      <c r="B48" s="923">
        <v>17</v>
      </c>
      <c r="C48" s="866"/>
      <c r="D48" s="867"/>
      <c r="E48" s="867"/>
      <c r="F48" s="867"/>
      <c r="G48" s="867"/>
      <c r="H48" s="867"/>
      <c r="I48" s="867"/>
      <c r="J48" s="867"/>
      <c r="K48" s="867"/>
      <c r="L48" s="867"/>
      <c r="M48" s="868"/>
      <c r="N48" s="908" t="str">
        <f>IFERROR(IF(C48="","",INDEX(PMGHVAC[Base Desc 1],MATCH(C48,PMGHVAC[Eff Desc 1],0))),"")</f>
        <v/>
      </c>
      <c r="O48" s="909"/>
      <c r="P48" s="909"/>
      <c r="Q48" s="909"/>
      <c r="R48" s="909"/>
      <c r="S48" s="910"/>
      <c r="T48" s="947" t="str">
        <f>IFERROR(IF(C48="","",INDEX(PMGHVAC[Unit of Measure],MATCH(C48,PMGHVAC[Eff Desc 1],0))),"")</f>
        <v/>
      </c>
      <c r="U48" s="948"/>
      <c r="V48" s="871"/>
      <c r="W48" s="872"/>
      <c r="X48" s="832"/>
      <c r="Y48" s="833"/>
      <c r="Z48" s="833"/>
      <c r="AA48" s="834"/>
      <c r="AB48" s="832"/>
      <c r="AC48" s="833"/>
      <c r="AD48" s="834"/>
      <c r="AE48" s="858"/>
      <c r="AF48" s="869"/>
      <c r="AG48" s="858"/>
      <c r="AH48" s="869"/>
      <c r="AI48" s="917" t="str">
        <f>IFERROR(IF(C48="","",INDEX(PMGHVAC[Inc Rate Unit],MATCH(C48,PMGHVAC[Eff Desc 1],0))),"")</f>
        <v/>
      </c>
      <c r="AJ48" s="918"/>
      <c r="AK48" s="998" t="str">
        <f>IF(OR(C48="",V48="",X48="",AB48="",AE48="",AG48=""),"",ROUND(V48*INDEX(PMGHVAC[Savings per Unit Therm],MATCH(C48,PMGHVAC[Eff Desc 1],0)),2))</f>
        <v/>
      </c>
      <c r="AL48" s="999"/>
      <c r="AM48" s="999"/>
      <c r="AN48" s="924" t="str">
        <f t="shared" ref="AN48" si="39">IF(OR(C48="",V48="",X48="",AB48="",AE48="",AG48=""),"",IF(BC48&lt;&gt;"",BC48,MIN(AU48,ROUND(V48*AI48,2))))</f>
        <v/>
      </c>
      <c r="AO48" s="925"/>
      <c r="AP48" s="925"/>
      <c r="AQ48" s="863"/>
      <c r="AS48" s="59"/>
      <c r="AT48" s="59"/>
      <c r="AU48" s="808" t="str">
        <f t="shared" ref="AU48" si="40">IF(OR(C48="",V48="",X48="",AB48="",AE48="",AG48=""),"",ROUND((AE48+AG48)*V48,2))</f>
        <v/>
      </c>
      <c r="AW48" s="59"/>
      <c r="BC48" s="825"/>
    </row>
    <row r="49" spans="2:55" ht="15.95" hidden="1" customHeight="1">
      <c r="B49" s="923"/>
      <c r="C49" s="835"/>
      <c r="D49" s="836"/>
      <c r="E49" s="836"/>
      <c r="F49" s="836"/>
      <c r="G49" s="836"/>
      <c r="H49" s="836"/>
      <c r="I49" s="836"/>
      <c r="J49" s="836"/>
      <c r="K49" s="836"/>
      <c r="L49" s="836"/>
      <c r="M49" s="837"/>
      <c r="N49" s="911"/>
      <c r="O49" s="912"/>
      <c r="P49" s="912"/>
      <c r="Q49" s="912"/>
      <c r="R49" s="912"/>
      <c r="S49" s="913"/>
      <c r="T49" s="949"/>
      <c r="U49" s="950"/>
      <c r="V49" s="848"/>
      <c r="W49" s="849"/>
      <c r="X49" s="835"/>
      <c r="Y49" s="836"/>
      <c r="Z49" s="836"/>
      <c r="AA49" s="837"/>
      <c r="AB49" s="835"/>
      <c r="AC49" s="836"/>
      <c r="AD49" s="837"/>
      <c r="AE49" s="860"/>
      <c r="AF49" s="870"/>
      <c r="AG49" s="860"/>
      <c r="AH49" s="870"/>
      <c r="AI49" s="919"/>
      <c r="AJ49" s="865"/>
      <c r="AK49" s="1001"/>
      <c r="AL49" s="1002"/>
      <c r="AM49" s="1002"/>
      <c r="AN49" s="919"/>
      <c r="AO49" s="926"/>
      <c r="AP49" s="926"/>
      <c r="AQ49" s="865"/>
      <c r="AS49" s="59"/>
      <c r="AT49" s="59"/>
      <c r="AU49" s="809"/>
      <c r="AW49" s="59"/>
      <c r="BC49" s="826"/>
    </row>
    <row r="50" spans="2:55" ht="15.95" hidden="1" customHeight="1">
      <c r="B50" s="923">
        <v>18</v>
      </c>
      <c r="C50" s="866"/>
      <c r="D50" s="867"/>
      <c r="E50" s="867"/>
      <c r="F50" s="867"/>
      <c r="G50" s="867"/>
      <c r="H50" s="867"/>
      <c r="I50" s="867"/>
      <c r="J50" s="867"/>
      <c r="K50" s="867"/>
      <c r="L50" s="867"/>
      <c r="M50" s="868"/>
      <c r="N50" s="908" t="str">
        <f>IFERROR(IF(C50="","",INDEX(PMGHVAC[Base Desc 1],MATCH(C50,PMGHVAC[Eff Desc 1],0))),"")</f>
        <v/>
      </c>
      <c r="O50" s="909"/>
      <c r="P50" s="909"/>
      <c r="Q50" s="909"/>
      <c r="R50" s="909"/>
      <c r="S50" s="910"/>
      <c r="T50" s="947" t="str">
        <f>IFERROR(IF(C50="","",INDEX(PMGHVAC[Unit of Measure],MATCH(C50,PMGHVAC[Eff Desc 1],0))),"")</f>
        <v/>
      </c>
      <c r="U50" s="948"/>
      <c r="V50" s="871"/>
      <c r="W50" s="872"/>
      <c r="X50" s="832"/>
      <c r="Y50" s="833"/>
      <c r="Z50" s="833"/>
      <c r="AA50" s="834"/>
      <c r="AB50" s="832"/>
      <c r="AC50" s="833"/>
      <c r="AD50" s="834"/>
      <c r="AE50" s="858"/>
      <c r="AF50" s="869"/>
      <c r="AG50" s="858"/>
      <c r="AH50" s="869"/>
      <c r="AI50" s="917" t="str">
        <f>IFERROR(IF(C50="","",INDEX(PMGHVAC[Inc Rate Unit],MATCH(C50,PMGHVAC[Eff Desc 1],0))),"")</f>
        <v/>
      </c>
      <c r="AJ50" s="918"/>
      <c r="AK50" s="998" t="str">
        <f>IF(OR(C50="",V50="",X50="",AB50="",AE50="",AG50=""),"",ROUND(V50*INDEX(PMGHVAC[Savings per Unit Therm],MATCH(C50,PMGHVAC[Eff Desc 1],0)),2))</f>
        <v/>
      </c>
      <c r="AL50" s="999"/>
      <c r="AM50" s="999"/>
      <c r="AN50" s="924" t="str">
        <f t="shared" ref="AN50" si="41">IF(OR(C50="",V50="",X50="",AB50="",AE50="",AG50=""),"",IF(BC50&lt;&gt;"",BC50,MIN(AU50,ROUND(V50*AI50,2))))</f>
        <v/>
      </c>
      <c r="AO50" s="925"/>
      <c r="AP50" s="925"/>
      <c r="AQ50" s="863"/>
      <c r="AS50" s="59"/>
      <c r="AT50" s="59"/>
      <c r="AU50" s="808" t="str">
        <f t="shared" ref="AU50" si="42">IF(OR(C50="",V50="",X50="",AB50="",AE50="",AG50=""),"",ROUND((AE50+AG50)*V50,2))</f>
        <v/>
      </c>
      <c r="AW50" s="59"/>
      <c r="BC50" s="825"/>
    </row>
    <row r="51" spans="2:55" ht="15.95" hidden="1" customHeight="1">
      <c r="B51" s="923"/>
      <c r="C51" s="835"/>
      <c r="D51" s="836"/>
      <c r="E51" s="836"/>
      <c r="F51" s="836"/>
      <c r="G51" s="836"/>
      <c r="H51" s="836"/>
      <c r="I51" s="836"/>
      <c r="J51" s="836"/>
      <c r="K51" s="836"/>
      <c r="L51" s="836"/>
      <c r="M51" s="837"/>
      <c r="N51" s="911"/>
      <c r="O51" s="912"/>
      <c r="P51" s="912"/>
      <c r="Q51" s="912"/>
      <c r="R51" s="912"/>
      <c r="S51" s="913"/>
      <c r="T51" s="949"/>
      <c r="U51" s="950"/>
      <c r="V51" s="848"/>
      <c r="W51" s="849"/>
      <c r="X51" s="835"/>
      <c r="Y51" s="836"/>
      <c r="Z51" s="836"/>
      <c r="AA51" s="837"/>
      <c r="AB51" s="835"/>
      <c r="AC51" s="836"/>
      <c r="AD51" s="837"/>
      <c r="AE51" s="860"/>
      <c r="AF51" s="870"/>
      <c r="AG51" s="860"/>
      <c r="AH51" s="870"/>
      <c r="AI51" s="919"/>
      <c r="AJ51" s="865"/>
      <c r="AK51" s="1001"/>
      <c r="AL51" s="1002"/>
      <c r="AM51" s="1002"/>
      <c r="AN51" s="919"/>
      <c r="AO51" s="926"/>
      <c r="AP51" s="926"/>
      <c r="AQ51" s="865"/>
      <c r="AS51" s="59"/>
      <c r="AT51" s="59"/>
      <c r="AU51" s="809"/>
      <c r="AW51" s="59"/>
      <c r="BC51" s="826"/>
    </row>
    <row r="52" spans="2:55" ht="15.95" hidden="1" customHeight="1">
      <c r="B52" s="923">
        <v>19</v>
      </c>
      <c r="C52" s="866"/>
      <c r="D52" s="867"/>
      <c r="E52" s="867"/>
      <c r="F52" s="867"/>
      <c r="G52" s="867"/>
      <c r="H52" s="867"/>
      <c r="I52" s="867"/>
      <c r="J52" s="867"/>
      <c r="K52" s="867"/>
      <c r="L52" s="867"/>
      <c r="M52" s="868"/>
      <c r="N52" s="908" t="str">
        <f>IFERROR(IF(C52="","",INDEX(PMGHVAC[Base Desc 1],MATCH(C52,PMGHVAC[Eff Desc 1],0))),"")</f>
        <v/>
      </c>
      <c r="O52" s="909"/>
      <c r="P52" s="909"/>
      <c r="Q52" s="909"/>
      <c r="R52" s="909"/>
      <c r="S52" s="910"/>
      <c r="T52" s="947" t="str">
        <f>IFERROR(IF(C52="","",INDEX(PMGHVAC[Unit of Measure],MATCH(C52,PMGHVAC[Eff Desc 1],0))),"")</f>
        <v/>
      </c>
      <c r="U52" s="948"/>
      <c r="V52" s="871"/>
      <c r="W52" s="872"/>
      <c r="X52" s="832"/>
      <c r="Y52" s="833"/>
      <c r="Z52" s="833"/>
      <c r="AA52" s="834"/>
      <c r="AB52" s="832"/>
      <c r="AC52" s="833"/>
      <c r="AD52" s="834"/>
      <c r="AE52" s="858"/>
      <c r="AF52" s="869"/>
      <c r="AG52" s="858"/>
      <c r="AH52" s="869"/>
      <c r="AI52" s="917" t="str">
        <f>IFERROR(IF(C52="","",INDEX(PMGHVAC[Inc Rate Unit],MATCH(C52,PMGHVAC[Eff Desc 1],0))),"")</f>
        <v/>
      </c>
      <c r="AJ52" s="918"/>
      <c r="AK52" s="998" t="str">
        <f>IF(OR(C52="",V52="",X52="",AB52="",AE52="",AG52=""),"",ROUND(V52*INDEX(PMGHVAC[Savings per Unit Therm],MATCH(C52,PMGHVAC[Eff Desc 1],0)),2))</f>
        <v/>
      </c>
      <c r="AL52" s="999"/>
      <c r="AM52" s="999"/>
      <c r="AN52" s="924" t="str">
        <f t="shared" ref="AN52" si="43">IF(OR(C52="",V52="",X52="",AB52="",AE52="",AG52=""),"",IF(BC52&lt;&gt;"",BC52,MIN(AU52,ROUND(V52*AI52,2))))</f>
        <v/>
      </c>
      <c r="AO52" s="925"/>
      <c r="AP52" s="925"/>
      <c r="AQ52" s="863"/>
      <c r="AS52" s="59"/>
      <c r="AT52" s="59"/>
      <c r="AU52" s="808" t="str">
        <f t="shared" ref="AU52" si="44">IF(OR(C52="",V52="",X52="",AB52="",AE52="",AG52=""),"",ROUND((AE52+AG52)*V52,2))</f>
        <v/>
      </c>
      <c r="AW52" s="59"/>
      <c r="BC52" s="825"/>
    </row>
    <row r="53" spans="2:55" ht="15.95" hidden="1" customHeight="1">
      <c r="B53" s="923"/>
      <c r="C53" s="835"/>
      <c r="D53" s="836"/>
      <c r="E53" s="836"/>
      <c r="F53" s="836"/>
      <c r="G53" s="836"/>
      <c r="H53" s="836"/>
      <c r="I53" s="836"/>
      <c r="J53" s="836"/>
      <c r="K53" s="836"/>
      <c r="L53" s="836"/>
      <c r="M53" s="837"/>
      <c r="N53" s="911"/>
      <c r="O53" s="912"/>
      <c r="P53" s="912"/>
      <c r="Q53" s="912"/>
      <c r="R53" s="912"/>
      <c r="S53" s="913"/>
      <c r="T53" s="949"/>
      <c r="U53" s="950"/>
      <c r="V53" s="848"/>
      <c r="W53" s="849"/>
      <c r="X53" s="835"/>
      <c r="Y53" s="836"/>
      <c r="Z53" s="836"/>
      <c r="AA53" s="837"/>
      <c r="AB53" s="835"/>
      <c r="AC53" s="836"/>
      <c r="AD53" s="837"/>
      <c r="AE53" s="860"/>
      <c r="AF53" s="870"/>
      <c r="AG53" s="860"/>
      <c r="AH53" s="870"/>
      <c r="AI53" s="919"/>
      <c r="AJ53" s="865"/>
      <c r="AK53" s="1001"/>
      <c r="AL53" s="1002"/>
      <c r="AM53" s="1002"/>
      <c r="AN53" s="919"/>
      <c r="AO53" s="926"/>
      <c r="AP53" s="926"/>
      <c r="AQ53" s="865"/>
      <c r="AS53" s="59"/>
      <c r="AT53" s="59"/>
      <c r="AU53" s="809"/>
      <c r="AW53" s="59"/>
      <c r="BC53" s="826"/>
    </row>
    <row r="54" spans="2:55" ht="15.95" hidden="1" customHeight="1">
      <c r="B54" s="923">
        <v>20</v>
      </c>
      <c r="C54" s="866"/>
      <c r="D54" s="867"/>
      <c r="E54" s="867"/>
      <c r="F54" s="867"/>
      <c r="G54" s="867"/>
      <c r="H54" s="867"/>
      <c r="I54" s="867"/>
      <c r="J54" s="867"/>
      <c r="K54" s="867"/>
      <c r="L54" s="867"/>
      <c r="M54" s="868"/>
      <c r="N54" s="908" t="str">
        <f>IFERROR(IF(C54="","",INDEX(PMGHVAC[Base Desc 1],MATCH(C54,PMGHVAC[Eff Desc 1],0))),"")</f>
        <v/>
      </c>
      <c r="O54" s="909"/>
      <c r="P54" s="909"/>
      <c r="Q54" s="909"/>
      <c r="R54" s="909"/>
      <c r="S54" s="910"/>
      <c r="T54" s="947" t="str">
        <f>IFERROR(IF(C54="","",INDEX(PMGHVAC[Unit of Measure],MATCH(C54,PMGHVAC[Eff Desc 1],0))),"")</f>
        <v/>
      </c>
      <c r="U54" s="948"/>
      <c r="V54" s="871"/>
      <c r="W54" s="872"/>
      <c r="X54" s="832"/>
      <c r="Y54" s="833"/>
      <c r="Z54" s="833"/>
      <c r="AA54" s="834"/>
      <c r="AB54" s="832"/>
      <c r="AC54" s="833"/>
      <c r="AD54" s="834"/>
      <c r="AE54" s="858"/>
      <c r="AF54" s="869"/>
      <c r="AG54" s="858"/>
      <c r="AH54" s="869"/>
      <c r="AI54" s="917" t="str">
        <f>IFERROR(IF(C54="","",INDEX(PMGHVAC[Inc Rate Unit],MATCH(C54,PMGHVAC[Eff Desc 1],0))),"")</f>
        <v/>
      </c>
      <c r="AJ54" s="918"/>
      <c r="AK54" s="998" t="str">
        <f>IF(OR(C54="",V54="",X54="",AB54="",AE54="",AG54=""),"",ROUND(V54*INDEX(PMGHVAC[Savings per Unit Therm],MATCH(C54,PMGHVAC[Eff Desc 1],0)),2))</f>
        <v/>
      </c>
      <c r="AL54" s="999"/>
      <c r="AM54" s="999"/>
      <c r="AN54" s="924" t="str">
        <f t="shared" ref="AN54" si="45">IF(OR(C54="",V54="",X54="",AB54="",AE54="",AG54=""),"",IF(BC54&lt;&gt;"",BC54,MIN(AU54,ROUND(V54*AI54,2))))</f>
        <v/>
      </c>
      <c r="AO54" s="925"/>
      <c r="AP54" s="925"/>
      <c r="AQ54" s="863"/>
      <c r="AS54" s="59"/>
      <c r="AT54" s="59"/>
      <c r="AU54" s="808" t="str">
        <f t="shared" ref="AU54" si="46">IF(OR(C54="",V54="",X54="",AB54="",AE54="",AG54=""),"",ROUND((AE54+AG54)*V54,2))</f>
        <v/>
      </c>
      <c r="AW54" s="59"/>
      <c r="BC54" s="825"/>
    </row>
    <row r="55" spans="2:55" ht="15.95" hidden="1" customHeight="1">
      <c r="B55" s="923"/>
      <c r="C55" s="835"/>
      <c r="D55" s="836"/>
      <c r="E55" s="836"/>
      <c r="F55" s="836"/>
      <c r="G55" s="836"/>
      <c r="H55" s="836"/>
      <c r="I55" s="836"/>
      <c r="J55" s="836"/>
      <c r="K55" s="836"/>
      <c r="L55" s="836"/>
      <c r="M55" s="837"/>
      <c r="N55" s="911"/>
      <c r="O55" s="912"/>
      <c r="P55" s="912"/>
      <c r="Q55" s="912"/>
      <c r="R55" s="912"/>
      <c r="S55" s="913"/>
      <c r="T55" s="949"/>
      <c r="U55" s="950"/>
      <c r="V55" s="848"/>
      <c r="W55" s="849"/>
      <c r="X55" s="835"/>
      <c r="Y55" s="836"/>
      <c r="Z55" s="836"/>
      <c r="AA55" s="837"/>
      <c r="AB55" s="835"/>
      <c r="AC55" s="836"/>
      <c r="AD55" s="837"/>
      <c r="AE55" s="860"/>
      <c r="AF55" s="870"/>
      <c r="AG55" s="860"/>
      <c r="AH55" s="870"/>
      <c r="AI55" s="919"/>
      <c r="AJ55" s="865"/>
      <c r="AK55" s="1001"/>
      <c r="AL55" s="1002"/>
      <c r="AM55" s="1002"/>
      <c r="AN55" s="919"/>
      <c r="AO55" s="926"/>
      <c r="AP55" s="926"/>
      <c r="AQ55" s="865"/>
      <c r="AS55" s="59"/>
      <c r="AT55" s="59"/>
      <c r="AU55" s="809"/>
      <c r="AW55" s="59"/>
      <c r="BC55" s="826"/>
    </row>
    <row r="56" spans="2:55" ht="15.95" hidden="1" customHeight="1">
      <c r="B56" s="923">
        <v>21</v>
      </c>
      <c r="C56" s="866"/>
      <c r="D56" s="867"/>
      <c r="E56" s="867"/>
      <c r="F56" s="867"/>
      <c r="G56" s="867"/>
      <c r="H56" s="867"/>
      <c r="I56" s="867"/>
      <c r="J56" s="867"/>
      <c r="K56" s="867"/>
      <c r="L56" s="867"/>
      <c r="M56" s="868"/>
      <c r="N56" s="908" t="str">
        <f>IFERROR(IF(C56="","",INDEX(PMGHVAC[Base Desc 1],MATCH(C56,PMGHVAC[Eff Desc 1],0))),"")</f>
        <v/>
      </c>
      <c r="O56" s="909"/>
      <c r="P56" s="909"/>
      <c r="Q56" s="909"/>
      <c r="R56" s="909"/>
      <c r="S56" s="910"/>
      <c r="T56" s="947" t="str">
        <f>IFERROR(IF(C56="","",INDEX(PMGHVAC[Unit of Measure],MATCH(C56,PMGHVAC[Eff Desc 1],0))),"")</f>
        <v/>
      </c>
      <c r="U56" s="948"/>
      <c r="V56" s="871"/>
      <c r="W56" s="872"/>
      <c r="X56" s="832"/>
      <c r="Y56" s="833"/>
      <c r="Z56" s="833"/>
      <c r="AA56" s="834"/>
      <c r="AB56" s="832"/>
      <c r="AC56" s="833"/>
      <c r="AD56" s="834"/>
      <c r="AE56" s="858"/>
      <c r="AF56" s="869"/>
      <c r="AG56" s="858"/>
      <c r="AH56" s="869"/>
      <c r="AI56" s="917" t="str">
        <f>IFERROR(IF(C56="","",INDEX(PMGHVAC[Inc Rate Unit],MATCH(C56,PMGHVAC[Eff Desc 1],0))),"")</f>
        <v/>
      </c>
      <c r="AJ56" s="918"/>
      <c r="AK56" s="998" t="str">
        <f>IF(OR(C56="",V56="",X56="",AB56="",AE56="",AG56=""),"",ROUND(V56*INDEX(PMGHVAC[Savings per Unit Therm],MATCH(C56,PMGHVAC[Eff Desc 1],0)),2))</f>
        <v/>
      </c>
      <c r="AL56" s="999"/>
      <c r="AM56" s="999"/>
      <c r="AN56" s="924" t="str">
        <f t="shared" ref="AN56" si="47">IF(OR(C56="",V56="",X56="",AB56="",AE56="",AG56=""),"",IF(BC56&lt;&gt;"",BC56,MIN(AU56,ROUND(V56*AI56,2))))</f>
        <v/>
      </c>
      <c r="AO56" s="925"/>
      <c r="AP56" s="925"/>
      <c r="AQ56" s="863"/>
      <c r="AS56" s="59"/>
      <c r="AT56" s="59"/>
      <c r="AU56" s="808" t="str">
        <f t="shared" ref="AU56" si="48">IF(OR(C56="",V56="",X56="",AB56="",AE56="",AG56=""),"",ROUND((AE56+AG56)*V56,2))</f>
        <v/>
      </c>
      <c r="AW56" s="59"/>
      <c r="BC56" s="825"/>
    </row>
    <row r="57" spans="2:55" ht="15.95" hidden="1" customHeight="1">
      <c r="B57" s="923"/>
      <c r="C57" s="835"/>
      <c r="D57" s="836"/>
      <c r="E57" s="836"/>
      <c r="F57" s="836"/>
      <c r="G57" s="836"/>
      <c r="H57" s="836"/>
      <c r="I57" s="836"/>
      <c r="J57" s="836"/>
      <c r="K57" s="836"/>
      <c r="L57" s="836"/>
      <c r="M57" s="837"/>
      <c r="N57" s="911"/>
      <c r="O57" s="912"/>
      <c r="P57" s="912"/>
      <c r="Q57" s="912"/>
      <c r="R57" s="912"/>
      <c r="S57" s="913"/>
      <c r="T57" s="949"/>
      <c r="U57" s="950"/>
      <c r="V57" s="848"/>
      <c r="W57" s="849"/>
      <c r="X57" s="835"/>
      <c r="Y57" s="836"/>
      <c r="Z57" s="836"/>
      <c r="AA57" s="837"/>
      <c r="AB57" s="835"/>
      <c r="AC57" s="836"/>
      <c r="AD57" s="837"/>
      <c r="AE57" s="860"/>
      <c r="AF57" s="870"/>
      <c r="AG57" s="860"/>
      <c r="AH57" s="870"/>
      <c r="AI57" s="919"/>
      <c r="AJ57" s="865"/>
      <c r="AK57" s="1001"/>
      <c r="AL57" s="1002"/>
      <c r="AM57" s="1002"/>
      <c r="AN57" s="919"/>
      <c r="AO57" s="926"/>
      <c r="AP57" s="926"/>
      <c r="AQ57" s="865"/>
      <c r="AS57" s="59"/>
      <c r="AT57" s="59"/>
      <c r="AU57" s="809"/>
      <c r="AW57" s="59"/>
      <c r="BC57" s="826"/>
    </row>
    <row r="58" spans="2:55" ht="15.95" hidden="1" customHeight="1">
      <c r="B58" s="923">
        <v>22</v>
      </c>
      <c r="C58" s="866"/>
      <c r="D58" s="867"/>
      <c r="E58" s="867"/>
      <c r="F58" s="867"/>
      <c r="G58" s="867"/>
      <c r="H58" s="867"/>
      <c r="I58" s="867"/>
      <c r="J58" s="867"/>
      <c r="K58" s="867"/>
      <c r="L58" s="867"/>
      <c r="M58" s="868"/>
      <c r="N58" s="908" t="str">
        <f>IFERROR(IF(C58="","",INDEX(PMGHVAC[Base Desc 1],MATCH(C58,PMGHVAC[Eff Desc 1],0))),"")</f>
        <v/>
      </c>
      <c r="O58" s="909"/>
      <c r="P58" s="909"/>
      <c r="Q58" s="909"/>
      <c r="R58" s="909"/>
      <c r="S58" s="910"/>
      <c r="T58" s="947" t="str">
        <f>IFERROR(IF(C58="","",INDEX(PMGHVAC[Unit of Measure],MATCH(C58,PMGHVAC[Eff Desc 1],0))),"")</f>
        <v/>
      </c>
      <c r="U58" s="948"/>
      <c r="V58" s="871"/>
      <c r="W58" s="872"/>
      <c r="X58" s="832"/>
      <c r="Y58" s="833"/>
      <c r="Z58" s="833"/>
      <c r="AA58" s="834"/>
      <c r="AB58" s="832"/>
      <c r="AC58" s="833"/>
      <c r="AD58" s="834"/>
      <c r="AE58" s="858"/>
      <c r="AF58" s="869"/>
      <c r="AG58" s="858"/>
      <c r="AH58" s="869"/>
      <c r="AI58" s="917" t="str">
        <f>IFERROR(IF(C58="","",INDEX(PMGHVAC[Inc Rate Unit],MATCH(C58,PMGHVAC[Eff Desc 1],0))),"")</f>
        <v/>
      </c>
      <c r="AJ58" s="918"/>
      <c r="AK58" s="998" t="str">
        <f>IF(OR(C58="",V58="",X58="",AB58="",AE58="",AG58=""),"",ROUND(V58*INDEX(PMGHVAC[Savings per Unit Therm],MATCH(C58,PMGHVAC[Eff Desc 1],0)),2))</f>
        <v/>
      </c>
      <c r="AL58" s="999"/>
      <c r="AM58" s="999"/>
      <c r="AN58" s="924" t="str">
        <f t="shared" ref="AN58" si="49">IF(OR(C58="",V58="",X58="",AB58="",AE58="",AG58=""),"",IF(BC58&lt;&gt;"",BC58,MIN(AU58,ROUND(V58*AI58,2))))</f>
        <v/>
      </c>
      <c r="AO58" s="925"/>
      <c r="AP58" s="925"/>
      <c r="AQ58" s="863"/>
      <c r="AS58" s="59"/>
      <c r="AT58" s="59"/>
      <c r="AU58" s="808" t="str">
        <f t="shared" ref="AU58" si="50">IF(OR(C58="",V58="",X58="",AB58="",AE58="",AG58=""),"",ROUND((AE58+AG58)*V58,2))</f>
        <v/>
      </c>
      <c r="AW58" s="59"/>
      <c r="BC58" s="825"/>
    </row>
    <row r="59" spans="2:55" ht="15.95" hidden="1" customHeight="1">
      <c r="B59" s="923"/>
      <c r="C59" s="835"/>
      <c r="D59" s="836"/>
      <c r="E59" s="836"/>
      <c r="F59" s="836"/>
      <c r="G59" s="836"/>
      <c r="H59" s="836"/>
      <c r="I59" s="836"/>
      <c r="J59" s="836"/>
      <c r="K59" s="836"/>
      <c r="L59" s="836"/>
      <c r="M59" s="837"/>
      <c r="N59" s="911"/>
      <c r="O59" s="912"/>
      <c r="P59" s="912"/>
      <c r="Q59" s="912"/>
      <c r="R59" s="912"/>
      <c r="S59" s="913"/>
      <c r="T59" s="949"/>
      <c r="U59" s="950"/>
      <c r="V59" s="848"/>
      <c r="W59" s="849"/>
      <c r="X59" s="835"/>
      <c r="Y59" s="836"/>
      <c r="Z59" s="836"/>
      <c r="AA59" s="837"/>
      <c r="AB59" s="835"/>
      <c r="AC59" s="836"/>
      <c r="AD59" s="837"/>
      <c r="AE59" s="860"/>
      <c r="AF59" s="870"/>
      <c r="AG59" s="860"/>
      <c r="AH59" s="870"/>
      <c r="AI59" s="919"/>
      <c r="AJ59" s="865"/>
      <c r="AK59" s="1001"/>
      <c r="AL59" s="1002"/>
      <c r="AM59" s="1002"/>
      <c r="AN59" s="919"/>
      <c r="AO59" s="926"/>
      <c r="AP59" s="926"/>
      <c r="AQ59" s="865"/>
      <c r="AS59" s="59"/>
      <c r="AT59" s="59"/>
      <c r="AU59" s="809"/>
      <c r="AW59" s="59"/>
      <c r="BC59" s="826"/>
    </row>
    <row r="60" spans="2:55" ht="15.95" hidden="1" customHeight="1">
      <c r="B60" s="923">
        <v>23</v>
      </c>
      <c r="C60" s="866"/>
      <c r="D60" s="867"/>
      <c r="E60" s="867"/>
      <c r="F60" s="867"/>
      <c r="G60" s="867"/>
      <c r="H60" s="867"/>
      <c r="I60" s="867"/>
      <c r="J60" s="867"/>
      <c r="K60" s="867"/>
      <c r="L60" s="867"/>
      <c r="M60" s="868"/>
      <c r="N60" s="908" t="str">
        <f>IFERROR(IF(C60="","",INDEX(PMGHVAC[Base Desc 1],MATCH(C60,PMGHVAC[Eff Desc 1],0))),"")</f>
        <v/>
      </c>
      <c r="O60" s="909"/>
      <c r="P60" s="909"/>
      <c r="Q60" s="909"/>
      <c r="R60" s="909"/>
      <c r="S60" s="910"/>
      <c r="T60" s="947" t="str">
        <f>IFERROR(IF(C60="","",INDEX(PMGHVAC[Unit of Measure],MATCH(C60,PMGHVAC[Eff Desc 1],0))),"")</f>
        <v/>
      </c>
      <c r="U60" s="948"/>
      <c r="V60" s="871"/>
      <c r="W60" s="872"/>
      <c r="X60" s="832"/>
      <c r="Y60" s="833"/>
      <c r="Z60" s="833"/>
      <c r="AA60" s="834"/>
      <c r="AB60" s="832"/>
      <c r="AC60" s="833"/>
      <c r="AD60" s="834"/>
      <c r="AE60" s="858"/>
      <c r="AF60" s="869"/>
      <c r="AG60" s="858"/>
      <c r="AH60" s="869"/>
      <c r="AI60" s="917" t="str">
        <f>IFERROR(IF(C60="","",INDEX(PMGHVAC[Inc Rate Unit],MATCH(C60,PMGHVAC[Eff Desc 1],0))),"")</f>
        <v/>
      </c>
      <c r="AJ60" s="918"/>
      <c r="AK60" s="998" t="str">
        <f>IF(OR(C60="",V60="",X60="",AB60="",AE60="",AG60=""),"",ROUND(V60*INDEX(PMGHVAC[Savings per Unit Therm],MATCH(C60,PMGHVAC[Eff Desc 1],0)),2))</f>
        <v/>
      </c>
      <c r="AL60" s="999"/>
      <c r="AM60" s="999"/>
      <c r="AN60" s="924" t="str">
        <f t="shared" ref="AN60" si="51">IF(OR(C60="",V60="",X60="",AB60="",AE60="",AG60=""),"",IF(BC60&lt;&gt;"",BC60,MIN(AU60,ROUND(V60*AI60,2))))</f>
        <v/>
      </c>
      <c r="AO60" s="925"/>
      <c r="AP60" s="925"/>
      <c r="AQ60" s="863"/>
      <c r="AS60" s="59"/>
      <c r="AT60" s="59"/>
      <c r="AU60" s="808" t="str">
        <f t="shared" ref="AU60" si="52">IF(OR(C60="",V60="",X60="",AB60="",AE60="",AG60=""),"",ROUND((AE60+AG60)*V60,2))</f>
        <v/>
      </c>
      <c r="AW60" s="59"/>
      <c r="BC60" s="825"/>
    </row>
    <row r="61" spans="2:55" ht="15.95" hidden="1" customHeight="1">
      <c r="B61" s="923"/>
      <c r="C61" s="835"/>
      <c r="D61" s="836"/>
      <c r="E61" s="836"/>
      <c r="F61" s="836"/>
      <c r="G61" s="836"/>
      <c r="H61" s="836"/>
      <c r="I61" s="836"/>
      <c r="J61" s="836"/>
      <c r="K61" s="836"/>
      <c r="L61" s="836"/>
      <c r="M61" s="837"/>
      <c r="N61" s="911"/>
      <c r="O61" s="912"/>
      <c r="P61" s="912"/>
      <c r="Q61" s="912"/>
      <c r="R61" s="912"/>
      <c r="S61" s="913"/>
      <c r="T61" s="949"/>
      <c r="U61" s="950"/>
      <c r="V61" s="848"/>
      <c r="W61" s="849"/>
      <c r="X61" s="835"/>
      <c r="Y61" s="836"/>
      <c r="Z61" s="836"/>
      <c r="AA61" s="837"/>
      <c r="AB61" s="835"/>
      <c r="AC61" s="836"/>
      <c r="AD61" s="837"/>
      <c r="AE61" s="860"/>
      <c r="AF61" s="870"/>
      <c r="AG61" s="860"/>
      <c r="AH61" s="870"/>
      <c r="AI61" s="919"/>
      <c r="AJ61" s="865"/>
      <c r="AK61" s="1001"/>
      <c r="AL61" s="1002"/>
      <c r="AM61" s="1002"/>
      <c r="AN61" s="919"/>
      <c r="AO61" s="926"/>
      <c r="AP61" s="926"/>
      <c r="AQ61" s="865"/>
      <c r="AS61" s="59"/>
      <c r="AT61" s="59"/>
      <c r="AU61" s="809"/>
      <c r="AW61" s="59"/>
      <c r="BC61" s="826"/>
    </row>
    <row r="62" spans="2:55" ht="15.95" hidden="1" customHeight="1">
      <c r="B62" s="923">
        <v>24</v>
      </c>
      <c r="C62" s="866"/>
      <c r="D62" s="867"/>
      <c r="E62" s="867"/>
      <c r="F62" s="867"/>
      <c r="G62" s="867"/>
      <c r="H62" s="867"/>
      <c r="I62" s="867"/>
      <c r="J62" s="867"/>
      <c r="K62" s="867"/>
      <c r="L62" s="867"/>
      <c r="M62" s="868"/>
      <c r="N62" s="908" t="str">
        <f>IFERROR(IF(C62="","",INDEX(PMGHVAC[Base Desc 1],MATCH(C62,PMGHVAC[Eff Desc 1],0))),"")</f>
        <v/>
      </c>
      <c r="O62" s="909"/>
      <c r="P62" s="909"/>
      <c r="Q62" s="909"/>
      <c r="R62" s="909"/>
      <c r="S62" s="910"/>
      <c r="T62" s="947" t="str">
        <f>IFERROR(IF(C62="","",INDEX(PMGHVAC[Unit of Measure],MATCH(C62,PMGHVAC[Eff Desc 1],0))),"")</f>
        <v/>
      </c>
      <c r="U62" s="948"/>
      <c r="V62" s="871"/>
      <c r="W62" s="872"/>
      <c r="X62" s="832"/>
      <c r="Y62" s="833"/>
      <c r="Z62" s="833"/>
      <c r="AA62" s="834"/>
      <c r="AB62" s="832"/>
      <c r="AC62" s="833"/>
      <c r="AD62" s="834"/>
      <c r="AE62" s="858"/>
      <c r="AF62" s="869"/>
      <c r="AG62" s="858"/>
      <c r="AH62" s="869"/>
      <c r="AI62" s="917" t="str">
        <f>IFERROR(IF(C62="","",INDEX(PMGHVAC[Inc Rate Unit],MATCH(C62,PMGHVAC[Eff Desc 1],0))),"")</f>
        <v/>
      </c>
      <c r="AJ62" s="918"/>
      <c r="AK62" s="998" t="str">
        <f>IF(OR(C62="",V62="",X62="",AB62="",AE62="",AG62=""),"",ROUND(V62*INDEX(PMGHVAC[Savings per Unit Therm],MATCH(C62,PMGHVAC[Eff Desc 1],0)),2))</f>
        <v/>
      </c>
      <c r="AL62" s="999"/>
      <c r="AM62" s="999"/>
      <c r="AN62" s="924" t="str">
        <f t="shared" ref="AN62" si="53">IF(OR(C62="",V62="",X62="",AB62="",AE62="",AG62=""),"",IF(BC62&lt;&gt;"",BC62,MIN(AU62,ROUND(V62*AI62,2))))</f>
        <v/>
      </c>
      <c r="AO62" s="925"/>
      <c r="AP62" s="925"/>
      <c r="AQ62" s="863"/>
      <c r="AS62" s="59"/>
      <c r="AT62" s="59"/>
      <c r="AU62" s="808" t="str">
        <f t="shared" ref="AU62" si="54">IF(OR(C62="",V62="",X62="",AB62="",AE62="",AG62=""),"",ROUND((AE62+AG62)*V62,2))</f>
        <v/>
      </c>
      <c r="AW62" s="59"/>
      <c r="BC62" s="825"/>
    </row>
    <row r="63" spans="2:55" ht="15.95" hidden="1" customHeight="1">
      <c r="B63" s="923"/>
      <c r="C63" s="835"/>
      <c r="D63" s="836"/>
      <c r="E63" s="836"/>
      <c r="F63" s="836"/>
      <c r="G63" s="836"/>
      <c r="H63" s="836"/>
      <c r="I63" s="836"/>
      <c r="J63" s="836"/>
      <c r="K63" s="836"/>
      <c r="L63" s="836"/>
      <c r="M63" s="837"/>
      <c r="N63" s="911"/>
      <c r="O63" s="912"/>
      <c r="P63" s="912"/>
      <c r="Q63" s="912"/>
      <c r="R63" s="912"/>
      <c r="S63" s="913"/>
      <c r="T63" s="949"/>
      <c r="U63" s="950"/>
      <c r="V63" s="848"/>
      <c r="W63" s="849"/>
      <c r="X63" s="835"/>
      <c r="Y63" s="836"/>
      <c r="Z63" s="836"/>
      <c r="AA63" s="837"/>
      <c r="AB63" s="835"/>
      <c r="AC63" s="836"/>
      <c r="AD63" s="837"/>
      <c r="AE63" s="860"/>
      <c r="AF63" s="870"/>
      <c r="AG63" s="860"/>
      <c r="AH63" s="870"/>
      <c r="AI63" s="919"/>
      <c r="AJ63" s="865"/>
      <c r="AK63" s="1001"/>
      <c r="AL63" s="1002"/>
      <c r="AM63" s="1002"/>
      <c r="AN63" s="919"/>
      <c r="AO63" s="926"/>
      <c r="AP63" s="926"/>
      <c r="AQ63" s="865"/>
      <c r="AS63" s="59"/>
      <c r="AT63" s="59"/>
      <c r="AU63" s="809"/>
      <c r="AW63" s="59"/>
      <c r="BC63" s="826"/>
    </row>
    <row r="64" spans="2:55" ht="15.95" hidden="1" customHeight="1">
      <c r="B64" s="923">
        <v>25</v>
      </c>
      <c r="C64" s="866"/>
      <c r="D64" s="867"/>
      <c r="E64" s="867"/>
      <c r="F64" s="867"/>
      <c r="G64" s="867"/>
      <c r="H64" s="867"/>
      <c r="I64" s="867"/>
      <c r="J64" s="867"/>
      <c r="K64" s="867"/>
      <c r="L64" s="867"/>
      <c r="M64" s="868"/>
      <c r="N64" s="908" t="str">
        <f>IFERROR(IF(C64="","",INDEX(PMGHVAC[Base Desc 1],MATCH(C64,PMGHVAC[Eff Desc 1],0))),"")</f>
        <v/>
      </c>
      <c r="O64" s="909"/>
      <c r="P64" s="909"/>
      <c r="Q64" s="909"/>
      <c r="R64" s="909"/>
      <c r="S64" s="910"/>
      <c r="T64" s="947" t="str">
        <f>IFERROR(IF(C64="","",INDEX(PMGHVAC[Unit of Measure],MATCH(C64,PMGHVAC[Eff Desc 1],0))),"")</f>
        <v/>
      </c>
      <c r="U64" s="948"/>
      <c r="V64" s="871"/>
      <c r="W64" s="872"/>
      <c r="X64" s="832"/>
      <c r="Y64" s="833"/>
      <c r="Z64" s="833"/>
      <c r="AA64" s="834"/>
      <c r="AB64" s="832"/>
      <c r="AC64" s="833"/>
      <c r="AD64" s="834"/>
      <c r="AE64" s="858"/>
      <c r="AF64" s="869"/>
      <c r="AG64" s="858"/>
      <c r="AH64" s="869"/>
      <c r="AI64" s="917" t="str">
        <f>IFERROR(IF(C64="","",INDEX(PMGHVAC[Inc Rate Unit],MATCH(C64,PMGHVAC[Eff Desc 1],0))),"")</f>
        <v/>
      </c>
      <c r="AJ64" s="918"/>
      <c r="AK64" s="998" t="str">
        <f>IF(OR(C64="",V64="",X64="",AB64="",AE64="",AG64=""),"",ROUND(V64*INDEX(PMGHVAC[Savings per Unit Therm],MATCH(C64,PMGHVAC[Eff Desc 1],0)),2))</f>
        <v/>
      </c>
      <c r="AL64" s="999"/>
      <c r="AM64" s="999"/>
      <c r="AN64" s="924" t="str">
        <f t="shared" ref="AN64" si="55">IF(OR(C64="",V64="",X64="",AB64="",AE64="",AG64=""),"",IF(BC64&lt;&gt;"",BC64,MIN(AU64,ROUND(V64*AI64,2))))</f>
        <v/>
      </c>
      <c r="AO64" s="925"/>
      <c r="AP64" s="925"/>
      <c r="AQ64" s="863"/>
      <c r="AS64" s="59"/>
      <c r="AT64" s="59"/>
      <c r="AU64" s="808" t="str">
        <f t="shared" ref="AU64" si="56">IF(OR(C64="",V64="",X64="",AB64="",AE64="",AG64=""),"",ROUND((AE64+AG64)*V64,2))</f>
        <v/>
      </c>
      <c r="AW64" s="59"/>
      <c r="BC64" s="825"/>
    </row>
    <row r="65" spans="2:55" ht="15.95" hidden="1" customHeight="1">
      <c r="B65" s="923"/>
      <c r="C65" s="835"/>
      <c r="D65" s="836"/>
      <c r="E65" s="836"/>
      <c r="F65" s="836"/>
      <c r="G65" s="836"/>
      <c r="H65" s="836"/>
      <c r="I65" s="836"/>
      <c r="J65" s="836"/>
      <c r="K65" s="836"/>
      <c r="L65" s="836"/>
      <c r="M65" s="837"/>
      <c r="N65" s="911"/>
      <c r="O65" s="912"/>
      <c r="P65" s="912"/>
      <c r="Q65" s="912"/>
      <c r="R65" s="912"/>
      <c r="S65" s="913"/>
      <c r="T65" s="949"/>
      <c r="U65" s="950"/>
      <c r="V65" s="848"/>
      <c r="W65" s="849"/>
      <c r="X65" s="835"/>
      <c r="Y65" s="836"/>
      <c r="Z65" s="836"/>
      <c r="AA65" s="837"/>
      <c r="AB65" s="835"/>
      <c r="AC65" s="836"/>
      <c r="AD65" s="837"/>
      <c r="AE65" s="860"/>
      <c r="AF65" s="870"/>
      <c r="AG65" s="860"/>
      <c r="AH65" s="870"/>
      <c r="AI65" s="919"/>
      <c r="AJ65" s="865"/>
      <c r="AK65" s="1001"/>
      <c r="AL65" s="1002"/>
      <c r="AM65" s="1002"/>
      <c r="AN65" s="919"/>
      <c r="AO65" s="926"/>
      <c r="AP65" s="926"/>
      <c r="AQ65" s="865"/>
      <c r="AS65" s="59"/>
      <c r="AT65" s="59"/>
      <c r="AU65" s="809"/>
      <c r="AW65" s="59"/>
      <c r="BC65" s="826"/>
    </row>
    <row r="66" spans="2:55" ht="15.95" hidden="1" customHeight="1">
      <c r="B66" s="923">
        <v>26</v>
      </c>
      <c r="C66" s="832">
        <f ca="1">IF(SUM(BE16:BE45)=0,0,INDEX(PMEBONUS[],5,3))</f>
        <v>0</v>
      </c>
      <c r="D66" s="833"/>
      <c r="E66" s="833"/>
      <c r="F66" s="833"/>
      <c r="G66" s="833"/>
      <c r="H66" s="833"/>
      <c r="I66" s="833"/>
      <c r="J66" s="833"/>
      <c r="K66" s="833"/>
      <c r="L66" s="833"/>
      <c r="M66" s="834"/>
      <c r="N66" s="908" t="str">
        <f ca="1">IF(SUM(BE16:BE45)=0,"",INDEX(PMEBONUS[],3,30))</f>
        <v/>
      </c>
      <c r="O66" s="909"/>
      <c r="P66" s="909"/>
      <c r="Q66" s="909"/>
      <c r="R66" s="909"/>
      <c r="S66" s="910"/>
      <c r="T66" s="947"/>
      <c r="U66" s="948"/>
      <c r="V66" s="846">
        <f ca="1">IF(OR(C66=0,C66=""),0,1)</f>
        <v>0</v>
      </c>
      <c r="W66" s="847"/>
      <c r="X66" s="832"/>
      <c r="Y66" s="833"/>
      <c r="Z66" s="833"/>
      <c r="AA66" s="834"/>
      <c r="AB66" s="832"/>
      <c r="AC66" s="833"/>
      <c r="AD66" s="834"/>
      <c r="AE66" s="858"/>
      <c r="AF66" s="869"/>
      <c r="AG66" s="858"/>
      <c r="AH66" s="869"/>
      <c r="AI66" s="917"/>
      <c r="AJ66" s="918"/>
      <c r="AK66" s="904"/>
      <c r="AL66" s="905"/>
      <c r="AM66" s="905"/>
      <c r="AN66" s="924" t="str">
        <f ca="1">IF(BA66="","",BA66)</f>
        <v/>
      </c>
      <c r="AO66" s="925"/>
      <c r="AP66" s="925"/>
      <c r="AQ66" s="863"/>
      <c r="AS66" s="59"/>
      <c r="AT66" s="59"/>
      <c r="AU66" s="59"/>
      <c r="AV66" s="59"/>
      <c r="AW66" s="59"/>
      <c r="AX66" s="59"/>
      <c r="AY66" s="808"/>
      <c r="AZ66" s="59"/>
      <c r="BA66" s="808" t="str">
        <f ca="1">IFERROR(IF(OR(C66="",N66="",SUM(AK16:AM45)=0,SUM(BE16:BE45)=0),"",SUM(BE16:BE45)),"")</f>
        <v/>
      </c>
      <c r="BC66" s="825"/>
    </row>
    <row r="67" spans="2:55" ht="15.95" hidden="1" customHeight="1">
      <c r="B67" s="923"/>
      <c r="C67" s="835"/>
      <c r="D67" s="836"/>
      <c r="E67" s="836"/>
      <c r="F67" s="836"/>
      <c r="G67" s="836"/>
      <c r="H67" s="836"/>
      <c r="I67" s="836"/>
      <c r="J67" s="836"/>
      <c r="K67" s="836"/>
      <c r="L67" s="836"/>
      <c r="M67" s="837"/>
      <c r="N67" s="911"/>
      <c r="O67" s="912"/>
      <c r="P67" s="912"/>
      <c r="Q67" s="912"/>
      <c r="R67" s="912"/>
      <c r="S67" s="913"/>
      <c r="T67" s="949"/>
      <c r="U67" s="950"/>
      <c r="V67" s="848"/>
      <c r="W67" s="849"/>
      <c r="X67" s="835"/>
      <c r="Y67" s="836"/>
      <c r="Z67" s="836"/>
      <c r="AA67" s="837"/>
      <c r="AB67" s="835"/>
      <c r="AC67" s="836"/>
      <c r="AD67" s="837"/>
      <c r="AE67" s="860"/>
      <c r="AF67" s="870"/>
      <c r="AG67" s="860"/>
      <c r="AH67" s="870"/>
      <c r="AI67" s="919"/>
      <c r="AJ67" s="865"/>
      <c r="AK67" s="906"/>
      <c r="AL67" s="907"/>
      <c r="AM67" s="907"/>
      <c r="AN67" s="919"/>
      <c r="AO67" s="926"/>
      <c r="AP67" s="926"/>
      <c r="AQ67" s="865"/>
      <c r="AS67" s="59"/>
      <c r="AT67" s="59"/>
      <c r="AU67" s="59"/>
      <c r="AV67" s="59"/>
      <c r="AW67" s="59"/>
      <c r="AX67" s="59"/>
      <c r="AY67" s="809"/>
      <c r="AZ67" s="59"/>
      <c r="BA67" s="809"/>
      <c r="BC67" s="826"/>
    </row>
    <row r="68" spans="2:55" ht="15.95" hidden="1" customHeight="1">
      <c r="B68" s="923">
        <v>27</v>
      </c>
      <c r="C68" s="866"/>
      <c r="D68" s="867"/>
      <c r="E68" s="867"/>
      <c r="F68" s="867"/>
      <c r="G68" s="867"/>
      <c r="H68" s="867"/>
      <c r="I68" s="867"/>
      <c r="J68" s="867"/>
      <c r="K68" s="867"/>
      <c r="L68" s="867"/>
      <c r="M68" s="868"/>
      <c r="N68" s="908" t="str">
        <f>IFERROR(IF(C68="","",INDEX(PMGHVAC[Base Desc 1],MATCH(C68,PMGHVAC[Eff Desc 1],0))),"")</f>
        <v/>
      </c>
      <c r="O68" s="909"/>
      <c r="P68" s="909"/>
      <c r="Q68" s="909"/>
      <c r="R68" s="909"/>
      <c r="S68" s="910"/>
      <c r="T68" s="947" t="str">
        <f>IFERROR(IF(C68="","",INDEX(PMGHVAC[Unit of Measure],MATCH(C68,PMGHVAC[Eff Desc 1],0))),"")</f>
        <v/>
      </c>
      <c r="U68" s="948"/>
      <c r="V68" s="871"/>
      <c r="W68" s="872"/>
      <c r="X68" s="832"/>
      <c r="Y68" s="833"/>
      <c r="Z68" s="833"/>
      <c r="AA68" s="834"/>
      <c r="AB68" s="832"/>
      <c r="AC68" s="833"/>
      <c r="AD68" s="834"/>
      <c r="AE68" s="858"/>
      <c r="AF68" s="869"/>
      <c r="AG68" s="858"/>
      <c r="AH68" s="869"/>
      <c r="AI68" s="917" t="str">
        <f>IFERROR(IF(C68="","",INDEX(PMGHVAC[Inc Rate Unit],MATCH(C68,PMGHVAC[Eff Desc 1],0))),"")</f>
        <v/>
      </c>
      <c r="AJ68" s="918"/>
      <c r="AK68" s="998" t="str">
        <f>IF(OR(C68="",V68="",X68="",AB68="",AE68="",AG68=""),"",ROUND(V68*INDEX(PMGHVAC[Savings per Unit Therm],MATCH(C68,PMGHVAC[Eff Desc 1],0)),2))</f>
        <v/>
      </c>
      <c r="AL68" s="999"/>
      <c r="AM68" s="999"/>
      <c r="AN68" s="924" t="str">
        <f t="shared" ref="AN68" si="57">IF(OR(C68="",V68="",X68="",AB68="",AE68="",AG68=""),"",IF(BC68&lt;&gt;"",BC68,MIN(AU68,ROUND(V68*AI68,2))))</f>
        <v/>
      </c>
      <c r="AO68" s="925"/>
      <c r="AP68" s="925"/>
      <c r="AQ68" s="863"/>
      <c r="AS68" s="59"/>
      <c r="AT68" s="59"/>
      <c r="AU68" s="808" t="str">
        <f t="shared" ref="AU68" si="58">IF(OR(C68="",V68="",X68="",AB68="",AE68="",AG68=""),"",ROUND((AE68+AG68)*V68,2))</f>
        <v/>
      </c>
      <c r="AW68" s="59"/>
      <c r="BC68" s="825"/>
    </row>
    <row r="69" spans="2:55" ht="15.95" hidden="1" customHeight="1">
      <c r="B69" s="923"/>
      <c r="C69" s="835"/>
      <c r="D69" s="836"/>
      <c r="E69" s="836"/>
      <c r="F69" s="836"/>
      <c r="G69" s="836"/>
      <c r="H69" s="836"/>
      <c r="I69" s="836"/>
      <c r="J69" s="836"/>
      <c r="K69" s="836"/>
      <c r="L69" s="836"/>
      <c r="M69" s="837"/>
      <c r="N69" s="911"/>
      <c r="O69" s="912"/>
      <c r="P69" s="912"/>
      <c r="Q69" s="912"/>
      <c r="R69" s="912"/>
      <c r="S69" s="913"/>
      <c r="T69" s="949"/>
      <c r="U69" s="950"/>
      <c r="V69" s="848"/>
      <c r="W69" s="849"/>
      <c r="X69" s="835"/>
      <c r="Y69" s="836"/>
      <c r="Z69" s="836"/>
      <c r="AA69" s="837"/>
      <c r="AB69" s="835"/>
      <c r="AC69" s="836"/>
      <c r="AD69" s="837"/>
      <c r="AE69" s="860"/>
      <c r="AF69" s="870"/>
      <c r="AG69" s="860"/>
      <c r="AH69" s="870"/>
      <c r="AI69" s="919"/>
      <c r="AJ69" s="865"/>
      <c r="AK69" s="1001"/>
      <c r="AL69" s="1002"/>
      <c r="AM69" s="1002"/>
      <c r="AN69" s="919"/>
      <c r="AO69" s="926"/>
      <c r="AP69" s="926"/>
      <c r="AQ69" s="865"/>
      <c r="AS69" s="59"/>
      <c r="AT69" s="59"/>
      <c r="AU69" s="809"/>
      <c r="AW69" s="59"/>
      <c r="BC69" s="826"/>
    </row>
    <row r="70" spans="2:55" ht="15.95" hidden="1" customHeight="1">
      <c r="B70" s="923">
        <v>28</v>
      </c>
      <c r="C70" s="866"/>
      <c r="D70" s="867"/>
      <c r="E70" s="867"/>
      <c r="F70" s="867"/>
      <c r="G70" s="867"/>
      <c r="H70" s="867"/>
      <c r="I70" s="867"/>
      <c r="J70" s="867"/>
      <c r="K70" s="867"/>
      <c r="L70" s="867"/>
      <c r="M70" s="868"/>
      <c r="N70" s="908" t="str">
        <f>IFERROR(IF(C70="","",INDEX(PMGHVAC[Base Desc 1],MATCH(C70,PMGHVAC[Eff Desc 1],0))),"")</f>
        <v/>
      </c>
      <c r="O70" s="909"/>
      <c r="P70" s="909"/>
      <c r="Q70" s="909"/>
      <c r="R70" s="909"/>
      <c r="S70" s="910"/>
      <c r="T70" s="947" t="str">
        <f>IFERROR(IF(C70="","",INDEX(PMGHVAC[Unit of Measure],MATCH(C70,PMGHVAC[Eff Desc 1],0))),"")</f>
        <v/>
      </c>
      <c r="U70" s="948"/>
      <c r="V70" s="871"/>
      <c r="W70" s="872"/>
      <c r="X70" s="832"/>
      <c r="Y70" s="833"/>
      <c r="Z70" s="833"/>
      <c r="AA70" s="834"/>
      <c r="AB70" s="832"/>
      <c r="AC70" s="833"/>
      <c r="AD70" s="834"/>
      <c r="AE70" s="858"/>
      <c r="AF70" s="869"/>
      <c r="AG70" s="858"/>
      <c r="AH70" s="869"/>
      <c r="AI70" s="917" t="str">
        <f>IFERROR(IF(C70="","",INDEX(PMGHVAC[Inc Rate Unit],MATCH(C70,PMGHVAC[Eff Desc 1],0))),"")</f>
        <v/>
      </c>
      <c r="AJ70" s="918"/>
      <c r="AK70" s="998" t="str">
        <f>IF(OR(C70="",V70="",X70="",AB70="",AE70="",AG70=""),"",ROUND(V70*INDEX(PMGHVAC[Savings per Unit Therm],MATCH(C70,PMGHVAC[Eff Desc 1],0)),2))</f>
        <v/>
      </c>
      <c r="AL70" s="999"/>
      <c r="AM70" s="999"/>
      <c r="AN70" s="924" t="str">
        <f t="shared" ref="AN70" si="59">IF(OR(C70="",V70="",X70="",AB70="",AE70="",AG70=""),"",IF(BC70&lt;&gt;"",BC70,MIN(AU70,ROUND(V70*AI70,2))))</f>
        <v/>
      </c>
      <c r="AO70" s="925"/>
      <c r="AP70" s="925"/>
      <c r="AQ70" s="863"/>
      <c r="AS70" s="59"/>
      <c r="AT70" s="59"/>
      <c r="AU70" s="808" t="str">
        <f t="shared" ref="AU70" si="60">IF(OR(C70="",V70="",X70="",AB70="",AE70="",AG70=""),"",ROUND((AE70+AG70)*V70,2))</f>
        <v/>
      </c>
      <c r="AW70" s="59"/>
      <c r="BC70" s="825"/>
    </row>
    <row r="71" spans="2:55" ht="15.95" hidden="1" customHeight="1">
      <c r="B71" s="923"/>
      <c r="C71" s="835"/>
      <c r="D71" s="836"/>
      <c r="E71" s="836"/>
      <c r="F71" s="836"/>
      <c r="G71" s="836"/>
      <c r="H71" s="836"/>
      <c r="I71" s="836"/>
      <c r="J71" s="836"/>
      <c r="K71" s="836"/>
      <c r="L71" s="836"/>
      <c r="M71" s="837"/>
      <c r="N71" s="911"/>
      <c r="O71" s="912"/>
      <c r="P71" s="912"/>
      <c r="Q71" s="912"/>
      <c r="R71" s="912"/>
      <c r="S71" s="913"/>
      <c r="T71" s="949"/>
      <c r="U71" s="950"/>
      <c r="V71" s="848"/>
      <c r="W71" s="849"/>
      <c r="X71" s="835"/>
      <c r="Y71" s="836"/>
      <c r="Z71" s="836"/>
      <c r="AA71" s="837"/>
      <c r="AB71" s="835"/>
      <c r="AC71" s="836"/>
      <c r="AD71" s="837"/>
      <c r="AE71" s="860"/>
      <c r="AF71" s="870"/>
      <c r="AG71" s="860"/>
      <c r="AH71" s="870"/>
      <c r="AI71" s="919"/>
      <c r="AJ71" s="865"/>
      <c r="AK71" s="1001"/>
      <c r="AL71" s="1002"/>
      <c r="AM71" s="1002"/>
      <c r="AN71" s="919"/>
      <c r="AO71" s="926"/>
      <c r="AP71" s="926"/>
      <c r="AQ71" s="865"/>
      <c r="AS71" s="59"/>
      <c r="AT71" s="59"/>
      <c r="AU71" s="809"/>
      <c r="AW71" s="59"/>
      <c r="BC71" s="826"/>
    </row>
    <row r="72" spans="2:55" ht="15.95" hidden="1" customHeight="1">
      <c r="B72" s="923">
        <v>29</v>
      </c>
      <c r="C72" s="866"/>
      <c r="D72" s="867"/>
      <c r="E72" s="867"/>
      <c r="F72" s="867"/>
      <c r="G72" s="867"/>
      <c r="H72" s="867"/>
      <c r="I72" s="867"/>
      <c r="J72" s="867"/>
      <c r="K72" s="867"/>
      <c r="L72" s="867"/>
      <c r="M72" s="868"/>
      <c r="N72" s="908" t="str">
        <f>IFERROR(IF(C72="","",INDEX(PMGHVAC[Base Desc 1],MATCH(C72,PMGHVAC[Eff Desc 1],0))),"")</f>
        <v/>
      </c>
      <c r="O72" s="909"/>
      <c r="P72" s="909"/>
      <c r="Q72" s="909"/>
      <c r="R72" s="909"/>
      <c r="S72" s="910"/>
      <c r="T72" s="947" t="str">
        <f>IFERROR(IF(C72="","",INDEX(PMGHVAC[Unit of Measure],MATCH(C72,PMGHVAC[Eff Desc 1],0))),"")</f>
        <v/>
      </c>
      <c r="U72" s="948"/>
      <c r="V72" s="871"/>
      <c r="W72" s="872"/>
      <c r="X72" s="832"/>
      <c r="Y72" s="833"/>
      <c r="Z72" s="833"/>
      <c r="AA72" s="834"/>
      <c r="AB72" s="832"/>
      <c r="AC72" s="833"/>
      <c r="AD72" s="834"/>
      <c r="AE72" s="858"/>
      <c r="AF72" s="869"/>
      <c r="AG72" s="858"/>
      <c r="AH72" s="869"/>
      <c r="AI72" s="917" t="str">
        <f>IFERROR(IF(C72="","",INDEX(PMGHVAC[Inc Rate Unit],MATCH(C72,PMGHVAC[Eff Desc 1],0))),"")</f>
        <v/>
      </c>
      <c r="AJ72" s="918"/>
      <c r="AK72" s="998" t="str">
        <f>IF(OR(C72="",V72="",X72="",AB72="",AE72="",AG72=""),"",ROUND(V72*INDEX(PMGHVAC[Savings per Unit Therm],MATCH(C72,PMGHVAC[Eff Desc 1],0)),2))</f>
        <v/>
      </c>
      <c r="AL72" s="999"/>
      <c r="AM72" s="999"/>
      <c r="AN72" s="924" t="str">
        <f t="shared" ref="AN72" si="61">IF(OR(C72="",V72="",X72="",AB72="",AE72="",AG72=""),"",IF(BC72&lt;&gt;"",BC72,MIN(AU72,ROUND(V72*AI72,2))))</f>
        <v/>
      </c>
      <c r="AO72" s="925"/>
      <c r="AP72" s="925"/>
      <c r="AQ72" s="863"/>
      <c r="AS72" s="59"/>
      <c r="AT72" s="59"/>
      <c r="AU72" s="808" t="str">
        <f t="shared" ref="AU72" si="62">IF(OR(C72="",V72="",X72="",AB72="",AE72="",AG72=""),"",ROUND((AE72+AG72)*V72,2))</f>
        <v/>
      </c>
      <c r="AW72" s="59"/>
      <c r="BC72" s="825"/>
    </row>
    <row r="73" spans="2:55" ht="15.95" hidden="1" customHeight="1">
      <c r="B73" s="923"/>
      <c r="C73" s="835"/>
      <c r="D73" s="836"/>
      <c r="E73" s="836"/>
      <c r="F73" s="836"/>
      <c r="G73" s="836"/>
      <c r="H73" s="836"/>
      <c r="I73" s="836"/>
      <c r="J73" s="836"/>
      <c r="K73" s="836"/>
      <c r="L73" s="836"/>
      <c r="M73" s="837"/>
      <c r="N73" s="911"/>
      <c r="O73" s="912"/>
      <c r="P73" s="912"/>
      <c r="Q73" s="912"/>
      <c r="R73" s="912"/>
      <c r="S73" s="913"/>
      <c r="T73" s="949"/>
      <c r="U73" s="950"/>
      <c r="V73" s="848"/>
      <c r="W73" s="849"/>
      <c r="X73" s="835"/>
      <c r="Y73" s="836"/>
      <c r="Z73" s="836"/>
      <c r="AA73" s="837"/>
      <c r="AB73" s="835"/>
      <c r="AC73" s="836"/>
      <c r="AD73" s="837"/>
      <c r="AE73" s="860"/>
      <c r="AF73" s="870"/>
      <c r="AG73" s="860"/>
      <c r="AH73" s="870"/>
      <c r="AI73" s="919"/>
      <c r="AJ73" s="865"/>
      <c r="AK73" s="1001"/>
      <c r="AL73" s="1002"/>
      <c r="AM73" s="1002"/>
      <c r="AN73" s="919"/>
      <c r="AO73" s="926"/>
      <c r="AP73" s="926"/>
      <c r="AQ73" s="865"/>
      <c r="AS73" s="59"/>
      <c r="AT73" s="59"/>
      <c r="AU73" s="809"/>
      <c r="AW73" s="59"/>
      <c r="BC73" s="826"/>
    </row>
    <row r="74" spans="2:55" ht="15.95" hidden="1" customHeight="1">
      <c r="B74" s="923">
        <v>30</v>
      </c>
      <c r="C74" s="866"/>
      <c r="D74" s="867"/>
      <c r="E74" s="867"/>
      <c r="F74" s="867"/>
      <c r="G74" s="867"/>
      <c r="H74" s="867"/>
      <c r="I74" s="867"/>
      <c r="J74" s="867"/>
      <c r="K74" s="867"/>
      <c r="L74" s="867"/>
      <c r="M74" s="868"/>
      <c r="N74" s="908" t="str">
        <f>IFERROR(IF(C74="","",INDEX(PMGHVAC[Base Desc 1],MATCH(C74,PMGHVAC[Eff Desc 1],0))),"")</f>
        <v/>
      </c>
      <c r="O74" s="909"/>
      <c r="P74" s="909"/>
      <c r="Q74" s="909"/>
      <c r="R74" s="909"/>
      <c r="S74" s="910"/>
      <c r="T74" s="947" t="str">
        <f>IFERROR(IF(C74="","",INDEX(PMGHVAC[Unit of Measure],MATCH(C74,PMGHVAC[Eff Desc 1],0))),"")</f>
        <v/>
      </c>
      <c r="U74" s="948"/>
      <c r="V74" s="871"/>
      <c r="W74" s="872"/>
      <c r="X74" s="832"/>
      <c r="Y74" s="833"/>
      <c r="Z74" s="833"/>
      <c r="AA74" s="834"/>
      <c r="AB74" s="832"/>
      <c r="AC74" s="833"/>
      <c r="AD74" s="834"/>
      <c r="AE74" s="858"/>
      <c r="AF74" s="869"/>
      <c r="AG74" s="858"/>
      <c r="AH74" s="869"/>
      <c r="AI74" s="917" t="str">
        <f>IFERROR(IF(C74="","",INDEX(PMGHVAC[Inc Rate Unit],MATCH(C74,PMGHVAC[Eff Desc 1],0))),"")</f>
        <v/>
      </c>
      <c r="AJ74" s="918"/>
      <c r="AK74" s="998" t="str">
        <f>IF(OR(C74="",V74="",X74="",AB74="",AE74="",AG74=""),"",ROUND(V74*INDEX(PMGHVAC[Savings per Unit Therm],MATCH(C74,PMGHVAC[Eff Desc 1],0)),2))</f>
        <v/>
      </c>
      <c r="AL74" s="999"/>
      <c r="AM74" s="999"/>
      <c r="AN74" s="924" t="str">
        <f t="shared" ref="AN74" si="63">IF(OR(C74="",V74="",X74="",AB74="",AE74="",AG74=""),"",IF(BC74&lt;&gt;"",BC74,MIN(AU74,ROUND(V74*AI74,2))))</f>
        <v/>
      </c>
      <c r="AO74" s="925"/>
      <c r="AP74" s="925"/>
      <c r="AQ74" s="863"/>
      <c r="AS74" s="59"/>
      <c r="AT74" s="59"/>
      <c r="AU74" s="808" t="str">
        <f t="shared" ref="AU74" si="64">IF(OR(C74="",V74="",X74="",AB74="",AE74="",AG74=""),"",ROUND((AE74+AG74)*V74,2))</f>
        <v/>
      </c>
      <c r="AW74" s="59"/>
      <c r="BC74" s="825"/>
    </row>
    <row r="75" spans="2:55" ht="15.95" hidden="1" customHeight="1">
      <c r="B75" s="923"/>
      <c r="C75" s="835"/>
      <c r="D75" s="836"/>
      <c r="E75" s="836"/>
      <c r="F75" s="836"/>
      <c r="G75" s="836"/>
      <c r="H75" s="836"/>
      <c r="I75" s="836"/>
      <c r="J75" s="836"/>
      <c r="K75" s="836"/>
      <c r="L75" s="836"/>
      <c r="M75" s="837"/>
      <c r="N75" s="911"/>
      <c r="O75" s="912"/>
      <c r="P75" s="912"/>
      <c r="Q75" s="912"/>
      <c r="R75" s="912"/>
      <c r="S75" s="913"/>
      <c r="T75" s="949"/>
      <c r="U75" s="950"/>
      <c r="V75" s="848"/>
      <c r="W75" s="849"/>
      <c r="X75" s="835"/>
      <c r="Y75" s="836"/>
      <c r="Z75" s="836"/>
      <c r="AA75" s="837"/>
      <c r="AB75" s="835"/>
      <c r="AC75" s="836"/>
      <c r="AD75" s="837"/>
      <c r="AE75" s="860"/>
      <c r="AF75" s="870"/>
      <c r="AG75" s="860"/>
      <c r="AH75" s="870"/>
      <c r="AI75" s="919"/>
      <c r="AJ75" s="865"/>
      <c r="AK75" s="1001"/>
      <c r="AL75" s="1002"/>
      <c r="AM75" s="1002"/>
      <c r="AN75" s="919"/>
      <c r="AO75" s="926"/>
      <c r="AP75" s="926"/>
      <c r="AQ75" s="865"/>
      <c r="AS75" s="59"/>
      <c r="AT75" s="59"/>
      <c r="AU75" s="809"/>
      <c r="AW75" s="59"/>
      <c r="BC75" s="826"/>
    </row>
    <row r="76" spans="2:55" ht="15.95" hidden="1" customHeight="1">
      <c r="B76" s="923">
        <v>31</v>
      </c>
      <c r="C76" s="866"/>
      <c r="D76" s="867"/>
      <c r="E76" s="867"/>
      <c r="F76" s="867"/>
      <c r="G76" s="867"/>
      <c r="H76" s="867"/>
      <c r="I76" s="867"/>
      <c r="J76" s="867"/>
      <c r="K76" s="867"/>
      <c r="L76" s="867"/>
      <c r="M76" s="868"/>
      <c r="N76" s="908" t="str">
        <f>IFERROR(IF(C76="","",INDEX(PMGHVAC[Base Desc 1],MATCH(C76,PMGHVAC[Eff Desc 1],0))),"")</f>
        <v/>
      </c>
      <c r="O76" s="909"/>
      <c r="P76" s="909"/>
      <c r="Q76" s="909"/>
      <c r="R76" s="909"/>
      <c r="S76" s="910"/>
      <c r="T76" s="947" t="str">
        <f>IFERROR(IF(C76="","",INDEX(PMGHVAC[Unit of Measure],MATCH(C76,PMGHVAC[Eff Desc 1],0))),"")</f>
        <v/>
      </c>
      <c r="U76" s="948"/>
      <c r="V76" s="871"/>
      <c r="W76" s="872"/>
      <c r="X76" s="832"/>
      <c r="Y76" s="833"/>
      <c r="Z76" s="833"/>
      <c r="AA76" s="834"/>
      <c r="AB76" s="832"/>
      <c r="AC76" s="833"/>
      <c r="AD76" s="834"/>
      <c r="AE76" s="858"/>
      <c r="AF76" s="869"/>
      <c r="AG76" s="858"/>
      <c r="AH76" s="869"/>
      <c r="AI76" s="917" t="str">
        <f>IFERROR(IF(C76="","",INDEX(PMGHVAC[Inc Rate Unit],MATCH(C76,PMGHVAC[Eff Desc 1],0))),"")</f>
        <v/>
      </c>
      <c r="AJ76" s="918"/>
      <c r="AK76" s="998" t="str">
        <f>IF(OR(C76="",V76="",X76="",AB76="",AE76="",AG76=""),"",ROUND(V76*INDEX(PMGHVAC[Savings per Unit Therm],MATCH(C76,PMGHVAC[Eff Desc 1],0)),2))</f>
        <v/>
      </c>
      <c r="AL76" s="999"/>
      <c r="AM76" s="999"/>
      <c r="AN76" s="924" t="str">
        <f t="shared" ref="AN76" si="65">IF(OR(C76="",V76="",X76="",AB76="",AE76="",AG76=""),"",IF(BC76&lt;&gt;"",BC76,MIN(AU76,ROUND(V76*AI76,2))))</f>
        <v/>
      </c>
      <c r="AO76" s="925"/>
      <c r="AP76" s="925"/>
      <c r="AQ76" s="863"/>
      <c r="AS76" s="59"/>
      <c r="AT76" s="59"/>
      <c r="AU76" s="808" t="str">
        <f t="shared" ref="AU76" si="66">IF(OR(C76="",V76="",X76="",AB76="",AE76="",AG76=""),"",ROUND((AE76+AG76)*V76,2))</f>
        <v/>
      </c>
      <c r="AW76" s="59"/>
      <c r="BC76" s="825"/>
    </row>
    <row r="77" spans="2:55" ht="15.95" hidden="1" customHeight="1">
      <c r="B77" s="923"/>
      <c r="C77" s="835"/>
      <c r="D77" s="836"/>
      <c r="E77" s="836"/>
      <c r="F77" s="836"/>
      <c r="G77" s="836"/>
      <c r="H77" s="836"/>
      <c r="I77" s="836"/>
      <c r="J77" s="836"/>
      <c r="K77" s="836"/>
      <c r="L77" s="836"/>
      <c r="M77" s="837"/>
      <c r="N77" s="911"/>
      <c r="O77" s="912"/>
      <c r="P77" s="912"/>
      <c r="Q77" s="912"/>
      <c r="R77" s="912"/>
      <c r="S77" s="913"/>
      <c r="T77" s="949"/>
      <c r="U77" s="950"/>
      <c r="V77" s="848"/>
      <c r="W77" s="849"/>
      <c r="X77" s="835"/>
      <c r="Y77" s="836"/>
      <c r="Z77" s="836"/>
      <c r="AA77" s="837"/>
      <c r="AB77" s="835"/>
      <c r="AC77" s="836"/>
      <c r="AD77" s="837"/>
      <c r="AE77" s="860"/>
      <c r="AF77" s="870"/>
      <c r="AG77" s="860"/>
      <c r="AH77" s="870"/>
      <c r="AI77" s="919"/>
      <c r="AJ77" s="865"/>
      <c r="AK77" s="1001"/>
      <c r="AL77" s="1002"/>
      <c r="AM77" s="1002"/>
      <c r="AN77" s="919"/>
      <c r="AO77" s="926"/>
      <c r="AP77" s="926"/>
      <c r="AQ77" s="865"/>
      <c r="AS77" s="59"/>
      <c r="AT77" s="59"/>
      <c r="AU77" s="809"/>
      <c r="AW77" s="59"/>
      <c r="BC77" s="826"/>
    </row>
    <row r="78" spans="2:55" ht="15.95" hidden="1" customHeight="1">
      <c r="B78" s="923">
        <v>32</v>
      </c>
      <c r="C78" s="866"/>
      <c r="D78" s="867"/>
      <c r="E78" s="867"/>
      <c r="F78" s="867"/>
      <c r="G78" s="867"/>
      <c r="H78" s="867"/>
      <c r="I78" s="867"/>
      <c r="J78" s="867"/>
      <c r="K78" s="867"/>
      <c r="L78" s="867"/>
      <c r="M78" s="868"/>
      <c r="N78" s="908" t="str">
        <f>IFERROR(IF(C78="","",INDEX(PMGHVAC[Base Desc 1],MATCH(C78,PMGHVAC[Eff Desc 1],0))),"")</f>
        <v/>
      </c>
      <c r="O78" s="909"/>
      <c r="P78" s="909"/>
      <c r="Q78" s="909"/>
      <c r="R78" s="909"/>
      <c r="S78" s="910"/>
      <c r="T78" s="947" t="str">
        <f>IFERROR(IF(C78="","",INDEX(PMGHVAC[Unit of Measure],MATCH(C78,PMGHVAC[Eff Desc 1],0))),"")</f>
        <v/>
      </c>
      <c r="U78" s="948"/>
      <c r="V78" s="871"/>
      <c r="W78" s="872"/>
      <c r="X78" s="832"/>
      <c r="Y78" s="833"/>
      <c r="Z78" s="833"/>
      <c r="AA78" s="834"/>
      <c r="AB78" s="832"/>
      <c r="AC78" s="833"/>
      <c r="AD78" s="834"/>
      <c r="AE78" s="858"/>
      <c r="AF78" s="869"/>
      <c r="AG78" s="858"/>
      <c r="AH78" s="869"/>
      <c r="AI78" s="917" t="str">
        <f>IFERROR(IF(C78="","",INDEX(PMGHVAC[Inc Rate Unit],MATCH(C78,PMGHVAC[Eff Desc 1],0))),"")</f>
        <v/>
      </c>
      <c r="AJ78" s="918"/>
      <c r="AK78" s="998" t="str">
        <f>IF(OR(C78="",V78="",X78="",AB78="",AE78="",AG78=""),"",ROUND(V78*INDEX(PMGHVAC[Savings per Unit Therm],MATCH(C78,PMGHVAC[Eff Desc 1],0)),2))</f>
        <v/>
      </c>
      <c r="AL78" s="999"/>
      <c r="AM78" s="999"/>
      <c r="AN78" s="924" t="str">
        <f t="shared" ref="AN78" si="67">IF(OR(C78="",V78="",X78="",AB78="",AE78="",AG78=""),"",IF(BC78&lt;&gt;"",BC78,MIN(AU78,ROUND(V78*AI78,2))))</f>
        <v/>
      </c>
      <c r="AO78" s="925"/>
      <c r="AP78" s="925"/>
      <c r="AQ78" s="863"/>
      <c r="AS78" s="59"/>
      <c r="AT78" s="59"/>
      <c r="AU78" s="808" t="str">
        <f t="shared" ref="AU78" si="68">IF(OR(C78="",V78="",X78="",AB78="",AE78="",AG78=""),"",ROUND((AE78+AG78)*V78,2))</f>
        <v/>
      </c>
      <c r="AW78" s="59"/>
      <c r="BC78" s="825"/>
    </row>
    <row r="79" spans="2:55" ht="15.95" hidden="1" customHeight="1">
      <c r="B79" s="923"/>
      <c r="C79" s="835"/>
      <c r="D79" s="836"/>
      <c r="E79" s="836"/>
      <c r="F79" s="836"/>
      <c r="G79" s="836"/>
      <c r="H79" s="836"/>
      <c r="I79" s="836"/>
      <c r="J79" s="836"/>
      <c r="K79" s="836"/>
      <c r="L79" s="836"/>
      <c r="M79" s="837"/>
      <c r="N79" s="911"/>
      <c r="O79" s="912"/>
      <c r="P79" s="912"/>
      <c r="Q79" s="912"/>
      <c r="R79" s="912"/>
      <c r="S79" s="913"/>
      <c r="T79" s="949"/>
      <c r="U79" s="950"/>
      <c r="V79" s="848"/>
      <c r="W79" s="849"/>
      <c r="X79" s="835"/>
      <c r="Y79" s="836"/>
      <c r="Z79" s="836"/>
      <c r="AA79" s="837"/>
      <c r="AB79" s="835"/>
      <c r="AC79" s="836"/>
      <c r="AD79" s="837"/>
      <c r="AE79" s="860"/>
      <c r="AF79" s="870"/>
      <c r="AG79" s="860"/>
      <c r="AH79" s="870"/>
      <c r="AI79" s="919"/>
      <c r="AJ79" s="865"/>
      <c r="AK79" s="1001"/>
      <c r="AL79" s="1002"/>
      <c r="AM79" s="1002"/>
      <c r="AN79" s="919"/>
      <c r="AO79" s="926"/>
      <c r="AP79" s="926"/>
      <c r="AQ79" s="865"/>
      <c r="AS79" s="59"/>
      <c r="AT79" s="59"/>
      <c r="AU79" s="809"/>
      <c r="AW79" s="59"/>
      <c r="BC79" s="826"/>
    </row>
    <row r="80" spans="2:55" ht="15.95" hidden="1" customHeight="1">
      <c r="B80" s="923">
        <v>33</v>
      </c>
      <c r="C80" s="866"/>
      <c r="D80" s="867"/>
      <c r="E80" s="867"/>
      <c r="F80" s="867"/>
      <c r="G80" s="867"/>
      <c r="H80" s="867"/>
      <c r="I80" s="867"/>
      <c r="J80" s="867"/>
      <c r="K80" s="867"/>
      <c r="L80" s="867"/>
      <c r="M80" s="868"/>
      <c r="N80" s="908" t="str">
        <f>IFERROR(IF(C80="","",INDEX(PMGHVAC[Base Desc 1],MATCH(C80,PMGHVAC[Eff Desc 1],0))),"")</f>
        <v/>
      </c>
      <c r="O80" s="909"/>
      <c r="P80" s="909"/>
      <c r="Q80" s="909"/>
      <c r="R80" s="909"/>
      <c r="S80" s="910"/>
      <c r="T80" s="947" t="str">
        <f>IFERROR(IF(C80="","",INDEX(PMGHVAC[Unit of Measure],MATCH(C80,PMGHVAC[Eff Desc 1],0))),"")</f>
        <v/>
      </c>
      <c r="U80" s="948"/>
      <c r="V80" s="871"/>
      <c r="W80" s="872"/>
      <c r="X80" s="832"/>
      <c r="Y80" s="833"/>
      <c r="Z80" s="833"/>
      <c r="AA80" s="834"/>
      <c r="AB80" s="832"/>
      <c r="AC80" s="833"/>
      <c r="AD80" s="834"/>
      <c r="AE80" s="858"/>
      <c r="AF80" s="869"/>
      <c r="AG80" s="858"/>
      <c r="AH80" s="869"/>
      <c r="AI80" s="917" t="str">
        <f>IFERROR(IF(C80="","",INDEX(PMGHVAC[Inc Rate Unit],MATCH(C80,PMGHVAC[Eff Desc 1],0))),"")</f>
        <v/>
      </c>
      <c r="AJ80" s="918"/>
      <c r="AK80" s="998" t="str">
        <f>IF(OR(C80="",V80="",X80="",AB80="",AE80="",AG80=""),"",ROUND(V80*INDEX(PMGHVAC[Savings per Unit Therm],MATCH(C80,PMGHVAC[Eff Desc 1],0)),2))</f>
        <v/>
      </c>
      <c r="AL80" s="999"/>
      <c r="AM80" s="999"/>
      <c r="AN80" s="924" t="str">
        <f t="shared" ref="AN80" si="69">IF(OR(C80="",V80="",X80="",AB80="",AE80="",AG80=""),"",IF(BC80&lt;&gt;"",BC80,MIN(AU80,ROUND(V80*AI80,2))))</f>
        <v/>
      </c>
      <c r="AO80" s="925"/>
      <c r="AP80" s="925"/>
      <c r="AQ80" s="863"/>
      <c r="AS80" s="59"/>
      <c r="AT80" s="59"/>
      <c r="AU80" s="808" t="str">
        <f t="shared" ref="AU80" si="70">IF(OR(C80="",V80="",X80="",AB80="",AE80="",AG80=""),"",ROUND((AE80+AG80)*V80,2))</f>
        <v/>
      </c>
      <c r="AW80" s="59"/>
      <c r="BC80" s="825"/>
    </row>
    <row r="81" spans="2:55" ht="15.95" hidden="1" customHeight="1">
      <c r="B81" s="923"/>
      <c r="C81" s="835"/>
      <c r="D81" s="836"/>
      <c r="E81" s="836"/>
      <c r="F81" s="836"/>
      <c r="G81" s="836"/>
      <c r="H81" s="836"/>
      <c r="I81" s="836"/>
      <c r="J81" s="836"/>
      <c r="K81" s="836"/>
      <c r="L81" s="836"/>
      <c r="M81" s="837"/>
      <c r="N81" s="911"/>
      <c r="O81" s="912"/>
      <c r="P81" s="912"/>
      <c r="Q81" s="912"/>
      <c r="R81" s="912"/>
      <c r="S81" s="913"/>
      <c r="T81" s="949"/>
      <c r="U81" s="950"/>
      <c r="V81" s="848"/>
      <c r="W81" s="849"/>
      <c r="X81" s="835"/>
      <c r="Y81" s="836"/>
      <c r="Z81" s="836"/>
      <c r="AA81" s="837"/>
      <c r="AB81" s="835"/>
      <c r="AC81" s="836"/>
      <c r="AD81" s="837"/>
      <c r="AE81" s="860"/>
      <c r="AF81" s="870"/>
      <c r="AG81" s="860"/>
      <c r="AH81" s="870"/>
      <c r="AI81" s="919"/>
      <c r="AJ81" s="865"/>
      <c r="AK81" s="1001"/>
      <c r="AL81" s="1002"/>
      <c r="AM81" s="1002"/>
      <c r="AN81" s="919"/>
      <c r="AO81" s="926"/>
      <c r="AP81" s="926"/>
      <c r="AQ81" s="865"/>
      <c r="AS81" s="59"/>
      <c r="AT81" s="59"/>
      <c r="AU81" s="809"/>
      <c r="AW81" s="59"/>
      <c r="BC81" s="826"/>
    </row>
    <row r="82" spans="2:55" ht="15.95" hidden="1" customHeight="1">
      <c r="B82" s="923">
        <v>34</v>
      </c>
      <c r="C82" s="866"/>
      <c r="D82" s="867"/>
      <c r="E82" s="867"/>
      <c r="F82" s="867"/>
      <c r="G82" s="867"/>
      <c r="H82" s="867"/>
      <c r="I82" s="867"/>
      <c r="J82" s="867"/>
      <c r="K82" s="867"/>
      <c r="L82" s="867"/>
      <c r="M82" s="868"/>
      <c r="N82" s="908" t="str">
        <f>IFERROR(IF(C82="","",INDEX(PMGHVAC[Base Desc 1],MATCH(C82,PMGHVAC[Eff Desc 1],0))),"")</f>
        <v/>
      </c>
      <c r="O82" s="909"/>
      <c r="P82" s="909"/>
      <c r="Q82" s="909"/>
      <c r="R82" s="909"/>
      <c r="S82" s="910"/>
      <c r="T82" s="947" t="str">
        <f>IFERROR(IF(C82="","",INDEX(PMGHVAC[Unit of Measure],MATCH(C82,PMGHVAC[Eff Desc 1],0))),"")</f>
        <v/>
      </c>
      <c r="U82" s="948"/>
      <c r="V82" s="871"/>
      <c r="W82" s="872"/>
      <c r="X82" s="832"/>
      <c r="Y82" s="833"/>
      <c r="Z82" s="833"/>
      <c r="AA82" s="834"/>
      <c r="AB82" s="832"/>
      <c r="AC82" s="833"/>
      <c r="AD82" s="834"/>
      <c r="AE82" s="858"/>
      <c r="AF82" s="869"/>
      <c r="AG82" s="858"/>
      <c r="AH82" s="869"/>
      <c r="AI82" s="917" t="str">
        <f>IFERROR(IF(C82="","",INDEX(PMGHVAC[Inc Rate Unit],MATCH(C82,PMGHVAC[Eff Desc 1],0))),"")</f>
        <v/>
      </c>
      <c r="AJ82" s="918"/>
      <c r="AK82" s="998" t="str">
        <f>IF(OR(C82="",V82="",X82="",AB82="",AE82="",AG82=""),"",ROUND(V82*INDEX(PMGHVAC[Savings per Unit Therm],MATCH(C82,PMGHVAC[Eff Desc 1],0)),2))</f>
        <v/>
      </c>
      <c r="AL82" s="999"/>
      <c r="AM82" s="999"/>
      <c r="AN82" s="924" t="str">
        <f t="shared" ref="AN82" si="71">IF(OR(C82="",V82="",X82="",AB82="",AE82="",AG82=""),"",IF(BC82&lt;&gt;"",BC82,MIN(AU82,ROUND(V82*AI82,2))))</f>
        <v/>
      </c>
      <c r="AO82" s="925"/>
      <c r="AP82" s="925"/>
      <c r="AQ82" s="863"/>
      <c r="AS82" s="59"/>
      <c r="AT82" s="59"/>
      <c r="AU82" s="808" t="str">
        <f t="shared" ref="AU82" si="72">IF(OR(C82="",V82="",X82="",AB82="",AE82="",AG82=""),"",ROUND((AE82+AG82)*V82,2))</f>
        <v/>
      </c>
      <c r="AW82" s="59"/>
      <c r="BC82" s="825"/>
    </row>
    <row r="83" spans="2:55" ht="15.95" hidden="1" customHeight="1">
      <c r="B83" s="923"/>
      <c r="C83" s="835"/>
      <c r="D83" s="836"/>
      <c r="E83" s="836"/>
      <c r="F83" s="836"/>
      <c r="G83" s="836"/>
      <c r="H83" s="836"/>
      <c r="I83" s="836"/>
      <c r="J83" s="836"/>
      <c r="K83" s="836"/>
      <c r="L83" s="836"/>
      <c r="M83" s="837"/>
      <c r="N83" s="911"/>
      <c r="O83" s="912"/>
      <c r="P83" s="912"/>
      <c r="Q83" s="912"/>
      <c r="R83" s="912"/>
      <c r="S83" s="913"/>
      <c r="T83" s="949"/>
      <c r="U83" s="950"/>
      <c r="V83" s="848"/>
      <c r="W83" s="849"/>
      <c r="X83" s="835"/>
      <c r="Y83" s="836"/>
      <c r="Z83" s="836"/>
      <c r="AA83" s="837"/>
      <c r="AB83" s="835"/>
      <c r="AC83" s="836"/>
      <c r="AD83" s="837"/>
      <c r="AE83" s="860"/>
      <c r="AF83" s="870"/>
      <c r="AG83" s="860"/>
      <c r="AH83" s="870"/>
      <c r="AI83" s="919"/>
      <c r="AJ83" s="865"/>
      <c r="AK83" s="1001"/>
      <c r="AL83" s="1002"/>
      <c r="AM83" s="1002"/>
      <c r="AN83" s="919"/>
      <c r="AO83" s="926"/>
      <c r="AP83" s="926"/>
      <c r="AQ83" s="865"/>
      <c r="AS83" s="59"/>
      <c r="AT83" s="59"/>
      <c r="AU83" s="809"/>
      <c r="AW83" s="59"/>
      <c r="BC83" s="826"/>
    </row>
    <row r="84" spans="2:55" ht="15.95" hidden="1" customHeight="1">
      <c r="B84" s="923">
        <v>35</v>
      </c>
      <c r="C84" s="866"/>
      <c r="D84" s="867"/>
      <c r="E84" s="867"/>
      <c r="F84" s="867"/>
      <c r="G84" s="867"/>
      <c r="H84" s="867"/>
      <c r="I84" s="867"/>
      <c r="J84" s="867"/>
      <c r="K84" s="867"/>
      <c r="L84" s="867"/>
      <c r="M84" s="868"/>
      <c r="N84" s="908" t="str">
        <f>IFERROR(IF(C84="","",INDEX(PMGHVAC[Base Desc 1],MATCH(C84,PMGHVAC[Eff Desc 1],0))),"")</f>
        <v/>
      </c>
      <c r="O84" s="909"/>
      <c r="P84" s="909"/>
      <c r="Q84" s="909"/>
      <c r="R84" s="909"/>
      <c r="S84" s="910"/>
      <c r="T84" s="947" t="str">
        <f>IFERROR(IF(C84="","",INDEX(PMGHVAC[Unit of Measure],MATCH(C84,PMGHVAC[Eff Desc 1],0))),"")</f>
        <v/>
      </c>
      <c r="U84" s="948"/>
      <c r="V84" s="871"/>
      <c r="W84" s="872"/>
      <c r="X84" s="832"/>
      <c r="Y84" s="833"/>
      <c r="Z84" s="833"/>
      <c r="AA84" s="834"/>
      <c r="AB84" s="832"/>
      <c r="AC84" s="833"/>
      <c r="AD84" s="834"/>
      <c r="AE84" s="858"/>
      <c r="AF84" s="869"/>
      <c r="AG84" s="858"/>
      <c r="AH84" s="869"/>
      <c r="AI84" s="917" t="str">
        <f>IFERROR(IF(C84="","",INDEX(PMGHVAC[Inc Rate Unit],MATCH(C84,PMGHVAC[Eff Desc 1],0))),"")</f>
        <v/>
      </c>
      <c r="AJ84" s="918"/>
      <c r="AK84" s="998" t="str">
        <f>IF(OR(C84="",V84="",X84="",AB84="",AE84="",AG84=""),"",ROUND(V84*INDEX(PMGHVAC[Savings per Unit Therm],MATCH(C84,PMGHVAC[Eff Desc 1],0)),2))</f>
        <v/>
      </c>
      <c r="AL84" s="999"/>
      <c r="AM84" s="999"/>
      <c r="AN84" s="924" t="str">
        <f t="shared" ref="AN84" si="73">IF(OR(C84="",V84="",X84="",AB84="",AE84="",AG84=""),"",IF(BC84&lt;&gt;"",BC84,MIN(AU84,ROUND(V84*AI84,2))))</f>
        <v/>
      </c>
      <c r="AO84" s="925"/>
      <c r="AP84" s="925"/>
      <c r="AQ84" s="863"/>
      <c r="AS84" s="59"/>
      <c r="AT84" s="59"/>
      <c r="AU84" s="808" t="str">
        <f t="shared" ref="AU84" si="74">IF(OR(C84="",V84="",X84="",AB84="",AE84="",AG84=""),"",ROUND((AE84+AG84)*V84,2))</f>
        <v/>
      </c>
      <c r="AW84" s="59"/>
      <c r="BC84" s="825"/>
    </row>
    <row r="85" spans="2:55" ht="15.95" hidden="1" customHeight="1">
      <c r="B85" s="923"/>
      <c r="C85" s="835"/>
      <c r="D85" s="836"/>
      <c r="E85" s="836"/>
      <c r="F85" s="836"/>
      <c r="G85" s="836"/>
      <c r="H85" s="836"/>
      <c r="I85" s="836"/>
      <c r="J85" s="836"/>
      <c r="K85" s="836"/>
      <c r="L85" s="836"/>
      <c r="M85" s="837"/>
      <c r="N85" s="911"/>
      <c r="O85" s="912"/>
      <c r="P85" s="912"/>
      <c r="Q85" s="912"/>
      <c r="R85" s="912"/>
      <c r="S85" s="913"/>
      <c r="T85" s="949"/>
      <c r="U85" s="950"/>
      <c r="V85" s="848"/>
      <c r="W85" s="849"/>
      <c r="X85" s="835"/>
      <c r="Y85" s="836"/>
      <c r="Z85" s="836"/>
      <c r="AA85" s="837"/>
      <c r="AB85" s="835"/>
      <c r="AC85" s="836"/>
      <c r="AD85" s="837"/>
      <c r="AE85" s="860"/>
      <c r="AF85" s="870"/>
      <c r="AG85" s="860"/>
      <c r="AH85" s="870"/>
      <c r="AI85" s="919"/>
      <c r="AJ85" s="865"/>
      <c r="AK85" s="1001"/>
      <c r="AL85" s="1002"/>
      <c r="AM85" s="1002"/>
      <c r="AN85" s="919"/>
      <c r="AO85" s="926"/>
      <c r="AP85" s="926"/>
      <c r="AQ85" s="865"/>
      <c r="AS85" s="59"/>
      <c r="AT85" s="59"/>
      <c r="AU85" s="809"/>
      <c r="AW85" s="59"/>
      <c r="BC85" s="826"/>
    </row>
    <row r="86" spans="2:55" ht="15.95" hidden="1" customHeight="1">
      <c r="B86" s="923">
        <v>36</v>
      </c>
      <c r="C86" s="866"/>
      <c r="D86" s="867"/>
      <c r="E86" s="867"/>
      <c r="F86" s="867"/>
      <c r="G86" s="867"/>
      <c r="H86" s="867"/>
      <c r="I86" s="867"/>
      <c r="J86" s="867"/>
      <c r="K86" s="867"/>
      <c r="L86" s="867"/>
      <c r="M86" s="868"/>
      <c r="N86" s="908" t="str">
        <f>IFERROR(IF(C86="","",INDEX(PMGHVAC[Base Desc 1],MATCH(C86,PMGHVAC[Eff Desc 1],0))),"")</f>
        <v/>
      </c>
      <c r="O86" s="909"/>
      <c r="P86" s="909"/>
      <c r="Q86" s="909"/>
      <c r="R86" s="909"/>
      <c r="S86" s="910"/>
      <c r="T86" s="947" t="str">
        <f>IFERROR(IF(C86="","",INDEX(PMGHVAC[Unit of Measure],MATCH(C86,PMGHVAC[Eff Desc 1],0))),"")</f>
        <v/>
      </c>
      <c r="U86" s="948"/>
      <c r="V86" s="871"/>
      <c r="W86" s="872"/>
      <c r="X86" s="832"/>
      <c r="Y86" s="833"/>
      <c r="Z86" s="833"/>
      <c r="AA86" s="834"/>
      <c r="AB86" s="832"/>
      <c r="AC86" s="833"/>
      <c r="AD86" s="834"/>
      <c r="AE86" s="858"/>
      <c r="AF86" s="869"/>
      <c r="AG86" s="858"/>
      <c r="AH86" s="869"/>
      <c r="AI86" s="917" t="str">
        <f>IFERROR(IF(C86="","",INDEX(PMGHVAC[Inc Rate Unit],MATCH(C86,PMGHVAC[Eff Desc 1],0))),"")</f>
        <v/>
      </c>
      <c r="AJ86" s="918"/>
      <c r="AK86" s="998" t="str">
        <f>IF(OR(C86="",V86="",X86="",AB86="",AE86="",AG86=""),"",ROUND(V86*INDEX(PMGHVAC[Savings per Unit Therm],MATCH(C86,PMGHVAC[Eff Desc 1],0)),2))</f>
        <v/>
      </c>
      <c r="AL86" s="999"/>
      <c r="AM86" s="999"/>
      <c r="AN86" s="924" t="str">
        <f t="shared" ref="AN86" si="75">IF(OR(C86="",V86="",X86="",AB86="",AE86="",AG86=""),"",IF(BC86&lt;&gt;"",BC86,MIN(AU86,ROUND(V86*AI86,2))))</f>
        <v/>
      </c>
      <c r="AO86" s="925"/>
      <c r="AP86" s="925"/>
      <c r="AQ86" s="863"/>
      <c r="AS86" s="59"/>
      <c r="AT86" s="59"/>
      <c r="AU86" s="808" t="str">
        <f t="shared" ref="AU86" si="76">IF(OR(C86="",V86="",X86="",AB86="",AE86="",AG86=""),"",ROUND((AE86+AG86)*V86,2))</f>
        <v/>
      </c>
      <c r="AW86" s="59"/>
      <c r="BC86" s="825"/>
    </row>
    <row r="87" spans="2:55" ht="15.95" hidden="1" customHeight="1">
      <c r="B87" s="923"/>
      <c r="C87" s="835"/>
      <c r="D87" s="836"/>
      <c r="E87" s="836"/>
      <c r="F87" s="836"/>
      <c r="G87" s="836"/>
      <c r="H87" s="836"/>
      <c r="I87" s="836"/>
      <c r="J87" s="836"/>
      <c r="K87" s="836"/>
      <c r="L87" s="836"/>
      <c r="M87" s="837"/>
      <c r="N87" s="911"/>
      <c r="O87" s="912"/>
      <c r="P87" s="912"/>
      <c r="Q87" s="912"/>
      <c r="R87" s="912"/>
      <c r="S87" s="913"/>
      <c r="T87" s="949"/>
      <c r="U87" s="950"/>
      <c r="V87" s="848"/>
      <c r="W87" s="849"/>
      <c r="X87" s="835"/>
      <c r="Y87" s="836"/>
      <c r="Z87" s="836"/>
      <c r="AA87" s="837"/>
      <c r="AB87" s="835"/>
      <c r="AC87" s="836"/>
      <c r="AD87" s="837"/>
      <c r="AE87" s="860"/>
      <c r="AF87" s="870"/>
      <c r="AG87" s="860"/>
      <c r="AH87" s="870"/>
      <c r="AI87" s="919"/>
      <c r="AJ87" s="865"/>
      <c r="AK87" s="1001"/>
      <c r="AL87" s="1002"/>
      <c r="AM87" s="1002"/>
      <c r="AN87" s="919"/>
      <c r="AO87" s="926"/>
      <c r="AP87" s="926"/>
      <c r="AQ87" s="865"/>
      <c r="AS87" s="59"/>
      <c r="AT87" s="59"/>
      <c r="AU87" s="809"/>
      <c r="AW87" s="59"/>
      <c r="BC87" s="826"/>
    </row>
    <row r="88" spans="2:55" ht="15.95" hidden="1" customHeight="1">
      <c r="B88" s="923">
        <v>37</v>
      </c>
      <c r="C88" s="866"/>
      <c r="D88" s="867"/>
      <c r="E88" s="867"/>
      <c r="F88" s="867"/>
      <c r="G88" s="867"/>
      <c r="H88" s="867"/>
      <c r="I88" s="867"/>
      <c r="J88" s="867"/>
      <c r="K88" s="867"/>
      <c r="L88" s="867"/>
      <c r="M88" s="868"/>
      <c r="N88" s="908" t="str">
        <f>IFERROR(IF(C88="","",INDEX(PMGHVAC[Base Desc 1],MATCH(C88,PMGHVAC[Eff Desc 1],0))),"")</f>
        <v/>
      </c>
      <c r="O88" s="909"/>
      <c r="P88" s="909"/>
      <c r="Q88" s="909"/>
      <c r="R88" s="909"/>
      <c r="S88" s="910"/>
      <c r="T88" s="947" t="str">
        <f>IFERROR(IF(C88="","",INDEX(PMGHVAC[Unit of Measure],MATCH(C88,PMGHVAC[Eff Desc 1],0))),"")</f>
        <v/>
      </c>
      <c r="U88" s="948"/>
      <c r="V88" s="871"/>
      <c r="W88" s="872"/>
      <c r="X88" s="832"/>
      <c r="Y88" s="833"/>
      <c r="Z88" s="833"/>
      <c r="AA88" s="834"/>
      <c r="AB88" s="832"/>
      <c r="AC88" s="833"/>
      <c r="AD88" s="834"/>
      <c r="AE88" s="858"/>
      <c r="AF88" s="869"/>
      <c r="AG88" s="858"/>
      <c r="AH88" s="869"/>
      <c r="AI88" s="917" t="str">
        <f>IFERROR(IF(C88="","",INDEX(PMGHVAC[Inc Rate Unit],MATCH(C88,PMGHVAC[Eff Desc 1],0))),"")</f>
        <v/>
      </c>
      <c r="AJ88" s="918"/>
      <c r="AK88" s="998" t="str">
        <f>IF(OR(C88="",V88="",X88="",AB88="",AE88="",AG88=""),"",ROUND(V88*INDEX(PMGHVAC[Savings per Unit Therm],MATCH(C88,PMGHVAC[Eff Desc 1],0)),2))</f>
        <v/>
      </c>
      <c r="AL88" s="999"/>
      <c r="AM88" s="999"/>
      <c r="AN88" s="924" t="str">
        <f t="shared" ref="AN88" si="77">IF(OR(C88="",V88="",X88="",AB88="",AE88="",AG88=""),"",IF(BC88&lt;&gt;"",BC88,MIN(AU88,ROUND(V88*AI88,2))))</f>
        <v/>
      </c>
      <c r="AO88" s="925"/>
      <c r="AP88" s="925"/>
      <c r="AQ88" s="863"/>
      <c r="AS88" s="59"/>
      <c r="AT88" s="59"/>
      <c r="AU88" s="808" t="str">
        <f t="shared" ref="AU88" si="78">IF(OR(C88="",V88="",X88="",AB88="",AE88="",AG88=""),"",ROUND((AE88+AG88)*V88,2))</f>
        <v/>
      </c>
      <c r="AW88" s="59"/>
      <c r="BC88" s="825"/>
    </row>
    <row r="89" spans="2:55" ht="15.95" hidden="1" customHeight="1">
      <c r="B89" s="923"/>
      <c r="C89" s="835"/>
      <c r="D89" s="836"/>
      <c r="E89" s="836"/>
      <c r="F89" s="836"/>
      <c r="G89" s="836"/>
      <c r="H89" s="836"/>
      <c r="I89" s="836"/>
      <c r="J89" s="836"/>
      <c r="K89" s="836"/>
      <c r="L89" s="836"/>
      <c r="M89" s="837"/>
      <c r="N89" s="911"/>
      <c r="O89" s="912"/>
      <c r="P89" s="912"/>
      <c r="Q89" s="912"/>
      <c r="R89" s="912"/>
      <c r="S89" s="913"/>
      <c r="T89" s="949"/>
      <c r="U89" s="950"/>
      <c r="V89" s="848"/>
      <c r="W89" s="849"/>
      <c r="X89" s="835"/>
      <c r="Y89" s="836"/>
      <c r="Z89" s="836"/>
      <c r="AA89" s="837"/>
      <c r="AB89" s="835"/>
      <c r="AC89" s="836"/>
      <c r="AD89" s="837"/>
      <c r="AE89" s="860"/>
      <c r="AF89" s="870"/>
      <c r="AG89" s="860"/>
      <c r="AH89" s="870"/>
      <c r="AI89" s="919"/>
      <c r="AJ89" s="865"/>
      <c r="AK89" s="1001"/>
      <c r="AL89" s="1002"/>
      <c r="AM89" s="1002"/>
      <c r="AN89" s="919"/>
      <c r="AO89" s="926"/>
      <c r="AP89" s="926"/>
      <c r="AQ89" s="865"/>
      <c r="AS89" s="59"/>
      <c r="AT89" s="59"/>
      <c r="AU89" s="809"/>
      <c r="AW89" s="59"/>
      <c r="BC89" s="826"/>
    </row>
    <row r="90" spans="2:55" ht="15.95" hidden="1" customHeight="1">
      <c r="B90" s="923">
        <v>38</v>
      </c>
      <c r="C90" s="866"/>
      <c r="D90" s="867"/>
      <c r="E90" s="867"/>
      <c r="F90" s="867"/>
      <c r="G90" s="867"/>
      <c r="H90" s="867"/>
      <c r="I90" s="867"/>
      <c r="J90" s="867"/>
      <c r="K90" s="867"/>
      <c r="L90" s="867"/>
      <c r="M90" s="868"/>
      <c r="N90" s="908" t="str">
        <f>IFERROR(IF(C90="","",INDEX(PMGHVAC[Base Desc 1],MATCH(C90,PMGHVAC[Eff Desc 1],0))),"")</f>
        <v/>
      </c>
      <c r="O90" s="909"/>
      <c r="P90" s="909"/>
      <c r="Q90" s="909"/>
      <c r="R90" s="909"/>
      <c r="S90" s="910"/>
      <c r="T90" s="947" t="str">
        <f>IFERROR(IF(C90="","",INDEX(PMGHVAC[Unit of Measure],MATCH(C90,PMGHVAC[Eff Desc 1],0))),"")</f>
        <v/>
      </c>
      <c r="U90" s="948"/>
      <c r="V90" s="871"/>
      <c r="W90" s="872"/>
      <c r="X90" s="832"/>
      <c r="Y90" s="833"/>
      <c r="Z90" s="833"/>
      <c r="AA90" s="834"/>
      <c r="AB90" s="832"/>
      <c r="AC90" s="833"/>
      <c r="AD90" s="834"/>
      <c r="AE90" s="858"/>
      <c r="AF90" s="869"/>
      <c r="AG90" s="858"/>
      <c r="AH90" s="869"/>
      <c r="AI90" s="917" t="str">
        <f>IFERROR(IF(C90="","",INDEX(PMGHVAC[Inc Rate Unit],MATCH(C90,PMGHVAC[Eff Desc 1],0))),"")</f>
        <v/>
      </c>
      <c r="AJ90" s="918"/>
      <c r="AK90" s="998" t="str">
        <f>IF(OR(C90="",V90="",X90="",AB90="",AE90="",AG90=""),"",ROUND(V90*INDEX(PMGHVAC[Savings per Unit Therm],MATCH(C90,PMGHVAC[Eff Desc 1],0)),2))</f>
        <v/>
      </c>
      <c r="AL90" s="999"/>
      <c r="AM90" s="999"/>
      <c r="AN90" s="924" t="str">
        <f t="shared" ref="AN90" si="79">IF(OR(C90="",V90="",X90="",AB90="",AE90="",AG90=""),"",IF(BC90&lt;&gt;"",BC90,MIN(AU90,ROUND(V90*AI90,2))))</f>
        <v/>
      </c>
      <c r="AO90" s="925"/>
      <c r="AP90" s="925"/>
      <c r="AQ90" s="863"/>
      <c r="AS90" s="59"/>
      <c r="AT90" s="59"/>
      <c r="AU90" s="808" t="str">
        <f t="shared" ref="AU90" si="80">IF(OR(C90="",V90="",X90="",AB90="",AE90="",AG90=""),"",ROUND((AE90+AG90)*V90,2))</f>
        <v/>
      </c>
      <c r="AW90" s="59"/>
      <c r="BC90" s="825"/>
    </row>
    <row r="91" spans="2:55" ht="15.95" hidden="1" customHeight="1">
      <c r="B91" s="923"/>
      <c r="C91" s="835"/>
      <c r="D91" s="836"/>
      <c r="E91" s="836"/>
      <c r="F91" s="836"/>
      <c r="G91" s="836"/>
      <c r="H91" s="836"/>
      <c r="I91" s="836"/>
      <c r="J91" s="836"/>
      <c r="K91" s="836"/>
      <c r="L91" s="836"/>
      <c r="M91" s="837"/>
      <c r="N91" s="911"/>
      <c r="O91" s="912"/>
      <c r="P91" s="912"/>
      <c r="Q91" s="912"/>
      <c r="R91" s="912"/>
      <c r="S91" s="913"/>
      <c r="T91" s="949"/>
      <c r="U91" s="950"/>
      <c r="V91" s="848"/>
      <c r="W91" s="849"/>
      <c r="X91" s="835"/>
      <c r="Y91" s="836"/>
      <c r="Z91" s="836"/>
      <c r="AA91" s="837"/>
      <c r="AB91" s="835"/>
      <c r="AC91" s="836"/>
      <c r="AD91" s="837"/>
      <c r="AE91" s="860"/>
      <c r="AF91" s="870"/>
      <c r="AG91" s="860"/>
      <c r="AH91" s="870"/>
      <c r="AI91" s="919"/>
      <c r="AJ91" s="865"/>
      <c r="AK91" s="1001"/>
      <c r="AL91" s="1002"/>
      <c r="AM91" s="1002"/>
      <c r="AN91" s="919"/>
      <c r="AO91" s="926"/>
      <c r="AP91" s="926"/>
      <c r="AQ91" s="865"/>
      <c r="AS91" s="59"/>
      <c r="AT91" s="59"/>
      <c r="AU91" s="809"/>
      <c r="AW91" s="59"/>
      <c r="BC91" s="826"/>
    </row>
    <row r="92" spans="2:55" ht="15.95" hidden="1" customHeight="1">
      <c r="B92" s="923">
        <v>39</v>
      </c>
      <c r="C92" s="866"/>
      <c r="D92" s="867"/>
      <c r="E92" s="867"/>
      <c r="F92" s="867"/>
      <c r="G92" s="867"/>
      <c r="H92" s="867"/>
      <c r="I92" s="867"/>
      <c r="J92" s="867"/>
      <c r="K92" s="867"/>
      <c r="L92" s="867"/>
      <c r="M92" s="868"/>
      <c r="N92" s="908" t="str">
        <f>IFERROR(IF(C92="","",INDEX(PMGHVAC[Base Desc 1],MATCH(C92,PMGHVAC[Eff Desc 1],0))),"")</f>
        <v/>
      </c>
      <c r="O92" s="909"/>
      <c r="P92" s="909"/>
      <c r="Q92" s="909"/>
      <c r="R92" s="909"/>
      <c r="S92" s="910"/>
      <c r="T92" s="947" t="str">
        <f>IFERROR(IF(C92="","",INDEX(PMGHVAC[Unit of Measure],MATCH(C92,PMGHVAC[Eff Desc 1],0))),"")</f>
        <v/>
      </c>
      <c r="U92" s="948"/>
      <c r="V92" s="871"/>
      <c r="W92" s="872"/>
      <c r="X92" s="832"/>
      <c r="Y92" s="833"/>
      <c r="Z92" s="833"/>
      <c r="AA92" s="834"/>
      <c r="AB92" s="832"/>
      <c r="AC92" s="833"/>
      <c r="AD92" s="834"/>
      <c r="AE92" s="858"/>
      <c r="AF92" s="869"/>
      <c r="AG92" s="858"/>
      <c r="AH92" s="869"/>
      <c r="AI92" s="917" t="str">
        <f>IFERROR(IF(C92="","",INDEX(PMGHVAC[Inc Rate Unit],MATCH(C92,PMGHVAC[Eff Desc 1],0))),"")</f>
        <v/>
      </c>
      <c r="AJ92" s="918"/>
      <c r="AK92" s="998" t="str">
        <f>IF(OR(C92="",V92="",X92="",AB92="",AE92="",AG92=""),"",ROUND(V92*INDEX(PMGHVAC[Savings per Unit Therm],MATCH(C92,PMGHVAC[Eff Desc 1],0)),2))</f>
        <v/>
      </c>
      <c r="AL92" s="999"/>
      <c r="AM92" s="999"/>
      <c r="AN92" s="924" t="str">
        <f t="shared" ref="AN92" si="81">IF(OR(C92="",V92="",X92="",AB92="",AE92="",AG92=""),"",IF(BC92&lt;&gt;"",BC92,MIN(AU92,ROUND(V92*AI92,2))))</f>
        <v/>
      </c>
      <c r="AO92" s="925"/>
      <c r="AP92" s="925"/>
      <c r="AQ92" s="863"/>
      <c r="AS92" s="59"/>
      <c r="AT92" s="59"/>
      <c r="AU92" s="808" t="str">
        <f t="shared" ref="AU92" si="82">IF(OR(C92="",V92="",X92="",AB92="",AE92="",AG92=""),"",ROUND((AE92+AG92)*V92,2))</f>
        <v/>
      </c>
      <c r="AW92" s="59"/>
      <c r="BC92" s="825"/>
    </row>
    <row r="93" spans="2:55" ht="15.95" hidden="1" customHeight="1">
      <c r="B93" s="923"/>
      <c r="C93" s="835"/>
      <c r="D93" s="836"/>
      <c r="E93" s="836"/>
      <c r="F93" s="836"/>
      <c r="G93" s="836"/>
      <c r="H93" s="836"/>
      <c r="I93" s="836"/>
      <c r="J93" s="836"/>
      <c r="K93" s="836"/>
      <c r="L93" s="836"/>
      <c r="M93" s="837"/>
      <c r="N93" s="911"/>
      <c r="O93" s="912"/>
      <c r="P93" s="912"/>
      <c r="Q93" s="912"/>
      <c r="R93" s="912"/>
      <c r="S93" s="913"/>
      <c r="T93" s="949"/>
      <c r="U93" s="950"/>
      <c r="V93" s="848"/>
      <c r="W93" s="849"/>
      <c r="X93" s="835"/>
      <c r="Y93" s="836"/>
      <c r="Z93" s="836"/>
      <c r="AA93" s="837"/>
      <c r="AB93" s="835"/>
      <c r="AC93" s="836"/>
      <c r="AD93" s="837"/>
      <c r="AE93" s="860"/>
      <c r="AF93" s="870"/>
      <c r="AG93" s="860"/>
      <c r="AH93" s="870"/>
      <c r="AI93" s="919"/>
      <c r="AJ93" s="865"/>
      <c r="AK93" s="1001"/>
      <c r="AL93" s="1002"/>
      <c r="AM93" s="1002"/>
      <c r="AN93" s="919"/>
      <c r="AO93" s="926"/>
      <c r="AP93" s="926"/>
      <c r="AQ93" s="865"/>
      <c r="AS93" s="59"/>
      <c r="AT93" s="59"/>
      <c r="AU93" s="809"/>
      <c r="AW93" s="59"/>
      <c r="BC93" s="826"/>
    </row>
    <row r="94" spans="2:55" ht="15.95" hidden="1" customHeight="1">
      <c r="B94" s="923">
        <v>40</v>
      </c>
      <c r="C94" s="866"/>
      <c r="D94" s="867"/>
      <c r="E94" s="867"/>
      <c r="F94" s="867"/>
      <c r="G94" s="867"/>
      <c r="H94" s="867"/>
      <c r="I94" s="867"/>
      <c r="J94" s="867"/>
      <c r="K94" s="867"/>
      <c r="L94" s="867"/>
      <c r="M94" s="868"/>
      <c r="N94" s="908" t="str">
        <f>IFERROR(IF(C94="","",INDEX(PMGHVAC[Base Desc 1],MATCH(C94,PMGHVAC[Eff Desc 1],0))),"")</f>
        <v/>
      </c>
      <c r="O94" s="909"/>
      <c r="P94" s="909"/>
      <c r="Q94" s="909"/>
      <c r="R94" s="909"/>
      <c r="S94" s="910"/>
      <c r="T94" s="947" t="str">
        <f>IFERROR(IF(C94="","",INDEX(PMGHVAC[Unit of Measure],MATCH(C94,PMGHVAC[Eff Desc 1],0))),"")</f>
        <v/>
      </c>
      <c r="U94" s="948"/>
      <c r="V94" s="871"/>
      <c r="W94" s="872"/>
      <c r="X94" s="832"/>
      <c r="Y94" s="833"/>
      <c r="Z94" s="833"/>
      <c r="AA94" s="834"/>
      <c r="AB94" s="832"/>
      <c r="AC94" s="833"/>
      <c r="AD94" s="834"/>
      <c r="AE94" s="858"/>
      <c r="AF94" s="869"/>
      <c r="AG94" s="858"/>
      <c r="AH94" s="869"/>
      <c r="AI94" s="917" t="str">
        <f>IFERROR(IF(C94="","",INDEX(PMGHVAC[Inc Rate Unit],MATCH(C94,PMGHVAC[Eff Desc 1],0))),"")</f>
        <v/>
      </c>
      <c r="AJ94" s="918"/>
      <c r="AK94" s="998" t="str">
        <f>IF(OR(C94="",V94="",X94="",AB94="",AE94="",AG94=""),"",ROUND(V94*INDEX(PMGHVAC[Savings per Unit Therm],MATCH(C94,PMGHVAC[Eff Desc 1],0)),2))</f>
        <v/>
      </c>
      <c r="AL94" s="999"/>
      <c r="AM94" s="999"/>
      <c r="AN94" s="924" t="str">
        <f t="shared" ref="AN94" si="83">IF(OR(C94="",V94="",X94="",AB94="",AE94="",AG94=""),"",IF(BC94&lt;&gt;"",BC94,MIN(AU94,ROUND(V94*AI94,2))))</f>
        <v/>
      </c>
      <c r="AO94" s="925"/>
      <c r="AP94" s="925"/>
      <c r="AQ94" s="863"/>
      <c r="AS94" s="59"/>
      <c r="AT94" s="59"/>
      <c r="AU94" s="808" t="str">
        <f t="shared" ref="AU94" si="84">IF(OR(C94="",V94="",X94="",AB94="",AE94="",AG94=""),"",ROUND((AE94+AG94)*V94,2))</f>
        <v/>
      </c>
      <c r="AW94" s="59"/>
      <c r="BC94" s="825"/>
    </row>
    <row r="95" spans="2:55" ht="15.95" hidden="1" customHeight="1">
      <c r="B95" s="923"/>
      <c r="C95" s="835"/>
      <c r="D95" s="836"/>
      <c r="E95" s="836"/>
      <c r="F95" s="836"/>
      <c r="G95" s="836"/>
      <c r="H95" s="836"/>
      <c r="I95" s="836"/>
      <c r="J95" s="836"/>
      <c r="K95" s="836"/>
      <c r="L95" s="836"/>
      <c r="M95" s="837"/>
      <c r="N95" s="911"/>
      <c r="O95" s="912"/>
      <c r="P95" s="912"/>
      <c r="Q95" s="912"/>
      <c r="R95" s="912"/>
      <c r="S95" s="913"/>
      <c r="T95" s="949"/>
      <c r="U95" s="950"/>
      <c r="V95" s="848"/>
      <c r="W95" s="849"/>
      <c r="X95" s="835"/>
      <c r="Y95" s="836"/>
      <c r="Z95" s="836"/>
      <c r="AA95" s="837"/>
      <c r="AB95" s="835"/>
      <c r="AC95" s="836"/>
      <c r="AD95" s="837"/>
      <c r="AE95" s="860"/>
      <c r="AF95" s="870"/>
      <c r="AG95" s="860"/>
      <c r="AH95" s="870"/>
      <c r="AI95" s="919"/>
      <c r="AJ95" s="865"/>
      <c r="AK95" s="1001"/>
      <c r="AL95" s="1002"/>
      <c r="AM95" s="1002"/>
      <c r="AN95" s="919"/>
      <c r="AO95" s="926"/>
      <c r="AP95" s="926"/>
      <c r="AQ95" s="865"/>
      <c r="AS95" s="59"/>
      <c r="AT95" s="59"/>
      <c r="AU95" s="809"/>
      <c r="AW95" s="59"/>
      <c r="BC95" s="826"/>
    </row>
    <row r="96" spans="2:55" ht="15.95" hidden="1" customHeight="1">
      <c r="B96" s="923">
        <v>41</v>
      </c>
      <c r="C96" s="866"/>
      <c r="D96" s="867"/>
      <c r="E96" s="867"/>
      <c r="F96" s="867"/>
      <c r="G96" s="867"/>
      <c r="H96" s="867"/>
      <c r="I96" s="867"/>
      <c r="J96" s="867"/>
      <c r="K96" s="867"/>
      <c r="L96" s="867"/>
      <c r="M96" s="868"/>
      <c r="N96" s="908" t="str">
        <f>IFERROR(IF(C96="","",INDEX(PMGHVAC[Base Desc 1],MATCH(C96,PMGHVAC[Eff Desc 1],0))),"")</f>
        <v/>
      </c>
      <c r="O96" s="909"/>
      <c r="P96" s="909"/>
      <c r="Q96" s="909"/>
      <c r="R96" s="909"/>
      <c r="S96" s="910"/>
      <c r="T96" s="947" t="str">
        <f>IFERROR(IF(C96="","",INDEX(PMGHVAC[Unit of Measure],MATCH(C96,PMGHVAC[Eff Desc 1],0))),"")</f>
        <v/>
      </c>
      <c r="U96" s="948"/>
      <c r="V96" s="871"/>
      <c r="W96" s="872"/>
      <c r="X96" s="832"/>
      <c r="Y96" s="833"/>
      <c r="Z96" s="833"/>
      <c r="AA96" s="834"/>
      <c r="AB96" s="832"/>
      <c r="AC96" s="833"/>
      <c r="AD96" s="834"/>
      <c r="AE96" s="858"/>
      <c r="AF96" s="869"/>
      <c r="AG96" s="858"/>
      <c r="AH96" s="869"/>
      <c r="AI96" s="917" t="str">
        <f>IFERROR(IF(C96="","",INDEX(PMGHVAC[Inc Rate Unit],MATCH(C96,PMGHVAC[Eff Desc 1],0))),"")</f>
        <v/>
      </c>
      <c r="AJ96" s="918"/>
      <c r="AK96" s="998" t="str">
        <f>IF(OR(C96="",V96="",X96="",AB96="",AE96="",AG96=""),"",ROUND(V96*INDEX(PMGHVAC[Savings per Unit Therm],MATCH(C96,PMGHVAC[Eff Desc 1],0)),2))</f>
        <v/>
      </c>
      <c r="AL96" s="999"/>
      <c r="AM96" s="999"/>
      <c r="AN96" s="924" t="str">
        <f t="shared" ref="AN96" si="85">IF(OR(C96="",V96="",X96="",AB96="",AE96="",AG96=""),"",IF(BC96&lt;&gt;"",BC96,MIN(AU96,ROUND(V96*AI96,2))))</f>
        <v/>
      </c>
      <c r="AO96" s="925"/>
      <c r="AP96" s="925"/>
      <c r="AQ96" s="863"/>
      <c r="AS96" s="59"/>
      <c r="AT96" s="59"/>
      <c r="AU96" s="808" t="str">
        <f t="shared" ref="AU96" si="86">IF(OR(C96="",V96="",X96="",AB96="",AE96="",AG96=""),"",ROUND((AE96+AG96)*V96,2))</f>
        <v/>
      </c>
      <c r="AW96" s="59"/>
      <c r="BC96" s="825"/>
    </row>
    <row r="97" spans="2:55" ht="15.95" hidden="1" customHeight="1">
      <c r="B97" s="923"/>
      <c r="C97" s="835"/>
      <c r="D97" s="836"/>
      <c r="E97" s="836"/>
      <c r="F97" s="836"/>
      <c r="G97" s="836"/>
      <c r="H97" s="836"/>
      <c r="I97" s="836"/>
      <c r="J97" s="836"/>
      <c r="K97" s="836"/>
      <c r="L97" s="836"/>
      <c r="M97" s="837"/>
      <c r="N97" s="911"/>
      <c r="O97" s="912"/>
      <c r="P97" s="912"/>
      <c r="Q97" s="912"/>
      <c r="R97" s="912"/>
      <c r="S97" s="913"/>
      <c r="T97" s="949"/>
      <c r="U97" s="950"/>
      <c r="V97" s="848"/>
      <c r="W97" s="849"/>
      <c r="X97" s="835"/>
      <c r="Y97" s="836"/>
      <c r="Z97" s="836"/>
      <c r="AA97" s="837"/>
      <c r="AB97" s="835"/>
      <c r="AC97" s="836"/>
      <c r="AD97" s="837"/>
      <c r="AE97" s="860"/>
      <c r="AF97" s="870"/>
      <c r="AG97" s="860"/>
      <c r="AH97" s="870"/>
      <c r="AI97" s="919"/>
      <c r="AJ97" s="865"/>
      <c r="AK97" s="1001"/>
      <c r="AL97" s="1002"/>
      <c r="AM97" s="1002"/>
      <c r="AN97" s="919"/>
      <c r="AO97" s="926"/>
      <c r="AP97" s="926"/>
      <c r="AQ97" s="865"/>
      <c r="AS97" s="59"/>
      <c r="AT97" s="59"/>
      <c r="AU97" s="809"/>
      <c r="AW97" s="59"/>
      <c r="BC97" s="826"/>
    </row>
    <row r="98" spans="2:55" ht="15.95" hidden="1" customHeight="1">
      <c r="B98" s="923">
        <v>42</v>
      </c>
      <c r="C98" s="866"/>
      <c r="D98" s="867"/>
      <c r="E98" s="867"/>
      <c r="F98" s="867"/>
      <c r="G98" s="867"/>
      <c r="H98" s="867"/>
      <c r="I98" s="867"/>
      <c r="J98" s="867"/>
      <c r="K98" s="867"/>
      <c r="L98" s="867"/>
      <c r="M98" s="868"/>
      <c r="N98" s="908" t="str">
        <f>IFERROR(IF(C98="","",INDEX(PMGHVAC[Base Desc 1],MATCH(C98,PMGHVAC[Eff Desc 1],0))),"")</f>
        <v/>
      </c>
      <c r="O98" s="909"/>
      <c r="P98" s="909"/>
      <c r="Q98" s="909"/>
      <c r="R98" s="909"/>
      <c r="S98" s="910"/>
      <c r="T98" s="947" t="str">
        <f>IFERROR(IF(C98="","",INDEX(PMGHVAC[Unit of Measure],MATCH(C98,PMGHVAC[Eff Desc 1],0))),"")</f>
        <v/>
      </c>
      <c r="U98" s="948"/>
      <c r="V98" s="871"/>
      <c r="W98" s="872"/>
      <c r="X98" s="832"/>
      <c r="Y98" s="833"/>
      <c r="Z98" s="833"/>
      <c r="AA98" s="834"/>
      <c r="AB98" s="832"/>
      <c r="AC98" s="833"/>
      <c r="AD98" s="834"/>
      <c r="AE98" s="858"/>
      <c r="AF98" s="869"/>
      <c r="AG98" s="858"/>
      <c r="AH98" s="869"/>
      <c r="AI98" s="917" t="str">
        <f>IFERROR(IF(C98="","",INDEX(PMGHVAC[Inc Rate Unit],MATCH(C98,PMGHVAC[Eff Desc 1],0))),"")</f>
        <v/>
      </c>
      <c r="AJ98" s="918"/>
      <c r="AK98" s="998" t="str">
        <f>IF(OR(C98="",V98="",X98="",AB98="",AE98="",AG98=""),"",ROUND(V98*INDEX(PMGHVAC[Savings per Unit Therm],MATCH(C98,PMGHVAC[Eff Desc 1],0)),2))</f>
        <v/>
      </c>
      <c r="AL98" s="999"/>
      <c r="AM98" s="999"/>
      <c r="AN98" s="924" t="str">
        <f t="shared" ref="AN98" si="87">IF(OR(C98="",V98="",X98="",AB98="",AE98="",AG98=""),"",IF(BC98&lt;&gt;"",BC98,MIN(AU98,ROUND(V98*AI98,2))))</f>
        <v/>
      </c>
      <c r="AO98" s="925"/>
      <c r="AP98" s="925"/>
      <c r="AQ98" s="863"/>
      <c r="AS98" s="59"/>
      <c r="AT98" s="59"/>
      <c r="AU98" s="808" t="str">
        <f t="shared" ref="AU98" si="88">IF(OR(C98="",V98="",X98="",AB98="",AE98="",AG98=""),"",ROUND((AE98+AG98)*V98,2))</f>
        <v/>
      </c>
      <c r="AW98" s="59"/>
      <c r="BC98" s="825"/>
    </row>
    <row r="99" spans="2:55" ht="15.95" hidden="1" customHeight="1">
      <c r="B99" s="923"/>
      <c r="C99" s="835"/>
      <c r="D99" s="836"/>
      <c r="E99" s="836"/>
      <c r="F99" s="836"/>
      <c r="G99" s="836"/>
      <c r="H99" s="836"/>
      <c r="I99" s="836"/>
      <c r="J99" s="836"/>
      <c r="K99" s="836"/>
      <c r="L99" s="836"/>
      <c r="M99" s="837"/>
      <c r="N99" s="911"/>
      <c r="O99" s="912"/>
      <c r="P99" s="912"/>
      <c r="Q99" s="912"/>
      <c r="R99" s="912"/>
      <c r="S99" s="913"/>
      <c r="T99" s="949"/>
      <c r="U99" s="950"/>
      <c r="V99" s="848"/>
      <c r="W99" s="849"/>
      <c r="X99" s="835"/>
      <c r="Y99" s="836"/>
      <c r="Z99" s="836"/>
      <c r="AA99" s="837"/>
      <c r="AB99" s="835"/>
      <c r="AC99" s="836"/>
      <c r="AD99" s="837"/>
      <c r="AE99" s="860"/>
      <c r="AF99" s="870"/>
      <c r="AG99" s="860"/>
      <c r="AH99" s="870"/>
      <c r="AI99" s="919"/>
      <c r="AJ99" s="865"/>
      <c r="AK99" s="1001"/>
      <c r="AL99" s="1002"/>
      <c r="AM99" s="1002"/>
      <c r="AN99" s="919"/>
      <c r="AO99" s="926"/>
      <c r="AP99" s="926"/>
      <c r="AQ99" s="865"/>
      <c r="AS99" s="59"/>
      <c r="AT99" s="59"/>
      <c r="AU99" s="809"/>
      <c r="AW99" s="59"/>
      <c r="BC99" s="826"/>
    </row>
    <row r="100" spans="2:55" ht="15.95" hidden="1" customHeight="1">
      <c r="B100" s="923">
        <v>43</v>
      </c>
      <c r="C100" s="866"/>
      <c r="D100" s="867"/>
      <c r="E100" s="867"/>
      <c r="F100" s="867"/>
      <c r="G100" s="867"/>
      <c r="H100" s="867"/>
      <c r="I100" s="867"/>
      <c r="J100" s="867"/>
      <c r="K100" s="867"/>
      <c r="L100" s="867"/>
      <c r="M100" s="868"/>
      <c r="N100" s="908" t="str">
        <f>IFERROR(IF(C100="","",INDEX(PMGHVAC[Base Desc 1],MATCH(C100,PMGHVAC[Eff Desc 1],0))),"")</f>
        <v/>
      </c>
      <c r="O100" s="909"/>
      <c r="P100" s="909"/>
      <c r="Q100" s="909"/>
      <c r="R100" s="909"/>
      <c r="S100" s="910"/>
      <c r="T100" s="947" t="str">
        <f>IFERROR(IF(C100="","",INDEX(PMGHVAC[Unit of Measure],MATCH(C100,PMGHVAC[Eff Desc 1],0))),"")</f>
        <v/>
      </c>
      <c r="U100" s="948"/>
      <c r="V100" s="871"/>
      <c r="W100" s="872"/>
      <c r="X100" s="832"/>
      <c r="Y100" s="833"/>
      <c r="Z100" s="833"/>
      <c r="AA100" s="834"/>
      <c r="AB100" s="832"/>
      <c r="AC100" s="833"/>
      <c r="AD100" s="834"/>
      <c r="AE100" s="858"/>
      <c r="AF100" s="869"/>
      <c r="AG100" s="858"/>
      <c r="AH100" s="869"/>
      <c r="AI100" s="917" t="str">
        <f>IFERROR(IF(C100="","",INDEX(PMGHVAC[Inc Rate Unit],MATCH(C100,PMGHVAC[Eff Desc 1],0))),"")</f>
        <v/>
      </c>
      <c r="AJ100" s="918"/>
      <c r="AK100" s="998" t="str">
        <f>IF(OR(C100="",V100="",X100="",AB100="",AE100="",AG100=""),"",ROUND(V100*INDEX(PMGHVAC[Savings per Unit Therm],MATCH(C100,PMGHVAC[Eff Desc 1],0)),2))</f>
        <v/>
      </c>
      <c r="AL100" s="999"/>
      <c r="AM100" s="999"/>
      <c r="AN100" s="924" t="str">
        <f t="shared" ref="AN100" si="89">IF(OR(C100="",V100="",X100="",AB100="",AE100="",AG100=""),"",IF(BC100&lt;&gt;"",BC100,MIN(AU100,ROUND(V100*AI100,2))))</f>
        <v/>
      </c>
      <c r="AO100" s="925"/>
      <c r="AP100" s="925"/>
      <c r="AQ100" s="863"/>
      <c r="AS100" s="59"/>
      <c r="AT100" s="59"/>
      <c r="AU100" s="808" t="str">
        <f t="shared" ref="AU100" si="90">IF(OR(C100="",V100="",X100="",AB100="",AE100="",AG100=""),"",ROUND((AE100+AG100)*V100,2))</f>
        <v/>
      </c>
      <c r="AW100" s="59"/>
      <c r="BC100" s="825"/>
    </row>
    <row r="101" spans="2:55" ht="15.95" hidden="1" customHeight="1">
      <c r="B101" s="923"/>
      <c r="C101" s="835"/>
      <c r="D101" s="836"/>
      <c r="E101" s="836"/>
      <c r="F101" s="836"/>
      <c r="G101" s="836"/>
      <c r="H101" s="836"/>
      <c r="I101" s="836"/>
      <c r="J101" s="836"/>
      <c r="K101" s="836"/>
      <c r="L101" s="836"/>
      <c r="M101" s="837"/>
      <c r="N101" s="911"/>
      <c r="O101" s="912"/>
      <c r="P101" s="912"/>
      <c r="Q101" s="912"/>
      <c r="R101" s="912"/>
      <c r="S101" s="913"/>
      <c r="T101" s="949"/>
      <c r="U101" s="950"/>
      <c r="V101" s="848"/>
      <c r="W101" s="849"/>
      <c r="X101" s="835"/>
      <c r="Y101" s="836"/>
      <c r="Z101" s="836"/>
      <c r="AA101" s="837"/>
      <c r="AB101" s="835"/>
      <c r="AC101" s="836"/>
      <c r="AD101" s="837"/>
      <c r="AE101" s="860"/>
      <c r="AF101" s="870"/>
      <c r="AG101" s="860"/>
      <c r="AH101" s="870"/>
      <c r="AI101" s="919"/>
      <c r="AJ101" s="865"/>
      <c r="AK101" s="1001"/>
      <c r="AL101" s="1002"/>
      <c r="AM101" s="1002"/>
      <c r="AN101" s="919"/>
      <c r="AO101" s="926"/>
      <c r="AP101" s="926"/>
      <c r="AQ101" s="865"/>
      <c r="AS101" s="59"/>
      <c r="AT101" s="59"/>
      <c r="AU101" s="809"/>
      <c r="AW101" s="59"/>
      <c r="BC101" s="826"/>
    </row>
    <row r="102" spans="2:55" ht="15.95" hidden="1" customHeight="1">
      <c r="B102" s="923">
        <v>44</v>
      </c>
      <c r="C102" s="866"/>
      <c r="D102" s="867"/>
      <c r="E102" s="867"/>
      <c r="F102" s="867"/>
      <c r="G102" s="867"/>
      <c r="H102" s="867"/>
      <c r="I102" s="867"/>
      <c r="J102" s="867"/>
      <c r="K102" s="867"/>
      <c r="L102" s="867"/>
      <c r="M102" s="868"/>
      <c r="N102" s="908" t="str">
        <f>IFERROR(IF(C102="","",INDEX(PMGHVAC[Base Desc 1],MATCH(C102,PMGHVAC[Eff Desc 1],0))),"")</f>
        <v/>
      </c>
      <c r="O102" s="909"/>
      <c r="P102" s="909"/>
      <c r="Q102" s="909"/>
      <c r="R102" s="909"/>
      <c r="S102" s="910"/>
      <c r="T102" s="947" t="str">
        <f>IFERROR(IF(C102="","",INDEX(PMGHVAC[Unit of Measure],MATCH(C102,PMGHVAC[Eff Desc 1],0))),"")</f>
        <v/>
      </c>
      <c r="U102" s="948"/>
      <c r="V102" s="871"/>
      <c r="W102" s="872"/>
      <c r="X102" s="832"/>
      <c r="Y102" s="833"/>
      <c r="Z102" s="833"/>
      <c r="AA102" s="834"/>
      <c r="AB102" s="832"/>
      <c r="AC102" s="833"/>
      <c r="AD102" s="834"/>
      <c r="AE102" s="858"/>
      <c r="AF102" s="869"/>
      <c r="AG102" s="858"/>
      <c r="AH102" s="869"/>
      <c r="AI102" s="917" t="str">
        <f>IFERROR(IF(C102="","",INDEX(PMGHVAC[Inc Rate Unit],MATCH(C102,PMGHVAC[Eff Desc 1],0))),"")</f>
        <v/>
      </c>
      <c r="AJ102" s="918"/>
      <c r="AK102" s="998" t="str">
        <f>IF(OR(C102="",V102="",X102="",AB102="",AE102="",AG102=""),"",ROUND(V102*INDEX(PMGHVAC[Savings per Unit Therm],MATCH(C102,PMGHVAC[Eff Desc 1],0)),2))</f>
        <v/>
      </c>
      <c r="AL102" s="999"/>
      <c r="AM102" s="999"/>
      <c r="AN102" s="924" t="str">
        <f t="shared" ref="AN102" si="91">IF(OR(C102="",V102="",X102="",AB102="",AE102="",AG102=""),"",IF(BC102&lt;&gt;"",BC102,MIN(AU102,ROUND(V102*AI102,2))))</f>
        <v/>
      </c>
      <c r="AO102" s="925"/>
      <c r="AP102" s="925"/>
      <c r="AQ102" s="863"/>
      <c r="AS102" s="59"/>
      <c r="AT102" s="59"/>
      <c r="AU102" s="808" t="str">
        <f t="shared" ref="AU102" si="92">IF(OR(C102="",V102="",X102="",AB102="",AE102="",AG102=""),"",ROUND((AE102+AG102)*V102,2))</f>
        <v/>
      </c>
      <c r="AW102" s="59"/>
      <c r="BC102" s="825"/>
    </row>
    <row r="103" spans="2:55" ht="15.95" hidden="1" customHeight="1">
      <c r="B103" s="923"/>
      <c r="C103" s="835"/>
      <c r="D103" s="836"/>
      <c r="E103" s="836"/>
      <c r="F103" s="836"/>
      <c r="G103" s="836"/>
      <c r="H103" s="836"/>
      <c r="I103" s="836"/>
      <c r="J103" s="836"/>
      <c r="K103" s="836"/>
      <c r="L103" s="836"/>
      <c r="M103" s="837"/>
      <c r="N103" s="911"/>
      <c r="O103" s="912"/>
      <c r="P103" s="912"/>
      <c r="Q103" s="912"/>
      <c r="R103" s="912"/>
      <c r="S103" s="913"/>
      <c r="T103" s="949"/>
      <c r="U103" s="950"/>
      <c r="V103" s="848"/>
      <c r="W103" s="849"/>
      <c r="X103" s="835"/>
      <c r="Y103" s="836"/>
      <c r="Z103" s="836"/>
      <c r="AA103" s="837"/>
      <c r="AB103" s="835"/>
      <c r="AC103" s="836"/>
      <c r="AD103" s="837"/>
      <c r="AE103" s="860"/>
      <c r="AF103" s="870"/>
      <c r="AG103" s="860"/>
      <c r="AH103" s="870"/>
      <c r="AI103" s="919"/>
      <c r="AJ103" s="865"/>
      <c r="AK103" s="1001"/>
      <c r="AL103" s="1002"/>
      <c r="AM103" s="1002"/>
      <c r="AN103" s="919"/>
      <c r="AO103" s="926"/>
      <c r="AP103" s="926"/>
      <c r="AQ103" s="865"/>
      <c r="AS103" s="59"/>
      <c r="AT103" s="59"/>
      <c r="AU103" s="809"/>
      <c r="AW103" s="59"/>
      <c r="BC103" s="826"/>
    </row>
    <row r="104" spans="2:55" ht="15.95" hidden="1" customHeight="1">
      <c r="B104" s="923">
        <v>45</v>
      </c>
      <c r="C104" s="866"/>
      <c r="D104" s="867"/>
      <c r="E104" s="867"/>
      <c r="F104" s="867"/>
      <c r="G104" s="867"/>
      <c r="H104" s="867"/>
      <c r="I104" s="867"/>
      <c r="J104" s="867"/>
      <c r="K104" s="867"/>
      <c r="L104" s="867"/>
      <c r="M104" s="868"/>
      <c r="N104" s="908" t="str">
        <f>IFERROR(IF(C104="","",INDEX(PMGHVAC[Base Desc 1],MATCH(C104,PMGHVAC[Eff Desc 1],0))),"")</f>
        <v/>
      </c>
      <c r="O104" s="909"/>
      <c r="P104" s="909"/>
      <c r="Q104" s="909"/>
      <c r="R104" s="909"/>
      <c r="S104" s="910"/>
      <c r="T104" s="947" t="str">
        <f>IFERROR(IF(C104="","",INDEX(PMGHVAC[Unit of Measure],MATCH(C104,PMGHVAC[Eff Desc 1],0))),"")</f>
        <v/>
      </c>
      <c r="U104" s="948"/>
      <c r="V104" s="871"/>
      <c r="W104" s="872"/>
      <c r="X104" s="832"/>
      <c r="Y104" s="833"/>
      <c r="Z104" s="833"/>
      <c r="AA104" s="834"/>
      <c r="AB104" s="832"/>
      <c r="AC104" s="833"/>
      <c r="AD104" s="834"/>
      <c r="AE104" s="858"/>
      <c r="AF104" s="869"/>
      <c r="AG104" s="858"/>
      <c r="AH104" s="869"/>
      <c r="AI104" s="917" t="str">
        <f>IFERROR(IF(C104="","",INDEX(PMGHVAC[Inc Rate Unit],MATCH(C104,PMGHVAC[Eff Desc 1],0))),"")</f>
        <v/>
      </c>
      <c r="AJ104" s="918"/>
      <c r="AK104" s="998" t="str">
        <f>IF(OR(C104="",V104="",X104="",AB104="",AE104="",AG104=""),"",ROUND(V104*INDEX(PMGHVAC[Savings per Unit Therm],MATCH(C104,PMGHVAC[Eff Desc 1],0)),2))</f>
        <v/>
      </c>
      <c r="AL104" s="999"/>
      <c r="AM104" s="999"/>
      <c r="AN104" s="924" t="str">
        <f t="shared" ref="AN104" si="93">IF(OR(C104="",V104="",X104="",AB104="",AE104="",AG104=""),"",IF(BC104&lt;&gt;"",BC104,MIN(AU104,ROUND(V104*AI104,2))))</f>
        <v/>
      </c>
      <c r="AO104" s="925"/>
      <c r="AP104" s="925"/>
      <c r="AQ104" s="863"/>
      <c r="AS104" s="59"/>
      <c r="AT104" s="59"/>
      <c r="AU104" s="808" t="str">
        <f t="shared" ref="AU104" si="94">IF(OR(C104="",V104="",X104="",AB104="",AE104="",AG104=""),"",ROUND((AE104+AG104)*V104,2))</f>
        <v/>
      </c>
      <c r="AW104" s="59"/>
      <c r="BC104" s="825"/>
    </row>
    <row r="105" spans="2:55" ht="15.95" hidden="1" customHeight="1">
      <c r="B105" s="923"/>
      <c r="C105" s="835"/>
      <c r="D105" s="836"/>
      <c r="E105" s="836"/>
      <c r="F105" s="836"/>
      <c r="G105" s="836"/>
      <c r="H105" s="836"/>
      <c r="I105" s="836"/>
      <c r="J105" s="836"/>
      <c r="K105" s="836"/>
      <c r="L105" s="836"/>
      <c r="M105" s="837"/>
      <c r="N105" s="911"/>
      <c r="O105" s="912"/>
      <c r="P105" s="912"/>
      <c r="Q105" s="912"/>
      <c r="R105" s="912"/>
      <c r="S105" s="913"/>
      <c r="T105" s="949"/>
      <c r="U105" s="950"/>
      <c r="V105" s="848"/>
      <c r="W105" s="849"/>
      <c r="X105" s="835"/>
      <c r="Y105" s="836"/>
      <c r="Z105" s="836"/>
      <c r="AA105" s="837"/>
      <c r="AB105" s="835"/>
      <c r="AC105" s="836"/>
      <c r="AD105" s="837"/>
      <c r="AE105" s="860"/>
      <c r="AF105" s="870"/>
      <c r="AG105" s="860"/>
      <c r="AH105" s="870"/>
      <c r="AI105" s="919"/>
      <c r="AJ105" s="865"/>
      <c r="AK105" s="1001"/>
      <c r="AL105" s="1002"/>
      <c r="AM105" s="1002"/>
      <c r="AN105" s="919"/>
      <c r="AO105" s="926"/>
      <c r="AP105" s="926"/>
      <c r="AQ105" s="865"/>
      <c r="AS105" s="59"/>
      <c r="AT105" s="59"/>
      <c r="AU105" s="809"/>
      <c r="AW105" s="59"/>
      <c r="BC105" s="826"/>
    </row>
    <row r="106" spans="2:55" ht="15.95" hidden="1" customHeight="1">
      <c r="B106" s="923">
        <v>46</v>
      </c>
      <c r="C106" s="866"/>
      <c r="D106" s="867"/>
      <c r="E106" s="867"/>
      <c r="F106" s="867"/>
      <c r="G106" s="867"/>
      <c r="H106" s="867"/>
      <c r="I106" s="867"/>
      <c r="J106" s="867"/>
      <c r="K106" s="867"/>
      <c r="L106" s="867"/>
      <c r="M106" s="868"/>
      <c r="N106" s="908" t="str">
        <f>IFERROR(IF(C106="","",INDEX(PMGHVAC[Base Desc 1],MATCH(C106,PMGHVAC[Eff Desc 1],0))),"")</f>
        <v/>
      </c>
      <c r="O106" s="909"/>
      <c r="P106" s="909"/>
      <c r="Q106" s="909"/>
      <c r="R106" s="909"/>
      <c r="S106" s="910"/>
      <c r="T106" s="947" t="str">
        <f>IFERROR(IF(C106="","",INDEX(PMGHVAC[Unit of Measure],MATCH(C106,PMGHVAC[Eff Desc 1],0))),"")</f>
        <v/>
      </c>
      <c r="U106" s="948"/>
      <c r="V106" s="871"/>
      <c r="W106" s="872"/>
      <c r="X106" s="832"/>
      <c r="Y106" s="833"/>
      <c r="Z106" s="833"/>
      <c r="AA106" s="834"/>
      <c r="AB106" s="832"/>
      <c r="AC106" s="833"/>
      <c r="AD106" s="834"/>
      <c r="AE106" s="858"/>
      <c r="AF106" s="869"/>
      <c r="AG106" s="858"/>
      <c r="AH106" s="869"/>
      <c r="AI106" s="917" t="str">
        <f>IFERROR(IF(C106="","",INDEX(PMGHVAC[Inc Rate Unit],MATCH(C106,PMGHVAC[Eff Desc 1],0))),"")</f>
        <v/>
      </c>
      <c r="AJ106" s="918"/>
      <c r="AK106" s="998" t="str">
        <f>IF(OR(C106="",V106="",X106="",AB106="",AE106="",AG106=""),"",ROUND(V106*INDEX(PMGHVAC[Savings per Unit Therm],MATCH(C106,PMGHVAC[Eff Desc 1],0)),2))</f>
        <v/>
      </c>
      <c r="AL106" s="999"/>
      <c r="AM106" s="999"/>
      <c r="AN106" s="924" t="str">
        <f t="shared" ref="AN106" si="95">IF(OR(C106="",V106="",X106="",AB106="",AE106="",AG106=""),"",IF(BC106&lt;&gt;"",BC106,MIN(AU106,ROUND(V106*AI106,2))))</f>
        <v/>
      </c>
      <c r="AO106" s="925"/>
      <c r="AP106" s="925"/>
      <c r="AQ106" s="863"/>
      <c r="AS106" s="59"/>
      <c r="AT106" s="59"/>
      <c r="AU106" s="808" t="str">
        <f t="shared" ref="AU106" si="96">IF(OR(C106="",V106="",X106="",AB106="",AE106="",AG106=""),"",ROUND((AE106+AG106)*V106,2))</f>
        <v/>
      </c>
      <c r="AW106" s="59"/>
      <c r="BC106" s="825"/>
    </row>
    <row r="107" spans="2:55" ht="15.95" hidden="1" customHeight="1">
      <c r="B107" s="923"/>
      <c r="C107" s="835"/>
      <c r="D107" s="836"/>
      <c r="E107" s="836"/>
      <c r="F107" s="836"/>
      <c r="G107" s="836"/>
      <c r="H107" s="836"/>
      <c r="I107" s="836"/>
      <c r="J107" s="836"/>
      <c r="K107" s="836"/>
      <c r="L107" s="836"/>
      <c r="M107" s="837"/>
      <c r="N107" s="911"/>
      <c r="O107" s="912"/>
      <c r="P107" s="912"/>
      <c r="Q107" s="912"/>
      <c r="R107" s="912"/>
      <c r="S107" s="913"/>
      <c r="T107" s="949"/>
      <c r="U107" s="950"/>
      <c r="V107" s="848"/>
      <c r="W107" s="849"/>
      <c r="X107" s="835"/>
      <c r="Y107" s="836"/>
      <c r="Z107" s="836"/>
      <c r="AA107" s="837"/>
      <c r="AB107" s="835"/>
      <c r="AC107" s="836"/>
      <c r="AD107" s="837"/>
      <c r="AE107" s="860"/>
      <c r="AF107" s="870"/>
      <c r="AG107" s="860"/>
      <c r="AH107" s="870"/>
      <c r="AI107" s="919"/>
      <c r="AJ107" s="865"/>
      <c r="AK107" s="1001"/>
      <c r="AL107" s="1002"/>
      <c r="AM107" s="1002"/>
      <c r="AN107" s="919"/>
      <c r="AO107" s="926"/>
      <c r="AP107" s="926"/>
      <c r="AQ107" s="865"/>
      <c r="AS107" s="59"/>
      <c r="AT107" s="59"/>
      <c r="AU107" s="809"/>
      <c r="AW107" s="59"/>
      <c r="BC107" s="826"/>
    </row>
    <row r="108" spans="2:55" ht="15.95" hidden="1" customHeight="1">
      <c r="B108" s="923">
        <v>47</v>
      </c>
      <c r="C108" s="866"/>
      <c r="D108" s="867"/>
      <c r="E108" s="867"/>
      <c r="F108" s="867"/>
      <c r="G108" s="867"/>
      <c r="H108" s="867"/>
      <c r="I108" s="867"/>
      <c r="J108" s="867"/>
      <c r="K108" s="867"/>
      <c r="L108" s="867"/>
      <c r="M108" s="868"/>
      <c r="N108" s="908" t="str">
        <f>IFERROR(IF(C108="","",INDEX(PMGHVAC[Base Desc 1],MATCH(C108,PMGHVAC[Eff Desc 1],0))),"")</f>
        <v/>
      </c>
      <c r="O108" s="909"/>
      <c r="P108" s="909"/>
      <c r="Q108" s="909"/>
      <c r="R108" s="909"/>
      <c r="S108" s="910"/>
      <c r="T108" s="947" t="str">
        <f>IFERROR(IF(C108="","",INDEX(PMGHVAC[Unit of Measure],MATCH(C108,PMGHVAC[Eff Desc 1],0))),"")</f>
        <v/>
      </c>
      <c r="U108" s="948"/>
      <c r="V108" s="871"/>
      <c r="W108" s="872"/>
      <c r="X108" s="832"/>
      <c r="Y108" s="833"/>
      <c r="Z108" s="833"/>
      <c r="AA108" s="834"/>
      <c r="AB108" s="832"/>
      <c r="AC108" s="833"/>
      <c r="AD108" s="834"/>
      <c r="AE108" s="858"/>
      <c r="AF108" s="869"/>
      <c r="AG108" s="858"/>
      <c r="AH108" s="869"/>
      <c r="AI108" s="917" t="str">
        <f>IFERROR(IF(C108="","",INDEX(PMGHVAC[Inc Rate Unit],MATCH(C108,PMGHVAC[Eff Desc 1],0))),"")</f>
        <v/>
      </c>
      <c r="AJ108" s="918"/>
      <c r="AK108" s="998" t="str">
        <f>IF(OR(C108="",V108="",X108="",AB108="",AE108="",AG108=""),"",ROUND(V108*INDEX(PMGHVAC[Savings per Unit Therm],MATCH(C108,PMGHVAC[Eff Desc 1],0)),2))</f>
        <v/>
      </c>
      <c r="AL108" s="999"/>
      <c r="AM108" s="999"/>
      <c r="AN108" s="924" t="str">
        <f t="shared" ref="AN108" si="97">IF(OR(C108="",V108="",X108="",AB108="",AE108="",AG108=""),"",IF(BC108&lt;&gt;"",BC108,MIN(AU108,ROUND(V108*AI108,2))))</f>
        <v/>
      </c>
      <c r="AO108" s="925"/>
      <c r="AP108" s="925"/>
      <c r="AQ108" s="863"/>
      <c r="AS108" s="59"/>
      <c r="AT108" s="59"/>
      <c r="AU108" s="808" t="str">
        <f t="shared" ref="AU108" si="98">IF(OR(C108="",V108="",X108="",AB108="",AE108="",AG108=""),"",ROUND((AE108+AG108)*V108,2))</f>
        <v/>
      </c>
      <c r="AW108" s="59"/>
      <c r="BC108" s="825"/>
    </row>
    <row r="109" spans="2:55" ht="15.95" hidden="1" customHeight="1">
      <c r="B109" s="923"/>
      <c r="C109" s="835"/>
      <c r="D109" s="836"/>
      <c r="E109" s="836"/>
      <c r="F109" s="836"/>
      <c r="G109" s="836"/>
      <c r="H109" s="836"/>
      <c r="I109" s="836"/>
      <c r="J109" s="836"/>
      <c r="K109" s="836"/>
      <c r="L109" s="836"/>
      <c r="M109" s="837"/>
      <c r="N109" s="911"/>
      <c r="O109" s="912"/>
      <c r="P109" s="912"/>
      <c r="Q109" s="912"/>
      <c r="R109" s="912"/>
      <c r="S109" s="913"/>
      <c r="T109" s="949"/>
      <c r="U109" s="950"/>
      <c r="V109" s="848"/>
      <c r="W109" s="849"/>
      <c r="X109" s="835"/>
      <c r="Y109" s="836"/>
      <c r="Z109" s="836"/>
      <c r="AA109" s="837"/>
      <c r="AB109" s="835"/>
      <c r="AC109" s="836"/>
      <c r="AD109" s="837"/>
      <c r="AE109" s="860"/>
      <c r="AF109" s="870"/>
      <c r="AG109" s="860"/>
      <c r="AH109" s="870"/>
      <c r="AI109" s="919"/>
      <c r="AJ109" s="865"/>
      <c r="AK109" s="1001"/>
      <c r="AL109" s="1002"/>
      <c r="AM109" s="1002"/>
      <c r="AN109" s="919"/>
      <c r="AO109" s="926"/>
      <c r="AP109" s="926"/>
      <c r="AQ109" s="865"/>
      <c r="AS109" s="59"/>
      <c r="AT109" s="59"/>
      <c r="AU109" s="809"/>
      <c r="AW109" s="59"/>
      <c r="BC109" s="826"/>
    </row>
    <row r="110" spans="2:55" ht="15.95" hidden="1" customHeight="1">
      <c r="B110" s="923">
        <v>48</v>
      </c>
      <c r="C110" s="866"/>
      <c r="D110" s="867"/>
      <c r="E110" s="867"/>
      <c r="F110" s="867"/>
      <c r="G110" s="867"/>
      <c r="H110" s="867"/>
      <c r="I110" s="867"/>
      <c r="J110" s="867"/>
      <c r="K110" s="867"/>
      <c r="L110" s="867"/>
      <c r="M110" s="868"/>
      <c r="N110" s="908" t="str">
        <f>IFERROR(IF(C110="","",INDEX(PMGHVAC[Base Desc 1],MATCH(C110,PMGHVAC[Eff Desc 1],0))),"")</f>
        <v/>
      </c>
      <c r="O110" s="909"/>
      <c r="P110" s="909"/>
      <c r="Q110" s="909"/>
      <c r="R110" s="909"/>
      <c r="S110" s="910"/>
      <c r="T110" s="947" t="str">
        <f>IFERROR(IF(C110="","",INDEX(PMGHVAC[Unit of Measure],MATCH(C110,PMGHVAC[Eff Desc 1],0))),"")</f>
        <v/>
      </c>
      <c r="U110" s="948"/>
      <c r="V110" s="871"/>
      <c r="W110" s="872"/>
      <c r="X110" s="832"/>
      <c r="Y110" s="833"/>
      <c r="Z110" s="833"/>
      <c r="AA110" s="834"/>
      <c r="AB110" s="832"/>
      <c r="AC110" s="833"/>
      <c r="AD110" s="834"/>
      <c r="AE110" s="858"/>
      <c r="AF110" s="869"/>
      <c r="AG110" s="858"/>
      <c r="AH110" s="869"/>
      <c r="AI110" s="917" t="str">
        <f>IFERROR(IF(C110="","",INDEX(PMGHVAC[Inc Rate Unit],MATCH(C110,PMGHVAC[Eff Desc 1],0))),"")</f>
        <v/>
      </c>
      <c r="AJ110" s="918"/>
      <c r="AK110" s="998" t="str">
        <f>IF(OR(C110="",V110="",X110="",AB110="",AE110="",AG110=""),"",ROUND(V110*INDEX(PMGHVAC[Savings per Unit Therm],MATCH(C110,PMGHVAC[Eff Desc 1],0)),2))</f>
        <v/>
      </c>
      <c r="AL110" s="999"/>
      <c r="AM110" s="999"/>
      <c r="AN110" s="924" t="str">
        <f t="shared" ref="AN110" si="99">IF(OR(C110="",V110="",X110="",AB110="",AE110="",AG110=""),"",IF(BC110&lt;&gt;"",BC110,MIN(AU110,ROUND(V110*AI110,2))))</f>
        <v/>
      </c>
      <c r="AO110" s="925"/>
      <c r="AP110" s="925"/>
      <c r="AQ110" s="863"/>
      <c r="AS110" s="59"/>
      <c r="AT110" s="59"/>
      <c r="AU110" s="808" t="str">
        <f t="shared" ref="AU110" si="100">IF(OR(C110="",V110="",X110="",AB110="",AE110="",AG110=""),"",ROUND((AE110+AG110)*V110,2))</f>
        <v/>
      </c>
      <c r="AW110" s="59"/>
      <c r="BC110" s="825"/>
    </row>
    <row r="111" spans="2:55" ht="15.95" hidden="1" customHeight="1">
      <c r="B111" s="923"/>
      <c r="C111" s="835"/>
      <c r="D111" s="836"/>
      <c r="E111" s="836"/>
      <c r="F111" s="836"/>
      <c r="G111" s="836"/>
      <c r="H111" s="836"/>
      <c r="I111" s="836"/>
      <c r="J111" s="836"/>
      <c r="K111" s="836"/>
      <c r="L111" s="836"/>
      <c r="M111" s="837"/>
      <c r="N111" s="911"/>
      <c r="O111" s="912"/>
      <c r="P111" s="912"/>
      <c r="Q111" s="912"/>
      <c r="R111" s="912"/>
      <c r="S111" s="913"/>
      <c r="T111" s="949"/>
      <c r="U111" s="950"/>
      <c r="V111" s="848"/>
      <c r="W111" s="849"/>
      <c r="X111" s="835"/>
      <c r="Y111" s="836"/>
      <c r="Z111" s="836"/>
      <c r="AA111" s="837"/>
      <c r="AB111" s="835"/>
      <c r="AC111" s="836"/>
      <c r="AD111" s="837"/>
      <c r="AE111" s="860"/>
      <c r="AF111" s="870"/>
      <c r="AG111" s="860"/>
      <c r="AH111" s="870"/>
      <c r="AI111" s="919"/>
      <c r="AJ111" s="865"/>
      <c r="AK111" s="1001"/>
      <c r="AL111" s="1002"/>
      <c r="AM111" s="1002"/>
      <c r="AN111" s="919"/>
      <c r="AO111" s="926"/>
      <c r="AP111" s="926"/>
      <c r="AQ111" s="865"/>
      <c r="AS111" s="59"/>
      <c r="AT111" s="59"/>
      <c r="AU111" s="809"/>
      <c r="AW111" s="59"/>
      <c r="BC111" s="826"/>
    </row>
    <row r="112" spans="2:55" ht="15.95" hidden="1" customHeight="1">
      <c r="B112" s="923">
        <v>49</v>
      </c>
      <c r="C112" s="866"/>
      <c r="D112" s="867"/>
      <c r="E112" s="867"/>
      <c r="F112" s="867"/>
      <c r="G112" s="867"/>
      <c r="H112" s="867"/>
      <c r="I112" s="867"/>
      <c r="J112" s="867"/>
      <c r="K112" s="867"/>
      <c r="L112" s="867"/>
      <c r="M112" s="868"/>
      <c r="N112" s="908" t="str">
        <f>IFERROR(IF(C112="","",INDEX(PMGHVAC[Base Desc 1],MATCH(C112,PMGHVAC[Eff Desc 1],0))),"")</f>
        <v/>
      </c>
      <c r="O112" s="909"/>
      <c r="P112" s="909"/>
      <c r="Q112" s="909"/>
      <c r="R112" s="909"/>
      <c r="S112" s="910"/>
      <c r="T112" s="947" t="str">
        <f>IFERROR(IF(C112="","",INDEX(PMGHVAC[Unit of Measure],MATCH(C112,PMGHVAC[Eff Desc 1],0))),"")</f>
        <v/>
      </c>
      <c r="U112" s="948"/>
      <c r="V112" s="871"/>
      <c r="W112" s="872"/>
      <c r="X112" s="832"/>
      <c r="Y112" s="833"/>
      <c r="Z112" s="833"/>
      <c r="AA112" s="834"/>
      <c r="AB112" s="832"/>
      <c r="AC112" s="833"/>
      <c r="AD112" s="834"/>
      <c r="AE112" s="858"/>
      <c r="AF112" s="869"/>
      <c r="AG112" s="858"/>
      <c r="AH112" s="869"/>
      <c r="AI112" s="917" t="str">
        <f>IFERROR(IF(C112="","",INDEX(PMGHVAC[Inc Rate Unit],MATCH(C112,PMGHVAC[Eff Desc 1],0))),"")</f>
        <v/>
      </c>
      <c r="AJ112" s="918"/>
      <c r="AK112" s="998" t="str">
        <f>IF(OR(C112="",V112="",X112="",AB112="",AE112="",AG112=""),"",ROUND(V112*INDEX(PMGHVAC[Savings per Unit Therm],MATCH(C112,PMGHVAC[Eff Desc 1],0)),2))</f>
        <v/>
      </c>
      <c r="AL112" s="999"/>
      <c r="AM112" s="999"/>
      <c r="AN112" s="924" t="str">
        <f t="shared" ref="AN112" si="101">IF(OR(C112="",V112="",X112="",AB112="",AE112="",AG112=""),"",IF(BC112&lt;&gt;"",BC112,MIN(AU112,ROUND(V112*AI112,2))))</f>
        <v/>
      </c>
      <c r="AO112" s="925"/>
      <c r="AP112" s="925"/>
      <c r="AQ112" s="863"/>
      <c r="AS112" s="59"/>
      <c r="AT112" s="59"/>
      <c r="AU112" s="808" t="str">
        <f t="shared" ref="AU112" si="102">IF(OR(C112="",V112="",X112="",AB112="",AE112="",AG112=""),"",ROUND((AE112+AG112)*V112,2))</f>
        <v/>
      </c>
      <c r="AW112" s="59"/>
      <c r="BC112" s="825"/>
    </row>
    <row r="113" spans="2:55" ht="15.95" hidden="1" customHeight="1">
      <c r="B113" s="923"/>
      <c r="C113" s="835"/>
      <c r="D113" s="836"/>
      <c r="E113" s="836"/>
      <c r="F113" s="836"/>
      <c r="G113" s="836"/>
      <c r="H113" s="836"/>
      <c r="I113" s="836"/>
      <c r="J113" s="836"/>
      <c r="K113" s="836"/>
      <c r="L113" s="836"/>
      <c r="M113" s="837"/>
      <c r="N113" s="911"/>
      <c r="O113" s="912"/>
      <c r="P113" s="912"/>
      <c r="Q113" s="912"/>
      <c r="R113" s="912"/>
      <c r="S113" s="913"/>
      <c r="T113" s="949"/>
      <c r="U113" s="950"/>
      <c r="V113" s="848"/>
      <c r="W113" s="849"/>
      <c r="X113" s="835"/>
      <c r="Y113" s="836"/>
      <c r="Z113" s="836"/>
      <c r="AA113" s="837"/>
      <c r="AB113" s="835"/>
      <c r="AC113" s="836"/>
      <c r="AD113" s="837"/>
      <c r="AE113" s="860"/>
      <c r="AF113" s="870"/>
      <c r="AG113" s="860"/>
      <c r="AH113" s="870"/>
      <c r="AI113" s="919"/>
      <c r="AJ113" s="865"/>
      <c r="AK113" s="1001"/>
      <c r="AL113" s="1002"/>
      <c r="AM113" s="1002"/>
      <c r="AN113" s="919"/>
      <c r="AO113" s="926"/>
      <c r="AP113" s="926"/>
      <c r="AQ113" s="865"/>
      <c r="AS113" s="59"/>
      <c r="AT113" s="59"/>
      <c r="AU113" s="809"/>
      <c r="AW113" s="59"/>
      <c r="BC113" s="826"/>
    </row>
    <row r="114" spans="2:55" ht="15.95" hidden="1" customHeight="1">
      <c r="B114" s="923">
        <v>50</v>
      </c>
      <c r="C114" s="866"/>
      <c r="D114" s="867"/>
      <c r="E114" s="867"/>
      <c r="F114" s="867"/>
      <c r="G114" s="867"/>
      <c r="H114" s="867"/>
      <c r="I114" s="867"/>
      <c r="J114" s="867"/>
      <c r="K114" s="867"/>
      <c r="L114" s="867"/>
      <c r="M114" s="868"/>
      <c r="N114" s="908" t="str">
        <f>IFERROR(IF(C114="","",INDEX(PMGHVAC[Base Desc 1],MATCH(C114,PMGHVAC[Eff Desc 1],0))),"")</f>
        <v/>
      </c>
      <c r="O114" s="909"/>
      <c r="P114" s="909"/>
      <c r="Q114" s="909"/>
      <c r="R114" s="909"/>
      <c r="S114" s="910"/>
      <c r="T114" s="947" t="str">
        <f>IFERROR(IF(C114="","",INDEX(PMGHVAC[Unit of Measure],MATCH(C114,PMGHVAC[Eff Desc 1],0))),"")</f>
        <v/>
      </c>
      <c r="U114" s="948"/>
      <c r="V114" s="871"/>
      <c r="W114" s="872"/>
      <c r="X114" s="832"/>
      <c r="Y114" s="833"/>
      <c r="Z114" s="833"/>
      <c r="AA114" s="834"/>
      <c r="AB114" s="832"/>
      <c r="AC114" s="833"/>
      <c r="AD114" s="834"/>
      <c r="AE114" s="858"/>
      <c r="AF114" s="869"/>
      <c r="AG114" s="858"/>
      <c r="AH114" s="869"/>
      <c r="AI114" s="917" t="str">
        <f>IFERROR(IF(C114="","",INDEX(PMGHVAC[Inc Rate Unit],MATCH(C114,PMGHVAC[Eff Desc 1],0))),"")</f>
        <v/>
      </c>
      <c r="AJ114" s="918"/>
      <c r="AK114" s="998" t="str">
        <f>IF(OR(C114="",V114="",X114="",AB114="",AE114="",AG114=""),"",ROUND(V114*INDEX(PMGHVAC[Savings per Unit Therm],MATCH(C114,PMGHVAC[Eff Desc 1],0)),2))</f>
        <v/>
      </c>
      <c r="AL114" s="999"/>
      <c r="AM114" s="999"/>
      <c r="AN114" s="924" t="str">
        <f t="shared" ref="AN114" si="103">IF(OR(C114="",V114="",X114="",AB114="",AE114="",AG114=""),"",IF(BC114&lt;&gt;"",BC114,MIN(AU114,ROUND(V114*AI114,2))))</f>
        <v/>
      </c>
      <c r="AO114" s="925"/>
      <c r="AP114" s="925"/>
      <c r="AQ114" s="863"/>
      <c r="AS114" s="59"/>
      <c r="AT114" s="59"/>
      <c r="AU114" s="808" t="str">
        <f t="shared" ref="AU114" si="104">IF(OR(C114="",V114="",X114="",AB114="",AE114="",AG114=""),"",ROUND((AE114+AG114)*V114,2))</f>
        <v/>
      </c>
      <c r="AW114" s="59"/>
      <c r="BC114" s="825"/>
    </row>
    <row r="115" spans="2:55" ht="15.95" hidden="1" customHeight="1">
      <c r="B115" s="923"/>
      <c r="C115" s="835"/>
      <c r="D115" s="836"/>
      <c r="E115" s="836"/>
      <c r="F115" s="836"/>
      <c r="G115" s="836"/>
      <c r="H115" s="836"/>
      <c r="I115" s="836"/>
      <c r="J115" s="836"/>
      <c r="K115" s="836"/>
      <c r="L115" s="836"/>
      <c r="M115" s="837"/>
      <c r="N115" s="911"/>
      <c r="O115" s="912"/>
      <c r="P115" s="912"/>
      <c r="Q115" s="912"/>
      <c r="R115" s="912"/>
      <c r="S115" s="913"/>
      <c r="T115" s="949"/>
      <c r="U115" s="950"/>
      <c r="V115" s="848"/>
      <c r="W115" s="849"/>
      <c r="X115" s="835"/>
      <c r="Y115" s="836"/>
      <c r="Z115" s="836"/>
      <c r="AA115" s="837"/>
      <c r="AB115" s="835"/>
      <c r="AC115" s="836"/>
      <c r="AD115" s="837"/>
      <c r="AE115" s="860"/>
      <c r="AF115" s="870"/>
      <c r="AG115" s="860"/>
      <c r="AH115" s="870"/>
      <c r="AI115" s="919"/>
      <c r="AJ115" s="865"/>
      <c r="AK115" s="1001"/>
      <c r="AL115" s="1002"/>
      <c r="AM115" s="1002"/>
      <c r="AN115" s="919"/>
      <c r="AO115" s="926"/>
      <c r="AP115" s="926"/>
      <c r="AQ115" s="865"/>
      <c r="AS115" s="59"/>
      <c r="AT115" s="59"/>
      <c r="AU115" s="809"/>
      <c r="AW115" s="59"/>
      <c r="BC115" s="826"/>
    </row>
    <row r="116" spans="2:55" ht="15.95" hidden="1" customHeight="1">
      <c r="B116" s="923">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55" ht="15.95" hidden="1" customHeight="1">
      <c r="B117" s="923"/>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55" ht="15.95" hidden="1" customHeight="1">
      <c r="B118" s="923">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55" ht="15.95" hidden="1" customHeight="1">
      <c r="B119" s="923"/>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55" ht="15.95" hidden="1" customHeight="1">
      <c r="B120" s="923">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55" ht="15.95" hidden="1" customHeight="1">
      <c r="B121" s="923"/>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55" ht="15.95" hidden="1" customHeight="1">
      <c r="B122" s="923">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55" ht="15.95" hidden="1" customHeight="1">
      <c r="B123" s="923"/>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55" ht="15.95" hidden="1" customHeight="1">
      <c r="B124" s="923">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55" ht="15.95" hidden="1" customHeight="1">
      <c r="B125" s="923"/>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55" ht="15.95" hidden="1" customHeight="1">
      <c r="B126" s="923">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55" ht="15.95" hidden="1" customHeight="1">
      <c r="B127" s="923"/>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55" ht="15.95" hidden="1" customHeight="1">
      <c r="B128" s="923">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23"/>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23">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23"/>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23">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23"/>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23">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23"/>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23">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23"/>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23">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23"/>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23">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23"/>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23">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23"/>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923">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23"/>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23">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23"/>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23">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23"/>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23">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23"/>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23">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23"/>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23">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23"/>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23">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23"/>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23">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23"/>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23">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23"/>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23">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23"/>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23">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23"/>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23">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23"/>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23">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23"/>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23">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23"/>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23">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23"/>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23">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23"/>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23">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23"/>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23">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23"/>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23">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23"/>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23">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23"/>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23">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23"/>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23">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23"/>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23">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23"/>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23">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23"/>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23">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7" ht="15.95" hidden="1" customHeight="1">
      <c r="B193" s="923"/>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7" ht="15.95" hidden="1" customHeight="1">
      <c r="B194" s="923">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7" ht="15.95" hidden="1" customHeight="1">
      <c r="B195" s="923"/>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7" ht="15.95" hidden="1" customHeight="1">
      <c r="B196" s="923">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7" ht="15.95" hidden="1" customHeight="1">
      <c r="B197" s="923"/>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7" ht="15.95" hidden="1" customHeight="1">
      <c r="B198" s="923">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7" ht="15.95" hidden="1" customHeight="1">
      <c r="B199" s="923"/>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7" ht="15.95" customHeight="1">
      <c r="B200" s="277" t="str">
        <f>FOOT1</f>
        <v>NIPSCO Energy Efficiency Program</v>
      </c>
      <c r="C200" s="277"/>
      <c r="D200" s="277"/>
      <c r="E200" s="277"/>
      <c r="F200" s="277"/>
      <c r="G200" s="277"/>
      <c r="H200" s="277"/>
      <c r="I200" s="277"/>
      <c r="J200" s="277"/>
      <c r="K200" s="277"/>
      <c r="L200" s="277"/>
      <c r="M200" s="689" t="str">
        <f>FOOT4</f>
        <v>NIPSCO’s energy efficiency programs are administered by TRC, a third‐party implementation specialist that helps homes and businesses save energy.</v>
      </c>
      <c r="N200" s="689"/>
      <c r="O200" s="689"/>
      <c r="P200" s="689"/>
      <c r="Q200" s="689"/>
      <c r="R200" s="689"/>
      <c r="S200" s="689"/>
      <c r="T200" s="689"/>
      <c r="U200" s="689"/>
      <c r="V200" s="689"/>
      <c r="W200" s="689"/>
      <c r="X200" s="689"/>
      <c r="Y200" s="689"/>
      <c r="Z200" s="689"/>
      <c r="AA200" s="689"/>
      <c r="AB200" s="689"/>
      <c r="AC200" s="689"/>
      <c r="AD200" s="689"/>
      <c r="AE200" s="689"/>
      <c r="AF200" s="689"/>
      <c r="AG200" s="689"/>
      <c r="AH200" s="277"/>
      <c r="AI200" s="277"/>
      <c r="AJ200" s="277"/>
      <c r="AK200" s="277"/>
      <c r="AL200" s="277"/>
      <c r="AM200" s="277"/>
      <c r="AN200" s="277"/>
      <c r="AO200" s="277"/>
      <c r="AP200" s="277"/>
      <c r="AQ200" s="277"/>
      <c r="AR200" s="280" t="str">
        <f>FOOTDISCLAIM</f>
        <v/>
      </c>
      <c r="AU200" s="1070">
        <f>SUM(AU16:AU199)</f>
        <v>0</v>
      </c>
    </row>
    <row r="201" spans="2:47" ht="15.95" customHeight="1">
      <c r="B201" s="277" t="str">
        <f>FOOT2</f>
        <v>Toll-Free 800-299-2501</v>
      </c>
      <c r="C201" s="277"/>
      <c r="D201" s="277"/>
      <c r="E201" s="277"/>
      <c r="F201" s="277"/>
      <c r="G201" s="277"/>
      <c r="H201" s="277"/>
      <c r="I201" s="277"/>
      <c r="J201" s="277"/>
      <c r="K201" s="277"/>
      <c r="L201" s="277"/>
      <c r="M201" s="689"/>
      <c r="N201" s="689"/>
      <c r="O201" s="689"/>
      <c r="P201" s="689"/>
      <c r="Q201" s="689"/>
      <c r="R201" s="689"/>
      <c r="S201" s="689"/>
      <c r="T201" s="689"/>
      <c r="U201" s="689"/>
      <c r="V201" s="689"/>
      <c r="W201" s="689"/>
      <c r="X201" s="689"/>
      <c r="Y201" s="689"/>
      <c r="Z201" s="689"/>
      <c r="AA201" s="689"/>
      <c r="AB201" s="689"/>
      <c r="AC201" s="689"/>
      <c r="AD201" s="689"/>
      <c r="AE201" s="689"/>
      <c r="AF201" s="689"/>
      <c r="AG201" s="689"/>
      <c r="AH201" s="277"/>
      <c r="AI201" s="277"/>
      <c r="AJ201" s="277"/>
      <c r="AK201" s="277"/>
      <c r="AL201" s="277"/>
      <c r="AM201" s="277"/>
      <c r="AN201" s="277"/>
      <c r="AO201" s="277"/>
      <c r="AP201" s="277"/>
      <c r="AQ201" s="277"/>
      <c r="AR201" s="280" t="str">
        <f>FOOT5</f>
        <v/>
      </c>
      <c r="AU201" s="1071"/>
    </row>
    <row r="202" spans="2:47" ht="15.95" customHeight="1">
      <c r="B202" s="281" t="s">
        <v>1551</v>
      </c>
      <c r="C202" s="277"/>
      <c r="D202" s="277"/>
      <c r="E202" s="277"/>
      <c r="F202" s="277"/>
      <c r="G202" s="277"/>
      <c r="H202" s="277"/>
      <c r="I202" s="277"/>
      <c r="J202" s="277"/>
      <c r="K202" s="277"/>
      <c r="L202" s="277"/>
      <c r="M202" s="279"/>
      <c r="N202" s="277"/>
      <c r="O202" s="277"/>
      <c r="P202" s="279"/>
      <c r="Q202" s="279"/>
      <c r="R202" s="279"/>
      <c r="S202" s="279"/>
      <c r="T202" s="279"/>
      <c r="U202" s="279"/>
      <c r="V202" s="279"/>
      <c r="W202" s="283" t="str">
        <f>VERSION</f>
        <v>Custom Prescriptive Application v3.7.0</v>
      </c>
      <c r="X202" s="279"/>
      <c r="Y202" s="279"/>
      <c r="Z202" s="279"/>
      <c r="AA202" s="279"/>
      <c r="AB202" s="279"/>
      <c r="AC202" s="279"/>
      <c r="AD202" s="279"/>
      <c r="AE202" s="277"/>
      <c r="AF202" s="277"/>
      <c r="AG202" s="277"/>
      <c r="AH202" s="277"/>
      <c r="AI202" s="277"/>
      <c r="AJ202" s="277"/>
      <c r="AK202" s="277"/>
      <c r="AL202" s="277"/>
      <c r="AM202" s="277"/>
      <c r="AN202" s="277"/>
      <c r="AO202" s="277"/>
      <c r="AP202" s="277"/>
      <c r="AQ202" s="277"/>
      <c r="AR202" s="280" t="str">
        <f>FOOT6</f>
        <v>Product of TRC</v>
      </c>
    </row>
  </sheetData>
  <sheetProtection algorithmName="SHA-512" hashValue="axWoDf6BMf2kzRXYzwR/NoEvpldP+uOfwixiWHLCSwZDN290bsZVKL8R3Juqh81auCJjVy9pe/61fpwVVgHfaQ==" saltValue="iM7uT4RetO2x1oNxYay5nA==" spinCount="100000" sheet="1" objects="1" scenarios="1" selectLockedCells="1"/>
  <mergeCells count="806">
    <mergeCell ref="AK112:AM113"/>
    <mergeCell ref="AN112:AQ113"/>
    <mergeCell ref="AU112:AU113"/>
    <mergeCell ref="BC112:BC113"/>
    <mergeCell ref="C114:M115"/>
    <mergeCell ref="N114:S115"/>
    <mergeCell ref="T114:U115"/>
    <mergeCell ref="V114:W115"/>
    <mergeCell ref="X114:AA115"/>
    <mergeCell ref="AB114:AD115"/>
    <mergeCell ref="AE114:AF115"/>
    <mergeCell ref="AG114:AH115"/>
    <mergeCell ref="AI114:AJ115"/>
    <mergeCell ref="AK114:AM115"/>
    <mergeCell ref="AN114:AQ115"/>
    <mergeCell ref="AU114:AU115"/>
    <mergeCell ref="BC114:BC115"/>
    <mergeCell ref="C112:M113"/>
    <mergeCell ref="N112:S113"/>
    <mergeCell ref="T112:U113"/>
    <mergeCell ref="V112:W113"/>
    <mergeCell ref="X112:AA113"/>
    <mergeCell ref="AB112:AD113"/>
    <mergeCell ref="AE112:AF113"/>
    <mergeCell ref="AG112:AH113"/>
    <mergeCell ref="AI112:AJ113"/>
    <mergeCell ref="AK108:AM109"/>
    <mergeCell ref="AN108:AQ109"/>
    <mergeCell ref="AU108:AU109"/>
    <mergeCell ref="BC108:BC109"/>
    <mergeCell ref="C110:M111"/>
    <mergeCell ref="N110:S111"/>
    <mergeCell ref="T110:U111"/>
    <mergeCell ref="V110:W111"/>
    <mergeCell ref="X110:AA111"/>
    <mergeCell ref="AB110:AD111"/>
    <mergeCell ref="AE110:AF111"/>
    <mergeCell ref="AG110:AH111"/>
    <mergeCell ref="AI110:AJ111"/>
    <mergeCell ref="AK110:AM111"/>
    <mergeCell ref="AN110:AQ111"/>
    <mergeCell ref="AU110:AU111"/>
    <mergeCell ref="BC110:BC111"/>
    <mergeCell ref="C108:M109"/>
    <mergeCell ref="N108:S109"/>
    <mergeCell ref="T108:U109"/>
    <mergeCell ref="V108:W109"/>
    <mergeCell ref="X108:AA109"/>
    <mergeCell ref="BC104:BC105"/>
    <mergeCell ref="C106:M107"/>
    <mergeCell ref="N106:S107"/>
    <mergeCell ref="T106:U107"/>
    <mergeCell ref="V106:W107"/>
    <mergeCell ref="X106:AA107"/>
    <mergeCell ref="AB106:AD107"/>
    <mergeCell ref="AE106:AF107"/>
    <mergeCell ref="AG106:AH107"/>
    <mergeCell ref="AI106:AJ107"/>
    <mergeCell ref="AK106:AM107"/>
    <mergeCell ref="AN106:AQ107"/>
    <mergeCell ref="AU106:AU107"/>
    <mergeCell ref="BC106:BC107"/>
    <mergeCell ref="C104:M105"/>
    <mergeCell ref="N104:S105"/>
    <mergeCell ref="T104:U105"/>
    <mergeCell ref="AB104:AD105"/>
    <mergeCell ref="AE104:AF105"/>
    <mergeCell ref="AG104:AH105"/>
    <mergeCell ref="AI104:AJ105"/>
    <mergeCell ref="AN100:AQ101"/>
    <mergeCell ref="AU100:AU101"/>
    <mergeCell ref="AB108:AD109"/>
    <mergeCell ref="AE108:AF109"/>
    <mergeCell ref="AG108:AH109"/>
    <mergeCell ref="AI108:AJ109"/>
    <mergeCell ref="AK104:AM105"/>
    <mergeCell ref="AN104:AQ105"/>
    <mergeCell ref="AU104:AU105"/>
    <mergeCell ref="BC100:BC101"/>
    <mergeCell ref="C102:M103"/>
    <mergeCell ref="N102:S103"/>
    <mergeCell ref="T102:U103"/>
    <mergeCell ref="V102:W103"/>
    <mergeCell ref="X102:AA103"/>
    <mergeCell ref="AB102:AD103"/>
    <mergeCell ref="AE102:AF103"/>
    <mergeCell ref="AG102:AH103"/>
    <mergeCell ref="AI102:AJ103"/>
    <mergeCell ref="AK102:AM103"/>
    <mergeCell ref="AN102:AQ103"/>
    <mergeCell ref="AU102:AU103"/>
    <mergeCell ref="BC102:BC103"/>
    <mergeCell ref="C100:M101"/>
    <mergeCell ref="N100:S101"/>
    <mergeCell ref="T100:U101"/>
    <mergeCell ref="V100:W101"/>
    <mergeCell ref="X100:AA101"/>
    <mergeCell ref="AB100:AD101"/>
    <mergeCell ref="AE100:AF101"/>
    <mergeCell ref="AG100:AH101"/>
    <mergeCell ref="AI100:AJ101"/>
    <mergeCell ref="AK100:AM101"/>
    <mergeCell ref="AK96:AM97"/>
    <mergeCell ref="AN96:AQ97"/>
    <mergeCell ref="AU96:AU97"/>
    <mergeCell ref="BC96:BC97"/>
    <mergeCell ref="C98:M99"/>
    <mergeCell ref="N98:S99"/>
    <mergeCell ref="T98:U99"/>
    <mergeCell ref="V98:W99"/>
    <mergeCell ref="X98:AA99"/>
    <mergeCell ref="AB98:AD99"/>
    <mergeCell ref="AE98:AF99"/>
    <mergeCell ref="AG98:AH99"/>
    <mergeCell ref="AI98:AJ99"/>
    <mergeCell ref="AK98:AM99"/>
    <mergeCell ref="AN98:AQ99"/>
    <mergeCell ref="AU98:AU99"/>
    <mergeCell ref="BC98:BC99"/>
    <mergeCell ref="C96:M97"/>
    <mergeCell ref="N96:S97"/>
    <mergeCell ref="T96:U97"/>
    <mergeCell ref="V96:W97"/>
    <mergeCell ref="X96:AA97"/>
    <mergeCell ref="AB96:AD97"/>
    <mergeCell ref="AE96:AF97"/>
    <mergeCell ref="AG96:AH97"/>
    <mergeCell ref="AI96:AJ97"/>
    <mergeCell ref="AK92:AM93"/>
    <mergeCell ref="AN92:AQ93"/>
    <mergeCell ref="AU92:AU93"/>
    <mergeCell ref="BC92:BC93"/>
    <mergeCell ref="C94:M95"/>
    <mergeCell ref="N94:S95"/>
    <mergeCell ref="T94:U95"/>
    <mergeCell ref="V94:W95"/>
    <mergeCell ref="X94:AA95"/>
    <mergeCell ref="AB94:AD95"/>
    <mergeCell ref="AE94:AF95"/>
    <mergeCell ref="AG94:AH95"/>
    <mergeCell ref="AI94:AJ95"/>
    <mergeCell ref="AK94:AM95"/>
    <mergeCell ref="AN94:AQ95"/>
    <mergeCell ref="AU94:AU95"/>
    <mergeCell ref="BC94:BC95"/>
    <mergeCell ref="C92:M93"/>
    <mergeCell ref="N92:S93"/>
    <mergeCell ref="T92:U93"/>
    <mergeCell ref="V92:W93"/>
    <mergeCell ref="X92:AA93"/>
    <mergeCell ref="BC88:BC89"/>
    <mergeCell ref="C90:M91"/>
    <mergeCell ref="N90:S91"/>
    <mergeCell ref="T90:U91"/>
    <mergeCell ref="V90:W91"/>
    <mergeCell ref="X90:AA91"/>
    <mergeCell ref="AB90:AD91"/>
    <mergeCell ref="AE90:AF91"/>
    <mergeCell ref="AG90:AH91"/>
    <mergeCell ref="AI90:AJ91"/>
    <mergeCell ref="AK90:AM91"/>
    <mergeCell ref="AN90:AQ91"/>
    <mergeCell ref="AU90:AU91"/>
    <mergeCell ref="BC90:BC91"/>
    <mergeCell ref="C88:M89"/>
    <mergeCell ref="N88:S89"/>
    <mergeCell ref="T88:U89"/>
    <mergeCell ref="AE88:AF89"/>
    <mergeCell ref="AG88:AH89"/>
    <mergeCell ref="AI88:AJ89"/>
    <mergeCell ref="V88:W89"/>
    <mergeCell ref="X88:AA89"/>
    <mergeCell ref="AN84:AQ85"/>
    <mergeCell ref="AU84:AU85"/>
    <mergeCell ref="AB92:AD93"/>
    <mergeCell ref="AE92:AF93"/>
    <mergeCell ref="AG92:AH93"/>
    <mergeCell ref="AI92:AJ93"/>
    <mergeCell ref="AK88:AM89"/>
    <mergeCell ref="AN88:AQ89"/>
    <mergeCell ref="AU88:AU89"/>
    <mergeCell ref="AB88:AD89"/>
    <mergeCell ref="BC84:BC85"/>
    <mergeCell ref="C86:M87"/>
    <mergeCell ref="N86:S87"/>
    <mergeCell ref="T86:U87"/>
    <mergeCell ref="V86:W87"/>
    <mergeCell ref="X86:AA87"/>
    <mergeCell ref="AB86:AD87"/>
    <mergeCell ref="AE86:AF87"/>
    <mergeCell ref="AG86:AH87"/>
    <mergeCell ref="AI86:AJ87"/>
    <mergeCell ref="AK86:AM87"/>
    <mergeCell ref="AN86:AQ87"/>
    <mergeCell ref="AU86:AU87"/>
    <mergeCell ref="BC86:BC87"/>
    <mergeCell ref="C84:M85"/>
    <mergeCell ref="N84:S85"/>
    <mergeCell ref="T84:U85"/>
    <mergeCell ref="V84:W85"/>
    <mergeCell ref="X84:AA85"/>
    <mergeCell ref="AB84:AD85"/>
    <mergeCell ref="AE84:AF85"/>
    <mergeCell ref="AG84:AH85"/>
    <mergeCell ref="AI84:AJ85"/>
    <mergeCell ref="AK84:AM85"/>
    <mergeCell ref="AK80:AM81"/>
    <mergeCell ref="AN80:AQ81"/>
    <mergeCell ref="AU80:AU81"/>
    <mergeCell ref="BC80:BC81"/>
    <mergeCell ref="C82:M83"/>
    <mergeCell ref="N82:S83"/>
    <mergeCell ref="T82:U83"/>
    <mergeCell ref="V82:W83"/>
    <mergeCell ref="X82:AA83"/>
    <mergeCell ref="AB82:AD83"/>
    <mergeCell ref="AE82:AF83"/>
    <mergeCell ref="AG82:AH83"/>
    <mergeCell ref="AI82:AJ83"/>
    <mergeCell ref="AK82:AM83"/>
    <mergeCell ref="AN82:AQ83"/>
    <mergeCell ref="AU82:AU83"/>
    <mergeCell ref="BC82:BC83"/>
    <mergeCell ref="C80:M81"/>
    <mergeCell ref="N80:S81"/>
    <mergeCell ref="T80:U81"/>
    <mergeCell ref="V80:W81"/>
    <mergeCell ref="X80:AA81"/>
    <mergeCell ref="AB80:AD81"/>
    <mergeCell ref="AE80:AF81"/>
    <mergeCell ref="AG80:AH81"/>
    <mergeCell ref="AI80:AJ81"/>
    <mergeCell ref="AK76:AM77"/>
    <mergeCell ref="AN76:AQ77"/>
    <mergeCell ref="AU76:AU77"/>
    <mergeCell ref="BC76:BC77"/>
    <mergeCell ref="C78:M79"/>
    <mergeCell ref="N78:S79"/>
    <mergeCell ref="T78:U79"/>
    <mergeCell ref="V78:W79"/>
    <mergeCell ref="X78:AA79"/>
    <mergeCell ref="AB78:AD79"/>
    <mergeCell ref="AE78:AF79"/>
    <mergeCell ref="AG78:AH79"/>
    <mergeCell ref="AI78:AJ79"/>
    <mergeCell ref="AK78:AM79"/>
    <mergeCell ref="AN78:AQ79"/>
    <mergeCell ref="AU78:AU79"/>
    <mergeCell ref="BC78:BC79"/>
    <mergeCell ref="C76:M77"/>
    <mergeCell ref="N76:S77"/>
    <mergeCell ref="T76:U77"/>
    <mergeCell ref="V76:W77"/>
    <mergeCell ref="X76:AA77"/>
    <mergeCell ref="BC72:BC73"/>
    <mergeCell ref="C74:M75"/>
    <mergeCell ref="N74:S75"/>
    <mergeCell ref="T74:U75"/>
    <mergeCell ref="V74:W75"/>
    <mergeCell ref="X74:AA75"/>
    <mergeCell ref="AB74:AD75"/>
    <mergeCell ref="AE74:AF75"/>
    <mergeCell ref="AG74:AH75"/>
    <mergeCell ref="AI74:AJ75"/>
    <mergeCell ref="AK74:AM75"/>
    <mergeCell ref="AN74:AQ75"/>
    <mergeCell ref="AU74:AU75"/>
    <mergeCell ref="BC74:BC75"/>
    <mergeCell ref="C72:M73"/>
    <mergeCell ref="N72:S73"/>
    <mergeCell ref="T72:U73"/>
    <mergeCell ref="AG72:AH73"/>
    <mergeCell ref="AI72:AJ73"/>
    <mergeCell ref="AN68:AQ69"/>
    <mergeCell ref="AU68:AU69"/>
    <mergeCell ref="AB76:AD77"/>
    <mergeCell ref="AE76:AF77"/>
    <mergeCell ref="AG76:AH77"/>
    <mergeCell ref="AI76:AJ77"/>
    <mergeCell ref="AK72:AM73"/>
    <mergeCell ref="AN72:AQ73"/>
    <mergeCell ref="AU72:AU73"/>
    <mergeCell ref="BC68:BC69"/>
    <mergeCell ref="C70:M71"/>
    <mergeCell ref="N70:S71"/>
    <mergeCell ref="T70:U71"/>
    <mergeCell ref="V70:W71"/>
    <mergeCell ref="X70:AA71"/>
    <mergeCell ref="AB70:AD71"/>
    <mergeCell ref="AE70:AF71"/>
    <mergeCell ref="AG70:AH71"/>
    <mergeCell ref="AI70:AJ71"/>
    <mergeCell ref="AK70:AM71"/>
    <mergeCell ref="AN70:AQ71"/>
    <mergeCell ref="AU70:AU71"/>
    <mergeCell ref="BC70:BC71"/>
    <mergeCell ref="C68:M69"/>
    <mergeCell ref="N68:S69"/>
    <mergeCell ref="T68:U69"/>
    <mergeCell ref="V68:W69"/>
    <mergeCell ref="X68:AA69"/>
    <mergeCell ref="AB68:AD69"/>
    <mergeCell ref="AE68:AF69"/>
    <mergeCell ref="AG68:AH69"/>
    <mergeCell ref="AI68:AJ69"/>
    <mergeCell ref="AK68:AM69"/>
    <mergeCell ref="AK66:AM67"/>
    <mergeCell ref="AN66:AQ67"/>
    <mergeCell ref="BC66:BC67"/>
    <mergeCell ref="C64:M65"/>
    <mergeCell ref="N64:S65"/>
    <mergeCell ref="T64:U65"/>
    <mergeCell ref="V64:W65"/>
    <mergeCell ref="X64:AA65"/>
    <mergeCell ref="AB64:AD65"/>
    <mergeCell ref="AE64:AF65"/>
    <mergeCell ref="AG64:AH65"/>
    <mergeCell ref="AI64:AJ65"/>
    <mergeCell ref="C66:M67"/>
    <mergeCell ref="N66:S67"/>
    <mergeCell ref="T66:U67"/>
    <mergeCell ref="V66:W67"/>
    <mergeCell ref="X66:AA67"/>
    <mergeCell ref="AB66:AD67"/>
    <mergeCell ref="AE66:AF67"/>
    <mergeCell ref="AG66:AH67"/>
    <mergeCell ref="AI66:AJ67"/>
    <mergeCell ref="AU62:AU63"/>
    <mergeCell ref="BC62:BC63"/>
    <mergeCell ref="C60:M61"/>
    <mergeCell ref="N60:S61"/>
    <mergeCell ref="T60:U61"/>
    <mergeCell ref="V60:W61"/>
    <mergeCell ref="X60:AA61"/>
    <mergeCell ref="AN64:AQ65"/>
    <mergeCell ref="AU64:AU65"/>
    <mergeCell ref="BC64:BC65"/>
    <mergeCell ref="T62:U63"/>
    <mergeCell ref="V62:W63"/>
    <mergeCell ref="X62:AA63"/>
    <mergeCell ref="AB62:AD63"/>
    <mergeCell ref="AE62:AF63"/>
    <mergeCell ref="AG62:AH63"/>
    <mergeCell ref="AI62:AJ63"/>
    <mergeCell ref="AK62:AM63"/>
    <mergeCell ref="AN62:AQ63"/>
    <mergeCell ref="AK64:AM65"/>
    <mergeCell ref="AU56:AU57"/>
    <mergeCell ref="BC56:BC57"/>
    <mergeCell ref="C58:M59"/>
    <mergeCell ref="N58:S59"/>
    <mergeCell ref="T58:U59"/>
    <mergeCell ref="V58:W59"/>
    <mergeCell ref="X58:AA59"/>
    <mergeCell ref="AB58:AD59"/>
    <mergeCell ref="AE58:AF59"/>
    <mergeCell ref="AG58:AH59"/>
    <mergeCell ref="AI58:AJ59"/>
    <mergeCell ref="AK58:AM59"/>
    <mergeCell ref="AN58:AQ59"/>
    <mergeCell ref="AU58:AU59"/>
    <mergeCell ref="BC58:BC59"/>
    <mergeCell ref="C56:M57"/>
    <mergeCell ref="N56:S57"/>
    <mergeCell ref="T56:U57"/>
    <mergeCell ref="AK60:AM61"/>
    <mergeCell ref="AN60:AQ61"/>
    <mergeCell ref="AU60:AU61"/>
    <mergeCell ref="BC60:BC61"/>
    <mergeCell ref="C62:M63"/>
    <mergeCell ref="AG60:AH61"/>
    <mergeCell ref="AI60:AJ61"/>
    <mergeCell ref="AK56:AM57"/>
    <mergeCell ref="AN56:AQ57"/>
    <mergeCell ref="AK52:AM53"/>
    <mergeCell ref="AN52:AQ53"/>
    <mergeCell ref="AK54:AM55"/>
    <mergeCell ref="AN54:AQ55"/>
    <mergeCell ref="AG50:AH51"/>
    <mergeCell ref="AI50:AJ51"/>
    <mergeCell ref="AG56:AH57"/>
    <mergeCell ref="AI56:AJ57"/>
    <mergeCell ref="AU46:AU47"/>
    <mergeCell ref="BC46:BC47"/>
    <mergeCell ref="AU48:AU49"/>
    <mergeCell ref="BC48:BC49"/>
    <mergeCell ref="AU50:AU51"/>
    <mergeCell ref="BC50:BC51"/>
    <mergeCell ref="AU52:AU53"/>
    <mergeCell ref="BC52:BC53"/>
    <mergeCell ref="AU54:AU55"/>
    <mergeCell ref="BC54:BC55"/>
    <mergeCell ref="AI48:AJ49"/>
    <mergeCell ref="AN48:AQ49"/>
    <mergeCell ref="AK50:AM51"/>
    <mergeCell ref="AN50:AQ51"/>
    <mergeCell ref="AK48:AM49"/>
    <mergeCell ref="AB32:AD33"/>
    <mergeCell ref="AU36:AU37"/>
    <mergeCell ref="BC36:BC37"/>
    <mergeCell ref="AE32:AF33"/>
    <mergeCell ref="AV28:AV29"/>
    <mergeCell ref="AV30:AV31"/>
    <mergeCell ref="AU44:AU45"/>
    <mergeCell ref="BC44:BC45"/>
    <mergeCell ref="AV36:AV37"/>
    <mergeCell ref="AV38:AV39"/>
    <mergeCell ref="AV40:AV41"/>
    <mergeCell ref="AV42:AV43"/>
    <mergeCell ref="AV44:AV45"/>
    <mergeCell ref="AG28:AH29"/>
    <mergeCell ref="AI28:AJ29"/>
    <mergeCell ref="BC32:BC33"/>
    <mergeCell ref="BC34:BC35"/>
    <mergeCell ref="AV32:AV33"/>
    <mergeCell ref="AV34:AV35"/>
    <mergeCell ref="AK36:AM37"/>
    <mergeCell ref="AN36:AQ37"/>
    <mergeCell ref="AK28:AM29"/>
    <mergeCell ref="AK30:AM31"/>
    <mergeCell ref="AG34:AH35"/>
    <mergeCell ref="AG30:AH31"/>
    <mergeCell ref="AI30:AJ31"/>
    <mergeCell ref="AU38:AU39"/>
    <mergeCell ref="BC38:BC39"/>
    <mergeCell ref="AU40:AU41"/>
    <mergeCell ref="BC40:BC41"/>
    <mergeCell ref="AU42:AU43"/>
    <mergeCell ref="BC42:BC43"/>
    <mergeCell ref="AK38:AM39"/>
    <mergeCell ref="AN38:AQ39"/>
    <mergeCell ref="AI32:AJ33"/>
    <mergeCell ref="AK32:AM33"/>
    <mergeCell ref="AK34:AM35"/>
    <mergeCell ref="AN34:AQ35"/>
    <mergeCell ref="AK40:AM41"/>
    <mergeCell ref="AN40:AQ41"/>
    <mergeCell ref="AB26:AD27"/>
    <mergeCell ref="T18:U19"/>
    <mergeCell ref="C30:M31"/>
    <mergeCell ref="N30:S31"/>
    <mergeCell ref="T30:U31"/>
    <mergeCell ref="V30:W31"/>
    <mergeCell ref="X30:AA31"/>
    <mergeCell ref="AB30:AD31"/>
    <mergeCell ref="AE30:AF31"/>
    <mergeCell ref="AB28:AD29"/>
    <mergeCell ref="AE28:AF29"/>
    <mergeCell ref="V24:W25"/>
    <mergeCell ref="X24:AA25"/>
    <mergeCell ref="AE18:AF19"/>
    <mergeCell ref="AG18:AH19"/>
    <mergeCell ref="AI18:AJ19"/>
    <mergeCell ref="AB18:AD19"/>
    <mergeCell ref="C18:M19"/>
    <mergeCell ref="N18:S19"/>
    <mergeCell ref="AI24:AJ25"/>
    <mergeCell ref="AU14:AU15"/>
    <mergeCell ref="AK14:AM15"/>
    <mergeCell ref="AN14:AQ15"/>
    <mergeCell ref="B16:B17"/>
    <mergeCell ref="C16:M17"/>
    <mergeCell ref="N16:S17"/>
    <mergeCell ref="T16:U17"/>
    <mergeCell ref="V16:W17"/>
    <mergeCell ref="X16:AA17"/>
    <mergeCell ref="AE14:AH14"/>
    <mergeCell ref="AE15:AF15"/>
    <mergeCell ref="AG15:AH15"/>
    <mergeCell ref="C14:M15"/>
    <mergeCell ref="N14:S15"/>
    <mergeCell ref="T14:U15"/>
    <mergeCell ref="V14:W15"/>
    <mergeCell ref="X14:AA15"/>
    <mergeCell ref="AB14:AD15"/>
    <mergeCell ref="AI14:AJ15"/>
    <mergeCell ref="AQ1:AR1"/>
    <mergeCell ref="AQ2:AR3"/>
    <mergeCell ref="R9:AD10"/>
    <mergeCell ref="Z11:AC11"/>
    <mergeCell ref="R12:U13"/>
    <mergeCell ref="V12:Y13"/>
    <mergeCell ref="Z12:AC13"/>
    <mergeCell ref="R11:U11"/>
    <mergeCell ref="V11:Y11"/>
    <mergeCell ref="AH1:AK1"/>
    <mergeCell ref="AL1:AP1"/>
    <mergeCell ref="AH2:AK3"/>
    <mergeCell ref="AL2:AP3"/>
    <mergeCell ref="AF11:AI11"/>
    <mergeCell ref="AF12:AI13"/>
    <mergeCell ref="B180:B181"/>
    <mergeCell ref="B182:B183"/>
    <mergeCell ref="B160:B161"/>
    <mergeCell ref="B138:B139"/>
    <mergeCell ref="B140:B141"/>
    <mergeCell ref="B162:B163"/>
    <mergeCell ref="B164:B165"/>
    <mergeCell ref="B166:B167"/>
    <mergeCell ref="C34:M35"/>
    <mergeCell ref="B158:B159"/>
    <mergeCell ref="B144:B145"/>
    <mergeCell ref="B146:B147"/>
    <mergeCell ref="B148:B149"/>
    <mergeCell ref="B150:B151"/>
    <mergeCell ref="B136:B137"/>
    <mergeCell ref="B114:B115"/>
    <mergeCell ref="B116:B117"/>
    <mergeCell ref="B118:B119"/>
    <mergeCell ref="B120:B121"/>
    <mergeCell ref="B122:B123"/>
    <mergeCell ref="B124:B125"/>
    <mergeCell ref="B126:B127"/>
    <mergeCell ref="B128:B129"/>
    <mergeCell ref="B130:B131"/>
    <mergeCell ref="V72:W73"/>
    <mergeCell ref="X72:AA73"/>
    <mergeCell ref="AB72:AD73"/>
    <mergeCell ref="AE72:AF73"/>
    <mergeCell ref="C42:M43"/>
    <mergeCell ref="N42:S43"/>
    <mergeCell ref="T42:U43"/>
    <mergeCell ref="V42:W43"/>
    <mergeCell ref="X42:AA43"/>
    <mergeCell ref="AB42:AD43"/>
    <mergeCell ref="AE42:AF43"/>
    <mergeCell ref="N50:S51"/>
    <mergeCell ref="T50:U51"/>
    <mergeCell ref="V50:W51"/>
    <mergeCell ref="X50:AA51"/>
    <mergeCell ref="AB50:AD51"/>
    <mergeCell ref="AE50:AF51"/>
    <mergeCell ref="V56:W57"/>
    <mergeCell ref="X56:AA57"/>
    <mergeCell ref="AB56:AD57"/>
    <mergeCell ref="AE56:AF57"/>
    <mergeCell ref="AB60:AD61"/>
    <mergeCell ref="AE60:AF61"/>
    <mergeCell ref="N62:S63"/>
    <mergeCell ref="V18:W19"/>
    <mergeCell ref="X18:AA19"/>
    <mergeCell ref="B198:B199"/>
    <mergeCell ref="B186:B187"/>
    <mergeCell ref="B188:B189"/>
    <mergeCell ref="B190:B191"/>
    <mergeCell ref="B192:B193"/>
    <mergeCell ref="B194:B195"/>
    <mergeCell ref="B196:B197"/>
    <mergeCell ref="B184:B185"/>
    <mergeCell ref="V28:W29"/>
    <mergeCell ref="X28:AA29"/>
    <mergeCell ref="V104:W105"/>
    <mergeCell ref="X104:AA105"/>
    <mergeCell ref="B168:B169"/>
    <mergeCell ref="B170:B171"/>
    <mergeCell ref="B172:B173"/>
    <mergeCell ref="B174:B175"/>
    <mergeCell ref="B176:B177"/>
    <mergeCell ref="B178:B179"/>
    <mergeCell ref="B142:B143"/>
    <mergeCell ref="B152:B153"/>
    <mergeCell ref="B154:B155"/>
    <mergeCell ref="B156:B157"/>
    <mergeCell ref="B132:B133"/>
    <mergeCell ref="B134:B135"/>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64:B65"/>
    <mergeCell ref="B46:B47"/>
    <mergeCell ref="B48:B49"/>
    <mergeCell ref="B50:B51"/>
    <mergeCell ref="B52:B53"/>
    <mergeCell ref="B54:B55"/>
    <mergeCell ref="B56:B57"/>
    <mergeCell ref="B58:B59"/>
    <mergeCell ref="B60:B61"/>
    <mergeCell ref="B62:B63"/>
    <mergeCell ref="B32:B33"/>
    <mergeCell ref="B34:B35"/>
    <mergeCell ref="AU16:AU17"/>
    <mergeCell ref="AU18:AU19"/>
    <mergeCell ref="AU20:AU21"/>
    <mergeCell ref="AU22:AU23"/>
    <mergeCell ref="AU24:AU25"/>
    <mergeCell ref="B18:B19"/>
    <mergeCell ref="C20:M21"/>
    <mergeCell ref="C26:M27"/>
    <mergeCell ref="AG32:AH33"/>
    <mergeCell ref="X20:AA21"/>
    <mergeCell ref="V26:W27"/>
    <mergeCell ref="X26:AA27"/>
    <mergeCell ref="AI34:AJ35"/>
    <mergeCell ref="AB20:AD21"/>
    <mergeCell ref="AE20:AF21"/>
    <mergeCell ref="N20:S21"/>
    <mergeCell ref="AI26:AJ27"/>
    <mergeCell ref="AB22:AD23"/>
    <mergeCell ref="AE22:AF23"/>
    <mergeCell ref="AG22:AH23"/>
    <mergeCell ref="AI22:AJ23"/>
    <mergeCell ref="AG24:AH25"/>
    <mergeCell ref="B20:B21"/>
    <mergeCell ref="B22:B23"/>
    <mergeCell ref="B24:B25"/>
    <mergeCell ref="B26:B27"/>
    <mergeCell ref="B28:B29"/>
    <mergeCell ref="B30:B31"/>
    <mergeCell ref="C28:M29"/>
    <mergeCell ref="N28:S29"/>
    <mergeCell ref="T28:U29"/>
    <mergeCell ref="C22:M23"/>
    <mergeCell ref="N22:S23"/>
    <mergeCell ref="T22:U23"/>
    <mergeCell ref="C24:M25"/>
    <mergeCell ref="N24:S25"/>
    <mergeCell ref="T24:U25"/>
    <mergeCell ref="N26:S27"/>
    <mergeCell ref="T26:U27"/>
    <mergeCell ref="M200:AG201"/>
    <mergeCell ref="AG20:AH21"/>
    <mergeCell ref="AI20:AJ21"/>
    <mergeCell ref="AI16:AJ17"/>
    <mergeCell ref="AU200:AU201"/>
    <mergeCell ref="AU26:AU27"/>
    <mergeCell ref="AU28:AU29"/>
    <mergeCell ref="AU30:AU31"/>
    <mergeCell ref="AU32:AU33"/>
    <mergeCell ref="AU34:AU35"/>
    <mergeCell ref="AE16:AF17"/>
    <mergeCell ref="AG16:AH17"/>
    <mergeCell ref="AB24:AD25"/>
    <mergeCell ref="AE24:AF25"/>
    <mergeCell ref="N34:S35"/>
    <mergeCell ref="T34:U35"/>
    <mergeCell ref="V34:W35"/>
    <mergeCell ref="X34:AA35"/>
    <mergeCell ref="V20:W21"/>
    <mergeCell ref="AB16:AD17"/>
    <mergeCell ref="T20:U21"/>
    <mergeCell ref="AK18:AM19"/>
    <mergeCell ref="AK16:AM17"/>
    <mergeCell ref="AK20:AM21"/>
    <mergeCell ref="AN18:AQ19"/>
    <mergeCell ref="AN16:AQ17"/>
    <mergeCell ref="AN20:AQ21"/>
    <mergeCell ref="AN22:AQ23"/>
    <mergeCell ref="AN24:AQ25"/>
    <mergeCell ref="AN26:AQ27"/>
    <mergeCell ref="AN28:AQ29"/>
    <mergeCell ref="AN30:AQ31"/>
    <mergeCell ref="AN32:AQ33"/>
    <mergeCell ref="AK24:AM25"/>
    <mergeCell ref="AK26:AM27"/>
    <mergeCell ref="AK22:AM23"/>
    <mergeCell ref="AI36:AJ37"/>
    <mergeCell ref="C38:M39"/>
    <mergeCell ref="N38:S39"/>
    <mergeCell ref="T38:U39"/>
    <mergeCell ref="V38:W39"/>
    <mergeCell ref="X38:AA39"/>
    <mergeCell ref="AB38:AD39"/>
    <mergeCell ref="AE38:AF39"/>
    <mergeCell ref="AG38:AH39"/>
    <mergeCell ref="AI38:AJ39"/>
    <mergeCell ref="C32:M33"/>
    <mergeCell ref="N32:S33"/>
    <mergeCell ref="T32:U33"/>
    <mergeCell ref="V32:W33"/>
    <mergeCell ref="X32:AA33"/>
    <mergeCell ref="AB34:AD35"/>
    <mergeCell ref="AE34:AF35"/>
    <mergeCell ref="AE26:AF27"/>
    <mergeCell ref="AG26:AH27"/>
    <mergeCell ref="V22:W23"/>
    <mergeCell ref="X22:AA23"/>
    <mergeCell ref="AI42:AJ43"/>
    <mergeCell ref="AK42:AM43"/>
    <mergeCell ref="AN42:AQ43"/>
    <mergeCell ref="C40:M41"/>
    <mergeCell ref="N40:S41"/>
    <mergeCell ref="T40:U41"/>
    <mergeCell ref="V40:W41"/>
    <mergeCell ref="X40:AA41"/>
    <mergeCell ref="AB40:AD41"/>
    <mergeCell ref="AE40:AF41"/>
    <mergeCell ref="AG40:AH41"/>
    <mergeCell ref="AI40:AJ41"/>
    <mergeCell ref="AN44:AQ45"/>
    <mergeCell ref="C46:M47"/>
    <mergeCell ref="N46:S47"/>
    <mergeCell ref="T46:U47"/>
    <mergeCell ref="V46:W47"/>
    <mergeCell ref="X46:AA47"/>
    <mergeCell ref="AB46:AD47"/>
    <mergeCell ref="AE46:AF47"/>
    <mergeCell ref="AG46:AH47"/>
    <mergeCell ref="AI46:AJ47"/>
    <mergeCell ref="AK46:AM47"/>
    <mergeCell ref="AN46:AQ47"/>
    <mergeCell ref="C44:M45"/>
    <mergeCell ref="N44:S45"/>
    <mergeCell ref="T44:U45"/>
    <mergeCell ref="V44:W45"/>
    <mergeCell ref="X44:AA45"/>
    <mergeCell ref="AB44:AD45"/>
    <mergeCell ref="AE44:AF45"/>
    <mergeCell ref="AG44:AH45"/>
    <mergeCell ref="AI44:AJ45"/>
    <mergeCell ref="AK44:AM45"/>
    <mergeCell ref="B36:B37"/>
    <mergeCell ref="B38:B39"/>
    <mergeCell ref="B40:B41"/>
    <mergeCell ref="B42:B43"/>
    <mergeCell ref="B44:B45"/>
    <mergeCell ref="C36:M37"/>
    <mergeCell ref="N36:S37"/>
    <mergeCell ref="T36:U37"/>
    <mergeCell ref="V36:W37"/>
    <mergeCell ref="C54:M55"/>
    <mergeCell ref="N54:S55"/>
    <mergeCell ref="T54:U55"/>
    <mergeCell ref="V54:W55"/>
    <mergeCell ref="X54:AA55"/>
    <mergeCell ref="AB54:AD55"/>
    <mergeCell ref="AE54:AF55"/>
    <mergeCell ref="AG54:AH55"/>
    <mergeCell ref="AI54:AJ55"/>
    <mergeCell ref="C52:M53"/>
    <mergeCell ref="N52:S53"/>
    <mergeCell ref="T52:U53"/>
    <mergeCell ref="V52:W53"/>
    <mergeCell ref="X52:AA53"/>
    <mergeCell ref="AB52:AD53"/>
    <mergeCell ref="AE52:AF53"/>
    <mergeCell ref="AG52:AH53"/>
    <mergeCell ref="AI52:AJ53"/>
    <mergeCell ref="T48:U49"/>
    <mergeCell ref="V48:W49"/>
    <mergeCell ref="X48:AA49"/>
    <mergeCell ref="AB48:AD49"/>
    <mergeCell ref="AE48:AF49"/>
    <mergeCell ref="AG48:AH49"/>
    <mergeCell ref="X36:AA37"/>
    <mergeCell ref="AB36:AD37"/>
    <mergeCell ref="AE36:AF37"/>
    <mergeCell ref="AG36:AH37"/>
    <mergeCell ref="AG42:AH43"/>
    <mergeCell ref="C50:M51"/>
    <mergeCell ref="BE14:BE15"/>
    <mergeCell ref="BE16:BE17"/>
    <mergeCell ref="BE18:BE19"/>
    <mergeCell ref="BE20:BE21"/>
    <mergeCell ref="BE22:BE23"/>
    <mergeCell ref="BE24:BE25"/>
    <mergeCell ref="BE26:BE27"/>
    <mergeCell ref="AV14:AV15"/>
    <mergeCell ref="AV16:AV17"/>
    <mergeCell ref="AV18:AV19"/>
    <mergeCell ref="AV20:AV21"/>
    <mergeCell ref="AV22:AV23"/>
    <mergeCell ref="AV24:AV25"/>
    <mergeCell ref="AV26:AV27"/>
    <mergeCell ref="BC14:BC15"/>
    <mergeCell ref="BC16:BC17"/>
    <mergeCell ref="BC18:BC19"/>
    <mergeCell ref="BC20:BC21"/>
    <mergeCell ref="BC22:BC23"/>
    <mergeCell ref="BC24:BC25"/>
    <mergeCell ref="BC26:BC27"/>
    <mergeCell ref="C48:M49"/>
    <mergeCell ref="N48:S49"/>
    <mergeCell ref="AY66:AY67"/>
    <mergeCell ref="BA66:BA67"/>
    <mergeCell ref="BE28:BE29"/>
    <mergeCell ref="BE30:BE31"/>
    <mergeCell ref="BE32:BE33"/>
    <mergeCell ref="BE34:BE35"/>
    <mergeCell ref="BE36:BE37"/>
    <mergeCell ref="BE38:BE39"/>
    <mergeCell ref="BE40:BE41"/>
    <mergeCell ref="BE42:BE43"/>
    <mergeCell ref="BE44:BE45"/>
    <mergeCell ref="BC28:BC29"/>
    <mergeCell ref="BC30:BC31"/>
  </mergeCells>
  <conditionalFormatting sqref="AH2 AL2">
    <cfRule type="expression" dxfId="151" priority="1">
      <formula>PROJSTATUS=PROJSTATELI</formula>
    </cfRule>
    <cfRule type="expression" dxfId="150" priority="2">
      <formula>PROJSTATUS=PROJSTATREVIEW</formula>
    </cfRule>
    <cfRule type="expression" dxfId="149" priority="6">
      <formula>PROJSTATUS=PROJSTATPREAPPROVE</formula>
    </cfRule>
    <cfRule type="expression" dxfId="148" priority="7">
      <formula>PROJSTATUS=PROJSTATSTANDARD</formula>
    </cfRule>
    <cfRule type="expression" dxfId="147" priority="8">
      <formula>PROJSTATUS=PROJSTATEXP</formula>
    </cfRule>
  </conditionalFormatting>
  <conditionalFormatting sqref="AQ2:AR3">
    <cfRule type="cellIs" dxfId="146" priority="3" operator="equal">
      <formula>1</formula>
    </cfRule>
    <cfRule type="cellIs" dxfId="145" priority="4" operator="between">
      <formula>0.51</formula>
      <formula>0.99</formula>
    </cfRule>
    <cfRule type="cellIs" dxfId="144" priority="5" operator="lessThanOrEqual">
      <formula>0.5</formula>
    </cfRule>
  </conditionalFormatting>
  <dataValidations xWindow="639" yWindow="555" count="6">
    <dataValidation type="decimal" allowBlank="1" showInputMessage="1" showErrorMessage="1" error="Please enter a numerical value" prompt="Reference the &quot;Unit of Measure&quot; column to ensure you enter the correct value based on unit type." sqref="V36:W55" xr:uid="{00000000-0002-0000-1900-000000000000}">
      <formula1>INDEX(PMGHVACEFFW1,MATCH(C36,PMGHVACEFF1,0))</formula1>
      <formula2>INDEX(PMGHVACEFFW2,MATCH(C36,PMGHVACEFF1,0))</formula2>
    </dataValidation>
    <dataValidation type="decimal" allowBlank="1" showInputMessage="1" showErrorMessage="1" error="Please enter a numerical value" sqref="AG16:AH55" xr:uid="{00000000-0002-0000-1900-000001000000}">
      <formula1>0</formula1>
      <formula2>999999</formula2>
    </dataValidation>
    <dataValidation type="list" allowBlank="1" showInputMessage="1" showErrorMessage="1" sqref="C16:M65 C68:M115" xr:uid="{00000000-0002-0000-1900-000002000000}">
      <formula1>PMGHVACEFF1</formula1>
    </dataValidation>
    <dataValidation type="decimal" allowBlank="1" showInputMessage="1" showErrorMessage="1" error="Please enter a numerical value" sqref="AE16:AF55" xr:uid="{00000000-0002-0000-1900-000003000000}">
      <formula1>0.01</formula1>
      <formula2>999999</formula2>
    </dataValidation>
    <dataValidation type="decimal" allowBlank="1" showInputMessage="1" showErrorMessage="1" error="The units entered do not match the Measure selected. Please ensure that the correct Measure and size range was selected." prompt="Reference the &quot;Unit of Measure&quot; column to ensure you enter the correct value based on unit type." sqref="V18:W35" xr:uid="{CC6BB5D5-0D11-49F3-AFE3-2EF39A1B85F7}">
      <formula1>INDEX(PMGHVACEFFW1,MATCH(C18,PMGHVACEFF1,0))</formula1>
      <formula2>INDEX(PMGHVACEFFW2,MATCH(C18,PMGHVACEFF1,0))</formula2>
    </dataValidation>
    <dataValidation type="decimal" showInputMessage="1" showErrorMessage="1" error="The units entered do not match the Measure selected. Please ensure that the correct Measure and size range was selected." prompt="Reference the &quot;Unit of Measure&quot; column to ensure you enter the correct value based on unit type." sqref="V16:W17" xr:uid="{A5785A8A-DD8D-403F-9BD4-A718E7089BDD}">
      <formula1>INDEX(PMGHVACEFFW1,MATCH(C16,PMGHVACEFF1,0))</formula1>
      <formula2>INDEX(PMGHVACEFFW2,MATCH(C16,PMGHVACEFF1,0))</formula2>
    </dataValidation>
  </dataValidations>
  <hyperlinks>
    <hyperlink ref="B202" r:id="rId1" xr:uid="{38410FBA-BF49-438F-AF61-C94E6560D6E4}"/>
  </hyperlinks>
  <pageMargins left="0.25" right="0.25" top="0.25" bottom="0.25" header="0.25" footer="0.25"/>
  <pageSetup scale="40" fitToHeight="0" orientation="landscape"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pageSetUpPr fitToPage="1"/>
  </sheetPr>
  <dimension ref="A1:BZ203"/>
  <sheetViews>
    <sheetView showGridLines="0" showRowColHeaders="0" zoomScale="85" zoomScaleNormal="85" workbookViewId="0">
      <selection activeCell="C16" sqref="C16:M17"/>
    </sheetView>
  </sheetViews>
  <sheetFormatPr defaultColWidth="0" defaultRowHeight="0" customHeight="1" zeroHeight="1"/>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5" ht="15.95" customHeight="1">
      <c r="AH1" s="681" t="s">
        <v>471</v>
      </c>
      <c r="AI1" s="681"/>
      <c r="AJ1" s="681"/>
      <c r="AK1" s="681"/>
      <c r="AL1" s="682" t="s">
        <v>736</v>
      </c>
      <c r="AM1" s="682"/>
      <c r="AN1" s="682"/>
      <c r="AO1" s="682"/>
      <c r="AP1" s="682"/>
      <c r="AQ1" s="678" t="s">
        <v>474</v>
      </c>
      <c r="AR1" s="678"/>
    </row>
    <row r="2" spans="2:55" ht="15.95" customHeight="1">
      <c r="AH2" s="683" t="str">
        <f ca="1">INCENSTATUS</f>
        <v>---</v>
      </c>
      <c r="AI2" s="684"/>
      <c r="AJ2" s="684"/>
      <c r="AK2" s="684"/>
      <c r="AL2" s="685" t="str">
        <f ca="1">PROJSTATUS</f>
        <v>Enter Measures</v>
      </c>
      <c r="AM2" s="685"/>
      <c r="AN2" s="685"/>
      <c r="AO2" s="685"/>
      <c r="AP2" s="685"/>
      <c r="AQ2" s="679">
        <f ca="1">PROGRESSSTATUS</f>
        <v>2.8985507246376812E-2</v>
      </c>
      <c r="AR2" s="680"/>
    </row>
    <row r="3" spans="2:55" ht="15.95" customHeight="1">
      <c r="AH3" s="675"/>
      <c r="AI3" s="676"/>
      <c r="AJ3" s="676"/>
      <c r="AK3" s="676"/>
      <c r="AL3" s="668"/>
      <c r="AM3" s="668"/>
      <c r="AN3" s="668"/>
      <c r="AO3" s="668"/>
      <c r="AP3" s="668"/>
      <c r="AQ3" s="662"/>
      <c r="AR3" s="663"/>
    </row>
    <row r="4" spans="2:55" ht="15.95" customHeight="1">
      <c r="AR4" s="171"/>
    </row>
    <row r="5" spans="2:55" ht="15.95" customHeight="1"/>
    <row r="6" spans="2:55" ht="15.95" customHeight="1">
      <c r="AU6" s="59" t="s">
        <v>907</v>
      </c>
      <c r="AV6" s="59">
        <f>PROJID</f>
        <v>0</v>
      </c>
    </row>
    <row r="7" spans="2:55" ht="15.95" customHeight="1">
      <c r="AU7" s="87"/>
      <c r="AV7" s="87" t="s">
        <v>866</v>
      </c>
      <c r="AW7" s="87" t="s">
        <v>231</v>
      </c>
      <c r="AX7" s="87" t="s">
        <v>892</v>
      </c>
    </row>
    <row r="8" spans="2:55" ht="15.95" customHeight="1">
      <c r="AU8" s="87" t="s">
        <v>219</v>
      </c>
      <c r="AV8" s="87" t="str">
        <f ca="1">CBPRESE</f>
        <v>NA</v>
      </c>
      <c r="AW8" s="87" t="str">
        <f ca="1">CBCUSE</f>
        <v>NA</v>
      </c>
      <c r="AX8" s="87" t="str">
        <f ca="1">CBALL</f>
        <v>NA</v>
      </c>
    </row>
    <row r="9" spans="2:55" ht="15.95" customHeight="1">
      <c r="B9" s="59"/>
      <c r="C9" s="59"/>
      <c r="D9" s="59"/>
      <c r="E9" s="59"/>
      <c r="F9" s="59"/>
      <c r="G9" s="59"/>
      <c r="H9" s="59"/>
      <c r="I9" s="59"/>
      <c r="J9" s="59"/>
      <c r="K9" s="59"/>
      <c r="L9" s="59"/>
      <c r="M9" s="59"/>
      <c r="N9" s="59"/>
      <c r="O9" s="59"/>
      <c r="P9" s="59"/>
      <c r="Q9" s="59"/>
      <c r="R9" s="730" t="str">
        <f>CONCATENATE(M3S7," ","Summary")</f>
        <v>Water Heating / Others (Gas) Summary</v>
      </c>
      <c r="S9" s="730"/>
      <c r="T9" s="730"/>
      <c r="U9" s="730"/>
      <c r="V9" s="730"/>
      <c r="W9" s="730"/>
      <c r="X9" s="730"/>
      <c r="Y9" s="730"/>
      <c r="Z9" s="730"/>
      <c r="AA9" s="730"/>
      <c r="AB9" s="730"/>
      <c r="AC9" s="730"/>
      <c r="AD9" s="59"/>
      <c r="AE9" s="59"/>
      <c r="AF9" s="59"/>
      <c r="AG9" s="59"/>
      <c r="AH9" s="59"/>
      <c r="AI9" s="59"/>
      <c r="AJ9" s="59"/>
      <c r="AK9" s="59"/>
      <c r="AL9" s="59"/>
      <c r="AM9" s="59"/>
      <c r="AN9" s="59"/>
      <c r="AO9" s="59"/>
      <c r="AP9" s="59"/>
      <c r="AQ9" s="59"/>
      <c r="AR9" s="59"/>
      <c r="AU9" s="87"/>
      <c r="AV9" s="87"/>
      <c r="AW9" s="87"/>
      <c r="AX9" s="87"/>
    </row>
    <row r="10" spans="2:55" ht="15.95" customHeight="1">
      <c r="B10" s="59"/>
      <c r="C10" s="59"/>
      <c r="D10" s="59"/>
      <c r="E10" s="59"/>
      <c r="F10" s="59"/>
      <c r="G10" s="59"/>
      <c r="H10" s="59"/>
      <c r="I10" s="59"/>
      <c r="J10" s="59"/>
      <c r="K10" s="59"/>
      <c r="L10" s="59"/>
      <c r="M10" s="59"/>
      <c r="N10" s="59"/>
      <c r="O10" s="59"/>
      <c r="P10" s="59"/>
      <c r="Q10" s="59"/>
      <c r="R10" s="730"/>
      <c r="S10" s="730"/>
      <c r="T10" s="730"/>
      <c r="U10" s="730"/>
      <c r="V10" s="730"/>
      <c r="W10" s="730"/>
      <c r="X10" s="730"/>
      <c r="Y10" s="730"/>
      <c r="Z10" s="730"/>
      <c r="AA10" s="730"/>
      <c r="AB10" s="730"/>
      <c r="AC10" s="730"/>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55" ht="15.95" customHeight="1">
      <c r="B11" s="59"/>
      <c r="C11" s="59"/>
      <c r="D11" s="59"/>
      <c r="E11" s="59"/>
      <c r="F11" s="59"/>
      <c r="G11" s="59"/>
      <c r="H11" s="59"/>
      <c r="I11" s="59"/>
      <c r="J11" s="59"/>
      <c r="K11" s="59"/>
      <c r="L11" s="59"/>
      <c r="M11" s="59"/>
      <c r="N11" s="59"/>
      <c r="O11" s="59"/>
      <c r="P11" s="59"/>
      <c r="Q11" s="59"/>
      <c r="R11" s="831" t="s">
        <v>68</v>
      </c>
      <c r="S11" s="831"/>
      <c r="T11" s="831"/>
      <c r="U11" s="831"/>
      <c r="V11" s="831" t="s">
        <v>69</v>
      </c>
      <c r="W11" s="831"/>
      <c r="X11" s="831"/>
      <c r="Y11" s="831"/>
      <c r="Z11" s="831" t="s">
        <v>198</v>
      </c>
      <c r="AA11" s="831"/>
      <c r="AB11" s="831"/>
      <c r="AC11" s="831"/>
      <c r="AD11" s="59"/>
      <c r="AE11" s="59"/>
      <c r="AF11" s="59"/>
      <c r="AG11" s="59"/>
      <c r="AH11" s="59"/>
      <c r="AI11" s="59"/>
      <c r="AJ11" s="59"/>
      <c r="AK11" s="59"/>
      <c r="AL11" s="59"/>
      <c r="AM11" s="59"/>
      <c r="AN11" s="59"/>
      <c r="AO11" s="59"/>
      <c r="AP11" s="59"/>
      <c r="AQ11" s="59"/>
      <c r="AR11" s="59"/>
    </row>
    <row r="12" spans="2:55" ht="15.95" customHeight="1">
      <c r="B12" s="59"/>
      <c r="C12" s="59"/>
      <c r="D12" s="59"/>
      <c r="E12" s="59"/>
      <c r="F12" s="59"/>
      <c r="G12" s="59"/>
      <c r="H12" s="59"/>
      <c r="I12" s="59"/>
      <c r="J12" s="59"/>
      <c r="K12" s="59"/>
      <c r="L12" s="59"/>
      <c r="M12" s="59"/>
      <c r="N12" s="59"/>
      <c r="O12" s="59"/>
      <c r="P12" s="59"/>
      <c r="Q12" s="59"/>
      <c r="R12" s="875">
        <f>SUM(AN16:AQ199)</f>
        <v>0</v>
      </c>
      <c r="S12" s="875"/>
      <c r="T12" s="875"/>
      <c r="U12" s="875"/>
      <c r="V12" s="875">
        <f>AU200</f>
        <v>0</v>
      </c>
      <c r="W12" s="875"/>
      <c r="X12" s="875"/>
      <c r="Y12" s="875"/>
      <c r="Z12" s="997">
        <f ca="1">SUMIF(AN16:AQ199,"&gt;0",AK16:AM199)</f>
        <v>0</v>
      </c>
      <c r="AA12" s="997"/>
      <c r="AB12" s="997"/>
      <c r="AC12" s="997"/>
      <c r="AD12" s="59"/>
      <c r="AE12" s="59"/>
      <c r="AF12" s="59"/>
      <c r="AG12" s="59"/>
      <c r="AH12" s="59"/>
      <c r="AI12" s="59"/>
      <c r="AJ12" s="59"/>
      <c r="AK12" s="59"/>
      <c r="AL12" s="59"/>
      <c r="AM12" s="59"/>
      <c r="AN12" s="59"/>
      <c r="AO12" s="59"/>
      <c r="AP12" s="59"/>
      <c r="AQ12" s="59"/>
      <c r="AR12" s="59"/>
    </row>
    <row r="13" spans="2:55" ht="15.95" customHeight="1">
      <c r="B13" s="59"/>
      <c r="C13" s="59"/>
      <c r="D13" s="59"/>
      <c r="E13" s="59"/>
      <c r="F13" s="59"/>
      <c r="G13" s="59"/>
      <c r="H13" s="59"/>
      <c r="I13" s="59"/>
      <c r="J13" s="59"/>
      <c r="K13" s="59"/>
      <c r="L13" s="59"/>
      <c r="M13" s="59"/>
      <c r="N13" s="59"/>
      <c r="O13" s="59"/>
      <c r="P13" s="59"/>
      <c r="Q13" s="59"/>
      <c r="R13" s="875"/>
      <c r="S13" s="875"/>
      <c r="T13" s="875"/>
      <c r="U13" s="875"/>
      <c r="V13" s="875"/>
      <c r="W13" s="875"/>
      <c r="X13" s="875"/>
      <c r="Y13" s="875"/>
      <c r="Z13" s="997"/>
      <c r="AA13" s="997"/>
      <c r="AB13" s="997"/>
      <c r="AC13" s="997"/>
      <c r="AD13" s="59"/>
      <c r="AE13" s="59"/>
      <c r="AF13" s="59"/>
      <c r="AG13" s="59"/>
      <c r="AH13" s="59"/>
      <c r="AI13" s="59"/>
      <c r="AJ13" s="59"/>
      <c r="AK13" s="59"/>
      <c r="AL13" s="59"/>
      <c r="AM13" s="59"/>
      <c r="AN13" s="59"/>
      <c r="AO13" s="59"/>
      <c r="AP13" s="59"/>
      <c r="AQ13" s="59"/>
      <c r="AR13" s="59"/>
    </row>
    <row r="14" spans="2:55" ht="15.95" customHeight="1">
      <c r="C14" s="804" t="s">
        <v>99</v>
      </c>
      <c r="D14" s="804"/>
      <c r="E14" s="804"/>
      <c r="F14" s="804"/>
      <c r="G14" s="804"/>
      <c r="H14" s="804"/>
      <c r="I14" s="804"/>
      <c r="J14" s="804"/>
      <c r="K14" s="804"/>
      <c r="L14" s="804"/>
      <c r="M14" s="804"/>
      <c r="N14" s="804" t="s">
        <v>103</v>
      </c>
      <c r="O14" s="804"/>
      <c r="P14" s="804"/>
      <c r="Q14" s="804"/>
      <c r="R14" s="804"/>
      <c r="S14" s="804"/>
      <c r="T14" s="804" t="s">
        <v>100</v>
      </c>
      <c r="U14" s="804"/>
      <c r="V14" s="804" t="s">
        <v>91</v>
      </c>
      <c r="W14" s="804"/>
      <c r="X14" s="804" t="s">
        <v>115</v>
      </c>
      <c r="Y14" s="804"/>
      <c r="Z14" s="804"/>
      <c r="AA14" s="804"/>
      <c r="AB14" s="804" t="s">
        <v>104</v>
      </c>
      <c r="AC14" s="804"/>
      <c r="AD14" s="804"/>
      <c r="AE14" s="804" t="s">
        <v>97</v>
      </c>
      <c r="AF14" s="804"/>
      <c r="AG14" s="804" t="s">
        <v>98</v>
      </c>
      <c r="AH14" s="804"/>
      <c r="AI14" s="804" t="s">
        <v>93</v>
      </c>
      <c r="AJ14" s="804"/>
      <c r="AK14" s="804" t="s">
        <v>1362</v>
      </c>
      <c r="AL14" s="804"/>
      <c r="AM14" s="804"/>
      <c r="AN14" s="804" t="s">
        <v>108</v>
      </c>
      <c r="AO14" s="804"/>
      <c r="AP14" s="804"/>
      <c r="AQ14" s="804"/>
      <c r="AU14" s="804" t="s">
        <v>196</v>
      </c>
      <c r="AV14"/>
      <c r="BC14" s="804" t="s">
        <v>489</v>
      </c>
    </row>
    <row r="15" spans="2:55" ht="15.95" customHeight="1" thickBot="1">
      <c r="C15" s="805"/>
      <c r="D15" s="805"/>
      <c r="E15" s="805"/>
      <c r="F15" s="805"/>
      <c r="G15" s="805"/>
      <c r="H15" s="805"/>
      <c r="I15" s="805"/>
      <c r="J15" s="805"/>
      <c r="K15" s="805"/>
      <c r="L15" s="805"/>
      <c r="M15" s="805"/>
      <c r="N15" s="805"/>
      <c r="O15" s="805"/>
      <c r="P15" s="805"/>
      <c r="Q15" s="805"/>
      <c r="R15" s="805"/>
      <c r="S15" s="805"/>
      <c r="T15" s="805"/>
      <c r="U15" s="805"/>
      <c r="V15" s="805"/>
      <c r="W15" s="805"/>
      <c r="X15" s="805"/>
      <c r="Y15" s="805"/>
      <c r="Z15" s="805"/>
      <c r="AA15" s="805"/>
      <c r="AB15" s="805"/>
      <c r="AC15" s="805"/>
      <c r="AD15" s="805"/>
      <c r="AE15" s="805"/>
      <c r="AF15" s="805"/>
      <c r="AG15" s="805"/>
      <c r="AH15" s="805"/>
      <c r="AI15" s="805"/>
      <c r="AJ15" s="805"/>
      <c r="AK15" s="805"/>
      <c r="AL15" s="805"/>
      <c r="AM15" s="805"/>
      <c r="AN15" s="805"/>
      <c r="AO15" s="805"/>
      <c r="AP15" s="805"/>
      <c r="AQ15" s="805"/>
      <c r="AU15" s="805"/>
      <c r="AV15"/>
      <c r="BC15" s="805"/>
    </row>
    <row r="16" spans="2:55" ht="15.95" customHeight="1">
      <c r="B16" s="830">
        <v>1</v>
      </c>
      <c r="C16" s="832"/>
      <c r="D16" s="833"/>
      <c r="E16" s="833"/>
      <c r="F16" s="833"/>
      <c r="G16" s="833"/>
      <c r="H16" s="833"/>
      <c r="I16" s="833"/>
      <c r="J16" s="833"/>
      <c r="K16" s="833"/>
      <c r="L16" s="833"/>
      <c r="M16" s="834"/>
      <c r="N16" s="908" t="str">
        <f>IFERROR(IF(C16="","",INDEX(PMGWATER[Base Desc 1],MATCH(C16,PMGWATER[Eff Desc 1],0))),"")</f>
        <v/>
      </c>
      <c r="O16" s="909"/>
      <c r="P16" s="909"/>
      <c r="Q16" s="909"/>
      <c r="R16" s="909"/>
      <c r="S16" s="910"/>
      <c r="T16" s="947" t="str">
        <f>IFERROR(IF(C16="","",INDEX(PMGWATER[Unit of Measure],MATCH(C16,PMGWATER[Eff Desc 1],0))),"")</f>
        <v/>
      </c>
      <c r="U16" s="948"/>
      <c r="V16" s="846"/>
      <c r="W16" s="847"/>
      <c r="X16" s="832"/>
      <c r="Y16" s="833"/>
      <c r="Z16" s="833"/>
      <c r="AA16" s="834"/>
      <c r="AB16" s="832"/>
      <c r="AC16" s="833"/>
      <c r="AD16" s="834"/>
      <c r="AE16" s="858"/>
      <c r="AF16" s="869"/>
      <c r="AG16" s="858"/>
      <c r="AH16" s="869"/>
      <c r="AI16" s="917" t="str">
        <f>IFERROR(IF(C16="","",INDEX(PMGWATER[Inc Rate Unit],MATCH(C16,PMGWATER[Eff Desc 1],0))),"")</f>
        <v/>
      </c>
      <c r="AJ16" s="918"/>
      <c r="AK16" s="998" t="str">
        <f>IF(OR(C16="",V16="",X16="",AB16="",AE16="",AG16=""),"",ROUND(V16*INDEX(PMGWATER[Savings per Unit Therm],MATCH(C16,PMGWATER[Eff Desc 1],2)),0))</f>
        <v/>
      </c>
      <c r="AL16" s="999"/>
      <c r="AM16" s="999"/>
      <c r="AN16" s="1075" t="str">
        <f>IF(OR(C16="",V16="",X16="",AB16="",AE16="",AG16=""),"",IF(BC16&lt;&gt;"",BC16,MIN(AU16,ROUND(V16*AI16,2))))</f>
        <v/>
      </c>
      <c r="AO16" s="1076"/>
      <c r="AP16" s="1076"/>
      <c r="AQ16" s="878"/>
      <c r="AU16" s="808" t="str">
        <f>IF(OR(C16="",V16="",X16="",AB16="",AE16="",AG16=""),"",ROUND((AE16+AG16)*V16,2))</f>
        <v/>
      </c>
      <c r="AV16"/>
      <c r="BC16" s="825"/>
    </row>
    <row r="17" spans="2:55" ht="15.95" customHeight="1">
      <c r="B17" s="830"/>
      <c r="C17" s="835"/>
      <c r="D17" s="836"/>
      <c r="E17" s="836"/>
      <c r="F17" s="836"/>
      <c r="G17" s="836"/>
      <c r="H17" s="836"/>
      <c r="I17" s="836"/>
      <c r="J17" s="836"/>
      <c r="K17" s="836"/>
      <c r="L17" s="836"/>
      <c r="M17" s="837"/>
      <c r="N17" s="911"/>
      <c r="O17" s="912"/>
      <c r="P17" s="912"/>
      <c r="Q17" s="912"/>
      <c r="R17" s="912"/>
      <c r="S17" s="913"/>
      <c r="T17" s="949"/>
      <c r="U17" s="950"/>
      <c r="V17" s="848"/>
      <c r="W17" s="849"/>
      <c r="X17" s="835"/>
      <c r="Y17" s="836"/>
      <c r="Z17" s="836"/>
      <c r="AA17" s="837"/>
      <c r="AB17" s="835"/>
      <c r="AC17" s="836"/>
      <c r="AD17" s="837"/>
      <c r="AE17" s="860"/>
      <c r="AF17" s="870"/>
      <c r="AG17" s="860"/>
      <c r="AH17" s="870"/>
      <c r="AI17" s="919"/>
      <c r="AJ17" s="865"/>
      <c r="AK17" s="1001"/>
      <c r="AL17" s="1002"/>
      <c r="AM17" s="1002"/>
      <c r="AN17" s="919"/>
      <c r="AO17" s="926"/>
      <c r="AP17" s="926"/>
      <c r="AQ17" s="865"/>
      <c r="AU17" s="809"/>
      <c r="AV17"/>
      <c r="BC17" s="826"/>
    </row>
    <row r="18" spans="2:55" ht="15.95" customHeight="1">
      <c r="B18" s="829">
        <v>2</v>
      </c>
      <c r="C18" s="832"/>
      <c r="D18" s="833"/>
      <c r="E18" s="833"/>
      <c r="F18" s="833"/>
      <c r="G18" s="833"/>
      <c r="H18" s="833"/>
      <c r="I18" s="833"/>
      <c r="J18" s="833"/>
      <c r="K18" s="833"/>
      <c r="L18" s="833"/>
      <c r="M18" s="834"/>
      <c r="N18" s="908" t="str">
        <f>IFERROR(IF(C18="","",INDEX(PMGWATER[Base Desc 1],MATCH(C18,PMGWATER[Eff Desc 1],0))),"")</f>
        <v/>
      </c>
      <c r="O18" s="909"/>
      <c r="P18" s="909"/>
      <c r="Q18" s="909"/>
      <c r="R18" s="909"/>
      <c r="S18" s="910"/>
      <c r="T18" s="947" t="str">
        <f>IFERROR(IF(C18="","",INDEX(PMGWATER[Unit of Measure],MATCH(C18,PMGWATER[Eff Desc 1],0))),"")</f>
        <v/>
      </c>
      <c r="U18" s="948"/>
      <c r="V18" s="846"/>
      <c r="W18" s="847"/>
      <c r="X18" s="832"/>
      <c r="Y18" s="833"/>
      <c r="Z18" s="833"/>
      <c r="AA18" s="834"/>
      <c r="AB18" s="832"/>
      <c r="AC18" s="833"/>
      <c r="AD18" s="834"/>
      <c r="AE18" s="858"/>
      <c r="AF18" s="869"/>
      <c r="AG18" s="858"/>
      <c r="AH18" s="869"/>
      <c r="AI18" s="917" t="str">
        <f>IFERROR(IF(C18="","",INDEX(PMGWATER[Inc Rate Unit],MATCH(C18,PMGWATER[Eff Desc 1],0))),"")</f>
        <v/>
      </c>
      <c r="AJ18" s="918"/>
      <c r="AK18" s="998" t="str">
        <f>IF(OR(C18="",V18="",X18="",AB18="",AE18="",AG18=""),"",ROUND(V18*INDEX(PMGWATER[Savings per Unit Therm],MATCH(C18,PMGWATER[Eff Desc 1],2)),0))</f>
        <v/>
      </c>
      <c r="AL18" s="999"/>
      <c r="AM18" s="1000"/>
      <c r="AN18" s="924" t="str">
        <f>IF(OR(C18="",V18="",X18="",AB18="",AE18="",AG18=""),"",IF(BC18&lt;&gt;"",BC18,MIN(AU18,ROUND(V18*AI18,2))))</f>
        <v/>
      </c>
      <c r="AO18" s="925"/>
      <c r="AP18" s="925"/>
      <c r="AQ18" s="863"/>
      <c r="AU18" s="808" t="str">
        <f>IF(OR(C18="",V18="",X18="",AB18="",AE18="",AG18=""),"",ROUND((AE18+AG18)*V18,2))</f>
        <v/>
      </c>
      <c r="AV18"/>
      <c r="BC18" s="825"/>
    </row>
    <row r="19" spans="2:55" ht="15.95" customHeight="1">
      <c r="B19" s="829"/>
      <c r="C19" s="835"/>
      <c r="D19" s="836"/>
      <c r="E19" s="836"/>
      <c r="F19" s="836"/>
      <c r="G19" s="836"/>
      <c r="H19" s="836"/>
      <c r="I19" s="836"/>
      <c r="J19" s="836"/>
      <c r="K19" s="836"/>
      <c r="L19" s="836"/>
      <c r="M19" s="837"/>
      <c r="N19" s="911"/>
      <c r="O19" s="912"/>
      <c r="P19" s="912"/>
      <c r="Q19" s="912"/>
      <c r="R19" s="912"/>
      <c r="S19" s="913"/>
      <c r="T19" s="949"/>
      <c r="U19" s="950"/>
      <c r="V19" s="848"/>
      <c r="W19" s="849"/>
      <c r="X19" s="835"/>
      <c r="Y19" s="836"/>
      <c r="Z19" s="836"/>
      <c r="AA19" s="837"/>
      <c r="AB19" s="835"/>
      <c r="AC19" s="836"/>
      <c r="AD19" s="837"/>
      <c r="AE19" s="860"/>
      <c r="AF19" s="870"/>
      <c r="AG19" s="860"/>
      <c r="AH19" s="870"/>
      <c r="AI19" s="919"/>
      <c r="AJ19" s="865"/>
      <c r="AK19" s="1001"/>
      <c r="AL19" s="1002"/>
      <c r="AM19" s="1003"/>
      <c r="AN19" s="919"/>
      <c r="AO19" s="926"/>
      <c r="AP19" s="926"/>
      <c r="AQ19" s="865"/>
      <c r="AU19" s="809"/>
      <c r="AV19"/>
      <c r="BC19" s="826"/>
    </row>
    <row r="20" spans="2:55" ht="15.95" customHeight="1">
      <c r="B20" s="829">
        <v>3</v>
      </c>
      <c r="C20" s="832"/>
      <c r="D20" s="833"/>
      <c r="E20" s="833"/>
      <c r="F20" s="833"/>
      <c r="G20" s="833"/>
      <c r="H20" s="833"/>
      <c r="I20" s="833"/>
      <c r="J20" s="833"/>
      <c r="K20" s="833"/>
      <c r="L20" s="833"/>
      <c r="M20" s="834"/>
      <c r="N20" s="908" t="str">
        <f>IFERROR(IF(C20="","",INDEX(PMGWATER[Base Desc 1],MATCH(C20,PMGWATER[Eff Desc 1],0))),"")</f>
        <v/>
      </c>
      <c r="O20" s="909"/>
      <c r="P20" s="909"/>
      <c r="Q20" s="909"/>
      <c r="R20" s="909"/>
      <c r="S20" s="910"/>
      <c r="T20" s="947" t="str">
        <f>IFERROR(IF(C20="","",INDEX(PMGWATER[Unit of Measure],MATCH(C20,PMGWATER[Eff Desc 1],0))),"")</f>
        <v/>
      </c>
      <c r="U20" s="948"/>
      <c r="V20" s="846"/>
      <c r="W20" s="847"/>
      <c r="X20" s="832"/>
      <c r="Y20" s="833"/>
      <c r="Z20" s="833"/>
      <c r="AA20" s="834"/>
      <c r="AB20" s="832"/>
      <c r="AC20" s="833"/>
      <c r="AD20" s="834"/>
      <c r="AE20" s="858"/>
      <c r="AF20" s="869"/>
      <c r="AG20" s="858"/>
      <c r="AH20" s="869"/>
      <c r="AI20" s="917" t="str">
        <f>IFERROR(IF(C20="","",INDEX(PMGWATER[Inc Rate Unit],MATCH(C20,PMGWATER[Eff Desc 1],0))),"")</f>
        <v/>
      </c>
      <c r="AJ20" s="918"/>
      <c r="AK20" s="998" t="str">
        <f>IF(OR(C20="",V20="",X20="",AB20="",AE20="",AG20=""),"",ROUND(V20*INDEX(PMGWATER[Savings per Unit Therm],MATCH(C20,PMGWATER[Eff Desc 1],2)),0))</f>
        <v/>
      </c>
      <c r="AL20" s="999"/>
      <c r="AM20" s="1000"/>
      <c r="AN20" s="924" t="str">
        <f t="shared" ref="AN20" si="0">IF(OR(C20="",V20="",X20="",AB20="",AE20="",AG20=""),"",IF(BC20&lt;&gt;"",BC20,MIN(AU20,ROUND(V20*AI20,2))))</f>
        <v/>
      </c>
      <c r="AO20" s="925"/>
      <c r="AP20" s="925"/>
      <c r="AQ20" s="863"/>
      <c r="AU20" s="808" t="str">
        <f>IF(OR(C20="",V20="",X20="",AB20="",AE20="",AG20=""),"",ROUND((AE20+AG20)*V20,2))</f>
        <v/>
      </c>
      <c r="AV20"/>
      <c r="BC20" s="825"/>
    </row>
    <row r="21" spans="2:55" ht="15.95" customHeight="1">
      <c r="B21" s="829"/>
      <c r="C21" s="835"/>
      <c r="D21" s="836"/>
      <c r="E21" s="836"/>
      <c r="F21" s="836"/>
      <c r="G21" s="836"/>
      <c r="H21" s="836"/>
      <c r="I21" s="836"/>
      <c r="J21" s="836"/>
      <c r="K21" s="836"/>
      <c r="L21" s="836"/>
      <c r="M21" s="837"/>
      <c r="N21" s="911"/>
      <c r="O21" s="912"/>
      <c r="P21" s="912"/>
      <c r="Q21" s="912"/>
      <c r="R21" s="912"/>
      <c r="S21" s="913"/>
      <c r="T21" s="949"/>
      <c r="U21" s="950"/>
      <c r="V21" s="848"/>
      <c r="W21" s="849"/>
      <c r="X21" s="835"/>
      <c r="Y21" s="836"/>
      <c r="Z21" s="836"/>
      <c r="AA21" s="837"/>
      <c r="AB21" s="835"/>
      <c r="AC21" s="836"/>
      <c r="AD21" s="837"/>
      <c r="AE21" s="860"/>
      <c r="AF21" s="870"/>
      <c r="AG21" s="860"/>
      <c r="AH21" s="870"/>
      <c r="AI21" s="919"/>
      <c r="AJ21" s="865"/>
      <c r="AK21" s="1001"/>
      <c r="AL21" s="1002"/>
      <c r="AM21" s="1003"/>
      <c r="AN21" s="919"/>
      <c r="AO21" s="926"/>
      <c r="AP21" s="926"/>
      <c r="AQ21" s="865"/>
      <c r="AU21" s="809"/>
      <c r="AV21"/>
      <c r="BC21" s="826"/>
    </row>
    <row r="22" spans="2:55" ht="15.95" customHeight="1">
      <c r="B22" s="829">
        <v>4</v>
      </c>
      <c r="C22" s="832"/>
      <c r="D22" s="833"/>
      <c r="E22" s="833"/>
      <c r="F22" s="833"/>
      <c r="G22" s="833"/>
      <c r="H22" s="833"/>
      <c r="I22" s="833"/>
      <c r="J22" s="833"/>
      <c r="K22" s="833"/>
      <c r="L22" s="833"/>
      <c r="M22" s="834"/>
      <c r="N22" s="908" t="str">
        <f>IFERROR(IF(C22="","",INDEX(PMGWATER[Base Desc 1],MATCH(C22,PMGWATER[Eff Desc 1],0))),"")</f>
        <v/>
      </c>
      <c r="O22" s="909"/>
      <c r="P22" s="909"/>
      <c r="Q22" s="909"/>
      <c r="R22" s="909"/>
      <c r="S22" s="910"/>
      <c r="T22" s="947" t="str">
        <f>IFERROR(IF(C22="","",INDEX(PMGWATER[Unit of Measure],MATCH(C22,PMGWATER[Eff Desc 1],0))),"")</f>
        <v/>
      </c>
      <c r="U22" s="948"/>
      <c r="V22" s="846"/>
      <c r="W22" s="847"/>
      <c r="X22" s="832"/>
      <c r="Y22" s="833"/>
      <c r="Z22" s="833"/>
      <c r="AA22" s="834"/>
      <c r="AB22" s="832"/>
      <c r="AC22" s="833"/>
      <c r="AD22" s="834"/>
      <c r="AE22" s="858"/>
      <c r="AF22" s="869"/>
      <c r="AG22" s="858"/>
      <c r="AH22" s="869"/>
      <c r="AI22" s="917" t="str">
        <f>IFERROR(IF(C22="","",INDEX(PMGWATER[Inc Rate Unit],MATCH(C22,PMGWATER[Eff Desc 1],0))),"")</f>
        <v/>
      </c>
      <c r="AJ22" s="918"/>
      <c r="AK22" s="998" t="str">
        <f>IF(OR(C22="",V22="",X22="",AB22="",AE22="",AG22=""),"",ROUND(V22*INDEX(PMGWATER[Savings per Unit Therm],MATCH(C22,PMGWATER[Eff Desc 1],2)),0))</f>
        <v/>
      </c>
      <c r="AL22" s="999"/>
      <c r="AM22" s="1000"/>
      <c r="AN22" s="924" t="str">
        <f t="shared" ref="AN22" si="1">IF(OR(C22="",V22="",X22="",AB22="",AE22="",AG22=""),"",IF(BC22&lt;&gt;"",BC22,MIN(AU22,ROUND(V22*AI22,2))))</f>
        <v/>
      </c>
      <c r="AO22" s="925"/>
      <c r="AP22" s="925"/>
      <c r="AQ22" s="863"/>
      <c r="AU22" s="808" t="str">
        <f>IF(OR(C22="",V22="",X22="",AB22="",AE22="",AG22=""),"",ROUND((AE22+AG22)*V22,2))</f>
        <v/>
      </c>
      <c r="AV22"/>
      <c r="BC22" s="825"/>
    </row>
    <row r="23" spans="2:55" ht="15.95" customHeight="1">
      <c r="B23" s="829"/>
      <c r="C23" s="835"/>
      <c r="D23" s="836"/>
      <c r="E23" s="836"/>
      <c r="F23" s="836"/>
      <c r="G23" s="836"/>
      <c r="H23" s="836"/>
      <c r="I23" s="836"/>
      <c r="J23" s="836"/>
      <c r="K23" s="836"/>
      <c r="L23" s="836"/>
      <c r="M23" s="837"/>
      <c r="N23" s="911"/>
      <c r="O23" s="912"/>
      <c r="P23" s="912"/>
      <c r="Q23" s="912"/>
      <c r="R23" s="912"/>
      <c r="S23" s="913"/>
      <c r="T23" s="949"/>
      <c r="U23" s="950"/>
      <c r="V23" s="848"/>
      <c r="W23" s="849"/>
      <c r="X23" s="835"/>
      <c r="Y23" s="836"/>
      <c r="Z23" s="836"/>
      <c r="AA23" s="837"/>
      <c r="AB23" s="835"/>
      <c r="AC23" s="836"/>
      <c r="AD23" s="837"/>
      <c r="AE23" s="860"/>
      <c r="AF23" s="870"/>
      <c r="AG23" s="860"/>
      <c r="AH23" s="870"/>
      <c r="AI23" s="919"/>
      <c r="AJ23" s="865"/>
      <c r="AK23" s="1001"/>
      <c r="AL23" s="1002"/>
      <c r="AM23" s="1003"/>
      <c r="AN23" s="919"/>
      <c r="AO23" s="926"/>
      <c r="AP23" s="926"/>
      <c r="AQ23" s="865"/>
      <c r="AU23" s="809"/>
      <c r="AV23"/>
      <c r="BC23" s="826"/>
    </row>
    <row r="24" spans="2:55" ht="15.95" customHeight="1">
      <c r="B24" s="829">
        <v>5</v>
      </c>
      <c r="C24" s="832"/>
      <c r="D24" s="833"/>
      <c r="E24" s="833"/>
      <c r="F24" s="833"/>
      <c r="G24" s="833"/>
      <c r="H24" s="833"/>
      <c r="I24" s="833"/>
      <c r="J24" s="833"/>
      <c r="K24" s="833"/>
      <c r="L24" s="833"/>
      <c r="M24" s="834"/>
      <c r="N24" s="908" t="str">
        <f>IFERROR(IF(C24="","",INDEX(PMGWATER[Base Desc 1],MATCH(C24,PMGWATER[Eff Desc 1],0))),"")</f>
        <v/>
      </c>
      <c r="O24" s="909"/>
      <c r="P24" s="909"/>
      <c r="Q24" s="909"/>
      <c r="R24" s="909"/>
      <c r="S24" s="910"/>
      <c r="T24" s="947" t="str">
        <f>IFERROR(IF(C24="","",INDEX(PMGWATER[Unit of Measure],MATCH(C24,PMGWATER[Eff Desc 1],0))),"")</f>
        <v/>
      </c>
      <c r="U24" s="948"/>
      <c r="V24" s="846"/>
      <c r="W24" s="847"/>
      <c r="X24" s="832"/>
      <c r="Y24" s="833"/>
      <c r="Z24" s="833"/>
      <c r="AA24" s="834"/>
      <c r="AB24" s="832"/>
      <c r="AC24" s="833"/>
      <c r="AD24" s="834"/>
      <c r="AE24" s="858"/>
      <c r="AF24" s="869"/>
      <c r="AG24" s="858"/>
      <c r="AH24" s="869"/>
      <c r="AI24" s="917" t="str">
        <f>IFERROR(IF(C24="","",INDEX(PMGWATER[Inc Rate Unit],MATCH(C24,PMGWATER[Eff Desc 1],0))),"")</f>
        <v/>
      </c>
      <c r="AJ24" s="918"/>
      <c r="AK24" s="998" t="str">
        <f>IF(OR(C24="",V24="",X24="",AB24="",AE24="",AG24=""),"",ROUND(V24*INDEX(PMGWATER[Savings per Unit Therm],MATCH(C24,PMGWATER[Eff Desc 1],2)),0))</f>
        <v/>
      </c>
      <c r="AL24" s="999"/>
      <c r="AM24" s="1000"/>
      <c r="AN24" s="924" t="str">
        <f t="shared" ref="AN24" si="2">IF(OR(C24="",V24="",X24="",AB24="",AE24="",AG24=""),"",IF(BC24&lt;&gt;"",BC24,MIN(AU24,ROUND(V24*AI24,2))))</f>
        <v/>
      </c>
      <c r="AO24" s="925"/>
      <c r="AP24" s="925"/>
      <c r="AQ24" s="863"/>
      <c r="AU24" s="808" t="str">
        <f>IF(OR(C24="",V24="",X24="",AB24="",AE24="",AG24=""),"",ROUND((AE24+AG24)*V24,2))</f>
        <v/>
      </c>
      <c r="AV24"/>
      <c r="BC24" s="825"/>
    </row>
    <row r="25" spans="2:55" ht="15.95" customHeight="1">
      <c r="B25" s="829"/>
      <c r="C25" s="835"/>
      <c r="D25" s="836"/>
      <c r="E25" s="836"/>
      <c r="F25" s="836"/>
      <c r="G25" s="836"/>
      <c r="H25" s="836"/>
      <c r="I25" s="836"/>
      <c r="J25" s="836"/>
      <c r="K25" s="836"/>
      <c r="L25" s="836"/>
      <c r="M25" s="837"/>
      <c r="N25" s="911"/>
      <c r="O25" s="912"/>
      <c r="P25" s="912"/>
      <c r="Q25" s="912"/>
      <c r="R25" s="912"/>
      <c r="S25" s="913"/>
      <c r="T25" s="949"/>
      <c r="U25" s="950"/>
      <c r="V25" s="848"/>
      <c r="W25" s="849"/>
      <c r="X25" s="835"/>
      <c r="Y25" s="836"/>
      <c r="Z25" s="836"/>
      <c r="AA25" s="837"/>
      <c r="AB25" s="835"/>
      <c r="AC25" s="836"/>
      <c r="AD25" s="837"/>
      <c r="AE25" s="860"/>
      <c r="AF25" s="870"/>
      <c r="AG25" s="860"/>
      <c r="AH25" s="870"/>
      <c r="AI25" s="919"/>
      <c r="AJ25" s="865"/>
      <c r="AK25" s="1001"/>
      <c r="AL25" s="1002"/>
      <c r="AM25" s="1003"/>
      <c r="AN25" s="919"/>
      <c r="AO25" s="926"/>
      <c r="AP25" s="926"/>
      <c r="AQ25" s="865"/>
      <c r="AU25" s="809"/>
      <c r="AV25"/>
      <c r="BC25" s="826"/>
    </row>
    <row r="26" spans="2:55" ht="15.95" customHeight="1">
      <c r="B26" s="829">
        <v>6</v>
      </c>
      <c r="C26" s="832"/>
      <c r="D26" s="833"/>
      <c r="E26" s="833"/>
      <c r="F26" s="833"/>
      <c r="G26" s="833"/>
      <c r="H26" s="833"/>
      <c r="I26" s="833"/>
      <c r="J26" s="833"/>
      <c r="K26" s="833"/>
      <c r="L26" s="833"/>
      <c r="M26" s="834"/>
      <c r="N26" s="908" t="str">
        <f>IFERROR(IF(C26="","",INDEX(PMGWATER[Base Desc 1],MATCH(C26,PMGWATER[Eff Desc 1],0))),"")</f>
        <v/>
      </c>
      <c r="O26" s="909"/>
      <c r="P26" s="909"/>
      <c r="Q26" s="909"/>
      <c r="R26" s="909"/>
      <c r="S26" s="910"/>
      <c r="T26" s="947" t="str">
        <f>IFERROR(IF(C26="","",INDEX(PMGWATER[Unit of Measure],MATCH(C26,PMGWATER[Eff Desc 1],0))),"")</f>
        <v/>
      </c>
      <c r="U26" s="948"/>
      <c r="V26" s="846"/>
      <c r="W26" s="847"/>
      <c r="X26" s="832"/>
      <c r="Y26" s="833"/>
      <c r="Z26" s="833"/>
      <c r="AA26" s="834"/>
      <c r="AB26" s="832"/>
      <c r="AC26" s="833"/>
      <c r="AD26" s="834"/>
      <c r="AE26" s="858"/>
      <c r="AF26" s="869"/>
      <c r="AG26" s="858"/>
      <c r="AH26" s="869"/>
      <c r="AI26" s="917" t="str">
        <f>IFERROR(IF(C26="","",INDEX(PMGWATER[Inc Rate Unit],MATCH(C26,PMGWATER[Eff Desc 1],0))),"")</f>
        <v/>
      </c>
      <c r="AJ26" s="918"/>
      <c r="AK26" s="998" t="str">
        <f>IF(OR(C26="",V26="",X26="",AB26="",AE26="",AG26=""),"",ROUND(V26*INDEX(PMGWATER[Savings per Unit Therm],MATCH(C26,PMGWATER[Eff Desc 1],2)),0))</f>
        <v/>
      </c>
      <c r="AL26" s="999"/>
      <c r="AM26" s="1000"/>
      <c r="AN26" s="924" t="str">
        <f t="shared" ref="AN26" si="3">IF(OR(C26="",V26="",X26="",AB26="",AE26="",AG26=""),"",IF(BC26&lt;&gt;"",BC26,MIN(AU26,ROUND(V26*AI26,2))))</f>
        <v/>
      </c>
      <c r="AO26" s="925"/>
      <c r="AP26" s="925"/>
      <c r="AQ26" s="863"/>
      <c r="AU26" s="808" t="str">
        <f>IF(OR(C26="",V26="",X26="",AB26="",AE26="",AG26=""),"",ROUND((AE26+AG26)*V26,2))</f>
        <v/>
      </c>
      <c r="AV26"/>
      <c r="BC26" s="825"/>
    </row>
    <row r="27" spans="2:55" ht="15.95" customHeight="1">
      <c r="B27" s="829"/>
      <c r="C27" s="835"/>
      <c r="D27" s="836"/>
      <c r="E27" s="836"/>
      <c r="F27" s="836"/>
      <c r="G27" s="836"/>
      <c r="H27" s="836"/>
      <c r="I27" s="836"/>
      <c r="J27" s="836"/>
      <c r="K27" s="836"/>
      <c r="L27" s="836"/>
      <c r="M27" s="837"/>
      <c r="N27" s="911"/>
      <c r="O27" s="912"/>
      <c r="P27" s="912"/>
      <c r="Q27" s="912"/>
      <c r="R27" s="912"/>
      <c r="S27" s="913"/>
      <c r="T27" s="949"/>
      <c r="U27" s="950"/>
      <c r="V27" s="848"/>
      <c r="W27" s="849"/>
      <c r="X27" s="835"/>
      <c r="Y27" s="836"/>
      <c r="Z27" s="836"/>
      <c r="AA27" s="837"/>
      <c r="AB27" s="835"/>
      <c r="AC27" s="836"/>
      <c r="AD27" s="837"/>
      <c r="AE27" s="860"/>
      <c r="AF27" s="870"/>
      <c r="AG27" s="860"/>
      <c r="AH27" s="870"/>
      <c r="AI27" s="919"/>
      <c r="AJ27" s="865"/>
      <c r="AK27" s="1001"/>
      <c r="AL27" s="1002"/>
      <c r="AM27" s="1003"/>
      <c r="AN27" s="919"/>
      <c r="AO27" s="926"/>
      <c r="AP27" s="926"/>
      <c r="AQ27" s="865"/>
      <c r="AU27" s="809"/>
      <c r="AV27"/>
      <c r="BC27" s="826"/>
    </row>
    <row r="28" spans="2:55" ht="15.95" customHeight="1">
      <c r="B28" s="829">
        <v>7</v>
      </c>
      <c r="C28" s="832"/>
      <c r="D28" s="833"/>
      <c r="E28" s="833"/>
      <c r="F28" s="833"/>
      <c r="G28" s="833"/>
      <c r="H28" s="833"/>
      <c r="I28" s="833"/>
      <c r="J28" s="833"/>
      <c r="K28" s="833"/>
      <c r="L28" s="833"/>
      <c r="M28" s="834"/>
      <c r="N28" s="908" t="str">
        <f>IFERROR(IF(C28="","",INDEX(PMGWATER[Base Desc 1],MATCH(C28,PMGWATER[Eff Desc 1],0))),"")</f>
        <v/>
      </c>
      <c r="O28" s="909"/>
      <c r="P28" s="909"/>
      <c r="Q28" s="909"/>
      <c r="R28" s="909"/>
      <c r="S28" s="910"/>
      <c r="T28" s="947" t="str">
        <f>IFERROR(IF(C28="","",INDEX(PMGWATER[Unit of Measure],MATCH(C28,PMGWATER[Eff Desc 1],0))),"")</f>
        <v/>
      </c>
      <c r="U28" s="948"/>
      <c r="V28" s="846"/>
      <c r="W28" s="847"/>
      <c r="X28" s="832"/>
      <c r="Y28" s="833"/>
      <c r="Z28" s="833"/>
      <c r="AA28" s="834"/>
      <c r="AB28" s="832"/>
      <c r="AC28" s="833"/>
      <c r="AD28" s="834"/>
      <c r="AE28" s="858"/>
      <c r="AF28" s="869"/>
      <c r="AG28" s="858"/>
      <c r="AH28" s="869"/>
      <c r="AI28" s="917" t="str">
        <f>IFERROR(IF(C28="","",INDEX(PMGWATER[Inc Rate Unit],MATCH(C28,PMGWATER[Eff Desc 1],0))),"")</f>
        <v/>
      </c>
      <c r="AJ28" s="918"/>
      <c r="AK28" s="998" t="str">
        <f>IF(OR(C28="",V28="",X28="",AB28="",AE28="",AG28=""),"",ROUND(V28*INDEX(PMGWATER[Savings per Unit Therm],MATCH(C28,PMGWATER[Eff Desc 1],2)),0))</f>
        <v/>
      </c>
      <c r="AL28" s="999"/>
      <c r="AM28" s="1000"/>
      <c r="AN28" s="924" t="str">
        <f t="shared" ref="AN28" si="4">IF(OR(C28="",V28="",X28="",AB28="",AE28="",AG28=""),"",IF(BC28&lt;&gt;"",BC28,MIN(AU28,ROUND(V28*AI28,2))))</f>
        <v/>
      </c>
      <c r="AO28" s="925"/>
      <c r="AP28" s="925"/>
      <c r="AQ28" s="863"/>
      <c r="AU28" s="808" t="str">
        <f>IF(OR(C28="",V28="",X28="",AB28="",AE28="",AG28=""),"",ROUND((AE28+AG28)*V28,2))</f>
        <v/>
      </c>
      <c r="AV28"/>
      <c r="BC28" s="825"/>
    </row>
    <row r="29" spans="2:55" ht="15.95" customHeight="1">
      <c r="B29" s="829"/>
      <c r="C29" s="835"/>
      <c r="D29" s="836"/>
      <c r="E29" s="836"/>
      <c r="F29" s="836"/>
      <c r="G29" s="836"/>
      <c r="H29" s="836"/>
      <c r="I29" s="836"/>
      <c r="J29" s="836"/>
      <c r="K29" s="836"/>
      <c r="L29" s="836"/>
      <c r="M29" s="837"/>
      <c r="N29" s="911"/>
      <c r="O29" s="912"/>
      <c r="P29" s="912"/>
      <c r="Q29" s="912"/>
      <c r="R29" s="912"/>
      <c r="S29" s="913"/>
      <c r="T29" s="949"/>
      <c r="U29" s="950"/>
      <c r="V29" s="848"/>
      <c r="W29" s="849"/>
      <c r="X29" s="835"/>
      <c r="Y29" s="836"/>
      <c r="Z29" s="836"/>
      <c r="AA29" s="837"/>
      <c r="AB29" s="835"/>
      <c r="AC29" s="836"/>
      <c r="AD29" s="837"/>
      <c r="AE29" s="860"/>
      <c r="AF29" s="870"/>
      <c r="AG29" s="860"/>
      <c r="AH29" s="870"/>
      <c r="AI29" s="919"/>
      <c r="AJ29" s="865"/>
      <c r="AK29" s="1001"/>
      <c r="AL29" s="1002"/>
      <c r="AM29" s="1003"/>
      <c r="AN29" s="919"/>
      <c r="AO29" s="926"/>
      <c r="AP29" s="926"/>
      <c r="AQ29" s="865"/>
      <c r="AU29" s="809"/>
      <c r="AV29"/>
      <c r="BC29" s="826"/>
    </row>
    <row r="30" spans="2:55" ht="15.95" customHeight="1">
      <c r="B30" s="829">
        <v>8</v>
      </c>
      <c r="C30" s="832"/>
      <c r="D30" s="833"/>
      <c r="E30" s="833"/>
      <c r="F30" s="833"/>
      <c r="G30" s="833"/>
      <c r="H30" s="833"/>
      <c r="I30" s="833"/>
      <c r="J30" s="833"/>
      <c r="K30" s="833"/>
      <c r="L30" s="833"/>
      <c r="M30" s="834"/>
      <c r="N30" s="908" t="str">
        <f>IFERROR(IF(C30="","",INDEX(PMGWATER[Base Desc 1],MATCH(C30,PMGWATER[Eff Desc 1],0))),"")</f>
        <v/>
      </c>
      <c r="O30" s="909"/>
      <c r="P30" s="909"/>
      <c r="Q30" s="909"/>
      <c r="R30" s="909"/>
      <c r="S30" s="910"/>
      <c r="T30" s="947" t="str">
        <f>IFERROR(IF(C30="","",INDEX(PMGWATER[Unit of Measure],MATCH(C30,PMGWATER[Eff Desc 1],0))),"")</f>
        <v/>
      </c>
      <c r="U30" s="948"/>
      <c r="V30" s="846"/>
      <c r="W30" s="847"/>
      <c r="X30" s="832"/>
      <c r="Y30" s="833"/>
      <c r="Z30" s="833"/>
      <c r="AA30" s="834"/>
      <c r="AB30" s="832"/>
      <c r="AC30" s="833"/>
      <c r="AD30" s="834"/>
      <c r="AE30" s="858"/>
      <c r="AF30" s="869"/>
      <c r="AG30" s="858"/>
      <c r="AH30" s="869"/>
      <c r="AI30" s="917" t="str">
        <f>IFERROR(IF(C30="","",INDEX(PMGWATER[Inc Rate Unit],MATCH(C30,PMGWATER[Eff Desc 1],0))),"")</f>
        <v/>
      </c>
      <c r="AJ30" s="918"/>
      <c r="AK30" s="998" t="str">
        <f>IF(OR(C30="",V30="",X30="",AB30="",AE30="",AG30=""),"",ROUND(V30*INDEX(PMGWATER[Savings per Unit Therm],MATCH(C30,PMGWATER[Eff Desc 1],2)),0))</f>
        <v/>
      </c>
      <c r="AL30" s="999"/>
      <c r="AM30" s="1000"/>
      <c r="AN30" s="924" t="str">
        <f t="shared" ref="AN30" si="5">IF(OR(C30="",V30="",X30="",AB30="",AE30="",AG30=""),"",IF(BC30&lt;&gt;"",BC30,MIN(AU30,ROUND(V30*AI30,2))))</f>
        <v/>
      </c>
      <c r="AO30" s="925"/>
      <c r="AP30" s="925"/>
      <c r="AQ30" s="863"/>
      <c r="AU30" s="808" t="str">
        <f>IF(OR(C30="",V30="",X30="",AB30="",AE30="",AG30=""),"",ROUND((AE30+AG30)*V30,2))</f>
        <v/>
      </c>
      <c r="AV30"/>
      <c r="BC30" s="825"/>
    </row>
    <row r="31" spans="2:55" ht="15.95" customHeight="1">
      <c r="B31" s="829"/>
      <c r="C31" s="835"/>
      <c r="D31" s="836"/>
      <c r="E31" s="836"/>
      <c r="F31" s="836"/>
      <c r="G31" s="836"/>
      <c r="H31" s="836"/>
      <c r="I31" s="836"/>
      <c r="J31" s="836"/>
      <c r="K31" s="836"/>
      <c r="L31" s="836"/>
      <c r="M31" s="837"/>
      <c r="N31" s="911"/>
      <c r="O31" s="912"/>
      <c r="P31" s="912"/>
      <c r="Q31" s="912"/>
      <c r="R31" s="912"/>
      <c r="S31" s="913"/>
      <c r="T31" s="949"/>
      <c r="U31" s="950"/>
      <c r="V31" s="848"/>
      <c r="W31" s="849"/>
      <c r="X31" s="835"/>
      <c r="Y31" s="836"/>
      <c r="Z31" s="836"/>
      <c r="AA31" s="837"/>
      <c r="AB31" s="835"/>
      <c r="AC31" s="836"/>
      <c r="AD31" s="837"/>
      <c r="AE31" s="860"/>
      <c r="AF31" s="870"/>
      <c r="AG31" s="860"/>
      <c r="AH31" s="870"/>
      <c r="AI31" s="919"/>
      <c r="AJ31" s="865"/>
      <c r="AK31" s="1001"/>
      <c r="AL31" s="1002"/>
      <c r="AM31" s="1003"/>
      <c r="AN31" s="919"/>
      <c r="AO31" s="926"/>
      <c r="AP31" s="926"/>
      <c r="AQ31" s="865"/>
      <c r="AU31" s="809"/>
      <c r="AV31"/>
      <c r="BC31" s="826"/>
    </row>
    <row r="32" spans="2:55" ht="15.95" customHeight="1">
      <c r="B32" s="829">
        <v>9</v>
      </c>
      <c r="C32" s="832"/>
      <c r="D32" s="833"/>
      <c r="E32" s="833"/>
      <c r="F32" s="833"/>
      <c r="G32" s="833"/>
      <c r="H32" s="833"/>
      <c r="I32" s="833"/>
      <c r="J32" s="833"/>
      <c r="K32" s="833"/>
      <c r="L32" s="833"/>
      <c r="M32" s="834"/>
      <c r="N32" s="908" t="str">
        <f>IFERROR(IF(C32="","",INDEX(PMGWATER[Base Desc 1],MATCH(C32,PMGWATER[Eff Desc 1],0))),"")</f>
        <v/>
      </c>
      <c r="O32" s="909"/>
      <c r="P32" s="909"/>
      <c r="Q32" s="909"/>
      <c r="R32" s="909"/>
      <c r="S32" s="910"/>
      <c r="T32" s="947" t="str">
        <f>IFERROR(IF(C32="","",INDEX(PMGWATER[Unit of Measure],MATCH(C32,PMGWATER[Eff Desc 1],0))),"")</f>
        <v/>
      </c>
      <c r="U32" s="948"/>
      <c r="V32" s="846"/>
      <c r="W32" s="847"/>
      <c r="X32" s="832"/>
      <c r="Y32" s="833"/>
      <c r="Z32" s="833"/>
      <c r="AA32" s="834"/>
      <c r="AB32" s="832"/>
      <c r="AC32" s="833"/>
      <c r="AD32" s="834"/>
      <c r="AE32" s="858"/>
      <c r="AF32" s="869"/>
      <c r="AG32" s="858"/>
      <c r="AH32" s="869"/>
      <c r="AI32" s="917" t="str">
        <f>IFERROR(IF(C32="","",INDEX(PMGWATER[Inc Rate Unit],MATCH(C32,PMGWATER[Eff Desc 1],0))),"")</f>
        <v/>
      </c>
      <c r="AJ32" s="918"/>
      <c r="AK32" s="998" t="str">
        <f>IF(OR(C32="",V32="",X32="",AB32="",AE32="",AG32=""),"",ROUND(V32*INDEX(PMGWATER[Savings per Unit Therm],MATCH(C32,PMGWATER[Eff Desc 1],2)),0))</f>
        <v/>
      </c>
      <c r="AL32" s="999"/>
      <c r="AM32" s="1000"/>
      <c r="AN32" s="924" t="str">
        <f t="shared" ref="AN32" si="6">IF(OR(C32="",V32="",X32="",AB32="",AE32="",AG32=""),"",IF(BC32&lt;&gt;"",BC32,MIN(AU32,ROUND(V32*AI32,2))))</f>
        <v/>
      </c>
      <c r="AO32" s="925"/>
      <c r="AP32" s="925"/>
      <c r="AQ32" s="863"/>
      <c r="AU32" s="808" t="str">
        <f>IF(OR(C32="",V32="",X32="",AB32="",AE32="",AG32=""),"",ROUND((AE32+AG32)*V32,2))</f>
        <v/>
      </c>
      <c r="AV32"/>
      <c r="BC32" s="825"/>
    </row>
    <row r="33" spans="2:55" ht="15.95" customHeight="1">
      <c r="B33" s="829"/>
      <c r="C33" s="835"/>
      <c r="D33" s="836"/>
      <c r="E33" s="836"/>
      <c r="F33" s="836"/>
      <c r="G33" s="836"/>
      <c r="H33" s="836"/>
      <c r="I33" s="836"/>
      <c r="J33" s="836"/>
      <c r="K33" s="836"/>
      <c r="L33" s="836"/>
      <c r="M33" s="837"/>
      <c r="N33" s="911"/>
      <c r="O33" s="912"/>
      <c r="P33" s="912"/>
      <c r="Q33" s="912"/>
      <c r="R33" s="912"/>
      <c r="S33" s="913"/>
      <c r="T33" s="949"/>
      <c r="U33" s="950"/>
      <c r="V33" s="848"/>
      <c r="W33" s="849"/>
      <c r="X33" s="835"/>
      <c r="Y33" s="836"/>
      <c r="Z33" s="836"/>
      <c r="AA33" s="837"/>
      <c r="AB33" s="835"/>
      <c r="AC33" s="836"/>
      <c r="AD33" s="837"/>
      <c r="AE33" s="860"/>
      <c r="AF33" s="870"/>
      <c r="AG33" s="860"/>
      <c r="AH33" s="870"/>
      <c r="AI33" s="919"/>
      <c r="AJ33" s="865"/>
      <c r="AK33" s="1001"/>
      <c r="AL33" s="1002"/>
      <c r="AM33" s="1003"/>
      <c r="AN33" s="919"/>
      <c r="AO33" s="926"/>
      <c r="AP33" s="926"/>
      <c r="AQ33" s="865"/>
      <c r="AU33" s="809"/>
      <c r="AV33"/>
      <c r="BC33" s="826"/>
    </row>
    <row r="34" spans="2:55" ht="15.95" customHeight="1">
      <c r="B34" s="829">
        <v>10</v>
      </c>
      <c r="C34" s="832"/>
      <c r="D34" s="833"/>
      <c r="E34" s="833"/>
      <c r="F34" s="833"/>
      <c r="G34" s="833"/>
      <c r="H34" s="833"/>
      <c r="I34" s="833"/>
      <c r="J34" s="833"/>
      <c r="K34" s="833"/>
      <c r="L34" s="833"/>
      <c r="M34" s="834"/>
      <c r="N34" s="908" t="str">
        <f>IFERROR(IF(C34="","",INDEX(PMGWATER[Base Desc 1],MATCH(C34,PMGWATER[Eff Desc 1],0))),"")</f>
        <v/>
      </c>
      <c r="O34" s="909"/>
      <c r="P34" s="909"/>
      <c r="Q34" s="909"/>
      <c r="R34" s="909"/>
      <c r="S34" s="910"/>
      <c r="T34" s="947" t="str">
        <f>IFERROR(IF(C34="","",INDEX(PMGWATER[Unit of Measure],MATCH(C34,PMGWATER[Eff Desc 1],0))),"")</f>
        <v/>
      </c>
      <c r="U34" s="948"/>
      <c r="V34" s="846"/>
      <c r="W34" s="847"/>
      <c r="X34" s="832"/>
      <c r="Y34" s="833"/>
      <c r="Z34" s="833"/>
      <c r="AA34" s="834"/>
      <c r="AB34" s="832"/>
      <c r="AC34" s="833"/>
      <c r="AD34" s="834"/>
      <c r="AE34" s="858"/>
      <c r="AF34" s="869"/>
      <c r="AG34" s="858"/>
      <c r="AH34" s="869"/>
      <c r="AI34" s="917" t="str">
        <f>IFERROR(IF(C34="","",INDEX(PMGWATER[Inc Rate Unit],MATCH(C34,PMGWATER[Eff Desc 1],0))),"")</f>
        <v/>
      </c>
      <c r="AJ34" s="918"/>
      <c r="AK34" s="998" t="str">
        <f>IF(OR(C34="",V34="",X34="",AB34="",AE34="",AG34=""),"",ROUND(V34*INDEX(PMGWATER[Savings per Unit Therm],MATCH(C34,PMGWATER[Eff Desc 1],2)),0))</f>
        <v/>
      </c>
      <c r="AL34" s="999"/>
      <c r="AM34" s="1000"/>
      <c r="AN34" s="924" t="str">
        <f t="shared" ref="AN34" si="7">IF(OR(C34="",V34="",X34="",AB34="",AE34="",AG34=""),"",IF(BC34&lt;&gt;"",BC34,MIN(AU34,ROUND(V34*AI34,2))))</f>
        <v/>
      </c>
      <c r="AO34" s="925"/>
      <c r="AP34" s="925"/>
      <c r="AQ34" s="863"/>
      <c r="AU34" s="808" t="str">
        <f>IF(OR(C34="",V34="",X34="",AB34="",AE34="",AG34=""),"",ROUND((AE34+AG34)*V34,2))</f>
        <v/>
      </c>
      <c r="AV34"/>
      <c r="BC34" s="825"/>
    </row>
    <row r="35" spans="2:55" ht="15.95" customHeight="1">
      <c r="B35" s="829"/>
      <c r="C35" s="835"/>
      <c r="D35" s="836"/>
      <c r="E35" s="836"/>
      <c r="F35" s="836"/>
      <c r="G35" s="836"/>
      <c r="H35" s="836"/>
      <c r="I35" s="836"/>
      <c r="J35" s="836"/>
      <c r="K35" s="836"/>
      <c r="L35" s="836"/>
      <c r="M35" s="837"/>
      <c r="N35" s="911"/>
      <c r="O35" s="912"/>
      <c r="P35" s="912"/>
      <c r="Q35" s="912"/>
      <c r="R35" s="912"/>
      <c r="S35" s="913"/>
      <c r="T35" s="949"/>
      <c r="U35" s="950"/>
      <c r="V35" s="848"/>
      <c r="W35" s="849"/>
      <c r="X35" s="835"/>
      <c r="Y35" s="836"/>
      <c r="Z35" s="836"/>
      <c r="AA35" s="837"/>
      <c r="AB35" s="835"/>
      <c r="AC35" s="836"/>
      <c r="AD35" s="837"/>
      <c r="AE35" s="860"/>
      <c r="AF35" s="870"/>
      <c r="AG35" s="860"/>
      <c r="AH35" s="870"/>
      <c r="AI35" s="919"/>
      <c r="AJ35" s="865"/>
      <c r="AK35" s="1001"/>
      <c r="AL35" s="1002"/>
      <c r="AM35" s="1003"/>
      <c r="AN35" s="919"/>
      <c r="AO35" s="926"/>
      <c r="AP35" s="926"/>
      <c r="AQ35" s="865"/>
      <c r="AU35" s="809"/>
      <c r="AV35"/>
      <c r="BC35" s="826"/>
    </row>
    <row r="36" spans="2:55" ht="15.95" hidden="1" customHeight="1">
      <c r="AS36"/>
      <c r="AT36"/>
      <c r="AU36"/>
      <c r="AV36"/>
    </row>
    <row r="37" spans="2:55" ht="15.95" hidden="1" customHeight="1">
      <c r="AS37"/>
      <c r="AT37"/>
      <c r="AU37"/>
      <c r="AV37"/>
    </row>
    <row r="38" spans="2:55" ht="15.95" hidden="1" customHeight="1">
      <c r="AS38"/>
      <c r="AT38"/>
      <c r="AU38"/>
      <c r="AV38"/>
    </row>
    <row r="39" spans="2:55" ht="15.95" hidden="1" customHeight="1">
      <c r="AS39"/>
      <c r="AT39"/>
      <c r="AU39"/>
      <c r="AV39"/>
    </row>
    <row r="40" spans="2:55" ht="15.95" hidden="1" customHeight="1">
      <c r="AS40"/>
      <c r="AT40"/>
      <c r="AU40"/>
      <c r="AV40"/>
    </row>
    <row r="41" spans="2:55" ht="15.95" hidden="1" customHeight="1">
      <c r="AS41"/>
      <c r="AT41"/>
      <c r="AU41"/>
      <c r="AV41"/>
    </row>
    <row r="42" spans="2:55" ht="15.95" hidden="1" customHeight="1">
      <c r="AS42"/>
      <c r="AT42"/>
      <c r="AU42"/>
      <c r="AV42"/>
    </row>
    <row r="43" spans="2:55" ht="15.95" hidden="1" customHeight="1">
      <c r="AS43"/>
      <c r="AT43"/>
      <c r="AU43"/>
      <c r="AV43"/>
    </row>
    <row r="44" spans="2:55" ht="15.95" hidden="1" customHeight="1">
      <c r="AS44"/>
      <c r="AT44"/>
      <c r="AU44"/>
      <c r="AV44"/>
    </row>
    <row r="45" spans="2:55" ht="15.95" hidden="1" customHeight="1">
      <c r="AS45"/>
      <c r="AT45"/>
      <c r="AU45"/>
      <c r="AV45"/>
    </row>
    <row r="46" spans="2:55" ht="15.95" hidden="1" customHeight="1">
      <c r="B46" s="923">
        <v>16</v>
      </c>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V46"/>
    </row>
    <row r="47" spans="2:55" ht="15.95" hidden="1" customHeight="1">
      <c r="B47" s="923"/>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V47"/>
    </row>
    <row r="48" spans="2:55" ht="15.95" hidden="1" customHeight="1">
      <c r="B48" s="923">
        <v>17</v>
      </c>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V48"/>
    </row>
    <row r="49" spans="2:48" ht="15.95" hidden="1" customHeight="1">
      <c r="B49" s="923"/>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V49"/>
    </row>
    <row r="50" spans="2:48" ht="15.95" hidden="1" customHeight="1">
      <c r="B50" s="923">
        <v>18</v>
      </c>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V50"/>
    </row>
    <row r="51" spans="2:48" ht="15.95" hidden="1" customHeight="1">
      <c r="B51" s="923"/>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V51"/>
    </row>
    <row r="52" spans="2:48" ht="15.95" hidden="1" customHeight="1">
      <c r="B52" s="923">
        <v>19</v>
      </c>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V52"/>
    </row>
    <row r="53" spans="2:48" ht="15.95" hidden="1" customHeight="1">
      <c r="B53" s="923"/>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V53"/>
    </row>
    <row r="54" spans="2:48" ht="15.95" hidden="1" customHeight="1">
      <c r="B54" s="923">
        <v>20</v>
      </c>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V54"/>
    </row>
    <row r="55" spans="2:48" ht="15.95" hidden="1" customHeight="1">
      <c r="B55" s="923"/>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V55"/>
    </row>
    <row r="56" spans="2:48" ht="15.95" hidden="1" customHeight="1">
      <c r="B56" s="923">
        <v>21</v>
      </c>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V56"/>
    </row>
    <row r="57" spans="2:48" ht="15.95" hidden="1" customHeight="1">
      <c r="B57" s="923"/>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V57"/>
    </row>
    <row r="58" spans="2:48" ht="15.95" hidden="1" customHeight="1">
      <c r="B58" s="923">
        <v>22</v>
      </c>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V58"/>
    </row>
    <row r="59" spans="2:48" ht="15.95" hidden="1" customHeight="1">
      <c r="B59" s="923"/>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V59"/>
    </row>
    <row r="60" spans="2:48" ht="15.95" hidden="1" customHeight="1">
      <c r="B60" s="923">
        <v>23</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V60"/>
    </row>
    <row r="61" spans="2:48" ht="15.95" hidden="1" customHeight="1">
      <c r="B61" s="923"/>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V61"/>
    </row>
    <row r="62" spans="2:48" ht="15.95" hidden="1" customHeight="1">
      <c r="B62" s="923">
        <v>24</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V62"/>
    </row>
    <row r="63" spans="2:48" ht="15.95" hidden="1" customHeight="1">
      <c r="B63" s="923"/>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V63"/>
    </row>
    <row r="64" spans="2:48" ht="15.95" hidden="1" customHeight="1">
      <c r="B64" s="923">
        <v>25</v>
      </c>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V64"/>
    </row>
    <row r="65" spans="2:48" ht="15.95" hidden="1" customHeight="1">
      <c r="B65" s="923"/>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V65"/>
    </row>
    <row r="66" spans="2:48" ht="15.95" hidden="1" customHeight="1">
      <c r="B66" s="923">
        <v>26</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V66"/>
    </row>
    <row r="67" spans="2:48" ht="15.95" hidden="1" customHeight="1">
      <c r="B67" s="923"/>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V67"/>
    </row>
    <row r="68" spans="2:48" ht="15.95" hidden="1" customHeight="1">
      <c r="B68" s="923">
        <v>27</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V68"/>
    </row>
    <row r="69" spans="2:48" ht="15.95" hidden="1" customHeight="1">
      <c r="B69" s="923"/>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V69"/>
    </row>
    <row r="70" spans="2:48" ht="15.95" hidden="1" customHeight="1">
      <c r="B70" s="923">
        <v>28</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V70"/>
    </row>
    <row r="71" spans="2:48" ht="15.95" hidden="1" customHeight="1">
      <c r="B71" s="923"/>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V71"/>
    </row>
    <row r="72" spans="2:48" ht="15.95" hidden="1" customHeight="1">
      <c r="B72" s="923">
        <v>29</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V72"/>
    </row>
    <row r="73" spans="2:48" ht="15.95" hidden="1" customHeight="1">
      <c r="B73" s="923"/>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V73"/>
    </row>
    <row r="74" spans="2:48" ht="15.95" hidden="1" customHeight="1">
      <c r="B74" s="923">
        <v>30</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V74"/>
    </row>
    <row r="75" spans="2:48" ht="15.95" hidden="1" customHeight="1">
      <c r="B75" s="923"/>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V75"/>
    </row>
    <row r="76" spans="2:48" ht="15.95" hidden="1" customHeight="1">
      <c r="B76" s="923">
        <v>31</v>
      </c>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V76"/>
    </row>
    <row r="77" spans="2:48" ht="15.95" hidden="1" customHeight="1">
      <c r="B77" s="923"/>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V77"/>
    </row>
    <row r="78" spans="2:48" ht="15.95" hidden="1" customHeight="1">
      <c r="B78" s="923">
        <v>32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V78"/>
    </row>
    <row r="79" spans="2:48" ht="15.95" hidden="1" customHeight="1">
      <c r="B79" s="923"/>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V79"/>
    </row>
    <row r="80" spans="2:48" ht="15.95" hidden="1" customHeight="1">
      <c r="B80" s="923">
        <v>33</v>
      </c>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V80"/>
    </row>
    <row r="81" spans="2:48" ht="15.95" hidden="1" customHeight="1">
      <c r="B81" s="923"/>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V81"/>
    </row>
    <row r="82" spans="2:48" ht="15.95" hidden="1" customHeight="1">
      <c r="B82" s="923">
        <v>34</v>
      </c>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V82"/>
    </row>
    <row r="83" spans="2:48" ht="15.95" hidden="1" customHeight="1">
      <c r="B83" s="923"/>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V83"/>
    </row>
    <row r="84" spans="2:48" ht="15.95" hidden="1" customHeight="1">
      <c r="B84" s="923">
        <v>35</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V84"/>
    </row>
    <row r="85" spans="2:48" ht="15.95" hidden="1" customHeight="1">
      <c r="B85" s="923"/>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V85"/>
    </row>
    <row r="86" spans="2:48" ht="15.95" hidden="1" customHeight="1">
      <c r="B86" s="923">
        <v>36</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V86"/>
    </row>
    <row r="87" spans="2:48" ht="15.95" hidden="1" customHeight="1">
      <c r="B87" s="923"/>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V87"/>
    </row>
    <row r="88" spans="2:48" ht="15.95" hidden="1" customHeight="1">
      <c r="B88" s="923">
        <v>37</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V88"/>
    </row>
    <row r="89" spans="2:48" ht="15.95" hidden="1" customHeight="1">
      <c r="B89" s="923"/>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V89"/>
    </row>
    <row r="90" spans="2:48" ht="15.95" hidden="1" customHeight="1">
      <c r="B90" s="923">
        <v>38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V90"/>
    </row>
    <row r="91" spans="2:48" ht="15.95" hidden="1" customHeight="1">
      <c r="B91" s="923"/>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V91"/>
    </row>
    <row r="92" spans="2:48" ht="15.95" hidden="1" customHeight="1">
      <c r="B92" s="923">
        <v>39</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V92"/>
    </row>
    <row r="93" spans="2:48" ht="15.95" hidden="1" customHeight="1">
      <c r="B93" s="923"/>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V93"/>
    </row>
    <row r="94" spans="2:48" ht="15.95" hidden="1" customHeight="1">
      <c r="B94" s="923">
        <v>40</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V94"/>
    </row>
    <row r="95" spans="2:48" ht="15.95" hidden="1" customHeight="1">
      <c r="B95" s="923"/>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V95"/>
    </row>
    <row r="96" spans="2:48" ht="15.95" hidden="1" customHeight="1">
      <c r="B96" s="923">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V96"/>
    </row>
    <row r="97" spans="2:48" ht="15.95" hidden="1" customHeight="1">
      <c r="B97" s="923"/>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V97"/>
    </row>
    <row r="98" spans="2:48" ht="15.95" hidden="1" customHeight="1">
      <c r="B98" s="923">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V98"/>
    </row>
    <row r="99" spans="2:48" ht="15.95" hidden="1" customHeight="1">
      <c r="B99" s="923"/>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V99"/>
    </row>
    <row r="100" spans="2:48" ht="15.95" hidden="1" customHeight="1">
      <c r="B100" s="923">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V100"/>
    </row>
    <row r="101" spans="2:48" ht="15.95" hidden="1" customHeight="1">
      <c r="B101" s="923"/>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V101"/>
    </row>
    <row r="102" spans="2:48" ht="15.95" hidden="1" customHeight="1">
      <c r="B102" s="923">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V102"/>
    </row>
    <row r="103" spans="2:48" ht="15.95" hidden="1" customHeight="1">
      <c r="B103" s="923"/>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V103"/>
    </row>
    <row r="104" spans="2:48" ht="15.95" hidden="1" customHeight="1">
      <c r="B104" s="923">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V104"/>
    </row>
    <row r="105" spans="2:48" ht="15.95" hidden="1" customHeight="1">
      <c r="B105" s="923"/>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V105"/>
    </row>
    <row r="106" spans="2:48" ht="15.95" hidden="1" customHeight="1">
      <c r="B106" s="923">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V106"/>
    </row>
    <row r="107" spans="2:48" ht="15.95" hidden="1" customHeight="1">
      <c r="B107" s="923"/>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V107"/>
    </row>
    <row r="108" spans="2:48" ht="15.95" hidden="1" customHeight="1">
      <c r="B108" s="923">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V108"/>
    </row>
    <row r="109" spans="2:48" ht="15.95" hidden="1" customHeight="1">
      <c r="B109" s="923"/>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V109"/>
    </row>
    <row r="110" spans="2:48" ht="15.95" hidden="1" customHeight="1">
      <c r="B110" s="923">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V110"/>
    </row>
    <row r="111" spans="2:48" ht="15.95" hidden="1" customHeight="1">
      <c r="B111" s="923"/>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V111"/>
    </row>
    <row r="112" spans="2:48" ht="15.95" hidden="1" customHeight="1">
      <c r="B112" s="923">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V112"/>
    </row>
    <row r="113" spans="2:48" ht="15.95" hidden="1" customHeight="1">
      <c r="B113" s="923"/>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V113"/>
    </row>
    <row r="114" spans="2:48" ht="15.95" hidden="1" customHeight="1">
      <c r="B114" s="923">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V114"/>
    </row>
    <row r="115" spans="2:48" ht="15.95" hidden="1" customHeight="1">
      <c r="B115" s="923"/>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V115"/>
    </row>
    <row r="116" spans="2:48" ht="15.95" hidden="1" customHeight="1">
      <c r="B116" s="923">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V116"/>
    </row>
    <row r="117" spans="2:48" ht="15.95" hidden="1" customHeight="1">
      <c r="B117" s="923"/>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V117"/>
    </row>
    <row r="118" spans="2:48" ht="15.95" hidden="1" customHeight="1">
      <c r="B118" s="923">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V118"/>
    </row>
    <row r="119" spans="2:48" ht="15.95" hidden="1" customHeight="1">
      <c r="B119" s="923"/>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V119"/>
    </row>
    <row r="120" spans="2:48" ht="15.95" hidden="1" customHeight="1">
      <c r="B120" s="923">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V120"/>
    </row>
    <row r="121" spans="2:48" ht="15.95" hidden="1" customHeight="1">
      <c r="B121" s="923"/>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V121"/>
    </row>
    <row r="122" spans="2:48" ht="15.95" hidden="1" customHeight="1">
      <c r="B122" s="923">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V122"/>
    </row>
    <row r="123" spans="2:48" ht="15.95" hidden="1" customHeight="1">
      <c r="B123" s="923"/>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V123"/>
    </row>
    <row r="124" spans="2:48" ht="15.95" hidden="1" customHeight="1">
      <c r="B124" s="923">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V124"/>
    </row>
    <row r="125" spans="2:48" ht="15.95" hidden="1" customHeight="1">
      <c r="B125" s="923"/>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V125"/>
    </row>
    <row r="126" spans="2:48" ht="15.95" hidden="1" customHeight="1">
      <c r="B126" s="923">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V126"/>
    </row>
    <row r="127" spans="2:48" ht="15.95" hidden="1" customHeight="1">
      <c r="B127" s="923"/>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V127"/>
    </row>
    <row r="128" spans="2:48" ht="15.95" hidden="1" customHeight="1">
      <c r="B128" s="923">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V128"/>
    </row>
    <row r="129" spans="2:48" ht="15.95" hidden="1" customHeight="1">
      <c r="B129" s="923"/>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V129"/>
    </row>
    <row r="130" spans="2:48" ht="15.95" hidden="1" customHeight="1">
      <c r="B130" s="923">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V130"/>
    </row>
    <row r="131" spans="2:48" ht="15.95" hidden="1" customHeight="1">
      <c r="B131" s="923"/>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V131"/>
    </row>
    <row r="132" spans="2:48" ht="15.95" hidden="1" customHeight="1">
      <c r="B132" s="923">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V132"/>
    </row>
    <row r="133" spans="2:48" ht="15.95" hidden="1" customHeight="1">
      <c r="B133" s="923"/>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V133"/>
    </row>
    <row r="134" spans="2:48" ht="15.95" hidden="1" customHeight="1">
      <c r="B134" s="923">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V134"/>
    </row>
    <row r="135" spans="2:48" ht="15.95" hidden="1" customHeight="1">
      <c r="B135" s="923"/>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V135"/>
    </row>
    <row r="136" spans="2:48" ht="15.95" hidden="1" customHeight="1">
      <c r="B136" s="923">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V136"/>
    </row>
    <row r="137" spans="2:48" ht="15.95" hidden="1" customHeight="1">
      <c r="B137" s="923"/>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V137"/>
    </row>
    <row r="138" spans="2:48" ht="15.95" hidden="1" customHeight="1">
      <c r="B138" s="923">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V138"/>
    </row>
    <row r="139" spans="2:48" ht="15.95" hidden="1" customHeight="1">
      <c r="B139" s="923"/>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V139"/>
    </row>
    <row r="140" spans="2:48" ht="15.95" hidden="1" customHeight="1">
      <c r="B140" s="923">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V140"/>
    </row>
    <row r="141" spans="2:48" ht="15.95" hidden="1" customHeight="1">
      <c r="B141" s="923"/>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V141"/>
    </row>
    <row r="142" spans="2:48" ht="15.95" hidden="1" customHeight="1">
      <c r="B142" s="923">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V142"/>
    </row>
    <row r="143" spans="2:48" ht="15.95" hidden="1" customHeight="1">
      <c r="B143" s="923"/>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V143"/>
    </row>
    <row r="144" spans="2:48" ht="15.95" hidden="1" customHeight="1">
      <c r="B144" s="923">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V144"/>
    </row>
    <row r="145" spans="2:48" ht="15.95" hidden="1" customHeight="1">
      <c r="B145" s="923"/>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V145"/>
    </row>
    <row r="146" spans="2:48" ht="15.95" hidden="1" customHeight="1">
      <c r="B146" s="923">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V146"/>
    </row>
    <row r="147" spans="2:48" ht="15.95" hidden="1" customHeight="1">
      <c r="B147" s="923"/>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V147"/>
    </row>
    <row r="148" spans="2:48" ht="15.95" hidden="1" customHeight="1">
      <c r="B148" s="923">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V148"/>
    </row>
    <row r="149" spans="2:48" ht="15.95" hidden="1" customHeight="1">
      <c r="B149" s="923"/>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V149"/>
    </row>
    <row r="150" spans="2:48" ht="15.95" hidden="1" customHeight="1">
      <c r="B150" s="923">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V150"/>
    </row>
    <row r="151" spans="2:48" ht="15.95" hidden="1" customHeight="1">
      <c r="B151" s="923"/>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V151"/>
    </row>
    <row r="152" spans="2:48" ht="15.95" hidden="1" customHeight="1">
      <c r="B152" s="923">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V152"/>
    </row>
    <row r="153" spans="2:48" ht="15.95" hidden="1" customHeight="1">
      <c r="B153" s="923"/>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V153"/>
    </row>
    <row r="154" spans="2:48" ht="15.95" hidden="1" customHeight="1">
      <c r="B154" s="923">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V154"/>
    </row>
    <row r="155" spans="2:48" ht="15.95" hidden="1" customHeight="1">
      <c r="B155" s="923"/>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V155"/>
    </row>
    <row r="156" spans="2:48" ht="15.95" hidden="1" customHeight="1">
      <c r="B156" s="923">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V156"/>
    </row>
    <row r="157" spans="2:48" ht="15.95" hidden="1" customHeight="1">
      <c r="B157" s="923"/>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V157"/>
    </row>
    <row r="158" spans="2:48" ht="15.95" hidden="1" customHeight="1">
      <c r="B158" s="923">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V158"/>
    </row>
    <row r="159" spans="2:48" ht="15.95" hidden="1" customHeight="1">
      <c r="B159" s="923"/>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V159"/>
    </row>
    <row r="160" spans="2:48" ht="15.95" hidden="1" customHeight="1">
      <c r="B160" s="923">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V160"/>
    </row>
    <row r="161" spans="2:48" ht="15.95" hidden="1" customHeight="1">
      <c r="B161" s="923"/>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V161"/>
    </row>
    <row r="162" spans="2:48" ht="15.95" hidden="1" customHeight="1">
      <c r="B162" s="923">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V162"/>
    </row>
    <row r="163" spans="2:48" ht="15.95" hidden="1" customHeight="1">
      <c r="B163" s="923"/>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V163"/>
    </row>
    <row r="164" spans="2:48" ht="15.95" hidden="1" customHeight="1">
      <c r="B164" s="923">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V164"/>
    </row>
    <row r="165" spans="2:48" ht="15.95" hidden="1" customHeight="1">
      <c r="B165" s="923"/>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V165"/>
    </row>
    <row r="166" spans="2:48" ht="15.95" hidden="1" customHeight="1">
      <c r="B166" s="923">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V166"/>
    </row>
    <row r="167" spans="2:48" ht="15.95" hidden="1" customHeight="1">
      <c r="B167" s="923"/>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V167"/>
    </row>
    <row r="168" spans="2:48" ht="15.95" hidden="1" customHeight="1">
      <c r="B168" s="923">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V168"/>
    </row>
    <row r="169" spans="2:48" ht="15.95" hidden="1" customHeight="1">
      <c r="B169" s="923"/>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V169"/>
    </row>
    <row r="170" spans="2:48" ht="15.95" hidden="1" customHeight="1">
      <c r="B170" s="923">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V170"/>
    </row>
    <row r="171" spans="2:48" ht="15.95" hidden="1" customHeight="1">
      <c r="B171" s="923"/>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V171"/>
    </row>
    <row r="172" spans="2:48" ht="15.95" hidden="1" customHeight="1">
      <c r="B172" s="923">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V172"/>
    </row>
    <row r="173" spans="2:48" ht="15.95" hidden="1" customHeight="1">
      <c r="B173" s="923"/>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V173"/>
    </row>
    <row r="174" spans="2:48" ht="15.95" hidden="1" customHeight="1">
      <c r="B174" s="923">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V174"/>
    </row>
    <row r="175" spans="2:48" ht="15.95" hidden="1" customHeight="1">
      <c r="B175" s="923"/>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V175"/>
    </row>
    <row r="176" spans="2:48" ht="15.95" hidden="1" customHeight="1">
      <c r="B176" s="923">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V176"/>
    </row>
    <row r="177" spans="2:48" ht="15.95" hidden="1" customHeight="1">
      <c r="B177" s="923"/>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V177"/>
    </row>
    <row r="178" spans="2:48" ht="15.95" hidden="1" customHeight="1">
      <c r="B178" s="923">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V178"/>
    </row>
    <row r="179" spans="2:48" ht="15.95" hidden="1" customHeight="1">
      <c r="B179" s="923"/>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V179"/>
    </row>
    <row r="180" spans="2:48" ht="15.95" hidden="1" customHeight="1">
      <c r="B180" s="923">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V180"/>
    </row>
    <row r="181" spans="2:48" ht="15.95" hidden="1" customHeight="1">
      <c r="B181" s="923"/>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V181"/>
    </row>
    <row r="182" spans="2:48" ht="15.95" hidden="1" customHeight="1">
      <c r="B182" s="923">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V182"/>
    </row>
    <row r="183" spans="2:48" ht="15.95" hidden="1" customHeight="1">
      <c r="B183" s="923"/>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V183"/>
    </row>
    <row r="184" spans="2:48" ht="15.95" hidden="1" customHeight="1">
      <c r="B184" s="923">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V184"/>
    </row>
    <row r="185" spans="2:48" ht="15.95" hidden="1" customHeight="1">
      <c r="B185" s="923"/>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V185"/>
    </row>
    <row r="186" spans="2:48" ht="15.95" hidden="1" customHeight="1">
      <c r="B186" s="923">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V186"/>
    </row>
    <row r="187" spans="2:48" ht="15.95" hidden="1" customHeight="1">
      <c r="B187" s="923"/>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V187"/>
    </row>
    <row r="188" spans="2:48" ht="15.95" hidden="1" customHeight="1">
      <c r="B188" s="923">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V188"/>
    </row>
    <row r="189" spans="2:48" ht="15.95" hidden="1" customHeight="1">
      <c r="B189" s="923"/>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V189"/>
    </row>
    <row r="190" spans="2:48" ht="15.95" hidden="1" customHeight="1">
      <c r="B190" s="923">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V190"/>
    </row>
    <row r="191" spans="2:48" ht="15.95" hidden="1" customHeight="1">
      <c r="B191" s="923"/>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V191"/>
    </row>
    <row r="192" spans="2:48" ht="15.95" hidden="1" customHeight="1">
      <c r="B192" s="923">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V192"/>
    </row>
    <row r="193" spans="2:48" ht="15.95" hidden="1" customHeight="1">
      <c r="B193" s="923"/>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V193"/>
    </row>
    <row r="194" spans="2:48" ht="15.95" hidden="1" customHeight="1">
      <c r="B194" s="923">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V194"/>
    </row>
    <row r="195" spans="2:48" ht="15.95" hidden="1" customHeight="1">
      <c r="B195" s="923"/>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V195"/>
    </row>
    <row r="196" spans="2:48" ht="15.95" hidden="1" customHeight="1">
      <c r="B196" s="923">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V196"/>
    </row>
    <row r="197" spans="2:48" ht="15.95" hidden="1" customHeight="1">
      <c r="B197" s="923"/>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V197"/>
    </row>
    <row r="198" spans="2:48" ht="15.95" hidden="1" customHeight="1">
      <c r="B198" s="923">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V198"/>
    </row>
    <row r="199" spans="2:48" ht="15.95" hidden="1" customHeight="1">
      <c r="B199" s="923"/>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V199"/>
    </row>
    <row r="200" spans="2:48" ht="15.95" customHeight="1">
      <c r="B200" s="272" t="str">
        <f>FOOT1</f>
        <v>NIPSCO Energy Efficiency Program</v>
      </c>
      <c r="C200" s="272"/>
      <c r="D200" s="272"/>
      <c r="E200" s="272"/>
      <c r="F200" s="272"/>
      <c r="G200" s="272"/>
      <c r="H200" s="272"/>
      <c r="I200" s="272"/>
      <c r="J200" s="272"/>
      <c r="K200" s="272"/>
      <c r="L200" s="272"/>
      <c r="M200" s="656" t="str">
        <f>FOOT4</f>
        <v>NIPSCO’s energy efficiency programs are administered by TRC, a third‐party implementation specialist that helps homes and businesses save energy.</v>
      </c>
      <c r="N200" s="656"/>
      <c r="O200" s="656"/>
      <c r="P200" s="656"/>
      <c r="Q200" s="656"/>
      <c r="R200" s="656"/>
      <c r="S200" s="656"/>
      <c r="T200" s="656"/>
      <c r="U200" s="656"/>
      <c r="V200" s="656"/>
      <c r="W200" s="656"/>
      <c r="X200" s="656"/>
      <c r="Y200" s="656"/>
      <c r="Z200" s="656"/>
      <c r="AA200" s="656"/>
      <c r="AB200" s="656"/>
      <c r="AC200" s="656"/>
      <c r="AD200" s="656"/>
      <c r="AE200" s="656"/>
      <c r="AF200" s="656"/>
      <c r="AG200" s="656"/>
      <c r="AH200" s="272"/>
      <c r="AI200" s="272"/>
      <c r="AJ200" s="272"/>
      <c r="AK200" s="272"/>
      <c r="AL200" s="272"/>
      <c r="AM200" s="272"/>
      <c r="AN200" s="272"/>
      <c r="AO200" s="272"/>
      <c r="AP200" s="272"/>
      <c r="AQ200" s="272"/>
      <c r="AR200" s="273" t="str">
        <f>FOOTDISCLAIM</f>
        <v/>
      </c>
      <c r="AU200" s="808">
        <f>SUM(AU16:AU199)</f>
        <v>0</v>
      </c>
      <c r="AV200"/>
    </row>
    <row r="201" spans="2:48" ht="15.95" customHeight="1">
      <c r="B201" s="272" t="str">
        <f>FOOT2</f>
        <v>Toll-Free 800-299-2501</v>
      </c>
      <c r="C201" s="272"/>
      <c r="D201" s="272"/>
      <c r="E201" s="272"/>
      <c r="F201" s="272"/>
      <c r="G201" s="272"/>
      <c r="H201" s="272"/>
      <c r="I201" s="272"/>
      <c r="J201" s="272"/>
      <c r="K201" s="272"/>
      <c r="L201" s="272"/>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272"/>
      <c r="AI201" s="272"/>
      <c r="AJ201" s="272"/>
      <c r="AK201" s="272"/>
      <c r="AL201" s="272"/>
      <c r="AM201" s="272"/>
      <c r="AN201" s="272"/>
      <c r="AO201" s="272"/>
      <c r="AP201" s="272"/>
      <c r="AQ201" s="272"/>
      <c r="AR201" s="273" t="str">
        <f>FOOT5</f>
        <v/>
      </c>
      <c r="AU201" s="809"/>
      <c r="AV201"/>
    </row>
    <row r="202" spans="2:48" ht="15.95" customHeight="1">
      <c r="B202" s="281" t="s">
        <v>1551</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v3.7.0</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c r="AV202"/>
    </row>
    <row r="203" spans="2:48" ht="15" hidden="1" customHeight="1"/>
  </sheetData>
  <sheetProtection algorithmName="SHA-512" hashValue="Nv+f064UU6StqktLWpKfbOSWnAv5lmo09pKy4Bhf+vblXhonKRlmEdBla7aKaQ5PMdz8FxUEhY11lTGyt7fDpA==" saltValue="4SFzucE+7TroqyIDukXJfA==" spinCount="100000" sheet="1" objects="1" scenarios="1" selectLockedCells="1"/>
  <mergeCells count="245">
    <mergeCell ref="M200:AG201"/>
    <mergeCell ref="AU200:AU201"/>
    <mergeCell ref="B188:B189"/>
    <mergeCell ref="B190:B191"/>
    <mergeCell ref="B192:B193"/>
    <mergeCell ref="B194:B195"/>
    <mergeCell ref="B196:B197"/>
    <mergeCell ref="B198:B199"/>
    <mergeCell ref="B176:B177"/>
    <mergeCell ref="B178:B179"/>
    <mergeCell ref="B180:B181"/>
    <mergeCell ref="B182:B183"/>
    <mergeCell ref="B184:B185"/>
    <mergeCell ref="B186:B187"/>
    <mergeCell ref="B164:B165"/>
    <mergeCell ref="B166:B167"/>
    <mergeCell ref="B168:B169"/>
    <mergeCell ref="B170:B171"/>
    <mergeCell ref="B172:B173"/>
    <mergeCell ref="B174:B175"/>
    <mergeCell ref="B152:B153"/>
    <mergeCell ref="B154:B155"/>
    <mergeCell ref="B156:B157"/>
    <mergeCell ref="B158:B159"/>
    <mergeCell ref="B160:B161"/>
    <mergeCell ref="B162:B163"/>
    <mergeCell ref="B140:B141"/>
    <mergeCell ref="B142:B143"/>
    <mergeCell ref="B144:B145"/>
    <mergeCell ref="B146:B147"/>
    <mergeCell ref="B148:B149"/>
    <mergeCell ref="B150:B151"/>
    <mergeCell ref="B128:B129"/>
    <mergeCell ref="B130:B131"/>
    <mergeCell ref="B132:B133"/>
    <mergeCell ref="B134:B135"/>
    <mergeCell ref="B136:B137"/>
    <mergeCell ref="B138:B139"/>
    <mergeCell ref="B116:B117"/>
    <mergeCell ref="B118:B119"/>
    <mergeCell ref="B120:B121"/>
    <mergeCell ref="B122:B123"/>
    <mergeCell ref="B124:B125"/>
    <mergeCell ref="B126:B127"/>
    <mergeCell ref="B104:B105"/>
    <mergeCell ref="B106:B107"/>
    <mergeCell ref="B108:B109"/>
    <mergeCell ref="B110:B111"/>
    <mergeCell ref="B112:B113"/>
    <mergeCell ref="B114:B115"/>
    <mergeCell ref="B92:B93"/>
    <mergeCell ref="B94:B95"/>
    <mergeCell ref="B96:B97"/>
    <mergeCell ref="B98:B99"/>
    <mergeCell ref="B100:B101"/>
    <mergeCell ref="B102:B103"/>
    <mergeCell ref="B80:B81"/>
    <mergeCell ref="B82:B83"/>
    <mergeCell ref="B84:B85"/>
    <mergeCell ref="B86:B87"/>
    <mergeCell ref="B88:B89"/>
    <mergeCell ref="B90:B91"/>
    <mergeCell ref="B70:B71"/>
    <mergeCell ref="B72:B73"/>
    <mergeCell ref="B74:B75"/>
    <mergeCell ref="B76:B77"/>
    <mergeCell ref="B78:B79"/>
    <mergeCell ref="B58:B59"/>
    <mergeCell ref="B60:B61"/>
    <mergeCell ref="B62:B63"/>
    <mergeCell ref="B64:B65"/>
    <mergeCell ref="B66:B67"/>
    <mergeCell ref="AI32:AJ33"/>
    <mergeCell ref="AU32:AU33"/>
    <mergeCell ref="AI34:AJ35"/>
    <mergeCell ref="AU34:AU35"/>
    <mergeCell ref="B68:B69"/>
    <mergeCell ref="B56:B57"/>
    <mergeCell ref="AE32:AF33"/>
    <mergeCell ref="AG32:AH33"/>
    <mergeCell ref="B34:B35"/>
    <mergeCell ref="C34:M35"/>
    <mergeCell ref="N34:S35"/>
    <mergeCell ref="T34:U35"/>
    <mergeCell ref="V34:W35"/>
    <mergeCell ref="X34:AA35"/>
    <mergeCell ref="AB34:AD35"/>
    <mergeCell ref="AE34:AF35"/>
    <mergeCell ref="AG34:AH35"/>
    <mergeCell ref="B32:B33"/>
    <mergeCell ref="C32:M33"/>
    <mergeCell ref="N32:S33"/>
    <mergeCell ref="T32:U33"/>
    <mergeCell ref="V32:W33"/>
    <mergeCell ref="X32:AA33"/>
    <mergeCell ref="AB32:AD33"/>
    <mergeCell ref="B46:B47"/>
    <mergeCell ref="B48:B49"/>
    <mergeCell ref="B50:B51"/>
    <mergeCell ref="B52:B53"/>
    <mergeCell ref="B54:B55"/>
    <mergeCell ref="X30:AA31"/>
    <mergeCell ref="AB30:AD31"/>
    <mergeCell ref="AU26:AU27"/>
    <mergeCell ref="AI28:AJ29"/>
    <mergeCell ref="AU28:AU29"/>
    <mergeCell ref="B26:B27"/>
    <mergeCell ref="C26:M27"/>
    <mergeCell ref="N26:S27"/>
    <mergeCell ref="B30:B31"/>
    <mergeCell ref="C30:M31"/>
    <mergeCell ref="N30:S31"/>
    <mergeCell ref="T30:U31"/>
    <mergeCell ref="V30:W31"/>
    <mergeCell ref="AU30:AU31"/>
    <mergeCell ref="AE30:AF31"/>
    <mergeCell ref="AG30:AH31"/>
    <mergeCell ref="AI30:AJ31"/>
    <mergeCell ref="B28:B29"/>
    <mergeCell ref="C28:M29"/>
    <mergeCell ref="N28:S29"/>
    <mergeCell ref="AE22:AF23"/>
    <mergeCell ref="AG22:AH23"/>
    <mergeCell ref="AE26:AF27"/>
    <mergeCell ref="AG26:AH27"/>
    <mergeCell ref="AI26:AJ27"/>
    <mergeCell ref="T28:U29"/>
    <mergeCell ref="V28:W29"/>
    <mergeCell ref="X28:AA29"/>
    <mergeCell ref="AB28:AD29"/>
    <mergeCell ref="AE28:AF29"/>
    <mergeCell ref="AG28:AH29"/>
    <mergeCell ref="T26:U27"/>
    <mergeCell ref="V26:W27"/>
    <mergeCell ref="X26:AA27"/>
    <mergeCell ref="AB26:AD27"/>
    <mergeCell ref="B20:B21"/>
    <mergeCell ref="C20:M21"/>
    <mergeCell ref="N20:S21"/>
    <mergeCell ref="B24:B25"/>
    <mergeCell ref="C24:M25"/>
    <mergeCell ref="N24:S25"/>
    <mergeCell ref="T24:U25"/>
    <mergeCell ref="V24:W25"/>
    <mergeCell ref="AU24:AU25"/>
    <mergeCell ref="AE24:AF25"/>
    <mergeCell ref="AG24:AH25"/>
    <mergeCell ref="AI24:AJ25"/>
    <mergeCell ref="B22:B23"/>
    <mergeCell ref="C22:M23"/>
    <mergeCell ref="N22:S23"/>
    <mergeCell ref="T22:U23"/>
    <mergeCell ref="V22:W23"/>
    <mergeCell ref="X22:AA23"/>
    <mergeCell ref="AB22:AD23"/>
    <mergeCell ref="T20:U21"/>
    <mergeCell ref="V20:W21"/>
    <mergeCell ref="X24:AA25"/>
    <mergeCell ref="AB24:AD25"/>
    <mergeCell ref="AI22:AJ23"/>
    <mergeCell ref="X20:AA21"/>
    <mergeCell ref="AB20:AD21"/>
    <mergeCell ref="X18:AA19"/>
    <mergeCell ref="AB18:AD19"/>
    <mergeCell ref="AU16:AU17"/>
    <mergeCell ref="AE20:AF21"/>
    <mergeCell ref="AG20:AH21"/>
    <mergeCell ref="AI20:AJ21"/>
    <mergeCell ref="AU20:AU21"/>
    <mergeCell ref="AI16:AJ17"/>
    <mergeCell ref="B18:B19"/>
    <mergeCell ref="C18:M19"/>
    <mergeCell ref="N18:S19"/>
    <mergeCell ref="T18:U19"/>
    <mergeCell ref="V18:W19"/>
    <mergeCell ref="AU18:AU19"/>
    <mergeCell ref="AE18:AF19"/>
    <mergeCell ref="AG18:AH19"/>
    <mergeCell ref="AI18:AJ19"/>
    <mergeCell ref="AE14:AF15"/>
    <mergeCell ref="AG14:AH15"/>
    <mergeCell ref="AI14:AJ15"/>
    <mergeCell ref="AU14:AU15"/>
    <mergeCell ref="C14:M15"/>
    <mergeCell ref="N14:S15"/>
    <mergeCell ref="T14:U15"/>
    <mergeCell ref="V14:W15"/>
    <mergeCell ref="X14:AA15"/>
    <mergeCell ref="AB14:AD15"/>
    <mergeCell ref="AK14:AM15"/>
    <mergeCell ref="AN14:AQ15"/>
    <mergeCell ref="B16:B17"/>
    <mergeCell ref="C16:M17"/>
    <mergeCell ref="N16:S17"/>
    <mergeCell ref="T16:U17"/>
    <mergeCell ref="V16:W17"/>
    <mergeCell ref="X16:AA17"/>
    <mergeCell ref="AB16:AD17"/>
    <mergeCell ref="AE16:AF17"/>
    <mergeCell ref="AG16:AH17"/>
    <mergeCell ref="AQ1:AR1"/>
    <mergeCell ref="AH2:AK3"/>
    <mergeCell ref="AL2:AP3"/>
    <mergeCell ref="AQ2:AR3"/>
    <mergeCell ref="R9:AC10"/>
    <mergeCell ref="R11:U11"/>
    <mergeCell ref="V11:Y11"/>
    <mergeCell ref="Z11:AC11"/>
    <mergeCell ref="R12:U13"/>
    <mergeCell ref="V12:Y13"/>
    <mergeCell ref="Z12:AC13"/>
    <mergeCell ref="AH1:AK1"/>
    <mergeCell ref="AL1:AP1"/>
    <mergeCell ref="BC14:BC15"/>
    <mergeCell ref="BC16:BC17"/>
    <mergeCell ref="BC18:BC19"/>
    <mergeCell ref="BC20:BC21"/>
    <mergeCell ref="BC22:BC23"/>
    <mergeCell ref="BC24:BC25"/>
    <mergeCell ref="BC26:BC27"/>
    <mergeCell ref="BC28:BC29"/>
    <mergeCell ref="BC30:BC31"/>
    <mergeCell ref="BC32:BC33"/>
    <mergeCell ref="BC34:BC35"/>
    <mergeCell ref="AK18:AM19"/>
    <mergeCell ref="AK16:AM17"/>
    <mergeCell ref="AK20:AM21"/>
    <mergeCell ref="AK22:AM23"/>
    <mergeCell ref="AK24:AM25"/>
    <mergeCell ref="AK26:AM27"/>
    <mergeCell ref="AK28:AM29"/>
    <mergeCell ref="AK30:AM31"/>
    <mergeCell ref="AK32:AM33"/>
    <mergeCell ref="AK34:AM35"/>
    <mergeCell ref="AN18:AQ19"/>
    <mergeCell ref="AN16:AQ17"/>
    <mergeCell ref="AN20:AQ21"/>
    <mergeCell ref="AN22:AQ23"/>
    <mergeCell ref="AN24:AQ25"/>
    <mergeCell ref="AN26:AQ27"/>
    <mergeCell ref="AN28:AQ29"/>
    <mergeCell ref="AN30:AQ31"/>
    <mergeCell ref="AN32:AQ33"/>
    <mergeCell ref="AN34:AQ35"/>
    <mergeCell ref="AU22:AU23"/>
  </mergeCells>
  <conditionalFormatting sqref="AH2 AL2">
    <cfRule type="expression" dxfId="143" priority="1">
      <formula>PROJSTATUS=PROJSTATELI</formula>
    </cfRule>
    <cfRule type="expression" dxfId="142" priority="2">
      <formula>PROJSTATUS=PROJSTATREVIEW</formula>
    </cfRule>
    <cfRule type="expression" dxfId="141" priority="6">
      <formula>PROJSTATUS=PROJSTATPREAPPROVE</formula>
    </cfRule>
    <cfRule type="expression" dxfId="140" priority="7">
      <formula>PROJSTATUS=PROJSTATSTANDARD</formula>
    </cfRule>
    <cfRule type="expression" dxfId="139" priority="8">
      <formula>PROJSTATUS=PROJSTATEXP</formula>
    </cfRule>
  </conditionalFormatting>
  <conditionalFormatting sqref="AQ2:AR3">
    <cfRule type="cellIs" dxfId="138" priority="3" operator="equal">
      <formula>1</formula>
    </cfRule>
    <cfRule type="cellIs" dxfId="137" priority="4" operator="between">
      <formula>0.51</formula>
      <formula>0.99</formula>
    </cfRule>
    <cfRule type="cellIs" dxfId="136" priority="5" operator="lessThanOrEqual">
      <formula>0.5</formula>
    </cfRule>
  </conditionalFormatting>
  <dataValidations count="4">
    <dataValidation type="decimal" allowBlank="1" showInputMessage="1" showErrorMessage="1" error="Please enter a numerical value" sqref="AG16:AH35" xr:uid="{00000000-0002-0000-1B00-000000000000}">
      <formula1>0</formula1>
      <formula2>999999</formula2>
    </dataValidation>
    <dataValidation type="decimal" allowBlank="1" showInputMessage="1" showErrorMessage="1" error="Please enter a numerical value" prompt="Reference the &quot;Unit of Measure&quot; column to ensure you enter the correct value based on unit type." sqref="V16:W35" xr:uid="{00000000-0002-0000-1B00-000001000000}">
      <formula1>1</formula1>
      <formula2>99999</formula2>
    </dataValidation>
    <dataValidation type="list" allowBlank="1" showInputMessage="1" showErrorMessage="1" sqref="C16:M35" xr:uid="{00000000-0002-0000-1B00-000002000000}">
      <formula1>PMGWATEREFF1</formula1>
    </dataValidation>
    <dataValidation type="decimal" allowBlank="1" showInputMessage="1" showErrorMessage="1" error="Please enter a numerical value" sqref="AE16:AF35" xr:uid="{00000000-0002-0000-1B00-000003000000}">
      <formula1>0.01</formula1>
      <formula2>999999</formula2>
    </dataValidation>
  </dataValidations>
  <hyperlinks>
    <hyperlink ref="B202" r:id="rId1" xr:uid="{E0CA636B-DFAF-4636-BBD1-C3DF5A337726}"/>
  </hyperlinks>
  <pageMargins left="0.25" right="0.25" top="0.25" bottom="0.25" header="0.25" footer="0.25"/>
  <pageSetup scale="56" fitToHeight="0" orientation="landscape"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81">
    <pageSetUpPr fitToPage="1"/>
  </sheetPr>
  <dimension ref="A1:BI202"/>
  <sheetViews>
    <sheetView showGridLines="0" showRowColHeaders="0" zoomScale="85" zoomScaleNormal="85" workbookViewId="0">
      <selection activeCell="C16" sqref="C16:E17"/>
    </sheetView>
  </sheetViews>
  <sheetFormatPr defaultColWidth="0" defaultRowHeight="15" customHeight="1" zeroHeight="1"/>
  <cols>
    <col min="1" max="44" width="4.7109375" customWidth="1"/>
    <col min="45" max="45" width="4.7109375" style="59" customWidth="1"/>
    <col min="46" max="46" width="4.7109375" style="59" hidden="1" customWidth="1"/>
    <col min="47" max="52" width="9.140625" style="59" hidden="1" customWidth="1"/>
    <col min="53" max="53" width="9.28515625" style="59" hidden="1" customWidth="1"/>
    <col min="54" max="54" width="9.140625" style="59" hidden="1" customWidth="1"/>
    <col min="55" max="55" width="14.42578125" style="59" hidden="1" customWidth="1"/>
    <col min="56" max="61" width="9.140625" style="59" hidden="1" customWidth="1"/>
    <col min="62" max="16384" width="9.140625" hidden="1"/>
  </cols>
  <sheetData>
    <row r="1" spans="2:60" ht="15.95" customHeight="1">
      <c r="AH1" s="681" t="s">
        <v>471</v>
      </c>
      <c r="AI1" s="681"/>
      <c r="AJ1" s="681"/>
      <c r="AK1" s="681"/>
      <c r="AL1" s="682" t="s">
        <v>736</v>
      </c>
      <c r="AM1" s="682"/>
      <c r="AN1" s="682"/>
      <c r="AO1" s="682"/>
      <c r="AP1" s="682"/>
      <c r="AQ1" s="678" t="s">
        <v>474</v>
      </c>
      <c r="AR1" s="678"/>
    </row>
    <row r="2" spans="2:60" ht="15.95" customHeight="1">
      <c r="AH2" s="683" t="str">
        <f ca="1">INCENSTATUS</f>
        <v>---</v>
      </c>
      <c r="AI2" s="684"/>
      <c r="AJ2" s="684"/>
      <c r="AK2" s="684"/>
      <c r="AL2" s="685" t="str">
        <f ca="1">PROJSTATUS</f>
        <v>Enter Measures</v>
      </c>
      <c r="AM2" s="685"/>
      <c r="AN2" s="685"/>
      <c r="AO2" s="685"/>
      <c r="AP2" s="685"/>
      <c r="AQ2" s="679">
        <f ca="1">PROGRESSSTATUS</f>
        <v>2.8985507246376812E-2</v>
      </c>
      <c r="AR2" s="680"/>
    </row>
    <row r="3" spans="2:60" ht="15.95" customHeight="1">
      <c r="AH3" s="675"/>
      <c r="AI3" s="676"/>
      <c r="AJ3" s="676"/>
      <c r="AK3" s="676"/>
      <c r="AL3" s="668"/>
      <c r="AM3" s="668"/>
      <c r="AN3" s="668"/>
      <c r="AO3" s="668"/>
      <c r="AP3" s="668"/>
      <c r="AQ3" s="662"/>
      <c r="AR3" s="663"/>
    </row>
    <row r="4" spans="2:60" ht="15.95" customHeight="1">
      <c r="AR4" s="171"/>
    </row>
    <row r="5" spans="2:60" ht="15.95" customHeight="1"/>
    <row r="6" spans="2:60" ht="15.95" customHeight="1">
      <c r="AU6" s="59" t="s">
        <v>907</v>
      </c>
      <c r="AV6" s="59">
        <f>PROJID</f>
        <v>0</v>
      </c>
      <c r="BE6" s="59" t="s">
        <v>1702</v>
      </c>
    </row>
    <row r="7" spans="2:60" ht="15.95" customHeight="1">
      <c r="AU7" s="87"/>
      <c r="AV7" s="87" t="s">
        <v>866</v>
      </c>
      <c r="AW7" s="87" t="s">
        <v>231</v>
      </c>
      <c r="AX7" s="87" t="s">
        <v>892</v>
      </c>
      <c r="AY7"/>
    </row>
    <row r="8" spans="2:60" ht="15.95" customHeight="1">
      <c r="AU8" s="87" t="s">
        <v>219</v>
      </c>
      <c r="AV8" s="87" t="str">
        <f ca="1">CBPRESE</f>
        <v>NA</v>
      </c>
      <c r="AW8" s="87" t="str">
        <f ca="1">CBCUSE</f>
        <v>NA</v>
      </c>
      <c r="AX8" s="87" t="str">
        <f ca="1">CBALL</f>
        <v>NA</v>
      </c>
      <c r="AY8"/>
      <c r="BC8" s="415"/>
    </row>
    <row r="9" spans="2:60" ht="15.95" customHeight="1">
      <c r="B9" s="59"/>
      <c r="C9" s="59"/>
      <c r="D9" s="59"/>
      <c r="E9" s="59"/>
      <c r="F9" s="59"/>
      <c r="G9" s="59"/>
      <c r="H9" s="59"/>
      <c r="I9" s="59"/>
      <c r="J9" s="59"/>
      <c r="K9" s="59"/>
      <c r="L9" s="59"/>
      <c r="M9" s="59"/>
      <c r="N9" s="59"/>
      <c r="O9" s="59"/>
      <c r="P9" s="59"/>
      <c r="Q9" s="59"/>
      <c r="R9" s="730" t="str">
        <f>CONCATENATE(M4S1," ","Summary")</f>
        <v>Custom Lighting Summary</v>
      </c>
      <c r="S9" s="730"/>
      <c r="T9" s="730"/>
      <c r="U9" s="730"/>
      <c r="V9" s="730"/>
      <c r="W9" s="730"/>
      <c r="X9" s="730"/>
      <c r="Y9" s="730"/>
      <c r="Z9" s="730"/>
      <c r="AA9" s="730"/>
      <c r="AB9" s="730"/>
      <c r="AC9" s="730"/>
      <c r="AD9" s="59"/>
      <c r="AE9" s="59"/>
      <c r="AF9" s="59"/>
      <c r="AG9" s="59"/>
      <c r="AH9" s="59"/>
      <c r="AI9" s="59"/>
      <c r="AJ9" s="59"/>
      <c r="AK9" s="59"/>
      <c r="AL9" s="59"/>
      <c r="AM9" s="59"/>
      <c r="AN9" s="59"/>
      <c r="AO9" s="59"/>
      <c r="AP9" s="59"/>
      <c r="AQ9" s="59"/>
      <c r="AR9" s="59"/>
      <c r="AU9" s="87"/>
      <c r="AV9" s="87"/>
      <c r="AW9" s="87"/>
      <c r="AX9" s="87"/>
      <c r="AY9"/>
    </row>
    <row r="10" spans="2:60" ht="15.95" customHeight="1">
      <c r="B10" s="59"/>
      <c r="C10" s="59"/>
      <c r="D10" s="59"/>
      <c r="E10" s="59"/>
      <c r="F10" s="59"/>
      <c r="G10" s="59"/>
      <c r="H10" s="59"/>
      <c r="I10" s="59"/>
      <c r="J10" s="59"/>
      <c r="K10" s="59"/>
      <c r="L10" s="59"/>
      <c r="M10" s="59"/>
      <c r="N10" s="59"/>
      <c r="O10" s="59"/>
      <c r="P10" s="59"/>
      <c r="Q10" s="59"/>
      <c r="R10" s="730"/>
      <c r="S10" s="730"/>
      <c r="T10" s="730"/>
      <c r="U10" s="730"/>
      <c r="V10" s="730"/>
      <c r="W10" s="730"/>
      <c r="X10" s="730"/>
      <c r="Y10" s="730"/>
      <c r="Z10" s="730"/>
      <c r="AA10" s="730"/>
      <c r="AB10" s="730"/>
      <c r="AC10" s="730"/>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c r="AY10"/>
    </row>
    <row r="11" spans="2:60" ht="15.95" customHeight="1">
      <c r="B11" s="59"/>
      <c r="C11" s="59"/>
      <c r="D11" s="59"/>
      <c r="E11" s="59"/>
      <c r="F11" s="59"/>
      <c r="G11" s="59"/>
      <c r="H11" s="59"/>
      <c r="I11" s="59"/>
      <c r="J11" s="59"/>
      <c r="K11" s="59"/>
      <c r="L11" s="59"/>
      <c r="M11" s="59"/>
      <c r="N11" s="59"/>
      <c r="O11" s="59"/>
      <c r="P11" s="59"/>
      <c r="Q11" s="59"/>
      <c r="R11" s="831" t="s">
        <v>68</v>
      </c>
      <c r="S11" s="831"/>
      <c r="T11" s="831"/>
      <c r="U11" s="831"/>
      <c r="V11" s="831" t="s">
        <v>69</v>
      </c>
      <c r="W11" s="831"/>
      <c r="X11" s="831"/>
      <c r="Y11" s="831"/>
      <c r="Z11" s="831" t="s">
        <v>70</v>
      </c>
      <c r="AA11" s="831"/>
      <c r="AB11" s="831"/>
      <c r="AC11" s="831"/>
      <c r="AD11" s="59"/>
      <c r="AE11" s="59"/>
      <c r="AF11" s="896" t="s">
        <v>2111</v>
      </c>
      <c r="AG11" s="896"/>
      <c r="AH11" s="896"/>
      <c r="AI11" s="896"/>
      <c r="AJ11" s="59"/>
      <c r="AK11" s="59"/>
      <c r="AL11" s="59"/>
      <c r="AM11" s="59"/>
      <c r="AN11" s="59"/>
      <c r="AO11" s="59"/>
      <c r="AP11" s="59"/>
      <c r="AQ11" s="59"/>
      <c r="AR11" s="59"/>
      <c r="AU11" s="88"/>
    </row>
    <row r="12" spans="2:60" ht="15.95" customHeight="1">
      <c r="B12" s="59"/>
      <c r="C12" s="59"/>
      <c r="D12" s="59"/>
      <c r="E12" s="59"/>
      <c r="F12" s="59"/>
      <c r="G12" s="59"/>
      <c r="H12" s="59"/>
      <c r="I12" s="59"/>
      <c r="J12" s="59"/>
      <c r="K12" s="59"/>
      <c r="L12" s="59"/>
      <c r="M12" s="59"/>
      <c r="N12" s="59"/>
      <c r="O12" s="59"/>
      <c r="P12" s="59"/>
      <c r="Q12" s="59"/>
      <c r="R12" s="875">
        <f>SUM(AN16:AQ113)</f>
        <v>0</v>
      </c>
      <c r="S12" s="875"/>
      <c r="T12" s="875"/>
      <c r="U12" s="875"/>
      <c r="V12" s="875">
        <f ca="1">SUMIF(AN16:AQ113,"&gt;0",AH16:AJ113)</f>
        <v>0</v>
      </c>
      <c r="W12" s="875"/>
      <c r="X12" s="875"/>
      <c r="Y12" s="875"/>
      <c r="Z12" s="876">
        <f ca="1">SUMIF(AN16:AQ113,"&gt;0",AK16:AM113)</f>
        <v>0</v>
      </c>
      <c r="AA12" s="876"/>
      <c r="AB12" s="876"/>
      <c r="AC12" s="876"/>
      <c r="AD12" s="59"/>
      <c r="AE12" s="59"/>
      <c r="AF12" s="875">
        <f ca="1">IFERROR(IF(AN114="",0,AN114),0)</f>
        <v>0</v>
      </c>
      <c r="AG12" s="875"/>
      <c r="AH12" s="875"/>
      <c r="AI12" s="875"/>
      <c r="AJ12" s="59"/>
      <c r="AK12" s="59"/>
      <c r="AL12" s="59"/>
      <c r="AM12" s="59"/>
      <c r="AN12" s="59"/>
      <c r="AO12" s="59"/>
      <c r="AP12" s="59"/>
      <c r="AQ12" s="59"/>
      <c r="AR12" s="59"/>
    </row>
    <row r="13" spans="2:60" ht="15.95" customHeight="1">
      <c r="B13" s="59"/>
      <c r="C13" s="59"/>
      <c r="D13" s="59"/>
      <c r="E13" s="59"/>
      <c r="F13" s="59"/>
      <c r="G13" s="59"/>
      <c r="H13" s="59"/>
      <c r="I13" s="59"/>
      <c r="J13" s="59"/>
      <c r="K13" s="59"/>
      <c r="L13" s="59"/>
      <c r="M13" s="59"/>
      <c r="N13" s="59"/>
      <c r="O13" s="59"/>
      <c r="P13" s="59"/>
      <c r="Q13" s="59"/>
      <c r="R13" s="875"/>
      <c r="S13" s="875"/>
      <c r="T13" s="875"/>
      <c r="U13" s="875"/>
      <c r="V13" s="875"/>
      <c r="W13" s="875"/>
      <c r="X13" s="875"/>
      <c r="Y13" s="875"/>
      <c r="Z13" s="876"/>
      <c r="AA13" s="876"/>
      <c r="AB13" s="876"/>
      <c r="AC13" s="876"/>
      <c r="AD13" s="59"/>
      <c r="AE13" s="59"/>
      <c r="AF13" s="875"/>
      <c r="AG13" s="875"/>
      <c r="AH13" s="875"/>
      <c r="AI13" s="875"/>
      <c r="AJ13" s="59"/>
      <c r="AK13" s="59"/>
      <c r="AL13" s="59"/>
      <c r="AM13" s="59"/>
      <c r="AN13" s="59"/>
      <c r="AO13" s="59"/>
      <c r="AP13" s="59"/>
      <c r="AQ13" s="59"/>
      <c r="AR13" s="59"/>
    </row>
    <row r="14" spans="2:60" ht="15.95" customHeight="1">
      <c r="B14" s="59"/>
      <c r="C14" s="804" t="s">
        <v>104</v>
      </c>
      <c r="D14" s="804"/>
      <c r="E14" s="804"/>
      <c r="F14" s="804" t="s">
        <v>105</v>
      </c>
      <c r="G14" s="804"/>
      <c r="H14" s="804"/>
      <c r="I14" s="804"/>
      <c r="J14" s="804" t="s">
        <v>114</v>
      </c>
      <c r="K14" s="804"/>
      <c r="L14" s="804"/>
      <c r="M14" s="804" t="s">
        <v>588</v>
      </c>
      <c r="N14" s="804"/>
      <c r="O14" s="804" t="s">
        <v>106</v>
      </c>
      <c r="P14" s="804"/>
      <c r="Q14" s="804" t="s">
        <v>887</v>
      </c>
      <c r="R14" s="804"/>
      <c r="S14" s="804" t="s">
        <v>113</v>
      </c>
      <c r="T14" s="804"/>
      <c r="U14" s="804"/>
      <c r="V14" s="804"/>
      <c r="W14" s="804" t="s">
        <v>114</v>
      </c>
      <c r="X14" s="804"/>
      <c r="Y14" s="804"/>
      <c r="Z14" s="804" t="s">
        <v>107</v>
      </c>
      <c r="AA14" s="804"/>
      <c r="AB14" s="804" t="s">
        <v>106</v>
      </c>
      <c r="AC14" s="804"/>
      <c r="AD14" s="804" t="s">
        <v>97</v>
      </c>
      <c r="AE14" s="804"/>
      <c r="AF14" s="804" t="s">
        <v>98</v>
      </c>
      <c r="AG14" s="804"/>
      <c r="AH14" s="804" t="s">
        <v>109</v>
      </c>
      <c r="AI14" s="804"/>
      <c r="AJ14" s="804"/>
      <c r="AK14" s="804" t="s">
        <v>965</v>
      </c>
      <c r="AL14" s="804"/>
      <c r="AM14" s="804"/>
      <c r="AN14" s="804" t="s">
        <v>108</v>
      </c>
      <c r="AO14" s="804"/>
      <c r="AP14" s="804"/>
      <c r="AQ14" s="804"/>
      <c r="AR14" s="59"/>
      <c r="AU14" s="804" t="s">
        <v>100</v>
      </c>
      <c r="AV14" s="804" t="s">
        <v>219</v>
      </c>
      <c r="AW14" s="804" t="s">
        <v>240</v>
      </c>
      <c r="AX14" s="804" t="s">
        <v>735</v>
      </c>
      <c r="AY14" s="804" t="s">
        <v>199</v>
      </c>
      <c r="AZ14" s="804" t="s">
        <v>141</v>
      </c>
      <c r="BA14" s="804" t="s">
        <v>116</v>
      </c>
      <c r="BB14" s="804" t="s">
        <v>1700</v>
      </c>
      <c r="BC14" s="804" t="s">
        <v>581</v>
      </c>
      <c r="BD14" s="804" t="s">
        <v>1699</v>
      </c>
      <c r="BE14" s="804" t="s">
        <v>1701</v>
      </c>
      <c r="BF14" s="804" t="s">
        <v>489</v>
      </c>
      <c r="BH14" s="804" t="s">
        <v>2025</v>
      </c>
    </row>
    <row r="15" spans="2:60" ht="15.95" customHeight="1" thickBot="1">
      <c r="B15" s="59"/>
      <c r="C15" s="805"/>
      <c r="D15" s="805"/>
      <c r="E15" s="805"/>
      <c r="F15" s="805"/>
      <c r="G15" s="805"/>
      <c r="H15" s="805"/>
      <c r="I15" s="805"/>
      <c r="J15" s="805"/>
      <c r="K15" s="805"/>
      <c r="L15" s="805"/>
      <c r="M15" s="805"/>
      <c r="N15" s="805"/>
      <c r="O15" s="805"/>
      <c r="P15" s="805"/>
      <c r="Q15" s="805"/>
      <c r="R15" s="805"/>
      <c r="S15" s="805"/>
      <c r="T15" s="805"/>
      <c r="U15" s="805"/>
      <c r="V15" s="805"/>
      <c r="W15" s="805"/>
      <c r="X15" s="805"/>
      <c r="Y15" s="805"/>
      <c r="Z15" s="805"/>
      <c r="AA15" s="805"/>
      <c r="AB15" s="805"/>
      <c r="AC15" s="805"/>
      <c r="AD15" s="805"/>
      <c r="AE15" s="805"/>
      <c r="AF15" s="805"/>
      <c r="AG15" s="805"/>
      <c r="AH15" s="805"/>
      <c r="AI15" s="805"/>
      <c r="AJ15" s="805"/>
      <c r="AK15" s="805"/>
      <c r="AL15" s="805"/>
      <c r="AM15" s="805"/>
      <c r="AN15" s="805"/>
      <c r="AO15" s="805"/>
      <c r="AP15" s="805"/>
      <c r="AQ15" s="805"/>
      <c r="AR15" s="59"/>
      <c r="AU15" s="805"/>
      <c r="AV15" s="805"/>
      <c r="AW15" s="805"/>
      <c r="AX15" s="805"/>
      <c r="AY15" s="805"/>
      <c r="AZ15" s="805"/>
      <c r="BA15" s="805"/>
      <c r="BB15" s="805"/>
      <c r="BC15" s="805"/>
      <c r="BD15" s="805"/>
      <c r="BE15" s="805"/>
      <c r="BF15" s="805"/>
      <c r="BH15" s="805"/>
    </row>
    <row r="16" spans="2:60" ht="15.95" customHeight="1">
      <c r="B16" s="830">
        <v>1</v>
      </c>
      <c r="C16" s="897"/>
      <c r="D16" s="898"/>
      <c r="E16" s="899"/>
      <c r="F16" s="866"/>
      <c r="G16" s="867"/>
      <c r="H16" s="867"/>
      <c r="I16" s="868"/>
      <c r="J16" s="1087"/>
      <c r="K16" s="1087"/>
      <c r="L16" s="1087"/>
      <c r="M16" s="1077"/>
      <c r="N16" s="1077"/>
      <c r="O16" s="1079" t="str">
        <f>IFERROR(IF(F16="","",INDEX(CMLIGHTBASE[Base Watt 1],MATCH(F16,CMLIGHTBASE[Base Desc 1],0))),"")</f>
        <v/>
      </c>
      <c r="P16" s="1080"/>
      <c r="Q16" s="1083"/>
      <c r="R16" s="1084"/>
      <c r="S16" s="885"/>
      <c r="T16" s="867"/>
      <c r="U16" s="867"/>
      <c r="V16" s="868"/>
      <c r="W16" s="1087"/>
      <c r="X16" s="1087"/>
      <c r="Y16" s="1087"/>
      <c r="Z16" s="1077"/>
      <c r="AA16" s="1077"/>
      <c r="AB16" s="1089"/>
      <c r="AC16" s="1089"/>
      <c r="AD16" s="1091"/>
      <c r="AE16" s="1091"/>
      <c r="AF16" s="1091"/>
      <c r="AG16" s="1093"/>
      <c r="AH16" s="918" t="str">
        <f>IFERROR(IF(OR(C16="",J16="",M16="",O16="",Q16="",W16="",Z16="",AB16="",AD16="",AF16=""),"",ROUND((AD16+AF16)*Z16,2)),"")</f>
        <v/>
      </c>
      <c r="AI16" s="1095"/>
      <c r="AJ16" s="1095"/>
      <c r="AK16" s="935" t="str">
        <f>IFERROR(IF(OR(C16="",F16="",J16="",M16="",O16="",Q16="",S16="",W16="",Z16="",AB16="",AD16="",AF16=""),"",ROUND(IF((M16*O16)&lt;=(Z16*AB16),"0",(AX16-AY16+BD16)*BE16),2)),"")</f>
        <v/>
      </c>
      <c r="AL16" s="1104"/>
      <c r="AM16" s="1104"/>
      <c r="AN16" s="1099" t="str">
        <f>IFERROR(IF(OR(C16="",F16="",J16="",M16="",O16="",Q16="",S16="",W16="",Z16="",AB16="",AD16="",AF16=""),"",IF(OR(ISNUMBER(SEARCH("~~",F16)),ISNUMBER(SEARCH("~~",S16))),"Invalid Fixture Type Selected",IF(BF16&lt;&gt;"",BF16,ROUND(MIN(AH16*0.75,AK16*INDEX(INCRATE[Electric],MATCH("CMLIGHT",INCRATE[Incentive Type]))),2)))),"")</f>
        <v/>
      </c>
      <c r="AO16" s="1099"/>
      <c r="AP16" s="1099"/>
      <c r="AQ16" s="1099"/>
      <c r="AR16" s="59"/>
      <c r="AU16" s="1103" t="str">
        <f>IF(F16="","",INDEX(CUSTLIGHTUNIT,MATCH(F16,CMELIGHTBASE1,0)))</f>
        <v/>
      </c>
      <c r="AV16" s="1103" t="str">
        <f>IFERROR(IF(OR(C16="",F16="",J16="",M16="",O16="",Q16="",S16="",W16="",Z16="",AB16="",AD16="",AF16=""),"",((((1+ELOSS)*((AK16*INDEX(ELECCB[NPV AEC $/kWh],MATCH(15,ELECCB[Year Number],0)))+(AW16*INDEX(ELECCB[NPV ACC+T&amp;D $/kW],MATCH(15,ELECCB[Year Number],0)))))+((1+GLOSS)*((BB16*INDEX(GASCB[NPV GAEC $/therm],MATCH(15,GASCB[Year Number],1))))))/AH16)),"")</f>
        <v/>
      </c>
      <c r="AW16" s="900" t="str">
        <f>IFERROR(IF(OR(C16="",F16="",J16="",M16="",O16="",Q16="",S16="",W16="",Z16="",AB16="",AD16="",AF16=""),"",IF(OR(ISNUMBER(SEARCH("Exterior",C16)),((M16*O16)&lt;=(Z16*AB16)),ISNUMBER(SEARCH("Exterior",S16)),ISNUMBER(SEARCH("Exterior",F16))),0,ROUND((((M16*O16)-(Z16*AB16))/1000)*INDEX(LightingWHF[Coincidence Factor CF],MATCH(M02S02F26,LightingWHF[Building/Space Type],0))*IF(OR(M02S02F32="AC with Natural Gas Heat",M02S02F32="AC with Electric Heat",M02S02F32="Heat Pump"),INDEX(LightingWHF[Waste Heat Cooling Demand WHFd],MATCH(M02S02F26,LightingWHF[Building/Space Type],0)),1),3))),"")</f>
        <v/>
      </c>
      <c r="AX16" s="811" t="str">
        <f>IF(OR(C16="",F16="",J16="",M16="",O16="",Q16="",S16="",W16="",Z16="",AB16="",AD16="",AF16=""),"",ROUND(M16*O16*Q16/1000,2))</f>
        <v/>
      </c>
      <c r="AY16" s="811" t="str">
        <f>IF(OR(C16="",F16="",J16="",M16="",O16="",Q16="",S16="",W16="",Z16="",AB16="",AD16="",AF16=""),"",ROUND(Z16*AB16*Q16/1000,2))</f>
        <v/>
      </c>
      <c r="AZ16" s="873" t="str">
        <f>IF(OR(C16="",F16="",J16="",M16="",O16="",Q16="",S16="",W16="",Z16="",AB16="",AD16="",AF16=""),"",IF(ISNUMBER(AN16),(CONCATENATE(INDEX(CMLIGHTBASE[Measure Number],MATCH(F16,CMLIGHTBASE[Base Desc 1],0)),INDEX(CMLIGHTEFF[Measure Number],MATCH(S16,CMLIGHTEFF[Eff Desc 1],0)))),IF(AK16=0,"","000001")))</f>
        <v/>
      </c>
      <c r="BA16" s="811" t="str">
        <f>IF(OR(C16="",F16="",J16="",M16="",O16="",Q16="",S16="",W16="",Z16="",AB16="",AD16="",AF16=""),"",IF((M16*O16)&lt;=(Z16*AB16),"0",AX16-AY16))</f>
        <v/>
      </c>
      <c r="BB16" s="1058" t="str">
        <f>IF(OR(C16="",F16="",J16="",M16="",O16="",Q16="",S16="",W16="",Z16="",AB16="",AD16="",AF16=""),"",IF(M02S02F46="Electric Only",0,IF(OR(ISNUMBER(SEARCH("Exterior",S16)),ISNUMBER(SEARCH("Exterior",C16)),ISNUMBER(SEARCH("Exterior",F16))),0,IF(OR(M02S02F32="AC with Natural Gas Heat",M02S02F32="Natural Gas Heat Only"),(((O16*M16-AB16*Z16)/1000)*Q16*-INDEX(LightingWHF[Waste Heat Gas Heating IFTherms],MATCH(M02S02F26,LightingWHF[Building/Space Type],0))),0))))</f>
        <v/>
      </c>
      <c r="BC16" s="1097" t="str">
        <f>IFERROR(AH16/M02S02F35/BA16,"")</f>
        <v/>
      </c>
      <c r="BD16" s="1058" t="str">
        <f>IF(OR(C16="",F16="",J16="",M16="",O16="",Q16="",S16="",W16="",Z16="",AB16="",AD16="",AF16=""),"",IF(M02S02F46="Gas Only",0,IF(OR(ISNUMBER(SEARCH("Exterior",S16)),ISNUMBER(SEARCH("Exterior",C16)),ISNUMBER(SEARCH("Exterior",F16))),0,IF(M02S02F32="Heat Pump",(((O16*M16-AB16*Z16)/1000)*Q16*-INDEX(LightingWHF[Waste Heat Electric Heat Pump Heating IFkWh],MATCH(M02S02F26,LightingWHF[Building/Space Type],0))),
IF(OR(M02S02F32="AC with Electric Heat",M02S02F32="Electric Heat Only"),(((O16*M16-AB16*Z16)/1000)*Q16*-INDEX(LightingWHF[Waste Heat Electric Resistance Heating IFkWh],MATCH(M02S02F26,LightingWHF[Building/Space Type],0))),0
)))))</f>
        <v/>
      </c>
      <c r="BE16" s="1058" t="str">
        <f>IF(OR(C16="",F16="",J16="",M16="",O16="",Q16="",S16="",W16="",Z16="",AB16="",AD16="",AF16=""),"",IF(M02S02F46="Gas Only",0,IF(OR(ISNUMBER(SEARCH("Exterior",S16)),ISNUMBER(SEARCH("Exterior",C16)),ISNUMBER(SEARCH("Exterior",F16))),1,IF(OR(M02S02F32="Heat Pump",M02S02F32="AC with Natural Gas Heat",M02S02F32="AC with Electric Heat"),(INDEX(LightingWHF[Waste Heat Cooling Energy WHFe],MATCH(M02S02F26,LightingWHF[Building/Space Type],0))),1))))</f>
        <v/>
      </c>
      <c r="BF16" s="1097" t="str">
        <f>IFERROR(IF((M16*O16)&lt;=(Z16*AB16),MEASURESAVE,IF(M02S02F35="",MEASURERATE,IF(AH16/M02S02F35/BA16&lt;1,MEASUREPAY,IF(AV16&lt;1,MEASURECB,IF(OR(ISBLANK(M02S02F26),ISBLANK(M02S02F32),ISBLANK(M02S02F46)),MEASUREBLDG,""))))),MEASURESUBMIT)</f>
        <v>Submit for Review</v>
      </c>
      <c r="BH16" s="1058" t="str">
        <f ca="1">IF(OR(C16="",F16="",J16="",M16="",O16="",Q16="",S16="",W16="",Z16="",AB16="",AD16="",AF16=""),"",IF('M01-S01'!$V$82&lt;TODAY(),0,IF(M02S02F46="Gas Only",0,IF(OR(AK16="",AK16&lt;0,AU16&lt;=AN16),0,MIN(AH16-AN16,ROUND(AN16*0.2,2))))))</f>
        <v/>
      </c>
    </row>
    <row r="17" spans="2:60" ht="15.95" customHeight="1">
      <c r="B17" s="830"/>
      <c r="C17" s="835"/>
      <c r="D17" s="836"/>
      <c r="E17" s="837"/>
      <c r="F17" s="835"/>
      <c r="G17" s="836"/>
      <c r="H17" s="836"/>
      <c r="I17" s="837"/>
      <c r="J17" s="1088"/>
      <c r="K17" s="1088"/>
      <c r="L17" s="1088"/>
      <c r="M17" s="1078"/>
      <c r="N17" s="1078"/>
      <c r="O17" s="1081"/>
      <c r="P17" s="1082"/>
      <c r="Q17" s="1085"/>
      <c r="R17" s="1086"/>
      <c r="S17" s="851"/>
      <c r="T17" s="836"/>
      <c r="U17" s="836"/>
      <c r="V17" s="837"/>
      <c r="W17" s="1088"/>
      <c r="X17" s="1088"/>
      <c r="Y17" s="1088"/>
      <c r="Z17" s="1078"/>
      <c r="AA17" s="1078"/>
      <c r="AB17" s="1090"/>
      <c r="AC17" s="1090"/>
      <c r="AD17" s="1092"/>
      <c r="AE17" s="1092"/>
      <c r="AF17" s="1092"/>
      <c r="AG17" s="1094"/>
      <c r="AH17" s="865"/>
      <c r="AI17" s="1096"/>
      <c r="AJ17" s="1096"/>
      <c r="AK17" s="936"/>
      <c r="AL17" s="1105"/>
      <c r="AM17" s="1105"/>
      <c r="AN17" s="1100"/>
      <c r="AO17" s="1100"/>
      <c r="AP17" s="1100"/>
      <c r="AQ17" s="1100"/>
      <c r="AR17" s="59"/>
      <c r="AU17" s="1102"/>
      <c r="AV17" s="1102"/>
      <c r="AW17" s="901"/>
      <c r="AX17" s="812"/>
      <c r="AY17" s="812"/>
      <c r="AZ17" s="874"/>
      <c r="BA17" s="812"/>
      <c r="BB17" s="996"/>
      <c r="BC17" s="1098"/>
      <c r="BD17" s="996"/>
      <c r="BE17" s="996"/>
      <c r="BF17" s="1098"/>
      <c r="BH17" s="996"/>
    </row>
    <row r="18" spans="2:60" ht="15.95" customHeight="1">
      <c r="B18" s="829">
        <v>2</v>
      </c>
      <c r="C18" s="1087"/>
      <c r="D18" s="1087"/>
      <c r="E18" s="1087"/>
      <c r="F18" s="866"/>
      <c r="G18" s="867"/>
      <c r="H18" s="867"/>
      <c r="I18" s="868"/>
      <c r="J18" s="1087"/>
      <c r="K18" s="1087"/>
      <c r="L18" s="1087"/>
      <c r="M18" s="1077"/>
      <c r="N18" s="1077"/>
      <c r="O18" s="1079" t="str">
        <f>IFERROR(IF(F18="","",INDEX(CMLIGHTBASE[Base Watt 1],MATCH(F18,CMLIGHTBASE[Base Desc 1],0))),"")</f>
        <v/>
      </c>
      <c r="P18" s="1080"/>
      <c r="Q18" s="1083"/>
      <c r="R18" s="1084"/>
      <c r="S18" s="885"/>
      <c r="T18" s="867"/>
      <c r="U18" s="867"/>
      <c r="V18" s="868"/>
      <c r="W18" s="1087"/>
      <c r="X18" s="1087"/>
      <c r="Y18" s="1087"/>
      <c r="Z18" s="1077"/>
      <c r="AA18" s="1077"/>
      <c r="AB18" s="1089"/>
      <c r="AC18" s="1089"/>
      <c r="AD18" s="1091"/>
      <c r="AE18" s="1091"/>
      <c r="AF18" s="1091"/>
      <c r="AG18" s="1093"/>
      <c r="AH18" s="918" t="str">
        <f t="shared" ref="AH18" si="0">IFERROR(IF(OR(C18="",J18="",M18="",O18="",Q18="",W18="",Z18="",AB18="",AD18="",AF18=""),"",ROUND((AD18+AF18)*Z18,2)),"")</f>
        <v/>
      </c>
      <c r="AI18" s="1095"/>
      <c r="AJ18" s="1095"/>
      <c r="AK18" s="904" t="str">
        <f t="shared" ref="AK18" si="1">IFERROR(IF(OR(C18="",F18="",J18="",M18="",O18="",Q18="",S18="",W18="",Z18="",AB18="",AD18="",AF18=""),"",ROUND(IF((M18*O18)&lt;=(Z18*AB18),"0",(AX18-AY18+BD18)*BE18),2)),"")</f>
        <v/>
      </c>
      <c r="AL18" s="905"/>
      <c r="AM18" s="969"/>
      <c r="AN18" s="1099" t="str">
        <f>IFERROR(IF(OR(C18="",F18="",J18="",M18="",O18="",Q18="",S18="",W18="",Z18="",AB18="",AD18="",AF18=""),"",IF(OR(ISNUMBER(SEARCH("~~",F18)),ISNUMBER(SEARCH("~~",S18))),"Invalid Fixture Type Selected",IF(BF18&lt;&gt;"",BF18,ROUND(MIN(AH18*0.75,AK18*INDEX(INCRATE[Electric],MATCH("CMLIGHT",INCRATE[Incentive Type]))),2)))),"")</f>
        <v/>
      </c>
      <c r="AO18" s="1099"/>
      <c r="AP18" s="1099"/>
      <c r="AQ18" s="1099"/>
      <c r="AR18" s="59"/>
      <c r="AU18" s="1103" t="str">
        <f>IF(F18="","",INDEX(CUSTLIGHTUNIT,MATCH(F18,CMELIGHTBASE1,0)))</f>
        <v/>
      </c>
      <c r="AV18" s="1101" t="str">
        <f>IFERROR(IF(OR(C18="",F18="",J18="",M18="",O18="",Q18="",S18="",W18="",Z18="",AB18="",AD18="",AF18=""),"",((((1+ELOSS)*((AK18*INDEX(ELECCB[NPV AEC $/kWh],MATCH(15,ELECCB[Year Number],0)))+(AW18*INDEX(ELECCB[NPV ACC+T&amp;D $/kW],MATCH(15,ELECCB[Year Number],0)))))+((1+GLOSS)*((BB18*INDEX(GASCB[NPV GAEC $/therm],MATCH(15,GASCB[Year Number],1))))))/AH18)),"")</f>
        <v/>
      </c>
      <c r="AW18" s="900" t="str">
        <f>IFERROR(IF(OR(C18="",F18="",J18="",M18="",O18="",Q18="",S18="",W18="",Z18="",AB18="",AD18="",AF18=""),"",IF(OR(ISNUMBER(SEARCH("Exterior",C18)),((M18*O18)&lt;=(Z18*AB18)),ISNUMBER(SEARCH("Exterior",S18)),ISNUMBER(SEARCH("Exterior",F18))),0,ROUND((((M18*O18)-(Z18*AB18))/1000)*INDEX(LightingWHF[Coincidence Factor CF],MATCH(M02S02F26,LightingWHF[Building/Space Type],0))*IF(OR(M02S02F32="AC with Natural Gas Heat",M02S02F32="AC with Electric Heat",M02S02F32="Heat Pump"),INDEX(LightingWHF[Waste Heat Cooling Demand WHFd],MATCH(M02S02F26,LightingWHF[Building/Space Type],0)),1),3))),"")</f>
        <v/>
      </c>
      <c r="AX18" s="811" t="str">
        <f t="shared" ref="AX18" si="2">IF(OR(C18="",F18="",J18="",M18="",O18="",Q18="",S18="",W18="",Z18="",AB18="",AD18="",AF18=""),"",ROUND(M18*O18*Q18/1000,2))</f>
        <v/>
      </c>
      <c r="AY18" s="811" t="str">
        <f t="shared" ref="AY18" si="3">IF(OR(C18="",F18="",J18="",M18="",O18="",Q18="",S18="",W18="",Z18="",AB18="",AD18="",AF18=""),"",ROUND(Z18*AB18*Q18/1000,2))</f>
        <v/>
      </c>
      <c r="AZ18" s="873" t="str">
        <f>IF(OR(C18="",F18="",J18="",M18="",O18="",Q18="",S18="",W18="",Z18="",AB18="",AD18="",AF18=""),"",IF(ISNUMBER(AN18),(CONCATENATE(INDEX(CMLIGHTBASE[Measure Number],MATCH(F18,CMLIGHTBASE[Base Desc 1],0)),INDEX(CMLIGHTEFF[Measure Number],MATCH(S18,CMLIGHTEFF[Eff Desc 1],0)))),IF(AK18=0,"","000001")))</f>
        <v/>
      </c>
      <c r="BA18" s="811" t="str">
        <f t="shared" ref="BA18" si="4">IF(OR(C18="",F18="",J18="",M18="",O18="",Q18="",S18="",W18="",Z18="",AB18="",AD18="",AF18=""),"",IF((M18*O18)&lt;=(Z18*AB18),"0",AX18-AY18))</f>
        <v/>
      </c>
      <c r="BB18" s="1058" t="str">
        <f>IF(OR(C18="",F18="",J18="",M18="",O18="",Q18="",S18="",W18="",Z18="",AB18="",AD18="",AF18=""),"",IF(M02S02F46="Electric Only",0,IF(OR(ISNUMBER(SEARCH("Exterior",S18)),ISNUMBER(SEARCH("Exterior",C18)),ISNUMBER(SEARCH("Exterior",F18))),0,IF(OR(M02S02F32="AC with Natural Gas Heat",M02S02F32="Natural Gas Heat Only"),(((O18*M18-AB18*Z18)/1000)*Q18*-INDEX(LightingWHF[Waste Heat Gas Heating IFTherms],MATCH(M02S02F26,LightingWHF[Building/Space Type],0))),0))))</f>
        <v/>
      </c>
      <c r="BC18" s="1097" t="str">
        <f>IFERROR(AH18/M02S02F35/BA18,"")</f>
        <v/>
      </c>
      <c r="BD18" s="1058" t="str">
        <f>IF(OR(C18="",F18="",J18="",M18="",O18="",Q18="",S18="",W18="",Z18="",AB18="",AD18="",AF18=""),"",IF(M02S02F46="Gas Only",0,IF(OR(ISNUMBER(SEARCH("Exterior",S18)),ISNUMBER(SEARCH("Exterior",C18)),ISNUMBER(SEARCH("Exterior",F18))),0,IF(M02S02F32="Heat Pump",(((O18*M18-AB18*Z18)/1000)*Q18*-INDEX(LightingWHF[Waste Heat Electric Heat Pump Heating IFkWh],MATCH(M02S02F26,LightingWHF[Building/Space Type],0))),
IF(OR(M02S02F32="AC with Electric Heat",M02S02F32="Electric Heat Only"),(((O18*M18-AB18*Z18)/1000)*Q18*-INDEX(LightingWHF[Waste Heat Electric Resistance Heating IFkWh],MATCH(M02S02F26,LightingWHF[Building/Space Type],0))),0
)))))</f>
        <v/>
      </c>
      <c r="BE18" s="1058" t="str">
        <f>IF(OR(C18="",F18="",J18="",M18="",O18="",Q18="",S18="",W18="",Z18="",AB18="",AD18="",AF18=""),"",IF(M02S02F46="Gas Only",0,IF(OR(ISNUMBER(SEARCH("Exterior",S18)),ISNUMBER(SEARCH("Exterior",C18)),ISNUMBER(SEARCH("Exterior",F18))),1,IF(OR(M02S02F32="Heat Pump",M02S02F32="AC with Natural Gas Heat",M02S02F32="AC with Electric Heat"),(INDEX(LightingWHF[Waste Heat Cooling Energy WHFe],MATCH(M02S02F26,LightingWHF[Building/Space Type],0))),1))))</f>
        <v/>
      </c>
      <c r="BF18" s="1097" t="str">
        <f>IFERROR(IF((M18*O18)&lt;=(Z18*AB18),MEASURESAVE,IF(M02S02F35="",MEASURERATE,IF(AH18/M02S02F35/BA18&lt;1,MEASUREPAY,IF(AV18&lt;1,MEASURECB,IF(OR(ISBLANK(M02S02F26),ISBLANK(M02S02F32),ISBLANK(M02S02F46)),MEASUREBLDG,""))))),MEASURESUBMIT)</f>
        <v>Submit for Review</v>
      </c>
      <c r="BH18" s="995" t="str">
        <f ca="1">IF(OR(C18="",F18="",J18="",M18="",O18="",Q18="",S18="",W18="",Z18="",AB18="",AD18="",AF18=""),"",IF('M01-S01'!$V$82&lt;TODAY(),0,IF(M02S02F46="Gas Only",0,IF(OR(AK18="",AK18&lt;0,AU18&lt;=AN18),0,MIN(AH18-AN18,ROUND(AN18*0.2,2))))))</f>
        <v/>
      </c>
    </row>
    <row r="19" spans="2:60" ht="15.95" customHeight="1">
      <c r="B19" s="829"/>
      <c r="C19" s="1088"/>
      <c r="D19" s="1088"/>
      <c r="E19" s="1088"/>
      <c r="F19" s="835"/>
      <c r="G19" s="836"/>
      <c r="H19" s="836"/>
      <c r="I19" s="837"/>
      <c r="J19" s="1088"/>
      <c r="K19" s="1088"/>
      <c r="L19" s="1088"/>
      <c r="M19" s="1078"/>
      <c r="N19" s="1078"/>
      <c r="O19" s="1081"/>
      <c r="P19" s="1082"/>
      <c r="Q19" s="1085"/>
      <c r="R19" s="1086"/>
      <c r="S19" s="851"/>
      <c r="T19" s="836"/>
      <c r="U19" s="836"/>
      <c r="V19" s="837"/>
      <c r="W19" s="1088"/>
      <c r="X19" s="1088"/>
      <c r="Y19" s="1088"/>
      <c r="Z19" s="1078"/>
      <c r="AA19" s="1078"/>
      <c r="AB19" s="1090"/>
      <c r="AC19" s="1090"/>
      <c r="AD19" s="1092"/>
      <c r="AE19" s="1092"/>
      <c r="AF19" s="1092"/>
      <c r="AG19" s="1094"/>
      <c r="AH19" s="865"/>
      <c r="AI19" s="1096"/>
      <c r="AJ19" s="1096"/>
      <c r="AK19" s="906"/>
      <c r="AL19" s="907"/>
      <c r="AM19" s="936"/>
      <c r="AN19" s="1100"/>
      <c r="AO19" s="1100"/>
      <c r="AP19" s="1100"/>
      <c r="AQ19" s="1100"/>
      <c r="AR19" s="59"/>
      <c r="AU19" s="1102"/>
      <c r="AV19" s="1102"/>
      <c r="AW19" s="901"/>
      <c r="AX19" s="812"/>
      <c r="AY19" s="812"/>
      <c r="AZ19" s="874"/>
      <c r="BA19" s="812"/>
      <c r="BB19" s="996"/>
      <c r="BC19" s="1098"/>
      <c r="BD19" s="996"/>
      <c r="BE19" s="996"/>
      <c r="BF19" s="1098"/>
      <c r="BH19" s="996"/>
    </row>
    <row r="20" spans="2:60" ht="15.95" customHeight="1">
      <c r="B20" s="829">
        <v>3</v>
      </c>
      <c r="C20" s="1087"/>
      <c r="D20" s="1087"/>
      <c r="E20" s="1087"/>
      <c r="F20" s="866"/>
      <c r="G20" s="867"/>
      <c r="H20" s="867"/>
      <c r="I20" s="868"/>
      <c r="J20" s="1087"/>
      <c r="K20" s="1087"/>
      <c r="L20" s="1087"/>
      <c r="M20" s="1077"/>
      <c r="N20" s="1077"/>
      <c r="O20" s="1079" t="str">
        <f>IFERROR(IF(F20="","",INDEX(CMLIGHTBASE[Base Watt 1],MATCH(F20,CMLIGHTBASE[Base Desc 1],0))),"")</f>
        <v/>
      </c>
      <c r="P20" s="1080"/>
      <c r="Q20" s="1083"/>
      <c r="R20" s="1084"/>
      <c r="S20" s="885"/>
      <c r="T20" s="867"/>
      <c r="U20" s="867"/>
      <c r="V20" s="868"/>
      <c r="W20" s="1087"/>
      <c r="X20" s="1087"/>
      <c r="Y20" s="1087"/>
      <c r="Z20" s="1077"/>
      <c r="AA20" s="1077"/>
      <c r="AB20" s="1089"/>
      <c r="AC20" s="1089"/>
      <c r="AD20" s="1091"/>
      <c r="AE20" s="1091"/>
      <c r="AF20" s="1091"/>
      <c r="AG20" s="1093"/>
      <c r="AH20" s="918" t="str">
        <f t="shared" ref="AH20" si="5">IFERROR(IF(OR(C20="",J20="",M20="",O20="",Q20="",W20="",Z20="",AB20="",AD20="",AF20=""),"",ROUND((AD20+AF20)*Z20,2)),"")</f>
        <v/>
      </c>
      <c r="AI20" s="1095"/>
      <c r="AJ20" s="1095"/>
      <c r="AK20" s="904" t="str">
        <f t="shared" ref="AK20" si="6">IFERROR(IF(OR(C20="",F20="",J20="",M20="",O20="",Q20="",S20="",W20="",Z20="",AB20="",AD20="",AF20=""),"",ROUND(IF((M20*O20)&lt;=(Z20*AB20),"0",(AX20-AY20+BD20)*BE20),2)),"")</f>
        <v/>
      </c>
      <c r="AL20" s="905"/>
      <c r="AM20" s="969"/>
      <c r="AN20" s="1099" t="str">
        <f>IFERROR(IF(OR(C20="",F20="",J20="",M20="",O20="",Q20="",S20="",W20="",Z20="",AB20="",AD20="",AF20=""),"",IF(OR(ISNUMBER(SEARCH("~~",F20)),ISNUMBER(SEARCH("~~",S20))),"Invalid Fixture Type Selected",IF(BF20&lt;&gt;"",BF20,ROUND(MIN(AH20*0.75,AK20*INDEX(INCRATE[Electric],MATCH("CMLIGHT",INCRATE[Incentive Type]))),2)))),"")</f>
        <v/>
      </c>
      <c r="AO20" s="1099"/>
      <c r="AP20" s="1099"/>
      <c r="AQ20" s="1099"/>
      <c r="AR20" s="59"/>
      <c r="AU20" s="1103" t="str">
        <f>IF(F20="","",INDEX(CUSTLIGHTUNIT,MATCH(F20,CMELIGHTBASE1,0)))</f>
        <v/>
      </c>
      <c r="AV20" s="1101" t="str">
        <f>IFERROR(IF(OR(C20="",F20="",J20="",M20="",O20="",Q20="",S20="",W20="",Z20="",AB20="",AD20="",AF20=""),"",((((1+ELOSS)*((AK20*INDEX(ELECCB[NPV AEC $/kWh],MATCH(15,ELECCB[Year Number],0)))+(AW20*INDEX(ELECCB[NPV ACC+T&amp;D $/kW],MATCH(15,ELECCB[Year Number],0)))))+((1+GLOSS)*((BB20*INDEX(GASCB[NPV GAEC $/therm],MATCH(15,GASCB[Year Number],1))))))/AH20)),"")</f>
        <v/>
      </c>
      <c r="AW20" s="900" t="str">
        <f>IFERROR(IF(OR(C20="",F20="",J20="",M20="",O20="",Q20="",S20="",W20="",Z20="",AB20="",AD20="",AF20=""),"",IF(OR(ISNUMBER(SEARCH("Exterior",C20)),((M20*O20)&lt;=(Z20*AB20)),ISNUMBER(SEARCH("Exterior",S20)),ISNUMBER(SEARCH("Exterior",F20))),0,ROUND((((M20*O20)-(Z20*AB20))/1000)*INDEX(LightingWHF[Coincidence Factor CF],MATCH(M02S02F26,LightingWHF[Building/Space Type],0))*IF(OR(M02S02F32="AC with Natural Gas Heat",M02S02F32="AC with Electric Heat",M02S02F32="Heat Pump"),INDEX(LightingWHF[Waste Heat Cooling Demand WHFd],MATCH(M02S02F26,LightingWHF[Building/Space Type],0)),1),3))),"")</f>
        <v/>
      </c>
      <c r="AX20" s="811" t="str">
        <f t="shared" ref="AX20" si="7">IF(OR(C20="",F20="",J20="",M20="",O20="",Q20="",S20="",W20="",Z20="",AB20="",AD20="",AF20=""),"",ROUND(M20*O20*Q20/1000,2))</f>
        <v/>
      </c>
      <c r="AY20" s="811" t="str">
        <f t="shared" ref="AY20" si="8">IF(OR(C20="",F20="",J20="",M20="",O20="",Q20="",S20="",W20="",Z20="",AB20="",AD20="",AF20=""),"",ROUND(Z20*AB20*Q20/1000,2))</f>
        <v/>
      </c>
      <c r="AZ20" s="873" t="str">
        <f>IF(OR(C20="",F20="",J20="",M20="",O20="",Q20="",S20="",W20="",Z20="",AB20="",AD20="",AF20=""),"",IF(ISNUMBER(AN20),(CONCATENATE(INDEX(CMLIGHTBASE[Measure Number],MATCH(F20,CMLIGHTBASE[Base Desc 1],0)),INDEX(CMLIGHTEFF[Measure Number],MATCH(S20,CMLIGHTEFF[Eff Desc 1],0)))),IF(AK20=0,"","000001")))</f>
        <v/>
      </c>
      <c r="BA20" s="811" t="str">
        <f t="shared" ref="BA20" si="9">IF(OR(C20="",F20="",J20="",M20="",O20="",Q20="",S20="",W20="",Z20="",AB20="",AD20="",AF20=""),"",IF((M20*O20)&lt;=(Z20*AB20),"0",AX20-AY20))</f>
        <v/>
      </c>
      <c r="BB20" s="1058" t="str">
        <f>IF(OR(C20="",F20="",J20="",M20="",O20="",Q20="",S20="",W20="",Z20="",AB20="",AD20="",AF20=""),"",IF(M02S02F46="Electric Only",0,IF(OR(ISNUMBER(SEARCH("Exterior",S20)),ISNUMBER(SEARCH("Exterior",C20)),ISNUMBER(SEARCH("Exterior",F20))),0,IF(OR(M02S02F32="AC with Natural Gas Heat",M02S02F32="Natural Gas Heat Only"),(((O20*M20-AB20*Z20)/1000)*Q20*-INDEX(LightingWHF[Waste Heat Gas Heating IFTherms],MATCH(M02S02F26,LightingWHF[Building/Space Type],0))),0))))</f>
        <v/>
      </c>
      <c r="BC20" s="1097" t="str">
        <f>IFERROR(AH20/M02S02F35/BA20,"")</f>
        <v/>
      </c>
      <c r="BD20" s="1058" t="str">
        <f>IF(OR(C20="",F20="",J20="",M20="",O20="",Q20="",S20="",W20="",Z20="",AB20="",AD20="",AF20=""),"",IF(M02S02F46="Gas Only",0,IF(OR(ISNUMBER(SEARCH("Exterior",S20)),ISNUMBER(SEARCH("Exterior",C20)),ISNUMBER(SEARCH("Exterior",F20))),0,IF(M02S02F32="Heat Pump",(((O20*M20-AB20*Z20)/1000)*Q20*-INDEX(LightingWHF[Waste Heat Electric Heat Pump Heating IFkWh],MATCH(M02S02F26,LightingWHF[Building/Space Type],0))),
IF(OR(M02S02F32="AC with Electric Heat",M02S02F32="Electric Heat Only"),(((O20*M20-AB20*Z20)/1000)*Q20*-INDEX(LightingWHF[Waste Heat Electric Resistance Heating IFkWh],MATCH(M02S02F26,LightingWHF[Building/Space Type],0))),0
)))))</f>
        <v/>
      </c>
      <c r="BE20" s="1058" t="str">
        <f>IF(OR(C20="",F20="",J20="",M20="",O20="",Q20="",S20="",W20="",Z20="",AB20="",AD20="",AF20=""),"",IF(M02S02F46="Gas Only",0,IF(OR(ISNUMBER(SEARCH("Exterior",S20)),ISNUMBER(SEARCH("Exterior",C20)),ISNUMBER(SEARCH("Exterior",F20))),1,IF(OR(M02S02F32="Heat Pump",M02S02F32="AC with Natural Gas Heat",M02S02F32="AC with Electric Heat"),(INDEX(LightingWHF[Waste Heat Cooling Energy WHFe],MATCH(M02S02F26,LightingWHF[Building/Space Type],0))),1))))</f>
        <v/>
      </c>
      <c r="BF20" s="1097" t="str">
        <f>IFERROR(IF((M20*O20)&lt;=(Z20*AB20),MEASURESAVE,IF(M02S02F35="",MEASURERATE,IF(AH20/M02S02F35/BA20&lt;1,MEASUREPAY,IF(AV20&lt;1,MEASURECB,IF(OR(ISBLANK(M02S02F26),ISBLANK(M02S02F32),ISBLANK(M02S02F46)),MEASUREBLDG,""))))),MEASURESUBMIT)</f>
        <v>Submit for Review</v>
      </c>
      <c r="BH20" s="995" t="str">
        <f ca="1">IF(OR(C20="",F20="",J20="",M20="",O20="",Q20="",S20="",W20="",Z20="",AB20="",AD20="",AF20=""),"",IF('M01-S01'!$V$82&lt;TODAY(),0,IF(M02S02F46="Gas Only",0,IF(OR(AK20="",AK20&lt;0,AU20&lt;=AN20),0,MIN(AH20-AN20,ROUND(AN20*0.2,2))))))</f>
        <v/>
      </c>
    </row>
    <row r="21" spans="2:60" ht="15.95" customHeight="1">
      <c r="B21" s="829"/>
      <c r="C21" s="1088"/>
      <c r="D21" s="1088"/>
      <c r="E21" s="1088"/>
      <c r="F21" s="835"/>
      <c r="G21" s="836"/>
      <c r="H21" s="836"/>
      <c r="I21" s="837"/>
      <c r="J21" s="1088"/>
      <c r="K21" s="1088"/>
      <c r="L21" s="1088"/>
      <c r="M21" s="1078"/>
      <c r="N21" s="1078"/>
      <c r="O21" s="1081"/>
      <c r="P21" s="1082"/>
      <c r="Q21" s="1085"/>
      <c r="R21" s="1086"/>
      <c r="S21" s="851"/>
      <c r="T21" s="836"/>
      <c r="U21" s="836"/>
      <c r="V21" s="837"/>
      <c r="W21" s="1088"/>
      <c r="X21" s="1088"/>
      <c r="Y21" s="1088"/>
      <c r="Z21" s="1078"/>
      <c r="AA21" s="1078"/>
      <c r="AB21" s="1090"/>
      <c r="AC21" s="1090"/>
      <c r="AD21" s="1092"/>
      <c r="AE21" s="1092"/>
      <c r="AF21" s="1092"/>
      <c r="AG21" s="1094"/>
      <c r="AH21" s="865"/>
      <c r="AI21" s="1096"/>
      <c r="AJ21" s="1096"/>
      <c r="AK21" s="906"/>
      <c r="AL21" s="907"/>
      <c r="AM21" s="936"/>
      <c r="AN21" s="1100"/>
      <c r="AO21" s="1100"/>
      <c r="AP21" s="1100"/>
      <c r="AQ21" s="1100"/>
      <c r="AR21" s="59"/>
      <c r="AU21" s="1102"/>
      <c r="AV21" s="1102"/>
      <c r="AW21" s="901"/>
      <c r="AX21" s="812"/>
      <c r="AY21" s="812"/>
      <c r="AZ21" s="874"/>
      <c r="BA21" s="812"/>
      <c r="BB21" s="996"/>
      <c r="BC21" s="1098"/>
      <c r="BD21" s="996"/>
      <c r="BE21" s="996"/>
      <c r="BF21" s="1098"/>
      <c r="BH21" s="996"/>
    </row>
    <row r="22" spans="2:60" ht="15.95" customHeight="1">
      <c r="B22" s="829">
        <v>4</v>
      </c>
      <c r="C22" s="1087"/>
      <c r="D22" s="1087"/>
      <c r="E22" s="1087"/>
      <c r="F22" s="866"/>
      <c r="G22" s="867"/>
      <c r="H22" s="867"/>
      <c r="I22" s="868"/>
      <c r="J22" s="1087"/>
      <c r="K22" s="1087"/>
      <c r="L22" s="1087"/>
      <c r="M22" s="1077"/>
      <c r="N22" s="1077"/>
      <c r="O22" s="1079" t="str">
        <f>IFERROR(IF(F22="","",INDEX(CMLIGHTBASE[Base Watt 1],MATCH(F22,CMLIGHTBASE[Base Desc 1],0))),"")</f>
        <v/>
      </c>
      <c r="P22" s="1080"/>
      <c r="Q22" s="1083"/>
      <c r="R22" s="1084"/>
      <c r="S22" s="885"/>
      <c r="T22" s="867"/>
      <c r="U22" s="867"/>
      <c r="V22" s="868"/>
      <c r="W22" s="1087"/>
      <c r="X22" s="1087"/>
      <c r="Y22" s="1087"/>
      <c r="Z22" s="1077"/>
      <c r="AA22" s="1077"/>
      <c r="AB22" s="1089"/>
      <c r="AC22" s="1089"/>
      <c r="AD22" s="1091"/>
      <c r="AE22" s="1091"/>
      <c r="AF22" s="1091"/>
      <c r="AG22" s="1093"/>
      <c r="AH22" s="918" t="str">
        <f t="shared" ref="AH22" si="10">IFERROR(IF(OR(C22="",J22="",M22="",O22="",Q22="",W22="",Z22="",AB22="",AD22="",AF22=""),"",ROUND((AD22+AF22)*Z22,2)),"")</f>
        <v/>
      </c>
      <c r="AI22" s="1095"/>
      <c r="AJ22" s="1095"/>
      <c r="AK22" s="904" t="str">
        <f t="shared" ref="AK22" si="11">IFERROR(IF(OR(C22="",F22="",J22="",M22="",O22="",Q22="",S22="",W22="",Z22="",AB22="",AD22="",AF22=""),"",ROUND(IF((M22*O22)&lt;=(Z22*AB22),"0",(AX22-AY22+BD22)*BE22),2)),"")</f>
        <v/>
      </c>
      <c r="AL22" s="905"/>
      <c r="AM22" s="969"/>
      <c r="AN22" s="1099" t="str">
        <f>IFERROR(IF(OR(C22="",F22="",J22="",M22="",O22="",Q22="",S22="",W22="",Z22="",AB22="",AD22="",AF22=""),"",IF(OR(ISNUMBER(SEARCH("~~",F22)),ISNUMBER(SEARCH("~~",S22))),"Invalid Fixture Type Selected",IF(BF22&lt;&gt;"",BF22,ROUND(MIN(AH22*0.75,AK22*INDEX(INCRATE[Electric],MATCH("CMLIGHT",INCRATE[Incentive Type]))),2)))),"")</f>
        <v/>
      </c>
      <c r="AO22" s="1099"/>
      <c r="AP22" s="1099"/>
      <c r="AQ22" s="1099"/>
      <c r="AR22" s="59"/>
      <c r="AU22" s="1103" t="str">
        <f>IF(F22="","",INDEX(CUSTLIGHTUNIT,MATCH(F22,CMELIGHTBASE1,0)))</f>
        <v/>
      </c>
      <c r="AV22" s="1101" t="str">
        <f>IFERROR(IF(OR(C22="",F22="",J22="",M22="",O22="",Q22="",S22="",W22="",Z22="",AB22="",AD22="",AF22=""),"",((((1+ELOSS)*((AK22*INDEX(ELECCB[NPV AEC $/kWh],MATCH(15,ELECCB[Year Number],0)))+(AW22*INDEX(ELECCB[NPV ACC+T&amp;D $/kW],MATCH(15,ELECCB[Year Number],0)))))+((1+GLOSS)*((BB22*INDEX(GASCB[NPV GAEC $/therm],MATCH(15,GASCB[Year Number],1))))))/AH22)),"")</f>
        <v/>
      </c>
      <c r="AW22" s="900" t="str">
        <f>IFERROR(IF(OR(C22="",F22="",J22="",M22="",O22="",Q22="",S22="",W22="",Z22="",AB22="",AD22="",AF22=""),"",IF(OR(ISNUMBER(SEARCH("Exterior",C22)),((M22*O22)&lt;=(Z22*AB22)),ISNUMBER(SEARCH("Exterior",S22)),ISNUMBER(SEARCH("Exterior",F22))),0,ROUND((((M22*O22)-(Z22*AB22))/1000)*INDEX(LightingWHF[Coincidence Factor CF],MATCH(M02S02F26,LightingWHF[Building/Space Type],0))*IF(OR(M02S02F32="AC with Natural Gas Heat",M02S02F32="AC with Electric Heat",M02S02F32="Heat Pump"),INDEX(LightingWHF[Waste Heat Cooling Demand WHFd],MATCH(M02S02F26,LightingWHF[Building/Space Type],0)),1),3))),"")</f>
        <v/>
      </c>
      <c r="AX22" s="811" t="str">
        <f t="shared" ref="AX22" si="12">IF(OR(C22="",F22="",J22="",M22="",O22="",Q22="",S22="",W22="",Z22="",AB22="",AD22="",AF22=""),"",ROUND(M22*O22*Q22/1000,2))</f>
        <v/>
      </c>
      <c r="AY22" s="811" t="str">
        <f t="shared" ref="AY22" si="13">IF(OR(C22="",F22="",J22="",M22="",O22="",Q22="",S22="",W22="",Z22="",AB22="",AD22="",AF22=""),"",ROUND(Z22*AB22*Q22/1000,2))</f>
        <v/>
      </c>
      <c r="AZ22" s="873" t="str">
        <f>IF(OR(C22="",F22="",J22="",M22="",O22="",Q22="",S22="",W22="",Z22="",AB22="",AD22="",AF22=""),"",IF(ISNUMBER(AN22),(CONCATENATE(INDEX(CMLIGHTBASE[Measure Number],MATCH(F22,CMLIGHTBASE[Base Desc 1],0)),INDEX(CMLIGHTEFF[Measure Number],MATCH(S22,CMLIGHTEFF[Eff Desc 1],0)))),IF(AK22=0,"","000001")))</f>
        <v/>
      </c>
      <c r="BA22" s="811" t="str">
        <f t="shared" ref="BA22" si="14">IF(OR(C22="",F22="",J22="",M22="",O22="",Q22="",S22="",W22="",Z22="",AB22="",AD22="",AF22=""),"",IF((M22*O22)&lt;=(Z22*AB22),"0",AX22-AY22))</f>
        <v/>
      </c>
      <c r="BB22" s="1058" t="str">
        <f>IF(OR(C22="",F22="",J22="",M22="",O22="",Q22="",S22="",W22="",Z22="",AB22="",AD22="",AF22=""),"",IF(M02S02F46="Electric Only",0,IF(OR(ISNUMBER(SEARCH("Exterior",S22)),ISNUMBER(SEARCH("Exterior",C22)),ISNUMBER(SEARCH("Exterior",F22))),0,IF(OR(M02S02F32="AC with Natural Gas Heat",M02S02F32="Natural Gas Heat Only"),(((O22*M22-AB22*Z22)/1000)*Q22*-INDEX(LightingWHF[Waste Heat Gas Heating IFTherms],MATCH(M02S02F26,LightingWHF[Building/Space Type],0))),0))))</f>
        <v/>
      </c>
      <c r="BC22" s="1097" t="str">
        <f>IFERROR(AH22/M02S02F35/BA22,"")</f>
        <v/>
      </c>
      <c r="BD22" s="1058" t="str">
        <f>IF(OR(C22="",F22="",J22="",M22="",O22="",Q22="",S22="",W22="",Z22="",AB22="",AD22="",AF22=""),"",IF(M02S02F46="Gas Only",0,IF(OR(ISNUMBER(SEARCH("Exterior",S22)),ISNUMBER(SEARCH("Exterior",C22)),ISNUMBER(SEARCH("Exterior",F22))),0,IF(M02S02F32="Heat Pump",(((O22*M22-AB22*Z22)/1000)*Q22*-INDEX(LightingWHF[Waste Heat Electric Heat Pump Heating IFkWh],MATCH(M02S02F26,LightingWHF[Building/Space Type],0))),
IF(OR(M02S02F32="AC with Electric Heat",M02S02F32="Electric Heat Only"),(((O22*M22-AB22*Z22)/1000)*Q22*-INDEX(LightingWHF[Waste Heat Electric Resistance Heating IFkWh],MATCH(M02S02F26,LightingWHF[Building/Space Type],0))),0
)))))</f>
        <v/>
      </c>
      <c r="BE22" s="1058" t="str">
        <f>IF(OR(C22="",F22="",J22="",M22="",O22="",Q22="",S22="",W22="",Z22="",AB22="",AD22="",AF22=""),"",IF(M02S02F46="Gas Only",0,IF(OR(ISNUMBER(SEARCH("Exterior",S22)),ISNUMBER(SEARCH("Exterior",C22)),ISNUMBER(SEARCH("Exterior",F22))),1,IF(OR(M02S02F32="Heat Pump",M02S02F32="AC with Natural Gas Heat",M02S02F32="AC with Electric Heat"),(INDEX(LightingWHF[Waste Heat Cooling Energy WHFe],MATCH(M02S02F26,LightingWHF[Building/Space Type],0))),1))))</f>
        <v/>
      </c>
      <c r="BF22" s="1097" t="str">
        <f>IFERROR(IF((M22*O22)&lt;=(Z22*AB22),MEASURESAVE,IF(M02S02F35="",MEASURERATE,IF(AH22/M02S02F35/BA22&lt;1,MEASUREPAY,IF(AV22&lt;1,MEASURECB,IF(OR(ISBLANK(M02S02F26),ISBLANK(M02S02F32),ISBLANK(M02S02F46)),MEASUREBLDG,""))))),MEASURESUBMIT)</f>
        <v>Submit for Review</v>
      </c>
      <c r="BH22" s="995" t="str">
        <f ca="1">IF(OR(C22="",F22="",J22="",M22="",O22="",Q22="",S22="",W22="",Z22="",AB22="",AD22="",AF22=""),"",IF('M01-S01'!$V$82&lt;TODAY(),0,IF(M02S02F46="Gas Only",0,IF(OR(AK22="",AK22&lt;0,AU22&lt;=AN22),0,MIN(AH22-AN22,ROUND(AN22*0.2,2))))))</f>
        <v/>
      </c>
    </row>
    <row r="23" spans="2:60" ht="15.95" customHeight="1">
      <c r="B23" s="829"/>
      <c r="C23" s="1088"/>
      <c r="D23" s="1088"/>
      <c r="E23" s="1088"/>
      <c r="F23" s="835"/>
      <c r="G23" s="836"/>
      <c r="H23" s="836"/>
      <c r="I23" s="837"/>
      <c r="J23" s="1088"/>
      <c r="K23" s="1088"/>
      <c r="L23" s="1088"/>
      <c r="M23" s="1078"/>
      <c r="N23" s="1078"/>
      <c r="O23" s="1081"/>
      <c r="P23" s="1082"/>
      <c r="Q23" s="1085"/>
      <c r="R23" s="1086"/>
      <c r="S23" s="851"/>
      <c r="T23" s="836"/>
      <c r="U23" s="836"/>
      <c r="V23" s="837"/>
      <c r="W23" s="1088"/>
      <c r="X23" s="1088"/>
      <c r="Y23" s="1088"/>
      <c r="Z23" s="1078"/>
      <c r="AA23" s="1078"/>
      <c r="AB23" s="1090"/>
      <c r="AC23" s="1090"/>
      <c r="AD23" s="1092"/>
      <c r="AE23" s="1092"/>
      <c r="AF23" s="1092"/>
      <c r="AG23" s="1094"/>
      <c r="AH23" s="865"/>
      <c r="AI23" s="1096"/>
      <c r="AJ23" s="1096"/>
      <c r="AK23" s="906"/>
      <c r="AL23" s="907"/>
      <c r="AM23" s="936"/>
      <c r="AN23" s="1100"/>
      <c r="AO23" s="1100"/>
      <c r="AP23" s="1100"/>
      <c r="AQ23" s="1100"/>
      <c r="AR23" s="59"/>
      <c r="AU23" s="1102"/>
      <c r="AV23" s="1102"/>
      <c r="AW23" s="901"/>
      <c r="AX23" s="812"/>
      <c r="AY23" s="812"/>
      <c r="AZ23" s="874"/>
      <c r="BA23" s="812"/>
      <c r="BB23" s="996"/>
      <c r="BC23" s="1098"/>
      <c r="BD23" s="996"/>
      <c r="BE23" s="996"/>
      <c r="BF23" s="1098"/>
      <c r="BH23" s="996"/>
    </row>
    <row r="24" spans="2:60" ht="15.95" customHeight="1">
      <c r="B24" s="829">
        <v>5</v>
      </c>
      <c r="C24" s="1087"/>
      <c r="D24" s="1087"/>
      <c r="E24" s="1087"/>
      <c r="F24" s="866"/>
      <c r="G24" s="867"/>
      <c r="H24" s="867"/>
      <c r="I24" s="868"/>
      <c r="J24" s="1087"/>
      <c r="K24" s="1087"/>
      <c r="L24" s="1087"/>
      <c r="M24" s="1077"/>
      <c r="N24" s="1077"/>
      <c r="O24" s="1079" t="str">
        <f>IFERROR(IF(F24="","",INDEX(CMLIGHTBASE[Base Watt 1],MATCH(F24,CMLIGHTBASE[Base Desc 1],0))),"")</f>
        <v/>
      </c>
      <c r="P24" s="1080"/>
      <c r="Q24" s="1083"/>
      <c r="R24" s="1084"/>
      <c r="S24" s="885"/>
      <c r="T24" s="867"/>
      <c r="U24" s="867"/>
      <c r="V24" s="868"/>
      <c r="W24" s="1087"/>
      <c r="X24" s="1087"/>
      <c r="Y24" s="1087"/>
      <c r="Z24" s="1077"/>
      <c r="AA24" s="1077"/>
      <c r="AB24" s="1089"/>
      <c r="AC24" s="1089"/>
      <c r="AD24" s="1091"/>
      <c r="AE24" s="1091"/>
      <c r="AF24" s="1091"/>
      <c r="AG24" s="1093"/>
      <c r="AH24" s="918" t="str">
        <f t="shared" ref="AH24" si="15">IFERROR(IF(OR(C24="",J24="",M24="",O24="",Q24="",W24="",Z24="",AB24="",AD24="",AF24=""),"",ROUND((AD24+AF24)*Z24,2)),"")</f>
        <v/>
      </c>
      <c r="AI24" s="1095"/>
      <c r="AJ24" s="1095"/>
      <c r="AK24" s="904" t="str">
        <f t="shared" ref="AK24" si="16">IFERROR(IF(OR(C24="",F24="",J24="",M24="",O24="",Q24="",S24="",W24="",Z24="",AB24="",AD24="",AF24=""),"",ROUND(IF((M24*O24)&lt;=(Z24*AB24),"0",(AX24-AY24+BD24)*BE24),2)),"")</f>
        <v/>
      </c>
      <c r="AL24" s="905"/>
      <c r="AM24" s="969"/>
      <c r="AN24" s="1099" t="str">
        <f>IFERROR(IF(OR(C24="",F24="",J24="",M24="",O24="",Q24="",S24="",W24="",Z24="",AB24="",AD24="",AF24=""),"",IF(OR(ISNUMBER(SEARCH("~~",F24)),ISNUMBER(SEARCH("~~",S24))),"Invalid Fixture Type Selected",IF(BF24&lt;&gt;"",BF24,ROUND(MIN(AH24*0.75,AK24*INDEX(INCRATE[Electric],MATCH("CMLIGHT",INCRATE[Incentive Type]))),2)))),"")</f>
        <v/>
      </c>
      <c r="AO24" s="1099"/>
      <c r="AP24" s="1099"/>
      <c r="AQ24" s="1099"/>
      <c r="AR24" s="59"/>
      <c r="AU24" s="1103" t="str">
        <f>IF(F24="","",INDEX(CUSTLIGHTUNIT,MATCH(F24,CMELIGHTBASE1,0)))</f>
        <v/>
      </c>
      <c r="AV24" s="1101" t="str">
        <f>IFERROR(IF(OR(C24="",F24="",J24="",M24="",O24="",Q24="",S24="",W24="",Z24="",AB24="",AD24="",AF24=""),"",((((1+ELOSS)*((AK24*INDEX(ELECCB[NPV AEC $/kWh],MATCH(15,ELECCB[Year Number],0)))+(AW24*INDEX(ELECCB[NPV ACC+T&amp;D $/kW],MATCH(15,ELECCB[Year Number],0)))))+((1+GLOSS)*((BB24*INDEX(GASCB[NPV GAEC $/therm],MATCH(15,GASCB[Year Number],1))))))/AH24)),"")</f>
        <v/>
      </c>
      <c r="AW24" s="900" t="str">
        <f>IFERROR(IF(OR(C24="",F24="",J24="",M24="",O24="",Q24="",S24="",W24="",Z24="",AB24="",AD24="",AF24=""),"",IF(OR(ISNUMBER(SEARCH("Exterior",C24)),((M24*O24)&lt;=(Z24*AB24)),ISNUMBER(SEARCH("Exterior",S24)),ISNUMBER(SEARCH("Exterior",F24))),0,ROUND((((M24*O24)-(Z24*AB24))/1000)*INDEX(LightingWHF[Coincidence Factor CF],MATCH(M02S02F26,LightingWHF[Building/Space Type],0))*IF(OR(M02S02F32="AC with Natural Gas Heat",M02S02F32="AC with Electric Heat",M02S02F32="Heat Pump"),INDEX(LightingWHF[Waste Heat Cooling Demand WHFd],MATCH(M02S02F26,LightingWHF[Building/Space Type],0)),1),3))),"")</f>
        <v/>
      </c>
      <c r="AX24" s="811" t="str">
        <f t="shared" ref="AX24" si="17">IF(OR(C24="",F24="",J24="",M24="",O24="",Q24="",S24="",W24="",Z24="",AB24="",AD24="",AF24=""),"",ROUND(M24*O24*Q24/1000,2))</f>
        <v/>
      </c>
      <c r="AY24" s="811" t="str">
        <f t="shared" ref="AY24" si="18">IF(OR(C24="",F24="",J24="",M24="",O24="",Q24="",S24="",W24="",Z24="",AB24="",AD24="",AF24=""),"",ROUND(Z24*AB24*Q24/1000,2))</f>
        <v/>
      </c>
      <c r="AZ24" s="873" t="str">
        <f>IF(OR(C24="",F24="",J24="",M24="",O24="",Q24="",S24="",W24="",Z24="",AB24="",AD24="",AF24=""),"",IF(ISNUMBER(AN24),(CONCATENATE(INDEX(CMLIGHTBASE[Measure Number],MATCH(F24,CMLIGHTBASE[Base Desc 1],0)),INDEX(CMLIGHTEFF[Measure Number],MATCH(S24,CMLIGHTEFF[Eff Desc 1],0)))),IF(AK24=0,"","000001")))</f>
        <v/>
      </c>
      <c r="BA24" s="811" t="str">
        <f t="shared" ref="BA24" si="19">IF(OR(C24="",F24="",J24="",M24="",O24="",Q24="",S24="",W24="",Z24="",AB24="",AD24="",AF24=""),"",IF((M24*O24)&lt;=(Z24*AB24),"0",AX24-AY24))</f>
        <v/>
      </c>
      <c r="BB24" s="1058" t="str">
        <f>IF(OR(C24="",F24="",J24="",M24="",O24="",Q24="",S24="",W24="",Z24="",AB24="",AD24="",AF24=""),"",IF(M02S02F46="Electric Only",0,IF(OR(ISNUMBER(SEARCH("Exterior",S24)),ISNUMBER(SEARCH("Exterior",C24)),ISNUMBER(SEARCH("Exterior",F24))),0,IF(OR(M02S02F32="AC with Natural Gas Heat",M02S02F32="Natural Gas Heat Only"),(((O24*M24-AB24*Z24)/1000)*Q24*-INDEX(LightingWHF[Waste Heat Gas Heating IFTherms],MATCH(M02S02F26,LightingWHF[Building/Space Type],0))),0))))</f>
        <v/>
      </c>
      <c r="BC24" s="1097" t="str">
        <f>IFERROR(AH24/M02S02F35/BA24,"")</f>
        <v/>
      </c>
      <c r="BD24" s="1058" t="str">
        <f>IF(OR(C24="",F24="",J24="",M24="",O24="",Q24="",S24="",W24="",Z24="",AB24="",AD24="",AF24=""),"",IF(M02S02F46="Gas Only",0,IF(OR(ISNUMBER(SEARCH("Exterior",S24)),ISNUMBER(SEARCH("Exterior",C24)),ISNUMBER(SEARCH("Exterior",F24))),0,IF(M02S02F32="Heat Pump",(((O24*M24-AB24*Z24)/1000)*Q24*-INDEX(LightingWHF[Waste Heat Electric Heat Pump Heating IFkWh],MATCH(M02S02F26,LightingWHF[Building/Space Type],0))),
IF(OR(M02S02F32="AC with Electric Heat",M02S02F32="Electric Heat Only"),(((O24*M24-AB24*Z24)/1000)*Q24*-INDEX(LightingWHF[Waste Heat Electric Resistance Heating IFkWh],MATCH(M02S02F26,LightingWHF[Building/Space Type],0))),0
)))))</f>
        <v/>
      </c>
      <c r="BE24" s="1058" t="str">
        <f>IF(OR(C24="",F24="",J24="",M24="",O24="",Q24="",S24="",W24="",Z24="",AB24="",AD24="",AF24=""),"",IF(M02S02F46="Gas Only",0,IF(OR(ISNUMBER(SEARCH("Exterior",S24)),ISNUMBER(SEARCH("Exterior",C24)),ISNUMBER(SEARCH("Exterior",F24))),1,IF(OR(M02S02F32="Heat Pump",M02S02F32="AC with Natural Gas Heat",M02S02F32="AC with Electric Heat"),(INDEX(LightingWHF[Waste Heat Cooling Energy WHFe],MATCH(M02S02F26,LightingWHF[Building/Space Type],0))),1))))</f>
        <v/>
      </c>
      <c r="BF24" s="1097" t="str">
        <f>IFERROR(IF((M24*O24)&lt;=(Z24*AB24),MEASURESAVE,IF(M02S02F35="",MEASURERATE,IF(AH24/M02S02F35/BA24&lt;1,MEASUREPAY,IF(AV24&lt;1,MEASURECB,IF(OR(ISBLANK(M02S02F26),ISBLANK(M02S02F32),ISBLANK(M02S02F46)),MEASUREBLDG,""))))),MEASURESUBMIT)</f>
        <v>Submit for Review</v>
      </c>
      <c r="BH24" s="995" t="str">
        <f ca="1">IF(OR(C24="",F24="",J24="",M24="",O24="",Q24="",S24="",W24="",Z24="",AB24="",AD24="",AF24=""),"",IF('M01-S01'!$V$82&lt;TODAY(),0,IF(M02S02F46="Gas Only",0,IF(OR(AK24="",AK24&lt;0,AU24&lt;=AN24),0,MIN(AH24-AN24,ROUND(AN24*0.2,2))))))</f>
        <v/>
      </c>
    </row>
    <row r="25" spans="2:60" ht="15.95" customHeight="1">
      <c r="B25" s="829"/>
      <c r="C25" s="1088"/>
      <c r="D25" s="1088"/>
      <c r="E25" s="1088"/>
      <c r="F25" s="835"/>
      <c r="G25" s="836"/>
      <c r="H25" s="836"/>
      <c r="I25" s="837"/>
      <c r="J25" s="1088"/>
      <c r="K25" s="1088"/>
      <c r="L25" s="1088"/>
      <c r="M25" s="1078"/>
      <c r="N25" s="1078"/>
      <c r="O25" s="1081"/>
      <c r="P25" s="1082"/>
      <c r="Q25" s="1085"/>
      <c r="R25" s="1086"/>
      <c r="S25" s="851"/>
      <c r="T25" s="836"/>
      <c r="U25" s="836"/>
      <c r="V25" s="837"/>
      <c r="W25" s="1088"/>
      <c r="X25" s="1088"/>
      <c r="Y25" s="1088"/>
      <c r="Z25" s="1078"/>
      <c r="AA25" s="1078"/>
      <c r="AB25" s="1090"/>
      <c r="AC25" s="1090"/>
      <c r="AD25" s="1092"/>
      <c r="AE25" s="1092"/>
      <c r="AF25" s="1092"/>
      <c r="AG25" s="1094"/>
      <c r="AH25" s="865"/>
      <c r="AI25" s="1096"/>
      <c r="AJ25" s="1096"/>
      <c r="AK25" s="906"/>
      <c r="AL25" s="907"/>
      <c r="AM25" s="936"/>
      <c r="AN25" s="1100"/>
      <c r="AO25" s="1100"/>
      <c r="AP25" s="1100"/>
      <c r="AQ25" s="1100"/>
      <c r="AR25" s="59"/>
      <c r="AU25" s="1102"/>
      <c r="AV25" s="1102"/>
      <c r="AW25" s="901"/>
      <c r="AX25" s="812"/>
      <c r="AY25" s="812"/>
      <c r="AZ25" s="874"/>
      <c r="BA25" s="812"/>
      <c r="BB25" s="996"/>
      <c r="BC25" s="1098"/>
      <c r="BD25" s="996"/>
      <c r="BE25" s="996"/>
      <c r="BF25" s="1098"/>
      <c r="BH25" s="996"/>
    </row>
    <row r="26" spans="2:60" ht="15.95" customHeight="1">
      <c r="B26" s="829">
        <v>6</v>
      </c>
      <c r="C26" s="1087"/>
      <c r="D26" s="1087"/>
      <c r="E26" s="1087"/>
      <c r="F26" s="866"/>
      <c r="G26" s="867"/>
      <c r="H26" s="867"/>
      <c r="I26" s="868"/>
      <c r="J26" s="1087"/>
      <c r="K26" s="1087"/>
      <c r="L26" s="1087"/>
      <c r="M26" s="1077"/>
      <c r="N26" s="1077"/>
      <c r="O26" s="1079" t="str">
        <f>IFERROR(IF(F26="","",INDEX(CMLIGHTBASE[Base Watt 1],MATCH(F26,CMLIGHTBASE[Base Desc 1],0))),"")</f>
        <v/>
      </c>
      <c r="P26" s="1080"/>
      <c r="Q26" s="1083"/>
      <c r="R26" s="1084"/>
      <c r="S26" s="885"/>
      <c r="T26" s="867"/>
      <c r="U26" s="867"/>
      <c r="V26" s="868"/>
      <c r="W26" s="1087"/>
      <c r="X26" s="1087"/>
      <c r="Y26" s="1087"/>
      <c r="Z26" s="1077"/>
      <c r="AA26" s="1077"/>
      <c r="AB26" s="1089"/>
      <c r="AC26" s="1089"/>
      <c r="AD26" s="1091"/>
      <c r="AE26" s="1091"/>
      <c r="AF26" s="1091"/>
      <c r="AG26" s="1093"/>
      <c r="AH26" s="918" t="str">
        <f t="shared" ref="AH26" si="20">IFERROR(IF(OR(C26="",J26="",M26="",O26="",Q26="",W26="",Z26="",AB26="",AD26="",AF26=""),"",ROUND((AD26+AF26)*Z26,2)),"")</f>
        <v/>
      </c>
      <c r="AI26" s="1095"/>
      <c r="AJ26" s="1095"/>
      <c r="AK26" s="904" t="str">
        <f t="shared" ref="AK26" si="21">IFERROR(IF(OR(C26="",F26="",J26="",M26="",O26="",Q26="",S26="",W26="",Z26="",AB26="",AD26="",AF26=""),"",ROUND(IF((M26*O26)&lt;=(Z26*AB26),"0",(AX26-AY26+BD26)*BE26),2)),"")</f>
        <v/>
      </c>
      <c r="AL26" s="905"/>
      <c r="AM26" s="969"/>
      <c r="AN26" s="1099" t="str">
        <f>IFERROR(IF(OR(C26="",F26="",J26="",M26="",O26="",Q26="",S26="",W26="",Z26="",AB26="",AD26="",AF26=""),"",IF(OR(ISNUMBER(SEARCH("~~",F26)),ISNUMBER(SEARCH("~~",S26))),"Invalid Fixture Type Selected",IF(BF26&lt;&gt;"",BF26,ROUND(MIN(AH26*0.75,AK26*INDEX(INCRATE[Electric],MATCH("CMLIGHT",INCRATE[Incentive Type]))),2)))),"")</f>
        <v/>
      </c>
      <c r="AO26" s="1099"/>
      <c r="AP26" s="1099"/>
      <c r="AQ26" s="1099"/>
      <c r="AR26" s="59"/>
      <c r="AU26" s="1103" t="str">
        <f>IF(F26="","",INDEX(CUSTLIGHTUNIT,MATCH(F26,CMELIGHTBASE1,0)))</f>
        <v/>
      </c>
      <c r="AV26" s="1101" t="str">
        <f>IFERROR(IF(OR(C26="",F26="",J26="",M26="",O26="",Q26="",S26="",W26="",Z26="",AB26="",AD26="",AF26=""),"",((((1+ELOSS)*((AK26*INDEX(ELECCB[NPV AEC $/kWh],MATCH(15,ELECCB[Year Number],0)))+(AW26*INDEX(ELECCB[NPV ACC+T&amp;D $/kW],MATCH(15,ELECCB[Year Number],0)))))+((1+GLOSS)*((BB26*INDEX(GASCB[NPV GAEC $/therm],MATCH(15,GASCB[Year Number],1))))))/AH26)),"")</f>
        <v/>
      </c>
      <c r="AW26" s="900" t="str">
        <f>IFERROR(IF(OR(C26="",F26="",J26="",M26="",O26="",Q26="",S26="",W26="",Z26="",AB26="",AD26="",AF26=""),"",IF(OR(ISNUMBER(SEARCH("Exterior",C26)),((M26*O26)&lt;=(Z26*AB26)),ISNUMBER(SEARCH("Exterior",S26)),ISNUMBER(SEARCH("Exterior",F26))),0,ROUND((((M26*O26)-(Z26*AB26))/1000)*INDEX(LightingWHF[Coincidence Factor CF],MATCH(M02S02F26,LightingWHF[Building/Space Type],0))*IF(OR(M02S02F32="AC with Natural Gas Heat",M02S02F32="AC with Electric Heat",M02S02F32="Heat Pump"),INDEX(LightingWHF[Waste Heat Cooling Demand WHFd],MATCH(M02S02F26,LightingWHF[Building/Space Type],0)),1),3))),"")</f>
        <v/>
      </c>
      <c r="AX26" s="811" t="str">
        <f t="shared" ref="AX26" si="22">IF(OR(C26="",F26="",J26="",M26="",O26="",Q26="",S26="",W26="",Z26="",AB26="",AD26="",AF26=""),"",ROUND(M26*O26*Q26/1000,2))</f>
        <v/>
      </c>
      <c r="AY26" s="811" t="str">
        <f t="shared" ref="AY26" si="23">IF(OR(C26="",F26="",J26="",M26="",O26="",Q26="",S26="",W26="",Z26="",AB26="",AD26="",AF26=""),"",ROUND(Z26*AB26*Q26/1000,2))</f>
        <v/>
      </c>
      <c r="AZ26" s="873" t="str">
        <f>IF(OR(C26="",F26="",J26="",M26="",O26="",Q26="",S26="",W26="",Z26="",AB26="",AD26="",AF26=""),"",IF(ISNUMBER(AN26),(CONCATENATE(INDEX(CMLIGHTBASE[Measure Number],MATCH(F26,CMLIGHTBASE[Base Desc 1],0)),INDEX(CMLIGHTEFF[Measure Number],MATCH(S26,CMLIGHTEFF[Eff Desc 1],0)))),IF(AK26=0,"","000001")))</f>
        <v/>
      </c>
      <c r="BA26" s="811" t="str">
        <f t="shared" ref="BA26" si="24">IF(OR(C26="",F26="",J26="",M26="",O26="",Q26="",S26="",W26="",Z26="",AB26="",AD26="",AF26=""),"",IF((M26*O26)&lt;=(Z26*AB26),"0",AX26-AY26))</f>
        <v/>
      </c>
      <c r="BB26" s="1058" t="str">
        <f>IF(OR(C26="",F26="",J26="",M26="",O26="",Q26="",S26="",W26="",Z26="",AB26="",AD26="",AF26=""),"",IF(M02S02F46="Electric Only",0,IF(OR(ISNUMBER(SEARCH("Exterior",S26)),ISNUMBER(SEARCH("Exterior",C26)),ISNUMBER(SEARCH("Exterior",F26))),0,IF(OR(M02S02F32="AC with Natural Gas Heat",M02S02F32="Natural Gas Heat Only"),(((O26*M26-AB26*Z26)/1000)*Q26*-INDEX(LightingWHF[Waste Heat Gas Heating IFTherms],MATCH(M02S02F26,LightingWHF[Building/Space Type],0))),0))))</f>
        <v/>
      </c>
      <c r="BC26" s="1097" t="str">
        <f>IFERROR(AH26/M02S02F35/BA26,"")</f>
        <v/>
      </c>
      <c r="BD26" s="1058" t="str">
        <f>IF(OR(C26="",F26="",J26="",M26="",O26="",Q26="",S26="",W26="",Z26="",AB26="",AD26="",AF26=""),"",IF(M02S02F46="Gas Only",0,IF(OR(ISNUMBER(SEARCH("Exterior",S26)),ISNUMBER(SEARCH("Exterior",C26)),ISNUMBER(SEARCH("Exterior",F26))),0,IF(M02S02F32="Heat Pump",(((O26*M26-AB26*Z26)/1000)*Q26*-INDEX(LightingWHF[Waste Heat Electric Heat Pump Heating IFkWh],MATCH(M02S02F26,LightingWHF[Building/Space Type],0))),
IF(OR(M02S02F32="AC with Electric Heat",M02S02F32="Electric Heat Only"),(((O26*M26-AB26*Z26)/1000)*Q26*-INDEX(LightingWHF[Waste Heat Electric Resistance Heating IFkWh],MATCH(M02S02F26,LightingWHF[Building/Space Type],0))),0
)))))</f>
        <v/>
      </c>
      <c r="BE26" s="1058" t="str">
        <f>IF(OR(C26="",F26="",J26="",M26="",O26="",Q26="",S26="",W26="",Z26="",AB26="",AD26="",AF26=""),"",IF(M02S02F46="Gas Only",0,IF(OR(ISNUMBER(SEARCH("Exterior",S26)),ISNUMBER(SEARCH("Exterior",C26)),ISNUMBER(SEARCH("Exterior",F26))),1,IF(OR(M02S02F32="Heat Pump",M02S02F32="AC with Natural Gas Heat",M02S02F32="AC with Electric Heat"),(INDEX(LightingWHF[Waste Heat Cooling Energy WHFe],MATCH(M02S02F26,LightingWHF[Building/Space Type],0))),1))))</f>
        <v/>
      </c>
      <c r="BF26" s="1097" t="str">
        <f>IFERROR(IF((M26*O26)&lt;=(Z26*AB26),MEASURESAVE,IF(M02S02F35="",MEASURERATE,IF(AH26/M02S02F35/BA26&lt;1,MEASUREPAY,IF(AV26&lt;1,MEASURECB,IF(OR(ISBLANK(M02S02F26),ISBLANK(M02S02F32),ISBLANK(M02S02F46)),MEASUREBLDG,""))))),MEASURESUBMIT)</f>
        <v>Submit for Review</v>
      </c>
      <c r="BH26" s="995" t="str">
        <f ca="1">IF(OR(C26="",F26="",J26="",M26="",O26="",Q26="",S26="",W26="",Z26="",AB26="",AD26="",AF26=""),"",IF('M01-S01'!$V$82&lt;TODAY(),0,IF(M02S02F46="Gas Only",0,IF(OR(AK26="",AK26&lt;0,AU26&lt;=AN26),0,MIN(AH26-AN26,ROUND(AN26*0.2,2))))))</f>
        <v/>
      </c>
    </row>
    <row r="27" spans="2:60" ht="15.95" customHeight="1">
      <c r="B27" s="829"/>
      <c r="C27" s="1088"/>
      <c r="D27" s="1088"/>
      <c r="E27" s="1088"/>
      <c r="F27" s="835"/>
      <c r="G27" s="836"/>
      <c r="H27" s="836"/>
      <c r="I27" s="837"/>
      <c r="J27" s="1088"/>
      <c r="K27" s="1088"/>
      <c r="L27" s="1088"/>
      <c r="M27" s="1078"/>
      <c r="N27" s="1078"/>
      <c r="O27" s="1081"/>
      <c r="P27" s="1082"/>
      <c r="Q27" s="1085"/>
      <c r="R27" s="1086"/>
      <c r="S27" s="851"/>
      <c r="T27" s="836"/>
      <c r="U27" s="836"/>
      <c r="V27" s="837"/>
      <c r="W27" s="1088"/>
      <c r="X27" s="1088"/>
      <c r="Y27" s="1088"/>
      <c r="Z27" s="1078"/>
      <c r="AA27" s="1078"/>
      <c r="AB27" s="1090"/>
      <c r="AC27" s="1090"/>
      <c r="AD27" s="1092"/>
      <c r="AE27" s="1092"/>
      <c r="AF27" s="1092"/>
      <c r="AG27" s="1094"/>
      <c r="AH27" s="865"/>
      <c r="AI27" s="1096"/>
      <c r="AJ27" s="1096"/>
      <c r="AK27" s="906"/>
      <c r="AL27" s="907"/>
      <c r="AM27" s="936"/>
      <c r="AN27" s="1100"/>
      <c r="AO27" s="1100"/>
      <c r="AP27" s="1100"/>
      <c r="AQ27" s="1100"/>
      <c r="AR27" s="59"/>
      <c r="AU27" s="1102"/>
      <c r="AV27" s="1102"/>
      <c r="AW27" s="901"/>
      <c r="AX27" s="812"/>
      <c r="AY27" s="812"/>
      <c r="AZ27" s="874"/>
      <c r="BA27" s="812"/>
      <c r="BB27" s="996"/>
      <c r="BC27" s="1098"/>
      <c r="BD27" s="996"/>
      <c r="BE27" s="996"/>
      <c r="BF27" s="1098"/>
      <c r="BH27" s="996"/>
    </row>
    <row r="28" spans="2:60" ht="15.95" customHeight="1">
      <c r="B28" s="829">
        <v>7</v>
      </c>
      <c r="C28" s="1087"/>
      <c r="D28" s="1087"/>
      <c r="E28" s="1087"/>
      <c r="F28" s="866"/>
      <c r="G28" s="867"/>
      <c r="H28" s="867"/>
      <c r="I28" s="868"/>
      <c r="J28" s="1087"/>
      <c r="K28" s="1087"/>
      <c r="L28" s="1087"/>
      <c r="M28" s="1077"/>
      <c r="N28" s="1077"/>
      <c r="O28" s="1079" t="str">
        <f>IFERROR(IF(F28="","",INDEX(CMLIGHTBASE[Base Watt 1],MATCH(F28,CMLIGHTBASE[Base Desc 1],0))),"")</f>
        <v/>
      </c>
      <c r="P28" s="1080"/>
      <c r="Q28" s="1083"/>
      <c r="R28" s="1084"/>
      <c r="S28" s="885"/>
      <c r="T28" s="867"/>
      <c r="U28" s="867"/>
      <c r="V28" s="868"/>
      <c r="W28" s="1087"/>
      <c r="X28" s="1087"/>
      <c r="Y28" s="1087"/>
      <c r="Z28" s="1077"/>
      <c r="AA28" s="1077"/>
      <c r="AB28" s="1089"/>
      <c r="AC28" s="1089"/>
      <c r="AD28" s="1091"/>
      <c r="AE28" s="1091"/>
      <c r="AF28" s="1091"/>
      <c r="AG28" s="1093"/>
      <c r="AH28" s="918" t="str">
        <f t="shared" ref="AH28" si="25">IFERROR(IF(OR(C28="",J28="",M28="",O28="",Q28="",W28="",Z28="",AB28="",AD28="",AF28=""),"",ROUND((AD28+AF28)*Z28,2)),"")</f>
        <v/>
      </c>
      <c r="AI28" s="1095"/>
      <c r="AJ28" s="1095"/>
      <c r="AK28" s="904" t="str">
        <f t="shared" ref="AK28" si="26">IFERROR(IF(OR(C28="",F28="",J28="",M28="",O28="",Q28="",S28="",W28="",Z28="",AB28="",AD28="",AF28=""),"",ROUND(IF((M28*O28)&lt;=(Z28*AB28),"0",(AX28-AY28+BD28)*BE28),2)),"")</f>
        <v/>
      </c>
      <c r="AL28" s="905"/>
      <c r="AM28" s="969"/>
      <c r="AN28" s="1099" t="str">
        <f>IFERROR(IF(OR(C28="",F28="",J28="",M28="",O28="",Q28="",S28="",W28="",Z28="",AB28="",AD28="",AF28=""),"",IF(OR(ISNUMBER(SEARCH("~~",F28)),ISNUMBER(SEARCH("~~",S28))),"Invalid Fixture Type Selected",IF(BF28&lt;&gt;"",BF28,ROUND(MIN(AH28*0.75,AK28*INDEX(INCRATE[Electric],MATCH("CMLIGHT",INCRATE[Incentive Type]))),2)))),"")</f>
        <v/>
      </c>
      <c r="AO28" s="1099"/>
      <c r="AP28" s="1099"/>
      <c r="AQ28" s="1099"/>
      <c r="AR28" s="59"/>
      <c r="AU28" s="1103" t="str">
        <f>IF(F28="","",INDEX(CUSTLIGHTUNIT,MATCH(F28,CMELIGHTBASE1,0)))</f>
        <v/>
      </c>
      <c r="AV28" s="1101" t="str">
        <f>IFERROR(IF(OR(C28="",F28="",J28="",M28="",O28="",Q28="",S28="",W28="",Z28="",AB28="",AD28="",AF28=""),"",((((1+ELOSS)*((AK28*INDEX(ELECCB[NPV AEC $/kWh],MATCH(15,ELECCB[Year Number],0)))+(AW28*INDEX(ELECCB[NPV ACC+T&amp;D $/kW],MATCH(15,ELECCB[Year Number],0)))))+((1+GLOSS)*((BB28*INDEX(GASCB[NPV GAEC $/therm],MATCH(15,GASCB[Year Number],1))))))/AH28)),"")</f>
        <v/>
      </c>
      <c r="AW28" s="900" t="str">
        <f>IFERROR(IF(OR(C28="",F28="",J28="",M28="",O28="",Q28="",S28="",W28="",Z28="",AB28="",AD28="",AF28=""),"",IF(OR(ISNUMBER(SEARCH("Exterior",C28)),((M28*O28)&lt;=(Z28*AB28)),ISNUMBER(SEARCH("Exterior",S28)),ISNUMBER(SEARCH("Exterior",F28))),0,ROUND((((M28*O28)-(Z28*AB28))/1000)*INDEX(LightingWHF[Coincidence Factor CF],MATCH(M02S02F26,LightingWHF[Building/Space Type],0))*IF(OR(M02S02F32="AC with Natural Gas Heat",M02S02F32="AC with Electric Heat",M02S02F32="Heat Pump"),INDEX(LightingWHF[Waste Heat Cooling Demand WHFd],MATCH(M02S02F26,LightingWHF[Building/Space Type],0)),1),3))),"")</f>
        <v/>
      </c>
      <c r="AX28" s="811" t="str">
        <f t="shared" ref="AX28" si="27">IF(OR(C28="",F28="",J28="",M28="",O28="",Q28="",S28="",W28="",Z28="",AB28="",AD28="",AF28=""),"",ROUND(M28*O28*Q28/1000,2))</f>
        <v/>
      </c>
      <c r="AY28" s="811" t="str">
        <f t="shared" ref="AY28" si="28">IF(OR(C28="",F28="",J28="",M28="",O28="",Q28="",S28="",W28="",Z28="",AB28="",AD28="",AF28=""),"",ROUND(Z28*AB28*Q28/1000,2))</f>
        <v/>
      </c>
      <c r="AZ28" s="873" t="str">
        <f>IF(OR(C28="",F28="",J28="",M28="",O28="",Q28="",S28="",W28="",Z28="",AB28="",AD28="",AF28=""),"",IF(ISNUMBER(AN28),(CONCATENATE(INDEX(CMLIGHTBASE[Measure Number],MATCH(F28,CMLIGHTBASE[Base Desc 1],0)),INDEX(CMLIGHTEFF[Measure Number],MATCH(S28,CMLIGHTEFF[Eff Desc 1],0)))),IF(AK28=0,"","000001")))</f>
        <v/>
      </c>
      <c r="BA28" s="811" t="str">
        <f t="shared" ref="BA28" si="29">IF(OR(C28="",F28="",J28="",M28="",O28="",Q28="",S28="",W28="",Z28="",AB28="",AD28="",AF28=""),"",IF((M28*O28)&lt;=(Z28*AB28),"0",AX28-AY28))</f>
        <v/>
      </c>
      <c r="BB28" s="1058" t="str">
        <f>IF(OR(C28="",F28="",J28="",M28="",O28="",Q28="",S28="",W28="",Z28="",AB28="",AD28="",AF28=""),"",IF(M02S02F46="Electric Only",0,IF(OR(ISNUMBER(SEARCH("Exterior",S28)),ISNUMBER(SEARCH("Exterior",C28)),ISNUMBER(SEARCH("Exterior",F28))),0,IF(OR(M02S02F32="AC with Natural Gas Heat",M02S02F32="Natural Gas Heat Only"),(((O28*M28-AB28*Z28)/1000)*Q28*-INDEX(LightingWHF[Waste Heat Gas Heating IFTherms],MATCH(M02S02F26,LightingWHF[Building/Space Type],0))),0))))</f>
        <v/>
      </c>
      <c r="BC28" s="1097" t="str">
        <f>IFERROR(AH28/M02S02F35/BA28,"")</f>
        <v/>
      </c>
      <c r="BD28" s="1058" t="str">
        <f>IF(OR(C28="",F28="",J28="",M28="",O28="",Q28="",S28="",W28="",Z28="",AB28="",AD28="",AF28=""),"",IF(M02S02F46="Gas Only",0,IF(OR(ISNUMBER(SEARCH("Exterior",S28)),ISNUMBER(SEARCH("Exterior",C28)),ISNUMBER(SEARCH("Exterior",F28))),0,IF(M02S02F32="Heat Pump",(((O28*M28-AB28*Z28)/1000)*Q28*-INDEX(LightingWHF[Waste Heat Electric Heat Pump Heating IFkWh],MATCH(M02S02F26,LightingWHF[Building/Space Type],0))),
IF(OR(M02S02F32="AC with Electric Heat",M02S02F32="Electric Heat Only"),(((O28*M28-AB28*Z28)/1000)*Q28*-INDEX(LightingWHF[Waste Heat Electric Resistance Heating IFkWh],MATCH(M02S02F26,LightingWHF[Building/Space Type],0))),0
)))))</f>
        <v/>
      </c>
      <c r="BE28" s="1058" t="str">
        <f>IF(OR(C28="",F28="",J28="",M28="",O28="",Q28="",S28="",W28="",Z28="",AB28="",AD28="",AF28=""),"",IF(M02S02F46="Gas Only",0,IF(OR(ISNUMBER(SEARCH("Exterior",S28)),ISNUMBER(SEARCH("Exterior",C28)),ISNUMBER(SEARCH("Exterior",F28))),1,IF(OR(M02S02F32="Heat Pump",M02S02F32="AC with Natural Gas Heat",M02S02F32="AC with Electric Heat"),(INDEX(LightingWHF[Waste Heat Cooling Energy WHFe],MATCH(M02S02F26,LightingWHF[Building/Space Type],0))),1))))</f>
        <v/>
      </c>
      <c r="BF28" s="1097" t="str">
        <f>IFERROR(IF((M28*O28)&lt;=(Z28*AB28),MEASURESAVE,IF(M02S02F35="",MEASURERATE,IF(AH28/M02S02F35/BA28&lt;1,MEASUREPAY,IF(AV28&lt;1,MEASURECB,IF(OR(ISBLANK(M02S02F26),ISBLANK(M02S02F32),ISBLANK(M02S02F46)),MEASUREBLDG,""))))),MEASURESUBMIT)</f>
        <v>Submit for Review</v>
      </c>
      <c r="BH28" s="995" t="str">
        <f ca="1">IF(OR(C28="",F28="",J28="",M28="",O28="",Q28="",S28="",W28="",Z28="",AB28="",AD28="",AF28=""),"",IF('M01-S01'!$V$82&lt;TODAY(),0,IF(M02S02F46="Gas Only",0,IF(OR(AK28="",AK28&lt;0,AU28&lt;=AN28),0,MIN(AH28-AN28,ROUND(AN28*0.2,2))))))</f>
        <v/>
      </c>
    </row>
    <row r="29" spans="2:60" ht="15.95" customHeight="1">
      <c r="B29" s="829"/>
      <c r="C29" s="1088"/>
      <c r="D29" s="1088"/>
      <c r="E29" s="1088"/>
      <c r="F29" s="835"/>
      <c r="G29" s="836"/>
      <c r="H29" s="836"/>
      <c r="I29" s="837"/>
      <c r="J29" s="1088"/>
      <c r="K29" s="1088"/>
      <c r="L29" s="1088"/>
      <c r="M29" s="1078"/>
      <c r="N29" s="1078"/>
      <c r="O29" s="1081"/>
      <c r="P29" s="1082"/>
      <c r="Q29" s="1085"/>
      <c r="R29" s="1086"/>
      <c r="S29" s="851"/>
      <c r="T29" s="836"/>
      <c r="U29" s="836"/>
      <c r="V29" s="837"/>
      <c r="W29" s="1088"/>
      <c r="X29" s="1088"/>
      <c r="Y29" s="1088"/>
      <c r="Z29" s="1078"/>
      <c r="AA29" s="1078"/>
      <c r="AB29" s="1090"/>
      <c r="AC29" s="1090"/>
      <c r="AD29" s="1092"/>
      <c r="AE29" s="1092"/>
      <c r="AF29" s="1092"/>
      <c r="AG29" s="1094"/>
      <c r="AH29" s="865"/>
      <c r="AI29" s="1096"/>
      <c r="AJ29" s="1096"/>
      <c r="AK29" s="906"/>
      <c r="AL29" s="907"/>
      <c r="AM29" s="936"/>
      <c r="AN29" s="1100"/>
      <c r="AO29" s="1100"/>
      <c r="AP29" s="1100"/>
      <c r="AQ29" s="1100"/>
      <c r="AR29" s="59"/>
      <c r="AU29" s="1102"/>
      <c r="AV29" s="1102"/>
      <c r="AW29" s="901"/>
      <c r="AX29" s="812"/>
      <c r="AY29" s="812"/>
      <c r="AZ29" s="874"/>
      <c r="BA29" s="812"/>
      <c r="BB29" s="996"/>
      <c r="BC29" s="1098"/>
      <c r="BD29" s="996"/>
      <c r="BE29" s="996"/>
      <c r="BF29" s="1098"/>
      <c r="BH29" s="996"/>
    </row>
    <row r="30" spans="2:60" ht="15.95" customHeight="1">
      <c r="B30" s="829">
        <v>8</v>
      </c>
      <c r="C30" s="1087"/>
      <c r="D30" s="1087"/>
      <c r="E30" s="1087"/>
      <c r="F30" s="866"/>
      <c r="G30" s="867"/>
      <c r="H30" s="867"/>
      <c r="I30" s="868"/>
      <c r="J30" s="1087"/>
      <c r="K30" s="1087"/>
      <c r="L30" s="1087"/>
      <c r="M30" s="1077"/>
      <c r="N30" s="1077"/>
      <c r="O30" s="1079" t="str">
        <f>IFERROR(IF(F30="","",INDEX(CMLIGHTBASE[Base Watt 1],MATCH(F30,CMLIGHTBASE[Base Desc 1],0))),"")</f>
        <v/>
      </c>
      <c r="P30" s="1080"/>
      <c r="Q30" s="1083"/>
      <c r="R30" s="1084"/>
      <c r="S30" s="885"/>
      <c r="T30" s="867"/>
      <c r="U30" s="867"/>
      <c r="V30" s="868"/>
      <c r="W30" s="1087"/>
      <c r="X30" s="1087"/>
      <c r="Y30" s="1087"/>
      <c r="Z30" s="1077"/>
      <c r="AA30" s="1077"/>
      <c r="AB30" s="1089"/>
      <c r="AC30" s="1089"/>
      <c r="AD30" s="1091"/>
      <c r="AE30" s="1091"/>
      <c r="AF30" s="1091"/>
      <c r="AG30" s="1093"/>
      <c r="AH30" s="918" t="str">
        <f t="shared" ref="AH30" si="30">IFERROR(IF(OR(C30="",J30="",M30="",O30="",Q30="",W30="",Z30="",AB30="",AD30="",AF30=""),"",ROUND((AD30+AF30)*Z30,2)),"")</f>
        <v/>
      </c>
      <c r="AI30" s="1095"/>
      <c r="AJ30" s="1095"/>
      <c r="AK30" s="904" t="str">
        <f t="shared" ref="AK30" si="31">IFERROR(IF(OR(C30="",F30="",J30="",M30="",O30="",Q30="",S30="",W30="",Z30="",AB30="",AD30="",AF30=""),"",ROUND(IF((M30*O30)&lt;=(Z30*AB30),"0",(AX30-AY30+BD30)*BE30),2)),"")</f>
        <v/>
      </c>
      <c r="AL30" s="905"/>
      <c r="AM30" s="969"/>
      <c r="AN30" s="1099" t="str">
        <f>IFERROR(IF(OR(C30="",F30="",J30="",M30="",O30="",Q30="",S30="",W30="",Z30="",AB30="",AD30="",AF30=""),"",IF(OR(ISNUMBER(SEARCH("~~",F30)),ISNUMBER(SEARCH("~~",S30))),"Invalid Fixture Type Selected",IF(BF30&lt;&gt;"",BF30,ROUND(MIN(AH30*0.75,AK30*INDEX(INCRATE[Electric],MATCH("CMLIGHT",INCRATE[Incentive Type]))),2)))),"")</f>
        <v/>
      </c>
      <c r="AO30" s="1099"/>
      <c r="AP30" s="1099"/>
      <c r="AQ30" s="1099"/>
      <c r="AR30" s="59"/>
      <c r="AU30" s="1103" t="str">
        <f>IF(F30="","",INDEX(CUSTLIGHTUNIT,MATCH(F30,CMELIGHTBASE1,0)))</f>
        <v/>
      </c>
      <c r="AV30" s="1101" t="str">
        <f>IFERROR(IF(OR(C30="",F30="",J30="",M30="",O30="",Q30="",S30="",W30="",Z30="",AB30="",AD30="",AF30=""),"",((((1+ELOSS)*((AK30*INDEX(ELECCB[NPV AEC $/kWh],MATCH(15,ELECCB[Year Number],0)))+(AW30*INDEX(ELECCB[NPV ACC+T&amp;D $/kW],MATCH(15,ELECCB[Year Number],0)))))+((1+GLOSS)*((BB30*INDEX(GASCB[NPV GAEC $/therm],MATCH(15,GASCB[Year Number],1))))))/AH30)),"")</f>
        <v/>
      </c>
      <c r="AW30" s="900" t="str">
        <f>IFERROR(IF(OR(C30="",F30="",J30="",M30="",O30="",Q30="",S30="",W30="",Z30="",AB30="",AD30="",AF30=""),"",IF(OR(ISNUMBER(SEARCH("Exterior",C30)),((M30*O30)&lt;=(Z30*AB30)),ISNUMBER(SEARCH("Exterior",S30)),ISNUMBER(SEARCH("Exterior",F30))),0,ROUND((((M30*O30)-(Z30*AB30))/1000)*INDEX(LightingWHF[Coincidence Factor CF],MATCH(M02S02F26,LightingWHF[Building/Space Type],0))*IF(OR(M02S02F32="AC with Natural Gas Heat",M02S02F32="AC with Electric Heat",M02S02F32="Heat Pump"),INDEX(LightingWHF[Waste Heat Cooling Demand WHFd],MATCH(M02S02F26,LightingWHF[Building/Space Type],0)),1),3))),"")</f>
        <v/>
      </c>
      <c r="AX30" s="811" t="str">
        <f t="shared" ref="AX30" si="32">IF(OR(C30="",F30="",J30="",M30="",O30="",Q30="",S30="",W30="",Z30="",AB30="",AD30="",AF30=""),"",ROUND(M30*O30*Q30/1000,2))</f>
        <v/>
      </c>
      <c r="AY30" s="811" t="str">
        <f t="shared" ref="AY30" si="33">IF(OR(C30="",F30="",J30="",M30="",O30="",Q30="",S30="",W30="",Z30="",AB30="",AD30="",AF30=""),"",ROUND(Z30*AB30*Q30/1000,2))</f>
        <v/>
      </c>
      <c r="AZ30" s="873" t="str">
        <f>IF(OR(C30="",F30="",J30="",M30="",O30="",Q30="",S30="",W30="",Z30="",AB30="",AD30="",AF30=""),"",IF(ISNUMBER(AN30),(CONCATENATE(INDEX(CMLIGHTBASE[Measure Number],MATCH(F30,CMLIGHTBASE[Base Desc 1],0)),INDEX(CMLIGHTEFF[Measure Number],MATCH(S30,CMLIGHTEFF[Eff Desc 1],0)))),IF(AK30=0,"","000001")))</f>
        <v/>
      </c>
      <c r="BA30" s="811" t="str">
        <f t="shared" ref="BA30" si="34">IF(OR(C30="",F30="",J30="",M30="",O30="",Q30="",S30="",W30="",Z30="",AB30="",AD30="",AF30=""),"",IF((M30*O30)&lt;=(Z30*AB30),"0",AX30-AY30))</f>
        <v/>
      </c>
      <c r="BB30" s="1058" t="str">
        <f>IF(OR(C30="",F30="",J30="",M30="",O30="",Q30="",S30="",W30="",Z30="",AB30="",AD30="",AF30=""),"",IF(M02S02F46="Electric Only",0,IF(OR(ISNUMBER(SEARCH("Exterior",S30)),ISNUMBER(SEARCH("Exterior",C30)),ISNUMBER(SEARCH("Exterior",F30))),0,IF(OR(M02S02F32="AC with Natural Gas Heat",M02S02F32="Natural Gas Heat Only"),(((O30*M30-AB30*Z30)/1000)*Q30*-INDEX(LightingWHF[Waste Heat Gas Heating IFTherms],MATCH(M02S02F26,LightingWHF[Building/Space Type],0))),0))))</f>
        <v/>
      </c>
      <c r="BC30" s="1097" t="str">
        <f>IFERROR(AH30/M02S02F35/BA30,"")</f>
        <v/>
      </c>
      <c r="BD30" s="1058" t="str">
        <f>IF(OR(C30="",F30="",J30="",M30="",O30="",Q30="",S30="",W30="",Z30="",AB30="",AD30="",AF30=""),"",IF(M02S02F46="Gas Only",0,IF(OR(ISNUMBER(SEARCH("Exterior",S30)),ISNUMBER(SEARCH("Exterior",C30)),ISNUMBER(SEARCH("Exterior",F30))),0,IF(M02S02F32="Heat Pump",(((O30*M30-AB30*Z30)/1000)*Q30*-INDEX(LightingWHF[Waste Heat Electric Heat Pump Heating IFkWh],MATCH(M02S02F26,LightingWHF[Building/Space Type],0))),
IF(OR(M02S02F32="AC with Electric Heat",M02S02F32="Electric Heat Only"),(((O30*M30-AB30*Z30)/1000)*Q30*-INDEX(LightingWHF[Waste Heat Electric Resistance Heating IFkWh],MATCH(M02S02F26,LightingWHF[Building/Space Type],0))),0
)))))</f>
        <v/>
      </c>
      <c r="BE30" s="1058" t="str">
        <f>IF(OR(C30="",F30="",J30="",M30="",O30="",Q30="",S30="",W30="",Z30="",AB30="",AD30="",AF30=""),"",IF(M02S02F46="Gas Only",0,IF(OR(ISNUMBER(SEARCH("Exterior",S30)),ISNUMBER(SEARCH("Exterior",C30)),ISNUMBER(SEARCH("Exterior",F30))),1,IF(OR(M02S02F32="Heat Pump",M02S02F32="AC with Natural Gas Heat",M02S02F32="AC with Electric Heat"),(INDEX(LightingWHF[Waste Heat Cooling Energy WHFe],MATCH(M02S02F26,LightingWHF[Building/Space Type],0))),1))))</f>
        <v/>
      </c>
      <c r="BF30" s="1097" t="str">
        <f>IFERROR(IF((M30*O30)&lt;=(Z30*AB30),MEASURESAVE,IF(M02S02F35="",MEASURERATE,IF(AH30/M02S02F35/BA30&lt;1,MEASUREPAY,IF(AV30&lt;1,MEASURECB,IF(OR(ISBLANK(M02S02F26),ISBLANK(M02S02F32),ISBLANK(M02S02F46)),MEASUREBLDG,""))))),MEASURESUBMIT)</f>
        <v>Submit for Review</v>
      </c>
      <c r="BH30" s="995" t="str">
        <f ca="1">IF(OR(C30="",F30="",J30="",M30="",O30="",Q30="",S30="",W30="",Z30="",AB30="",AD30="",AF30=""),"",IF('M01-S01'!$V$82&lt;TODAY(),0,IF(M02S02F46="Gas Only",0,IF(OR(AK30="",AK30&lt;0,AU30&lt;=AN30),0,MIN(AH30-AN30,ROUND(AN30*0.2,2))))))</f>
        <v/>
      </c>
    </row>
    <row r="31" spans="2:60" ht="15.95" customHeight="1">
      <c r="B31" s="829"/>
      <c r="C31" s="1088"/>
      <c r="D31" s="1088"/>
      <c r="E31" s="1088"/>
      <c r="F31" s="835"/>
      <c r="G31" s="836"/>
      <c r="H31" s="836"/>
      <c r="I31" s="837"/>
      <c r="J31" s="1088"/>
      <c r="K31" s="1088"/>
      <c r="L31" s="1088"/>
      <c r="M31" s="1078"/>
      <c r="N31" s="1078"/>
      <c r="O31" s="1081"/>
      <c r="P31" s="1082"/>
      <c r="Q31" s="1085"/>
      <c r="R31" s="1086"/>
      <c r="S31" s="851"/>
      <c r="T31" s="836"/>
      <c r="U31" s="836"/>
      <c r="V31" s="837"/>
      <c r="W31" s="1088"/>
      <c r="X31" s="1088"/>
      <c r="Y31" s="1088"/>
      <c r="Z31" s="1078"/>
      <c r="AA31" s="1078"/>
      <c r="AB31" s="1090"/>
      <c r="AC31" s="1090"/>
      <c r="AD31" s="1092"/>
      <c r="AE31" s="1092"/>
      <c r="AF31" s="1092"/>
      <c r="AG31" s="1094"/>
      <c r="AH31" s="865"/>
      <c r="AI31" s="1096"/>
      <c r="AJ31" s="1096"/>
      <c r="AK31" s="906"/>
      <c r="AL31" s="907"/>
      <c r="AM31" s="936"/>
      <c r="AN31" s="1100"/>
      <c r="AO31" s="1100"/>
      <c r="AP31" s="1100"/>
      <c r="AQ31" s="1100"/>
      <c r="AR31" s="59"/>
      <c r="AU31" s="1102"/>
      <c r="AV31" s="1102"/>
      <c r="AW31" s="901"/>
      <c r="AX31" s="812"/>
      <c r="AY31" s="812"/>
      <c r="AZ31" s="874"/>
      <c r="BA31" s="812"/>
      <c r="BB31" s="996"/>
      <c r="BC31" s="1098"/>
      <c r="BD31" s="996"/>
      <c r="BE31" s="996"/>
      <c r="BF31" s="1098"/>
      <c r="BH31" s="996"/>
    </row>
    <row r="32" spans="2:60" ht="15.95" customHeight="1">
      <c r="B32" s="829">
        <v>9</v>
      </c>
      <c r="C32" s="1087"/>
      <c r="D32" s="1087"/>
      <c r="E32" s="1087"/>
      <c r="F32" s="866"/>
      <c r="G32" s="867"/>
      <c r="H32" s="867"/>
      <c r="I32" s="868"/>
      <c r="J32" s="1087"/>
      <c r="K32" s="1087"/>
      <c r="L32" s="1087"/>
      <c r="M32" s="1077"/>
      <c r="N32" s="1077"/>
      <c r="O32" s="1079" t="str">
        <f>IFERROR(IF(F32="","",INDEX(CMLIGHTBASE[Base Watt 1],MATCH(F32,CMLIGHTBASE[Base Desc 1],0))),"")</f>
        <v/>
      </c>
      <c r="P32" s="1080"/>
      <c r="Q32" s="1083"/>
      <c r="R32" s="1084"/>
      <c r="S32" s="885"/>
      <c r="T32" s="867"/>
      <c r="U32" s="867"/>
      <c r="V32" s="868"/>
      <c r="W32" s="1087"/>
      <c r="X32" s="1087"/>
      <c r="Y32" s="1087"/>
      <c r="Z32" s="1077"/>
      <c r="AA32" s="1077"/>
      <c r="AB32" s="1089"/>
      <c r="AC32" s="1089"/>
      <c r="AD32" s="1091"/>
      <c r="AE32" s="1091"/>
      <c r="AF32" s="1091"/>
      <c r="AG32" s="1093"/>
      <c r="AH32" s="918" t="str">
        <f t="shared" ref="AH32" si="35">IFERROR(IF(OR(C32="",J32="",M32="",O32="",Q32="",W32="",Z32="",AB32="",AD32="",AF32=""),"",ROUND((AD32+AF32)*Z32,2)),"")</f>
        <v/>
      </c>
      <c r="AI32" s="1095"/>
      <c r="AJ32" s="1095"/>
      <c r="AK32" s="904" t="str">
        <f t="shared" ref="AK32" si="36">IFERROR(IF(OR(C32="",F32="",J32="",M32="",O32="",Q32="",S32="",W32="",Z32="",AB32="",AD32="",AF32=""),"",ROUND(IF((M32*O32)&lt;=(Z32*AB32),"0",(AX32-AY32+BD32)*BE32),2)),"")</f>
        <v/>
      </c>
      <c r="AL32" s="905"/>
      <c r="AM32" s="969"/>
      <c r="AN32" s="1099" t="str">
        <f>IFERROR(IF(OR(C32="",F32="",J32="",M32="",O32="",Q32="",S32="",W32="",Z32="",AB32="",AD32="",AF32=""),"",IF(OR(ISNUMBER(SEARCH("~~",F32)),ISNUMBER(SEARCH("~~",S32))),"Invalid Fixture Type Selected",IF(BF32&lt;&gt;"",BF32,ROUND(MIN(AH32*0.75,AK32*INDEX(INCRATE[Electric],MATCH("CMLIGHT",INCRATE[Incentive Type]))),2)))),"")</f>
        <v/>
      </c>
      <c r="AO32" s="1099"/>
      <c r="AP32" s="1099"/>
      <c r="AQ32" s="1099"/>
      <c r="AR32" s="59"/>
      <c r="AU32" s="1103" t="str">
        <f>IF(F32="","",INDEX(CUSTLIGHTUNIT,MATCH(F32,CMELIGHTBASE1,0)))</f>
        <v/>
      </c>
      <c r="AV32" s="1101" t="str">
        <f>IFERROR(IF(OR(C32="",F32="",J32="",M32="",O32="",Q32="",S32="",W32="",Z32="",AB32="",AD32="",AF32=""),"",((((1+ELOSS)*((AK32*INDEX(ELECCB[NPV AEC $/kWh],MATCH(15,ELECCB[Year Number],0)))+(AW32*INDEX(ELECCB[NPV ACC+T&amp;D $/kW],MATCH(15,ELECCB[Year Number],0)))))+((1+GLOSS)*((BB32*INDEX(GASCB[NPV GAEC $/therm],MATCH(15,GASCB[Year Number],1))))))/AH32)),"")</f>
        <v/>
      </c>
      <c r="AW32" s="900" t="str">
        <f>IFERROR(IF(OR(C32="",F32="",J32="",M32="",O32="",Q32="",S32="",W32="",Z32="",AB32="",AD32="",AF32=""),"",IF(OR(ISNUMBER(SEARCH("Exterior",C32)),((M32*O32)&lt;=(Z32*AB32)),ISNUMBER(SEARCH("Exterior",S32)),ISNUMBER(SEARCH("Exterior",F32))),0,ROUND((((M32*O32)-(Z32*AB32))/1000)*INDEX(LightingWHF[Coincidence Factor CF],MATCH(M02S02F26,LightingWHF[Building/Space Type],0))*IF(OR(M02S02F32="AC with Natural Gas Heat",M02S02F32="AC with Electric Heat",M02S02F32="Heat Pump"),INDEX(LightingWHF[Waste Heat Cooling Demand WHFd],MATCH(M02S02F26,LightingWHF[Building/Space Type],0)),1),3))),"")</f>
        <v/>
      </c>
      <c r="AX32" s="811" t="str">
        <f t="shared" ref="AX32" si="37">IF(OR(C32="",F32="",J32="",M32="",O32="",Q32="",S32="",W32="",Z32="",AB32="",AD32="",AF32=""),"",ROUND(M32*O32*Q32/1000,2))</f>
        <v/>
      </c>
      <c r="AY32" s="811" t="str">
        <f t="shared" ref="AY32" si="38">IF(OR(C32="",F32="",J32="",M32="",O32="",Q32="",S32="",W32="",Z32="",AB32="",AD32="",AF32=""),"",ROUND(Z32*AB32*Q32/1000,2))</f>
        <v/>
      </c>
      <c r="AZ32" s="873" t="str">
        <f>IF(OR(C32="",F32="",J32="",M32="",O32="",Q32="",S32="",W32="",Z32="",AB32="",AD32="",AF32=""),"",IF(ISNUMBER(AN32),(CONCATENATE(INDEX(CMLIGHTBASE[Measure Number],MATCH(F32,CMLIGHTBASE[Base Desc 1],0)),INDEX(CMLIGHTEFF[Measure Number],MATCH(S32,CMLIGHTEFF[Eff Desc 1],0)))),IF(AK32=0,"","000001")))</f>
        <v/>
      </c>
      <c r="BA32" s="811" t="str">
        <f t="shared" ref="BA32" si="39">IF(OR(C32="",F32="",J32="",M32="",O32="",Q32="",S32="",W32="",Z32="",AB32="",AD32="",AF32=""),"",IF((M32*O32)&lt;=(Z32*AB32),"0",AX32-AY32))</f>
        <v/>
      </c>
      <c r="BB32" s="1058" t="str">
        <f>IF(OR(C32="",F32="",J32="",M32="",O32="",Q32="",S32="",W32="",Z32="",AB32="",AD32="",AF32=""),"",IF(M02S02F46="Electric Only",0,IF(OR(ISNUMBER(SEARCH("Exterior",S32)),ISNUMBER(SEARCH("Exterior",C32)),ISNUMBER(SEARCH("Exterior",F32))),0,IF(OR(M02S02F32="AC with Natural Gas Heat",M02S02F32="Natural Gas Heat Only"),(((O32*M32-AB32*Z32)/1000)*Q32*-INDEX(LightingWHF[Waste Heat Gas Heating IFTherms],MATCH(M02S02F26,LightingWHF[Building/Space Type],0))),0))))</f>
        <v/>
      </c>
      <c r="BC32" s="1097" t="str">
        <f>IFERROR(AH32/M02S02F35/BA32,"")</f>
        <v/>
      </c>
      <c r="BD32" s="1058" t="str">
        <f>IF(OR(C32="",F32="",J32="",M32="",O32="",Q32="",S32="",W32="",Z32="",AB32="",AD32="",AF32=""),"",IF(M02S02F46="Gas Only",0,IF(OR(ISNUMBER(SEARCH("Exterior",S32)),ISNUMBER(SEARCH("Exterior",C32)),ISNUMBER(SEARCH("Exterior",F32))),0,IF(M02S02F32="Heat Pump",(((O32*M32-AB32*Z32)/1000)*Q32*-INDEX(LightingWHF[Waste Heat Electric Heat Pump Heating IFkWh],MATCH(M02S02F26,LightingWHF[Building/Space Type],0))),
IF(OR(M02S02F32="AC with Electric Heat",M02S02F32="Electric Heat Only"),(((O32*M32-AB32*Z32)/1000)*Q32*-INDEX(LightingWHF[Waste Heat Electric Resistance Heating IFkWh],MATCH(M02S02F26,LightingWHF[Building/Space Type],0))),0
)))))</f>
        <v/>
      </c>
      <c r="BE32" s="1058" t="str">
        <f>IF(OR(C32="",F32="",J32="",M32="",O32="",Q32="",S32="",W32="",Z32="",AB32="",AD32="",AF32=""),"",IF(M02S02F46="Gas Only",0,IF(OR(ISNUMBER(SEARCH("Exterior",S32)),ISNUMBER(SEARCH("Exterior",C32)),ISNUMBER(SEARCH("Exterior",F32))),1,IF(OR(M02S02F32="Heat Pump",M02S02F32="AC with Natural Gas Heat",M02S02F32="AC with Electric Heat"),(INDEX(LightingWHF[Waste Heat Cooling Energy WHFe],MATCH(M02S02F26,LightingWHF[Building/Space Type],0))),1))))</f>
        <v/>
      </c>
      <c r="BF32" s="1097" t="str">
        <f>IFERROR(IF((M32*O32)&lt;=(Z32*AB32),MEASURESAVE,IF(M02S02F35="",MEASURERATE,IF(AH32/M02S02F35/BA32&lt;1,MEASUREPAY,IF(AV32&lt;1,MEASURECB,IF(OR(ISBLANK(M02S02F26),ISBLANK(M02S02F32),ISBLANK(M02S02F46)),MEASUREBLDG,""))))),MEASURESUBMIT)</f>
        <v>Submit for Review</v>
      </c>
      <c r="BH32" s="995" t="str">
        <f ca="1">IF(OR(C32="",F32="",J32="",M32="",O32="",Q32="",S32="",W32="",Z32="",AB32="",AD32="",AF32=""),"",IF('M01-S01'!$V$82&lt;TODAY(),0,IF(M02S02F46="Gas Only",0,IF(OR(AK32="",AK32&lt;0,AU32&lt;=AN32),0,MIN(AH32-AN32,ROUND(AN32*0.2,2))))))</f>
        <v/>
      </c>
    </row>
    <row r="33" spans="2:60" ht="15.95" customHeight="1">
      <c r="B33" s="829"/>
      <c r="C33" s="1088"/>
      <c r="D33" s="1088"/>
      <c r="E33" s="1088"/>
      <c r="F33" s="835"/>
      <c r="G33" s="836"/>
      <c r="H33" s="836"/>
      <c r="I33" s="837"/>
      <c r="J33" s="1088"/>
      <c r="K33" s="1088"/>
      <c r="L33" s="1088"/>
      <c r="M33" s="1078"/>
      <c r="N33" s="1078"/>
      <c r="O33" s="1081"/>
      <c r="P33" s="1082"/>
      <c r="Q33" s="1085"/>
      <c r="R33" s="1086"/>
      <c r="S33" s="851"/>
      <c r="T33" s="836"/>
      <c r="U33" s="836"/>
      <c r="V33" s="837"/>
      <c r="W33" s="1088"/>
      <c r="X33" s="1088"/>
      <c r="Y33" s="1088"/>
      <c r="Z33" s="1078"/>
      <c r="AA33" s="1078"/>
      <c r="AB33" s="1090"/>
      <c r="AC33" s="1090"/>
      <c r="AD33" s="1092"/>
      <c r="AE33" s="1092"/>
      <c r="AF33" s="1092"/>
      <c r="AG33" s="1094"/>
      <c r="AH33" s="865"/>
      <c r="AI33" s="1096"/>
      <c r="AJ33" s="1096"/>
      <c r="AK33" s="906"/>
      <c r="AL33" s="907"/>
      <c r="AM33" s="936"/>
      <c r="AN33" s="1100"/>
      <c r="AO33" s="1100"/>
      <c r="AP33" s="1100"/>
      <c r="AQ33" s="1100"/>
      <c r="AR33" s="59"/>
      <c r="AU33" s="1102"/>
      <c r="AV33" s="1102"/>
      <c r="AW33" s="901"/>
      <c r="AX33" s="812"/>
      <c r="AY33" s="812"/>
      <c r="AZ33" s="874"/>
      <c r="BA33" s="812"/>
      <c r="BB33" s="996"/>
      <c r="BC33" s="1098"/>
      <c r="BD33" s="996"/>
      <c r="BE33" s="996"/>
      <c r="BF33" s="1098"/>
      <c r="BH33" s="996"/>
    </row>
    <row r="34" spans="2:60" ht="15.95" customHeight="1">
      <c r="B34" s="829">
        <v>10</v>
      </c>
      <c r="C34" s="1087"/>
      <c r="D34" s="1087"/>
      <c r="E34" s="1087"/>
      <c r="F34" s="866"/>
      <c r="G34" s="867"/>
      <c r="H34" s="867"/>
      <c r="I34" s="868"/>
      <c r="J34" s="1087"/>
      <c r="K34" s="1087"/>
      <c r="L34" s="1087"/>
      <c r="M34" s="1077"/>
      <c r="N34" s="1077"/>
      <c r="O34" s="1079" t="str">
        <f>IFERROR(IF(F34="","",INDEX(CMLIGHTBASE[Base Watt 1],MATCH(F34,CMLIGHTBASE[Base Desc 1],0))),"")</f>
        <v/>
      </c>
      <c r="P34" s="1080"/>
      <c r="Q34" s="1083"/>
      <c r="R34" s="1084"/>
      <c r="S34" s="885"/>
      <c r="T34" s="867"/>
      <c r="U34" s="867"/>
      <c r="V34" s="868"/>
      <c r="W34" s="1087"/>
      <c r="X34" s="1087"/>
      <c r="Y34" s="1087"/>
      <c r="Z34" s="1077"/>
      <c r="AA34" s="1077"/>
      <c r="AB34" s="1089"/>
      <c r="AC34" s="1089"/>
      <c r="AD34" s="1091"/>
      <c r="AE34" s="1091"/>
      <c r="AF34" s="1091"/>
      <c r="AG34" s="1093"/>
      <c r="AH34" s="918" t="str">
        <f t="shared" ref="AH34" si="40">IFERROR(IF(OR(C34="",J34="",M34="",O34="",Q34="",W34="",Z34="",AB34="",AD34="",AF34=""),"",ROUND((AD34+AF34)*Z34,2)),"")</f>
        <v/>
      </c>
      <c r="AI34" s="1095"/>
      <c r="AJ34" s="1095"/>
      <c r="AK34" s="904" t="str">
        <f t="shared" ref="AK34" si="41">IFERROR(IF(OR(C34="",F34="",J34="",M34="",O34="",Q34="",S34="",W34="",Z34="",AB34="",AD34="",AF34=""),"",ROUND(IF((M34*O34)&lt;=(Z34*AB34),"0",(AX34-AY34+BD34)*BE34),2)),"")</f>
        <v/>
      </c>
      <c r="AL34" s="905"/>
      <c r="AM34" s="969"/>
      <c r="AN34" s="1099" t="str">
        <f>IFERROR(IF(OR(C34="",F34="",J34="",M34="",O34="",Q34="",S34="",W34="",Z34="",AB34="",AD34="",AF34=""),"",IF(OR(ISNUMBER(SEARCH("~~",F34)),ISNUMBER(SEARCH("~~",S34))),"Invalid Fixture Type Selected",IF(BF34&lt;&gt;"",BF34,ROUND(MIN(AH34*0.75,AK34*INDEX(INCRATE[Electric],MATCH("CMLIGHT",INCRATE[Incentive Type]))),2)))),"")</f>
        <v/>
      </c>
      <c r="AO34" s="1099"/>
      <c r="AP34" s="1099"/>
      <c r="AQ34" s="1099"/>
      <c r="AR34" s="59"/>
      <c r="AU34" s="1103" t="str">
        <f>IF(F34="","",INDEX(CUSTLIGHTUNIT,MATCH(F34,CMELIGHTBASE1,0)))</f>
        <v/>
      </c>
      <c r="AV34" s="1101" t="str">
        <f>IFERROR(IF(OR(C34="",F34="",J34="",M34="",O34="",Q34="",S34="",W34="",Z34="",AB34="",AD34="",AF34=""),"",((((1+ELOSS)*((AK34*INDEX(ELECCB[NPV AEC $/kWh],MATCH(15,ELECCB[Year Number],0)))+(AW34*INDEX(ELECCB[NPV ACC+T&amp;D $/kW],MATCH(15,ELECCB[Year Number],0)))))+((1+GLOSS)*((BB34*INDEX(GASCB[NPV GAEC $/therm],MATCH(15,GASCB[Year Number],1))))))/AH34)),"")</f>
        <v/>
      </c>
      <c r="AW34" s="900" t="str">
        <f>IFERROR(IF(OR(C34="",F34="",J34="",M34="",O34="",Q34="",S34="",W34="",Z34="",AB34="",AD34="",AF34=""),"",IF(OR(ISNUMBER(SEARCH("Exterior",C34)),((M34*O34)&lt;=(Z34*AB34)),ISNUMBER(SEARCH("Exterior",S34)),ISNUMBER(SEARCH("Exterior",F34))),0,ROUND((((M34*O34)-(Z34*AB34))/1000)*INDEX(LightingWHF[Coincidence Factor CF],MATCH(M02S02F26,LightingWHF[Building/Space Type],0))*IF(OR(M02S02F32="AC with Natural Gas Heat",M02S02F32="AC with Electric Heat",M02S02F32="Heat Pump"),INDEX(LightingWHF[Waste Heat Cooling Demand WHFd],MATCH(M02S02F26,LightingWHF[Building/Space Type],0)),1),3))),"")</f>
        <v/>
      </c>
      <c r="AX34" s="811" t="str">
        <f t="shared" ref="AX34" si="42">IF(OR(C34="",F34="",J34="",M34="",O34="",Q34="",S34="",W34="",Z34="",AB34="",AD34="",AF34=""),"",ROUND(M34*O34*Q34/1000,2))</f>
        <v/>
      </c>
      <c r="AY34" s="811" t="str">
        <f t="shared" ref="AY34" si="43">IF(OR(C34="",F34="",J34="",M34="",O34="",Q34="",S34="",W34="",Z34="",AB34="",AD34="",AF34=""),"",ROUND(Z34*AB34*Q34/1000,2))</f>
        <v/>
      </c>
      <c r="AZ34" s="873" t="str">
        <f>IF(OR(C34="",F34="",J34="",M34="",O34="",Q34="",S34="",W34="",Z34="",AB34="",AD34="",AF34=""),"",IF(ISNUMBER(AN34),(CONCATENATE(INDEX(CMLIGHTBASE[Measure Number],MATCH(F34,CMLIGHTBASE[Base Desc 1],0)),INDEX(CMLIGHTEFF[Measure Number],MATCH(S34,CMLIGHTEFF[Eff Desc 1],0)))),IF(AK34=0,"","000001")))</f>
        <v/>
      </c>
      <c r="BA34" s="811" t="str">
        <f t="shared" ref="BA34" si="44">IF(OR(C34="",F34="",J34="",M34="",O34="",Q34="",S34="",W34="",Z34="",AB34="",AD34="",AF34=""),"",IF((M34*O34)&lt;=(Z34*AB34),"0",AX34-AY34))</f>
        <v/>
      </c>
      <c r="BB34" s="1058" t="str">
        <f>IF(OR(C34="",F34="",J34="",M34="",O34="",Q34="",S34="",W34="",Z34="",AB34="",AD34="",AF34=""),"",IF(M02S02F46="Electric Only",0,IF(OR(ISNUMBER(SEARCH("Exterior",S34)),ISNUMBER(SEARCH("Exterior",C34)),ISNUMBER(SEARCH("Exterior",F34))),0,IF(OR(M02S02F32="AC with Natural Gas Heat",M02S02F32="Natural Gas Heat Only"),(((O34*M34-AB34*Z34)/1000)*Q34*-INDEX(LightingWHF[Waste Heat Gas Heating IFTherms],MATCH(M02S02F26,LightingWHF[Building/Space Type],0))),0))))</f>
        <v/>
      </c>
      <c r="BC34" s="1097" t="str">
        <f>IFERROR(AH34/M02S02F35/BA34,"")</f>
        <v/>
      </c>
      <c r="BD34" s="1058" t="str">
        <f>IF(OR(C34="",F34="",J34="",M34="",O34="",Q34="",S34="",W34="",Z34="",AB34="",AD34="",AF34=""),"",IF(M02S02F46="Gas Only",0,IF(OR(ISNUMBER(SEARCH("Exterior",S34)),ISNUMBER(SEARCH("Exterior",C34)),ISNUMBER(SEARCH("Exterior",F34))),0,IF(M02S02F32="Heat Pump",(((O34*M34-AB34*Z34)/1000)*Q34*-INDEX(LightingWHF[Waste Heat Electric Heat Pump Heating IFkWh],MATCH(M02S02F26,LightingWHF[Building/Space Type],0))),
IF(OR(M02S02F32="AC with Electric Heat",M02S02F32="Electric Heat Only"),(((O34*M34-AB34*Z34)/1000)*Q34*-INDEX(LightingWHF[Waste Heat Electric Resistance Heating IFkWh],MATCH(M02S02F26,LightingWHF[Building/Space Type],0))),0
)))))</f>
        <v/>
      </c>
      <c r="BE34" s="1058" t="str">
        <f>IF(OR(C34="",F34="",J34="",M34="",O34="",Q34="",S34="",W34="",Z34="",AB34="",AD34="",AF34=""),"",IF(M02S02F46="Gas Only",0,IF(OR(ISNUMBER(SEARCH("Exterior",S34)),ISNUMBER(SEARCH("Exterior",C34)),ISNUMBER(SEARCH("Exterior",F34))),1,IF(OR(M02S02F32="Heat Pump",M02S02F32="AC with Natural Gas Heat",M02S02F32="AC with Electric Heat"),(INDEX(LightingWHF[Waste Heat Cooling Energy WHFe],MATCH(M02S02F26,LightingWHF[Building/Space Type],0))),1))))</f>
        <v/>
      </c>
      <c r="BF34" s="1097" t="str">
        <f>IFERROR(IF((M34*O34)&lt;=(Z34*AB34),MEASURESAVE,IF(M02S02F35="",MEASURERATE,IF(AH34/M02S02F35/BA34&lt;1,MEASUREPAY,IF(AV34&lt;1,MEASURECB,IF(OR(ISBLANK(M02S02F26),ISBLANK(M02S02F32),ISBLANK(M02S02F46)),MEASUREBLDG,""))))),MEASURESUBMIT)</f>
        <v>Submit for Review</v>
      </c>
      <c r="BH34" s="995" t="str">
        <f ca="1">IF(OR(C34="",F34="",J34="",M34="",O34="",Q34="",S34="",W34="",Z34="",AB34="",AD34="",AF34=""),"",IF('M01-S01'!$V$82&lt;TODAY(),0,IF(M02S02F46="Gas Only",0,IF(OR(AK34="",AK34&lt;0,AU34&lt;=AN34),0,MIN(AH34-AN34,ROUND(AN34*0.2,2))))))</f>
        <v/>
      </c>
    </row>
    <row r="35" spans="2:60" ht="15.95" customHeight="1">
      <c r="B35" s="829"/>
      <c r="C35" s="1088"/>
      <c r="D35" s="1088"/>
      <c r="E35" s="1088"/>
      <c r="F35" s="835"/>
      <c r="G35" s="836"/>
      <c r="H35" s="836"/>
      <c r="I35" s="837"/>
      <c r="J35" s="1088"/>
      <c r="K35" s="1088"/>
      <c r="L35" s="1088"/>
      <c r="M35" s="1078"/>
      <c r="N35" s="1078"/>
      <c r="O35" s="1081"/>
      <c r="P35" s="1082"/>
      <c r="Q35" s="1085"/>
      <c r="R35" s="1086"/>
      <c r="S35" s="851"/>
      <c r="T35" s="836"/>
      <c r="U35" s="836"/>
      <c r="V35" s="837"/>
      <c r="W35" s="1088"/>
      <c r="X35" s="1088"/>
      <c r="Y35" s="1088"/>
      <c r="Z35" s="1078"/>
      <c r="AA35" s="1078"/>
      <c r="AB35" s="1090"/>
      <c r="AC35" s="1090"/>
      <c r="AD35" s="1092"/>
      <c r="AE35" s="1092"/>
      <c r="AF35" s="1092"/>
      <c r="AG35" s="1094"/>
      <c r="AH35" s="865"/>
      <c r="AI35" s="1096"/>
      <c r="AJ35" s="1096"/>
      <c r="AK35" s="906"/>
      <c r="AL35" s="907"/>
      <c r="AM35" s="936"/>
      <c r="AN35" s="1100"/>
      <c r="AO35" s="1100"/>
      <c r="AP35" s="1100"/>
      <c r="AQ35" s="1100"/>
      <c r="AR35" s="59"/>
      <c r="AU35" s="1102"/>
      <c r="AV35" s="1102"/>
      <c r="AW35" s="901"/>
      <c r="AX35" s="812"/>
      <c r="AY35" s="812"/>
      <c r="AZ35" s="874"/>
      <c r="BA35" s="812"/>
      <c r="BB35" s="996"/>
      <c r="BC35" s="1098"/>
      <c r="BD35" s="996"/>
      <c r="BE35" s="996"/>
      <c r="BF35" s="1098"/>
      <c r="BH35" s="996"/>
    </row>
    <row r="36" spans="2:60" ht="15.95" customHeight="1">
      <c r="B36" s="829">
        <v>11</v>
      </c>
      <c r="C36" s="1087"/>
      <c r="D36" s="1087"/>
      <c r="E36" s="1087"/>
      <c r="F36" s="866"/>
      <c r="G36" s="867"/>
      <c r="H36" s="867"/>
      <c r="I36" s="868"/>
      <c r="J36" s="1087"/>
      <c r="K36" s="1087"/>
      <c r="L36" s="1087"/>
      <c r="M36" s="1077"/>
      <c r="N36" s="1077"/>
      <c r="O36" s="1079" t="str">
        <f>IFERROR(IF(F36="","",INDEX(CMLIGHTBASE[Base Watt 1],MATCH(F36,CMLIGHTBASE[Base Desc 1],0))),"")</f>
        <v/>
      </c>
      <c r="P36" s="1080"/>
      <c r="Q36" s="1083"/>
      <c r="R36" s="1084"/>
      <c r="S36" s="885"/>
      <c r="T36" s="867"/>
      <c r="U36" s="867"/>
      <c r="V36" s="868"/>
      <c r="W36" s="1087"/>
      <c r="X36" s="1087"/>
      <c r="Y36" s="1087"/>
      <c r="Z36" s="1077"/>
      <c r="AA36" s="1077"/>
      <c r="AB36" s="1089"/>
      <c r="AC36" s="1089"/>
      <c r="AD36" s="1091"/>
      <c r="AE36" s="1091"/>
      <c r="AF36" s="1091"/>
      <c r="AG36" s="1093"/>
      <c r="AH36" s="918" t="str">
        <f t="shared" ref="AH36" si="45">IFERROR(IF(OR(C36="",J36="",M36="",O36="",Q36="",W36="",Z36="",AB36="",AD36="",AF36=""),"",ROUND((AD36+AF36)*Z36,2)),"")</f>
        <v/>
      </c>
      <c r="AI36" s="1095"/>
      <c r="AJ36" s="1095"/>
      <c r="AK36" s="904" t="str">
        <f t="shared" ref="AK36" si="46">IFERROR(IF(OR(C36="",F36="",J36="",M36="",O36="",Q36="",S36="",W36="",Z36="",AB36="",AD36="",AF36=""),"",ROUND(IF((M36*O36)&lt;=(Z36*AB36),"0",(AX36-AY36+BD36)*BE36),2)),"")</f>
        <v/>
      </c>
      <c r="AL36" s="905"/>
      <c r="AM36" s="969"/>
      <c r="AN36" s="1099" t="str">
        <f>IFERROR(IF(OR(C36="",F36="",J36="",M36="",O36="",Q36="",S36="",W36="",Z36="",AB36="",AD36="",AF36=""),"",IF(OR(ISNUMBER(SEARCH("~~",F36)),ISNUMBER(SEARCH("~~",S36))),"Invalid Fixture Type Selected",IF(BF36&lt;&gt;"",BF36,ROUND(MIN(AH36*0.75,AK36*INDEX(INCRATE[Electric],MATCH("CMLIGHT",INCRATE[Incentive Type]))),2)))),"")</f>
        <v/>
      </c>
      <c r="AO36" s="1099"/>
      <c r="AP36" s="1099"/>
      <c r="AQ36" s="1099"/>
      <c r="AR36" s="59"/>
      <c r="AU36" s="1103" t="str">
        <f>IF(F36="","",INDEX(CUSTLIGHTUNIT,MATCH(F36,CMELIGHTBASE1,0)))</f>
        <v/>
      </c>
      <c r="AV36" s="1101" t="str">
        <f>IFERROR(IF(OR(C36="",F36="",J36="",M36="",O36="",Q36="",S36="",W36="",Z36="",AB36="",AD36="",AF36=""),"",((((1+ELOSS)*((AK36*INDEX(ELECCB[NPV AEC $/kWh],MATCH(15,ELECCB[Year Number],0)))+(AW36*INDEX(ELECCB[NPV ACC+T&amp;D $/kW],MATCH(15,ELECCB[Year Number],0)))))+((1+GLOSS)*((BB36*INDEX(GASCB[NPV GAEC $/therm],MATCH(15,GASCB[Year Number],1))))))/AH36)),"")</f>
        <v/>
      </c>
      <c r="AW36" s="900" t="str">
        <f>IFERROR(IF(OR(C36="",F36="",J36="",M36="",O36="",Q36="",S36="",W36="",Z36="",AB36="",AD36="",AF36=""),"",IF(OR(ISNUMBER(SEARCH("Exterior",C36)),((M36*O36)&lt;=(Z36*AB36)),ISNUMBER(SEARCH("Exterior",S36)),ISNUMBER(SEARCH("Exterior",F36))),0,ROUND((((M36*O36)-(Z36*AB36))/1000)*INDEX(LightingWHF[Coincidence Factor CF],MATCH(M02S02F26,LightingWHF[Building/Space Type],0))*IF(OR(M02S02F32="AC with Natural Gas Heat",M02S02F32="AC with Electric Heat",M02S02F32="Heat Pump"),INDEX(LightingWHF[Waste Heat Cooling Demand WHFd],MATCH(M02S02F26,LightingWHF[Building/Space Type],0)),1),3))),"")</f>
        <v/>
      </c>
      <c r="AX36" s="811" t="str">
        <f t="shared" ref="AX36" si="47">IF(OR(C36="",F36="",J36="",M36="",O36="",Q36="",S36="",W36="",Z36="",AB36="",AD36="",AF36=""),"",ROUND(M36*O36*Q36/1000,2))</f>
        <v/>
      </c>
      <c r="AY36" s="811" t="str">
        <f t="shared" ref="AY36" si="48">IF(OR(C36="",F36="",J36="",M36="",O36="",Q36="",S36="",W36="",Z36="",AB36="",AD36="",AF36=""),"",ROUND(Z36*AB36*Q36/1000,2))</f>
        <v/>
      </c>
      <c r="AZ36" s="873" t="str">
        <f>IF(OR(C36="",F36="",J36="",M36="",O36="",Q36="",S36="",W36="",Z36="",AB36="",AD36="",AF36=""),"",IF(ISNUMBER(AN36),(CONCATENATE(INDEX(CMLIGHTBASE[Measure Number],MATCH(F36,CMLIGHTBASE[Base Desc 1],0)),INDEX(CMLIGHTEFF[Measure Number],MATCH(S36,CMLIGHTEFF[Eff Desc 1],0)))),IF(AK36=0,"","000001")))</f>
        <v/>
      </c>
      <c r="BA36" s="811" t="str">
        <f t="shared" ref="BA36" si="49">IF(OR(C36="",F36="",J36="",M36="",O36="",Q36="",S36="",W36="",Z36="",AB36="",AD36="",AF36=""),"",IF((M36*O36)&lt;=(Z36*AB36),"0",AX36-AY36))</f>
        <v/>
      </c>
      <c r="BB36" s="1058" t="str">
        <f>IF(OR(C36="",F36="",J36="",M36="",O36="",Q36="",S36="",W36="",Z36="",AB36="",AD36="",AF36=""),"",IF(M02S02F46="Electric Only",0,IF(OR(ISNUMBER(SEARCH("Exterior",S36)),ISNUMBER(SEARCH("Exterior",C36)),ISNUMBER(SEARCH("Exterior",F36))),0,IF(OR(M02S02F32="AC with Natural Gas Heat",M02S02F32="Natural Gas Heat Only"),(((O36*M36-AB36*Z36)/1000)*Q36*-INDEX(LightingWHF[Waste Heat Gas Heating IFTherms],MATCH(M02S02F26,LightingWHF[Building/Space Type],0))),0))))</f>
        <v/>
      </c>
      <c r="BC36" s="1097" t="str">
        <f>IFERROR(AH36/M02S02F35/BA36,"")</f>
        <v/>
      </c>
      <c r="BD36" s="1058" t="str">
        <f>IF(OR(C36="",F36="",J36="",M36="",O36="",Q36="",S36="",W36="",Z36="",AB36="",AD36="",AF36=""),"",IF(M02S02F46="Gas Only",0,IF(OR(ISNUMBER(SEARCH("Exterior",S36)),ISNUMBER(SEARCH("Exterior",C36)),ISNUMBER(SEARCH("Exterior",F36))),0,IF(M02S02F32="Heat Pump",(((O36*M36-AB36*Z36)/1000)*Q36*-INDEX(LightingWHF[Waste Heat Electric Heat Pump Heating IFkWh],MATCH(M02S02F26,LightingWHF[Building/Space Type],0))),
IF(OR(M02S02F32="AC with Electric Heat",M02S02F32="Electric Heat Only"),(((O36*M36-AB36*Z36)/1000)*Q36*-INDEX(LightingWHF[Waste Heat Electric Resistance Heating IFkWh],MATCH(M02S02F26,LightingWHF[Building/Space Type],0))),0
)))))</f>
        <v/>
      </c>
      <c r="BE36" s="1058" t="str">
        <f>IF(OR(C36="",F36="",J36="",M36="",O36="",Q36="",S36="",W36="",Z36="",AB36="",AD36="",AF36=""),"",IF(M02S02F46="Gas Only",0,IF(OR(ISNUMBER(SEARCH("Exterior",S36)),ISNUMBER(SEARCH("Exterior",C36)),ISNUMBER(SEARCH("Exterior",F36))),1,IF(OR(M02S02F32="Heat Pump",M02S02F32="AC with Natural Gas Heat",M02S02F32="AC with Electric Heat"),(INDEX(LightingWHF[Waste Heat Cooling Energy WHFe],MATCH(M02S02F26,LightingWHF[Building/Space Type],0))),1))))</f>
        <v/>
      </c>
      <c r="BF36" s="1097" t="str">
        <f>IFERROR(IF((M36*O36)&lt;=(Z36*AB36),MEASURESAVE,IF(M02S02F35="",MEASURERATE,IF(AH36/M02S02F35/BA36&lt;1,MEASUREPAY,IF(AV36&lt;1,MEASURECB,IF(OR(ISBLANK(M02S02F26),ISBLANK(M02S02F32),ISBLANK(M02S02F46)),MEASUREBLDG,""))))),MEASURESUBMIT)</f>
        <v>Submit for Review</v>
      </c>
      <c r="BH36" s="995" t="str">
        <f ca="1">IF(OR(C36="",F36="",J36="",M36="",O36="",Q36="",S36="",W36="",Z36="",AB36="",AD36="",AF36=""),"",IF('M01-S01'!$V$82&lt;TODAY(),0,IF(M02S02F46="Gas Only",0,IF(OR(AK36="",AK36&lt;0,AU36&lt;=AN36),0,MIN(AH36-AN36,ROUND(AN36*0.2,2))))))</f>
        <v/>
      </c>
    </row>
    <row r="37" spans="2:60" ht="15.95" customHeight="1">
      <c r="B37" s="829"/>
      <c r="C37" s="1088"/>
      <c r="D37" s="1088"/>
      <c r="E37" s="1088"/>
      <c r="F37" s="835"/>
      <c r="G37" s="836"/>
      <c r="H37" s="836"/>
      <c r="I37" s="837"/>
      <c r="J37" s="1088"/>
      <c r="K37" s="1088"/>
      <c r="L37" s="1088"/>
      <c r="M37" s="1078"/>
      <c r="N37" s="1078"/>
      <c r="O37" s="1081"/>
      <c r="P37" s="1082"/>
      <c r="Q37" s="1085"/>
      <c r="R37" s="1086"/>
      <c r="S37" s="851"/>
      <c r="T37" s="836"/>
      <c r="U37" s="836"/>
      <c r="V37" s="837"/>
      <c r="W37" s="1088"/>
      <c r="X37" s="1088"/>
      <c r="Y37" s="1088"/>
      <c r="Z37" s="1078"/>
      <c r="AA37" s="1078"/>
      <c r="AB37" s="1090"/>
      <c r="AC37" s="1090"/>
      <c r="AD37" s="1092"/>
      <c r="AE37" s="1092"/>
      <c r="AF37" s="1092"/>
      <c r="AG37" s="1094"/>
      <c r="AH37" s="865"/>
      <c r="AI37" s="1096"/>
      <c r="AJ37" s="1096"/>
      <c r="AK37" s="906"/>
      <c r="AL37" s="907"/>
      <c r="AM37" s="936"/>
      <c r="AN37" s="1100"/>
      <c r="AO37" s="1100"/>
      <c r="AP37" s="1100"/>
      <c r="AQ37" s="1100"/>
      <c r="AR37" s="59"/>
      <c r="AU37" s="1102"/>
      <c r="AV37" s="1102"/>
      <c r="AW37" s="901"/>
      <c r="AX37" s="812"/>
      <c r="AY37" s="812"/>
      <c r="AZ37" s="874"/>
      <c r="BA37" s="812"/>
      <c r="BB37" s="996"/>
      <c r="BC37" s="1098"/>
      <c r="BD37" s="996"/>
      <c r="BE37" s="996"/>
      <c r="BF37" s="1098"/>
      <c r="BH37" s="996"/>
    </row>
    <row r="38" spans="2:60" ht="15.95" customHeight="1">
      <c r="B38" s="829">
        <v>12</v>
      </c>
      <c r="C38" s="1087"/>
      <c r="D38" s="1087"/>
      <c r="E38" s="1087"/>
      <c r="F38" s="866"/>
      <c r="G38" s="867"/>
      <c r="H38" s="867"/>
      <c r="I38" s="868"/>
      <c r="J38" s="1087"/>
      <c r="K38" s="1087"/>
      <c r="L38" s="1087"/>
      <c r="M38" s="1077"/>
      <c r="N38" s="1077"/>
      <c r="O38" s="1079" t="str">
        <f>IFERROR(IF(F38="","",INDEX(CMLIGHTBASE[Base Watt 1],MATCH(F38,CMLIGHTBASE[Base Desc 1],0))),"")</f>
        <v/>
      </c>
      <c r="P38" s="1080"/>
      <c r="Q38" s="1083"/>
      <c r="R38" s="1084"/>
      <c r="S38" s="885"/>
      <c r="T38" s="867"/>
      <c r="U38" s="867"/>
      <c r="V38" s="868"/>
      <c r="W38" s="1087"/>
      <c r="X38" s="1087"/>
      <c r="Y38" s="1087"/>
      <c r="Z38" s="1077"/>
      <c r="AA38" s="1077"/>
      <c r="AB38" s="1089"/>
      <c r="AC38" s="1089"/>
      <c r="AD38" s="1091"/>
      <c r="AE38" s="1091"/>
      <c r="AF38" s="1091"/>
      <c r="AG38" s="1093"/>
      <c r="AH38" s="918" t="str">
        <f t="shared" ref="AH38" si="50">IFERROR(IF(OR(C38="",J38="",M38="",O38="",Q38="",W38="",Z38="",AB38="",AD38="",AF38=""),"",ROUND((AD38+AF38)*Z38,2)),"")</f>
        <v/>
      </c>
      <c r="AI38" s="1095"/>
      <c r="AJ38" s="1095"/>
      <c r="AK38" s="904" t="str">
        <f t="shared" ref="AK38" si="51">IFERROR(IF(OR(C38="",F38="",J38="",M38="",O38="",Q38="",S38="",W38="",Z38="",AB38="",AD38="",AF38=""),"",ROUND(IF((M38*O38)&lt;=(Z38*AB38),"0",(AX38-AY38+BD38)*BE38),2)),"")</f>
        <v/>
      </c>
      <c r="AL38" s="905"/>
      <c r="AM38" s="969"/>
      <c r="AN38" s="1099" t="str">
        <f>IFERROR(IF(OR(C38="",F38="",J38="",M38="",O38="",Q38="",S38="",W38="",Z38="",AB38="",AD38="",AF38=""),"",IF(OR(ISNUMBER(SEARCH("~~",F38)),ISNUMBER(SEARCH("~~",S38))),"Invalid Fixture Type Selected",IF(BF38&lt;&gt;"",BF38,ROUND(MIN(AH38*0.75,AK38*INDEX(INCRATE[Electric],MATCH("CMLIGHT",INCRATE[Incentive Type]))),2)))),"")</f>
        <v/>
      </c>
      <c r="AO38" s="1099"/>
      <c r="AP38" s="1099"/>
      <c r="AQ38" s="1099"/>
      <c r="AR38" s="59"/>
      <c r="AU38" s="1103" t="str">
        <f>IF(F38="","",INDEX(CUSTLIGHTUNIT,MATCH(F38,CMELIGHTBASE1,0)))</f>
        <v/>
      </c>
      <c r="AV38" s="1101" t="str">
        <f>IFERROR(IF(OR(C38="",F38="",J38="",M38="",O38="",Q38="",S38="",W38="",Z38="",AB38="",AD38="",AF38=""),"",((((1+ELOSS)*((AK38*INDEX(ELECCB[NPV AEC $/kWh],MATCH(15,ELECCB[Year Number],0)))+(AW38*INDEX(ELECCB[NPV ACC+T&amp;D $/kW],MATCH(15,ELECCB[Year Number],0)))))+((1+GLOSS)*((BB38*INDEX(GASCB[NPV GAEC $/therm],MATCH(15,GASCB[Year Number],1))))))/AH38)),"")</f>
        <v/>
      </c>
      <c r="AW38" s="900" t="str">
        <f>IFERROR(IF(OR(C38="",F38="",J38="",M38="",O38="",Q38="",S38="",W38="",Z38="",AB38="",AD38="",AF38=""),"",IF(OR(ISNUMBER(SEARCH("Exterior",C38)),((M38*O38)&lt;=(Z38*AB38)),ISNUMBER(SEARCH("Exterior",S38)),ISNUMBER(SEARCH("Exterior",F38))),0,ROUND((((M38*O38)-(Z38*AB38))/1000)*INDEX(LightingWHF[Coincidence Factor CF],MATCH(M02S02F26,LightingWHF[Building/Space Type],0))*IF(OR(M02S02F32="AC with Natural Gas Heat",M02S02F32="AC with Electric Heat",M02S02F32="Heat Pump"),INDEX(LightingWHF[Waste Heat Cooling Demand WHFd],MATCH(M02S02F26,LightingWHF[Building/Space Type],0)),1),3))),"")</f>
        <v/>
      </c>
      <c r="AX38" s="811" t="str">
        <f t="shared" ref="AX38" si="52">IF(OR(C38="",F38="",J38="",M38="",O38="",Q38="",S38="",W38="",Z38="",AB38="",AD38="",AF38=""),"",ROUND(M38*O38*Q38/1000,2))</f>
        <v/>
      </c>
      <c r="AY38" s="811" t="str">
        <f t="shared" ref="AY38" si="53">IF(OR(C38="",F38="",J38="",M38="",O38="",Q38="",S38="",W38="",Z38="",AB38="",AD38="",AF38=""),"",ROUND(Z38*AB38*Q38/1000,2))</f>
        <v/>
      </c>
      <c r="AZ38" s="873" t="str">
        <f>IF(OR(C38="",F38="",J38="",M38="",O38="",Q38="",S38="",W38="",Z38="",AB38="",AD38="",AF38=""),"",IF(ISNUMBER(AN38),(CONCATENATE(INDEX(CMLIGHTBASE[Measure Number],MATCH(F38,CMLIGHTBASE[Base Desc 1],0)),INDEX(CMLIGHTEFF[Measure Number],MATCH(S38,CMLIGHTEFF[Eff Desc 1],0)))),IF(AK38=0,"","000001")))</f>
        <v/>
      </c>
      <c r="BA38" s="811" t="str">
        <f t="shared" ref="BA38" si="54">IF(OR(C38="",F38="",J38="",M38="",O38="",Q38="",S38="",W38="",Z38="",AB38="",AD38="",AF38=""),"",IF((M38*O38)&lt;=(Z38*AB38),"0",AX38-AY38))</f>
        <v/>
      </c>
      <c r="BB38" s="1058" t="str">
        <f>IF(OR(C38="",F38="",J38="",M38="",O38="",Q38="",S38="",W38="",Z38="",AB38="",AD38="",AF38=""),"",IF(M02S02F46="Electric Only",0,IF(OR(ISNUMBER(SEARCH("Exterior",S38)),ISNUMBER(SEARCH("Exterior",C38)),ISNUMBER(SEARCH("Exterior",F38))),0,IF(OR(M02S02F32="AC with Natural Gas Heat",M02S02F32="Natural Gas Heat Only"),(((O38*M38-AB38*Z38)/1000)*Q38*-INDEX(LightingWHF[Waste Heat Gas Heating IFTherms],MATCH(M02S02F26,LightingWHF[Building/Space Type],0))),0))))</f>
        <v/>
      </c>
      <c r="BC38" s="1097" t="str">
        <f>IFERROR(AH38/M02S02F35/BA38,"")</f>
        <v/>
      </c>
      <c r="BD38" s="1058" t="str">
        <f>IF(OR(C38="",F38="",J38="",M38="",O38="",Q38="",S38="",W38="",Z38="",AB38="",AD38="",AF38=""),"",IF(M02S02F46="Gas Only",0,IF(OR(ISNUMBER(SEARCH("Exterior",S38)),ISNUMBER(SEARCH("Exterior",C38)),ISNUMBER(SEARCH("Exterior",F38))),0,IF(M02S02F32="Heat Pump",(((O38*M38-AB38*Z38)/1000)*Q38*-INDEX(LightingWHF[Waste Heat Electric Heat Pump Heating IFkWh],MATCH(M02S02F26,LightingWHF[Building/Space Type],0))),
IF(OR(M02S02F32="AC with Electric Heat",M02S02F32="Electric Heat Only"),(((O38*M38-AB38*Z38)/1000)*Q38*-INDEX(LightingWHF[Waste Heat Electric Resistance Heating IFkWh],MATCH(M02S02F26,LightingWHF[Building/Space Type],0))),0
)))))</f>
        <v/>
      </c>
      <c r="BE38" s="1058" t="str">
        <f>IF(OR(C38="",F38="",J38="",M38="",O38="",Q38="",S38="",W38="",Z38="",AB38="",AD38="",AF38=""),"",IF(M02S02F46="Gas Only",0,IF(OR(ISNUMBER(SEARCH("Exterior",S38)),ISNUMBER(SEARCH("Exterior",C38)),ISNUMBER(SEARCH("Exterior",F38))),1,IF(OR(M02S02F32="Heat Pump",M02S02F32="AC with Natural Gas Heat",M02S02F32="AC with Electric Heat"),(INDEX(LightingWHF[Waste Heat Cooling Energy WHFe],MATCH(M02S02F26,LightingWHF[Building/Space Type],0))),1))))</f>
        <v/>
      </c>
      <c r="BF38" s="1097" t="str">
        <f>IFERROR(IF((M38*O38)&lt;=(Z38*AB38),MEASURESAVE,IF(M02S02F35="",MEASURERATE,IF(AH38/M02S02F35/BA38&lt;1,MEASUREPAY,IF(AV38&lt;1,MEASURECB,IF(OR(ISBLANK(M02S02F26),ISBLANK(M02S02F32),ISBLANK(M02S02F46)),MEASUREBLDG,""))))),MEASURESUBMIT)</f>
        <v>Submit for Review</v>
      </c>
      <c r="BH38" s="995" t="str">
        <f ca="1">IF(OR(C38="",F38="",J38="",M38="",O38="",Q38="",S38="",W38="",Z38="",AB38="",AD38="",AF38=""),"",IF('M01-S01'!$V$82&lt;TODAY(),0,IF(M02S02F46="Gas Only",0,IF(OR(AK38="",AK38&lt;0,AU38&lt;=AN38),0,MIN(AH38-AN38,ROUND(AN38*0.2,2))))))</f>
        <v/>
      </c>
    </row>
    <row r="39" spans="2:60" ht="15.95" customHeight="1">
      <c r="B39" s="829"/>
      <c r="C39" s="1088"/>
      <c r="D39" s="1088"/>
      <c r="E39" s="1088"/>
      <c r="F39" s="835"/>
      <c r="G39" s="836"/>
      <c r="H39" s="836"/>
      <c r="I39" s="837"/>
      <c r="J39" s="1088"/>
      <c r="K39" s="1088"/>
      <c r="L39" s="1088"/>
      <c r="M39" s="1078"/>
      <c r="N39" s="1078"/>
      <c r="O39" s="1081"/>
      <c r="P39" s="1082"/>
      <c r="Q39" s="1085"/>
      <c r="R39" s="1086"/>
      <c r="S39" s="851"/>
      <c r="T39" s="836"/>
      <c r="U39" s="836"/>
      <c r="V39" s="837"/>
      <c r="W39" s="1088"/>
      <c r="X39" s="1088"/>
      <c r="Y39" s="1088"/>
      <c r="Z39" s="1078"/>
      <c r="AA39" s="1078"/>
      <c r="AB39" s="1090"/>
      <c r="AC39" s="1090"/>
      <c r="AD39" s="1092"/>
      <c r="AE39" s="1092"/>
      <c r="AF39" s="1092"/>
      <c r="AG39" s="1094"/>
      <c r="AH39" s="865"/>
      <c r="AI39" s="1096"/>
      <c r="AJ39" s="1096"/>
      <c r="AK39" s="906"/>
      <c r="AL39" s="907"/>
      <c r="AM39" s="936"/>
      <c r="AN39" s="1100"/>
      <c r="AO39" s="1100"/>
      <c r="AP39" s="1100"/>
      <c r="AQ39" s="1100"/>
      <c r="AR39" s="59"/>
      <c r="AU39" s="1102"/>
      <c r="AV39" s="1102"/>
      <c r="AW39" s="901"/>
      <c r="AX39" s="812"/>
      <c r="AY39" s="812"/>
      <c r="AZ39" s="874"/>
      <c r="BA39" s="812"/>
      <c r="BB39" s="996"/>
      <c r="BC39" s="1098"/>
      <c r="BD39" s="996"/>
      <c r="BE39" s="996"/>
      <c r="BF39" s="1098"/>
      <c r="BH39" s="996"/>
    </row>
    <row r="40" spans="2:60" ht="15.95" customHeight="1">
      <c r="B40" s="829">
        <v>13</v>
      </c>
      <c r="C40" s="1087"/>
      <c r="D40" s="1087"/>
      <c r="E40" s="1087"/>
      <c r="F40" s="866"/>
      <c r="G40" s="867"/>
      <c r="H40" s="867"/>
      <c r="I40" s="868"/>
      <c r="J40" s="1087"/>
      <c r="K40" s="1087"/>
      <c r="L40" s="1087"/>
      <c r="M40" s="1077"/>
      <c r="N40" s="1077"/>
      <c r="O40" s="1079" t="str">
        <f>IFERROR(IF(F40="","",INDEX(CMLIGHTBASE[Base Watt 1],MATCH(F40,CMLIGHTBASE[Base Desc 1],0))),"")</f>
        <v/>
      </c>
      <c r="P40" s="1080"/>
      <c r="Q40" s="1083"/>
      <c r="R40" s="1084"/>
      <c r="S40" s="885"/>
      <c r="T40" s="867"/>
      <c r="U40" s="867"/>
      <c r="V40" s="868"/>
      <c r="W40" s="1087"/>
      <c r="X40" s="1087"/>
      <c r="Y40" s="1087"/>
      <c r="Z40" s="1077"/>
      <c r="AA40" s="1077"/>
      <c r="AB40" s="1089"/>
      <c r="AC40" s="1089"/>
      <c r="AD40" s="1091"/>
      <c r="AE40" s="1091"/>
      <c r="AF40" s="1091"/>
      <c r="AG40" s="1093"/>
      <c r="AH40" s="918" t="str">
        <f t="shared" ref="AH40" si="55">IFERROR(IF(OR(C40="",J40="",M40="",O40="",Q40="",W40="",Z40="",AB40="",AD40="",AF40=""),"",ROUND((AD40+AF40)*Z40,2)),"")</f>
        <v/>
      </c>
      <c r="AI40" s="1095"/>
      <c r="AJ40" s="1095"/>
      <c r="AK40" s="904" t="str">
        <f t="shared" ref="AK40" si="56">IFERROR(IF(OR(C40="",F40="",J40="",M40="",O40="",Q40="",S40="",W40="",Z40="",AB40="",AD40="",AF40=""),"",ROUND(IF((M40*O40)&lt;=(Z40*AB40),"0",(AX40-AY40+BD40)*BE40),2)),"")</f>
        <v/>
      </c>
      <c r="AL40" s="905"/>
      <c r="AM40" s="969"/>
      <c r="AN40" s="1099" t="str">
        <f>IFERROR(IF(OR(C40="",F40="",J40="",M40="",O40="",Q40="",S40="",W40="",Z40="",AB40="",AD40="",AF40=""),"",IF(OR(ISNUMBER(SEARCH("~~",F40)),ISNUMBER(SEARCH("~~",S40))),"Invalid Fixture Type Selected",IF(BF40&lt;&gt;"",BF40,ROUND(MIN(AH40*0.75,AK40*INDEX(INCRATE[Electric],MATCH("CMLIGHT",INCRATE[Incentive Type]))),2)))),"")</f>
        <v/>
      </c>
      <c r="AO40" s="1099"/>
      <c r="AP40" s="1099"/>
      <c r="AQ40" s="1099"/>
      <c r="AR40" s="59"/>
      <c r="AU40" s="1103" t="str">
        <f>IF(F40="","",INDEX(CUSTLIGHTUNIT,MATCH(F40,CMELIGHTBASE1,0)))</f>
        <v/>
      </c>
      <c r="AV40" s="1101" t="str">
        <f>IFERROR(IF(OR(C40="",F40="",J40="",M40="",O40="",Q40="",S40="",W40="",Z40="",AB40="",AD40="",AF40=""),"",((((1+ELOSS)*((AK40*INDEX(ELECCB[NPV AEC $/kWh],MATCH(15,ELECCB[Year Number],0)))+(AW40*INDEX(ELECCB[NPV ACC+T&amp;D $/kW],MATCH(15,ELECCB[Year Number],0)))))+((1+GLOSS)*((BB40*INDEX(GASCB[NPV GAEC $/therm],MATCH(15,GASCB[Year Number],1))))))/AH40)),"")</f>
        <v/>
      </c>
      <c r="AW40" s="900" t="str">
        <f>IFERROR(IF(OR(C40="",F40="",J40="",M40="",O40="",Q40="",S40="",W40="",Z40="",AB40="",AD40="",AF40=""),"",IF(OR(ISNUMBER(SEARCH("Exterior",C40)),((M40*O40)&lt;=(Z40*AB40)),ISNUMBER(SEARCH("Exterior",S40)),ISNUMBER(SEARCH("Exterior",F40))),0,ROUND((((M40*O40)-(Z40*AB40))/1000)*INDEX(LightingWHF[Coincidence Factor CF],MATCH(M02S02F26,LightingWHF[Building/Space Type],0))*IF(OR(M02S02F32="AC with Natural Gas Heat",M02S02F32="AC with Electric Heat",M02S02F32="Heat Pump"),INDEX(LightingWHF[Waste Heat Cooling Demand WHFd],MATCH(M02S02F26,LightingWHF[Building/Space Type],0)),1),3))),"")</f>
        <v/>
      </c>
      <c r="AX40" s="811" t="str">
        <f t="shared" ref="AX40" si="57">IF(OR(C40="",F40="",J40="",M40="",O40="",Q40="",S40="",W40="",Z40="",AB40="",AD40="",AF40=""),"",ROUND(M40*O40*Q40/1000,2))</f>
        <v/>
      </c>
      <c r="AY40" s="811" t="str">
        <f t="shared" ref="AY40" si="58">IF(OR(C40="",F40="",J40="",M40="",O40="",Q40="",S40="",W40="",Z40="",AB40="",AD40="",AF40=""),"",ROUND(Z40*AB40*Q40/1000,2))</f>
        <v/>
      </c>
      <c r="AZ40" s="873" t="str">
        <f>IF(OR(C40="",F40="",J40="",M40="",O40="",Q40="",S40="",W40="",Z40="",AB40="",AD40="",AF40=""),"",IF(ISNUMBER(AN40),(CONCATENATE(INDEX(CMLIGHTBASE[Measure Number],MATCH(F40,CMLIGHTBASE[Base Desc 1],0)),INDEX(CMLIGHTEFF[Measure Number],MATCH(S40,CMLIGHTEFF[Eff Desc 1],0)))),IF(AK40=0,"","000001")))</f>
        <v/>
      </c>
      <c r="BA40" s="811" t="str">
        <f t="shared" ref="BA40" si="59">IF(OR(C40="",F40="",J40="",M40="",O40="",Q40="",S40="",W40="",Z40="",AB40="",AD40="",AF40=""),"",IF((M40*O40)&lt;=(Z40*AB40),"0",AX40-AY40))</f>
        <v/>
      </c>
      <c r="BB40" s="1058" t="str">
        <f>IF(OR(C40="",F40="",J40="",M40="",O40="",Q40="",S40="",W40="",Z40="",AB40="",AD40="",AF40=""),"",IF(M02S02F46="Electric Only",0,IF(OR(ISNUMBER(SEARCH("Exterior",S40)),ISNUMBER(SEARCH("Exterior",C40)),ISNUMBER(SEARCH("Exterior",F40))),0,IF(OR(M02S02F32="AC with Natural Gas Heat",M02S02F32="Natural Gas Heat Only"),(((O40*M40-AB40*Z40)/1000)*Q40*-INDEX(LightingWHF[Waste Heat Gas Heating IFTherms],MATCH(M02S02F26,LightingWHF[Building/Space Type],0))),0))))</f>
        <v/>
      </c>
      <c r="BC40" s="1097" t="str">
        <f>IFERROR(AH40/M02S02F35/BA40,"")</f>
        <v/>
      </c>
      <c r="BD40" s="1058" t="str">
        <f>IF(OR(C40="",F40="",J40="",M40="",O40="",Q40="",S40="",W40="",Z40="",AB40="",AD40="",AF40=""),"",IF(M02S02F46="Gas Only",0,IF(OR(ISNUMBER(SEARCH("Exterior",S40)),ISNUMBER(SEARCH("Exterior",C40)),ISNUMBER(SEARCH("Exterior",F40))),0,IF(M02S02F32="Heat Pump",(((O40*M40-AB40*Z40)/1000)*Q40*-INDEX(LightingWHF[Waste Heat Electric Heat Pump Heating IFkWh],MATCH(M02S02F26,LightingWHF[Building/Space Type],0))),
IF(OR(M02S02F32="AC with Electric Heat",M02S02F32="Electric Heat Only"),(((O40*M40-AB40*Z40)/1000)*Q40*-INDEX(LightingWHF[Waste Heat Electric Resistance Heating IFkWh],MATCH(M02S02F26,LightingWHF[Building/Space Type],0))),0
)))))</f>
        <v/>
      </c>
      <c r="BE40" s="1058" t="str">
        <f>IF(OR(C40="",F40="",J40="",M40="",O40="",Q40="",S40="",W40="",Z40="",AB40="",AD40="",AF40=""),"",IF(M02S02F46="Gas Only",0,IF(OR(ISNUMBER(SEARCH("Exterior",S40)),ISNUMBER(SEARCH("Exterior",C40)),ISNUMBER(SEARCH("Exterior",F40))),1,IF(OR(M02S02F32="Heat Pump",M02S02F32="AC with Natural Gas Heat",M02S02F32="AC with Electric Heat"),(INDEX(LightingWHF[Waste Heat Cooling Energy WHFe],MATCH(M02S02F26,LightingWHF[Building/Space Type],0))),1))))</f>
        <v/>
      </c>
      <c r="BF40" s="1097" t="str">
        <f>IFERROR(IF((M40*O40)&lt;=(Z40*AB40),MEASURESAVE,IF(M02S02F35="",MEASURERATE,IF(AH40/M02S02F35/BA40&lt;1,MEASUREPAY,IF(AV40&lt;1,MEASURECB,IF(OR(ISBLANK(M02S02F26),ISBLANK(M02S02F32),ISBLANK(M02S02F46)),MEASUREBLDG,""))))),MEASURESUBMIT)</f>
        <v>Submit for Review</v>
      </c>
      <c r="BH40" s="995" t="str">
        <f ca="1">IF(OR(C40="",F40="",J40="",M40="",O40="",Q40="",S40="",W40="",Z40="",AB40="",AD40="",AF40=""),"",IF('M01-S01'!$V$82&lt;TODAY(),0,IF(M02S02F46="Gas Only",0,IF(OR(AK40="",AK40&lt;0,AU40&lt;=AN40),0,MIN(AH40-AN40,ROUND(AN40*0.2,2))))))</f>
        <v/>
      </c>
    </row>
    <row r="41" spans="2:60" ht="15.95" customHeight="1">
      <c r="B41" s="829"/>
      <c r="C41" s="1088"/>
      <c r="D41" s="1088"/>
      <c r="E41" s="1088"/>
      <c r="F41" s="835"/>
      <c r="G41" s="836"/>
      <c r="H41" s="836"/>
      <c r="I41" s="837"/>
      <c r="J41" s="1088"/>
      <c r="K41" s="1088"/>
      <c r="L41" s="1088"/>
      <c r="M41" s="1078"/>
      <c r="N41" s="1078"/>
      <c r="O41" s="1081"/>
      <c r="P41" s="1082"/>
      <c r="Q41" s="1085"/>
      <c r="R41" s="1086"/>
      <c r="S41" s="851"/>
      <c r="T41" s="836"/>
      <c r="U41" s="836"/>
      <c r="V41" s="837"/>
      <c r="W41" s="1088"/>
      <c r="X41" s="1088"/>
      <c r="Y41" s="1088"/>
      <c r="Z41" s="1078"/>
      <c r="AA41" s="1078"/>
      <c r="AB41" s="1090"/>
      <c r="AC41" s="1090"/>
      <c r="AD41" s="1092"/>
      <c r="AE41" s="1092"/>
      <c r="AF41" s="1092"/>
      <c r="AG41" s="1094"/>
      <c r="AH41" s="865"/>
      <c r="AI41" s="1096"/>
      <c r="AJ41" s="1096"/>
      <c r="AK41" s="906"/>
      <c r="AL41" s="907"/>
      <c r="AM41" s="936"/>
      <c r="AN41" s="1100"/>
      <c r="AO41" s="1100"/>
      <c r="AP41" s="1100"/>
      <c r="AQ41" s="1100"/>
      <c r="AR41" s="59"/>
      <c r="AU41" s="1102"/>
      <c r="AV41" s="1102"/>
      <c r="AW41" s="901"/>
      <c r="AX41" s="812"/>
      <c r="AY41" s="812"/>
      <c r="AZ41" s="874"/>
      <c r="BA41" s="812"/>
      <c r="BB41" s="996"/>
      <c r="BC41" s="1098"/>
      <c r="BD41" s="996"/>
      <c r="BE41" s="996"/>
      <c r="BF41" s="1098"/>
      <c r="BH41" s="996"/>
    </row>
    <row r="42" spans="2:60" ht="15.95" customHeight="1">
      <c r="B42" s="829">
        <v>14</v>
      </c>
      <c r="C42" s="1087"/>
      <c r="D42" s="1087"/>
      <c r="E42" s="1087"/>
      <c r="F42" s="866"/>
      <c r="G42" s="867"/>
      <c r="H42" s="867"/>
      <c r="I42" s="868"/>
      <c r="J42" s="1087"/>
      <c r="K42" s="1087"/>
      <c r="L42" s="1087"/>
      <c r="M42" s="1077"/>
      <c r="N42" s="1077"/>
      <c r="O42" s="1079" t="str">
        <f>IFERROR(IF(F42="","",INDEX(CMLIGHTBASE[Base Watt 1],MATCH(F42,CMLIGHTBASE[Base Desc 1],0))),"")</f>
        <v/>
      </c>
      <c r="P42" s="1080"/>
      <c r="Q42" s="1083"/>
      <c r="R42" s="1084"/>
      <c r="S42" s="885"/>
      <c r="T42" s="867"/>
      <c r="U42" s="867"/>
      <c r="V42" s="868"/>
      <c r="W42" s="1087"/>
      <c r="X42" s="1087"/>
      <c r="Y42" s="1087"/>
      <c r="Z42" s="1077"/>
      <c r="AA42" s="1077"/>
      <c r="AB42" s="1089"/>
      <c r="AC42" s="1089"/>
      <c r="AD42" s="1091"/>
      <c r="AE42" s="1091"/>
      <c r="AF42" s="1091"/>
      <c r="AG42" s="1093"/>
      <c r="AH42" s="918" t="str">
        <f t="shared" ref="AH42" si="60">IFERROR(IF(OR(C42="",J42="",M42="",O42="",Q42="",W42="",Z42="",AB42="",AD42="",AF42=""),"",ROUND((AD42+AF42)*Z42,2)),"")</f>
        <v/>
      </c>
      <c r="AI42" s="1095"/>
      <c r="AJ42" s="1095"/>
      <c r="AK42" s="904" t="str">
        <f t="shared" ref="AK42" si="61">IFERROR(IF(OR(C42="",F42="",J42="",M42="",O42="",Q42="",S42="",W42="",Z42="",AB42="",AD42="",AF42=""),"",ROUND(IF((M42*O42)&lt;=(Z42*AB42),"0",(AX42-AY42+BD42)*BE42),2)),"")</f>
        <v/>
      </c>
      <c r="AL42" s="905"/>
      <c r="AM42" s="969"/>
      <c r="AN42" s="1099" t="str">
        <f>IFERROR(IF(OR(C42="",F42="",J42="",M42="",O42="",Q42="",S42="",W42="",Z42="",AB42="",AD42="",AF42=""),"",IF(OR(ISNUMBER(SEARCH("~~",F42)),ISNUMBER(SEARCH("~~",S42))),"Invalid Fixture Type Selected",IF(BF42&lt;&gt;"",BF42,ROUND(MIN(AH42*0.75,AK42*INDEX(INCRATE[Electric],MATCH("CMLIGHT",INCRATE[Incentive Type]))),2)))),"")</f>
        <v/>
      </c>
      <c r="AO42" s="1099"/>
      <c r="AP42" s="1099"/>
      <c r="AQ42" s="1099"/>
      <c r="AR42" s="59"/>
      <c r="AU42" s="1103" t="str">
        <f>IF(F42="","",INDEX(CUSTLIGHTUNIT,MATCH(F42,CMELIGHTBASE1,0)))</f>
        <v/>
      </c>
      <c r="AV42" s="1101" t="str">
        <f>IFERROR(IF(OR(C42="",F42="",J42="",M42="",O42="",Q42="",S42="",W42="",Z42="",AB42="",AD42="",AF42=""),"",((((1+ELOSS)*((AK42*INDEX(ELECCB[NPV AEC $/kWh],MATCH(15,ELECCB[Year Number],0)))+(AW42*INDEX(ELECCB[NPV ACC+T&amp;D $/kW],MATCH(15,ELECCB[Year Number],0)))))+((1+GLOSS)*((BB42*INDEX(GASCB[NPV GAEC $/therm],MATCH(15,GASCB[Year Number],1))))))/AH42)),"")</f>
        <v/>
      </c>
      <c r="AW42" s="900" t="str">
        <f>IFERROR(IF(OR(C42="",F42="",J42="",M42="",O42="",Q42="",S42="",W42="",Z42="",AB42="",AD42="",AF42=""),"",IF(OR(ISNUMBER(SEARCH("Exterior",C42)),((M42*O42)&lt;=(Z42*AB42)),ISNUMBER(SEARCH("Exterior",S42)),ISNUMBER(SEARCH("Exterior",F42))),0,ROUND((((M42*O42)-(Z42*AB42))/1000)*INDEX(LightingWHF[Coincidence Factor CF],MATCH(M02S02F26,LightingWHF[Building/Space Type],0))*IF(OR(M02S02F32="AC with Natural Gas Heat",M02S02F32="AC with Electric Heat",M02S02F32="Heat Pump"),INDEX(LightingWHF[Waste Heat Cooling Demand WHFd],MATCH(M02S02F26,LightingWHF[Building/Space Type],0)),1),3))),"")</f>
        <v/>
      </c>
      <c r="AX42" s="811" t="str">
        <f t="shared" ref="AX42" si="62">IF(OR(C42="",F42="",J42="",M42="",O42="",Q42="",S42="",W42="",Z42="",AB42="",AD42="",AF42=""),"",ROUND(M42*O42*Q42/1000,2))</f>
        <v/>
      </c>
      <c r="AY42" s="811" t="str">
        <f t="shared" ref="AY42" si="63">IF(OR(C42="",F42="",J42="",M42="",O42="",Q42="",S42="",W42="",Z42="",AB42="",AD42="",AF42=""),"",ROUND(Z42*AB42*Q42/1000,2))</f>
        <v/>
      </c>
      <c r="AZ42" s="873" t="str">
        <f>IF(OR(C42="",F42="",J42="",M42="",O42="",Q42="",S42="",W42="",Z42="",AB42="",AD42="",AF42=""),"",IF(ISNUMBER(AN42),(CONCATENATE(INDEX(CMLIGHTBASE[Measure Number],MATCH(F42,CMLIGHTBASE[Base Desc 1],0)),INDEX(CMLIGHTEFF[Measure Number],MATCH(S42,CMLIGHTEFF[Eff Desc 1],0)))),IF(AK42=0,"","000001")))</f>
        <v/>
      </c>
      <c r="BA42" s="811" t="str">
        <f t="shared" ref="BA42" si="64">IF(OR(C42="",F42="",J42="",M42="",O42="",Q42="",S42="",W42="",Z42="",AB42="",AD42="",AF42=""),"",IF((M42*O42)&lt;=(Z42*AB42),"0",AX42-AY42))</f>
        <v/>
      </c>
      <c r="BB42" s="1058" t="str">
        <f>IF(OR(C42="",F42="",J42="",M42="",O42="",Q42="",S42="",W42="",Z42="",AB42="",AD42="",AF42=""),"",IF(M02S02F46="Electric Only",0,IF(OR(ISNUMBER(SEARCH("Exterior",S42)),ISNUMBER(SEARCH("Exterior",C42)),ISNUMBER(SEARCH("Exterior",F42))),0,IF(OR(M02S02F32="AC with Natural Gas Heat",M02S02F32="Natural Gas Heat Only"),(((O42*M42-AB42*Z42)/1000)*Q42*-INDEX(LightingWHF[Waste Heat Gas Heating IFTherms],MATCH(M02S02F26,LightingWHF[Building/Space Type],0))),0))))</f>
        <v/>
      </c>
      <c r="BC42" s="1097" t="str">
        <f>IFERROR(AH42/M02S02F35/BA42,"")</f>
        <v/>
      </c>
      <c r="BD42" s="1058" t="str">
        <f>IF(OR(C42="",F42="",J42="",M42="",O42="",Q42="",S42="",W42="",Z42="",AB42="",AD42="",AF42=""),"",IF(M02S02F46="Gas Only",0,IF(OR(ISNUMBER(SEARCH("Exterior",S42)),ISNUMBER(SEARCH("Exterior",C42)),ISNUMBER(SEARCH("Exterior",F42))),0,IF(M02S02F32="Heat Pump",(((O42*M42-AB42*Z42)/1000)*Q42*-INDEX(LightingWHF[Waste Heat Electric Heat Pump Heating IFkWh],MATCH(M02S02F26,LightingWHF[Building/Space Type],0))),
IF(OR(M02S02F32="AC with Electric Heat",M02S02F32="Electric Heat Only"),(((O42*M42-AB42*Z42)/1000)*Q42*-INDEX(LightingWHF[Waste Heat Electric Resistance Heating IFkWh],MATCH(M02S02F26,LightingWHF[Building/Space Type],0))),0
)))))</f>
        <v/>
      </c>
      <c r="BE42" s="1058" t="str">
        <f>IF(OR(C42="",F42="",J42="",M42="",O42="",Q42="",S42="",W42="",Z42="",AB42="",AD42="",AF42=""),"",IF(M02S02F46="Gas Only",0,IF(OR(ISNUMBER(SEARCH("Exterior",S42)),ISNUMBER(SEARCH("Exterior",C42)),ISNUMBER(SEARCH("Exterior",F42))),1,IF(OR(M02S02F32="Heat Pump",M02S02F32="AC with Natural Gas Heat",M02S02F32="AC with Electric Heat"),(INDEX(LightingWHF[Waste Heat Cooling Energy WHFe],MATCH(M02S02F26,LightingWHF[Building/Space Type],0))),1))))</f>
        <v/>
      </c>
      <c r="BF42" s="1097" t="str">
        <f>IFERROR(IF((M42*O42)&lt;=(Z42*AB42),MEASURESAVE,IF(M02S02F35="",MEASURERATE,IF(AH42/M02S02F35/BA42&lt;1,MEASUREPAY,IF(AV42&lt;1,MEASURECB,IF(OR(ISBLANK(M02S02F26),ISBLANK(M02S02F32),ISBLANK(M02S02F46)),MEASUREBLDG,""))))),MEASURESUBMIT)</f>
        <v>Submit for Review</v>
      </c>
      <c r="BH42" s="995" t="str">
        <f ca="1">IF(OR(C42="",F42="",J42="",M42="",O42="",Q42="",S42="",W42="",Z42="",AB42="",AD42="",AF42=""),"",IF('M01-S01'!$V$82&lt;TODAY(),0,IF(M02S02F46="Gas Only",0,IF(OR(AK42="",AK42&lt;0,AU42&lt;=AN42),0,MIN(AH42-AN42,ROUND(AN42*0.2,2))))))</f>
        <v/>
      </c>
    </row>
    <row r="43" spans="2:60" ht="15.95" customHeight="1">
      <c r="B43" s="829"/>
      <c r="C43" s="1088"/>
      <c r="D43" s="1088"/>
      <c r="E43" s="1088"/>
      <c r="F43" s="835"/>
      <c r="G43" s="836"/>
      <c r="H43" s="836"/>
      <c r="I43" s="837"/>
      <c r="J43" s="1088"/>
      <c r="K43" s="1088"/>
      <c r="L43" s="1088"/>
      <c r="M43" s="1078"/>
      <c r="N43" s="1078"/>
      <c r="O43" s="1081"/>
      <c r="P43" s="1082"/>
      <c r="Q43" s="1085"/>
      <c r="R43" s="1086"/>
      <c r="S43" s="851"/>
      <c r="T43" s="836"/>
      <c r="U43" s="836"/>
      <c r="V43" s="837"/>
      <c r="W43" s="1088"/>
      <c r="X43" s="1088"/>
      <c r="Y43" s="1088"/>
      <c r="Z43" s="1078"/>
      <c r="AA43" s="1078"/>
      <c r="AB43" s="1090"/>
      <c r="AC43" s="1090"/>
      <c r="AD43" s="1092"/>
      <c r="AE43" s="1092"/>
      <c r="AF43" s="1092"/>
      <c r="AG43" s="1094"/>
      <c r="AH43" s="865"/>
      <c r="AI43" s="1096"/>
      <c r="AJ43" s="1096"/>
      <c r="AK43" s="906"/>
      <c r="AL43" s="907"/>
      <c r="AM43" s="936"/>
      <c r="AN43" s="1100"/>
      <c r="AO43" s="1100"/>
      <c r="AP43" s="1100"/>
      <c r="AQ43" s="1100"/>
      <c r="AR43" s="59"/>
      <c r="AU43" s="1102"/>
      <c r="AV43" s="1102"/>
      <c r="AW43" s="901"/>
      <c r="AX43" s="812"/>
      <c r="AY43" s="812"/>
      <c r="AZ43" s="874"/>
      <c r="BA43" s="812"/>
      <c r="BB43" s="996"/>
      <c r="BC43" s="1098"/>
      <c r="BD43" s="996"/>
      <c r="BE43" s="996"/>
      <c r="BF43" s="1098"/>
      <c r="BH43" s="996"/>
    </row>
    <row r="44" spans="2:60" ht="15.95" customHeight="1">
      <c r="B44" s="829">
        <v>15</v>
      </c>
      <c r="C44" s="1087"/>
      <c r="D44" s="1087"/>
      <c r="E44" s="1087"/>
      <c r="F44" s="866"/>
      <c r="G44" s="867"/>
      <c r="H44" s="867"/>
      <c r="I44" s="868"/>
      <c r="J44" s="1087"/>
      <c r="K44" s="1087"/>
      <c r="L44" s="1087"/>
      <c r="M44" s="1077"/>
      <c r="N44" s="1077"/>
      <c r="O44" s="1079" t="str">
        <f>IFERROR(IF(F44="","",INDEX(CMLIGHTBASE[Base Watt 1],MATCH(F44,CMLIGHTBASE[Base Desc 1],0))),"")</f>
        <v/>
      </c>
      <c r="P44" s="1080"/>
      <c r="Q44" s="1083"/>
      <c r="R44" s="1084"/>
      <c r="S44" s="885"/>
      <c r="T44" s="867"/>
      <c r="U44" s="867"/>
      <c r="V44" s="868"/>
      <c r="W44" s="1087"/>
      <c r="X44" s="1087"/>
      <c r="Y44" s="1087"/>
      <c r="Z44" s="1077"/>
      <c r="AA44" s="1077"/>
      <c r="AB44" s="1089"/>
      <c r="AC44" s="1089"/>
      <c r="AD44" s="1091"/>
      <c r="AE44" s="1091"/>
      <c r="AF44" s="1091"/>
      <c r="AG44" s="1093"/>
      <c r="AH44" s="918" t="str">
        <f t="shared" ref="AH44" si="65">IFERROR(IF(OR(C44="",J44="",M44="",O44="",Q44="",W44="",Z44="",AB44="",AD44="",AF44=""),"",ROUND((AD44+AF44)*Z44,2)),"")</f>
        <v/>
      </c>
      <c r="AI44" s="1095"/>
      <c r="AJ44" s="1095"/>
      <c r="AK44" s="904" t="str">
        <f t="shared" ref="AK44" si="66">IFERROR(IF(OR(C44="",F44="",J44="",M44="",O44="",Q44="",S44="",W44="",Z44="",AB44="",AD44="",AF44=""),"",ROUND(IF((M44*O44)&lt;=(Z44*AB44),"0",(AX44-AY44+BD44)*BE44),2)),"")</f>
        <v/>
      </c>
      <c r="AL44" s="905"/>
      <c r="AM44" s="969"/>
      <c r="AN44" s="1099" t="str">
        <f>IFERROR(IF(OR(C44="",F44="",J44="",M44="",O44="",Q44="",S44="",W44="",Z44="",AB44="",AD44="",AF44=""),"",IF(OR(ISNUMBER(SEARCH("~~",F44)),ISNUMBER(SEARCH("~~",S44))),"Invalid Fixture Type Selected",IF(BF44&lt;&gt;"",BF44,ROUND(MIN(AH44*0.75,AK44*INDEX(INCRATE[Electric],MATCH("CMLIGHT",INCRATE[Incentive Type]))),2)))),"")</f>
        <v/>
      </c>
      <c r="AO44" s="1099"/>
      <c r="AP44" s="1099"/>
      <c r="AQ44" s="1099"/>
      <c r="AR44" s="59"/>
      <c r="AU44" s="1103" t="str">
        <f>IF(F44="","",INDEX(CUSTLIGHTUNIT,MATCH(F44,CMELIGHTBASE1,0)))</f>
        <v/>
      </c>
      <c r="AV44" s="1101" t="str">
        <f>IFERROR(IF(OR(C44="",F44="",J44="",M44="",O44="",Q44="",S44="",W44="",Z44="",AB44="",AD44="",AF44=""),"",((((1+ELOSS)*((AK44*INDEX(ELECCB[NPV AEC $/kWh],MATCH(15,ELECCB[Year Number],0)))+(AW44*INDEX(ELECCB[NPV ACC+T&amp;D $/kW],MATCH(15,ELECCB[Year Number],0)))))+((1+GLOSS)*((BB44*INDEX(GASCB[NPV GAEC $/therm],MATCH(15,GASCB[Year Number],1))))))/AH44)),"")</f>
        <v/>
      </c>
      <c r="AW44" s="900" t="str">
        <f>IFERROR(IF(OR(C44="",F44="",J44="",M44="",O44="",Q44="",S44="",W44="",Z44="",AB44="",AD44="",AF44=""),"",IF(OR(ISNUMBER(SEARCH("Exterior",C44)),((M44*O44)&lt;=(Z44*AB44)),ISNUMBER(SEARCH("Exterior",S44)),ISNUMBER(SEARCH("Exterior",F44))),0,ROUND((((M44*O44)-(Z44*AB44))/1000)*INDEX(LightingWHF[Coincidence Factor CF],MATCH(M02S02F26,LightingWHF[Building/Space Type],0))*IF(OR(M02S02F32="AC with Natural Gas Heat",M02S02F32="AC with Electric Heat",M02S02F32="Heat Pump"),INDEX(LightingWHF[Waste Heat Cooling Demand WHFd],MATCH(M02S02F26,LightingWHF[Building/Space Type],0)),1),3))),"")</f>
        <v/>
      </c>
      <c r="AX44" s="811" t="str">
        <f t="shared" ref="AX44" si="67">IF(OR(C44="",F44="",J44="",M44="",O44="",Q44="",S44="",W44="",Z44="",AB44="",AD44="",AF44=""),"",ROUND(M44*O44*Q44/1000,2))</f>
        <v/>
      </c>
      <c r="AY44" s="811" t="str">
        <f t="shared" ref="AY44" si="68">IF(OR(C44="",F44="",J44="",M44="",O44="",Q44="",S44="",W44="",Z44="",AB44="",AD44="",AF44=""),"",ROUND(Z44*AB44*Q44/1000,2))</f>
        <v/>
      </c>
      <c r="AZ44" s="873" t="str">
        <f>IF(OR(C44="",F44="",J44="",M44="",O44="",Q44="",S44="",W44="",Z44="",AB44="",AD44="",AF44=""),"",IF(ISNUMBER(AN44),(CONCATENATE(INDEX(CMLIGHTBASE[Measure Number],MATCH(F44,CMLIGHTBASE[Base Desc 1],0)),INDEX(CMLIGHTEFF[Measure Number],MATCH(S44,CMLIGHTEFF[Eff Desc 1],0)))),IF(AK44=0,"","000001")))</f>
        <v/>
      </c>
      <c r="BA44" s="811" t="str">
        <f t="shared" ref="BA44" si="69">IF(OR(C44="",F44="",J44="",M44="",O44="",Q44="",S44="",W44="",Z44="",AB44="",AD44="",AF44=""),"",IF((M44*O44)&lt;=(Z44*AB44),"0",AX44-AY44))</f>
        <v/>
      </c>
      <c r="BB44" s="1058" t="str">
        <f>IF(OR(C44="",F44="",J44="",M44="",O44="",Q44="",S44="",W44="",Z44="",AB44="",AD44="",AF44=""),"",IF(M02S02F46="Electric Only",0,IF(OR(ISNUMBER(SEARCH("Exterior",S44)),ISNUMBER(SEARCH("Exterior",C44)),ISNUMBER(SEARCH("Exterior",F44))),0,IF(OR(M02S02F32="AC with Natural Gas Heat",M02S02F32="Natural Gas Heat Only"),(((O44*M44-AB44*Z44)/1000)*Q44*-INDEX(LightingWHF[Waste Heat Gas Heating IFTherms],MATCH(M02S02F26,LightingWHF[Building/Space Type],0))),0))))</f>
        <v/>
      </c>
      <c r="BC44" s="1097" t="str">
        <f>IFERROR(AH44/M02S02F35/BA44,"")</f>
        <v/>
      </c>
      <c r="BD44" s="1058" t="str">
        <f>IF(OR(C44="",F44="",J44="",M44="",O44="",Q44="",S44="",W44="",Z44="",AB44="",AD44="",AF44=""),"",IF(M02S02F46="Gas Only",0,IF(OR(ISNUMBER(SEARCH("Exterior",S44)),ISNUMBER(SEARCH("Exterior",C44)),ISNUMBER(SEARCH("Exterior",F44))),0,IF(M02S02F32="Heat Pump",(((O44*M44-AB44*Z44)/1000)*Q44*-INDEX(LightingWHF[Waste Heat Electric Heat Pump Heating IFkWh],MATCH(M02S02F26,LightingWHF[Building/Space Type],0))),
IF(OR(M02S02F32="AC with Electric Heat",M02S02F32="Electric Heat Only"),(((O44*M44-AB44*Z44)/1000)*Q44*-INDEX(LightingWHF[Waste Heat Electric Resistance Heating IFkWh],MATCH(M02S02F26,LightingWHF[Building/Space Type],0))),0
)))))</f>
        <v/>
      </c>
      <c r="BE44" s="1058" t="str">
        <f>IF(OR(C44="",F44="",J44="",M44="",O44="",Q44="",S44="",W44="",Z44="",AB44="",AD44="",AF44=""),"",IF(M02S02F46="Gas Only",0,IF(OR(ISNUMBER(SEARCH("Exterior",S44)),ISNUMBER(SEARCH("Exterior",C44)),ISNUMBER(SEARCH("Exterior",F44))),1,IF(OR(M02S02F32="Heat Pump",M02S02F32="AC with Natural Gas Heat",M02S02F32="AC with Electric Heat"),(INDEX(LightingWHF[Waste Heat Cooling Energy WHFe],MATCH(M02S02F26,LightingWHF[Building/Space Type],0))),1))))</f>
        <v/>
      </c>
      <c r="BF44" s="1097" t="str">
        <f>IFERROR(IF((M44*O44)&lt;=(Z44*AB44),MEASURESAVE,IF(M02S02F35="",MEASURERATE,IF(AH44/M02S02F35/BA44&lt;1,MEASUREPAY,IF(AV44&lt;1,MEASURECB,IF(OR(ISBLANK(M02S02F26),ISBLANK(M02S02F32),ISBLANK(M02S02F46)),MEASUREBLDG,""))))),MEASURESUBMIT)</f>
        <v>Submit for Review</v>
      </c>
      <c r="BH44" s="995" t="str">
        <f ca="1">IF(OR(C44="",F44="",J44="",M44="",O44="",Q44="",S44="",W44="",Z44="",AB44="",AD44="",AF44=""),"",IF('M01-S01'!$V$82&lt;TODAY(),0,IF(M02S02F46="Gas Only",0,IF(OR(AK44="",AK44&lt;0,AU44&lt;=AN44),0,MIN(AH44-AN44,ROUND(AN44*0.2,2))))))</f>
        <v/>
      </c>
    </row>
    <row r="45" spans="2:60" ht="15.95" customHeight="1">
      <c r="B45" s="829"/>
      <c r="C45" s="1088"/>
      <c r="D45" s="1088"/>
      <c r="E45" s="1088"/>
      <c r="F45" s="835"/>
      <c r="G45" s="836"/>
      <c r="H45" s="836"/>
      <c r="I45" s="837"/>
      <c r="J45" s="1088"/>
      <c r="K45" s="1088"/>
      <c r="L45" s="1088"/>
      <c r="M45" s="1078"/>
      <c r="N45" s="1078"/>
      <c r="O45" s="1081"/>
      <c r="P45" s="1082"/>
      <c r="Q45" s="1085"/>
      <c r="R45" s="1086"/>
      <c r="S45" s="851"/>
      <c r="T45" s="836"/>
      <c r="U45" s="836"/>
      <c r="V45" s="837"/>
      <c r="W45" s="1088"/>
      <c r="X45" s="1088"/>
      <c r="Y45" s="1088"/>
      <c r="Z45" s="1078"/>
      <c r="AA45" s="1078"/>
      <c r="AB45" s="1090"/>
      <c r="AC45" s="1090"/>
      <c r="AD45" s="1092"/>
      <c r="AE45" s="1092"/>
      <c r="AF45" s="1092"/>
      <c r="AG45" s="1094"/>
      <c r="AH45" s="865"/>
      <c r="AI45" s="1096"/>
      <c r="AJ45" s="1096"/>
      <c r="AK45" s="906"/>
      <c r="AL45" s="907"/>
      <c r="AM45" s="936"/>
      <c r="AN45" s="1100"/>
      <c r="AO45" s="1100"/>
      <c r="AP45" s="1100"/>
      <c r="AQ45" s="1100"/>
      <c r="AR45" s="59"/>
      <c r="AU45" s="1102"/>
      <c r="AV45" s="1102"/>
      <c r="AW45" s="901"/>
      <c r="AX45" s="812"/>
      <c r="AY45" s="812"/>
      <c r="AZ45" s="874"/>
      <c r="BA45" s="812"/>
      <c r="BB45" s="996"/>
      <c r="BC45" s="1098"/>
      <c r="BD45" s="996"/>
      <c r="BE45" s="996"/>
      <c r="BF45" s="1098"/>
      <c r="BH45" s="996"/>
    </row>
    <row r="46" spans="2:60" ht="15.95" customHeight="1">
      <c r="B46" s="829">
        <v>16</v>
      </c>
      <c r="C46" s="1087"/>
      <c r="D46" s="1087"/>
      <c r="E46" s="1087"/>
      <c r="F46" s="866"/>
      <c r="G46" s="867"/>
      <c r="H46" s="867"/>
      <c r="I46" s="868"/>
      <c r="J46" s="1087"/>
      <c r="K46" s="1087"/>
      <c r="L46" s="1087"/>
      <c r="M46" s="1077"/>
      <c r="N46" s="1077"/>
      <c r="O46" s="1079" t="str">
        <f>IFERROR(IF(F46="","",INDEX(CMLIGHTBASE[Base Watt 1],MATCH(F46,CMLIGHTBASE[Base Desc 1],0))),"")</f>
        <v/>
      </c>
      <c r="P46" s="1080"/>
      <c r="Q46" s="1083"/>
      <c r="R46" s="1084"/>
      <c r="S46" s="885"/>
      <c r="T46" s="867"/>
      <c r="U46" s="867"/>
      <c r="V46" s="868"/>
      <c r="W46" s="1087"/>
      <c r="X46" s="1087"/>
      <c r="Y46" s="1087"/>
      <c r="Z46" s="1077"/>
      <c r="AA46" s="1077"/>
      <c r="AB46" s="1089"/>
      <c r="AC46" s="1089"/>
      <c r="AD46" s="1091"/>
      <c r="AE46" s="1091"/>
      <c r="AF46" s="1091"/>
      <c r="AG46" s="1093"/>
      <c r="AH46" s="918" t="str">
        <f t="shared" ref="AH46" si="70">IFERROR(IF(OR(C46="",J46="",M46="",O46="",Q46="",W46="",Z46="",AB46="",AD46="",AF46=""),"",ROUND((AD46+AF46)*Z46,2)),"")</f>
        <v/>
      </c>
      <c r="AI46" s="1095"/>
      <c r="AJ46" s="1095"/>
      <c r="AK46" s="904" t="str">
        <f t="shared" ref="AK46" si="71">IFERROR(IF(OR(C46="",F46="",J46="",M46="",O46="",Q46="",S46="",W46="",Z46="",AB46="",AD46="",AF46=""),"",ROUND(IF((M46*O46)&lt;=(Z46*AB46),"0",(AX46-AY46+BD46)*BE46),2)),"")</f>
        <v/>
      </c>
      <c r="AL46" s="905"/>
      <c r="AM46" s="969"/>
      <c r="AN46" s="1099" t="str">
        <f>IFERROR(IF(OR(C46="",F46="",J46="",M46="",O46="",Q46="",S46="",W46="",Z46="",AB46="",AD46="",AF46=""),"",IF(OR(ISNUMBER(SEARCH("~~",F46)),ISNUMBER(SEARCH("~~",S46))),"Invalid Fixture Type Selected",IF(BF46&lt;&gt;"",BF46,ROUND(MIN(AH46*0.75,AK46*INDEX(INCRATE[Electric],MATCH("CMLIGHT",INCRATE[Incentive Type]))),2)))),"")</f>
        <v/>
      </c>
      <c r="AO46" s="1099"/>
      <c r="AP46" s="1099"/>
      <c r="AQ46" s="1099"/>
      <c r="AR46" s="59"/>
      <c r="AU46" s="1103" t="str">
        <f>IF(F46="","",INDEX(CUSTLIGHTUNIT,MATCH(F46,CMELIGHTBASE1,0)))</f>
        <v/>
      </c>
      <c r="AV46" s="1101" t="str">
        <f>IFERROR(IF(OR(C46="",F46="",J46="",M46="",O46="",Q46="",S46="",W46="",Z46="",AB46="",AD46="",AF46=""),"",((((1+ELOSS)*((AK46*INDEX(ELECCB[NPV AEC $/kWh],MATCH(15,ELECCB[Year Number],0)))+(AW46*INDEX(ELECCB[NPV ACC+T&amp;D $/kW],MATCH(15,ELECCB[Year Number],0)))))+((1+GLOSS)*((BB46*INDEX(GASCB[NPV GAEC $/therm],MATCH(15,GASCB[Year Number],1))))))/AH46)),"")</f>
        <v/>
      </c>
      <c r="AW46" s="900" t="str">
        <f>IFERROR(IF(OR(C46="",F46="",J46="",M46="",O46="",Q46="",S46="",W46="",Z46="",AB46="",AD46="",AF46=""),"",IF(OR(ISNUMBER(SEARCH("Exterior",C46)),((M46*O46)&lt;=(Z46*AB46)),ISNUMBER(SEARCH("Exterior",S46)),ISNUMBER(SEARCH("Exterior",F46))),0,ROUND((((M46*O46)-(Z46*AB46))/1000)*INDEX(LightingWHF[Coincidence Factor CF],MATCH(M02S02F26,LightingWHF[Building/Space Type],0))*IF(OR(M02S02F32="AC with Natural Gas Heat",M02S02F32="AC with Electric Heat",M02S02F32="Heat Pump"),INDEX(LightingWHF[Waste Heat Cooling Demand WHFd],MATCH(M02S02F26,LightingWHF[Building/Space Type],0)),1),3))),"")</f>
        <v/>
      </c>
      <c r="AX46" s="811" t="str">
        <f t="shared" ref="AX46" si="72">IF(OR(C46="",F46="",J46="",M46="",O46="",Q46="",S46="",W46="",Z46="",AB46="",AD46="",AF46=""),"",ROUND(M46*O46*Q46/1000,2))</f>
        <v/>
      </c>
      <c r="AY46" s="811" t="str">
        <f t="shared" ref="AY46" si="73">IF(OR(C46="",F46="",J46="",M46="",O46="",Q46="",S46="",W46="",Z46="",AB46="",AD46="",AF46=""),"",ROUND(Z46*AB46*Q46/1000,2))</f>
        <v/>
      </c>
      <c r="AZ46" s="873" t="str">
        <f>IF(OR(C46="",F46="",J46="",M46="",O46="",Q46="",S46="",W46="",Z46="",AB46="",AD46="",AF46=""),"",IF(ISNUMBER(AN46),(CONCATENATE(INDEX(CMLIGHTBASE[Measure Number],MATCH(F46,CMLIGHTBASE[Base Desc 1],0)),INDEX(CMLIGHTEFF[Measure Number],MATCH(S46,CMLIGHTEFF[Eff Desc 1],0)))),IF(AK46=0,"","000001")))</f>
        <v/>
      </c>
      <c r="BA46" s="811" t="str">
        <f t="shared" ref="BA46" si="74">IF(OR(C46="",F46="",J46="",M46="",O46="",Q46="",S46="",W46="",Z46="",AB46="",AD46="",AF46=""),"",IF((M46*O46)&lt;=(Z46*AB46),"0",AX46-AY46))</f>
        <v/>
      </c>
      <c r="BB46" s="1058" t="str">
        <f>IF(OR(C46="",F46="",J46="",M46="",O46="",Q46="",S46="",W46="",Z46="",AB46="",AD46="",AF46=""),"",IF(M02S02F46="Electric Only",0,IF(OR(ISNUMBER(SEARCH("Exterior",S46)),ISNUMBER(SEARCH("Exterior",C46)),ISNUMBER(SEARCH("Exterior",F46))),0,IF(OR(M02S02F32="AC with Natural Gas Heat",M02S02F32="Natural Gas Heat Only"),(((O46*M46-AB46*Z46)/1000)*Q46*-INDEX(LightingWHF[Waste Heat Gas Heating IFTherms],MATCH(M02S02F26,LightingWHF[Building/Space Type],0))),0))))</f>
        <v/>
      </c>
      <c r="BC46" s="1097" t="str">
        <f>IFERROR(AH46/M02S02F35/BA46,"")</f>
        <v/>
      </c>
      <c r="BD46" s="1058" t="str">
        <f>IF(OR(C46="",F46="",J46="",M46="",O46="",Q46="",S46="",W46="",Z46="",AB46="",AD46="",AF46=""),"",IF(M02S02F46="Gas Only",0,IF(OR(ISNUMBER(SEARCH("Exterior",S46)),ISNUMBER(SEARCH("Exterior",C46)),ISNUMBER(SEARCH("Exterior",F46))),0,IF(M02S02F32="Heat Pump",(((O46*M46-AB46*Z46)/1000)*Q46*-INDEX(LightingWHF[Waste Heat Electric Heat Pump Heating IFkWh],MATCH(M02S02F26,LightingWHF[Building/Space Type],0))),
IF(OR(M02S02F32="AC with Electric Heat",M02S02F32="Electric Heat Only"),(((O46*M46-AB46*Z46)/1000)*Q46*-INDEX(LightingWHF[Waste Heat Electric Resistance Heating IFkWh],MATCH(M02S02F26,LightingWHF[Building/Space Type],0))),0
)))))</f>
        <v/>
      </c>
      <c r="BE46" s="1058" t="str">
        <f>IF(OR(C46="",F46="",J46="",M46="",O46="",Q46="",S46="",W46="",Z46="",AB46="",AD46="",AF46=""),"",IF(M02S02F46="Gas Only",0,IF(OR(ISNUMBER(SEARCH("Exterior",S46)),ISNUMBER(SEARCH("Exterior",C46)),ISNUMBER(SEARCH("Exterior",F46))),1,IF(OR(M02S02F32="Heat Pump",M02S02F32="AC with Natural Gas Heat",M02S02F32="AC with Electric Heat"),(INDEX(LightingWHF[Waste Heat Cooling Energy WHFe],MATCH(M02S02F26,LightingWHF[Building/Space Type],0))),1))))</f>
        <v/>
      </c>
      <c r="BF46" s="1097" t="str">
        <f>IFERROR(IF((M46*O46)&lt;=(Z46*AB46),MEASURESAVE,IF(M02S02F35="",MEASURERATE,IF(AH46/M02S02F35/BA46&lt;1,MEASUREPAY,IF(AV46&lt;1,MEASURECB,IF(OR(ISBLANK(M02S02F26),ISBLANK(M02S02F32),ISBLANK(M02S02F46)),MEASUREBLDG,""))))),MEASURESUBMIT)</f>
        <v>Submit for Review</v>
      </c>
      <c r="BH46" s="995" t="str">
        <f ca="1">IF(OR(C46="",F46="",J46="",M46="",O46="",Q46="",S46="",W46="",Z46="",AB46="",AD46="",AF46=""),"",IF('M01-S01'!$V$82&lt;TODAY(),0,IF(M02S02F46="Gas Only",0,IF(OR(AK46="",AK46&lt;0,AU46&lt;=AN46),0,MIN(AH46-AN46,ROUND(AN46*0.2,2))))))</f>
        <v/>
      </c>
    </row>
    <row r="47" spans="2:60" ht="15.95" customHeight="1">
      <c r="B47" s="829"/>
      <c r="C47" s="1088"/>
      <c r="D47" s="1088"/>
      <c r="E47" s="1088"/>
      <c r="F47" s="835"/>
      <c r="G47" s="836"/>
      <c r="H47" s="836"/>
      <c r="I47" s="837"/>
      <c r="J47" s="1088"/>
      <c r="K47" s="1088"/>
      <c r="L47" s="1088"/>
      <c r="M47" s="1078"/>
      <c r="N47" s="1078"/>
      <c r="O47" s="1081"/>
      <c r="P47" s="1082"/>
      <c r="Q47" s="1085"/>
      <c r="R47" s="1086"/>
      <c r="S47" s="851"/>
      <c r="T47" s="836"/>
      <c r="U47" s="836"/>
      <c r="V47" s="837"/>
      <c r="W47" s="1088"/>
      <c r="X47" s="1088"/>
      <c r="Y47" s="1088"/>
      <c r="Z47" s="1078"/>
      <c r="AA47" s="1078"/>
      <c r="AB47" s="1090"/>
      <c r="AC47" s="1090"/>
      <c r="AD47" s="1092"/>
      <c r="AE47" s="1092"/>
      <c r="AF47" s="1092"/>
      <c r="AG47" s="1094"/>
      <c r="AH47" s="865"/>
      <c r="AI47" s="1096"/>
      <c r="AJ47" s="1096"/>
      <c r="AK47" s="906"/>
      <c r="AL47" s="907"/>
      <c r="AM47" s="936"/>
      <c r="AN47" s="1100"/>
      <c r="AO47" s="1100"/>
      <c r="AP47" s="1100"/>
      <c r="AQ47" s="1100"/>
      <c r="AR47" s="59"/>
      <c r="AU47" s="1102"/>
      <c r="AV47" s="1102"/>
      <c r="AW47" s="901"/>
      <c r="AX47" s="812"/>
      <c r="AY47" s="812"/>
      <c r="AZ47" s="874"/>
      <c r="BA47" s="812"/>
      <c r="BB47" s="996"/>
      <c r="BC47" s="1098"/>
      <c r="BD47" s="996"/>
      <c r="BE47" s="996"/>
      <c r="BF47" s="1098"/>
      <c r="BH47" s="996"/>
    </row>
    <row r="48" spans="2:60" ht="15.95" customHeight="1">
      <c r="B48" s="829">
        <v>17</v>
      </c>
      <c r="C48" s="1087"/>
      <c r="D48" s="1087"/>
      <c r="E48" s="1087"/>
      <c r="F48" s="866"/>
      <c r="G48" s="867"/>
      <c r="H48" s="867"/>
      <c r="I48" s="868"/>
      <c r="J48" s="1087"/>
      <c r="K48" s="1087"/>
      <c r="L48" s="1087"/>
      <c r="M48" s="1077"/>
      <c r="N48" s="1077"/>
      <c r="O48" s="1079" t="str">
        <f>IFERROR(IF(F48="","",INDEX(CMLIGHTBASE[Base Watt 1],MATCH(F48,CMLIGHTBASE[Base Desc 1],0))),"")</f>
        <v/>
      </c>
      <c r="P48" s="1080"/>
      <c r="Q48" s="1083"/>
      <c r="R48" s="1084"/>
      <c r="S48" s="885"/>
      <c r="T48" s="867"/>
      <c r="U48" s="867"/>
      <c r="V48" s="868"/>
      <c r="W48" s="1087"/>
      <c r="X48" s="1087"/>
      <c r="Y48" s="1087"/>
      <c r="Z48" s="1077"/>
      <c r="AA48" s="1077"/>
      <c r="AB48" s="1089"/>
      <c r="AC48" s="1089"/>
      <c r="AD48" s="1091"/>
      <c r="AE48" s="1091"/>
      <c r="AF48" s="1091"/>
      <c r="AG48" s="1093"/>
      <c r="AH48" s="918" t="str">
        <f t="shared" ref="AH48" si="75">IFERROR(IF(OR(C48="",J48="",M48="",O48="",Q48="",W48="",Z48="",AB48="",AD48="",AF48=""),"",ROUND((AD48+AF48)*Z48,2)),"")</f>
        <v/>
      </c>
      <c r="AI48" s="1095"/>
      <c r="AJ48" s="1095"/>
      <c r="AK48" s="904" t="str">
        <f t="shared" ref="AK48" si="76">IFERROR(IF(OR(C48="",F48="",J48="",M48="",O48="",Q48="",S48="",W48="",Z48="",AB48="",AD48="",AF48=""),"",ROUND(IF((M48*O48)&lt;=(Z48*AB48),"0",(AX48-AY48+BD48)*BE48),2)),"")</f>
        <v/>
      </c>
      <c r="AL48" s="905"/>
      <c r="AM48" s="969"/>
      <c r="AN48" s="1099" t="str">
        <f>IFERROR(IF(OR(C48="",F48="",J48="",M48="",O48="",Q48="",S48="",W48="",Z48="",AB48="",AD48="",AF48=""),"",IF(OR(ISNUMBER(SEARCH("~~",F48)),ISNUMBER(SEARCH("~~",S48))),"Invalid Fixture Type Selected",IF(BF48&lt;&gt;"",BF48,ROUND(MIN(AH48*0.75,AK48*INDEX(INCRATE[Electric],MATCH("CMLIGHT",INCRATE[Incentive Type]))),2)))),"")</f>
        <v/>
      </c>
      <c r="AO48" s="1099"/>
      <c r="AP48" s="1099"/>
      <c r="AQ48" s="1099"/>
      <c r="AU48" s="1103" t="str">
        <f>IF(F48="","",INDEX(CUSTLIGHTUNIT,MATCH(F48,CMELIGHTBASE1,0)))</f>
        <v/>
      </c>
      <c r="AV48" s="1101" t="str">
        <f>IFERROR(IF(OR(C48="",F48="",J48="",M48="",O48="",Q48="",S48="",W48="",Z48="",AB48="",AD48="",AF48=""),"",((((1+ELOSS)*((AK48*INDEX(ELECCB[NPV AEC $/kWh],MATCH(15,ELECCB[Year Number],0)))+(AW48*INDEX(ELECCB[NPV ACC+T&amp;D $/kW],MATCH(15,ELECCB[Year Number],0)))))+((1+GLOSS)*((BB48*INDEX(GASCB[NPV GAEC $/therm],MATCH(15,GASCB[Year Number],1))))))/AH48)),"")</f>
        <v/>
      </c>
      <c r="AW48" s="900" t="str">
        <f>IFERROR(IF(OR(C48="",F48="",J48="",M48="",O48="",Q48="",S48="",W48="",Z48="",AB48="",AD48="",AF48=""),"",IF(OR(ISNUMBER(SEARCH("Exterior",C48)),((M48*O48)&lt;=(Z48*AB48)),ISNUMBER(SEARCH("Exterior",S48)),ISNUMBER(SEARCH("Exterior",F48))),0,ROUND((((M48*O48)-(Z48*AB48))/1000)*INDEX(LightingWHF[Coincidence Factor CF],MATCH(M02S02F26,LightingWHF[Building/Space Type],0))*IF(OR(M02S02F32="AC with Natural Gas Heat",M02S02F32="AC with Electric Heat",M02S02F32="Heat Pump"),INDEX(LightingWHF[Waste Heat Cooling Demand WHFd],MATCH(M02S02F26,LightingWHF[Building/Space Type],0)),1),3))),"")</f>
        <v/>
      </c>
      <c r="AX48" s="811" t="str">
        <f t="shared" ref="AX48" si="77">IF(OR(C48="",F48="",J48="",M48="",O48="",Q48="",S48="",W48="",Z48="",AB48="",AD48="",AF48=""),"",ROUND(M48*O48*Q48/1000,2))</f>
        <v/>
      </c>
      <c r="AY48" s="811" t="str">
        <f t="shared" ref="AY48" si="78">IF(OR(C48="",F48="",J48="",M48="",O48="",Q48="",S48="",W48="",Z48="",AB48="",AD48="",AF48=""),"",ROUND(Z48*AB48*Q48/1000,2))</f>
        <v/>
      </c>
      <c r="AZ48" s="873" t="str">
        <f>IF(OR(C48="",F48="",J48="",M48="",O48="",Q48="",S48="",W48="",Z48="",AB48="",AD48="",AF48=""),"",IF(ISNUMBER(AN48),(CONCATENATE(INDEX(CMLIGHTBASE[Measure Number],MATCH(F48,CMLIGHTBASE[Base Desc 1],0)),INDEX(CMLIGHTEFF[Measure Number],MATCH(S48,CMLIGHTEFF[Eff Desc 1],0)))),IF(AK48=0,"","000001")))</f>
        <v/>
      </c>
      <c r="BA48" s="811" t="str">
        <f t="shared" ref="BA48" si="79">IF(OR(C48="",F48="",J48="",M48="",O48="",Q48="",S48="",W48="",Z48="",AB48="",AD48="",AF48=""),"",IF((M48*O48)&lt;=(Z48*AB48),"0",AX48-AY48))</f>
        <v/>
      </c>
      <c r="BB48" s="1058" t="str">
        <f>IF(OR(C48="",F48="",J48="",M48="",O48="",Q48="",S48="",W48="",Z48="",AB48="",AD48="",AF48=""),"",IF(M02S02F46="Electric Only",0,IF(OR(ISNUMBER(SEARCH("Exterior",S48)),ISNUMBER(SEARCH("Exterior",C48)),ISNUMBER(SEARCH("Exterior",F48))),0,IF(OR(M02S02F32="AC with Natural Gas Heat",M02S02F32="Natural Gas Heat Only"),(((O48*M48-AB48*Z48)/1000)*Q48*-INDEX(LightingWHF[Waste Heat Gas Heating IFTherms],MATCH(M02S02F26,LightingWHF[Building/Space Type],0))),0))))</f>
        <v/>
      </c>
      <c r="BC48" s="1097" t="str">
        <f>IFERROR(AH48/M02S02F35/BA48,"")</f>
        <v/>
      </c>
      <c r="BD48" s="1058" t="str">
        <f>IF(OR(C48="",F48="",J48="",M48="",O48="",Q48="",S48="",W48="",Z48="",AB48="",AD48="",AF48=""),"",IF(M02S02F46="Gas Only",0,IF(OR(ISNUMBER(SEARCH("Exterior",S48)),ISNUMBER(SEARCH("Exterior",C48)),ISNUMBER(SEARCH("Exterior",F48))),0,IF(M02S02F32="Heat Pump",(((O48*M48-AB48*Z48)/1000)*Q48*-INDEX(LightingWHF[Waste Heat Electric Heat Pump Heating IFkWh],MATCH(M02S02F26,LightingWHF[Building/Space Type],0))),
IF(OR(M02S02F32="AC with Electric Heat",M02S02F32="Electric Heat Only"),(((O48*M48-AB48*Z48)/1000)*Q48*-INDEX(LightingWHF[Waste Heat Electric Resistance Heating IFkWh],MATCH(M02S02F26,LightingWHF[Building/Space Type],0))),0
)))))</f>
        <v/>
      </c>
      <c r="BE48" s="1058" t="str">
        <f>IF(OR(C48="",F48="",J48="",M48="",O48="",Q48="",S48="",W48="",Z48="",AB48="",AD48="",AF48=""),"",IF(M02S02F46="Gas Only",0,IF(OR(ISNUMBER(SEARCH("Exterior",S48)),ISNUMBER(SEARCH("Exterior",C48)),ISNUMBER(SEARCH("Exterior",F48))),1,IF(OR(M02S02F32="Heat Pump",M02S02F32="AC with Natural Gas Heat",M02S02F32="AC with Electric Heat"),(INDEX(LightingWHF[Waste Heat Cooling Energy WHFe],MATCH(M02S02F26,LightingWHF[Building/Space Type],0))),1))))</f>
        <v/>
      </c>
      <c r="BF48" s="1097" t="str">
        <f>IFERROR(IF((M48*O48)&lt;=(Z48*AB48),MEASURESAVE,IF(M02S02F35="",MEASURERATE,IF(AH48/M02S02F35/BA48&lt;1,MEASUREPAY,IF(AV48&lt;1,MEASURECB,IF(OR(ISBLANK(M02S02F26),ISBLANK(M02S02F32),ISBLANK(M02S02F46)),MEASUREBLDG,""))))),MEASURESUBMIT)</f>
        <v>Submit for Review</v>
      </c>
      <c r="BH48" s="995" t="str">
        <f ca="1">IF(OR(C48="",F48="",J48="",M48="",O48="",Q48="",S48="",W48="",Z48="",AB48="",AD48="",AF48=""),"",IF('M01-S01'!$V$82&lt;TODAY(),0,IF(M02S02F46="Gas Only",0,IF(OR(AK48="",AK48&lt;0,AU48&lt;=AN48),0,MIN(AH48-AN48,ROUND(AN48*0.2,2))))))</f>
        <v/>
      </c>
    </row>
    <row r="49" spans="2:60" ht="15.95" customHeight="1">
      <c r="B49" s="829"/>
      <c r="C49" s="1088"/>
      <c r="D49" s="1088"/>
      <c r="E49" s="1088"/>
      <c r="F49" s="835"/>
      <c r="G49" s="836"/>
      <c r="H49" s="836"/>
      <c r="I49" s="837"/>
      <c r="J49" s="1088"/>
      <c r="K49" s="1088"/>
      <c r="L49" s="1088"/>
      <c r="M49" s="1078"/>
      <c r="N49" s="1078"/>
      <c r="O49" s="1081"/>
      <c r="P49" s="1082"/>
      <c r="Q49" s="1085"/>
      <c r="R49" s="1086"/>
      <c r="S49" s="851"/>
      <c r="T49" s="836"/>
      <c r="U49" s="836"/>
      <c r="V49" s="837"/>
      <c r="W49" s="1088"/>
      <c r="X49" s="1088"/>
      <c r="Y49" s="1088"/>
      <c r="Z49" s="1078"/>
      <c r="AA49" s="1078"/>
      <c r="AB49" s="1090"/>
      <c r="AC49" s="1090"/>
      <c r="AD49" s="1092"/>
      <c r="AE49" s="1092"/>
      <c r="AF49" s="1092"/>
      <c r="AG49" s="1094"/>
      <c r="AH49" s="865"/>
      <c r="AI49" s="1096"/>
      <c r="AJ49" s="1096"/>
      <c r="AK49" s="906"/>
      <c r="AL49" s="907"/>
      <c r="AM49" s="936"/>
      <c r="AN49" s="1100"/>
      <c r="AO49" s="1100"/>
      <c r="AP49" s="1100"/>
      <c r="AQ49" s="1100"/>
      <c r="AU49" s="1102"/>
      <c r="AV49" s="1102"/>
      <c r="AW49" s="901"/>
      <c r="AX49" s="812"/>
      <c r="AY49" s="812"/>
      <c r="AZ49" s="874"/>
      <c r="BA49" s="812"/>
      <c r="BB49" s="996"/>
      <c r="BC49" s="1098"/>
      <c r="BD49" s="996"/>
      <c r="BE49" s="996"/>
      <c r="BF49" s="1098"/>
      <c r="BH49" s="996"/>
    </row>
    <row r="50" spans="2:60" ht="15.95" customHeight="1">
      <c r="B50" s="829">
        <v>18</v>
      </c>
      <c r="C50" s="1087"/>
      <c r="D50" s="1087"/>
      <c r="E50" s="1087"/>
      <c r="F50" s="866"/>
      <c r="G50" s="867"/>
      <c r="H50" s="867"/>
      <c r="I50" s="868"/>
      <c r="J50" s="1087"/>
      <c r="K50" s="1087"/>
      <c r="L50" s="1087"/>
      <c r="M50" s="1077"/>
      <c r="N50" s="1077"/>
      <c r="O50" s="1079" t="str">
        <f>IFERROR(IF(F50="","",INDEX(CMLIGHTBASE[Base Watt 1],MATCH(F50,CMLIGHTBASE[Base Desc 1],0))),"")</f>
        <v/>
      </c>
      <c r="P50" s="1080"/>
      <c r="Q50" s="1083"/>
      <c r="R50" s="1084"/>
      <c r="S50" s="885"/>
      <c r="T50" s="867"/>
      <c r="U50" s="867"/>
      <c r="V50" s="868"/>
      <c r="W50" s="1087"/>
      <c r="X50" s="1087"/>
      <c r="Y50" s="1087"/>
      <c r="Z50" s="1077"/>
      <c r="AA50" s="1077"/>
      <c r="AB50" s="1089"/>
      <c r="AC50" s="1089"/>
      <c r="AD50" s="1091"/>
      <c r="AE50" s="1091"/>
      <c r="AF50" s="1091"/>
      <c r="AG50" s="1093"/>
      <c r="AH50" s="918" t="str">
        <f t="shared" ref="AH50" si="80">IFERROR(IF(OR(C50="",J50="",M50="",O50="",Q50="",W50="",Z50="",AB50="",AD50="",AF50=""),"",ROUND((AD50+AF50)*Z50,2)),"")</f>
        <v/>
      </c>
      <c r="AI50" s="1095"/>
      <c r="AJ50" s="1095"/>
      <c r="AK50" s="904" t="str">
        <f t="shared" ref="AK50" si="81">IFERROR(IF(OR(C50="",F50="",J50="",M50="",O50="",Q50="",S50="",W50="",Z50="",AB50="",AD50="",AF50=""),"",ROUND(IF((M50*O50)&lt;=(Z50*AB50),"0",(AX50-AY50+BD50)*BE50),2)),"")</f>
        <v/>
      </c>
      <c r="AL50" s="905"/>
      <c r="AM50" s="969"/>
      <c r="AN50" s="1099" t="str">
        <f>IFERROR(IF(OR(C50="",F50="",J50="",M50="",O50="",Q50="",S50="",W50="",Z50="",AB50="",AD50="",AF50=""),"",IF(OR(ISNUMBER(SEARCH("~~",F50)),ISNUMBER(SEARCH("~~",S50))),"Invalid Fixture Type Selected",IF(BF50&lt;&gt;"",BF50,ROUND(MIN(AH50*0.75,AK50*INDEX(INCRATE[Electric],MATCH("CMLIGHT",INCRATE[Incentive Type]))),2)))),"")</f>
        <v/>
      </c>
      <c r="AO50" s="1099"/>
      <c r="AP50" s="1099"/>
      <c r="AQ50" s="1099"/>
      <c r="AU50" s="1103" t="str">
        <f>IF(F50="","",INDEX(CUSTLIGHTUNIT,MATCH(F50,CMELIGHTBASE1,0)))</f>
        <v/>
      </c>
      <c r="AV50" s="1101" t="str">
        <f>IFERROR(IF(OR(C50="",F50="",J50="",M50="",O50="",Q50="",S50="",W50="",Z50="",AB50="",AD50="",AF50=""),"",((((1+ELOSS)*((AK50*INDEX(ELECCB[NPV AEC $/kWh],MATCH(15,ELECCB[Year Number],0)))+(AW50*INDEX(ELECCB[NPV ACC+T&amp;D $/kW],MATCH(15,ELECCB[Year Number],0)))))+((1+GLOSS)*((BB50*INDEX(GASCB[NPV GAEC $/therm],MATCH(15,GASCB[Year Number],1))))))/AH50)),"")</f>
        <v/>
      </c>
      <c r="AW50" s="900" t="str">
        <f>IFERROR(IF(OR(C50="",F50="",J50="",M50="",O50="",Q50="",S50="",W50="",Z50="",AB50="",AD50="",AF50=""),"",IF(OR(ISNUMBER(SEARCH("Exterior",C50)),((M50*O50)&lt;=(Z50*AB50)),ISNUMBER(SEARCH("Exterior",S50)),ISNUMBER(SEARCH("Exterior",F50))),0,ROUND((((M50*O50)-(Z50*AB50))/1000)*INDEX(LightingWHF[Coincidence Factor CF],MATCH(M02S02F26,LightingWHF[Building/Space Type],0))*IF(OR(M02S02F32="AC with Natural Gas Heat",M02S02F32="AC with Electric Heat",M02S02F32="Heat Pump"),INDEX(LightingWHF[Waste Heat Cooling Demand WHFd],MATCH(M02S02F26,LightingWHF[Building/Space Type],0)),1),3))),"")</f>
        <v/>
      </c>
      <c r="AX50" s="811" t="str">
        <f t="shared" ref="AX50" si="82">IF(OR(C50="",F50="",J50="",M50="",O50="",Q50="",S50="",W50="",Z50="",AB50="",AD50="",AF50=""),"",ROUND(M50*O50*Q50/1000,2))</f>
        <v/>
      </c>
      <c r="AY50" s="811" t="str">
        <f t="shared" ref="AY50" si="83">IF(OR(C50="",F50="",J50="",M50="",O50="",Q50="",S50="",W50="",Z50="",AB50="",AD50="",AF50=""),"",ROUND(Z50*AB50*Q50/1000,2))</f>
        <v/>
      </c>
      <c r="AZ50" s="873" t="str">
        <f>IF(OR(C50="",F50="",J50="",M50="",O50="",Q50="",S50="",W50="",Z50="",AB50="",AD50="",AF50=""),"",IF(ISNUMBER(AN50),(CONCATENATE(INDEX(CMLIGHTBASE[Measure Number],MATCH(F50,CMLIGHTBASE[Base Desc 1],0)),INDEX(CMLIGHTEFF[Measure Number],MATCH(S50,CMLIGHTEFF[Eff Desc 1],0)))),IF(AK50=0,"","000001")))</f>
        <v/>
      </c>
      <c r="BA50" s="811" t="str">
        <f t="shared" ref="BA50" si="84">IF(OR(C50="",F50="",J50="",M50="",O50="",Q50="",S50="",W50="",Z50="",AB50="",AD50="",AF50=""),"",IF((M50*O50)&lt;=(Z50*AB50),"0",AX50-AY50))</f>
        <v/>
      </c>
      <c r="BB50" s="1058" t="str">
        <f>IF(OR(C50="",F50="",J50="",M50="",O50="",Q50="",S50="",W50="",Z50="",AB50="",AD50="",AF50=""),"",IF(M02S02F46="Electric Only",0,IF(OR(ISNUMBER(SEARCH("Exterior",S50)),ISNUMBER(SEARCH("Exterior",C50)),ISNUMBER(SEARCH("Exterior",F50))),0,IF(OR(M02S02F32="AC with Natural Gas Heat",M02S02F32="Natural Gas Heat Only"),(((O50*M50-AB50*Z50)/1000)*Q50*-INDEX(LightingWHF[Waste Heat Gas Heating IFTherms],MATCH(M02S02F26,LightingWHF[Building/Space Type],0))),0))))</f>
        <v/>
      </c>
      <c r="BC50" s="1097" t="str">
        <f>IFERROR(AH50/M02S02F35/BA50,"")</f>
        <v/>
      </c>
      <c r="BD50" s="1058" t="str">
        <f>IF(OR(C50="",F50="",J50="",M50="",O50="",Q50="",S50="",W50="",Z50="",AB50="",AD50="",AF50=""),"",IF(M02S02F46="Gas Only",0,IF(OR(ISNUMBER(SEARCH("Exterior",S50)),ISNUMBER(SEARCH("Exterior",C50)),ISNUMBER(SEARCH("Exterior",F50))),0,IF(M02S02F32="Heat Pump",(((O50*M50-AB50*Z50)/1000)*Q50*-INDEX(LightingWHF[Waste Heat Electric Heat Pump Heating IFkWh],MATCH(M02S02F26,LightingWHF[Building/Space Type],0))),
IF(OR(M02S02F32="AC with Electric Heat",M02S02F32="Electric Heat Only"),(((O50*M50-AB50*Z50)/1000)*Q50*-INDEX(LightingWHF[Waste Heat Electric Resistance Heating IFkWh],MATCH(M02S02F26,LightingWHF[Building/Space Type],0))),0
)))))</f>
        <v/>
      </c>
      <c r="BE50" s="1058" t="str">
        <f>IF(OR(C50="",F50="",J50="",M50="",O50="",Q50="",S50="",W50="",Z50="",AB50="",AD50="",AF50=""),"",IF(M02S02F46="Gas Only",0,IF(OR(ISNUMBER(SEARCH("Exterior",S50)),ISNUMBER(SEARCH("Exterior",C50)),ISNUMBER(SEARCH("Exterior",F50))),1,IF(OR(M02S02F32="Heat Pump",M02S02F32="AC with Natural Gas Heat",M02S02F32="AC with Electric Heat"),(INDEX(LightingWHF[Waste Heat Cooling Energy WHFe],MATCH(M02S02F26,LightingWHF[Building/Space Type],0))),1))))</f>
        <v/>
      </c>
      <c r="BF50" s="1097" t="str">
        <f>IFERROR(IF((M50*O50)&lt;=(Z50*AB50),MEASURESAVE,IF(M02S02F35="",MEASURERATE,IF(AH50/M02S02F35/BA50&lt;1,MEASUREPAY,IF(AV50&lt;1,MEASURECB,IF(OR(ISBLANK(M02S02F26),ISBLANK(M02S02F32),ISBLANK(M02S02F46)),MEASUREBLDG,""))))),MEASURESUBMIT)</f>
        <v>Submit for Review</v>
      </c>
      <c r="BH50" s="995" t="str">
        <f ca="1">IF(OR(C50="",F50="",J50="",M50="",O50="",Q50="",S50="",W50="",Z50="",AB50="",AD50="",AF50=""),"",IF('M01-S01'!$V$82&lt;TODAY(),0,IF(M02S02F46="Gas Only",0,IF(OR(AK50="",AK50&lt;0,AU50&lt;=AN50),0,MIN(AH50-AN50,ROUND(AN50*0.2,2))))))</f>
        <v/>
      </c>
    </row>
    <row r="51" spans="2:60" ht="15.95" customHeight="1">
      <c r="B51" s="829"/>
      <c r="C51" s="1088"/>
      <c r="D51" s="1088"/>
      <c r="E51" s="1088"/>
      <c r="F51" s="835"/>
      <c r="G51" s="836"/>
      <c r="H51" s="836"/>
      <c r="I51" s="837"/>
      <c r="J51" s="1088"/>
      <c r="K51" s="1088"/>
      <c r="L51" s="1088"/>
      <c r="M51" s="1078"/>
      <c r="N51" s="1078"/>
      <c r="O51" s="1081"/>
      <c r="P51" s="1082"/>
      <c r="Q51" s="1085"/>
      <c r="R51" s="1086"/>
      <c r="S51" s="851"/>
      <c r="T51" s="836"/>
      <c r="U51" s="836"/>
      <c r="V51" s="837"/>
      <c r="W51" s="1088"/>
      <c r="X51" s="1088"/>
      <c r="Y51" s="1088"/>
      <c r="Z51" s="1078"/>
      <c r="AA51" s="1078"/>
      <c r="AB51" s="1090"/>
      <c r="AC51" s="1090"/>
      <c r="AD51" s="1092"/>
      <c r="AE51" s="1092"/>
      <c r="AF51" s="1092"/>
      <c r="AG51" s="1094"/>
      <c r="AH51" s="865"/>
      <c r="AI51" s="1096"/>
      <c r="AJ51" s="1096"/>
      <c r="AK51" s="906"/>
      <c r="AL51" s="907"/>
      <c r="AM51" s="936"/>
      <c r="AN51" s="1100"/>
      <c r="AO51" s="1100"/>
      <c r="AP51" s="1100"/>
      <c r="AQ51" s="1100"/>
      <c r="AU51" s="1102"/>
      <c r="AV51" s="1102"/>
      <c r="AW51" s="901"/>
      <c r="AX51" s="812"/>
      <c r="AY51" s="812"/>
      <c r="AZ51" s="874"/>
      <c r="BA51" s="812"/>
      <c r="BB51" s="996"/>
      <c r="BC51" s="1098"/>
      <c r="BD51" s="996"/>
      <c r="BE51" s="996"/>
      <c r="BF51" s="1098"/>
      <c r="BH51" s="996"/>
    </row>
    <row r="52" spans="2:60" ht="15.95" customHeight="1">
      <c r="B52" s="829">
        <v>19</v>
      </c>
      <c r="C52" s="1087"/>
      <c r="D52" s="1087"/>
      <c r="E52" s="1087"/>
      <c r="F52" s="866"/>
      <c r="G52" s="867"/>
      <c r="H52" s="867"/>
      <c r="I52" s="868"/>
      <c r="J52" s="1087"/>
      <c r="K52" s="1087"/>
      <c r="L52" s="1087"/>
      <c r="M52" s="1077"/>
      <c r="N52" s="1077"/>
      <c r="O52" s="1079" t="str">
        <f>IFERROR(IF(F52="","",INDEX(CMLIGHTBASE[Base Watt 1],MATCH(F52,CMLIGHTBASE[Base Desc 1],0))),"")</f>
        <v/>
      </c>
      <c r="P52" s="1080"/>
      <c r="Q52" s="1083"/>
      <c r="R52" s="1084"/>
      <c r="S52" s="885"/>
      <c r="T52" s="867"/>
      <c r="U52" s="867"/>
      <c r="V52" s="868"/>
      <c r="W52" s="1087"/>
      <c r="X52" s="1087"/>
      <c r="Y52" s="1087"/>
      <c r="Z52" s="1077"/>
      <c r="AA52" s="1077"/>
      <c r="AB52" s="1089"/>
      <c r="AC52" s="1089"/>
      <c r="AD52" s="1091"/>
      <c r="AE52" s="1091"/>
      <c r="AF52" s="1091"/>
      <c r="AG52" s="1093"/>
      <c r="AH52" s="918" t="str">
        <f t="shared" ref="AH52" si="85">IFERROR(IF(OR(C52="",J52="",M52="",O52="",Q52="",W52="",Z52="",AB52="",AD52="",AF52=""),"",ROUND((AD52+AF52)*Z52,2)),"")</f>
        <v/>
      </c>
      <c r="AI52" s="1095"/>
      <c r="AJ52" s="1095"/>
      <c r="AK52" s="904" t="str">
        <f t="shared" ref="AK52" si="86">IFERROR(IF(OR(C52="",F52="",J52="",M52="",O52="",Q52="",S52="",W52="",Z52="",AB52="",AD52="",AF52=""),"",ROUND(IF((M52*O52)&lt;=(Z52*AB52),"0",(AX52-AY52+BD52)*BE52),2)),"")</f>
        <v/>
      </c>
      <c r="AL52" s="905"/>
      <c r="AM52" s="969"/>
      <c r="AN52" s="1099" t="str">
        <f>IFERROR(IF(OR(C52="",F52="",J52="",M52="",O52="",Q52="",S52="",W52="",Z52="",AB52="",AD52="",AF52=""),"",IF(OR(ISNUMBER(SEARCH("~~",F52)),ISNUMBER(SEARCH("~~",S52))),"Invalid Fixture Type Selected",IF(BF52&lt;&gt;"",BF52,ROUND(MIN(AH52*0.75,AK52*INDEX(INCRATE[Electric],MATCH("CMLIGHT",INCRATE[Incentive Type]))),2)))),"")</f>
        <v/>
      </c>
      <c r="AO52" s="1099"/>
      <c r="AP52" s="1099"/>
      <c r="AQ52" s="1099"/>
      <c r="AU52" s="1103" t="str">
        <f>IF(F52="","",INDEX(CUSTLIGHTUNIT,MATCH(F52,CMELIGHTBASE1,0)))</f>
        <v/>
      </c>
      <c r="AV52" s="1101" t="str">
        <f>IFERROR(IF(OR(C52="",F52="",J52="",M52="",O52="",Q52="",S52="",W52="",Z52="",AB52="",AD52="",AF52=""),"",((((1+ELOSS)*((AK52*INDEX(ELECCB[NPV AEC $/kWh],MATCH(15,ELECCB[Year Number],0)))+(AW52*INDEX(ELECCB[NPV ACC+T&amp;D $/kW],MATCH(15,ELECCB[Year Number],0)))))+((1+GLOSS)*((BB52*INDEX(GASCB[NPV GAEC $/therm],MATCH(15,GASCB[Year Number],1))))))/AH52)),"")</f>
        <v/>
      </c>
      <c r="AW52" s="900" t="str">
        <f>IFERROR(IF(OR(C52="",F52="",J52="",M52="",O52="",Q52="",S52="",W52="",Z52="",AB52="",AD52="",AF52=""),"",IF(OR(ISNUMBER(SEARCH("Exterior",C52)),((M52*O52)&lt;=(Z52*AB52)),ISNUMBER(SEARCH("Exterior",S52)),ISNUMBER(SEARCH("Exterior",F52))),0,ROUND((((M52*O52)-(Z52*AB52))/1000)*INDEX(LightingWHF[Coincidence Factor CF],MATCH(M02S02F26,LightingWHF[Building/Space Type],0))*IF(OR(M02S02F32="AC with Natural Gas Heat",M02S02F32="AC with Electric Heat",M02S02F32="Heat Pump"),INDEX(LightingWHF[Waste Heat Cooling Demand WHFd],MATCH(M02S02F26,LightingWHF[Building/Space Type],0)),1),3))),"")</f>
        <v/>
      </c>
      <c r="AX52" s="811" t="str">
        <f t="shared" ref="AX52" si="87">IF(OR(C52="",F52="",J52="",M52="",O52="",Q52="",S52="",W52="",Z52="",AB52="",AD52="",AF52=""),"",ROUND(M52*O52*Q52/1000,2))</f>
        <v/>
      </c>
      <c r="AY52" s="811" t="str">
        <f t="shared" ref="AY52" si="88">IF(OR(C52="",F52="",J52="",M52="",O52="",Q52="",S52="",W52="",Z52="",AB52="",AD52="",AF52=""),"",ROUND(Z52*AB52*Q52/1000,2))</f>
        <v/>
      </c>
      <c r="AZ52" s="873" t="str">
        <f>IF(OR(C52="",F52="",J52="",M52="",O52="",Q52="",S52="",W52="",Z52="",AB52="",AD52="",AF52=""),"",IF(ISNUMBER(AN52),(CONCATENATE(INDEX(CMLIGHTBASE[Measure Number],MATCH(F52,CMLIGHTBASE[Base Desc 1],0)),INDEX(CMLIGHTEFF[Measure Number],MATCH(S52,CMLIGHTEFF[Eff Desc 1],0)))),IF(AK52=0,"","000001")))</f>
        <v/>
      </c>
      <c r="BA52" s="811" t="str">
        <f t="shared" ref="BA52" si="89">IF(OR(C52="",F52="",J52="",M52="",O52="",Q52="",S52="",W52="",Z52="",AB52="",AD52="",AF52=""),"",IF((M52*O52)&lt;=(Z52*AB52),"0",AX52-AY52))</f>
        <v/>
      </c>
      <c r="BB52" s="1058" t="str">
        <f>IF(OR(C52="",F52="",J52="",M52="",O52="",Q52="",S52="",W52="",Z52="",AB52="",AD52="",AF52=""),"",IF(M02S02F46="Electric Only",0,IF(OR(ISNUMBER(SEARCH("Exterior",S52)),ISNUMBER(SEARCH("Exterior",C52)),ISNUMBER(SEARCH("Exterior",F52))),0,IF(OR(M02S02F32="AC with Natural Gas Heat",M02S02F32="Natural Gas Heat Only"),(((O52*M52-AB52*Z52)/1000)*Q52*-INDEX(LightingWHF[Waste Heat Gas Heating IFTherms],MATCH(M02S02F26,LightingWHF[Building/Space Type],0))),0))))</f>
        <v/>
      </c>
      <c r="BC52" s="1097" t="str">
        <f>IFERROR(AH52/M02S02F35/BA52,"")</f>
        <v/>
      </c>
      <c r="BD52" s="1058" t="str">
        <f>IF(OR(C52="",F52="",J52="",M52="",O52="",Q52="",S52="",W52="",Z52="",AB52="",AD52="",AF52=""),"",IF(M02S02F46="Gas Only",0,IF(OR(ISNUMBER(SEARCH("Exterior",S52)),ISNUMBER(SEARCH("Exterior",C52)),ISNUMBER(SEARCH("Exterior",F52))),0,IF(M02S02F32="Heat Pump",(((O52*M52-AB52*Z52)/1000)*Q52*-INDEX(LightingWHF[Waste Heat Electric Heat Pump Heating IFkWh],MATCH(M02S02F26,LightingWHF[Building/Space Type],0))),
IF(OR(M02S02F32="AC with Electric Heat",M02S02F32="Electric Heat Only"),(((O52*M52-AB52*Z52)/1000)*Q52*-INDEX(LightingWHF[Waste Heat Electric Resistance Heating IFkWh],MATCH(M02S02F26,LightingWHF[Building/Space Type],0))),0
)))))</f>
        <v/>
      </c>
      <c r="BE52" s="1058" t="str">
        <f>IF(OR(C52="",F52="",J52="",M52="",O52="",Q52="",S52="",W52="",Z52="",AB52="",AD52="",AF52=""),"",IF(M02S02F46="Gas Only",0,IF(OR(ISNUMBER(SEARCH("Exterior",S52)),ISNUMBER(SEARCH("Exterior",C52)),ISNUMBER(SEARCH("Exterior",F52))),1,IF(OR(M02S02F32="Heat Pump",M02S02F32="AC with Natural Gas Heat",M02S02F32="AC with Electric Heat"),(INDEX(LightingWHF[Waste Heat Cooling Energy WHFe],MATCH(M02S02F26,LightingWHF[Building/Space Type],0))),1))))</f>
        <v/>
      </c>
      <c r="BF52" s="1097" t="str">
        <f>IFERROR(IF((M52*O52)&lt;=(Z52*AB52),MEASURESAVE,IF(M02S02F35="",MEASURERATE,IF(AH52/M02S02F35/BA52&lt;1,MEASUREPAY,IF(AV52&lt;1,MEASURECB,IF(OR(ISBLANK(M02S02F26),ISBLANK(M02S02F32),ISBLANK(M02S02F46)),MEASUREBLDG,""))))),MEASURESUBMIT)</f>
        <v>Submit for Review</v>
      </c>
      <c r="BH52" s="995" t="str">
        <f ca="1">IF(OR(C52="",F52="",J52="",M52="",O52="",Q52="",S52="",W52="",Z52="",AB52="",AD52="",AF52=""),"",IF('M01-S01'!$V$82&lt;TODAY(),0,IF(M02S02F46="Gas Only",0,IF(OR(AK52="",AK52&lt;0,AU52&lt;=AN52),0,MIN(AH52-AN52,ROUND(AN52*0.2,2))))))</f>
        <v/>
      </c>
    </row>
    <row r="53" spans="2:60" ht="15.95" customHeight="1">
      <c r="B53" s="829"/>
      <c r="C53" s="1088"/>
      <c r="D53" s="1088"/>
      <c r="E53" s="1088"/>
      <c r="F53" s="835"/>
      <c r="G53" s="836"/>
      <c r="H53" s="836"/>
      <c r="I53" s="837"/>
      <c r="J53" s="1088"/>
      <c r="K53" s="1088"/>
      <c r="L53" s="1088"/>
      <c r="M53" s="1078"/>
      <c r="N53" s="1078"/>
      <c r="O53" s="1081"/>
      <c r="P53" s="1082"/>
      <c r="Q53" s="1085"/>
      <c r="R53" s="1086"/>
      <c r="S53" s="851"/>
      <c r="T53" s="836"/>
      <c r="U53" s="836"/>
      <c r="V53" s="837"/>
      <c r="W53" s="1088"/>
      <c r="X53" s="1088"/>
      <c r="Y53" s="1088"/>
      <c r="Z53" s="1078"/>
      <c r="AA53" s="1078"/>
      <c r="AB53" s="1090"/>
      <c r="AC53" s="1090"/>
      <c r="AD53" s="1092"/>
      <c r="AE53" s="1092"/>
      <c r="AF53" s="1092"/>
      <c r="AG53" s="1094"/>
      <c r="AH53" s="865"/>
      <c r="AI53" s="1096"/>
      <c r="AJ53" s="1096"/>
      <c r="AK53" s="906"/>
      <c r="AL53" s="907"/>
      <c r="AM53" s="936"/>
      <c r="AN53" s="1100"/>
      <c r="AO53" s="1100"/>
      <c r="AP53" s="1100"/>
      <c r="AQ53" s="1100"/>
      <c r="AU53" s="1102"/>
      <c r="AV53" s="1102"/>
      <c r="AW53" s="901"/>
      <c r="AX53" s="812"/>
      <c r="AY53" s="812"/>
      <c r="AZ53" s="874"/>
      <c r="BA53" s="812"/>
      <c r="BB53" s="996"/>
      <c r="BC53" s="1098"/>
      <c r="BD53" s="996"/>
      <c r="BE53" s="996"/>
      <c r="BF53" s="1098"/>
      <c r="BH53" s="996"/>
    </row>
    <row r="54" spans="2:60" ht="15.95" customHeight="1">
      <c r="B54" s="829">
        <v>20</v>
      </c>
      <c r="C54" s="1087"/>
      <c r="D54" s="1087"/>
      <c r="E54" s="1087"/>
      <c r="F54" s="866"/>
      <c r="G54" s="867"/>
      <c r="H54" s="867"/>
      <c r="I54" s="868"/>
      <c r="J54" s="1087"/>
      <c r="K54" s="1087"/>
      <c r="L54" s="1087"/>
      <c r="M54" s="1077"/>
      <c r="N54" s="1077"/>
      <c r="O54" s="1079" t="str">
        <f>IFERROR(IF(F54="","",INDEX(CMLIGHTBASE[Base Watt 1],MATCH(F54,CMLIGHTBASE[Base Desc 1],0))),"")</f>
        <v/>
      </c>
      <c r="P54" s="1080"/>
      <c r="Q54" s="1083"/>
      <c r="R54" s="1084"/>
      <c r="S54" s="885"/>
      <c r="T54" s="867"/>
      <c r="U54" s="867"/>
      <c r="V54" s="868"/>
      <c r="W54" s="1087"/>
      <c r="X54" s="1087"/>
      <c r="Y54" s="1087"/>
      <c r="Z54" s="1077"/>
      <c r="AA54" s="1077"/>
      <c r="AB54" s="1089"/>
      <c r="AC54" s="1089"/>
      <c r="AD54" s="1091"/>
      <c r="AE54" s="1091"/>
      <c r="AF54" s="1091"/>
      <c r="AG54" s="1093"/>
      <c r="AH54" s="918" t="str">
        <f t="shared" ref="AH54" si="90">IFERROR(IF(OR(C54="",J54="",M54="",O54="",Q54="",W54="",Z54="",AB54="",AD54="",AF54=""),"",ROUND((AD54+AF54)*Z54,2)),"")</f>
        <v/>
      </c>
      <c r="AI54" s="1095"/>
      <c r="AJ54" s="1095"/>
      <c r="AK54" s="904" t="str">
        <f t="shared" ref="AK54" si="91">IFERROR(IF(OR(C54="",F54="",J54="",M54="",O54="",Q54="",S54="",W54="",Z54="",AB54="",AD54="",AF54=""),"",ROUND(IF((M54*O54)&lt;=(Z54*AB54),"0",(AX54-AY54+BD54)*BE54),2)),"")</f>
        <v/>
      </c>
      <c r="AL54" s="905"/>
      <c r="AM54" s="969"/>
      <c r="AN54" s="1099" t="str">
        <f>IFERROR(IF(OR(C54="",F54="",J54="",M54="",O54="",Q54="",S54="",W54="",Z54="",AB54="",AD54="",AF54=""),"",IF(OR(ISNUMBER(SEARCH("~~",F54)),ISNUMBER(SEARCH("~~",S54))),"Invalid Fixture Type Selected",IF(BF54&lt;&gt;"",BF54,ROUND(MIN(AH54*0.75,AK54*INDEX(INCRATE[Electric],MATCH("CMLIGHT",INCRATE[Incentive Type]))),2)))),"")</f>
        <v/>
      </c>
      <c r="AO54" s="1099"/>
      <c r="AP54" s="1099"/>
      <c r="AQ54" s="1099"/>
      <c r="AU54" s="1103" t="str">
        <f>IF(F54="","",INDEX(CUSTLIGHTUNIT,MATCH(F54,CMELIGHTBASE1,0)))</f>
        <v/>
      </c>
      <c r="AV54" s="1101" t="str">
        <f>IFERROR(IF(OR(C54="",F54="",J54="",M54="",O54="",Q54="",S54="",W54="",Z54="",AB54="",AD54="",AF54=""),"",((((1+ELOSS)*((AK54*INDEX(ELECCB[NPV AEC $/kWh],MATCH(15,ELECCB[Year Number],0)))+(AW54*INDEX(ELECCB[NPV ACC+T&amp;D $/kW],MATCH(15,ELECCB[Year Number],0)))))+((1+GLOSS)*((BB54*INDEX(GASCB[NPV GAEC $/therm],MATCH(15,GASCB[Year Number],1))))))/AH54)),"")</f>
        <v/>
      </c>
      <c r="AW54" s="900" t="str">
        <f>IFERROR(IF(OR(C54="",F54="",J54="",M54="",O54="",Q54="",S54="",W54="",Z54="",AB54="",AD54="",AF54=""),"",IF(OR(ISNUMBER(SEARCH("Exterior",C54)),((M54*O54)&lt;=(Z54*AB54)),ISNUMBER(SEARCH("Exterior",S54)),ISNUMBER(SEARCH("Exterior",F54))),0,ROUND((((M54*O54)-(Z54*AB54))/1000)*INDEX(LightingWHF[Coincidence Factor CF],MATCH(M02S02F26,LightingWHF[Building/Space Type],0))*IF(OR(M02S02F32="AC with Natural Gas Heat",M02S02F32="AC with Electric Heat",M02S02F32="Heat Pump"),INDEX(LightingWHF[Waste Heat Cooling Demand WHFd],MATCH(M02S02F26,LightingWHF[Building/Space Type],0)),1),3))),"")</f>
        <v/>
      </c>
      <c r="AX54" s="811" t="str">
        <f t="shared" ref="AX54" si="92">IF(OR(C54="",F54="",J54="",M54="",O54="",Q54="",S54="",W54="",Z54="",AB54="",AD54="",AF54=""),"",ROUND(M54*O54*Q54/1000,2))</f>
        <v/>
      </c>
      <c r="AY54" s="811" t="str">
        <f t="shared" ref="AY54" si="93">IF(OR(C54="",F54="",J54="",M54="",O54="",Q54="",S54="",W54="",Z54="",AB54="",AD54="",AF54=""),"",ROUND(Z54*AB54*Q54/1000,2))</f>
        <v/>
      </c>
      <c r="AZ54" s="873" t="str">
        <f>IF(OR(C54="",F54="",J54="",M54="",O54="",Q54="",S54="",W54="",Z54="",AB54="",AD54="",AF54=""),"",IF(ISNUMBER(AN54),(CONCATENATE(INDEX(CMLIGHTBASE[Measure Number],MATCH(F54,CMLIGHTBASE[Base Desc 1],0)),INDEX(CMLIGHTEFF[Measure Number],MATCH(S54,CMLIGHTEFF[Eff Desc 1],0)))),IF(AK54=0,"","000001")))</f>
        <v/>
      </c>
      <c r="BA54" s="811" t="str">
        <f t="shared" ref="BA54" si="94">IF(OR(C54="",F54="",J54="",M54="",O54="",Q54="",S54="",W54="",Z54="",AB54="",AD54="",AF54=""),"",IF((M54*O54)&lt;=(Z54*AB54),"0",AX54-AY54))</f>
        <v/>
      </c>
      <c r="BB54" s="1058" t="str">
        <f>IF(OR(C54="",F54="",J54="",M54="",O54="",Q54="",S54="",W54="",Z54="",AB54="",AD54="",AF54=""),"",IF(M02S02F46="Electric Only",0,IF(OR(ISNUMBER(SEARCH("Exterior",S54)),ISNUMBER(SEARCH("Exterior",C54)),ISNUMBER(SEARCH("Exterior",F54))),0,IF(OR(M02S02F32="AC with Natural Gas Heat",M02S02F32="Natural Gas Heat Only"),(((O54*M54-AB54*Z54)/1000)*Q54*-INDEX(LightingWHF[Waste Heat Gas Heating IFTherms],MATCH(M02S02F26,LightingWHF[Building/Space Type],0))),0))))</f>
        <v/>
      </c>
      <c r="BC54" s="1097" t="str">
        <f>IFERROR(AH54/M02S02F35/BA54,"")</f>
        <v/>
      </c>
      <c r="BD54" s="1058" t="str">
        <f>IF(OR(C54="",F54="",J54="",M54="",O54="",Q54="",S54="",W54="",Z54="",AB54="",AD54="",AF54=""),"",IF(M02S02F46="Gas Only",0,IF(OR(ISNUMBER(SEARCH("Exterior",S54)),ISNUMBER(SEARCH("Exterior",C54)),ISNUMBER(SEARCH("Exterior",F54))),0,IF(M02S02F32="Heat Pump",(((O54*M54-AB54*Z54)/1000)*Q54*-INDEX(LightingWHF[Waste Heat Electric Heat Pump Heating IFkWh],MATCH(M02S02F26,LightingWHF[Building/Space Type],0))),
IF(OR(M02S02F32="AC with Electric Heat",M02S02F32="Electric Heat Only"),(((O54*M54-AB54*Z54)/1000)*Q54*-INDEX(LightingWHF[Waste Heat Electric Resistance Heating IFkWh],MATCH(M02S02F26,LightingWHF[Building/Space Type],0))),0
)))))</f>
        <v/>
      </c>
      <c r="BE54" s="1058" t="str">
        <f>IF(OR(C54="",F54="",J54="",M54="",O54="",Q54="",S54="",W54="",Z54="",AB54="",AD54="",AF54=""),"",IF(M02S02F46="Gas Only",0,IF(OR(ISNUMBER(SEARCH("Exterior",S54)),ISNUMBER(SEARCH("Exterior",C54)),ISNUMBER(SEARCH("Exterior",F54))),1,IF(OR(M02S02F32="Heat Pump",M02S02F32="AC with Natural Gas Heat",M02S02F32="AC with Electric Heat"),(INDEX(LightingWHF[Waste Heat Cooling Energy WHFe],MATCH(M02S02F26,LightingWHF[Building/Space Type],0))),1))))</f>
        <v/>
      </c>
      <c r="BF54" s="1097" t="str">
        <f>IFERROR(IF((M54*O54)&lt;=(Z54*AB54),MEASURESAVE,IF(M02S02F35="",MEASURERATE,IF(AH54/M02S02F35/BA54&lt;1,MEASUREPAY,IF(AV54&lt;1,MEASURECB,IF(OR(ISBLANK(M02S02F26),ISBLANK(M02S02F32),ISBLANK(M02S02F46)),MEASUREBLDG,""))))),MEASURESUBMIT)</f>
        <v>Submit for Review</v>
      </c>
      <c r="BH54" s="995" t="str">
        <f ca="1">IF(OR(C54="",F54="",J54="",M54="",O54="",Q54="",S54="",W54="",Z54="",AB54="",AD54="",AF54=""),"",IF('M01-S01'!$V$82&lt;TODAY(),0,IF(M02S02F46="Gas Only",0,IF(OR(AK54="",AK54&lt;0,AU54&lt;=AN54),0,MIN(AH54-AN54,ROUND(AN54*0.2,2))))))</f>
        <v/>
      </c>
    </row>
    <row r="55" spans="2:60" ht="15.95" customHeight="1">
      <c r="B55" s="829"/>
      <c r="C55" s="1088"/>
      <c r="D55" s="1088"/>
      <c r="E55" s="1088"/>
      <c r="F55" s="835"/>
      <c r="G55" s="836"/>
      <c r="H55" s="836"/>
      <c r="I55" s="837"/>
      <c r="J55" s="1088"/>
      <c r="K55" s="1088"/>
      <c r="L55" s="1088"/>
      <c r="M55" s="1078"/>
      <c r="N55" s="1078"/>
      <c r="O55" s="1081"/>
      <c r="P55" s="1082"/>
      <c r="Q55" s="1085"/>
      <c r="R55" s="1086"/>
      <c r="S55" s="851"/>
      <c r="T55" s="836"/>
      <c r="U55" s="836"/>
      <c r="V55" s="837"/>
      <c r="W55" s="1088"/>
      <c r="X55" s="1088"/>
      <c r="Y55" s="1088"/>
      <c r="Z55" s="1078"/>
      <c r="AA55" s="1078"/>
      <c r="AB55" s="1090"/>
      <c r="AC55" s="1090"/>
      <c r="AD55" s="1092"/>
      <c r="AE55" s="1092"/>
      <c r="AF55" s="1092"/>
      <c r="AG55" s="1094"/>
      <c r="AH55" s="865"/>
      <c r="AI55" s="1096"/>
      <c r="AJ55" s="1096"/>
      <c r="AK55" s="906"/>
      <c r="AL55" s="907"/>
      <c r="AM55" s="936"/>
      <c r="AN55" s="1100"/>
      <c r="AO55" s="1100"/>
      <c r="AP55" s="1100"/>
      <c r="AQ55" s="1100"/>
      <c r="AU55" s="1102"/>
      <c r="AV55" s="1102"/>
      <c r="AW55" s="901"/>
      <c r="AX55" s="812"/>
      <c r="AY55" s="812"/>
      <c r="AZ55" s="874"/>
      <c r="BA55" s="812"/>
      <c r="BB55" s="996"/>
      <c r="BC55" s="1098"/>
      <c r="BD55" s="996"/>
      <c r="BE55" s="996"/>
      <c r="BF55" s="1098"/>
      <c r="BH55" s="996"/>
    </row>
    <row r="56" spans="2:60" ht="15.95" customHeight="1">
      <c r="B56" s="829">
        <v>21</v>
      </c>
      <c r="C56" s="1087"/>
      <c r="D56" s="1087"/>
      <c r="E56" s="1087"/>
      <c r="F56" s="866"/>
      <c r="G56" s="867"/>
      <c r="H56" s="867"/>
      <c r="I56" s="868"/>
      <c r="J56" s="1087"/>
      <c r="K56" s="1087"/>
      <c r="L56" s="1087"/>
      <c r="M56" s="1077"/>
      <c r="N56" s="1077"/>
      <c r="O56" s="1079" t="str">
        <f>IFERROR(IF(F56="","",INDEX(CMLIGHTBASE[Base Watt 1],MATCH(F56,CMLIGHTBASE[Base Desc 1],0))),"")</f>
        <v/>
      </c>
      <c r="P56" s="1080"/>
      <c r="Q56" s="1083"/>
      <c r="R56" s="1084"/>
      <c r="S56" s="885"/>
      <c r="T56" s="867"/>
      <c r="U56" s="867"/>
      <c r="V56" s="868"/>
      <c r="W56" s="1087"/>
      <c r="X56" s="1087"/>
      <c r="Y56" s="1087"/>
      <c r="Z56" s="1077"/>
      <c r="AA56" s="1077"/>
      <c r="AB56" s="1089"/>
      <c r="AC56" s="1089"/>
      <c r="AD56" s="1091"/>
      <c r="AE56" s="1091"/>
      <c r="AF56" s="1091"/>
      <c r="AG56" s="1093"/>
      <c r="AH56" s="918" t="str">
        <f t="shared" ref="AH56" si="95">IFERROR(IF(OR(C56="",J56="",M56="",O56="",Q56="",W56="",Z56="",AB56="",AD56="",AF56=""),"",ROUND((AD56+AF56)*Z56,2)),"")</f>
        <v/>
      </c>
      <c r="AI56" s="1095"/>
      <c r="AJ56" s="1095"/>
      <c r="AK56" s="904" t="str">
        <f t="shared" ref="AK56" si="96">IFERROR(IF(OR(C56="",F56="",J56="",M56="",O56="",Q56="",S56="",W56="",Z56="",AB56="",AD56="",AF56=""),"",ROUND(IF((M56*O56)&lt;=(Z56*AB56),"0",(AX56-AY56+BD56)*BE56),2)),"")</f>
        <v/>
      </c>
      <c r="AL56" s="905"/>
      <c r="AM56" s="969"/>
      <c r="AN56" s="1099" t="str">
        <f>IFERROR(IF(OR(C56="",F56="",J56="",M56="",O56="",Q56="",S56="",W56="",Z56="",AB56="",AD56="",AF56=""),"",IF(OR(ISNUMBER(SEARCH("~~",F56)),ISNUMBER(SEARCH("~~",S56))),"Invalid Fixture Type Selected",IF(BF56&lt;&gt;"",BF56,ROUND(MIN(AH56*0.75,AK56*INDEX(INCRATE[Electric],MATCH("CMLIGHT",INCRATE[Incentive Type]))),2)))),"")</f>
        <v/>
      </c>
      <c r="AO56" s="1099"/>
      <c r="AP56" s="1099"/>
      <c r="AQ56" s="1099"/>
      <c r="AU56" s="1103" t="str">
        <f>IF(F56="","",INDEX(CUSTLIGHTUNIT,MATCH(F56,CMELIGHTBASE1,0)))</f>
        <v/>
      </c>
      <c r="AV56" s="1101" t="str">
        <f>IFERROR(IF(OR(C56="",F56="",J56="",M56="",O56="",Q56="",S56="",W56="",Z56="",AB56="",AD56="",AF56=""),"",((((1+ELOSS)*((AK56*INDEX(ELECCB[NPV AEC $/kWh],MATCH(15,ELECCB[Year Number],0)))+(AW56*INDEX(ELECCB[NPV ACC+T&amp;D $/kW],MATCH(15,ELECCB[Year Number],0)))))+((1+GLOSS)*((BB56*INDEX(GASCB[NPV GAEC $/therm],MATCH(15,GASCB[Year Number],1))))))/AH56)),"")</f>
        <v/>
      </c>
      <c r="AW56" s="900" t="str">
        <f>IFERROR(IF(OR(C56="",F56="",J56="",M56="",O56="",Q56="",S56="",W56="",Z56="",AB56="",AD56="",AF56=""),"",IF(OR(ISNUMBER(SEARCH("Exterior",C56)),((M56*O56)&lt;=(Z56*AB56)),ISNUMBER(SEARCH("Exterior",S56)),ISNUMBER(SEARCH("Exterior",F56))),0,ROUND((((M56*O56)-(Z56*AB56))/1000)*INDEX(LightingWHF[Coincidence Factor CF],MATCH(M02S02F26,LightingWHF[Building/Space Type],0))*IF(OR(M02S02F32="AC with Natural Gas Heat",M02S02F32="AC with Electric Heat",M02S02F32="Heat Pump"),INDEX(LightingWHF[Waste Heat Cooling Demand WHFd],MATCH(M02S02F26,LightingWHF[Building/Space Type],0)),1),3))),"")</f>
        <v/>
      </c>
      <c r="AX56" s="811" t="str">
        <f t="shared" ref="AX56" si="97">IF(OR(C56="",F56="",J56="",M56="",O56="",Q56="",S56="",W56="",Z56="",AB56="",AD56="",AF56=""),"",ROUND(M56*O56*Q56/1000,2))</f>
        <v/>
      </c>
      <c r="AY56" s="811" t="str">
        <f t="shared" ref="AY56" si="98">IF(OR(C56="",F56="",J56="",M56="",O56="",Q56="",S56="",W56="",Z56="",AB56="",AD56="",AF56=""),"",ROUND(Z56*AB56*Q56/1000,2))</f>
        <v/>
      </c>
      <c r="AZ56" s="873" t="str">
        <f>IF(OR(C56="",F56="",J56="",M56="",O56="",Q56="",S56="",W56="",Z56="",AB56="",AD56="",AF56=""),"",IF(ISNUMBER(AN56),(CONCATENATE(INDEX(CMLIGHTBASE[Measure Number],MATCH(F56,CMLIGHTBASE[Base Desc 1],0)),INDEX(CMLIGHTEFF[Measure Number],MATCH(S56,CMLIGHTEFF[Eff Desc 1],0)))),IF(AK56=0,"","000001")))</f>
        <v/>
      </c>
      <c r="BA56" s="811" t="str">
        <f t="shared" ref="BA56" si="99">IF(OR(C56="",F56="",J56="",M56="",O56="",Q56="",S56="",W56="",Z56="",AB56="",AD56="",AF56=""),"",IF((M56*O56)&lt;=(Z56*AB56),"0",AX56-AY56))</f>
        <v/>
      </c>
      <c r="BB56" s="1058" t="str">
        <f>IF(OR(C56="",F56="",J56="",M56="",O56="",Q56="",S56="",W56="",Z56="",AB56="",AD56="",AF56=""),"",IF(M02S02F46="Electric Only",0,IF(OR(ISNUMBER(SEARCH("Exterior",S56)),ISNUMBER(SEARCH("Exterior",C56)),ISNUMBER(SEARCH("Exterior",F56))),0,IF(OR(M02S02F32="AC with Natural Gas Heat",M02S02F32="Natural Gas Heat Only"),(((O56*M56-AB56*Z56)/1000)*Q56*-INDEX(LightingWHF[Waste Heat Gas Heating IFTherms],MATCH(M02S02F26,LightingWHF[Building/Space Type],0))),0))))</f>
        <v/>
      </c>
      <c r="BC56" s="1097" t="str">
        <f>IFERROR(AH56/M02S02F35/BA56,"")</f>
        <v/>
      </c>
      <c r="BD56" s="1058" t="str">
        <f>IF(OR(C56="",F56="",J56="",M56="",O56="",Q56="",S56="",W56="",Z56="",AB56="",AD56="",AF56=""),"",IF(M02S02F46="Gas Only",0,IF(OR(ISNUMBER(SEARCH("Exterior",S56)),ISNUMBER(SEARCH("Exterior",C56)),ISNUMBER(SEARCH("Exterior",F56))),0,IF(M02S02F32="Heat Pump",(((O56*M56-AB56*Z56)/1000)*Q56*-INDEX(LightingWHF[Waste Heat Electric Heat Pump Heating IFkWh],MATCH(M02S02F26,LightingWHF[Building/Space Type],0))),
IF(OR(M02S02F32="AC with Electric Heat",M02S02F32="Electric Heat Only"),(((O56*M56-AB56*Z56)/1000)*Q56*-INDEX(LightingWHF[Waste Heat Electric Resistance Heating IFkWh],MATCH(M02S02F26,LightingWHF[Building/Space Type],0))),0
)))))</f>
        <v/>
      </c>
      <c r="BE56" s="1058" t="str">
        <f>IF(OR(C56="",F56="",J56="",M56="",O56="",Q56="",S56="",W56="",Z56="",AB56="",AD56="",AF56=""),"",IF(M02S02F46="Gas Only",0,IF(OR(ISNUMBER(SEARCH("Exterior",S56)),ISNUMBER(SEARCH("Exterior",C56)),ISNUMBER(SEARCH("Exterior",F56))),1,IF(OR(M02S02F32="Heat Pump",M02S02F32="AC with Natural Gas Heat",M02S02F32="AC with Electric Heat"),(INDEX(LightingWHF[Waste Heat Cooling Energy WHFe],MATCH(M02S02F26,LightingWHF[Building/Space Type],0))),1))))</f>
        <v/>
      </c>
      <c r="BF56" s="1097" t="str">
        <f>IFERROR(IF((M56*O56)&lt;=(Z56*AB56),MEASURESAVE,IF(M02S02F35="",MEASURERATE,IF(AH56/M02S02F35/BA56&lt;1,MEASUREPAY,IF(AV56&lt;1,MEASURECB,IF(OR(ISBLANK(M02S02F26),ISBLANK(M02S02F32),ISBLANK(M02S02F46)),MEASUREBLDG,""))))),MEASURESUBMIT)</f>
        <v>Submit for Review</v>
      </c>
      <c r="BH56" s="995" t="str">
        <f ca="1">IF(OR(C56="",F56="",J56="",M56="",O56="",Q56="",S56="",W56="",Z56="",AB56="",AD56="",AF56=""),"",IF('M01-S01'!$V$82&lt;TODAY(),0,IF(M02S02F46="Gas Only",0,IF(OR(AK56="",AK56&lt;0,AU56&lt;=AN56),0,MIN(AH56-AN56,ROUND(AN56*0.2,2))))))</f>
        <v/>
      </c>
    </row>
    <row r="57" spans="2:60" ht="15.95" customHeight="1">
      <c r="B57" s="829"/>
      <c r="C57" s="1088"/>
      <c r="D57" s="1088"/>
      <c r="E57" s="1088"/>
      <c r="F57" s="835"/>
      <c r="G57" s="836"/>
      <c r="H57" s="836"/>
      <c r="I57" s="837"/>
      <c r="J57" s="1088"/>
      <c r="K57" s="1088"/>
      <c r="L57" s="1088"/>
      <c r="M57" s="1078"/>
      <c r="N57" s="1078"/>
      <c r="O57" s="1081"/>
      <c r="P57" s="1082"/>
      <c r="Q57" s="1085"/>
      <c r="R57" s="1086"/>
      <c r="S57" s="851"/>
      <c r="T57" s="836"/>
      <c r="U57" s="836"/>
      <c r="V57" s="837"/>
      <c r="W57" s="1088"/>
      <c r="X57" s="1088"/>
      <c r="Y57" s="1088"/>
      <c r="Z57" s="1078"/>
      <c r="AA57" s="1078"/>
      <c r="AB57" s="1090"/>
      <c r="AC57" s="1090"/>
      <c r="AD57" s="1092"/>
      <c r="AE57" s="1092"/>
      <c r="AF57" s="1092"/>
      <c r="AG57" s="1094"/>
      <c r="AH57" s="865"/>
      <c r="AI57" s="1096"/>
      <c r="AJ57" s="1096"/>
      <c r="AK57" s="906"/>
      <c r="AL57" s="907"/>
      <c r="AM57" s="936"/>
      <c r="AN57" s="1100"/>
      <c r="AO57" s="1100"/>
      <c r="AP57" s="1100"/>
      <c r="AQ57" s="1100"/>
      <c r="AU57" s="1102"/>
      <c r="AV57" s="1102"/>
      <c r="AW57" s="901"/>
      <c r="AX57" s="812"/>
      <c r="AY57" s="812"/>
      <c r="AZ57" s="874"/>
      <c r="BA57" s="812"/>
      <c r="BB57" s="996"/>
      <c r="BC57" s="1098"/>
      <c r="BD57" s="996"/>
      <c r="BE57" s="996"/>
      <c r="BF57" s="1098"/>
      <c r="BH57" s="996"/>
    </row>
    <row r="58" spans="2:60" ht="15.95" customHeight="1">
      <c r="B58" s="829">
        <v>22</v>
      </c>
      <c r="C58" s="1087"/>
      <c r="D58" s="1087"/>
      <c r="E58" s="1087"/>
      <c r="F58" s="866"/>
      <c r="G58" s="867"/>
      <c r="H58" s="867"/>
      <c r="I58" s="868"/>
      <c r="J58" s="1087"/>
      <c r="K58" s="1087"/>
      <c r="L58" s="1087"/>
      <c r="M58" s="1077"/>
      <c r="N58" s="1077"/>
      <c r="O58" s="1079" t="str">
        <f>IFERROR(IF(F58="","",INDEX(CMLIGHTBASE[Base Watt 1],MATCH(F58,CMLIGHTBASE[Base Desc 1],0))),"")</f>
        <v/>
      </c>
      <c r="P58" s="1080"/>
      <c r="Q58" s="1083"/>
      <c r="R58" s="1084"/>
      <c r="S58" s="885"/>
      <c r="T58" s="867"/>
      <c r="U58" s="867"/>
      <c r="V58" s="868"/>
      <c r="W58" s="1087"/>
      <c r="X58" s="1087"/>
      <c r="Y58" s="1087"/>
      <c r="Z58" s="1077"/>
      <c r="AA58" s="1077"/>
      <c r="AB58" s="1089"/>
      <c r="AC58" s="1089"/>
      <c r="AD58" s="1091"/>
      <c r="AE58" s="1091"/>
      <c r="AF58" s="1091"/>
      <c r="AG58" s="1093"/>
      <c r="AH58" s="918" t="str">
        <f t="shared" ref="AH58" si="100">IFERROR(IF(OR(C58="",J58="",M58="",O58="",Q58="",W58="",Z58="",AB58="",AD58="",AF58=""),"",ROUND((AD58+AF58)*Z58,2)),"")</f>
        <v/>
      </c>
      <c r="AI58" s="1095"/>
      <c r="AJ58" s="1095"/>
      <c r="AK58" s="904" t="str">
        <f t="shared" ref="AK58" si="101">IFERROR(IF(OR(C58="",F58="",J58="",M58="",O58="",Q58="",S58="",W58="",Z58="",AB58="",AD58="",AF58=""),"",ROUND(IF((M58*O58)&lt;=(Z58*AB58),"0",(AX58-AY58+BD58)*BE58),2)),"")</f>
        <v/>
      </c>
      <c r="AL58" s="905"/>
      <c r="AM58" s="969"/>
      <c r="AN58" s="1099" t="str">
        <f>IFERROR(IF(OR(C58="",F58="",J58="",M58="",O58="",Q58="",S58="",W58="",Z58="",AB58="",AD58="",AF58=""),"",IF(OR(ISNUMBER(SEARCH("~~",F58)),ISNUMBER(SEARCH("~~",S58))),"Invalid Fixture Type Selected",IF(BF58&lt;&gt;"",BF58,ROUND(MIN(AH58*0.75,AK58*INDEX(INCRATE[Electric],MATCH("CMLIGHT",INCRATE[Incentive Type]))),2)))),"")</f>
        <v/>
      </c>
      <c r="AO58" s="1099"/>
      <c r="AP58" s="1099"/>
      <c r="AQ58" s="1099"/>
      <c r="AU58" s="1103" t="str">
        <f>IF(F58="","",INDEX(CUSTLIGHTUNIT,MATCH(F58,CMELIGHTBASE1,0)))</f>
        <v/>
      </c>
      <c r="AV58" s="1101" t="str">
        <f>IFERROR(IF(OR(C58="",F58="",J58="",M58="",O58="",Q58="",S58="",W58="",Z58="",AB58="",AD58="",AF58=""),"",((((1+ELOSS)*((AK58*INDEX(ELECCB[NPV AEC $/kWh],MATCH(15,ELECCB[Year Number],0)))+(AW58*INDEX(ELECCB[NPV ACC+T&amp;D $/kW],MATCH(15,ELECCB[Year Number],0)))))+((1+GLOSS)*((BB58*INDEX(GASCB[NPV GAEC $/therm],MATCH(15,GASCB[Year Number],1))))))/AH58)),"")</f>
        <v/>
      </c>
      <c r="AW58" s="900" t="str">
        <f>IFERROR(IF(OR(C58="",F58="",J58="",M58="",O58="",Q58="",S58="",W58="",Z58="",AB58="",AD58="",AF58=""),"",IF(OR(ISNUMBER(SEARCH("Exterior",C58)),((M58*O58)&lt;=(Z58*AB58)),ISNUMBER(SEARCH("Exterior",S58)),ISNUMBER(SEARCH("Exterior",F58))),0,ROUND((((M58*O58)-(Z58*AB58))/1000)*INDEX(LightingWHF[Coincidence Factor CF],MATCH(M02S02F26,LightingWHF[Building/Space Type],0))*IF(OR(M02S02F32="AC with Natural Gas Heat",M02S02F32="AC with Electric Heat",M02S02F32="Heat Pump"),INDEX(LightingWHF[Waste Heat Cooling Demand WHFd],MATCH(M02S02F26,LightingWHF[Building/Space Type],0)),1),3))),"")</f>
        <v/>
      </c>
      <c r="AX58" s="811" t="str">
        <f t="shared" ref="AX58" si="102">IF(OR(C58="",F58="",J58="",M58="",O58="",Q58="",S58="",W58="",Z58="",AB58="",AD58="",AF58=""),"",ROUND(M58*O58*Q58/1000,2))</f>
        <v/>
      </c>
      <c r="AY58" s="811" t="str">
        <f t="shared" ref="AY58" si="103">IF(OR(C58="",F58="",J58="",M58="",O58="",Q58="",S58="",W58="",Z58="",AB58="",AD58="",AF58=""),"",ROUND(Z58*AB58*Q58/1000,2))</f>
        <v/>
      </c>
      <c r="AZ58" s="873" t="str">
        <f>IF(OR(C58="",F58="",J58="",M58="",O58="",Q58="",S58="",W58="",Z58="",AB58="",AD58="",AF58=""),"",IF(ISNUMBER(AN58),(CONCATENATE(INDEX(CMLIGHTBASE[Measure Number],MATCH(F58,CMLIGHTBASE[Base Desc 1],0)),INDEX(CMLIGHTEFF[Measure Number],MATCH(S58,CMLIGHTEFF[Eff Desc 1],0)))),IF(AK58=0,"","000001")))</f>
        <v/>
      </c>
      <c r="BA58" s="811" t="str">
        <f t="shared" ref="BA58" si="104">IF(OR(C58="",F58="",J58="",M58="",O58="",Q58="",S58="",W58="",Z58="",AB58="",AD58="",AF58=""),"",IF((M58*O58)&lt;=(Z58*AB58),"0",AX58-AY58))</f>
        <v/>
      </c>
      <c r="BB58" s="1058" t="str">
        <f>IF(OR(C58="",F58="",J58="",M58="",O58="",Q58="",S58="",W58="",Z58="",AB58="",AD58="",AF58=""),"",IF(M02S02F46="Electric Only",0,IF(OR(ISNUMBER(SEARCH("Exterior",S58)),ISNUMBER(SEARCH("Exterior",C58)),ISNUMBER(SEARCH("Exterior",F58))),0,IF(OR(M02S02F32="AC with Natural Gas Heat",M02S02F32="Natural Gas Heat Only"),(((O58*M58-AB58*Z58)/1000)*Q58*-INDEX(LightingWHF[Waste Heat Gas Heating IFTherms],MATCH(M02S02F26,LightingWHF[Building/Space Type],0))),0))))</f>
        <v/>
      </c>
      <c r="BC58" s="1097" t="str">
        <f>IFERROR(AH58/M02S02F35/BA58,"")</f>
        <v/>
      </c>
      <c r="BD58" s="1058" t="str">
        <f>IF(OR(C58="",F58="",J58="",M58="",O58="",Q58="",S58="",W58="",Z58="",AB58="",AD58="",AF58=""),"",IF(M02S02F46="Gas Only",0,IF(OR(ISNUMBER(SEARCH("Exterior",S58)),ISNUMBER(SEARCH("Exterior",C58)),ISNUMBER(SEARCH("Exterior",F58))),0,IF(M02S02F32="Heat Pump",(((O58*M58-AB58*Z58)/1000)*Q58*-INDEX(LightingWHF[Waste Heat Electric Heat Pump Heating IFkWh],MATCH(M02S02F26,LightingWHF[Building/Space Type],0))),
IF(OR(M02S02F32="AC with Electric Heat",M02S02F32="Electric Heat Only"),(((O58*M58-AB58*Z58)/1000)*Q58*-INDEX(LightingWHF[Waste Heat Electric Resistance Heating IFkWh],MATCH(M02S02F26,LightingWHF[Building/Space Type],0))),0
)))))</f>
        <v/>
      </c>
      <c r="BE58" s="1058" t="str">
        <f>IF(OR(C58="",F58="",J58="",M58="",O58="",Q58="",S58="",W58="",Z58="",AB58="",AD58="",AF58=""),"",IF(M02S02F46="Gas Only",0,IF(OR(ISNUMBER(SEARCH("Exterior",S58)),ISNUMBER(SEARCH("Exterior",C58)),ISNUMBER(SEARCH("Exterior",F58))),1,IF(OR(M02S02F32="Heat Pump",M02S02F32="AC with Natural Gas Heat",M02S02F32="AC with Electric Heat"),(INDEX(LightingWHF[Waste Heat Cooling Energy WHFe],MATCH(M02S02F26,LightingWHF[Building/Space Type],0))),1))))</f>
        <v/>
      </c>
      <c r="BF58" s="1097" t="str">
        <f>IFERROR(IF((M58*O58)&lt;=(Z58*AB58),MEASURESAVE,IF(M02S02F35="",MEASURERATE,IF(AH58/M02S02F35/BA58&lt;1,MEASUREPAY,IF(AV58&lt;1,MEASURECB,IF(OR(ISBLANK(M02S02F26),ISBLANK(M02S02F32),ISBLANK(M02S02F46)),MEASUREBLDG,""))))),MEASURESUBMIT)</f>
        <v>Submit for Review</v>
      </c>
      <c r="BH58" s="995" t="str">
        <f ca="1">IF(OR(C58="",F58="",J58="",M58="",O58="",Q58="",S58="",W58="",Z58="",AB58="",AD58="",AF58=""),"",IF('M01-S01'!$V$82&lt;TODAY(),0,IF(M02S02F46="Gas Only",0,IF(OR(AK58="",AK58&lt;0,AU58&lt;=AN58),0,MIN(AH58-AN58,ROUND(AN58*0.2,2))))))</f>
        <v/>
      </c>
    </row>
    <row r="59" spans="2:60" ht="15.95" customHeight="1">
      <c r="B59" s="829"/>
      <c r="C59" s="1088"/>
      <c r="D59" s="1088"/>
      <c r="E59" s="1088"/>
      <c r="F59" s="835"/>
      <c r="G59" s="836"/>
      <c r="H59" s="836"/>
      <c r="I59" s="837"/>
      <c r="J59" s="1088"/>
      <c r="K59" s="1088"/>
      <c r="L59" s="1088"/>
      <c r="M59" s="1078"/>
      <c r="N59" s="1078"/>
      <c r="O59" s="1081"/>
      <c r="P59" s="1082"/>
      <c r="Q59" s="1085"/>
      <c r="R59" s="1086"/>
      <c r="S59" s="851"/>
      <c r="T59" s="836"/>
      <c r="U59" s="836"/>
      <c r="V59" s="837"/>
      <c r="W59" s="1088"/>
      <c r="X59" s="1088"/>
      <c r="Y59" s="1088"/>
      <c r="Z59" s="1078"/>
      <c r="AA59" s="1078"/>
      <c r="AB59" s="1090"/>
      <c r="AC59" s="1090"/>
      <c r="AD59" s="1092"/>
      <c r="AE59" s="1092"/>
      <c r="AF59" s="1092"/>
      <c r="AG59" s="1094"/>
      <c r="AH59" s="865"/>
      <c r="AI59" s="1096"/>
      <c r="AJ59" s="1096"/>
      <c r="AK59" s="906"/>
      <c r="AL59" s="907"/>
      <c r="AM59" s="936"/>
      <c r="AN59" s="1100"/>
      <c r="AO59" s="1100"/>
      <c r="AP59" s="1100"/>
      <c r="AQ59" s="1100"/>
      <c r="AU59" s="1102"/>
      <c r="AV59" s="1102"/>
      <c r="AW59" s="901"/>
      <c r="AX59" s="812"/>
      <c r="AY59" s="812"/>
      <c r="AZ59" s="874"/>
      <c r="BA59" s="812"/>
      <c r="BB59" s="996"/>
      <c r="BC59" s="1098"/>
      <c r="BD59" s="996"/>
      <c r="BE59" s="996"/>
      <c r="BF59" s="1098"/>
      <c r="BH59" s="996"/>
    </row>
    <row r="60" spans="2:60" ht="15.95" customHeight="1">
      <c r="B60" s="829">
        <v>23</v>
      </c>
      <c r="C60" s="1087"/>
      <c r="D60" s="1087"/>
      <c r="E60" s="1087"/>
      <c r="F60" s="866"/>
      <c r="G60" s="867"/>
      <c r="H60" s="867"/>
      <c r="I60" s="868"/>
      <c r="J60" s="1087"/>
      <c r="K60" s="1087"/>
      <c r="L60" s="1087"/>
      <c r="M60" s="1077"/>
      <c r="N60" s="1077"/>
      <c r="O60" s="1079" t="str">
        <f>IFERROR(IF(F60="","",INDEX(CMLIGHTBASE[Base Watt 1],MATCH(F60,CMLIGHTBASE[Base Desc 1],0))),"")</f>
        <v/>
      </c>
      <c r="P60" s="1080"/>
      <c r="Q60" s="1083"/>
      <c r="R60" s="1084"/>
      <c r="S60" s="885"/>
      <c r="T60" s="867"/>
      <c r="U60" s="867"/>
      <c r="V60" s="868"/>
      <c r="W60" s="1087"/>
      <c r="X60" s="1087"/>
      <c r="Y60" s="1087"/>
      <c r="Z60" s="1077"/>
      <c r="AA60" s="1077"/>
      <c r="AB60" s="1089"/>
      <c r="AC60" s="1089"/>
      <c r="AD60" s="1091"/>
      <c r="AE60" s="1091"/>
      <c r="AF60" s="1091"/>
      <c r="AG60" s="1093"/>
      <c r="AH60" s="918" t="str">
        <f t="shared" ref="AH60" si="105">IFERROR(IF(OR(C60="",J60="",M60="",O60="",Q60="",W60="",Z60="",AB60="",AD60="",AF60=""),"",ROUND((AD60+AF60)*Z60,2)),"")</f>
        <v/>
      </c>
      <c r="AI60" s="1095"/>
      <c r="AJ60" s="1095"/>
      <c r="AK60" s="904" t="str">
        <f t="shared" ref="AK60" si="106">IFERROR(IF(OR(C60="",F60="",J60="",M60="",O60="",Q60="",S60="",W60="",Z60="",AB60="",AD60="",AF60=""),"",ROUND(IF((M60*O60)&lt;=(Z60*AB60),"0",(AX60-AY60+BD60)*BE60),2)),"")</f>
        <v/>
      </c>
      <c r="AL60" s="905"/>
      <c r="AM60" s="969"/>
      <c r="AN60" s="1099" t="str">
        <f>IFERROR(IF(OR(C60="",F60="",J60="",M60="",O60="",Q60="",S60="",W60="",Z60="",AB60="",AD60="",AF60=""),"",IF(OR(ISNUMBER(SEARCH("~~",F60)),ISNUMBER(SEARCH("~~",S60))),"Invalid Fixture Type Selected",IF(BF60&lt;&gt;"",BF60,ROUND(MIN(AH60*0.75,AK60*INDEX(INCRATE[Electric],MATCH("CMLIGHT",INCRATE[Incentive Type]))),2)))),"")</f>
        <v/>
      </c>
      <c r="AO60" s="1099"/>
      <c r="AP60" s="1099"/>
      <c r="AQ60" s="1099"/>
      <c r="AU60" s="1103" t="str">
        <f>IF(F60="","",INDEX(CUSTLIGHTUNIT,MATCH(F60,CMELIGHTBASE1,0)))</f>
        <v/>
      </c>
      <c r="AV60" s="1101" t="str">
        <f>IFERROR(IF(OR(C60="",F60="",J60="",M60="",O60="",Q60="",S60="",W60="",Z60="",AB60="",AD60="",AF60=""),"",((((1+ELOSS)*((AK60*INDEX(ELECCB[NPV AEC $/kWh],MATCH(15,ELECCB[Year Number],0)))+(AW60*INDEX(ELECCB[NPV ACC+T&amp;D $/kW],MATCH(15,ELECCB[Year Number],0)))))+((1+GLOSS)*((BB60*INDEX(GASCB[NPV GAEC $/therm],MATCH(15,GASCB[Year Number],1))))))/AH60)),"")</f>
        <v/>
      </c>
      <c r="AW60" s="900" t="str">
        <f>IFERROR(IF(OR(C60="",F60="",J60="",M60="",O60="",Q60="",S60="",W60="",Z60="",AB60="",AD60="",AF60=""),"",IF(OR(ISNUMBER(SEARCH("Exterior",C60)),((M60*O60)&lt;=(Z60*AB60)),ISNUMBER(SEARCH("Exterior",S60)),ISNUMBER(SEARCH("Exterior",F60))),0,ROUND((((M60*O60)-(Z60*AB60))/1000)*INDEX(LightingWHF[Coincidence Factor CF],MATCH(M02S02F26,LightingWHF[Building/Space Type],0))*IF(OR(M02S02F32="AC with Natural Gas Heat",M02S02F32="AC with Electric Heat",M02S02F32="Heat Pump"),INDEX(LightingWHF[Waste Heat Cooling Demand WHFd],MATCH(M02S02F26,LightingWHF[Building/Space Type],0)),1),3))),"")</f>
        <v/>
      </c>
      <c r="AX60" s="811" t="str">
        <f t="shared" ref="AX60" si="107">IF(OR(C60="",F60="",J60="",M60="",O60="",Q60="",S60="",W60="",Z60="",AB60="",AD60="",AF60=""),"",ROUND(M60*O60*Q60/1000,2))</f>
        <v/>
      </c>
      <c r="AY60" s="811" t="str">
        <f t="shared" ref="AY60" si="108">IF(OR(C60="",F60="",J60="",M60="",O60="",Q60="",S60="",W60="",Z60="",AB60="",AD60="",AF60=""),"",ROUND(Z60*AB60*Q60/1000,2))</f>
        <v/>
      </c>
      <c r="AZ60" s="873" t="str">
        <f>IF(OR(C60="",F60="",J60="",M60="",O60="",Q60="",S60="",W60="",Z60="",AB60="",AD60="",AF60=""),"",IF(ISNUMBER(AN60),(CONCATENATE(INDEX(CMLIGHTBASE[Measure Number],MATCH(F60,CMLIGHTBASE[Base Desc 1],0)),INDEX(CMLIGHTEFF[Measure Number],MATCH(S60,CMLIGHTEFF[Eff Desc 1],0)))),IF(AK60=0,"","000001")))</f>
        <v/>
      </c>
      <c r="BA60" s="811" t="str">
        <f t="shared" ref="BA60" si="109">IF(OR(C60="",F60="",J60="",M60="",O60="",Q60="",S60="",W60="",Z60="",AB60="",AD60="",AF60=""),"",IF((M60*O60)&lt;=(Z60*AB60),"0",AX60-AY60))</f>
        <v/>
      </c>
      <c r="BB60" s="1058" t="str">
        <f>IF(OR(C60="",F60="",J60="",M60="",O60="",Q60="",S60="",W60="",Z60="",AB60="",AD60="",AF60=""),"",IF(M02S02F46="Electric Only",0,IF(OR(ISNUMBER(SEARCH("Exterior",S60)),ISNUMBER(SEARCH("Exterior",C60)),ISNUMBER(SEARCH("Exterior",F60))),0,IF(OR(M02S02F32="AC with Natural Gas Heat",M02S02F32="Natural Gas Heat Only"),(((O60*M60-AB60*Z60)/1000)*Q60*-INDEX(LightingWHF[Waste Heat Gas Heating IFTherms],MATCH(M02S02F26,LightingWHF[Building/Space Type],0))),0))))</f>
        <v/>
      </c>
      <c r="BC60" s="1097" t="str">
        <f>IFERROR(AH60/M02S02F35/BA60,"")</f>
        <v/>
      </c>
      <c r="BD60" s="1058" t="str">
        <f>IF(OR(C60="",F60="",J60="",M60="",O60="",Q60="",S60="",W60="",Z60="",AB60="",AD60="",AF60=""),"",IF(M02S02F46="Gas Only",0,IF(OR(ISNUMBER(SEARCH("Exterior",S60)),ISNUMBER(SEARCH("Exterior",C60)),ISNUMBER(SEARCH("Exterior",F60))),0,IF(M02S02F32="Heat Pump",(((O60*M60-AB60*Z60)/1000)*Q60*-INDEX(LightingWHF[Waste Heat Electric Heat Pump Heating IFkWh],MATCH(M02S02F26,LightingWHF[Building/Space Type],0))),
IF(OR(M02S02F32="AC with Electric Heat",M02S02F32="Electric Heat Only"),(((O60*M60-AB60*Z60)/1000)*Q60*-INDEX(LightingWHF[Waste Heat Electric Resistance Heating IFkWh],MATCH(M02S02F26,LightingWHF[Building/Space Type],0))),0
)))))</f>
        <v/>
      </c>
      <c r="BE60" s="1058" t="str">
        <f>IF(OR(C60="",F60="",J60="",M60="",O60="",Q60="",S60="",W60="",Z60="",AB60="",AD60="",AF60=""),"",IF(M02S02F46="Gas Only",0,IF(OR(ISNUMBER(SEARCH("Exterior",S60)),ISNUMBER(SEARCH("Exterior",C60)),ISNUMBER(SEARCH("Exterior",F60))),1,IF(OR(M02S02F32="Heat Pump",M02S02F32="AC with Natural Gas Heat",M02S02F32="AC with Electric Heat"),(INDEX(LightingWHF[Waste Heat Cooling Energy WHFe],MATCH(M02S02F26,LightingWHF[Building/Space Type],0))),1))))</f>
        <v/>
      </c>
      <c r="BF60" s="1097" t="str">
        <f>IFERROR(IF((M60*O60)&lt;=(Z60*AB60),MEASURESAVE,IF(M02S02F35="",MEASURERATE,IF(AH60/M02S02F35/BA60&lt;1,MEASUREPAY,IF(AV60&lt;1,MEASURECB,IF(OR(ISBLANK(M02S02F26),ISBLANK(M02S02F32),ISBLANK(M02S02F46)),MEASUREBLDG,""))))),MEASURESUBMIT)</f>
        <v>Submit for Review</v>
      </c>
      <c r="BH60" s="995" t="str">
        <f ca="1">IF(OR(C60="",F60="",J60="",M60="",O60="",Q60="",S60="",W60="",Z60="",AB60="",AD60="",AF60=""),"",IF('M01-S01'!$V$82&lt;TODAY(),0,IF(M02S02F46="Gas Only",0,IF(OR(AK60="",AK60&lt;0,AU60&lt;=AN60),0,MIN(AH60-AN60,ROUND(AN60*0.2,2))))))</f>
        <v/>
      </c>
    </row>
    <row r="61" spans="2:60" ht="15.95" customHeight="1">
      <c r="B61" s="829"/>
      <c r="C61" s="1088"/>
      <c r="D61" s="1088"/>
      <c r="E61" s="1088"/>
      <c r="F61" s="835"/>
      <c r="G61" s="836"/>
      <c r="H61" s="836"/>
      <c r="I61" s="837"/>
      <c r="J61" s="1088"/>
      <c r="K61" s="1088"/>
      <c r="L61" s="1088"/>
      <c r="M61" s="1078"/>
      <c r="N61" s="1078"/>
      <c r="O61" s="1081"/>
      <c r="P61" s="1082"/>
      <c r="Q61" s="1085"/>
      <c r="R61" s="1086"/>
      <c r="S61" s="851"/>
      <c r="T61" s="836"/>
      <c r="U61" s="836"/>
      <c r="V61" s="837"/>
      <c r="W61" s="1088"/>
      <c r="X61" s="1088"/>
      <c r="Y61" s="1088"/>
      <c r="Z61" s="1078"/>
      <c r="AA61" s="1078"/>
      <c r="AB61" s="1090"/>
      <c r="AC61" s="1090"/>
      <c r="AD61" s="1092"/>
      <c r="AE61" s="1092"/>
      <c r="AF61" s="1092"/>
      <c r="AG61" s="1094"/>
      <c r="AH61" s="865"/>
      <c r="AI61" s="1096"/>
      <c r="AJ61" s="1096"/>
      <c r="AK61" s="906"/>
      <c r="AL61" s="907"/>
      <c r="AM61" s="936"/>
      <c r="AN61" s="1100"/>
      <c r="AO61" s="1100"/>
      <c r="AP61" s="1100"/>
      <c r="AQ61" s="1100"/>
      <c r="AU61" s="1102"/>
      <c r="AV61" s="1102"/>
      <c r="AW61" s="901"/>
      <c r="AX61" s="812"/>
      <c r="AY61" s="812"/>
      <c r="AZ61" s="874"/>
      <c r="BA61" s="812"/>
      <c r="BB61" s="996"/>
      <c r="BC61" s="1098"/>
      <c r="BD61" s="996"/>
      <c r="BE61" s="996"/>
      <c r="BF61" s="1098"/>
      <c r="BH61" s="996"/>
    </row>
    <row r="62" spans="2:60" ht="15.95" customHeight="1">
      <c r="B62" s="829">
        <v>24</v>
      </c>
      <c r="C62" s="1087"/>
      <c r="D62" s="1087"/>
      <c r="E62" s="1087"/>
      <c r="F62" s="866"/>
      <c r="G62" s="867"/>
      <c r="H62" s="867"/>
      <c r="I62" s="868"/>
      <c r="J62" s="1087"/>
      <c r="K62" s="1087"/>
      <c r="L62" s="1087"/>
      <c r="M62" s="1077"/>
      <c r="N62" s="1077"/>
      <c r="O62" s="1079" t="str">
        <f>IFERROR(IF(F62="","",INDEX(CMLIGHTBASE[Base Watt 1],MATCH(F62,CMLIGHTBASE[Base Desc 1],0))),"")</f>
        <v/>
      </c>
      <c r="P62" s="1080"/>
      <c r="Q62" s="1083"/>
      <c r="R62" s="1084"/>
      <c r="S62" s="885"/>
      <c r="T62" s="867"/>
      <c r="U62" s="867"/>
      <c r="V62" s="868"/>
      <c r="W62" s="1087"/>
      <c r="X62" s="1087"/>
      <c r="Y62" s="1087"/>
      <c r="Z62" s="1077"/>
      <c r="AA62" s="1077"/>
      <c r="AB62" s="1089"/>
      <c r="AC62" s="1089"/>
      <c r="AD62" s="1091"/>
      <c r="AE62" s="1091"/>
      <c r="AF62" s="1091"/>
      <c r="AG62" s="1093"/>
      <c r="AH62" s="918" t="str">
        <f t="shared" ref="AH62" si="110">IFERROR(IF(OR(C62="",J62="",M62="",O62="",Q62="",W62="",Z62="",AB62="",AD62="",AF62=""),"",ROUND((AD62+AF62)*Z62,2)),"")</f>
        <v/>
      </c>
      <c r="AI62" s="1095"/>
      <c r="AJ62" s="1095"/>
      <c r="AK62" s="904" t="str">
        <f t="shared" ref="AK62" si="111">IFERROR(IF(OR(C62="",F62="",J62="",M62="",O62="",Q62="",S62="",W62="",Z62="",AB62="",AD62="",AF62=""),"",ROUND(IF((M62*O62)&lt;=(Z62*AB62),"0",(AX62-AY62+BD62)*BE62),2)),"")</f>
        <v/>
      </c>
      <c r="AL62" s="905"/>
      <c r="AM62" s="969"/>
      <c r="AN62" s="1099" t="str">
        <f>IFERROR(IF(OR(C62="",F62="",J62="",M62="",O62="",Q62="",S62="",W62="",Z62="",AB62="",AD62="",AF62=""),"",IF(OR(ISNUMBER(SEARCH("~~",F62)),ISNUMBER(SEARCH("~~",S62))),"Invalid Fixture Type Selected",IF(BF62&lt;&gt;"",BF62,ROUND(MIN(AH62*0.75,AK62*INDEX(INCRATE[Electric],MATCH("CMLIGHT",INCRATE[Incentive Type]))),2)))),"")</f>
        <v/>
      </c>
      <c r="AO62" s="1099"/>
      <c r="AP62" s="1099"/>
      <c r="AQ62" s="1099"/>
      <c r="AU62" s="1103" t="str">
        <f>IF(F62="","",INDEX(CUSTLIGHTUNIT,MATCH(F62,CMELIGHTBASE1,0)))</f>
        <v/>
      </c>
      <c r="AV62" s="1101" t="str">
        <f>IFERROR(IF(OR(C62="",F62="",J62="",M62="",O62="",Q62="",S62="",W62="",Z62="",AB62="",AD62="",AF62=""),"",((((1+ELOSS)*((AK62*INDEX(ELECCB[NPV AEC $/kWh],MATCH(15,ELECCB[Year Number],0)))+(AW62*INDEX(ELECCB[NPV ACC+T&amp;D $/kW],MATCH(15,ELECCB[Year Number],0)))))+((1+GLOSS)*((BB62*INDEX(GASCB[NPV GAEC $/therm],MATCH(15,GASCB[Year Number],1))))))/AH62)),"")</f>
        <v/>
      </c>
      <c r="AW62" s="900" t="str">
        <f>IFERROR(IF(OR(C62="",F62="",J62="",M62="",O62="",Q62="",S62="",W62="",Z62="",AB62="",AD62="",AF62=""),"",IF(OR(ISNUMBER(SEARCH("Exterior",C62)),((M62*O62)&lt;=(Z62*AB62)),ISNUMBER(SEARCH("Exterior",S62)),ISNUMBER(SEARCH("Exterior",F62))),0,ROUND((((M62*O62)-(Z62*AB62))/1000)*INDEX(LightingWHF[Coincidence Factor CF],MATCH(M02S02F26,LightingWHF[Building/Space Type],0))*IF(OR(M02S02F32="AC with Natural Gas Heat",M02S02F32="AC with Electric Heat",M02S02F32="Heat Pump"),INDEX(LightingWHF[Waste Heat Cooling Demand WHFd],MATCH(M02S02F26,LightingWHF[Building/Space Type],0)),1),3))),"")</f>
        <v/>
      </c>
      <c r="AX62" s="811" t="str">
        <f t="shared" ref="AX62" si="112">IF(OR(C62="",F62="",J62="",M62="",O62="",Q62="",S62="",W62="",Z62="",AB62="",AD62="",AF62=""),"",ROUND(M62*O62*Q62/1000,2))</f>
        <v/>
      </c>
      <c r="AY62" s="811" t="str">
        <f t="shared" ref="AY62" si="113">IF(OR(C62="",F62="",J62="",M62="",O62="",Q62="",S62="",W62="",Z62="",AB62="",AD62="",AF62=""),"",ROUND(Z62*AB62*Q62/1000,2))</f>
        <v/>
      </c>
      <c r="AZ62" s="873" t="str">
        <f>IF(OR(C62="",F62="",J62="",M62="",O62="",Q62="",S62="",W62="",Z62="",AB62="",AD62="",AF62=""),"",IF(ISNUMBER(AN62),(CONCATENATE(INDEX(CMLIGHTBASE[Measure Number],MATCH(F62,CMLIGHTBASE[Base Desc 1],0)),INDEX(CMLIGHTEFF[Measure Number],MATCH(S62,CMLIGHTEFF[Eff Desc 1],0)))),IF(AK62=0,"","000001")))</f>
        <v/>
      </c>
      <c r="BA62" s="811" t="str">
        <f t="shared" ref="BA62" si="114">IF(OR(C62="",F62="",J62="",M62="",O62="",Q62="",S62="",W62="",Z62="",AB62="",AD62="",AF62=""),"",IF((M62*O62)&lt;=(Z62*AB62),"0",AX62-AY62))</f>
        <v/>
      </c>
      <c r="BB62" s="1058" t="str">
        <f>IF(OR(C62="",F62="",J62="",M62="",O62="",Q62="",S62="",W62="",Z62="",AB62="",AD62="",AF62=""),"",IF(M02S02F46="Electric Only",0,IF(OR(ISNUMBER(SEARCH("Exterior",S62)),ISNUMBER(SEARCH("Exterior",C62)),ISNUMBER(SEARCH("Exterior",F62))),0,IF(OR(M02S02F32="AC with Natural Gas Heat",M02S02F32="Natural Gas Heat Only"),(((O62*M62-AB62*Z62)/1000)*Q62*-INDEX(LightingWHF[Waste Heat Gas Heating IFTherms],MATCH(M02S02F26,LightingWHF[Building/Space Type],0))),0))))</f>
        <v/>
      </c>
      <c r="BC62" s="1097" t="str">
        <f>IFERROR(AH62/M02S02F35/BA62,"")</f>
        <v/>
      </c>
      <c r="BD62" s="1058" t="str">
        <f>IF(OR(C62="",F62="",J62="",M62="",O62="",Q62="",S62="",W62="",Z62="",AB62="",AD62="",AF62=""),"",IF(M02S02F46="Gas Only",0,IF(OR(ISNUMBER(SEARCH("Exterior",S62)),ISNUMBER(SEARCH("Exterior",C62)),ISNUMBER(SEARCH("Exterior",F62))),0,IF(M02S02F32="Heat Pump",(((O62*M62-AB62*Z62)/1000)*Q62*-INDEX(LightingWHF[Waste Heat Electric Heat Pump Heating IFkWh],MATCH(M02S02F26,LightingWHF[Building/Space Type],0))),
IF(OR(M02S02F32="AC with Electric Heat",M02S02F32="Electric Heat Only"),(((O62*M62-AB62*Z62)/1000)*Q62*-INDEX(LightingWHF[Waste Heat Electric Resistance Heating IFkWh],MATCH(M02S02F26,LightingWHF[Building/Space Type],0))),0
)))))</f>
        <v/>
      </c>
      <c r="BE62" s="1058" t="str">
        <f>IF(OR(C62="",F62="",J62="",M62="",O62="",Q62="",S62="",W62="",Z62="",AB62="",AD62="",AF62=""),"",IF(M02S02F46="Gas Only",0,IF(OR(ISNUMBER(SEARCH("Exterior",S62)),ISNUMBER(SEARCH("Exterior",C62)),ISNUMBER(SEARCH("Exterior",F62))),1,IF(OR(M02S02F32="Heat Pump",M02S02F32="AC with Natural Gas Heat",M02S02F32="AC with Electric Heat"),(INDEX(LightingWHF[Waste Heat Cooling Energy WHFe],MATCH(M02S02F26,LightingWHF[Building/Space Type],0))),1))))</f>
        <v/>
      </c>
      <c r="BF62" s="1097" t="str">
        <f>IFERROR(IF((M62*O62)&lt;=(Z62*AB62),MEASURESAVE,IF(M02S02F35="",MEASURERATE,IF(AH62/M02S02F35/BA62&lt;1,MEASUREPAY,IF(AV62&lt;1,MEASURECB,IF(OR(ISBLANK(M02S02F26),ISBLANK(M02S02F32),ISBLANK(M02S02F46)),MEASUREBLDG,""))))),MEASURESUBMIT)</f>
        <v>Submit for Review</v>
      </c>
      <c r="BH62" s="995" t="str">
        <f ca="1">IF(OR(C62="",F62="",J62="",M62="",O62="",Q62="",S62="",W62="",Z62="",AB62="",AD62="",AF62=""),"",IF('M01-S01'!$V$82&lt;TODAY(),0,IF(M02S02F46="Gas Only",0,IF(OR(AK62="",AK62&lt;0,AU62&lt;=AN62),0,MIN(AH62-AN62,ROUND(AN62*0.2,2))))))</f>
        <v/>
      </c>
    </row>
    <row r="63" spans="2:60" ht="15.95" customHeight="1">
      <c r="B63" s="829"/>
      <c r="C63" s="1088"/>
      <c r="D63" s="1088"/>
      <c r="E63" s="1088"/>
      <c r="F63" s="835"/>
      <c r="G63" s="836"/>
      <c r="H63" s="836"/>
      <c r="I63" s="837"/>
      <c r="J63" s="1088"/>
      <c r="K63" s="1088"/>
      <c r="L63" s="1088"/>
      <c r="M63" s="1078"/>
      <c r="N63" s="1078"/>
      <c r="O63" s="1081"/>
      <c r="P63" s="1082"/>
      <c r="Q63" s="1085"/>
      <c r="R63" s="1086"/>
      <c r="S63" s="851"/>
      <c r="T63" s="836"/>
      <c r="U63" s="836"/>
      <c r="V63" s="837"/>
      <c r="W63" s="1088"/>
      <c r="X63" s="1088"/>
      <c r="Y63" s="1088"/>
      <c r="Z63" s="1078"/>
      <c r="AA63" s="1078"/>
      <c r="AB63" s="1090"/>
      <c r="AC63" s="1090"/>
      <c r="AD63" s="1092"/>
      <c r="AE63" s="1092"/>
      <c r="AF63" s="1092"/>
      <c r="AG63" s="1094"/>
      <c r="AH63" s="865"/>
      <c r="AI63" s="1096"/>
      <c r="AJ63" s="1096"/>
      <c r="AK63" s="906"/>
      <c r="AL63" s="907"/>
      <c r="AM63" s="936"/>
      <c r="AN63" s="1100"/>
      <c r="AO63" s="1100"/>
      <c r="AP63" s="1100"/>
      <c r="AQ63" s="1100"/>
      <c r="AU63" s="1102"/>
      <c r="AV63" s="1102"/>
      <c r="AW63" s="901"/>
      <c r="AX63" s="812"/>
      <c r="AY63" s="812"/>
      <c r="AZ63" s="874"/>
      <c r="BA63" s="812"/>
      <c r="BB63" s="996"/>
      <c r="BC63" s="1098"/>
      <c r="BD63" s="996"/>
      <c r="BE63" s="996"/>
      <c r="BF63" s="1098"/>
      <c r="BH63" s="996"/>
    </row>
    <row r="64" spans="2:60" ht="15.95" customHeight="1">
      <c r="B64" s="829">
        <v>25</v>
      </c>
      <c r="C64" s="1087"/>
      <c r="D64" s="1087"/>
      <c r="E64" s="1087"/>
      <c r="F64" s="866"/>
      <c r="G64" s="867"/>
      <c r="H64" s="867"/>
      <c r="I64" s="868"/>
      <c r="J64" s="1087"/>
      <c r="K64" s="1087"/>
      <c r="L64" s="1087"/>
      <c r="M64" s="1077"/>
      <c r="N64" s="1077"/>
      <c r="O64" s="1079" t="str">
        <f>IFERROR(IF(F64="","",INDEX(CMLIGHTBASE[Base Watt 1],MATCH(F64,CMLIGHTBASE[Base Desc 1],0))),"")</f>
        <v/>
      </c>
      <c r="P64" s="1080"/>
      <c r="Q64" s="1083"/>
      <c r="R64" s="1084"/>
      <c r="S64" s="885"/>
      <c r="T64" s="867"/>
      <c r="U64" s="867"/>
      <c r="V64" s="868"/>
      <c r="W64" s="1087"/>
      <c r="X64" s="1087"/>
      <c r="Y64" s="1087"/>
      <c r="Z64" s="1077"/>
      <c r="AA64" s="1077"/>
      <c r="AB64" s="1089"/>
      <c r="AC64" s="1089"/>
      <c r="AD64" s="1091"/>
      <c r="AE64" s="1091"/>
      <c r="AF64" s="1091"/>
      <c r="AG64" s="1093"/>
      <c r="AH64" s="918" t="str">
        <f t="shared" ref="AH64" si="115">IFERROR(IF(OR(C64="",J64="",M64="",O64="",Q64="",W64="",Z64="",AB64="",AD64="",AF64=""),"",ROUND((AD64+AF64)*Z64,2)),"")</f>
        <v/>
      </c>
      <c r="AI64" s="1095"/>
      <c r="AJ64" s="1095"/>
      <c r="AK64" s="904" t="str">
        <f t="shared" ref="AK64" si="116">IFERROR(IF(OR(C64="",F64="",J64="",M64="",O64="",Q64="",S64="",W64="",Z64="",AB64="",AD64="",AF64=""),"",ROUND(IF((M64*O64)&lt;=(Z64*AB64),"0",(AX64-AY64+BD64)*BE64),2)),"")</f>
        <v/>
      </c>
      <c r="AL64" s="905"/>
      <c r="AM64" s="969"/>
      <c r="AN64" s="1099" t="str">
        <f>IFERROR(IF(OR(C64="",F64="",J64="",M64="",O64="",Q64="",S64="",W64="",Z64="",AB64="",AD64="",AF64=""),"",IF(OR(ISNUMBER(SEARCH("~~",F64)),ISNUMBER(SEARCH("~~",S64))),"Invalid Fixture Type Selected",IF(BF64&lt;&gt;"",BF64,ROUND(MIN(AH64*0.75,AK64*INDEX(INCRATE[Electric],MATCH("CMLIGHT",INCRATE[Incentive Type]))),2)))),"")</f>
        <v/>
      </c>
      <c r="AO64" s="1099"/>
      <c r="AP64" s="1099"/>
      <c r="AQ64" s="1099"/>
      <c r="AU64" s="1103" t="str">
        <f>IF(F64="","",INDEX(CUSTLIGHTUNIT,MATCH(F64,CMELIGHTBASE1,0)))</f>
        <v/>
      </c>
      <c r="AV64" s="1101" t="str">
        <f>IFERROR(IF(OR(C64="",F64="",J64="",M64="",O64="",Q64="",S64="",W64="",Z64="",AB64="",AD64="",AF64=""),"",((((1+ELOSS)*((AK64*INDEX(ELECCB[NPV AEC $/kWh],MATCH(15,ELECCB[Year Number],0)))+(AW64*INDEX(ELECCB[NPV ACC+T&amp;D $/kW],MATCH(15,ELECCB[Year Number],0)))))+((1+GLOSS)*((BB64*INDEX(GASCB[NPV GAEC $/therm],MATCH(15,GASCB[Year Number],1))))))/AH64)),"")</f>
        <v/>
      </c>
      <c r="AW64" s="900" t="str">
        <f>IFERROR(IF(OR(C64="",F64="",J64="",M64="",O64="",Q64="",S64="",W64="",Z64="",AB64="",AD64="",AF64=""),"",IF(OR(ISNUMBER(SEARCH("Exterior",C64)),((M64*O64)&lt;=(Z64*AB64)),ISNUMBER(SEARCH("Exterior",S64)),ISNUMBER(SEARCH("Exterior",F64))),0,ROUND((((M64*O64)-(Z64*AB64))/1000)*INDEX(LightingWHF[Coincidence Factor CF],MATCH(M02S02F26,LightingWHF[Building/Space Type],0))*IF(OR(M02S02F32="AC with Natural Gas Heat",M02S02F32="AC with Electric Heat",M02S02F32="Heat Pump"),INDEX(LightingWHF[Waste Heat Cooling Demand WHFd],MATCH(M02S02F26,LightingWHF[Building/Space Type],0)),1),3))),"")</f>
        <v/>
      </c>
      <c r="AX64" s="811" t="str">
        <f t="shared" ref="AX64" si="117">IF(OR(C64="",F64="",J64="",M64="",O64="",Q64="",S64="",W64="",Z64="",AB64="",AD64="",AF64=""),"",ROUND(M64*O64*Q64/1000,2))</f>
        <v/>
      </c>
      <c r="AY64" s="811" t="str">
        <f t="shared" ref="AY64" si="118">IF(OR(C64="",F64="",J64="",M64="",O64="",Q64="",S64="",W64="",Z64="",AB64="",AD64="",AF64=""),"",ROUND(Z64*AB64*Q64/1000,2))</f>
        <v/>
      </c>
      <c r="AZ64" s="873" t="str">
        <f>IF(OR(C64="",F64="",J64="",M64="",O64="",Q64="",S64="",W64="",Z64="",AB64="",AD64="",AF64=""),"",IF(ISNUMBER(AN64),(CONCATENATE(INDEX(CMLIGHTBASE[Measure Number],MATCH(F64,CMLIGHTBASE[Base Desc 1],0)),INDEX(CMLIGHTEFF[Measure Number],MATCH(S64,CMLIGHTEFF[Eff Desc 1],0)))),IF(AK64=0,"","000001")))</f>
        <v/>
      </c>
      <c r="BA64" s="811" t="str">
        <f t="shared" ref="BA64" si="119">IF(OR(C64="",F64="",J64="",M64="",O64="",Q64="",S64="",W64="",Z64="",AB64="",AD64="",AF64=""),"",IF((M64*O64)&lt;=(Z64*AB64),"0",AX64-AY64))</f>
        <v/>
      </c>
      <c r="BB64" s="1058" t="str">
        <f>IF(OR(C64="",F64="",J64="",M64="",O64="",Q64="",S64="",W64="",Z64="",AB64="",AD64="",AF64=""),"",IF(M02S02F46="Electric Only",0,IF(OR(ISNUMBER(SEARCH("Exterior",S64)),ISNUMBER(SEARCH("Exterior",C64)),ISNUMBER(SEARCH("Exterior",F64))),0,IF(OR(M02S02F32="AC with Natural Gas Heat",M02S02F32="Natural Gas Heat Only"),(((O64*M64-AB64*Z64)/1000)*Q64*-INDEX(LightingWHF[Waste Heat Gas Heating IFTherms],MATCH(M02S02F26,LightingWHF[Building/Space Type],0))),0))))</f>
        <v/>
      </c>
      <c r="BC64" s="1097" t="str">
        <f>IFERROR(AH64/M02S02F35/BA64,"")</f>
        <v/>
      </c>
      <c r="BD64" s="1058" t="str">
        <f>IF(OR(C64="",F64="",J64="",M64="",O64="",Q64="",S64="",W64="",Z64="",AB64="",AD64="",AF64=""),"",IF(M02S02F46="Gas Only",0,IF(OR(ISNUMBER(SEARCH("Exterior",S64)),ISNUMBER(SEARCH("Exterior",C64)),ISNUMBER(SEARCH("Exterior",F64))),0,IF(M02S02F32="Heat Pump",(((O64*M64-AB64*Z64)/1000)*Q64*-INDEX(LightingWHF[Waste Heat Electric Heat Pump Heating IFkWh],MATCH(M02S02F26,LightingWHF[Building/Space Type],0))),
IF(OR(M02S02F32="AC with Electric Heat",M02S02F32="Electric Heat Only"),(((O64*M64-AB64*Z64)/1000)*Q64*-INDEX(LightingWHF[Waste Heat Electric Resistance Heating IFkWh],MATCH(M02S02F26,LightingWHF[Building/Space Type],0))),0
)))))</f>
        <v/>
      </c>
      <c r="BE64" s="1058" t="str">
        <f>IF(OR(C64="",F64="",J64="",M64="",O64="",Q64="",S64="",W64="",Z64="",AB64="",AD64="",AF64=""),"",IF(M02S02F46="Gas Only",0,IF(OR(ISNUMBER(SEARCH("Exterior",S64)),ISNUMBER(SEARCH("Exterior",C64)),ISNUMBER(SEARCH("Exterior",F64))),1,IF(OR(M02S02F32="Heat Pump",M02S02F32="AC with Natural Gas Heat",M02S02F32="AC with Electric Heat"),(INDEX(LightingWHF[Waste Heat Cooling Energy WHFe],MATCH(M02S02F26,LightingWHF[Building/Space Type],0))),1))))</f>
        <v/>
      </c>
      <c r="BF64" s="1097" t="str">
        <f>IFERROR(IF((M64*O64)&lt;=(Z64*AB64),MEASURESAVE,IF(M02S02F35="",MEASURERATE,IF(AH64/M02S02F35/BA64&lt;1,MEASUREPAY,IF(AV64&lt;1,MEASURECB,IF(OR(ISBLANK(M02S02F26),ISBLANK(M02S02F32),ISBLANK(M02S02F46)),MEASUREBLDG,""))))),MEASURESUBMIT)</f>
        <v>Submit for Review</v>
      </c>
      <c r="BH64" s="995" t="str">
        <f ca="1">IF(OR(C64="",F64="",J64="",M64="",O64="",Q64="",S64="",W64="",Z64="",AB64="",AD64="",AF64=""),"",IF('M01-S01'!$V$82&lt;TODAY(),0,IF(M02S02F46="Gas Only",0,IF(OR(AK64="",AK64&lt;0,AU64&lt;=AN64),0,MIN(AH64-AN64,ROUND(AN64*0.2,2))))))</f>
        <v/>
      </c>
    </row>
    <row r="65" spans="2:61" ht="15.95" customHeight="1">
      <c r="B65" s="829"/>
      <c r="C65" s="1088"/>
      <c r="D65" s="1088"/>
      <c r="E65" s="1088"/>
      <c r="F65" s="835"/>
      <c r="G65" s="836"/>
      <c r="H65" s="836"/>
      <c r="I65" s="837"/>
      <c r="J65" s="1088"/>
      <c r="K65" s="1088"/>
      <c r="L65" s="1088"/>
      <c r="M65" s="1078"/>
      <c r="N65" s="1078"/>
      <c r="O65" s="1081"/>
      <c r="P65" s="1082"/>
      <c r="Q65" s="1085"/>
      <c r="R65" s="1086"/>
      <c r="S65" s="851"/>
      <c r="T65" s="836"/>
      <c r="U65" s="836"/>
      <c r="V65" s="837"/>
      <c r="W65" s="1088"/>
      <c r="X65" s="1088"/>
      <c r="Y65" s="1088"/>
      <c r="Z65" s="1078"/>
      <c r="AA65" s="1078"/>
      <c r="AB65" s="1090"/>
      <c r="AC65" s="1090"/>
      <c r="AD65" s="1092"/>
      <c r="AE65" s="1092"/>
      <c r="AF65" s="1092"/>
      <c r="AG65" s="1094"/>
      <c r="AH65" s="865"/>
      <c r="AI65" s="1096"/>
      <c r="AJ65" s="1096"/>
      <c r="AK65" s="906"/>
      <c r="AL65" s="907"/>
      <c r="AM65" s="936"/>
      <c r="AN65" s="1100"/>
      <c r="AO65" s="1100"/>
      <c r="AP65" s="1100"/>
      <c r="AQ65" s="1100"/>
      <c r="AU65" s="1102"/>
      <c r="AV65" s="1102"/>
      <c r="AW65" s="901"/>
      <c r="AX65" s="812"/>
      <c r="AY65" s="812"/>
      <c r="AZ65" s="874"/>
      <c r="BA65" s="812"/>
      <c r="BB65" s="996"/>
      <c r="BC65" s="1098"/>
      <c r="BD65" s="996"/>
      <c r="BE65" s="996"/>
      <c r="BF65" s="1098"/>
      <c r="BH65" s="996"/>
    </row>
    <row r="66" spans="2:61" ht="15.95" hidden="1" customHeight="1">
      <c r="B66" s="829">
        <v>26</v>
      </c>
      <c r="C66" s="1087"/>
      <c r="D66" s="1087"/>
      <c r="E66" s="1087"/>
      <c r="F66" s="866"/>
      <c r="G66" s="867"/>
      <c r="H66" s="867"/>
      <c r="I66" s="868"/>
      <c r="J66" s="1087"/>
      <c r="K66" s="1087"/>
      <c r="L66" s="1087"/>
      <c r="M66" s="1077"/>
      <c r="N66" s="1077"/>
      <c r="O66" s="1079" t="str">
        <f>IFERROR(IF(F66="","",INDEX(CMLIGHTBASE[Base Watt 1],MATCH(F66,CMLIGHTBASE[Base Desc 1],0))),"")</f>
        <v/>
      </c>
      <c r="P66" s="1080"/>
      <c r="Q66" s="1083"/>
      <c r="R66" s="1084"/>
      <c r="S66" s="885"/>
      <c r="T66" s="867"/>
      <c r="U66" s="867"/>
      <c r="V66" s="868"/>
      <c r="W66" s="1087"/>
      <c r="X66" s="1087"/>
      <c r="Y66" s="1087"/>
      <c r="Z66" s="1077"/>
      <c r="AA66" s="1077"/>
      <c r="AB66" s="1089"/>
      <c r="AC66" s="1089"/>
      <c r="AD66" s="1091"/>
      <c r="AE66" s="1091"/>
      <c r="AF66" s="1091"/>
      <c r="AG66" s="1093"/>
      <c r="AH66" s="918" t="str">
        <f t="shared" ref="AH66" si="120">IFERROR(IF(OR(C66="",J66="",M66="",O66="",Q66="",W66="",Z66="",AB66="",AD66="",AF66=""),"",ROUND((AD66+AF66)*Z66,2)),"")</f>
        <v/>
      </c>
      <c r="AI66" s="1095"/>
      <c r="AJ66" s="1095"/>
      <c r="AK66" s="904" t="str">
        <f t="shared" ref="AK66" si="121">IFERROR(IF(OR(C66="",F66="",J66="",M66="",O66="",Q66="",S66="",W66="",Z66="",AB66="",AD66="",AF66=""),"",ROUND(IF((M66*O66)&lt;=(Z66*AB66),"0",(AX66-AY66+BD66)*BE66),2)),"")</f>
        <v/>
      </c>
      <c r="AL66" s="905"/>
      <c r="AM66" s="969"/>
      <c r="AN66" s="1099" t="str">
        <f>IFERROR(IF(OR(C66="",F66="",J66="",M66="",O66="",Q66="",S66="",W66="",Z66="",AB66="",AD66="",AF66=""),"",IF(OR(ISNUMBER(SEARCH("~~",F66)),ISNUMBER(SEARCH("~~",S66))),"Invalid Fixture Type Selected",IF(BF66&lt;&gt;"",BF66,ROUND(MIN(AH66*0.75,AK66*INDEX(INCRATE[Electric],MATCH("CMLIGHT",INCRATE[Incentive Type]))),2)))),"")</f>
        <v/>
      </c>
      <c r="AO66" s="1099"/>
      <c r="AP66" s="1099"/>
      <c r="AQ66" s="1099"/>
      <c r="AU66" s="1103" t="str">
        <f>IF(F66="","",INDEX(CUSTLIGHTUNIT,MATCH(F66,CMELIGHTBASE1,0)))</f>
        <v/>
      </c>
      <c r="AV66" s="1101" t="str">
        <f>IFERROR(IF(OR(C66="",F66="",J66="",M66="",O66="",Q66="",S66="",W66="",Z66="",AB66="",AD66="",AF66=""),"",((((1+ELOSS)*((AK66*INDEX(ELECCB[NPV AEC $/kWh],MATCH(15,ELECCB[Year Number],0)))+(AW66*INDEX(ELECCB[NPV ACC+T&amp;D $/kW],MATCH(15,ELECCB[Year Number],0)))))+((1+GLOSS)*((BB66*INDEX(GASCB[NPV GAEC $/therm],MATCH(15,GASCB[Year Number],1))))))/AH66)),"")</f>
        <v/>
      </c>
      <c r="AW66" s="900" t="str">
        <f>IFERROR(IF(OR(C66="",F66="",J66="",M66="",O66="",Q66="",S66="",W66="",Z66="",AB66="",AD66="",AF66=""),"",IF(OR(ISNUMBER(SEARCH("Exterior",C66)),((M66*O66)&lt;=(Z66*AB66)),ISNUMBER(SEARCH("Exterior",S66)),ISNUMBER(SEARCH("Exterior",F66))),0,ROUND((((M66*O66)-(Z66*AB66))/1000)*INDEX(LightingWHF[Coincidence Factor CF],MATCH(M02S02F26,LightingWHF[Building/Space Type],0))*IF(OR(M02S02F32="AC with Natural Gas Heat",M02S02F32="AC with Electric Heat",M02S02F32="Heat Pump"),INDEX(LightingWHF[Waste Heat Cooling Demand WHFd],MATCH(M02S02F26,LightingWHF[Building/Space Type],0)),1),3))),"")</f>
        <v/>
      </c>
      <c r="AX66" s="811" t="str">
        <f t="shared" ref="AX66" si="122">IF(OR(C66="",F66="",J66="",M66="",O66="",Q66="",S66="",W66="",Z66="",AB66="",AD66="",AF66=""),"",ROUND(M66*O66*Q66/1000,2))</f>
        <v/>
      </c>
      <c r="AY66" s="811" t="str">
        <f t="shared" ref="AY66" si="123">IF(OR(C66="",F66="",J66="",M66="",O66="",Q66="",S66="",W66="",Z66="",AB66="",AD66="",AF66=""),"",ROUND(Z66*AB66*Q66/1000,2))</f>
        <v/>
      </c>
      <c r="AZ66" s="873" t="str">
        <f>IF(OR(C66="",F66="",J66="",M66="",O66="",Q66="",S66="",W66="",Z66="",AB66="",AD66="",AF66=""),"",IF(ISNUMBER(AN66),(CONCATENATE(INDEX(CMLIGHTBASE[Measure Number],MATCH(F66,CMLIGHTBASE[Base Desc 1],0)),INDEX(CMLIGHTEFF[Measure Number],MATCH(S66,CMLIGHTEFF[Eff Desc 1],0)))),IF(AK66=0,"","000001")))</f>
        <v/>
      </c>
      <c r="BA66" s="811" t="str">
        <f t="shared" ref="BA66" si="124">IF(OR(C66="",F66="",J66="",M66="",O66="",Q66="",S66="",W66="",Z66="",AB66="",AD66="",AF66=""),"",IF((M66*O66)&lt;=(Z66*AB66),"0",AX66-AY66))</f>
        <v/>
      </c>
      <c r="BB66" s="1058" t="str">
        <f>IF(OR(C66="",F66="",J66="",M66="",O66="",Q66="",S66="",W66="",Z66="",AB66="",AD66="",AF66=""),"",IF(M02S02F46="Electric Only",0,IF(OR(ISNUMBER(SEARCH("Exterior",S66)),ISNUMBER(SEARCH("Exterior",C66)),ISNUMBER(SEARCH("Exterior",F66))),0,IF(OR(M02S02F32="AC with Natural Gas Heat",M02S02F32="Natural Gas Heat Only"),(((O66*M66-AB66*Z66)/1000)*Q66*-INDEX(LightingWHF[Waste Heat Gas Heating IFTherms],MATCH(M02S02F26,LightingWHF[Building/Space Type],0))),0))))</f>
        <v/>
      </c>
      <c r="BC66" s="1097" t="str">
        <f>IFERROR(AH66/M02S02F35/BA66,"")</f>
        <v/>
      </c>
      <c r="BD66" s="1058" t="str">
        <f>IF(OR(C66="",F66="",J66="",M66="",O66="",Q66="",S66="",W66="",Z66="",AB66="",AD66="",AF66=""),"",IF(M02S02F46="Gas Only",0,IF(OR(ISNUMBER(SEARCH("Exterior",S66)),ISNUMBER(SEARCH("Exterior",C66)),ISNUMBER(SEARCH("Exterior",F66))),0,IF(M02S02F32="Heat Pump",(((O66*M66-AB66*Z66)/1000)*Q66*-INDEX(LightingWHF[Waste Heat Electric Heat Pump Heating IFkWh],MATCH(M02S02F26,LightingWHF[Building/Space Type],0))),
IF(OR(M02S02F32="AC with Electric Heat",M02S02F32="Electric Heat Only"),(((O66*M66-AB66*Z66)/1000)*Q66*-INDEX(LightingWHF[Waste Heat Electric Resistance Heating IFkWh],MATCH(M02S02F26,LightingWHF[Building/Space Type],0))),0
)))))</f>
        <v/>
      </c>
      <c r="BE66" s="1058" t="str">
        <f>IF(OR(C66="",F66="",J66="",M66="",O66="",Q66="",S66="",W66="",Z66="",AB66="",AD66="",AF66=""),"",IF(M02S02F46="Gas Only",0,IF(OR(ISNUMBER(SEARCH("Exterior",S66)),ISNUMBER(SEARCH("Exterior",C66)),ISNUMBER(SEARCH("Exterior",F66))),1,IF(OR(M02S02F32="Heat Pump",M02S02F32="AC with Natural Gas Heat",M02S02F32="AC with Electric Heat"),(INDEX(LightingWHF[Waste Heat Cooling Energy WHFe],MATCH(M02S02F26,LightingWHF[Building/Space Type],0))),1))))</f>
        <v/>
      </c>
      <c r="BF66" s="1097" t="str">
        <f>IFERROR(IF((M66*O66)&lt;=(Z66*AB66),MEASURESAVE,IF(M02S02F35="",MEASURERATE,IF(AH66/M02S02F35/BA66&lt;1,MEASUREPAY,IF(AV66&lt;1,MEASURECB,IF(OR(ISBLANK(M02S02F26),ISBLANK(M02S02F32),ISBLANK(M02S02F46)),MEASUREBLDG,""))))),MEASURESUBMIT)</f>
        <v>Submit for Review</v>
      </c>
      <c r="BG66"/>
      <c r="BH66" s="995" t="str">
        <f ca="1">IF(OR(C66="",F66="",J66="",M66="",O66="",Q66="",S66="",W66="",Z66="",AB66="",AD66="",AF66=""),"",IF('M01-S01'!$V$82&lt;TODAY(),0,IF(M02S02F46="Gas Only",0,IF(OR(AK66="",AK66&lt;0,AH66&lt;=AN66),0,MIN(AH66-AN66,ROUND(IF(OR(ISNUMBER(SEARCH("T12",F66)),ISNUMBER(SEARCH("T8",F66)),ISNUMBER(SEARCH("T5",F66)),ISNUMBER(SEARCH("MH",F66)),ISNUMBER(SEARCH("HPS",F66)),ISNUMBER(SEARCH("MV",F66))),AN66*0.2),2))))))</f>
        <v/>
      </c>
      <c r="BI66"/>
    </row>
    <row r="67" spans="2:61" ht="15.95" hidden="1" customHeight="1">
      <c r="B67" s="829"/>
      <c r="C67" s="1088"/>
      <c r="D67" s="1088"/>
      <c r="E67" s="1088"/>
      <c r="F67" s="835"/>
      <c r="G67" s="836"/>
      <c r="H67" s="836"/>
      <c r="I67" s="837"/>
      <c r="J67" s="1088"/>
      <c r="K67" s="1088"/>
      <c r="L67" s="1088"/>
      <c r="M67" s="1078"/>
      <c r="N67" s="1078"/>
      <c r="O67" s="1081"/>
      <c r="P67" s="1082"/>
      <c r="Q67" s="1085"/>
      <c r="R67" s="1086"/>
      <c r="S67" s="851"/>
      <c r="T67" s="836"/>
      <c r="U67" s="836"/>
      <c r="V67" s="837"/>
      <c r="W67" s="1088"/>
      <c r="X67" s="1088"/>
      <c r="Y67" s="1088"/>
      <c r="Z67" s="1078"/>
      <c r="AA67" s="1078"/>
      <c r="AB67" s="1090"/>
      <c r="AC67" s="1090"/>
      <c r="AD67" s="1092"/>
      <c r="AE67" s="1092"/>
      <c r="AF67" s="1092"/>
      <c r="AG67" s="1094"/>
      <c r="AH67" s="865"/>
      <c r="AI67" s="1096"/>
      <c r="AJ67" s="1096"/>
      <c r="AK67" s="906"/>
      <c r="AL67" s="907"/>
      <c r="AM67" s="936"/>
      <c r="AN67" s="1100"/>
      <c r="AO67" s="1100"/>
      <c r="AP67" s="1100"/>
      <c r="AQ67" s="1100"/>
      <c r="AU67" s="1102"/>
      <c r="AV67" s="1102"/>
      <c r="AW67" s="901"/>
      <c r="AX67" s="812"/>
      <c r="AY67" s="812"/>
      <c r="AZ67" s="874"/>
      <c r="BA67" s="812"/>
      <c r="BB67" s="996"/>
      <c r="BC67" s="1098"/>
      <c r="BD67" s="996"/>
      <c r="BE67" s="996"/>
      <c r="BF67" s="1098"/>
      <c r="BG67"/>
      <c r="BH67" s="996"/>
      <c r="BI67"/>
    </row>
    <row r="68" spans="2:61" ht="15.95" hidden="1" customHeight="1">
      <c r="B68" s="829">
        <v>27</v>
      </c>
      <c r="C68" s="1087"/>
      <c r="D68" s="1087"/>
      <c r="E68" s="1087"/>
      <c r="F68" s="866"/>
      <c r="G68" s="867"/>
      <c r="H68" s="867"/>
      <c r="I68" s="868"/>
      <c r="J68" s="1087"/>
      <c r="K68" s="1087"/>
      <c r="L68" s="1087"/>
      <c r="M68" s="1077"/>
      <c r="N68" s="1077"/>
      <c r="O68" s="1079" t="str">
        <f>IFERROR(IF(F68="","",INDEX(CMLIGHTBASE[Base Watt 1],MATCH(F68,CMLIGHTBASE[Base Desc 1],0))),"")</f>
        <v/>
      </c>
      <c r="P68" s="1080"/>
      <c r="Q68" s="1083"/>
      <c r="R68" s="1084"/>
      <c r="S68" s="885"/>
      <c r="T68" s="867"/>
      <c r="U68" s="867"/>
      <c r="V68" s="868"/>
      <c r="W68" s="1087"/>
      <c r="X68" s="1087"/>
      <c r="Y68" s="1087"/>
      <c r="Z68" s="1077"/>
      <c r="AA68" s="1077"/>
      <c r="AB68" s="1089"/>
      <c r="AC68" s="1089"/>
      <c r="AD68" s="1091"/>
      <c r="AE68" s="1091"/>
      <c r="AF68" s="1091"/>
      <c r="AG68" s="1093"/>
      <c r="AH68" s="918" t="str">
        <f t="shared" ref="AH68" si="125">IFERROR(IF(OR(C68="",J68="",M68="",O68="",Q68="",W68="",Z68="",AB68="",AD68="",AF68=""),"",ROUND((AD68+AF68)*Z68,2)),"")</f>
        <v/>
      </c>
      <c r="AI68" s="1095"/>
      <c r="AJ68" s="1095"/>
      <c r="AK68" s="904" t="str">
        <f t="shared" ref="AK68" si="126">IFERROR(IF(OR(C68="",F68="",J68="",M68="",O68="",Q68="",S68="",W68="",Z68="",AB68="",AD68="",AF68=""),"",ROUND(IF((M68*O68)&lt;=(Z68*AB68),"0",(AX68-AY68+BD68)*BE68),2)),"")</f>
        <v/>
      </c>
      <c r="AL68" s="905"/>
      <c r="AM68" s="969"/>
      <c r="AN68" s="1099" t="str">
        <f>IFERROR(IF(OR(C68="",F68="",J68="",M68="",O68="",Q68="",S68="",W68="",Z68="",AB68="",AD68="",AF68=""),"",IF(OR(ISNUMBER(SEARCH("~~",F68)),ISNUMBER(SEARCH("~~",S68))),"Invalid Fixture Type Selected",IF(BF68&lt;&gt;"",BF68,ROUND(MIN(AH68*0.75,AK68*INDEX(INCRATE[Electric],MATCH("CMLIGHT",INCRATE[Incentive Type]))),2)))),"")</f>
        <v/>
      </c>
      <c r="AO68" s="1099"/>
      <c r="AP68" s="1099"/>
      <c r="AQ68" s="1099"/>
      <c r="AU68" s="1103" t="str">
        <f>IF(F68="","",INDEX(CUSTLIGHTUNIT,MATCH(F68,CMELIGHTBASE1,0)))</f>
        <v/>
      </c>
      <c r="AV68" s="1101" t="str">
        <f>IFERROR(IF(OR(C68="",F68="",J68="",M68="",O68="",Q68="",S68="",W68="",Z68="",AB68="",AD68="",AF68=""),"",((((1+ELOSS)*((AK68*INDEX(ELECCB[NPV AEC $/kWh],MATCH(15,ELECCB[Year Number],0)))+(AW68*INDEX(ELECCB[NPV ACC+T&amp;D $/kW],MATCH(15,ELECCB[Year Number],0)))))+((1+GLOSS)*((BB68*INDEX(GASCB[NPV GAEC $/therm],MATCH(15,GASCB[Year Number],1))))))/AH68)),"")</f>
        <v/>
      </c>
      <c r="AW68" s="900" t="str">
        <f>IFERROR(IF(OR(C68="",F68="",J68="",M68="",O68="",Q68="",S68="",W68="",Z68="",AB68="",AD68="",AF68=""),"",IF(OR(ISNUMBER(SEARCH("Exterior",C68)),((M68*O68)&lt;=(Z68*AB68)),ISNUMBER(SEARCH("Exterior",S68)),ISNUMBER(SEARCH("Exterior",F68))),0,ROUND((((M68*O68)-(Z68*AB68))/1000)*INDEX(LightingWHF[Coincidence Factor CF],MATCH(M02S02F26,LightingWHF[Building/Space Type],0))*IF(OR(M02S02F32="AC with Natural Gas Heat",M02S02F32="AC with Electric Heat",M02S02F32="Heat Pump"),INDEX(LightingWHF[Waste Heat Cooling Demand WHFd],MATCH(M02S02F26,LightingWHF[Building/Space Type],0)),1),3))),"")</f>
        <v/>
      </c>
      <c r="AX68" s="811" t="str">
        <f t="shared" ref="AX68" si="127">IF(OR(C68="",F68="",J68="",M68="",O68="",Q68="",S68="",W68="",Z68="",AB68="",AD68="",AF68=""),"",ROUND(M68*O68*Q68/1000,2))</f>
        <v/>
      </c>
      <c r="AY68" s="811" t="str">
        <f t="shared" ref="AY68" si="128">IF(OR(C68="",F68="",J68="",M68="",O68="",Q68="",S68="",W68="",Z68="",AB68="",AD68="",AF68=""),"",ROUND(Z68*AB68*Q68/1000,2))</f>
        <v/>
      </c>
      <c r="AZ68" s="873" t="str">
        <f>IF(OR(C68="",F68="",J68="",M68="",O68="",Q68="",S68="",W68="",Z68="",AB68="",AD68="",AF68=""),"",IF(ISNUMBER(AN68),(CONCATENATE(INDEX(CMLIGHTBASE[Measure Number],MATCH(F68,CMLIGHTBASE[Base Desc 1],0)),INDEX(CMLIGHTEFF[Measure Number],MATCH(S68,CMLIGHTEFF[Eff Desc 1],0)))),IF(AK68=0,"","000001")))</f>
        <v/>
      </c>
      <c r="BA68" s="811" t="str">
        <f t="shared" ref="BA68" si="129">IF(OR(C68="",F68="",J68="",M68="",O68="",Q68="",S68="",W68="",Z68="",AB68="",AD68="",AF68=""),"",IF((M68*O68)&lt;=(Z68*AB68),"0",AX68-AY68))</f>
        <v/>
      </c>
      <c r="BB68" s="1058" t="str">
        <f>IF(OR(C68="",F68="",J68="",M68="",O68="",Q68="",S68="",W68="",Z68="",AB68="",AD68="",AF68=""),"",IF(M02S02F46="Electric Only",0,IF(OR(ISNUMBER(SEARCH("Exterior",S68)),ISNUMBER(SEARCH("Exterior",C68)),ISNUMBER(SEARCH("Exterior",F68))),0,IF(OR(M02S02F32="AC with Natural Gas Heat",M02S02F32="Natural Gas Heat Only"),(((O68*M68-AB68*Z68)/1000)*Q68*-INDEX(LightingWHF[Waste Heat Gas Heating IFTherms],MATCH(M02S02F26,LightingWHF[Building/Space Type],0))),0))))</f>
        <v/>
      </c>
      <c r="BC68" s="1097" t="str">
        <f>IFERROR(AH68/M02S02F35/BA68,"")</f>
        <v/>
      </c>
      <c r="BD68" s="1058" t="str">
        <f>IF(OR(C68="",F68="",J68="",M68="",O68="",Q68="",S68="",W68="",Z68="",AB68="",AD68="",AF68=""),"",IF(M02S02F46="Gas Only",0,IF(OR(ISNUMBER(SEARCH("Exterior",S68)),ISNUMBER(SEARCH("Exterior",C68)),ISNUMBER(SEARCH("Exterior",F68))),0,IF(M02S02F32="Heat Pump",(((O68*M68-AB68*Z68)/1000)*Q68*-INDEX(LightingWHF[Waste Heat Electric Heat Pump Heating IFkWh],MATCH(M02S02F26,LightingWHF[Building/Space Type],0))),
IF(OR(M02S02F32="AC with Electric Heat",M02S02F32="Electric Heat Only"),(((O68*M68-AB68*Z68)/1000)*Q68*-INDEX(LightingWHF[Waste Heat Electric Resistance Heating IFkWh],MATCH(M02S02F26,LightingWHF[Building/Space Type],0))),0
)))))</f>
        <v/>
      </c>
      <c r="BE68" s="1058" t="str">
        <f>IF(OR(C68="",F68="",J68="",M68="",O68="",Q68="",S68="",W68="",Z68="",AB68="",AD68="",AF68=""),"",IF(M02S02F46="Gas Only",0,IF(OR(ISNUMBER(SEARCH("Exterior",S68)),ISNUMBER(SEARCH("Exterior",C68)),ISNUMBER(SEARCH("Exterior",F68))),1,IF(OR(M02S02F32="Heat Pump",M02S02F32="AC with Natural Gas Heat",M02S02F32="AC with Electric Heat"),(INDEX(LightingWHF[Waste Heat Cooling Energy WHFe],MATCH(M02S02F26,LightingWHF[Building/Space Type],0))),1))))</f>
        <v/>
      </c>
      <c r="BF68" s="1097" t="str">
        <f>IFERROR(IF((M68*O68)&lt;=(Z68*AB68),MEASURESAVE,IF(M02S02F35="",MEASURERATE,IF(AH68/M02S02F35/BA68&lt;1,MEASUREPAY,IF(AV68&lt;1,MEASURECB,IF(OR(ISBLANK(M02S02F26),ISBLANK(M02S02F32),ISBLANK(M02S02F46)),MEASUREBLDG,""))))),MEASURESUBMIT)</f>
        <v>Submit for Review</v>
      </c>
      <c r="BG68"/>
      <c r="BH68" s="995" t="str">
        <f ca="1">IF(OR(C68="",F68="",J68="",M68="",O68="",Q68="",S68="",W68="",Z68="",AB68="",AD68="",AF68=""),"",IF('M01-S01'!$V$82&lt;TODAY(),0,IF(M02S02F46="Gas Only",0,IF(OR(AK68="",AK68&lt;0,AH68&lt;=AN68),0,MIN(AH68-AN68,ROUND(IF(OR(ISNUMBER(SEARCH("T12",F68)),ISNUMBER(SEARCH("T8",F68)),ISNUMBER(SEARCH("T5",F68)),ISNUMBER(SEARCH("MH",F68)),ISNUMBER(SEARCH("HPS",F68)),ISNUMBER(SEARCH("MV",F68))),AN68*0.2),2))))))</f>
        <v/>
      </c>
      <c r="BI68"/>
    </row>
    <row r="69" spans="2:61" ht="15.95" hidden="1" customHeight="1">
      <c r="B69" s="829"/>
      <c r="C69" s="1088"/>
      <c r="D69" s="1088"/>
      <c r="E69" s="1088"/>
      <c r="F69" s="835"/>
      <c r="G69" s="836"/>
      <c r="H69" s="836"/>
      <c r="I69" s="837"/>
      <c r="J69" s="1088"/>
      <c r="K69" s="1088"/>
      <c r="L69" s="1088"/>
      <c r="M69" s="1078"/>
      <c r="N69" s="1078"/>
      <c r="O69" s="1081"/>
      <c r="P69" s="1082"/>
      <c r="Q69" s="1085"/>
      <c r="R69" s="1086"/>
      <c r="S69" s="851"/>
      <c r="T69" s="836"/>
      <c r="U69" s="836"/>
      <c r="V69" s="837"/>
      <c r="W69" s="1088"/>
      <c r="X69" s="1088"/>
      <c r="Y69" s="1088"/>
      <c r="Z69" s="1078"/>
      <c r="AA69" s="1078"/>
      <c r="AB69" s="1090"/>
      <c r="AC69" s="1090"/>
      <c r="AD69" s="1092"/>
      <c r="AE69" s="1092"/>
      <c r="AF69" s="1092"/>
      <c r="AG69" s="1094"/>
      <c r="AH69" s="865"/>
      <c r="AI69" s="1096"/>
      <c r="AJ69" s="1096"/>
      <c r="AK69" s="906"/>
      <c r="AL69" s="907"/>
      <c r="AM69" s="936"/>
      <c r="AN69" s="1100"/>
      <c r="AO69" s="1100"/>
      <c r="AP69" s="1100"/>
      <c r="AQ69" s="1100"/>
      <c r="AU69" s="1102"/>
      <c r="AV69" s="1102"/>
      <c r="AW69" s="901"/>
      <c r="AX69" s="812"/>
      <c r="AY69" s="812"/>
      <c r="AZ69" s="874"/>
      <c r="BA69" s="812"/>
      <c r="BB69" s="996"/>
      <c r="BC69" s="1098"/>
      <c r="BD69" s="996"/>
      <c r="BE69" s="996"/>
      <c r="BF69" s="1098"/>
      <c r="BG69"/>
      <c r="BH69" s="996"/>
      <c r="BI69"/>
    </row>
    <row r="70" spans="2:61" ht="15.95" hidden="1" customHeight="1">
      <c r="B70" s="829">
        <v>28</v>
      </c>
      <c r="C70" s="1087"/>
      <c r="D70" s="1087"/>
      <c r="E70" s="1087"/>
      <c r="F70" s="866"/>
      <c r="G70" s="867"/>
      <c r="H70" s="867"/>
      <c r="I70" s="868"/>
      <c r="J70" s="1087"/>
      <c r="K70" s="1087"/>
      <c r="L70" s="1087"/>
      <c r="M70" s="1077"/>
      <c r="N70" s="1077"/>
      <c r="O70" s="1079" t="str">
        <f>IFERROR(IF(F70="","",INDEX(CMLIGHTBASE[Base Watt 1],MATCH(F70,CMLIGHTBASE[Base Desc 1],0))),"")</f>
        <v/>
      </c>
      <c r="P70" s="1080"/>
      <c r="Q70" s="1083"/>
      <c r="R70" s="1084"/>
      <c r="S70" s="885"/>
      <c r="T70" s="867"/>
      <c r="U70" s="867"/>
      <c r="V70" s="868"/>
      <c r="W70" s="1087"/>
      <c r="X70" s="1087"/>
      <c r="Y70" s="1087"/>
      <c r="Z70" s="1077"/>
      <c r="AA70" s="1077"/>
      <c r="AB70" s="1089"/>
      <c r="AC70" s="1089"/>
      <c r="AD70" s="1091"/>
      <c r="AE70" s="1091"/>
      <c r="AF70" s="1091"/>
      <c r="AG70" s="1093"/>
      <c r="AH70" s="918" t="str">
        <f t="shared" ref="AH70" si="130">IFERROR(IF(OR(C70="",J70="",M70="",O70="",Q70="",W70="",Z70="",AB70="",AD70="",AF70=""),"",ROUND((AD70+AF70)*Z70,2)),"")</f>
        <v/>
      </c>
      <c r="AI70" s="1095"/>
      <c r="AJ70" s="1095"/>
      <c r="AK70" s="904" t="str">
        <f t="shared" ref="AK70" si="131">IFERROR(IF(OR(C70="",F70="",J70="",M70="",O70="",Q70="",S70="",W70="",Z70="",AB70="",AD70="",AF70=""),"",ROUND(IF((M70*O70)&lt;=(Z70*AB70),"0",(AX70-AY70+BD70)*BE70),2)),"")</f>
        <v/>
      </c>
      <c r="AL70" s="905"/>
      <c r="AM70" s="969"/>
      <c r="AN70" s="1099" t="str">
        <f>IFERROR(IF(OR(C70="",F70="",J70="",M70="",O70="",Q70="",S70="",W70="",Z70="",AB70="",AD70="",AF70=""),"",IF(OR(ISNUMBER(SEARCH("~~",F70)),ISNUMBER(SEARCH("~~",S70))),"Invalid Fixture Type Selected",IF(BF70&lt;&gt;"",BF70,ROUND(MIN(AH70*0.75,AK70*INDEX(INCRATE[Electric],MATCH("CMLIGHT",INCRATE[Incentive Type]))),2)))),"")</f>
        <v/>
      </c>
      <c r="AO70" s="1099"/>
      <c r="AP70" s="1099"/>
      <c r="AQ70" s="1099"/>
      <c r="AU70" s="1103" t="str">
        <f>IF(F70="","",INDEX(CUSTLIGHTUNIT,MATCH(F70,CMELIGHTBASE1,0)))</f>
        <v/>
      </c>
      <c r="AV70" s="1101" t="str">
        <f>IFERROR(IF(OR(C70="",F70="",J70="",M70="",O70="",Q70="",S70="",W70="",Z70="",AB70="",AD70="",AF70=""),"",((((1+ELOSS)*((AK70*INDEX(ELECCB[NPV AEC $/kWh],MATCH(15,ELECCB[Year Number],0)))+(AW70*INDEX(ELECCB[NPV ACC+T&amp;D $/kW],MATCH(15,ELECCB[Year Number],0)))))+((1+GLOSS)*((BB70*INDEX(GASCB[NPV GAEC $/therm],MATCH(15,GASCB[Year Number],1))))))/AH70)),"")</f>
        <v/>
      </c>
      <c r="AW70" s="900" t="str">
        <f>IFERROR(IF(OR(C70="",F70="",J70="",M70="",O70="",Q70="",S70="",W70="",Z70="",AB70="",AD70="",AF70=""),"",IF(OR(ISNUMBER(SEARCH("Exterior",C70)),((M70*O70)&lt;=(Z70*AB70)),ISNUMBER(SEARCH("Exterior",S70)),ISNUMBER(SEARCH("Exterior",F70))),0,ROUND((((M70*O70)-(Z70*AB70))/1000)*INDEX(LightingWHF[Coincidence Factor CF],MATCH(M02S02F26,LightingWHF[Building/Space Type],0))*IF(OR(M02S02F32="AC with Natural Gas Heat",M02S02F32="AC with Electric Heat",M02S02F32="Heat Pump"),INDEX(LightingWHF[Waste Heat Cooling Demand WHFd],MATCH(M02S02F26,LightingWHF[Building/Space Type],0)),1),3))),"")</f>
        <v/>
      </c>
      <c r="AX70" s="811" t="str">
        <f t="shared" ref="AX70" si="132">IF(OR(C70="",F70="",J70="",M70="",O70="",Q70="",S70="",W70="",Z70="",AB70="",AD70="",AF70=""),"",ROUND(M70*O70*Q70/1000,2))</f>
        <v/>
      </c>
      <c r="AY70" s="811" t="str">
        <f t="shared" ref="AY70" si="133">IF(OR(C70="",F70="",J70="",M70="",O70="",Q70="",S70="",W70="",Z70="",AB70="",AD70="",AF70=""),"",ROUND(Z70*AB70*Q70/1000,2))</f>
        <v/>
      </c>
      <c r="AZ70" s="873" t="str">
        <f>IF(OR(C70="",F70="",J70="",M70="",O70="",Q70="",S70="",W70="",Z70="",AB70="",AD70="",AF70=""),"",IF(ISNUMBER(AN70),(CONCATENATE(INDEX(CMLIGHTBASE[Measure Number],MATCH(F70,CMLIGHTBASE[Base Desc 1],0)),INDEX(CMLIGHTEFF[Measure Number],MATCH(S70,CMLIGHTEFF[Eff Desc 1],0)))),IF(AK70=0,"","000001")))</f>
        <v/>
      </c>
      <c r="BA70" s="811" t="str">
        <f t="shared" ref="BA70" si="134">IF(OR(C70="",F70="",J70="",M70="",O70="",Q70="",S70="",W70="",Z70="",AB70="",AD70="",AF70=""),"",IF((M70*O70)&lt;=(Z70*AB70),"0",AX70-AY70))</f>
        <v/>
      </c>
      <c r="BB70" s="1058" t="str">
        <f>IF(OR(C70="",F70="",J70="",M70="",O70="",Q70="",S70="",W70="",Z70="",AB70="",AD70="",AF70=""),"",IF(M02S02F46="Electric Only",0,IF(OR(ISNUMBER(SEARCH("Exterior",S70)),ISNUMBER(SEARCH("Exterior",C70)),ISNUMBER(SEARCH("Exterior",F70))),0,IF(OR(M02S02F32="AC with Natural Gas Heat",M02S02F32="Natural Gas Heat Only"),(((O70*M70-AB70*Z70)/1000)*Q70*-INDEX(LightingWHF[Waste Heat Gas Heating IFTherms],MATCH(M02S02F26,LightingWHF[Building/Space Type],0))),0))))</f>
        <v/>
      </c>
      <c r="BC70" s="1097" t="str">
        <f>IFERROR(AH70/M02S02F35/BA70,"")</f>
        <v/>
      </c>
      <c r="BD70" s="1058" t="str">
        <f>IF(OR(C70="",F70="",J70="",M70="",O70="",Q70="",S70="",W70="",Z70="",AB70="",AD70="",AF70=""),"",IF(M02S02F46="Gas Only",0,IF(OR(ISNUMBER(SEARCH("Exterior",S70)),ISNUMBER(SEARCH("Exterior",C70)),ISNUMBER(SEARCH("Exterior",F70))),0,IF(M02S02F32="Heat Pump",(((O70*M70-AB70*Z70)/1000)*Q70*-INDEX(LightingWHF[Waste Heat Electric Heat Pump Heating IFkWh],MATCH(M02S02F26,LightingWHF[Building/Space Type],0))),
IF(OR(M02S02F32="AC with Electric Heat",M02S02F32="Electric Heat Only"),(((O70*M70-AB70*Z70)/1000)*Q70*-INDEX(LightingWHF[Waste Heat Electric Resistance Heating IFkWh],MATCH(M02S02F26,LightingWHF[Building/Space Type],0))),0
)))))</f>
        <v/>
      </c>
      <c r="BE70" s="1058" t="str">
        <f>IF(OR(C70="",F70="",J70="",M70="",O70="",Q70="",S70="",W70="",Z70="",AB70="",AD70="",AF70=""),"",IF(M02S02F46="Gas Only",0,IF(OR(ISNUMBER(SEARCH("Exterior",S70)),ISNUMBER(SEARCH("Exterior",C70)),ISNUMBER(SEARCH("Exterior",F70))),1,IF(OR(M02S02F32="Heat Pump",M02S02F32="AC with Natural Gas Heat",M02S02F32="AC with Electric Heat"),(INDEX(LightingWHF[Waste Heat Cooling Energy WHFe],MATCH(M02S02F26,LightingWHF[Building/Space Type],0))),1))))</f>
        <v/>
      </c>
      <c r="BF70" s="1097" t="str">
        <f>IFERROR(IF((M70*O70)&lt;=(Z70*AB70),MEASURESAVE,IF(M02S02F35="",MEASURERATE,IF(AH70/M02S02F35/BA70&lt;1,MEASUREPAY,IF(AV70&lt;1,MEASURECB,IF(OR(ISBLANK(M02S02F26),ISBLANK(M02S02F32),ISBLANK(M02S02F46)),MEASUREBLDG,""))))),MEASURESUBMIT)</f>
        <v>Submit for Review</v>
      </c>
      <c r="BG70"/>
      <c r="BH70" s="995" t="str">
        <f ca="1">IF(OR(C70="",F70="",J70="",M70="",O70="",Q70="",S70="",W70="",Z70="",AB70="",AD70="",AF70=""),"",IF('M01-S01'!$V$82&lt;TODAY(),0,IF(M02S02F46="Gas Only",0,IF(OR(AK70="",AK70&lt;0,AH70&lt;=AN70),0,MIN(AH70-AN70,ROUND(IF(OR(ISNUMBER(SEARCH("T12",F70)),ISNUMBER(SEARCH("T8",F70)),ISNUMBER(SEARCH("T5",F70)),ISNUMBER(SEARCH("MH",F70)),ISNUMBER(SEARCH("HPS",F70)),ISNUMBER(SEARCH("MV",F70))),AN70*0.2),2))))))</f>
        <v/>
      </c>
      <c r="BI70"/>
    </row>
    <row r="71" spans="2:61" ht="15.95" hidden="1" customHeight="1">
      <c r="B71" s="829"/>
      <c r="C71" s="1088"/>
      <c r="D71" s="1088"/>
      <c r="E71" s="1088"/>
      <c r="F71" s="835"/>
      <c r="G71" s="836"/>
      <c r="H71" s="836"/>
      <c r="I71" s="837"/>
      <c r="J71" s="1088"/>
      <c r="K71" s="1088"/>
      <c r="L71" s="1088"/>
      <c r="M71" s="1078"/>
      <c r="N71" s="1078"/>
      <c r="O71" s="1081"/>
      <c r="P71" s="1082"/>
      <c r="Q71" s="1085"/>
      <c r="R71" s="1086"/>
      <c r="S71" s="851"/>
      <c r="T71" s="836"/>
      <c r="U71" s="836"/>
      <c r="V71" s="837"/>
      <c r="W71" s="1088"/>
      <c r="X71" s="1088"/>
      <c r="Y71" s="1088"/>
      <c r="Z71" s="1078"/>
      <c r="AA71" s="1078"/>
      <c r="AB71" s="1090"/>
      <c r="AC71" s="1090"/>
      <c r="AD71" s="1092"/>
      <c r="AE71" s="1092"/>
      <c r="AF71" s="1092"/>
      <c r="AG71" s="1094"/>
      <c r="AH71" s="865"/>
      <c r="AI71" s="1096"/>
      <c r="AJ71" s="1096"/>
      <c r="AK71" s="906"/>
      <c r="AL71" s="907"/>
      <c r="AM71" s="936"/>
      <c r="AN71" s="1100"/>
      <c r="AO71" s="1100"/>
      <c r="AP71" s="1100"/>
      <c r="AQ71" s="1100"/>
      <c r="AU71" s="1102"/>
      <c r="AV71" s="1102"/>
      <c r="AW71" s="901"/>
      <c r="AX71" s="812"/>
      <c r="AY71" s="812"/>
      <c r="AZ71" s="874"/>
      <c r="BA71" s="812"/>
      <c r="BB71" s="996"/>
      <c r="BC71" s="1098"/>
      <c r="BD71" s="996"/>
      <c r="BE71" s="996"/>
      <c r="BF71" s="1098"/>
      <c r="BG71"/>
      <c r="BH71" s="996"/>
      <c r="BI71"/>
    </row>
    <row r="72" spans="2:61" ht="15.95" hidden="1" customHeight="1">
      <c r="B72" s="829">
        <v>29</v>
      </c>
      <c r="C72" s="1087"/>
      <c r="D72" s="1087"/>
      <c r="E72" s="1087"/>
      <c r="F72" s="866"/>
      <c r="G72" s="867"/>
      <c r="H72" s="867"/>
      <c r="I72" s="868"/>
      <c r="J72" s="1087"/>
      <c r="K72" s="1087"/>
      <c r="L72" s="1087"/>
      <c r="M72" s="1077"/>
      <c r="N72" s="1077"/>
      <c r="O72" s="1079" t="str">
        <f>IFERROR(IF(F72="","",INDEX(CMLIGHTBASE[Base Watt 1],MATCH(F72,CMLIGHTBASE[Base Desc 1],0))),"")</f>
        <v/>
      </c>
      <c r="P72" s="1080"/>
      <c r="Q72" s="1083"/>
      <c r="R72" s="1084"/>
      <c r="S72" s="885"/>
      <c r="T72" s="867"/>
      <c r="U72" s="867"/>
      <c r="V72" s="868"/>
      <c r="W72" s="1087"/>
      <c r="X72" s="1087"/>
      <c r="Y72" s="1087"/>
      <c r="Z72" s="1077"/>
      <c r="AA72" s="1077"/>
      <c r="AB72" s="1089"/>
      <c r="AC72" s="1089"/>
      <c r="AD72" s="1091"/>
      <c r="AE72" s="1091"/>
      <c r="AF72" s="1091"/>
      <c r="AG72" s="1093"/>
      <c r="AH72" s="918" t="str">
        <f t="shared" ref="AH72" si="135">IFERROR(IF(OR(C72="",J72="",M72="",O72="",Q72="",W72="",Z72="",AB72="",AD72="",AF72=""),"",ROUND((AD72+AF72)*Z72,2)),"")</f>
        <v/>
      </c>
      <c r="AI72" s="1095"/>
      <c r="AJ72" s="1095"/>
      <c r="AK72" s="904" t="str">
        <f t="shared" ref="AK72" si="136">IFERROR(IF(OR(C72="",F72="",J72="",M72="",O72="",Q72="",S72="",W72="",Z72="",AB72="",AD72="",AF72=""),"",ROUND(IF((M72*O72)&lt;=(Z72*AB72),"0",(AX72-AY72+BD72)*BE72),2)),"")</f>
        <v/>
      </c>
      <c r="AL72" s="905"/>
      <c r="AM72" s="969"/>
      <c r="AN72" s="1099" t="str">
        <f>IFERROR(IF(OR(C72="",F72="",J72="",M72="",O72="",Q72="",S72="",W72="",Z72="",AB72="",AD72="",AF72=""),"",IF(OR(ISNUMBER(SEARCH("~~",F72)),ISNUMBER(SEARCH("~~",S72))),"Invalid Fixture Type Selected",IF(BF72&lt;&gt;"",BF72,ROUND(MIN(AH72*0.75,AK72*INDEX(INCRATE[Electric],MATCH("CMLIGHT",INCRATE[Incentive Type]))),2)))),"")</f>
        <v/>
      </c>
      <c r="AO72" s="1099"/>
      <c r="AP72" s="1099"/>
      <c r="AQ72" s="1099"/>
      <c r="AU72" s="1103" t="str">
        <f>IF(F72="","",INDEX(CUSTLIGHTUNIT,MATCH(F72,CMELIGHTBASE1,0)))</f>
        <v/>
      </c>
      <c r="AV72" s="1101" t="str">
        <f>IFERROR(IF(OR(C72="",F72="",J72="",M72="",O72="",Q72="",S72="",W72="",Z72="",AB72="",AD72="",AF72=""),"",((((1+ELOSS)*((AK72*INDEX(ELECCB[NPV AEC $/kWh],MATCH(15,ELECCB[Year Number],0)))+(AW72*INDEX(ELECCB[NPV ACC+T&amp;D $/kW],MATCH(15,ELECCB[Year Number],0)))))+((1+GLOSS)*((BB72*INDEX(GASCB[NPV GAEC $/therm],MATCH(15,GASCB[Year Number],1))))))/AH72)),"")</f>
        <v/>
      </c>
      <c r="AW72" s="900" t="str">
        <f>IFERROR(IF(OR(C72="",F72="",J72="",M72="",O72="",Q72="",S72="",W72="",Z72="",AB72="",AD72="",AF72=""),"",IF(OR(ISNUMBER(SEARCH("Exterior",C72)),((M72*O72)&lt;=(Z72*AB72)),ISNUMBER(SEARCH("Exterior",S72)),ISNUMBER(SEARCH("Exterior",F72))),0,ROUND((((M72*O72)-(Z72*AB72))/1000)*INDEX(LightingWHF[Coincidence Factor CF],MATCH(M02S02F26,LightingWHF[Building/Space Type],0))*IF(OR(M02S02F32="AC with Natural Gas Heat",M02S02F32="AC with Electric Heat",M02S02F32="Heat Pump"),INDEX(LightingWHF[Waste Heat Cooling Demand WHFd],MATCH(M02S02F26,LightingWHF[Building/Space Type],0)),1),3))),"")</f>
        <v/>
      </c>
      <c r="AX72" s="811" t="str">
        <f t="shared" ref="AX72" si="137">IF(OR(C72="",F72="",J72="",M72="",O72="",Q72="",S72="",W72="",Z72="",AB72="",AD72="",AF72=""),"",ROUND(M72*O72*Q72/1000,2))</f>
        <v/>
      </c>
      <c r="AY72" s="811" t="str">
        <f t="shared" ref="AY72" si="138">IF(OR(C72="",F72="",J72="",M72="",O72="",Q72="",S72="",W72="",Z72="",AB72="",AD72="",AF72=""),"",ROUND(Z72*AB72*Q72/1000,2))</f>
        <v/>
      </c>
      <c r="AZ72" s="873" t="str">
        <f>IF(OR(C72="",F72="",J72="",M72="",O72="",Q72="",S72="",W72="",Z72="",AB72="",AD72="",AF72=""),"",IF(ISNUMBER(AN72),(CONCATENATE(INDEX(CMLIGHTBASE[Measure Number],MATCH(F72,CMLIGHTBASE[Base Desc 1],0)),INDEX(CMLIGHTEFF[Measure Number],MATCH(S72,CMLIGHTEFF[Eff Desc 1],0)))),IF(AK72=0,"","000001")))</f>
        <v/>
      </c>
      <c r="BA72" s="811" t="str">
        <f t="shared" ref="BA72" si="139">IF(OR(C72="",F72="",J72="",M72="",O72="",Q72="",S72="",W72="",Z72="",AB72="",AD72="",AF72=""),"",IF((M72*O72)&lt;=(Z72*AB72),"0",AX72-AY72))</f>
        <v/>
      </c>
      <c r="BB72" s="1058" t="str">
        <f>IF(OR(C72="",F72="",J72="",M72="",O72="",Q72="",S72="",W72="",Z72="",AB72="",AD72="",AF72=""),"",IF(M02S02F46="Electric Only",0,IF(OR(ISNUMBER(SEARCH("Exterior",S72)),ISNUMBER(SEARCH("Exterior",C72)),ISNUMBER(SEARCH("Exterior",F72))),0,IF(OR(M02S02F32="AC with Natural Gas Heat",M02S02F32="Natural Gas Heat Only"),(((O72*M72-AB72*Z72)/1000)*Q72*-INDEX(LightingWHF[Waste Heat Gas Heating IFTherms],MATCH(M02S02F26,LightingWHF[Building/Space Type],0))),0))))</f>
        <v/>
      </c>
      <c r="BC72" s="1097" t="str">
        <f>IFERROR(AH72/M02S02F35/BA72,"")</f>
        <v/>
      </c>
      <c r="BD72" s="1058" t="str">
        <f>IF(OR(C72="",F72="",J72="",M72="",O72="",Q72="",S72="",W72="",Z72="",AB72="",AD72="",AF72=""),"",IF(M02S02F46="Gas Only",0,IF(OR(ISNUMBER(SEARCH("Exterior",S72)),ISNUMBER(SEARCH("Exterior",C72)),ISNUMBER(SEARCH("Exterior",F72))),0,IF(M02S02F32="Heat Pump",(((O72*M72-AB72*Z72)/1000)*Q72*-INDEX(LightingWHF[Waste Heat Electric Heat Pump Heating IFkWh],MATCH(M02S02F26,LightingWHF[Building/Space Type],0))),
IF(OR(M02S02F32="AC with Electric Heat",M02S02F32="Electric Heat Only"),(((O72*M72-AB72*Z72)/1000)*Q72*-INDEX(LightingWHF[Waste Heat Electric Resistance Heating IFkWh],MATCH(M02S02F26,LightingWHF[Building/Space Type],0))),0
)))))</f>
        <v/>
      </c>
      <c r="BE72" s="1058" t="str">
        <f>IF(OR(C72="",F72="",J72="",M72="",O72="",Q72="",S72="",W72="",Z72="",AB72="",AD72="",AF72=""),"",IF(M02S02F46="Gas Only",0,IF(OR(ISNUMBER(SEARCH("Exterior",S72)),ISNUMBER(SEARCH("Exterior",C72)),ISNUMBER(SEARCH("Exterior",F72))),1,IF(OR(M02S02F32="Heat Pump",M02S02F32="AC with Natural Gas Heat",M02S02F32="AC with Electric Heat"),(INDEX(LightingWHF[Waste Heat Cooling Energy WHFe],MATCH(M02S02F26,LightingWHF[Building/Space Type],0))),1))))</f>
        <v/>
      </c>
      <c r="BF72" s="1097" t="str">
        <f>IFERROR(IF((M72*O72)&lt;=(Z72*AB72),MEASURESAVE,IF(M02S02F35="",MEASURERATE,IF(AH72/M02S02F35/BA72&lt;1,MEASUREPAY,IF(AV72&lt;1,MEASURECB,IF(OR(ISBLANK(M02S02F26),ISBLANK(M02S02F32),ISBLANK(M02S02F46)),MEASUREBLDG,""))))),MEASURESUBMIT)</f>
        <v>Submit for Review</v>
      </c>
      <c r="BG72"/>
      <c r="BH72" s="995" t="str">
        <f ca="1">IF(OR(C72="",F72="",J72="",M72="",O72="",Q72="",S72="",W72="",Z72="",AB72="",AD72="",AF72=""),"",IF('M01-S01'!$V$82&lt;TODAY(),0,IF(M02S02F46="Gas Only",0,IF(OR(AK72="",AK72&lt;0,AH72&lt;=AN72),0,MIN(AH72-AN72,ROUND(IF(OR(ISNUMBER(SEARCH("T12",F72)),ISNUMBER(SEARCH("T8",F72)),ISNUMBER(SEARCH("T5",F72)),ISNUMBER(SEARCH("MH",F72)),ISNUMBER(SEARCH("HPS",F72)),ISNUMBER(SEARCH("MV",F72))),AN72*0.2),2))))))</f>
        <v/>
      </c>
      <c r="BI72"/>
    </row>
    <row r="73" spans="2:61" ht="15.95" hidden="1" customHeight="1">
      <c r="B73" s="829"/>
      <c r="C73" s="1088"/>
      <c r="D73" s="1088"/>
      <c r="E73" s="1088"/>
      <c r="F73" s="835"/>
      <c r="G73" s="836"/>
      <c r="H73" s="836"/>
      <c r="I73" s="837"/>
      <c r="J73" s="1088"/>
      <c r="K73" s="1088"/>
      <c r="L73" s="1088"/>
      <c r="M73" s="1078"/>
      <c r="N73" s="1078"/>
      <c r="O73" s="1081"/>
      <c r="P73" s="1082"/>
      <c r="Q73" s="1085"/>
      <c r="R73" s="1086"/>
      <c r="S73" s="851"/>
      <c r="T73" s="836"/>
      <c r="U73" s="836"/>
      <c r="V73" s="837"/>
      <c r="W73" s="1088"/>
      <c r="X73" s="1088"/>
      <c r="Y73" s="1088"/>
      <c r="Z73" s="1078"/>
      <c r="AA73" s="1078"/>
      <c r="AB73" s="1090"/>
      <c r="AC73" s="1090"/>
      <c r="AD73" s="1092"/>
      <c r="AE73" s="1092"/>
      <c r="AF73" s="1092"/>
      <c r="AG73" s="1094"/>
      <c r="AH73" s="865"/>
      <c r="AI73" s="1096"/>
      <c r="AJ73" s="1096"/>
      <c r="AK73" s="906"/>
      <c r="AL73" s="907"/>
      <c r="AM73" s="936"/>
      <c r="AN73" s="1100"/>
      <c r="AO73" s="1100"/>
      <c r="AP73" s="1100"/>
      <c r="AQ73" s="1100"/>
      <c r="AU73" s="1102"/>
      <c r="AV73" s="1102"/>
      <c r="AW73" s="901"/>
      <c r="AX73" s="812"/>
      <c r="AY73" s="812"/>
      <c r="AZ73" s="874"/>
      <c r="BA73" s="812"/>
      <c r="BB73" s="996"/>
      <c r="BC73" s="1098"/>
      <c r="BD73" s="996"/>
      <c r="BE73" s="996"/>
      <c r="BF73" s="1098"/>
      <c r="BG73"/>
      <c r="BH73" s="996"/>
      <c r="BI73"/>
    </row>
    <row r="74" spans="2:61" ht="15.95" hidden="1" customHeight="1">
      <c r="B74" s="829">
        <v>30</v>
      </c>
      <c r="C74" s="1087"/>
      <c r="D74" s="1087"/>
      <c r="E74" s="1087"/>
      <c r="F74" s="866"/>
      <c r="G74" s="867"/>
      <c r="H74" s="867"/>
      <c r="I74" s="868"/>
      <c r="J74" s="1087"/>
      <c r="K74" s="1087"/>
      <c r="L74" s="1087"/>
      <c r="M74" s="1077"/>
      <c r="N74" s="1077"/>
      <c r="O74" s="1079" t="str">
        <f>IFERROR(IF(F74="","",INDEX(CMLIGHTBASE[Base Watt 1],MATCH(F74,CMLIGHTBASE[Base Desc 1],0))),"")</f>
        <v/>
      </c>
      <c r="P74" s="1080"/>
      <c r="Q74" s="1083"/>
      <c r="R74" s="1084"/>
      <c r="S74" s="885"/>
      <c r="T74" s="867"/>
      <c r="U74" s="867"/>
      <c r="V74" s="868"/>
      <c r="W74" s="1087"/>
      <c r="X74" s="1087"/>
      <c r="Y74" s="1087"/>
      <c r="Z74" s="1077"/>
      <c r="AA74" s="1077"/>
      <c r="AB74" s="1089"/>
      <c r="AC74" s="1089"/>
      <c r="AD74" s="1091"/>
      <c r="AE74" s="1091"/>
      <c r="AF74" s="1091"/>
      <c r="AG74" s="1093"/>
      <c r="AH74" s="918" t="str">
        <f t="shared" ref="AH74" si="140">IFERROR(IF(OR(C74="",J74="",M74="",O74="",Q74="",W74="",Z74="",AB74="",AD74="",AF74=""),"",ROUND((AD74+AF74)*Z74,2)),"")</f>
        <v/>
      </c>
      <c r="AI74" s="1095"/>
      <c r="AJ74" s="1095"/>
      <c r="AK74" s="904" t="str">
        <f t="shared" ref="AK74" si="141">IFERROR(IF(OR(C74="",F74="",J74="",M74="",O74="",Q74="",S74="",W74="",Z74="",AB74="",AD74="",AF74=""),"",ROUND(IF((M74*O74)&lt;=(Z74*AB74),"0",(AX74-AY74+BD74)*BE74),2)),"")</f>
        <v/>
      </c>
      <c r="AL74" s="905"/>
      <c r="AM74" s="969"/>
      <c r="AN74" s="1099" t="str">
        <f>IFERROR(IF(OR(C74="",F74="",J74="",M74="",O74="",Q74="",S74="",W74="",Z74="",AB74="",AD74="",AF74=""),"",IF(OR(ISNUMBER(SEARCH("~~",F74)),ISNUMBER(SEARCH("~~",S74))),"Invalid Fixture Type Selected",IF(BF74&lt;&gt;"",BF74,ROUND(MIN(AH74*0.75,AK74*INDEX(INCRATE[Electric],MATCH("CMLIGHT",INCRATE[Incentive Type]))),2)))),"")</f>
        <v/>
      </c>
      <c r="AO74" s="1099"/>
      <c r="AP74" s="1099"/>
      <c r="AQ74" s="1099"/>
      <c r="AU74" s="1103" t="str">
        <f>IF(F74="","",INDEX(CUSTLIGHTUNIT,MATCH(F74,CMELIGHTBASE1,0)))</f>
        <v/>
      </c>
      <c r="AV74" s="1101" t="str">
        <f>IFERROR(IF(OR(C74="",F74="",J74="",M74="",O74="",Q74="",S74="",W74="",Z74="",AB74="",AD74="",AF74=""),"",((((1+ELOSS)*((AK74*INDEX(ELECCB[NPV AEC $/kWh],MATCH(15,ELECCB[Year Number],0)))+(AW74*INDEX(ELECCB[NPV ACC+T&amp;D $/kW],MATCH(15,ELECCB[Year Number],0)))))+((1+GLOSS)*((BB74*INDEX(GASCB[NPV GAEC $/therm],MATCH(15,GASCB[Year Number],1))))))/AH74)),"")</f>
        <v/>
      </c>
      <c r="AW74" s="900" t="str">
        <f>IFERROR(IF(OR(C74="",F74="",J74="",M74="",O74="",Q74="",S74="",W74="",Z74="",AB74="",AD74="",AF74=""),"",IF(OR(ISNUMBER(SEARCH("Exterior",C74)),((M74*O74)&lt;=(Z74*AB74)),ISNUMBER(SEARCH("Exterior",S74)),ISNUMBER(SEARCH("Exterior",F74))),0,ROUND((((M74*O74)-(Z74*AB74))/1000)*INDEX(LightingWHF[Coincidence Factor CF],MATCH(M02S02F26,LightingWHF[Building/Space Type],0))*IF(OR(M02S02F32="AC with Natural Gas Heat",M02S02F32="AC with Electric Heat",M02S02F32="Heat Pump"),INDEX(LightingWHF[Waste Heat Cooling Demand WHFd],MATCH(M02S02F26,LightingWHF[Building/Space Type],0)),1),3))),"")</f>
        <v/>
      </c>
      <c r="AX74" s="811" t="str">
        <f t="shared" ref="AX74" si="142">IF(OR(C74="",F74="",J74="",M74="",O74="",Q74="",S74="",W74="",Z74="",AB74="",AD74="",AF74=""),"",ROUND(M74*O74*Q74/1000,2))</f>
        <v/>
      </c>
      <c r="AY74" s="811" t="str">
        <f t="shared" ref="AY74" si="143">IF(OR(C74="",F74="",J74="",M74="",O74="",Q74="",S74="",W74="",Z74="",AB74="",AD74="",AF74=""),"",ROUND(Z74*AB74*Q74/1000,2))</f>
        <v/>
      </c>
      <c r="AZ74" s="873" t="str">
        <f>IF(OR(C74="",F74="",J74="",M74="",O74="",Q74="",S74="",W74="",Z74="",AB74="",AD74="",AF74=""),"",IF(ISNUMBER(AN74),(CONCATENATE(INDEX(CMLIGHTBASE[Measure Number],MATCH(F74,CMLIGHTBASE[Base Desc 1],0)),INDEX(CMLIGHTEFF[Measure Number],MATCH(S74,CMLIGHTEFF[Eff Desc 1],0)))),IF(AK74=0,"","000001")))</f>
        <v/>
      </c>
      <c r="BA74" s="811" t="str">
        <f t="shared" ref="BA74" si="144">IF(OR(C74="",F74="",J74="",M74="",O74="",Q74="",S74="",W74="",Z74="",AB74="",AD74="",AF74=""),"",IF((M74*O74)&lt;=(Z74*AB74),"0",AX74-AY74))</f>
        <v/>
      </c>
      <c r="BB74" s="1058" t="str">
        <f>IF(OR(C74="",F74="",J74="",M74="",O74="",Q74="",S74="",W74="",Z74="",AB74="",AD74="",AF74=""),"",IF(M02S02F46="Electric Only",0,IF(OR(ISNUMBER(SEARCH("Exterior",S74)),ISNUMBER(SEARCH("Exterior",C74)),ISNUMBER(SEARCH("Exterior",F74))),0,IF(OR(M02S02F32="AC with Natural Gas Heat",M02S02F32="Natural Gas Heat Only"),(((O74*M74-AB74*Z74)/1000)*Q74*-INDEX(LightingWHF[Waste Heat Gas Heating IFTherms],MATCH(M02S02F26,LightingWHF[Building/Space Type],0))),0))))</f>
        <v/>
      </c>
      <c r="BC74" s="1097" t="str">
        <f>IFERROR(AH74/M02S02F35/BA74,"")</f>
        <v/>
      </c>
      <c r="BD74" s="1058" t="str">
        <f>IF(OR(C74="",F74="",J74="",M74="",O74="",Q74="",S74="",W74="",Z74="",AB74="",AD74="",AF74=""),"",IF(M02S02F46="Gas Only",0,IF(OR(ISNUMBER(SEARCH("Exterior",S74)),ISNUMBER(SEARCH("Exterior",C74)),ISNUMBER(SEARCH("Exterior",F74))),0,IF(M02S02F32="Heat Pump",(((O74*M74-AB74*Z74)/1000)*Q74*-INDEX(LightingWHF[Waste Heat Electric Heat Pump Heating IFkWh],MATCH(M02S02F26,LightingWHF[Building/Space Type],0))),
IF(OR(M02S02F32="AC with Electric Heat",M02S02F32="Electric Heat Only"),(((O74*M74-AB74*Z74)/1000)*Q74*-INDEX(LightingWHF[Waste Heat Electric Resistance Heating IFkWh],MATCH(M02S02F26,LightingWHF[Building/Space Type],0))),0
)))))</f>
        <v/>
      </c>
      <c r="BE74" s="1058" t="str">
        <f>IF(OR(C74="",F74="",J74="",M74="",O74="",Q74="",S74="",W74="",Z74="",AB74="",AD74="",AF74=""),"",IF(M02S02F46="Gas Only",0,IF(OR(ISNUMBER(SEARCH("Exterior",S74)),ISNUMBER(SEARCH("Exterior",C74)),ISNUMBER(SEARCH("Exterior",F74))),1,IF(OR(M02S02F32="Heat Pump",M02S02F32="AC with Natural Gas Heat",M02S02F32="AC with Electric Heat"),(INDEX(LightingWHF[Waste Heat Cooling Energy WHFe],MATCH(M02S02F26,LightingWHF[Building/Space Type],0))),1))))</f>
        <v/>
      </c>
      <c r="BF74" s="1097" t="str">
        <f>IFERROR(IF((M74*O74)&lt;=(Z74*AB74),MEASURESAVE,IF(M02S02F35="",MEASURERATE,IF(AH74/M02S02F35/BA74&lt;1,MEASUREPAY,IF(AV74&lt;1,MEASURECB,IF(OR(ISBLANK(M02S02F26),ISBLANK(M02S02F32),ISBLANK(M02S02F46)),MEASUREBLDG,""))))),MEASURESUBMIT)</f>
        <v>Submit for Review</v>
      </c>
      <c r="BG74"/>
      <c r="BH74" s="995" t="str">
        <f ca="1">IF(OR(C74="",F74="",J74="",M74="",O74="",Q74="",S74="",W74="",Z74="",AB74="",AD74="",AF74=""),"",IF('M01-S01'!$V$82&lt;TODAY(),0,IF(M02S02F46="Gas Only",0,IF(OR(AK74="",AK74&lt;0,AH74&lt;=AN74),0,MIN(AH74-AN74,ROUND(IF(OR(ISNUMBER(SEARCH("T12",F74)),ISNUMBER(SEARCH("T8",F74)),ISNUMBER(SEARCH("T5",F74)),ISNUMBER(SEARCH("MH",F74)),ISNUMBER(SEARCH("HPS",F74)),ISNUMBER(SEARCH("MV",F74))),AN74*0.2),2))))))</f>
        <v/>
      </c>
      <c r="BI74"/>
    </row>
    <row r="75" spans="2:61" ht="15.95" hidden="1" customHeight="1">
      <c r="B75" s="829"/>
      <c r="C75" s="1088"/>
      <c r="D75" s="1088"/>
      <c r="E75" s="1088"/>
      <c r="F75" s="835"/>
      <c r="G75" s="836"/>
      <c r="H75" s="836"/>
      <c r="I75" s="837"/>
      <c r="J75" s="1088"/>
      <c r="K75" s="1088"/>
      <c r="L75" s="1088"/>
      <c r="M75" s="1078"/>
      <c r="N75" s="1078"/>
      <c r="O75" s="1081"/>
      <c r="P75" s="1082"/>
      <c r="Q75" s="1085"/>
      <c r="R75" s="1086"/>
      <c r="S75" s="851"/>
      <c r="T75" s="836"/>
      <c r="U75" s="836"/>
      <c r="V75" s="837"/>
      <c r="W75" s="1088"/>
      <c r="X75" s="1088"/>
      <c r="Y75" s="1088"/>
      <c r="Z75" s="1078"/>
      <c r="AA75" s="1078"/>
      <c r="AB75" s="1090"/>
      <c r="AC75" s="1090"/>
      <c r="AD75" s="1092"/>
      <c r="AE75" s="1092"/>
      <c r="AF75" s="1092"/>
      <c r="AG75" s="1094"/>
      <c r="AH75" s="865"/>
      <c r="AI75" s="1096"/>
      <c r="AJ75" s="1096"/>
      <c r="AK75" s="906"/>
      <c r="AL75" s="907"/>
      <c r="AM75" s="936"/>
      <c r="AN75" s="1100"/>
      <c r="AO75" s="1100"/>
      <c r="AP75" s="1100"/>
      <c r="AQ75" s="1100"/>
      <c r="AU75" s="1102"/>
      <c r="AV75" s="1102"/>
      <c r="AW75" s="901"/>
      <c r="AX75" s="812"/>
      <c r="AY75" s="812"/>
      <c r="AZ75" s="874"/>
      <c r="BA75" s="812"/>
      <c r="BB75" s="996"/>
      <c r="BC75" s="1098"/>
      <c r="BD75" s="996"/>
      <c r="BE75" s="996"/>
      <c r="BF75" s="1098"/>
      <c r="BG75"/>
      <c r="BH75" s="996"/>
      <c r="BI75"/>
    </row>
    <row r="76" spans="2:61" ht="15.95" hidden="1" customHeight="1">
      <c r="B76" s="829">
        <v>31</v>
      </c>
      <c r="C76" s="1087"/>
      <c r="D76" s="1087"/>
      <c r="E76" s="1087"/>
      <c r="F76" s="866"/>
      <c r="G76" s="867"/>
      <c r="H76" s="867"/>
      <c r="I76" s="868"/>
      <c r="J76" s="1087"/>
      <c r="K76" s="1087"/>
      <c r="L76" s="1087"/>
      <c r="M76" s="1077"/>
      <c r="N76" s="1077"/>
      <c r="O76" s="1079" t="str">
        <f>IFERROR(IF(F76="","",INDEX(CMLIGHTBASE[Base Watt 1],MATCH(F76,CMLIGHTBASE[Base Desc 1],0))),"")</f>
        <v/>
      </c>
      <c r="P76" s="1080"/>
      <c r="Q76" s="1083"/>
      <c r="R76" s="1084"/>
      <c r="S76" s="885"/>
      <c r="T76" s="867"/>
      <c r="U76" s="867"/>
      <c r="V76" s="868"/>
      <c r="W76" s="1087"/>
      <c r="X76" s="1087"/>
      <c r="Y76" s="1087"/>
      <c r="Z76" s="1077"/>
      <c r="AA76" s="1077"/>
      <c r="AB76" s="1089"/>
      <c r="AC76" s="1089"/>
      <c r="AD76" s="1091"/>
      <c r="AE76" s="1091"/>
      <c r="AF76" s="1091"/>
      <c r="AG76" s="1093"/>
      <c r="AH76" s="918" t="str">
        <f t="shared" ref="AH76" si="145">IFERROR(IF(OR(C76="",J76="",M76="",O76="",Q76="",W76="",Z76="",AB76="",AD76="",AF76=""),"",ROUND((AD76+AF76)*Z76,2)),"")</f>
        <v/>
      </c>
      <c r="AI76" s="1095"/>
      <c r="AJ76" s="1095"/>
      <c r="AK76" s="904" t="str">
        <f t="shared" ref="AK76" si="146">IFERROR(IF(OR(C76="",F76="",J76="",M76="",O76="",Q76="",S76="",W76="",Z76="",AB76="",AD76="",AF76=""),"",ROUND(IF((M76*O76)&lt;=(Z76*AB76),"0",(AX76-AY76+BD76)*BE76),2)),"")</f>
        <v/>
      </c>
      <c r="AL76" s="905"/>
      <c r="AM76" s="969"/>
      <c r="AN76" s="1099" t="str">
        <f>IFERROR(IF(OR(C76="",F76="",J76="",M76="",O76="",Q76="",S76="",W76="",Z76="",AB76="",AD76="",AF76=""),"",IF(OR(ISNUMBER(SEARCH("~~",F76)),ISNUMBER(SEARCH("~~",S76))),"Invalid Fixture Type Selected",IF(BF76&lt;&gt;"",BF76,ROUND(MIN(AH76*0.75,AK76*INDEX(INCRATE[Electric],MATCH("CMLIGHT",INCRATE[Incentive Type]))),2)))),"")</f>
        <v/>
      </c>
      <c r="AO76" s="1099"/>
      <c r="AP76" s="1099"/>
      <c r="AQ76" s="1099"/>
      <c r="AU76" s="1103" t="str">
        <f>IF(F76="","",INDEX(CUSTLIGHTUNIT,MATCH(F76,CMELIGHTBASE1,0)))</f>
        <v/>
      </c>
      <c r="AV76" s="1101" t="str">
        <f>IFERROR(IF(OR(C76="",F76="",J76="",M76="",O76="",Q76="",S76="",W76="",Z76="",AB76="",AD76="",AF76=""),"",((((1+ELOSS)*((AK76*INDEX(ELECCB[NPV AEC $/kWh],MATCH(15,ELECCB[Year Number],0)))+(AW76*INDEX(ELECCB[NPV ACC+T&amp;D $/kW],MATCH(15,ELECCB[Year Number],0)))))+((1+GLOSS)*((BB76*INDEX(GASCB[NPV GAEC $/therm],MATCH(15,GASCB[Year Number],1))))))/AH76)),"")</f>
        <v/>
      </c>
      <c r="AW76" s="900" t="str">
        <f>IFERROR(IF(OR(C76="",F76="",J76="",M76="",O76="",Q76="",S76="",W76="",Z76="",AB76="",AD76="",AF76=""),"",IF(OR(ISNUMBER(SEARCH("Exterior",C76)),((M76*O76)&lt;=(Z76*AB76)),ISNUMBER(SEARCH("Exterior",S76)),ISNUMBER(SEARCH("Exterior",F76))),0,ROUND((((M76*O76)-(Z76*AB76))/1000)*INDEX(LightingWHF[Coincidence Factor CF],MATCH(M02S02F26,LightingWHF[Building/Space Type],0))*IF(OR(M02S02F32="AC with Natural Gas Heat",M02S02F32="AC with Electric Heat",M02S02F32="Heat Pump"),INDEX(LightingWHF[Waste Heat Cooling Demand WHFd],MATCH(M02S02F26,LightingWHF[Building/Space Type],0)),1),3))),"")</f>
        <v/>
      </c>
      <c r="AX76" s="811" t="str">
        <f t="shared" ref="AX76" si="147">IF(OR(C76="",F76="",J76="",M76="",O76="",Q76="",S76="",W76="",Z76="",AB76="",AD76="",AF76=""),"",ROUND(M76*O76*Q76/1000,2))</f>
        <v/>
      </c>
      <c r="AY76" s="811" t="str">
        <f t="shared" ref="AY76" si="148">IF(OR(C76="",F76="",J76="",M76="",O76="",Q76="",S76="",W76="",Z76="",AB76="",AD76="",AF76=""),"",ROUND(Z76*AB76*Q76/1000,2))</f>
        <v/>
      </c>
      <c r="AZ76" s="873" t="str">
        <f>IF(OR(C76="",F76="",J76="",M76="",O76="",Q76="",S76="",W76="",Z76="",AB76="",AD76="",AF76=""),"",IF(ISNUMBER(AN76),(CONCATENATE(INDEX(CMLIGHTBASE[Measure Number],MATCH(F76,CMLIGHTBASE[Base Desc 1],0)),INDEX(CMLIGHTEFF[Measure Number],MATCH(S76,CMLIGHTEFF[Eff Desc 1],0)))),IF(AK76=0,"","000001")))</f>
        <v/>
      </c>
      <c r="BA76" s="811" t="str">
        <f t="shared" ref="BA76" si="149">IF(OR(C76="",F76="",J76="",M76="",O76="",Q76="",S76="",W76="",Z76="",AB76="",AD76="",AF76=""),"",IF((M76*O76)&lt;=(Z76*AB76),"0",AX76-AY76))</f>
        <v/>
      </c>
      <c r="BB76" s="1058" t="str">
        <f>IF(OR(C76="",F76="",J76="",M76="",O76="",Q76="",S76="",W76="",Z76="",AB76="",AD76="",AF76=""),"",IF(M02S02F46="Electric Only",0,IF(OR(ISNUMBER(SEARCH("Exterior",S76)),ISNUMBER(SEARCH("Exterior",C76)),ISNUMBER(SEARCH("Exterior",F76))),0,IF(OR(M02S02F32="AC with Natural Gas Heat",M02S02F32="Natural Gas Heat Only"),(((O76*M76-AB76*Z76)/1000)*Q76*-INDEX(LightingWHF[Waste Heat Gas Heating IFTherms],MATCH(M02S02F26,LightingWHF[Building/Space Type],0))),0))))</f>
        <v/>
      </c>
      <c r="BC76" s="1097" t="str">
        <f>IFERROR(AH76/M02S02F35/BA76,"")</f>
        <v/>
      </c>
      <c r="BD76" s="1058" t="str">
        <f>IF(OR(C76="",F76="",J76="",M76="",O76="",Q76="",S76="",W76="",Z76="",AB76="",AD76="",AF76=""),"",IF(M02S02F46="Gas Only",0,IF(OR(ISNUMBER(SEARCH("Exterior",S76)),ISNUMBER(SEARCH("Exterior",C76)),ISNUMBER(SEARCH("Exterior",F76))),0,IF(M02S02F32="Heat Pump",(((O76*M76-AB76*Z76)/1000)*Q76*-INDEX(LightingWHF[Waste Heat Electric Heat Pump Heating IFkWh],MATCH(M02S02F26,LightingWHF[Building/Space Type],0))),
IF(OR(M02S02F32="AC with Electric Heat",M02S02F32="Electric Heat Only"),(((O76*M76-AB76*Z76)/1000)*Q76*-INDEX(LightingWHF[Waste Heat Electric Resistance Heating IFkWh],MATCH(M02S02F26,LightingWHF[Building/Space Type],0))),0
)))))</f>
        <v/>
      </c>
      <c r="BE76" s="1058" t="str">
        <f>IF(OR(C76="",F76="",J76="",M76="",O76="",Q76="",S76="",W76="",Z76="",AB76="",AD76="",AF76=""),"",IF(M02S02F46="Gas Only",0,IF(OR(ISNUMBER(SEARCH("Exterior",S76)),ISNUMBER(SEARCH("Exterior",C76)),ISNUMBER(SEARCH("Exterior",F76))),1,IF(OR(M02S02F32="Heat Pump",M02S02F32="AC with Natural Gas Heat",M02S02F32="AC with Electric Heat"),(INDEX(LightingWHF[Waste Heat Cooling Energy WHFe],MATCH(M02S02F26,LightingWHF[Building/Space Type],0))),1))))</f>
        <v/>
      </c>
      <c r="BF76" s="1097" t="str">
        <f>IFERROR(IF((M76*O76)&lt;=(Z76*AB76),MEASURESAVE,IF(M02S02F35="",MEASURERATE,IF(AH76/M02S02F35/BA76&lt;1,MEASUREPAY,IF(AV76&lt;1,MEASURECB,IF(OR(ISBLANK(M02S02F26),ISBLANK(M02S02F32),ISBLANK(M02S02F46)),MEASUREBLDG,""))))),MEASURESUBMIT)</f>
        <v>Submit for Review</v>
      </c>
      <c r="BG76"/>
      <c r="BH76" s="995" t="str">
        <f ca="1">IF(OR(C76="",F76="",J76="",M76="",O76="",Q76="",S76="",W76="",Z76="",AB76="",AD76="",AF76=""),"",IF('M01-S01'!$V$82&lt;TODAY(),0,IF(M02S02F46="Gas Only",0,IF(OR(AK76="",AK76&lt;0,AH76&lt;=AN76),0,MIN(AH76-AN76,ROUND(IF(OR(ISNUMBER(SEARCH("T12",F76)),ISNUMBER(SEARCH("T8",F76)),ISNUMBER(SEARCH("T5",F76)),ISNUMBER(SEARCH("MH",F76)),ISNUMBER(SEARCH("HPS",F76)),ISNUMBER(SEARCH("MV",F76))),AN76*0.2),2))))))</f>
        <v/>
      </c>
      <c r="BI76"/>
    </row>
    <row r="77" spans="2:61" ht="15.95" hidden="1" customHeight="1">
      <c r="B77" s="829"/>
      <c r="C77" s="1088"/>
      <c r="D77" s="1088"/>
      <c r="E77" s="1088"/>
      <c r="F77" s="835"/>
      <c r="G77" s="836"/>
      <c r="H77" s="836"/>
      <c r="I77" s="837"/>
      <c r="J77" s="1088"/>
      <c r="K77" s="1088"/>
      <c r="L77" s="1088"/>
      <c r="M77" s="1078"/>
      <c r="N77" s="1078"/>
      <c r="O77" s="1081"/>
      <c r="P77" s="1082"/>
      <c r="Q77" s="1085"/>
      <c r="R77" s="1086"/>
      <c r="S77" s="851"/>
      <c r="T77" s="836"/>
      <c r="U77" s="836"/>
      <c r="V77" s="837"/>
      <c r="W77" s="1088"/>
      <c r="X77" s="1088"/>
      <c r="Y77" s="1088"/>
      <c r="Z77" s="1078"/>
      <c r="AA77" s="1078"/>
      <c r="AB77" s="1090"/>
      <c r="AC77" s="1090"/>
      <c r="AD77" s="1092"/>
      <c r="AE77" s="1092"/>
      <c r="AF77" s="1092"/>
      <c r="AG77" s="1094"/>
      <c r="AH77" s="865"/>
      <c r="AI77" s="1096"/>
      <c r="AJ77" s="1096"/>
      <c r="AK77" s="906"/>
      <c r="AL77" s="907"/>
      <c r="AM77" s="936"/>
      <c r="AN77" s="1100"/>
      <c r="AO77" s="1100"/>
      <c r="AP77" s="1100"/>
      <c r="AQ77" s="1100"/>
      <c r="AU77" s="1102"/>
      <c r="AV77" s="1102"/>
      <c r="AW77" s="901"/>
      <c r="AX77" s="812"/>
      <c r="AY77" s="812"/>
      <c r="AZ77" s="874"/>
      <c r="BA77" s="812"/>
      <c r="BB77" s="996"/>
      <c r="BC77" s="1098"/>
      <c r="BD77" s="996"/>
      <c r="BE77" s="996"/>
      <c r="BF77" s="1098"/>
      <c r="BG77"/>
      <c r="BH77" s="996"/>
      <c r="BI77"/>
    </row>
    <row r="78" spans="2:61" ht="15.95" hidden="1" customHeight="1">
      <c r="B78" s="829">
        <v>32</v>
      </c>
      <c r="C78" s="1087"/>
      <c r="D78" s="1087"/>
      <c r="E78" s="1087"/>
      <c r="F78" s="866"/>
      <c r="G78" s="867"/>
      <c r="H78" s="867"/>
      <c r="I78" s="868"/>
      <c r="J78" s="1087"/>
      <c r="K78" s="1087"/>
      <c r="L78" s="1087"/>
      <c r="M78" s="1077"/>
      <c r="N78" s="1077"/>
      <c r="O78" s="1079" t="str">
        <f>IFERROR(IF(F78="","",INDEX(CMLIGHTBASE[Base Watt 1],MATCH(F78,CMLIGHTBASE[Base Desc 1],0))),"")</f>
        <v/>
      </c>
      <c r="P78" s="1080"/>
      <c r="Q78" s="1083"/>
      <c r="R78" s="1084"/>
      <c r="S78" s="885"/>
      <c r="T78" s="867"/>
      <c r="U78" s="867"/>
      <c r="V78" s="868"/>
      <c r="W78" s="1087"/>
      <c r="X78" s="1087"/>
      <c r="Y78" s="1087"/>
      <c r="Z78" s="1077"/>
      <c r="AA78" s="1077"/>
      <c r="AB78" s="1089"/>
      <c r="AC78" s="1089"/>
      <c r="AD78" s="1091"/>
      <c r="AE78" s="1091"/>
      <c r="AF78" s="1091"/>
      <c r="AG78" s="1093"/>
      <c r="AH78" s="918" t="str">
        <f t="shared" ref="AH78" si="150">IFERROR(IF(OR(C78="",J78="",M78="",O78="",Q78="",W78="",Z78="",AB78="",AD78="",AF78=""),"",ROUND((AD78+AF78)*Z78,2)),"")</f>
        <v/>
      </c>
      <c r="AI78" s="1095"/>
      <c r="AJ78" s="1095"/>
      <c r="AK78" s="904" t="str">
        <f t="shared" ref="AK78" si="151">IFERROR(IF(OR(C78="",F78="",J78="",M78="",O78="",Q78="",S78="",W78="",Z78="",AB78="",AD78="",AF78=""),"",ROUND(IF((M78*O78)&lt;=(Z78*AB78),"0",(AX78-AY78+BD78)*BE78),2)),"")</f>
        <v/>
      </c>
      <c r="AL78" s="905"/>
      <c r="AM78" s="969"/>
      <c r="AN78" s="1099" t="str">
        <f>IFERROR(IF(OR(C78="",F78="",J78="",M78="",O78="",Q78="",S78="",W78="",Z78="",AB78="",AD78="",AF78=""),"",IF(OR(ISNUMBER(SEARCH("~~",F78)),ISNUMBER(SEARCH("~~",S78))),"Invalid Fixture Type Selected",IF(BF78&lt;&gt;"",BF78,ROUND(MIN(AH78*0.75,AK78*INDEX(INCRATE[Electric],MATCH("CMLIGHT",INCRATE[Incentive Type]))),2)))),"")</f>
        <v/>
      </c>
      <c r="AO78" s="1099"/>
      <c r="AP78" s="1099"/>
      <c r="AQ78" s="1099"/>
      <c r="AU78" s="1103" t="str">
        <f>IF(F78="","",INDEX(CUSTLIGHTUNIT,MATCH(F78,CMELIGHTBASE1,0)))</f>
        <v/>
      </c>
      <c r="AV78" s="1101" t="str">
        <f>IFERROR(IF(OR(C78="",F78="",J78="",M78="",O78="",Q78="",S78="",W78="",Z78="",AB78="",AD78="",AF78=""),"",((((1+ELOSS)*((AK78*INDEX(ELECCB[NPV AEC $/kWh],MATCH(15,ELECCB[Year Number],0)))+(AW78*INDEX(ELECCB[NPV ACC+T&amp;D $/kW],MATCH(15,ELECCB[Year Number],0)))))+((1+GLOSS)*((BB78*INDEX(GASCB[NPV GAEC $/therm],MATCH(15,GASCB[Year Number],1))))))/AH78)),"")</f>
        <v/>
      </c>
      <c r="AW78" s="900" t="str">
        <f>IFERROR(IF(OR(C78="",F78="",J78="",M78="",O78="",Q78="",S78="",W78="",Z78="",AB78="",AD78="",AF78=""),"",IF(OR(ISNUMBER(SEARCH("Exterior",C78)),((M78*O78)&lt;=(Z78*AB78)),ISNUMBER(SEARCH("Exterior",S78)),ISNUMBER(SEARCH("Exterior",F78))),0,ROUND((((M78*O78)-(Z78*AB78))/1000)*INDEX(LightingWHF[Coincidence Factor CF],MATCH(M02S02F26,LightingWHF[Building/Space Type],0))*IF(OR(M02S02F32="AC with Natural Gas Heat",M02S02F32="AC with Electric Heat",M02S02F32="Heat Pump"),INDEX(LightingWHF[Waste Heat Cooling Demand WHFd],MATCH(M02S02F26,LightingWHF[Building/Space Type],0)),1),3))),"")</f>
        <v/>
      </c>
      <c r="AX78" s="811" t="str">
        <f t="shared" ref="AX78" si="152">IF(OR(C78="",F78="",J78="",M78="",O78="",Q78="",S78="",W78="",Z78="",AB78="",AD78="",AF78=""),"",ROUND(M78*O78*Q78/1000,2))</f>
        <v/>
      </c>
      <c r="AY78" s="811" t="str">
        <f t="shared" ref="AY78" si="153">IF(OR(C78="",F78="",J78="",M78="",O78="",Q78="",S78="",W78="",Z78="",AB78="",AD78="",AF78=""),"",ROUND(Z78*AB78*Q78/1000,2))</f>
        <v/>
      </c>
      <c r="AZ78" s="873" t="str">
        <f>IF(OR(C78="",F78="",J78="",M78="",O78="",Q78="",S78="",W78="",Z78="",AB78="",AD78="",AF78=""),"",IF(ISNUMBER(AN78),(CONCATENATE(INDEX(CMLIGHTBASE[Measure Number],MATCH(F78,CMLIGHTBASE[Base Desc 1],0)),INDEX(CMLIGHTEFF[Measure Number],MATCH(S78,CMLIGHTEFF[Eff Desc 1],0)))),IF(AK78=0,"","000001")))</f>
        <v/>
      </c>
      <c r="BA78" s="811" t="str">
        <f t="shared" ref="BA78" si="154">IF(OR(C78="",F78="",J78="",M78="",O78="",Q78="",S78="",W78="",Z78="",AB78="",AD78="",AF78=""),"",IF((M78*O78)&lt;=(Z78*AB78),"0",AX78-AY78))</f>
        <v/>
      </c>
      <c r="BB78" s="1058" t="str">
        <f>IF(OR(C78="",F78="",J78="",M78="",O78="",Q78="",S78="",W78="",Z78="",AB78="",AD78="",AF78=""),"",IF(M02S02F46="Electric Only",0,IF(OR(ISNUMBER(SEARCH("Exterior",S78)),ISNUMBER(SEARCH("Exterior",C78)),ISNUMBER(SEARCH("Exterior",F78))),0,IF(OR(M02S02F32="AC with Natural Gas Heat",M02S02F32="Natural Gas Heat Only"),(((O78*M78-AB78*Z78)/1000)*Q78*-INDEX(LightingWHF[Waste Heat Gas Heating IFTherms],MATCH(M02S02F26,LightingWHF[Building/Space Type],0))),0))))</f>
        <v/>
      </c>
      <c r="BC78" s="1097" t="str">
        <f>IFERROR(AH78/M02S02F35/BA78,"")</f>
        <v/>
      </c>
      <c r="BD78" s="1058" t="str">
        <f>IF(OR(C78="",F78="",J78="",M78="",O78="",Q78="",S78="",W78="",Z78="",AB78="",AD78="",AF78=""),"",IF(M02S02F46="Gas Only",0,IF(OR(ISNUMBER(SEARCH("Exterior",S78)),ISNUMBER(SEARCH("Exterior",C78)),ISNUMBER(SEARCH("Exterior",F78))),0,IF(M02S02F32="Heat Pump",(((O78*M78-AB78*Z78)/1000)*Q78*-INDEX(LightingWHF[Waste Heat Electric Heat Pump Heating IFkWh],MATCH(M02S02F26,LightingWHF[Building/Space Type],0))),
IF(OR(M02S02F32="AC with Electric Heat",M02S02F32="Electric Heat Only"),(((O78*M78-AB78*Z78)/1000)*Q78*-INDEX(LightingWHF[Waste Heat Electric Resistance Heating IFkWh],MATCH(M02S02F26,LightingWHF[Building/Space Type],0))),0
)))))</f>
        <v/>
      </c>
      <c r="BE78" s="1058" t="str">
        <f>IF(OR(C78="",F78="",J78="",M78="",O78="",Q78="",S78="",W78="",Z78="",AB78="",AD78="",AF78=""),"",IF(M02S02F46="Gas Only",0,IF(OR(ISNUMBER(SEARCH("Exterior",S78)),ISNUMBER(SEARCH("Exterior",C78)),ISNUMBER(SEARCH("Exterior",F78))),1,IF(OR(M02S02F32="Heat Pump",M02S02F32="AC with Natural Gas Heat",M02S02F32="AC with Electric Heat"),(INDEX(LightingWHF[Waste Heat Cooling Energy WHFe],MATCH(M02S02F26,LightingWHF[Building/Space Type],0))),1))))</f>
        <v/>
      </c>
      <c r="BF78" s="1097" t="str">
        <f>IFERROR(IF((M78*O78)&lt;=(Z78*AB78),MEASURESAVE,IF(M02S02F35="",MEASURERATE,IF(AH78/M02S02F35/BA78&lt;1,MEASUREPAY,IF(AV78&lt;1,MEASURECB,IF(OR(ISBLANK(M02S02F26),ISBLANK(M02S02F32),ISBLANK(M02S02F46)),MEASUREBLDG,""))))),MEASURESUBMIT)</f>
        <v>Submit for Review</v>
      </c>
      <c r="BG78"/>
      <c r="BH78" s="995" t="str">
        <f ca="1">IF(OR(C78="",F78="",J78="",M78="",O78="",Q78="",S78="",W78="",Z78="",AB78="",AD78="",AF78=""),"",IF('M01-S01'!$V$82&lt;TODAY(),0,IF(M02S02F46="Gas Only",0,IF(OR(AK78="",AK78&lt;0,AH78&lt;=AN78),0,MIN(AH78-AN78,ROUND(IF(OR(ISNUMBER(SEARCH("T12",F78)),ISNUMBER(SEARCH("T8",F78)),ISNUMBER(SEARCH("T5",F78)),ISNUMBER(SEARCH("MH",F78)),ISNUMBER(SEARCH("HPS",F78)),ISNUMBER(SEARCH("MV",F78))),AN78*0.2),2))))))</f>
        <v/>
      </c>
      <c r="BI78"/>
    </row>
    <row r="79" spans="2:61" ht="15.95" hidden="1" customHeight="1">
      <c r="B79" s="829"/>
      <c r="C79" s="1088"/>
      <c r="D79" s="1088"/>
      <c r="E79" s="1088"/>
      <c r="F79" s="835"/>
      <c r="G79" s="836"/>
      <c r="H79" s="836"/>
      <c r="I79" s="837"/>
      <c r="J79" s="1088"/>
      <c r="K79" s="1088"/>
      <c r="L79" s="1088"/>
      <c r="M79" s="1078"/>
      <c r="N79" s="1078"/>
      <c r="O79" s="1081"/>
      <c r="P79" s="1082"/>
      <c r="Q79" s="1085"/>
      <c r="R79" s="1086"/>
      <c r="S79" s="851"/>
      <c r="T79" s="836"/>
      <c r="U79" s="836"/>
      <c r="V79" s="837"/>
      <c r="W79" s="1088"/>
      <c r="X79" s="1088"/>
      <c r="Y79" s="1088"/>
      <c r="Z79" s="1078"/>
      <c r="AA79" s="1078"/>
      <c r="AB79" s="1090"/>
      <c r="AC79" s="1090"/>
      <c r="AD79" s="1092"/>
      <c r="AE79" s="1092"/>
      <c r="AF79" s="1092"/>
      <c r="AG79" s="1094"/>
      <c r="AH79" s="865"/>
      <c r="AI79" s="1096"/>
      <c r="AJ79" s="1096"/>
      <c r="AK79" s="906"/>
      <c r="AL79" s="907"/>
      <c r="AM79" s="936"/>
      <c r="AN79" s="1100"/>
      <c r="AO79" s="1100"/>
      <c r="AP79" s="1100"/>
      <c r="AQ79" s="1100"/>
      <c r="AU79" s="1102"/>
      <c r="AV79" s="1102"/>
      <c r="AW79" s="901"/>
      <c r="AX79" s="812"/>
      <c r="AY79" s="812"/>
      <c r="AZ79" s="874"/>
      <c r="BA79" s="812"/>
      <c r="BB79" s="996"/>
      <c r="BC79" s="1098"/>
      <c r="BD79" s="996"/>
      <c r="BE79" s="996"/>
      <c r="BF79" s="1098"/>
      <c r="BG79"/>
      <c r="BH79" s="996"/>
      <c r="BI79"/>
    </row>
    <row r="80" spans="2:61" ht="15.95" hidden="1" customHeight="1">
      <c r="B80" s="829">
        <v>33</v>
      </c>
      <c r="C80" s="1087"/>
      <c r="D80" s="1087"/>
      <c r="E80" s="1087"/>
      <c r="F80" s="866"/>
      <c r="G80" s="867"/>
      <c r="H80" s="867"/>
      <c r="I80" s="868"/>
      <c r="J80" s="1087"/>
      <c r="K80" s="1087"/>
      <c r="L80" s="1087"/>
      <c r="M80" s="1077"/>
      <c r="N80" s="1077"/>
      <c r="O80" s="1079" t="str">
        <f>IFERROR(IF(F80="","",INDEX(CMLIGHTBASE[Base Watt 1],MATCH(F80,CMLIGHTBASE[Base Desc 1],0))),"")</f>
        <v/>
      </c>
      <c r="P80" s="1080"/>
      <c r="Q80" s="1083"/>
      <c r="R80" s="1084"/>
      <c r="S80" s="885"/>
      <c r="T80" s="867"/>
      <c r="U80" s="867"/>
      <c r="V80" s="868"/>
      <c r="W80" s="1087"/>
      <c r="X80" s="1087"/>
      <c r="Y80" s="1087"/>
      <c r="Z80" s="1077"/>
      <c r="AA80" s="1077"/>
      <c r="AB80" s="1089"/>
      <c r="AC80" s="1089"/>
      <c r="AD80" s="1091"/>
      <c r="AE80" s="1091"/>
      <c r="AF80" s="1091"/>
      <c r="AG80" s="1093"/>
      <c r="AH80" s="918" t="str">
        <f t="shared" ref="AH80" si="155">IFERROR(IF(OR(C80="",J80="",M80="",O80="",Q80="",W80="",Z80="",AB80="",AD80="",AF80=""),"",ROUND((AD80+AF80)*Z80,2)),"")</f>
        <v/>
      </c>
      <c r="AI80" s="1095"/>
      <c r="AJ80" s="1095"/>
      <c r="AK80" s="904" t="str">
        <f t="shared" ref="AK80" si="156">IFERROR(IF(OR(C80="",F80="",J80="",M80="",O80="",Q80="",S80="",W80="",Z80="",AB80="",AD80="",AF80=""),"",ROUND(IF((M80*O80)&lt;=(Z80*AB80),"0",(AX80-AY80+BD80)*BE80),2)),"")</f>
        <v/>
      </c>
      <c r="AL80" s="905"/>
      <c r="AM80" s="969"/>
      <c r="AN80" s="1099" t="str">
        <f>IFERROR(IF(OR(C80="",F80="",J80="",M80="",O80="",Q80="",S80="",W80="",Z80="",AB80="",AD80="",AF80=""),"",IF(OR(ISNUMBER(SEARCH("~~",F80)),ISNUMBER(SEARCH("~~",S80))),"Invalid Fixture Type Selected",IF(BF80&lt;&gt;"",BF80,ROUND(MIN(AH80*0.75,AK80*INDEX(INCRATE[Electric],MATCH("CMLIGHT",INCRATE[Incentive Type]))),2)))),"")</f>
        <v/>
      </c>
      <c r="AO80" s="1099"/>
      <c r="AP80" s="1099"/>
      <c r="AQ80" s="1099"/>
      <c r="AU80" s="1103" t="str">
        <f>IF(F80="","",INDEX(CUSTLIGHTUNIT,MATCH(F80,CMELIGHTBASE1,0)))</f>
        <v/>
      </c>
      <c r="AV80" s="1101" t="str">
        <f>IFERROR(IF(OR(C80="",F80="",J80="",M80="",O80="",Q80="",S80="",W80="",Z80="",AB80="",AD80="",AF80=""),"",((((1+ELOSS)*((AK80*INDEX(ELECCB[NPV AEC $/kWh],MATCH(15,ELECCB[Year Number],0)))+(AW80*INDEX(ELECCB[NPV ACC+T&amp;D $/kW],MATCH(15,ELECCB[Year Number],0)))))+((1+GLOSS)*((BB80*INDEX(GASCB[NPV GAEC $/therm],MATCH(15,GASCB[Year Number],1))))))/AH80)),"")</f>
        <v/>
      </c>
      <c r="AW80" s="900" t="str">
        <f>IFERROR(IF(OR(C80="",F80="",J80="",M80="",O80="",Q80="",S80="",W80="",Z80="",AB80="",AD80="",AF80=""),"",IF(OR(ISNUMBER(SEARCH("Exterior",C80)),((M80*O80)&lt;=(Z80*AB80)),ISNUMBER(SEARCH("Exterior",S80)),ISNUMBER(SEARCH("Exterior",F80))),0,ROUND((((M80*O80)-(Z80*AB80))/1000)*INDEX(LightingWHF[Coincidence Factor CF],MATCH(M02S02F26,LightingWHF[Building/Space Type],0))*IF(OR(M02S02F32="AC with Natural Gas Heat",M02S02F32="AC with Electric Heat",M02S02F32="Heat Pump"),INDEX(LightingWHF[Waste Heat Cooling Demand WHFd],MATCH(M02S02F26,LightingWHF[Building/Space Type],0)),1),3))),"")</f>
        <v/>
      </c>
      <c r="AX80" s="811" t="str">
        <f t="shared" ref="AX80" si="157">IF(OR(C80="",F80="",J80="",M80="",O80="",Q80="",S80="",W80="",Z80="",AB80="",AD80="",AF80=""),"",ROUND(M80*O80*Q80/1000,2))</f>
        <v/>
      </c>
      <c r="AY80" s="811" t="str">
        <f t="shared" ref="AY80" si="158">IF(OR(C80="",F80="",J80="",M80="",O80="",Q80="",S80="",W80="",Z80="",AB80="",AD80="",AF80=""),"",ROUND(Z80*AB80*Q80/1000,2))</f>
        <v/>
      </c>
      <c r="AZ80" s="873" t="str">
        <f>IF(OR(C80="",F80="",J80="",M80="",O80="",Q80="",S80="",W80="",Z80="",AB80="",AD80="",AF80=""),"",IF(ISNUMBER(AN80),(CONCATENATE(INDEX(CMLIGHTBASE[Measure Number],MATCH(F80,CMLIGHTBASE[Base Desc 1],0)),INDEX(CMLIGHTEFF[Measure Number],MATCH(S80,CMLIGHTEFF[Eff Desc 1],0)))),IF(AK80=0,"","000001")))</f>
        <v/>
      </c>
      <c r="BA80" s="811" t="str">
        <f t="shared" ref="BA80" si="159">IF(OR(C80="",F80="",J80="",M80="",O80="",Q80="",S80="",W80="",Z80="",AB80="",AD80="",AF80=""),"",IF((M80*O80)&lt;=(Z80*AB80),"0",AX80-AY80))</f>
        <v/>
      </c>
      <c r="BB80" s="1058" t="str">
        <f>IF(OR(C80="",F80="",J80="",M80="",O80="",Q80="",S80="",W80="",Z80="",AB80="",AD80="",AF80=""),"",IF(M02S02F46="Electric Only",0,IF(OR(ISNUMBER(SEARCH("Exterior",S80)),ISNUMBER(SEARCH("Exterior",C80)),ISNUMBER(SEARCH("Exterior",F80))),0,IF(OR(M02S02F32="AC with Natural Gas Heat",M02S02F32="Natural Gas Heat Only"),(((O80*M80-AB80*Z80)/1000)*Q80*-INDEX(LightingWHF[Waste Heat Gas Heating IFTherms],MATCH(M02S02F26,LightingWHF[Building/Space Type],0))),0))))</f>
        <v/>
      </c>
      <c r="BC80" s="1097" t="str">
        <f>IFERROR(AH80/M02S02F35/BA80,"")</f>
        <v/>
      </c>
      <c r="BD80" s="1058" t="str">
        <f>IF(OR(C80="",F80="",J80="",M80="",O80="",Q80="",S80="",W80="",Z80="",AB80="",AD80="",AF80=""),"",IF(M02S02F46="Gas Only",0,IF(OR(ISNUMBER(SEARCH("Exterior",S80)),ISNUMBER(SEARCH("Exterior",C80)),ISNUMBER(SEARCH("Exterior",F80))),0,IF(M02S02F32="Heat Pump",(((O80*M80-AB80*Z80)/1000)*Q80*-INDEX(LightingWHF[Waste Heat Electric Heat Pump Heating IFkWh],MATCH(M02S02F26,LightingWHF[Building/Space Type],0))),
IF(OR(M02S02F32="AC with Electric Heat",M02S02F32="Electric Heat Only"),(((O80*M80-AB80*Z80)/1000)*Q80*-INDEX(LightingWHF[Waste Heat Electric Resistance Heating IFkWh],MATCH(M02S02F26,LightingWHF[Building/Space Type],0))),0
)))))</f>
        <v/>
      </c>
      <c r="BE80" s="1058" t="str">
        <f>IF(OR(C80="",F80="",J80="",M80="",O80="",Q80="",S80="",W80="",Z80="",AB80="",AD80="",AF80=""),"",IF(M02S02F46="Gas Only",0,IF(OR(ISNUMBER(SEARCH("Exterior",S80)),ISNUMBER(SEARCH("Exterior",C80)),ISNUMBER(SEARCH("Exterior",F80))),1,IF(OR(M02S02F32="Heat Pump",M02S02F32="AC with Natural Gas Heat",M02S02F32="AC with Electric Heat"),(INDEX(LightingWHF[Waste Heat Cooling Energy WHFe],MATCH(M02S02F26,LightingWHF[Building/Space Type],0))),1))))</f>
        <v/>
      </c>
      <c r="BF80" s="1097" t="str">
        <f>IFERROR(IF((M80*O80)&lt;=(Z80*AB80),MEASURESAVE,IF(M02S02F35="",MEASURERATE,IF(AH80/M02S02F35/BA80&lt;1,MEASUREPAY,IF(AV80&lt;1,MEASURECB,IF(OR(ISBLANK(M02S02F26),ISBLANK(M02S02F32),ISBLANK(M02S02F46)),MEASUREBLDG,""))))),MEASURESUBMIT)</f>
        <v>Submit for Review</v>
      </c>
      <c r="BG80"/>
      <c r="BH80" s="995" t="str">
        <f ca="1">IF(OR(C80="",F80="",J80="",M80="",O80="",Q80="",S80="",W80="",Z80="",AB80="",AD80="",AF80=""),"",IF('M01-S01'!$V$82&lt;TODAY(),0,IF(M02S02F46="Gas Only",0,IF(OR(AK80="",AK80&lt;0,AH80&lt;=AN80),0,MIN(AH80-AN80,ROUND(IF(OR(ISNUMBER(SEARCH("T12",F80)),ISNUMBER(SEARCH("T8",F80)),ISNUMBER(SEARCH("T5",F80)),ISNUMBER(SEARCH("MH",F80)),ISNUMBER(SEARCH("HPS",F80)),ISNUMBER(SEARCH("MV",F80))),AN80*0.2),2))))))</f>
        <v/>
      </c>
      <c r="BI80"/>
    </row>
    <row r="81" spans="2:61" ht="15.95" hidden="1" customHeight="1">
      <c r="B81" s="829"/>
      <c r="C81" s="1088"/>
      <c r="D81" s="1088"/>
      <c r="E81" s="1088"/>
      <c r="F81" s="835"/>
      <c r="G81" s="836"/>
      <c r="H81" s="836"/>
      <c r="I81" s="837"/>
      <c r="J81" s="1088"/>
      <c r="K81" s="1088"/>
      <c r="L81" s="1088"/>
      <c r="M81" s="1078"/>
      <c r="N81" s="1078"/>
      <c r="O81" s="1081"/>
      <c r="P81" s="1082"/>
      <c r="Q81" s="1085"/>
      <c r="R81" s="1086"/>
      <c r="S81" s="851"/>
      <c r="T81" s="836"/>
      <c r="U81" s="836"/>
      <c r="V81" s="837"/>
      <c r="W81" s="1088"/>
      <c r="X81" s="1088"/>
      <c r="Y81" s="1088"/>
      <c r="Z81" s="1078"/>
      <c r="AA81" s="1078"/>
      <c r="AB81" s="1090"/>
      <c r="AC81" s="1090"/>
      <c r="AD81" s="1092"/>
      <c r="AE81" s="1092"/>
      <c r="AF81" s="1092"/>
      <c r="AG81" s="1094"/>
      <c r="AH81" s="865"/>
      <c r="AI81" s="1096"/>
      <c r="AJ81" s="1096"/>
      <c r="AK81" s="906"/>
      <c r="AL81" s="907"/>
      <c r="AM81" s="936"/>
      <c r="AN81" s="1100"/>
      <c r="AO81" s="1100"/>
      <c r="AP81" s="1100"/>
      <c r="AQ81" s="1100"/>
      <c r="AU81" s="1102"/>
      <c r="AV81" s="1102"/>
      <c r="AW81" s="901"/>
      <c r="AX81" s="812"/>
      <c r="AY81" s="812"/>
      <c r="AZ81" s="874"/>
      <c r="BA81" s="812"/>
      <c r="BB81" s="996"/>
      <c r="BC81" s="1098"/>
      <c r="BD81" s="996"/>
      <c r="BE81" s="996"/>
      <c r="BF81" s="1098"/>
      <c r="BG81"/>
      <c r="BH81" s="996"/>
      <c r="BI81"/>
    </row>
    <row r="82" spans="2:61" ht="15.95" hidden="1" customHeight="1">
      <c r="B82" s="829">
        <v>34</v>
      </c>
      <c r="C82" s="1087"/>
      <c r="D82" s="1087"/>
      <c r="E82" s="1087"/>
      <c r="F82" s="866"/>
      <c r="G82" s="867"/>
      <c r="H82" s="867"/>
      <c r="I82" s="868"/>
      <c r="J82" s="1087"/>
      <c r="K82" s="1087"/>
      <c r="L82" s="1087"/>
      <c r="M82" s="1077"/>
      <c r="N82" s="1077"/>
      <c r="O82" s="1079" t="str">
        <f>IFERROR(IF(F82="","",INDEX(CMLIGHTBASE[Base Watt 1],MATCH(F82,CMLIGHTBASE[Base Desc 1],0))),"")</f>
        <v/>
      </c>
      <c r="P82" s="1080"/>
      <c r="Q82" s="1083"/>
      <c r="R82" s="1084"/>
      <c r="S82" s="885"/>
      <c r="T82" s="867"/>
      <c r="U82" s="867"/>
      <c r="V82" s="868"/>
      <c r="W82" s="1087"/>
      <c r="X82" s="1087"/>
      <c r="Y82" s="1087"/>
      <c r="Z82" s="1077"/>
      <c r="AA82" s="1077"/>
      <c r="AB82" s="1089"/>
      <c r="AC82" s="1089"/>
      <c r="AD82" s="1091"/>
      <c r="AE82" s="1091"/>
      <c r="AF82" s="1091"/>
      <c r="AG82" s="1093"/>
      <c r="AH82" s="918" t="str">
        <f t="shared" ref="AH82" si="160">IFERROR(IF(OR(C82="",J82="",M82="",O82="",Q82="",W82="",Z82="",AB82="",AD82="",AF82=""),"",ROUND((AD82+AF82)*Z82,2)),"")</f>
        <v/>
      </c>
      <c r="AI82" s="1095"/>
      <c r="AJ82" s="1095"/>
      <c r="AK82" s="904" t="str">
        <f t="shared" ref="AK82" si="161">IFERROR(IF(OR(C82="",F82="",J82="",M82="",O82="",Q82="",S82="",W82="",Z82="",AB82="",AD82="",AF82=""),"",ROUND(IF((M82*O82)&lt;=(Z82*AB82),"0",(AX82-AY82+BD82)*BE82),2)),"")</f>
        <v/>
      </c>
      <c r="AL82" s="905"/>
      <c r="AM82" s="969"/>
      <c r="AN82" s="1099" t="str">
        <f>IFERROR(IF(OR(C82="",F82="",J82="",M82="",O82="",Q82="",S82="",W82="",Z82="",AB82="",AD82="",AF82=""),"",IF(OR(ISNUMBER(SEARCH("~~",F82)),ISNUMBER(SEARCH("~~",S82))),"Invalid Fixture Type Selected",IF(BF82&lt;&gt;"",BF82,ROUND(MIN(AH82*0.75,AK82*INDEX(INCRATE[Electric],MATCH("CMLIGHT",INCRATE[Incentive Type]))),2)))),"")</f>
        <v/>
      </c>
      <c r="AO82" s="1099"/>
      <c r="AP82" s="1099"/>
      <c r="AQ82" s="1099"/>
      <c r="AU82" s="1103" t="str">
        <f>IF(F82="","",INDEX(CUSTLIGHTUNIT,MATCH(F82,CMELIGHTBASE1,0)))</f>
        <v/>
      </c>
      <c r="AV82" s="1101" t="str">
        <f>IFERROR(IF(OR(C82="",F82="",J82="",M82="",O82="",Q82="",S82="",W82="",Z82="",AB82="",AD82="",AF82=""),"",((((1+ELOSS)*((AK82*INDEX(ELECCB[NPV AEC $/kWh],MATCH(15,ELECCB[Year Number],0)))+(AW82*INDEX(ELECCB[NPV ACC+T&amp;D $/kW],MATCH(15,ELECCB[Year Number],0)))))+((1+GLOSS)*((BB82*INDEX(GASCB[NPV GAEC $/therm],MATCH(15,GASCB[Year Number],1))))))/AH82)),"")</f>
        <v/>
      </c>
      <c r="AW82" s="900" t="str">
        <f>IFERROR(IF(OR(C82="",F82="",J82="",M82="",O82="",Q82="",S82="",W82="",Z82="",AB82="",AD82="",AF82=""),"",IF(OR(ISNUMBER(SEARCH("Exterior",C82)),((M82*O82)&lt;=(Z82*AB82)),ISNUMBER(SEARCH("Exterior",S82)),ISNUMBER(SEARCH("Exterior",F82))),0,ROUND((((M82*O82)-(Z82*AB82))/1000)*INDEX(LightingWHF[Coincidence Factor CF],MATCH(M02S02F26,LightingWHF[Building/Space Type],0))*IF(OR(M02S02F32="AC with Natural Gas Heat",M02S02F32="AC with Electric Heat",M02S02F32="Heat Pump"),INDEX(LightingWHF[Waste Heat Cooling Demand WHFd],MATCH(M02S02F26,LightingWHF[Building/Space Type],0)),1),3))),"")</f>
        <v/>
      </c>
      <c r="AX82" s="811" t="str">
        <f t="shared" ref="AX82" si="162">IF(OR(C82="",F82="",J82="",M82="",O82="",Q82="",S82="",W82="",Z82="",AB82="",AD82="",AF82=""),"",ROUND(M82*O82*Q82/1000,2))</f>
        <v/>
      </c>
      <c r="AY82" s="811" t="str">
        <f t="shared" ref="AY82" si="163">IF(OR(C82="",F82="",J82="",M82="",O82="",Q82="",S82="",W82="",Z82="",AB82="",AD82="",AF82=""),"",ROUND(Z82*AB82*Q82/1000,2))</f>
        <v/>
      </c>
      <c r="AZ82" s="873" t="str">
        <f>IF(OR(C82="",F82="",J82="",M82="",O82="",Q82="",S82="",W82="",Z82="",AB82="",AD82="",AF82=""),"",IF(ISNUMBER(AN82),(CONCATENATE(INDEX(CMLIGHTBASE[Measure Number],MATCH(F82,CMLIGHTBASE[Base Desc 1],0)),INDEX(CMLIGHTEFF[Measure Number],MATCH(S82,CMLIGHTEFF[Eff Desc 1],0)))),IF(AK82=0,"","000001")))</f>
        <v/>
      </c>
      <c r="BA82" s="811" t="str">
        <f t="shared" ref="BA82" si="164">IF(OR(C82="",F82="",J82="",M82="",O82="",Q82="",S82="",W82="",Z82="",AB82="",AD82="",AF82=""),"",IF((M82*O82)&lt;=(Z82*AB82),"0",AX82-AY82))</f>
        <v/>
      </c>
      <c r="BB82" s="1058" t="str">
        <f>IF(OR(C82="",F82="",J82="",M82="",O82="",Q82="",S82="",W82="",Z82="",AB82="",AD82="",AF82=""),"",IF(M02S02F46="Electric Only",0,IF(OR(ISNUMBER(SEARCH("Exterior",S82)),ISNUMBER(SEARCH("Exterior",C82)),ISNUMBER(SEARCH("Exterior",F82))),0,IF(OR(M02S02F32="AC with Natural Gas Heat",M02S02F32="Natural Gas Heat Only"),(((O82*M82-AB82*Z82)/1000)*Q82*-INDEX(LightingWHF[Waste Heat Gas Heating IFTherms],MATCH(M02S02F26,LightingWHF[Building/Space Type],0))),0))))</f>
        <v/>
      </c>
      <c r="BC82" s="1097" t="str">
        <f>IFERROR(AH82/M02S02F35/BA82,"")</f>
        <v/>
      </c>
      <c r="BD82" s="1058" t="str">
        <f>IF(OR(C82="",F82="",J82="",M82="",O82="",Q82="",S82="",W82="",Z82="",AB82="",AD82="",AF82=""),"",IF(M02S02F46="Gas Only",0,IF(OR(ISNUMBER(SEARCH("Exterior",S82)),ISNUMBER(SEARCH("Exterior",C82)),ISNUMBER(SEARCH("Exterior",F82))),0,IF(M02S02F32="Heat Pump",(((O82*M82-AB82*Z82)/1000)*Q82*-INDEX(LightingWHF[Waste Heat Electric Heat Pump Heating IFkWh],MATCH(M02S02F26,LightingWHF[Building/Space Type],0))),
IF(OR(M02S02F32="AC with Electric Heat",M02S02F32="Electric Heat Only"),(((O82*M82-AB82*Z82)/1000)*Q82*-INDEX(LightingWHF[Waste Heat Electric Resistance Heating IFkWh],MATCH(M02S02F26,LightingWHF[Building/Space Type],0))),0
)))))</f>
        <v/>
      </c>
      <c r="BE82" s="1058" t="str">
        <f>IF(OR(C82="",F82="",J82="",M82="",O82="",Q82="",S82="",W82="",Z82="",AB82="",AD82="",AF82=""),"",IF(M02S02F46="Gas Only",0,IF(OR(ISNUMBER(SEARCH("Exterior",S82)),ISNUMBER(SEARCH("Exterior",C82)),ISNUMBER(SEARCH("Exterior",F82))),1,IF(OR(M02S02F32="Heat Pump",M02S02F32="AC with Natural Gas Heat",M02S02F32="AC with Electric Heat"),(INDEX(LightingWHF[Waste Heat Cooling Energy WHFe],MATCH(M02S02F26,LightingWHF[Building/Space Type],0))),1))))</f>
        <v/>
      </c>
      <c r="BF82" s="1097" t="str">
        <f>IFERROR(IF((M82*O82)&lt;=(Z82*AB82),MEASURESAVE,IF(M02S02F35="",MEASURERATE,IF(AH82/M02S02F35/BA82&lt;1,MEASUREPAY,IF(AV82&lt;1,MEASURECB,IF(OR(ISBLANK(M02S02F26),ISBLANK(M02S02F32),ISBLANK(M02S02F46)),MEASUREBLDG,""))))),MEASURESUBMIT)</f>
        <v>Submit for Review</v>
      </c>
      <c r="BG82"/>
      <c r="BH82" s="995" t="str">
        <f ca="1">IF(OR(C82="",F82="",J82="",M82="",O82="",Q82="",S82="",W82="",Z82="",AB82="",AD82="",AF82=""),"",IF('M01-S01'!$V$82&lt;TODAY(),0,IF(M02S02F46="Gas Only",0,IF(OR(AK82="",AK82&lt;0,AH82&lt;=AN82),0,MIN(AH82-AN82,ROUND(IF(OR(ISNUMBER(SEARCH("T12",F82)),ISNUMBER(SEARCH("T8",F82)),ISNUMBER(SEARCH("T5",F82)),ISNUMBER(SEARCH("MH",F82)),ISNUMBER(SEARCH("HPS",F82)),ISNUMBER(SEARCH("MV",F82))),AN82*0.2),2))))))</f>
        <v/>
      </c>
      <c r="BI82"/>
    </row>
    <row r="83" spans="2:61" ht="15.95" hidden="1" customHeight="1">
      <c r="B83" s="829"/>
      <c r="C83" s="1088"/>
      <c r="D83" s="1088"/>
      <c r="E83" s="1088"/>
      <c r="F83" s="835"/>
      <c r="G83" s="836"/>
      <c r="H83" s="836"/>
      <c r="I83" s="837"/>
      <c r="J83" s="1088"/>
      <c r="K83" s="1088"/>
      <c r="L83" s="1088"/>
      <c r="M83" s="1078"/>
      <c r="N83" s="1078"/>
      <c r="O83" s="1081"/>
      <c r="P83" s="1082"/>
      <c r="Q83" s="1085"/>
      <c r="R83" s="1086"/>
      <c r="S83" s="851"/>
      <c r="T83" s="836"/>
      <c r="U83" s="836"/>
      <c r="V83" s="837"/>
      <c r="W83" s="1088"/>
      <c r="X83" s="1088"/>
      <c r="Y83" s="1088"/>
      <c r="Z83" s="1078"/>
      <c r="AA83" s="1078"/>
      <c r="AB83" s="1090"/>
      <c r="AC83" s="1090"/>
      <c r="AD83" s="1092"/>
      <c r="AE83" s="1092"/>
      <c r="AF83" s="1092"/>
      <c r="AG83" s="1094"/>
      <c r="AH83" s="865"/>
      <c r="AI83" s="1096"/>
      <c r="AJ83" s="1096"/>
      <c r="AK83" s="906"/>
      <c r="AL83" s="907"/>
      <c r="AM83" s="936"/>
      <c r="AN83" s="1100"/>
      <c r="AO83" s="1100"/>
      <c r="AP83" s="1100"/>
      <c r="AQ83" s="1100"/>
      <c r="AU83" s="1102"/>
      <c r="AV83" s="1102"/>
      <c r="AW83" s="901"/>
      <c r="AX83" s="812"/>
      <c r="AY83" s="812"/>
      <c r="AZ83" s="874"/>
      <c r="BA83" s="812"/>
      <c r="BB83" s="996"/>
      <c r="BC83" s="1098"/>
      <c r="BD83" s="996"/>
      <c r="BE83" s="996"/>
      <c r="BF83" s="1098"/>
      <c r="BG83"/>
      <c r="BH83" s="996"/>
      <c r="BI83"/>
    </row>
    <row r="84" spans="2:61" ht="15.95" hidden="1" customHeight="1">
      <c r="B84" s="829">
        <v>35</v>
      </c>
      <c r="C84" s="1087"/>
      <c r="D84" s="1087"/>
      <c r="E84" s="1087"/>
      <c r="F84" s="866"/>
      <c r="G84" s="867"/>
      <c r="H84" s="867"/>
      <c r="I84" s="868"/>
      <c r="J84" s="1087"/>
      <c r="K84" s="1087"/>
      <c r="L84" s="1087"/>
      <c r="M84" s="1077"/>
      <c r="N84" s="1077"/>
      <c r="O84" s="1079" t="str">
        <f>IFERROR(IF(F84="","",INDEX(CMLIGHTBASE[Base Watt 1],MATCH(F84,CMLIGHTBASE[Base Desc 1],0))),"")</f>
        <v/>
      </c>
      <c r="P84" s="1080"/>
      <c r="Q84" s="1083"/>
      <c r="R84" s="1084"/>
      <c r="S84" s="885"/>
      <c r="T84" s="867"/>
      <c r="U84" s="867"/>
      <c r="V84" s="868"/>
      <c r="W84" s="1087"/>
      <c r="X84" s="1087"/>
      <c r="Y84" s="1087"/>
      <c r="Z84" s="1077"/>
      <c r="AA84" s="1077"/>
      <c r="AB84" s="1089"/>
      <c r="AC84" s="1089"/>
      <c r="AD84" s="1091"/>
      <c r="AE84" s="1091"/>
      <c r="AF84" s="1091"/>
      <c r="AG84" s="1093"/>
      <c r="AH84" s="918" t="str">
        <f t="shared" ref="AH84" si="165">IFERROR(IF(OR(C84="",J84="",M84="",O84="",Q84="",W84="",Z84="",AB84="",AD84="",AF84=""),"",ROUND((AD84+AF84)*Z84,2)),"")</f>
        <v/>
      </c>
      <c r="AI84" s="1095"/>
      <c r="AJ84" s="1095"/>
      <c r="AK84" s="904" t="str">
        <f t="shared" ref="AK84" si="166">IFERROR(IF(OR(C84="",F84="",J84="",M84="",O84="",Q84="",S84="",W84="",Z84="",AB84="",AD84="",AF84=""),"",ROUND(IF((M84*O84)&lt;=(Z84*AB84),"0",(AX84-AY84+BD84)*BE84),2)),"")</f>
        <v/>
      </c>
      <c r="AL84" s="905"/>
      <c r="AM84" s="969"/>
      <c r="AN84" s="1099" t="str">
        <f>IFERROR(IF(OR(C84="",F84="",J84="",M84="",O84="",Q84="",S84="",W84="",Z84="",AB84="",AD84="",AF84=""),"",IF(OR(ISNUMBER(SEARCH("~~",F84)),ISNUMBER(SEARCH("~~",S84))),"Invalid Fixture Type Selected",IF(BF84&lt;&gt;"",BF84,ROUND(MIN(AH84*0.75,AK84*INDEX(INCRATE[Electric],MATCH("CMLIGHT",INCRATE[Incentive Type]))),2)))),"")</f>
        <v/>
      </c>
      <c r="AO84" s="1099"/>
      <c r="AP84" s="1099"/>
      <c r="AQ84" s="1099"/>
      <c r="AU84" s="1103" t="str">
        <f>IF(F84="","",INDEX(CUSTLIGHTUNIT,MATCH(F84,CMELIGHTBASE1,0)))</f>
        <v/>
      </c>
      <c r="AV84" s="1101" t="str">
        <f>IFERROR(IF(OR(C84="",F84="",J84="",M84="",O84="",Q84="",S84="",W84="",Z84="",AB84="",AD84="",AF84=""),"",((((1+ELOSS)*((AK84*INDEX(ELECCB[NPV AEC $/kWh],MATCH(15,ELECCB[Year Number],0)))+(AW84*INDEX(ELECCB[NPV ACC+T&amp;D $/kW],MATCH(15,ELECCB[Year Number],0)))))+((1+GLOSS)*((BB84*INDEX(GASCB[NPV GAEC $/therm],MATCH(15,GASCB[Year Number],1))))))/AH84)),"")</f>
        <v/>
      </c>
      <c r="AW84" s="900" t="str">
        <f>IFERROR(IF(OR(C84="",F84="",J84="",M84="",O84="",Q84="",S84="",W84="",Z84="",AB84="",AD84="",AF84=""),"",IF(OR(ISNUMBER(SEARCH("Exterior",C84)),((M84*O84)&lt;=(Z84*AB84)),ISNUMBER(SEARCH("Exterior",S84)),ISNUMBER(SEARCH("Exterior",F84))),0,ROUND((((M84*O84)-(Z84*AB84))/1000)*INDEX(LightingWHF[Coincidence Factor CF],MATCH(M02S02F26,LightingWHF[Building/Space Type],0))*IF(OR(M02S02F32="AC with Natural Gas Heat",M02S02F32="AC with Electric Heat",M02S02F32="Heat Pump"),INDEX(LightingWHF[Waste Heat Cooling Demand WHFd],MATCH(M02S02F26,LightingWHF[Building/Space Type],0)),1),3))),"")</f>
        <v/>
      </c>
      <c r="AX84" s="811" t="str">
        <f t="shared" ref="AX84" si="167">IF(OR(C84="",F84="",J84="",M84="",O84="",Q84="",S84="",W84="",Z84="",AB84="",AD84="",AF84=""),"",ROUND(M84*O84*Q84/1000,2))</f>
        <v/>
      </c>
      <c r="AY84" s="811" t="str">
        <f t="shared" ref="AY84" si="168">IF(OR(C84="",F84="",J84="",M84="",O84="",Q84="",S84="",W84="",Z84="",AB84="",AD84="",AF84=""),"",ROUND(Z84*AB84*Q84/1000,2))</f>
        <v/>
      </c>
      <c r="AZ84" s="873" t="str">
        <f>IF(OR(C84="",F84="",J84="",M84="",O84="",Q84="",S84="",W84="",Z84="",AB84="",AD84="",AF84=""),"",IF(ISNUMBER(AN84),(CONCATENATE(INDEX(CMLIGHTBASE[Measure Number],MATCH(F84,CMLIGHTBASE[Base Desc 1],0)),INDEX(CMLIGHTEFF[Measure Number],MATCH(S84,CMLIGHTEFF[Eff Desc 1],0)))),IF(AK84=0,"","000001")))</f>
        <v/>
      </c>
      <c r="BA84" s="811" t="str">
        <f t="shared" ref="BA84" si="169">IF(OR(C84="",F84="",J84="",M84="",O84="",Q84="",S84="",W84="",Z84="",AB84="",AD84="",AF84=""),"",IF((M84*O84)&lt;=(Z84*AB84),"0",AX84-AY84))</f>
        <v/>
      </c>
      <c r="BB84" s="1058" t="str">
        <f>IF(OR(C84="",F84="",J84="",M84="",O84="",Q84="",S84="",W84="",Z84="",AB84="",AD84="",AF84=""),"",IF(M02S02F46="Electric Only",0,IF(OR(ISNUMBER(SEARCH("Exterior",S84)),ISNUMBER(SEARCH("Exterior",C84)),ISNUMBER(SEARCH("Exterior",F84))),0,IF(OR(M02S02F32="AC with Natural Gas Heat",M02S02F32="Natural Gas Heat Only"),(((O84*M84-AB84*Z84)/1000)*Q84*-INDEX(LightingWHF[Waste Heat Gas Heating IFTherms],MATCH(M02S02F26,LightingWHF[Building/Space Type],0))),0))))</f>
        <v/>
      </c>
      <c r="BC84" s="1097" t="str">
        <f>IFERROR(AH84/M02S02F35/BA84,"")</f>
        <v/>
      </c>
      <c r="BD84" s="1058" t="str">
        <f>IF(OR(C84="",F84="",J84="",M84="",O84="",Q84="",S84="",W84="",Z84="",AB84="",AD84="",AF84=""),"",IF(M02S02F46="Gas Only",0,IF(OR(ISNUMBER(SEARCH("Exterior",S84)),ISNUMBER(SEARCH("Exterior",C84)),ISNUMBER(SEARCH("Exterior",F84))),0,IF(M02S02F32="Heat Pump",(((O84*M84-AB84*Z84)/1000)*Q84*-INDEX(LightingWHF[Waste Heat Electric Heat Pump Heating IFkWh],MATCH(M02S02F26,LightingWHF[Building/Space Type],0))),
IF(OR(M02S02F32="AC with Electric Heat",M02S02F32="Electric Heat Only"),(((O84*M84-AB84*Z84)/1000)*Q84*-INDEX(LightingWHF[Waste Heat Electric Resistance Heating IFkWh],MATCH(M02S02F26,LightingWHF[Building/Space Type],0))),0
)))))</f>
        <v/>
      </c>
      <c r="BE84" s="1058" t="str">
        <f>IF(OR(C84="",F84="",J84="",M84="",O84="",Q84="",S84="",W84="",Z84="",AB84="",AD84="",AF84=""),"",IF(M02S02F46="Gas Only",0,IF(OR(ISNUMBER(SEARCH("Exterior",S84)),ISNUMBER(SEARCH("Exterior",C84)),ISNUMBER(SEARCH("Exterior",F84))),1,IF(OR(M02S02F32="Heat Pump",M02S02F32="AC with Natural Gas Heat",M02S02F32="AC with Electric Heat"),(INDEX(LightingWHF[Waste Heat Cooling Energy WHFe],MATCH(M02S02F26,LightingWHF[Building/Space Type],0))),1))))</f>
        <v/>
      </c>
      <c r="BF84" s="1097" t="str">
        <f>IFERROR(IF((M84*O84)&lt;=(Z84*AB84),MEASURESAVE,IF(M02S02F35="",MEASURERATE,IF(AH84/M02S02F35/BA84&lt;1,MEASUREPAY,IF(AV84&lt;1,MEASURECB,IF(OR(ISBLANK(M02S02F26),ISBLANK(M02S02F32),ISBLANK(M02S02F46)),MEASUREBLDG,""))))),MEASURESUBMIT)</f>
        <v>Submit for Review</v>
      </c>
      <c r="BG84"/>
      <c r="BH84" s="995" t="str">
        <f ca="1">IF(OR(C84="",F84="",J84="",M84="",O84="",Q84="",S84="",W84="",Z84="",AB84="",AD84="",AF84=""),"",IF('M01-S01'!$V$82&lt;TODAY(),0,IF(M02S02F46="Gas Only",0,IF(OR(AK84="",AK84&lt;0,AH84&lt;=AN84),0,MIN(AH84-AN84,ROUND(IF(OR(ISNUMBER(SEARCH("T12",F84)),ISNUMBER(SEARCH("T8",F84)),ISNUMBER(SEARCH("T5",F84)),ISNUMBER(SEARCH("MH",F84)),ISNUMBER(SEARCH("HPS",F84)),ISNUMBER(SEARCH("MV",F84))),AN84*0.2),2))))))</f>
        <v/>
      </c>
      <c r="BI84"/>
    </row>
    <row r="85" spans="2:61" ht="15.95" hidden="1" customHeight="1">
      <c r="B85" s="829"/>
      <c r="C85" s="1088"/>
      <c r="D85" s="1088"/>
      <c r="E85" s="1088"/>
      <c r="F85" s="835"/>
      <c r="G85" s="836"/>
      <c r="H85" s="836"/>
      <c r="I85" s="837"/>
      <c r="J85" s="1088"/>
      <c r="K85" s="1088"/>
      <c r="L85" s="1088"/>
      <c r="M85" s="1078"/>
      <c r="N85" s="1078"/>
      <c r="O85" s="1081"/>
      <c r="P85" s="1082"/>
      <c r="Q85" s="1085"/>
      <c r="R85" s="1086"/>
      <c r="S85" s="851"/>
      <c r="T85" s="836"/>
      <c r="U85" s="836"/>
      <c r="V85" s="837"/>
      <c r="W85" s="1088"/>
      <c r="X85" s="1088"/>
      <c r="Y85" s="1088"/>
      <c r="Z85" s="1078"/>
      <c r="AA85" s="1078"/>
      <c r="AB85" s="1090"/>
      <c r="AC85" s="1090"/>
      <c r="AD85" s="1092"/>
      <c r="AE85" s="1092"/>
      <c r="AF85" s="1092"/>
      <c r="AG85" s="1094"/>
      <c r="AH85" s="865"/>
      <c r="AI85" s="1096"/>
      <c r="AJ85" s="1096"/>
      <c r="AK85" s="906"/>
      <c r="AL85" s="907"/>
      <c r="AM85" s="936"/>
      <c r="AN85" s="1100"/>
      <c r="AO85" s="1100"/>
      <c r="AP85" s="1100"/>
      <c r="AQ85" s="1100"/>
      <c r="AU85" s="1102"/>
      <c r="AV85" s="1102"/>
      <c r="AW85" s="901"/>
      <c r="AX85" s="812"/>
      <c r="AY85" s="812"/>
      <c r="AZ85" s="874"/>
      <c r="BA85" s="812"/>
      <c r="BB85" s="996"/>
      <c r="BC85" s="1098"/>
      <c r="BD85" s="996"/>
      <c r="BE85" s="996"/>
      <c r="BF85" s="1098"/>
      <c r="BG85"/>
      <c r="BH85" s="996"/>
      <c r="BI85"/>
    </row>
    <row r="86" spans="2:61" ht="15.95" hidden="1" customHeight="1">
      <c r="B86" s="829">
        <v>36</v>
      </c>
      <c r="C86" s="1087"/>
      <c r="D86" s="1087"/>
      <c r="E86" s="1087"/>
      <c r="F86" s="866"/>
      <c r="G86" s="867"/>
      <c r="H86" s="867"/>
      <c r="I86" s="868"/>
      <c r="J86" s="1087"/>
      <c r="K86" s="1087"/>
      <c r="L86" s="1087"/>
      <c r="M86" s="1077"/>
      <c r="N86" s="1077"/>
      <c r="O86" s="1079" t="str">
        <f>IFERROR(IF(F86="","",INDEX(CMLIGHTBASE[Base Watt 1],MATCH(F86,CMLIGHTBASE[Base Desc 1],0))),"")</f>
        <v/>
      </c>
      <c r="P86" s="1080"/>
      <c r="Q86" s="1083"/>
      <c r="R86" s="1084"/>
      <c r="S86" s="885"/>
      <c r="T86" s="867"/>
      <c r="U86" s="867"/>
      <c r="V86" s="868"/>
      <c r="W86" s="1087"/>
      <c r="X86" s="1087"/>
      <c r="Y86" s="1087"/>
      <c r="Z86" s="1077"/>
      <c r="AA86" s="1077"/>
      <c r="AB86" s="1089"/>
      <c r="AC86" s="1089"/>
      <c r="AD86" s="1091"/>
      <c r="AE86" s="1091"/>
      <c r="AF86" s="1091"/>
      <c r="AG86" s="1093"/>
      <c r="AH86" s="918" t="str">
        <f t="shared" ref="AH86" si="170">IFERROR(IF(OR(C86="",J86="",M86="",O86="",Q86="",W86="",Z86="",AB86="",AD86="",AF86=""),"",ROUND((AD86+AF86)*Z86,2)),"")</f>
        <v/>
      </c>
      <c r="AI86" s="1095"/>
      <c r="AJ86" s="1095"/>
      <c r="AK86" s="904" t="str">
        <f t="shared" ref="AK86" si="171">IFERROR(IF(OR(C86="",F86="",J86="",M86="",O86="",Q86="",S86="",W86="",Z86="",AB86="",AD86="",AF86=""),"",ROUND(IF((M86*O86)&lt;=(Z86*AB86),"0",(AX86-AY86+BD86)*BE86),2)),"")</f>
        <v/>
      </c>
      <c r="AL86" s="905"/>
      <c r="AM86" s="969"/>
      <c r="AN86" s="1099" t="str">
        <f>IFERROR(IF(OR(C86="",F86="",J86="",M86="",O86="",Q86="",S86="",W86="",Z86="",AB86="",AD86="",AF86=""),"",IF(OR(ISNUMBER(SEARCH("~~",F86)),ISNUMBER(SEARCH("~~",S86))),"Invalid Fixture Type Selected",IF(BF86&lt;&gt;"",BF86,ROUND(MIN(AH86*0.75,AK86*INDEX(INCRATE[Electric],MATCH("CMLIGHT",INCRATE[Incentive Type]))),2)))),"")</f>
        <v/>
      </c>
      <c r="AO86" s="1099"/>
      <c r="AP86" s="1099"/>
      <c r="AQ86" s="1099"/>
      <c r="AU86" s="1103" t="str">
        <f>IF(F86="","",INDEX(CUSTLIGHTUNIT,MATCH(F86,CMELIGHTBASE1,0)))</f>
        <v/>
      </c>
      <c r="AV86" s="1101" t="str">
        <f>IFERROR(IF(OR(C86="",F86="",J86="",M86="",O86="",Q86="",S86="",W86="",Z86="",AB86="",AD86="",AF86=""),"",((((1+ELOSS)*((AK86*INDEX(ELECCB[NPV AEC $/kWh],MATCH(15,ELECCB[Year Number],0)))+(AW86*INDEX(ELECCB[NPV ACC+T&amp;D $/kW],MATCH(15,ELECCB[Year Number],0)))))+((1+GLOSS)*((BB86*INDEX(GASCB[NPV GAEC $/therm],MATCH(15,GASCB[Year Number],1))))))/AH86)),"")</f>
        <v/>
      </c>
      <c r="AW86" s="900" t="str">
        <f>IFERROR(IF(OR(C86="",F86="",J86="",M86="",O86="",Q86="",S86="",W86="",Z86="",AB86="",AD86="",AF86=""),"",IF(OR(ISNUMBER(SEARCH("Exterior",C86)),((M86*O86)&lt;=(Z86*AB86)),ISNUMBER(SEARCH("Exterior",S86)),ISNUMBER(SEARCH("Exterior",F86))),0,ROUND((((M86*O86)-(Z86*AB86))/1000)*INDEX(LightingWHF[Coincidence Factor CF],MATCH(M02S02F26,LightingWHF[Building/Space Type],0))*IF(OR(M02S02F32="AC with Natural Gas Heat",M02S02F32="AC with Electric Heat",M02S02F32="Heat Pump"),INDEX(LightingWHF[Waste Heat Cooling Demand WHFd],MATCH(M02S02F26,LightingWHF[Building/Space Type],0)),1),3))),"")</f>
        <v/>
      </c>
      <c r="AX86" s="811" t="str">
        <f t="shared" ref="AX86" si="172">IF(OR(C86="",F86="",J86="",M86="",O86="",Q86="",S86="",W86="",Z86="",AB86="",AD86="",AF86=""),"",ROUND(M86*O86*Q86/1000,2))</f>
        <v/>
      </c>
      <c r="AY86" s="811" t="str">
        <f t="shared" ref="AY86" si="173">IF(OR(C86="",F86="",J86="",M86="",O86="",Q86="",S86="",W86="",Z86="",AB86="",AD86="",AF86=""),"",ROUND(Z86*AB86*Q86/1000,2))</f>
        <v/>
      </c>
      <c r="AZ86" s="873" t="str">
        <f>IF(OR(C86="",F86="",J86="",M86="",O86="",Q86="",S86="",W86="",Z86="",AB86="",AD86="",AF86=""),"",IF(ISNUMBER(AN86),(CONCATENATE(INDEX(CMLIGHTBASE[Measure Number],MATCH(F86,CMLIGHTBASE[Base Desc 1],0)),INDEX(CMLIGHTEFF[Measure Number],MATCH(S86,CMLIGHTEFF[Eff Desc 1],0)))),IF(AK86=0,"","000001")))</f>
        <v/>
      </c>
      <c r="BA86" s="811" t="str">
        <f t="shared" ref="BA86" si="174">IF(OR(C86="",F86="",J86="",M86="",O86="",Q86="",S86="",W86="",Z86="",AB86="",AD86="",AF86=""),"",IF((M86*O86)&lt;=(Z86*AB86),"0",AX86-AY86))</f>
        <v/>
      </c>
      <c r="BB86" s="1058" t="str">
        <f>IF(OR(C86="",F86="",J86="",M86="",O86="",Q86="",S86="",W86="",Z86="",AB86="",AD86="",AF86=""),"",IF(M02S02F46="Electric Only",0,IF(OR(ISNUMBER(SEARCH("Exterior",S86)),ISNUMBER(SEARCH("Exterior",C86)),ISNUMBER(SEARCH("Exterior",F86))),0,IF(OR(M02S02F32="AC with Natural Gas Heat",M02S02F32="Natural Gas Heat Only"),(((O86*M86-AB86*Z86)/1000)*Q86*-INDEX(LightingWHF[Waste Heat Gas Heating IFTherms],MATCH(M02S02F26,LightingWHF[Building/Space Type],0))),0))))</f>
        <v/>
      </c>
      <c r="BC86" s="1097" t="str">
        <f>IFERROR(AH86/M02S02F35/BA86,"")</f>
        <v/>
      </c>
      <c r="BD86" s="1058" t="str">
        <f>IF(OR(C86="",F86="",J86="",M86="",O86="",Q86="",S86="",W86="",Z86="",AB86="",AD86="",AF86=""),"",IF(M02S02F46="Gas Only",0,IF(OR(ISNUMBER(SEARCH("Exterior",S86)),ISNUMBER(SEARCH("Exterior",C86)),ISNUMBER(SEARCH("Exterior",F86))),0,IF(M02S02F32="Heat Pump",(((O86*M86-AB86*Z86)/1000)*Q86*-INDEX(LightingWHF[Waste Heat Electric Heat Pump Heating IFkWh],MATCH(M02S02F26,LightingWHF[Building/Space Type],0))),
IF(OR(M02S02F32="AC with Electric Heat",M02S02F32="Electric Heat Only"),(((O86*M86-AB86*Z86)/1000)*Q86*-INDEX(LightingWHF[Waste Heat Electric Resistance Heating IFkWh],MATCH(M02S02F26,LightingWHF[Building/Space Type],0))),0
)))))</f>
        <v/>
      </c>
      <c r="BE86" s="1058" t="str">
        <f>IF(OR(C86="",F86="",J86="",M86="",O86="",Q86="",S86="",W86="",Z86="",AB86="",AD86="",AF86=""),"",IF(M02S02F46="Gas Only",0,IF(OR(ISNUMBER(SEARCH("Exterior",S86)),ISNUMBER(SEARCH("Exterior",C86)),ISNUMBER(SEARCH("Exterior",F86))),1,IF(OR(M02S02F32="Heat Pump",M02S02F32="AC with Natural Gas Heat",M02S02F32="AC with Electric Heat"),(INDEX(LightingWHF[Waste Heat Cooling Energy WHFe],MATCH(M02S02F26,LightingWHF[Building/Space Type],0))),1))))</f>
        <v/>
      </c>
      <c r="BF86" s="1097" t="str">
        <f>IFERROR(IF((M86*O86)&lt;=(Z86*AB86),MEASURESAVE,IF(M02S02F35="",MEASURERATE,IF(AH86/M02S02F35/BA86&lt;1,MEASUREPAY,IF(AV86&lt;1,MEASURECB,IF(OR(ISBLANK(M02S02F26),ISBLANK(M02S02F32),ISBLANK(M02S02F46)),MEASUREBLDG,""))))),MEASURESUBMIT)</f>
        <v>Submit for Review</v>
      </c>
      <c r="BG86"/>
      <c r="BH86" s="995" t="str">
        <f ca="1">IF(OR(C86="",F86="",J86="",M86="",O86="",Q86="",S86="",W86="",Z86="",AB86="",AD86="",AF86=""),"",IF('M01-S01'!$V$82&lt;TODAY(),0,IF(M02S02F46="Gas Only",0,IF(OR(AK86="",AK86&lt;0,AH86&lt;=AN86),0,MIN(AH86-AN86,ROUND(IF(OR(ISNUMBER(SEARCH("T12",F86)),ISNUMBER(SEARCH("T8",F86)),ISNUMBER(SEARCH("T5",F86)),ISNUMBER(SEARCH("MH",F86)),ISNUMBER(SEARCH("HPS",F86)),ISNUMBER(SEARCH("MV",F86))),AN86*0.2),2))))))</f>
        <v/>
      </c>
      <c r="BI86"/>
    </row>
    <row r="87" spans="2:61" ht="15.95" hidden="1" customHeight="1">
      <c r="B87" s="829"/>
      <c r="C87" s="1088"/>
      <c r="D87" s="1088"/>
      <c r="E87" s="1088"/>
      <c r="F87" s="835"/>
      <c r="G87" s="836"/>
      <c r="H87" s="836"/>
      <c r="I87" s="837"/>
      <c r="J87" s="1088"/>
      <c r="K87" s="1088"/>
      <c r="L87" s="1088"/>
      <c r="M87" s="1078"/>
      <c r="N87" s="1078"/>
      <c r="O87" s="1081"/>
      <c r="P87" s="1082"/>
      <c r="Q87" s="1085"/>
      <c r="R87" s="1086"/>
      <c r="S87" s="851"/>
      <c r="T87" s="836"/>
      <c r="U87" s="836"/>
      <c r="V87" s="837"/>
      <c r="W87" s="1088"/>
      <c r="X87" s="1088"/>
      <c r="Y87" s="1088"/>
      <c r="Z87" s="1078"/>
      <c r="AA87" s="1078"/>
      <c r="AB87" s="1090"/>
      <c r="AC87" s="1090"/>
      <c r="AD87" s="1092"/>
      <c r="AE87" s="1092"/>
      <c r="AF87" s="1092"/>
      <c r="AG87" s="1094"/>
      <c r="AH87" s="865"/>
      <c r="AI87" s="1096"/>
      <c r="AJ87" s="1096"/>
      <c r="AK87" s="906"/>
      <c r="AL87" s="907"/>
      <c r="AM87" s="936"/>
      <c r="AN87" s="1100"/>
      <c r="AO87" s="1100"/>
      <c r="AP87" s="1100"/>
      <c r="AQ87" s="1100"/>
      <c r="AU87" s="1102"/>
      <c r="AV87" s="1102"/>
      <c r="AW87" s="901"/>
      <c r="AX87" s="812"/>
      <c r="AY87" s="812"/>
      <c r="AZ87" s="874"/>
      <c r="BA87" s="812"/>
      <c r="BB87" s="996"/>
      <c r="BC87" s="1098"/>
      <c r="BD87" s="996"/>
      <c r="BE87" s="996"/>
      <c r="BF87" s="1098"/>
      <c r="BG87"/>
      <c r="BH87" s="996"/>
      <c r="BI87"/>
    </row>
    <row r="88" spans="2:61" ht="15.95" hidden="1" customHeight="1">
      <c r="B88" s="829">
        <v>37</v>
      </c>
      <c r="C88" s="1087"/>
      <c r="D88" s="1087"/>
      <c r="E88" s="1087"/>
      <c r="F88" s="866"/>
      <c r="G88" s="867"/>
      <c r="H88" s="867"/>
      <c r="I88" s="868"/>
      <c r="J88" s="1087"/>
      <c r="K88" s="1087"/>
      <c r="L88" s="1087"/>
      <c r="M88" s="1077"/>
      <c r="N88" s="1077"/>
      <c r="O88" s="1079" t="str">
        <f>IFERROR(IF(F88="","",INDEX(CMLIGHTBASE[Base Watt 1],MATCH(F88,CMLIGHTBASE[Base Desc 1],0))),"")</f>
        <v/>
      </c>
      <c r="P88" s="1080"/>
      <c r="Q88" s="1083"/>
      <c r="R88" s="1084"/>
      <c r="S88" s="885"/>
      <c r="T88" s="867"/>
      <c r="U88" s="867"/>
      <c r="V88" s="868"/>
      <c r="W88" s="1087"/>
      <c r="X88" s="1087"/>
      <c r="Y88" s="1087"/>
      <c r="Z88" s="1077"/>
      <c r="AA88" s="1077"/>
      <c r="AB88" s="1089"/>
      <c r="AC88" s="1089"/>
      <c r="AD88" s="1091"/>
      <c r="AE88" s="1091"/>
      <c r="AF88" s="1091"/>
      <c r="AG88" s="1093"/>
      <c r="AH88" s="918" t="str">
        <f t="shared" ref="AH88" si="175">IFERROR(IF(OR(C88="",J88="",M88="",O88="",Q88="",W88="",Z88="",AB88="",AD88="",AF88=""),"",ROUND((AD88+AF88)*Z88,2)),"")</f>
        <v/>
      </c>
      <c r="AI88" s="1095"/>
      <c r="AJ88" s="1095"/>
      <c r="AK88" s="904" t="str">
        <f t="shared" ref="AK88" si="176">IFERROR(IF(OR(C88="",F88="",J88="",M88="",O88="",Q88="",S88="",W88="",Z88="",AB88="",AD88="",AF88=""),"",ROUND(IF((M88*O88)&lt;=(Z88*AB88),"0",(AX88-AY88+BD88)*BE88),2)),"")</f>
        <v/>
      </c>
      <c r="AL88" s="905"/>
      <c r="AM88" s="969"/>
      <c r="AN88" s="1099" t="str">
        <f>IFERROR(IF(OR(C88="",F88="",J88="",M88="",O88="",Q88="",S88="",W88="",Z88="",AB88="",AD88="",AF88=""),"",IF(OR(ISNUMBER(SEARCH("~~",F88)),ISNUMBER(SEARCH("~~",S88))),"Invalid Fixture Type Selected",IF(BF88&lt;&gt;"",BF88,ROUND(MIN(AH88*0.75,AK88*INDEX(INCRATE[Electric],MATCH("CMLIGHT",INCRATE[Incentive Type]))),2)))),"")</f>
        <v/>
      </c>
      <c r="AO88" s="1099"/>
      <c r="AP88" s="1099"/>
      <c r="AQ88" s="1099"/>
      <c r="AU88" s="1103" t="str">
        <f>IF(F88="","",INDEX(CUSTLIGHTUNIT,MATCH(F88,CMELIGHTBASE1,0)))</f>
        <v/>
      </c>
      <c r="AV88" s="1101" t="str">
        <f>IFERROR(IF(OR(C88="",F88="",J88="",M88="",O88="",Q88="",S88="",W88="",Z88="",AB88="",AD88="",AF88=""),"",((((1+ELOSS)*((AK88*INDEX(ELECCB[NPV AEC $/kWh],MATCH(15,ELECCB[Year Number],0)))+(AW88*INDEX(ELECCB[NPV ACC+T&amp;D $/kW],MATCH(15,ELECCB[Year Number],0)))))+((1+GLOSS)*((BB88*INDEX(GASCB[NPV GAEC $/therm],MATCH(15,GASCB[Year Number],1))))))/AH88)),"")</f>
        <v/>
      </c>
      <c r="AW88" s="900" t="str">
        <f>IFERROR(IF(OR(C88="",F88="",J88="",M88="",O88="",Q88="",S88="",W88="",Z88="",AB88="",AD88="",AF88=""),"",IF(OR(ISNUMBER(SEARCH("Exterior",C88)),((M88*O88)&lt;=(Z88*AB88)),ISNUMBER(SEARCH("Exterior",S88)),ISNUMBER(SEARCH("Exterior",F88))),0,ROUND((((M88*O88)-(Z88*AB88))/1000)*INDEX(LightingWHF[Coincidence Factor CF],MATCH(M02S02F26,LightingWHF[Building/Space Type],0))*IF(OR(M02S02F32="AC with Natural Gas Heat",M02S02F32="AC with Electric Heat",M02S02F32="Heat Pump"),INDEX(LightingWHF[Waste Heat Cooling Demand WHFd],MATCH(M02S02F26,LightingWHF[Building/Space Type],0)),1),3))),"")</f>
        <v/>
      </c>
      <c r="AX88" s="811" t="str">
        <f t="shared" ref="AX88" si="177">IF(OR(C88="",F88="",J88="",M88="",O88="",Q88="",S88="",W88="",Z88="",AB88="",AD88="",AF88=""),"",ROUND(M88*O88*Q88/1000,2))</f>
        <v/>
      </c>
      <c r="AY88" s="811" t="str">
        <f t="shared" ref="AY88" si="178">IF(OR(C88="",F88="",J88="",M88="",O88="",Q88="",S88="",W88="",Z88="",AB88="",AD88="",AF88=""),"",ROUND(Z88*AB88*Q88/1000,2))</f>
        <v/>
      </c>
      <c r="AZ88" s="873" t="str">
        <f>IF(OR(C88="",F88="",J88="",M88="",O88="",Q88="",S88="",W88="",Z88="",AB88="",AD88="",AF88=""),"",IF(ISNUMBER(AN88),(CONCATENATE(INDEX(CMLIGHTBASE[Measure Number],MATCH(F88,CMLIGHTBASE[Base Desc 1],0)),INDEX(CMLIGHTEFF[Measure Number],MATCH(S88,CMLIGHTEFF[Eff Desc 1],0)))),IF(AK88=0,"","000001")))</f>
        <v/>
      </c>
      <c r="BA88" s="811" t="str">
        <f t="shared" ref="BA88" si="179">IF(OR(C88="",F88="",J88="",M88="",O88="",Q88="",S88="",W88="",Z88="",AB88="",AD88="",AF88=""),"",IF((M88*O88)&lt;=(Z88*AB88),"0",AX88-AY88))</f>
        <v/>
      </c>
      <c r="BB88" s="1058" t="str">
        <f>IF(OR(C88="",F88="",J88="",M88="",O88="",Q88="",S88="",W88="",Z88="",AB88="",AD88="",AF88=""),"",IF(M02S02F46="Electric Only",0,IF(OR(ISNUMBER(SEARCH("Exterior",S88)),ISNUMBER(SEARCH("Exterior",C88)),ISNUMBER(SEARCH("Exterior",F88))),0,IF(OR(M02S02F32="AC with Natural Gas Heat",M02S02F32="Natural Gas Heat Only"),(((O88*M88-AB88*Z88)/1000)*Q88*-INDEX(LightingWHF[Waste Heat Gas Heating IFTherms],MATCH(M02S02F26,LightingWHF[Building/Space Type],0))),0))))</f>
        <v/>
      </c>
      <c r="BC88" s="1097" t="str">
        <f>IFERROR(AH88/M02S02F35/BA88,"")</f>
        <v/>
      </c>
      <c r="BD88" s="1058" t="str">
        <f>IF(OR(C88="",F88="",J88="",M88="",O88="",Q88="",S88="",W88="",Z88="",AB88="",AD88="",AF88=""),"",IF(M02S02F46="Gas Only",0,IF(OR(ISNUMBER(SEARCH("Exterior",S88)),ISNUMBER(SEARCH("Exterior",C88)),ISNUMBER(SEARCH("Exterior",F88))),0,IF(M02S02F32="Heat Pump",(((O88*M88-AB88*Z88)/1000)*Q88*-INDEX(LightingWHF[Waste Heat Electric Heat Pump Heating IFkWh],MATCH(M02S02F26,LightingWHF[Building/Space Type],0))),
IF(OR(M02S02F32="AC with Electric Heat",M02S02F32="Electric Heat Only"),(((O88*M88-AB88*Z88)/1000)*Q88*-INDEX(LightingWHF[Waste Heat Electric Resistance Heating IFkWh],MATCH(M02S02F26,LightingWHF[Building/Space Type],0))),0
)))))</f>
        <v/>
      </c>
      <c r="BE88" s="1058" t="str">
        <f>IF(OR(C88="",F88="",J88="",M88="",O88="",Q88="",S88="",W88="",Z88="",AB88="",AD88="",AF88=""),"",IF(M02S02F46="Gas Only",0,IF(OR(ISNUMBER(SEARCH("Exterior",S88)),ISNUMBER(SEARCH("Exterior",C88)),ISNUMBER(SEARCH("Exterior",F88))),1,IF(OR(M02S02F32="Heat Pump",M02S02F32="AC with Natural Gas Heat",M02S02F32="AC with Electric Heat"),(INDEX(LightingWHF[Waste Heat Cooling Energy WHFe],MATCH(M02S02F26,LightingWHF[Building/Space Type],0))),1))))</f>
        <v/>
      </c>
      <c r="BF88" s="1097" t="str">
        <f>IFERROR(IF((M88*O88)&lt;=(Z88*AB88),MEASURESAVE,IF(M02S02F35="",MEASURERATE,IF(AH88/M02S02F35/BA88&lt;1,MEASUREPAY,IF(AV88&lt;1,MEASURECB,IF(OR(ISBLANK(M02S02F26),ISBLANK(M02S02F32),ISBLANK(M02S02F46)),MEASUREBLDG,""))))),MEASURESUBMIT)</f>
        <v>Submit for Review</v>
      </c>
      <c r="BG88"/>
      <c r="BH88" s="995" t="str">
        <f ca="1">IF(OR(C88="",F88="",J88="",M88="",O88="",Q88="",S88="",W88="",Z88="",AB88="",AD88="",AF88=""),"",IF('M01-S01'!$V$82&lt;TODAY(),0,IF(M02S02F46="Gas Only",0,IF(OR(AK88="",AK88&lt;0,AH88&lt;=AN88),0,MIN(AH88-AN88,ROUND(IF(OR(ISNUMBER(SEARCH("T12",F88)),ISNUMBER(SEARCH("T8",F88)),ISNUMBER(SEARCH("T5",F88)),ISNUMBER(SEARCH("MH",F88)),ISNUMBER(SEARCH("HPS",F88)),ISNUMBER(SEARCH("MV",F88))),AN88*0.2),2))))))</f>
        <v/>
      </c>
      <c r="BI88"/>
    </row>
    <row r="89" spans="2:61" ht="15.95" hidden="1" customHeight="1">
      <c r="B89" s="829"/>
      <c r="C89" s="1088"/>
      <c r="D89" s="1088"/>
      <c r="E89" s="1088"/>
      <c r="F89" s="835"/>
      <c r="G89" s="836"/>
      <c r="H89" s="836"/>
      <c r="I89" s="837"/>
      <c r="J89" s="1088"/>
      <c r="K89" s="1088"/>
      <c r="L89" s="1088"/>
      <c r="M89" s="1078"/>
      <c r="N89" s="1078"/>
      <c r="O89" s="1081"/>
      <c r="P89" s="1082"/>
      <c r="Q89" s="1085"/>
      <c r="R89" s="1086"/>
      <c r="S89" s="851"/>
      <c r="T89" s="836"/>
      <c r="U89" s="836"/>
      <c r="V89" s="837"/>
      <c r="W89" s="1088"/>
      <c r="X89" s="1088"/>
      <c r="Y89" s="1088"/>
      <c r="Z89" s="1078"/>
      <c r="AA89" s="1078"/>
      <c r="AB89" s="1090"/>
      <c r="AC89" s="1090"/>
      <c r="AD89" s="1092"/>
      <c r="AE89" s="1092"/>
      <c r="AF89" s="1092"/>
      <c r="AG89" s="1094"/>
      <c r="AH89" s="865"/>
      <c r="AI89" s="1096"/>
      <c r="AJ89" s="1096"/>
      <c r="AK89" s="906"/>
      <c r="AL89" s="907"/>
      <c r="AM89" s="936"/>
      <c r="AN89" s="1100"/>
      <c r="AO89" s="1100"/>
      <c r="AP89" s="1100"/>
      <c r="AQ89" s="1100"/>
      <c r="AU89" s="1102"/>
      <c r="AV89" s="1102"/>
      <c r="AW89" s="901"/>
      <c r="AX89" s="812"/>
      <c r="AY89" s="812"/>
      <c r="AZ89" s="874"/>
      <c r="BA89" s="812"/>
      <c r="BB89" s="996"/>
      <c r="BC89" s="1098"/>
      <c r="BD89" s="996"/>
      <c r="BE89" s="996"/>
      <c r="BF89" s="1098"/>
      <c r="BG89"/>
      <c r="BH89" s="996"/>
      <c r="BI89"/>
    </row>
    <row r="90" spans="2:61" ht="15.95" hidden="1" customHeight="1">
      <c r="B90" s="829">
        <v>38</v>
      </c>
      <c r="C90" s="1087"/>
      <c r="D90" s="1087"/>
      <c r="E90" s="1087"/>
      <c r="F90" s="866"/>
      <c r="G90" s="867"/>
      <c r="H90" s="867"/>
      <c r="I90" s="868"/>
      <c r="J90" s="1087"/>
      <c r="K90" s="1087"/>
      <c r="L90" s="1087"/>
      <c r="M90" s="1077"/>
      <c r="N90" s="1077"/>
      <c r="O90" s="1079" t="str">
        <f>IFERROR(IF(F90="","",INDEX(CMLIGHTBASE[Base Watt 1],MATCH(F90,CMLIGHTBASE[Base Desc 1],0))),"")</f>
        <v/>
      </c>
      <c r="P90" s="1080"/>
      <c r="Q90" s="1083"/>
      <c r="R90" s="1084"/>
      <c r="S90" s="885"/>
      <c r="T90" s="867"/>
      <c r="U90" s="867"/>
      <c r="V90" s="868"/>
      <c r="W90" s="1087"/>
      <c r="X90" s="1087"/>
      <c r="Y90" s="1087"/>
      <c r="Z90" s="1077"/>
      <c r="AA90" s="1077"/>
      <c r="AB90" s="1089"/>
      <c r="AC90" s="1089"/>
      <c r="AD90" s="1091"/>
      <c r="AE90" s="1091"/>
      <c r="AF90" s="1091"/>
      <c r="AG90" s="1093"/>
      <c r="AH90" s="918" t="str">
        <f t="shared" ref="AH90" si="180">IFERROR(IF(OR(C90="",J90="",M90="",O90="",Q90="",W90="",Z90="",AB90="",AD90="",AF90=""),"",ROUND((AD90+AF90)*Z90,2)),"")</f>
        <v/>
      </c>
      <c r="AI90" s="1095"/>
      <c r="AJ90" s="1095"/>
      <c r="AK90" s="904" t="str">
        <f t="shared" ref="AK90" si="181">IFERROR(IF(OR(C90="",F90="",J90="",M90="",O90="",Q90="",S90="",W90="",Z90="",AB90="",AD90="",AF90=""),"",ROUND(IF((M90*O90)&lt;=(Z90*AB90),"0",(AX90-AY90+BD90)*BE90),2)),"")</f>
        <v/>
      </c>
      <c r="AL90" s="905"/>
      <c r="AM90" s="969"/>
      <c r="AN90" s="1099" t="str">
        <f>IFERROR(IF(OR(C90="",F90="",J90="",M90="",O90="",Q90="",S90="",W90="",Z90="",AB90="",AD90="",AF90=""),"",IF(OR(ISNUMBER(SEARCH("~~",F90)),ISNUMBER(SEARCH("~~",S90))),"Invalid Fixture Type Selected",IF(BF90&lt;&gt;"",BF90,ROUND(MIN(AH90*0.75,AK90*INDEX(INCRATE[Electric],MATCH("CMLIGHT",INCRATE[Incentive Type]))),2)))),"")</f>
        <v/>
      </c>
      <c r="AO90" s="1099"/>
      <c r="AP90" s="1099"/>
      <c r="AQ90" s="1099"/>
      <c r="AU90" s="1103" t="str">
        <f>IF(F90="","",INDEX(CUSTLIGHTUNIT,MATCH(F90,CMELIGHTBASE1,0)))</f>
        <v/>
      </c>
      <c r="AV90" s="1101" t="str">
        <f>IFERROR(IF(OR(C90="",F90="",J90="",M90="",O90="",Q90="",S90="",W90="",Z90="",AB90="",AD90="",AF90=""),"",((((1+ELOSS)*((AK90*INDEX(ELECCB[NPV AEC $/kWh],MATCH(15,ELECCB[Year Number],0)))+(AW90*INDEX(ELECCB[NPV ACC+T&amp;D $/kW],MATCH(15,ELECCB[Year Number],0)))))+((1+GLOSS)*((BB90*INDEX(GASCB[NPV GAEC $/therm],MATCH(15,GASCB[Year Number],1))))))/AH90)),"")</f>
        <v/>
      </c>
      <c r="AW90" s="900" t="str">
        <f>IFERROR(IF(OR(C90="",F90="",J90="",M90="",O90="",Q90="",S90="",W90="",Z90="",AB90="",AD90="",AF90=""),"",IF(OR(ISNUMBER(SEARCH("Exterior",C90)),((M90*O90)&lt;=(Z90*AB90)),ISNUMBER(SEARCH("Exterior",S90)),ISNUMBER(SEARCH("Exterior",F90))),0,ROUND((((M90*O90)-(Z90*AB90))/1000)*INDEX(LightingWHF[Coincidence Factor CF],MATCH(M02S02F26,LightingWHF[Building/Space Type],0))*IF(OR(M02S02F32="AC with Natural Gas Heat",M02S02F32="AC with Electric Heat",M02S02F32="Heat Pump"),INDEX(LightingWHF[Waste Heat Cooling Demand WHFd],MATCH(M02S02F26,LightingWHF[Building/Space Type],0)),1),3))),"")</f>
        <v/>
      </c>
      <c r="AX90" s="811" t="str">
        <f t="shared" ref="AX90" si="182">IF(OR(C90="",F90="",J90="",M90="",O90="",Q90="",S90="",W90="",Z90="",AB90="",AD90="",AF90=""),"",ROUND(M90*O90*Q90/1000,2))</f>
        <v/>
      </c>
      <c r="AY90" s="811" t="str">
        <f t="shared" ref="AY90" si="183">IF(OR(C90="",F90="",J90="",M90="",O90="",Q90="",S90="",W90="",Z90="",AB90="",AD90="",AF90=""),"",ROUND(Z90*AB90*Q90/1000,2))</f>
        <v/>
      </c>
      <c r="AZ90" s="873" t="str">
        <f>IF(OR(C90="",F90="",J90="",M90="",O90="",Q90="",S90="",W90="",Z90="",AB90="",AD90="",AF90=""),"",IF(ISNUMBER(AN90),(CONCATENATE(INDEX(CMLIGHTBASE[Measure Number],MATCH(F90,CMLIGHTBASE[Base Desc 1],0)),INDEX(CMLIGHTEFF[Measure Number],MATCH(S90,CMLIGHTEFF[Eff Desc 1],0)))),IF(AK90=0,"","000001")))</f>
        <v/>
      </c>
      <c r="BA90" s="811" t="str">
        <f t="shared" ref="BA90" si="184">IF(OR(C90="",F90="",J90="",M90="",O90="",Q90="",S90="",W90="",Z90="",AB90="",AD90="",AF90=""),"",IF((M90*O90)&lt;=(Z90*AB90),"0",AX90-AY90))</f>
        <v/>
      </c>
      <c r="BB90" s="1058" t="str">
        <f>IF(OR(C90="",F90="",J90="",M90="",O90="",Q90="",S90="",W90="",Z90="",AB90="",AD90="",AF90=""),"",IF(M02S02F46="Electric Only",0,IF(OR(ISNUMBER(SEARCH("Exterior",S90)),ISNUMBER(SEARCH("Exterior",C90)),ISNUMBER(SEARCH("Exterior",F90))),0,IF(OR(M02S02F32="AC with Natural Gas Heat",M02S02F32="Natural Gas Heat Only"),(((O90*M90-AB90*Z90)/1000)*Q90*-INDEX(LightingWHF[Waste Heat Gas Heating IFTherms],MATCH(M02S02F26,LightingWHF[Building/Space Type],0))),0))))</f>
        <v/>
      </c>
      <c r="BC90" s="1097" t="str">
        <f>IFERROR(AH90/M02S02F35/BA90,"")</f>
        <v/>
      </c>
      <c r="BD90" s="1058" t="str">
        <f>IF(OR(C90="",F90="",J90="",M90="",O90="",Q90="",S90="",W90="",Z90="",AB90="",AD90="",AF90=""),"",IF(M02S02F46="Gas Only",0,IF(OR(ISNUMBER(SEARCH("Exterior",S90)),ISNUMBER(SEARCH("Exterior",C90)),ISNUMBER(SEARCH("Exterior",F90))),0,IF(M02S02F32="Heat Pump",(((O90*M90-AB90*Z90)/1000)*Q90*-INDEX(LightingWHF[Waste Heat Electric Heat Pump Heating IFkWh],MATCH(M02S02F26,LightingWHF[Building/Space Type],0))),
IF(OR(M02S02F32="AC with Electric Heat",M02S02F32="Electric Heat Only"),(((O90*M90-AB90*Z90)/1000)*Q90*-INDEX(LightingWHF[Waste Heat Electric Resistance Heating IFkWh],MATCH(M02S02F26,LightingWHF[Building/Space Type],0))),0
)))))</f>
        <v/>
      </c>
      <c r="BE90" s="1058" t="str">
        <f>IF(OR(C90="",F90="",J90="",M90="",O90="",Q90="",S90="",W90="",Z90="",AB90="",AD90="",AF90=""),"",IF(M02S02F46="Gas Only",0,IF(OR(ISNUMBER(SEARCH("Exterior",S90)),ISNUMBER(SEARCH("Exterior",C90)),ISNUMBER(SEARCH("Exterior",F90))),1,IF(OR(M02S02F32="Heat Pump",M02S02F32="AC with Natural Gas Heat",M02S02F32="AC with Electric Heat"),(INDEX(LightingWHF[Waste Heat Cooling Energy WHFe],MATCH(M02S02F26,LightingWHF[Building/Space Type],0))),1))))</f>
        <v/>
      </c>
      <c r="BF90" s="1097" t="str">
        <f>IFERROR(IF((M90*O90)&lt;=(Z90*AB90),MEASURESAVE,IF(M02S02F35="",MEASURERATE,IF(AH90/M02S02F35/BA90&lt;1,MEASUREPAY,IF(AV90&lt;1,MEASURECB,IF(OR(ISBLANK(M02S02F26),ISBLANK(M02S02F32),ISBLANK(M02S02F46)),MEASUREBLDG,""))))),MEASURESUBMIT)</f>
        <v>Submit for Review</v>
      </c>
      <c r="BG90"/>
      <c r="BH90" s="995" t="str">
        <f ca="1">IF(OR(C90="",F90="",J90="",M90="",O90="",Q90="",S90="",W90="",Z90="",AB90="",AD90="",AF90=""),"",IF('M01-S01'!$V$82&lt;TODAY(),0,IF(M02S02F46="Gas Only",0,IF(OR(AK90="",AK90&lt;0,AH90&lt;=AN90),0,MIN(AH90-AN90,ROUND(IF(OR(ISNUMBER(SEARCH("T12",F90)),ISNUMBER(SEARCH("T8",F90)),ISNUMBER(SEARCH("T5",F90)),ISNUMBER(SEARCH("MH",F90)),ISNUMBER(SEARCH("HPS",F90)),ISNUMBER(SEARCH("MV",F90))),AN90*0.2),2))))))</f>
        <v/>
      </c>
      <c r="BI90"/>
    </row>
    <row r="91" spans="2:61" ht="15.95" hidden="1" customHeight="1">
      <c r="B91" s="829"/>
      <c r="C91" s="1088"/>
      <c r="D91" s="1088"/>
      <c r="E91" s="1088"/>
      <c r="F91" s="835"/>
      <c r="G91" s="836"/>
      <c r="H91" s="836"/>
      <c r="I91" s="837"/>
      <c r="J91" s="1088"/>
      <c r="K91" s="1088"/>
      <c r="L91" s="1088"/>
      <c r="M91" s="1078"/>
      <c r="N91" s="1078"/>
      <c r="O91" s="1081"/>
      <c r="P91" s="1082"/>
      <c r="Q91" s="1085"/>
      <c r="R91" s="1086"/>
      <c r="S91" s="851"/>
      <c r="T91" s="836"/>
      <c r="U91" s="836"/>
      <c r="V91" s="837"/>
      <c r="W91" s="1088"/>
      <c r="X91" s="1088"/>
      <c r="Y91" s="1088"/>
      <c r="Z91" s="1078"/>
      <c r="AA91" s="1078"/>
      <c r="AB91" s="1090"/>
      <c r="AC91" s="1090"/>
      <c r="AD91" s="1092"/>
      <c r="AE91" s="1092"/>
      <c r="AF91" s="1092"/>
      <c r="AG91" s="1094"/>
      <c r="AH91" s="865"/>
      <c r="AI91" s="1096"/>
      <c r="AJ91" s="1096"/>
      <c r="AK91" s="906"/>
      <c r="AL91" s="907"/>
      <c r="AM91" s="936"/>
      <c r="AN91" s="1100"/>
      <c r="AO91" s="1100"/>
      <c r="AP91" s="1100"/>
      <c r="AQ91" s="1100"/>
      <c r="AU91" s="1102"/>
      <c r="AV91" s="1102"/>
      <c r="AW91" s="901"/>
      <c r="AX91" s="812"/>
      <c r="AY91" s="812"/>
      <c r="AZ91" s="874"/>
      <c r="BA91" s="812"/>
      <c r="BB91" s="996"/>
      <c r="BC91" s="1098"/>
      <c r="BD91" s="996"/>
      <c r="BE91" s="996"/>
      <c r="BF91" s="1098"/>
      <c r="BG91"/>
      <c r="BH91" s="996"/>
      <c r="BI91"/>
    </row>
    <row r="92" spans="2:61" ht="15.95" hidden="1" customHeight="1">
      <c r="B92" s="829">
        <v>39</v>
      </c>
      <c r="C92" s="1087"/>
      <c r="D92" s="1087"/>
      <c r="E92" s="1087"/>
      <c r="F92" s="866"/>
      <c r="G92" s="867"/>
      <c r="H92" s="867"/>
      <c r="I92" s="868"/>
      <c r="J92" s="1087"/>
      <c r="K92" s="1087"/>
      <c r="L92" s="1087"/>
      <c r="M92" s="1077"/>
      <c r="N92" s="1077"/>
      <c r="O92" s="1079" t="str">
        <f>IFERROR(IF(F92="","",INDEX(CMLIGHTBASE[Base Watt 1],MATCH(F92,CMLIGHTBASE[Base Desc 1],0))),"")</f>
        <v/>
      </c>
      <c r="P92" s="1080"/>
      <c r="Q92" s="1083"/>
      <c r="R92" s="1084"/>
      <c r="S92" s="885"/>
      <c r="T92" s="867"/>
      <c r="U92" s="867"/>
      <c r="V92" s="868"/>
      <c r="W92" s="1087"/>
      <c r="X92" s="1087"/>
      <c r="Y92" s="1087"/>
      <c r="Z92" s="1077"/>
      <c r="AA92" s="1077"/>
      <c r="AB92" s="1089"/>
      <c r="AC92" s="1089"/>
      <c r="AD92" s="1091"/>
      <c r="AE92" s="1091"/>
      <c r="AF92" s="1091"/>
      <c r="AG92" s="1093"/>
      <c r="AH92" s="918" t="str">
        <f t="shared" ref="AH92" si="185">IFERROR(IF(OR(C92="",J92="",M92="",O92="",Q92="",W92="",Z92="",AB92="",AD92="",AF92=""),"",ROUND((AD92+AF92)*Z92,2)),"")</f>
        <v/>
      </c>
      <c r="AI92" s="1095"/>
      <c r="AJ92" s="1095"/>
      <c r="AK92" s="904" t="str">
        <f t="shared" ref="AK92" si="186">IFERROR(IF(OR(C92="",F92="",J92="",M92="",O92="",Q92="",S92="",W92="",Z92="",AB92="",AD92="",AF92=""),"",ROUND(IF((M92*O92)&lt;=(Z92*AB92),"0",(AX92-AY92+BD92)*BE92),2)),"")</f>
        <v/>
      </c>
      <c r="AL92" s="905"/>
      <c r="AM92" s="969"/>
      <c r="AN92" s="1099" t="str">
        <f>IFERROR(IF(OR(C92="",F92="",J92="",M92="",O92="",Q92="",S92="",W92="",Z92="",AB92="",AD92="",AF92=""),"",IF(OR(ISNUMBER(SEARCH("~~",F92)),ISNUMBER(SEARCH("~~",S92))),"Invalid Fixture Type Selected",IF(BF92&lt;&gt;"",BF92,ROUND(MIN(AH92*0.75,AK92*INDEX(INCRATE[Electric],MATCH("CMLIGHT",INCRATE[Incentive Type]))),2)))),"")</f>
        <v/>
      </c>
      <c r="AO92" s="1099"/>
      <c r="AP92" s="1099"/>
      <c r="AQ92" s="1099"/>
      <c r="AU92" s="1103" t="str">
        <f>IF(F92="","",INDEX(CUSTLIGHTUNIT,MATCH(F92,CMELIGHTBASE1,0)))</f>
        <v/>
      </c>
      <c r="AV92" s="1101" t="str">
        <f>IFERROR(IF(OR(C92="",F92="",J92="",M92="",O92="",Q92="",S92="",W92="",Z92="",AB92="",AD92="",AF92=""),"",((((1+ELOSS)*((AK92*INDEX(ELECCB[NPV AEC $/kWh],MATCH(15,ELECCB[Year Number],0)))+(AW92*INDEX(ELECCB[NPV ACC+T&amp;D $/kW],MATCH(15,ELECCB[Year Number],0)))))+((1+GLOSS)*((BB92*INDEX(GASCB[NPV GAEC $/therm],MATCH(15,GASCB[Year Number],1))))))/AH92)),"")</f>
        <v/>
      </c>
      <c r="AW92" s="900" t="str">
        <f>IFERROR(IF(OR(C92="",F92="",J92="",M92="",O92="",Q92="",S92="",W92="",Z92="",AB92="",AD92="",AF92=""),"",IF(OR(ISNUMBER(SEARCH("Exterior",C92)),((M92*O92)&lt;=(Z92*AB92)),ISNUMBER(SEARCH("Exterior",S92)),ISNUMBER(SEARCH("Exterior",F92))),0,ROUND((((M92*O92)-(Z92*AB92))/1000)*INDEX(LightingWHF[Coincidence Factor CF],MATCH(M02S02F26,LightingWHF[Building/Space Type],0))*IF(OR(M02S02F32="AC with Natural Gas Heat",M02S02F32="AC with Electric Heat",M02S02F32="Heat Pump"),INDEX(LightingWHF[Waste Heat Cooling Demand WHFd],MATCH(M02S02F26,LightingWHF[Building/Space Type],0)),1),3))),"")</f>
        <v/>
      </c>
      <c r="AX92" s="811" t="str">
        <f t="shared" ref="AX92" si="187">IF(OR(C92="",F92="",J92="",M92="",O92="",Q92="",S92="",W92="",Z92="",AB92="",AD92="",AF92=""),"",ROUND(M92*O92*Q92/1000,2))</f>
        <v/>
      </c>
      <c r="AY92" s="811" t="str">
        <f t="shared" ref="AY92" si="188">IF(OR(C92="",F92="",J92="",M92="",O92="",Q92="",S92="",W92="",Z92="",AB92="",AD92="",AF92=""),"",ROUND(Z92*AB92*Q92/1000,2))</f>
        <v/>
      </c>
      <c r="AZ92" s="873" t="str">
        <f>IF(OR(C92="",F92="",J92="",M92="",O92="",Q92="",S92="",W92="",Z92="",AB92="",AD92="",AF92=""),"",IF(ISNUMBER(AN92),(CONCATENATE(INDEX(CMLIGHTBASE[Measure Number],MATCH(F92,CMLIGHTBASE[Base Desc 1],0)),INDEX(CMLIGHTEFF[Measure Number],MATCH(S92,CMLIGHTEFF[Eff Desc 1],0)))),IF(AK92=0,"","000001")))</f>
        <v/>
      </c>
      <c r="BA92" s="811" t="str">
        <f t="shared" ref="BA92" si="189">IF(OR(C92="",F92="",J92="",M92="",O92="",Q92="",S92="",W92="",Z92="",AB92="",AD92="",AF92=""),"",IF((M92*O92)&lt;=(Z92*AB92),"0",AX92-AY92))</f>
        <v/>
      </c>
      <c r="BB92" s="1058" t="str">
        <f>IF(OR(C92="",F92="",J92="",M92="",O92="",Q92="",S92="",W92="",Z92="",AB92="",AD92="",AF92=""),"",IF(M02S02F46="Electric Only",0,IF(OR(ISNUMBER(SEARCH("Exterior",S92)),ISNUMBER(SEARCH("Exterior",C92)),ISNUMBER(SEARCH("Exterior",F92))),0,IF(OR(M02S02F32="AC with Natural Gas Heat",M02S02F32="Natural Gas Heat Only"),(((O92*M92-AB92*Z92)/1000)*Q92*-INDEX(LightingWHF[Waste Heat Gas Heating IFTherms],MATCH(M02S02F26,LightingWHF[Building/Space Type],0))),0))))</f>
        <v/>
      </c>
      <c r="BC92" s="1097" t="str">
        <f>IFERROR(AH92/M02S02F35/BA92,"")</f>
        <v/>
      </c>
      <c r="BD92" s="1058" t="str">
        <f>IF(OR(C92="",F92="",J92="",M92="",O92="",Q92="",S92="",W92="",Z92="",AB92="",AD92="",AF92=""),"",IF(M02S02F46="Gas Only",0,IF(OR(ISNUMBER(SEARCH("Exterior",S92)),ISNUMBER(SEARCH("Exterior",C92)),ISNUMBER(SEARCH("Exterior",F92))),0,IF(M02S02F32="Heat Pump",(((O92*M92-AB92*Z92)/1000)*Q92*-INDEX(LightingWHF[Waste Heat Electric Heat Pump Heating IFkWh],MATCH(M02S02F26,LightingWHF[Building/Space Type],0))),
IF(OR(M02S02F32="AC with Electric Heat",M02S02F32="Electric Heat Only"),(((O92*M92-AB92*Z92)/1000)*Q92*-INDEX(LightingWHF[Waste Heat Electric Resistance Heating IFkWh],MATCH(M02S02F26,LightingWHF[Building/Space Type],0))),0
)))))</f>
        <v/>
      </c>
      <c r="BE92" s="1058" t="str">
        <f>IF(OR(C92="",F92="",J92="",M92="",O92="",Q92="",S92="",W92="",Z92="",AB92="",AD92="",AF92=""),"",IF(M02S02F46="Gas Only",0,IF(OR(ISNUMBER(SEARCH("Exterior",S92)),ISNUMBER(SEARCH("Exterior",C92)),ISNUMBER(SEARCH("Exterior",F92))),1,IF(OR(M02S02F32="Heat Pump",M02S02F32="AC with Natural Gas Heat",M02S02F32="AC with Electric Heat"),(INDEX(LightingWHF[Waste Heat Cooling Energy WHFe],MATCH(M02S02F26,LightingWHF[Building/Space Type],0))),1))))</f>
        <v/>
      </c>
      <c r="BF92" s="1097" t="str">
        <f>IFERROR(IF((M92*O92)&lt;=(Z92*AB92),MEASURESAVE,IF(M02S02F35="",MEASURERATE,IF(AH92/M02S02F35/BA92&lt;1,MEASUREPAY,IF(AV92&lt;1,MEASURECB,IF(OR(ISBLANK(M02S02F26),ISBLANK(M02S02F32),ISBLANK(M02S02F46)),MEASUREBLDG,""))))),MEASURESUBMIT)</f>
        <v>Submit for Review</v>
      </c>
      <c r="BG92"/>
      <c r="BH92" s="995" t="str">
        <f ca="1">IF(OR(C92="",F92="",J92="",M92="",O92="",Q92="",S92="",W92="",Z92="",AB92="",AD92="",AF92=""),"",IF('M01-S01'!$V$82&lt;TODAY(),0,IF(M02S02F46="Gas Only",0,IF(OR(AK92="",AK92&lt;0,AH92&lt;=AN92),0,MIN(AH92-AN92,ROUND(IF(OR(ISNUMBER(SEARCH("T12",F92)),ISNUMBER(SEARCH("T8",F92)),ISNUMBER(SEARCH("T5",F92)),ISNUMBER(SEARCH("MH",F92)),ISNUMBER(SEARCH("HPS",F92)),ISNUMBER(SEARCH("MV",F92))),AN92*0.2),2))))))</f>
        <v/>
      </c>
      <c r="BI92"/>
    </row>
    <row r="93" spans="2:61" ht="15.95" hidden="1" customHeight="1">
      <c r="B93" s="829"/>
      <c r="C93" s="1088"/>
      <c r="D93" s="1088"/>
      <c r="E93" s="1088"/>
      <c r="F93" s="835"/>
      <c r="G93" s="836"/>
      <c r="H93" s="836"/>
      <c r="I93" s="837"/>
      <c r="J93" s="1088"/>
      <c r="K93" s="1088"/>
      <c r="L93" s="1088"/>
      <c r="M93" s="1078"/>
      <c r="N93" s="1078"/>
      <c r="O93" s="1081"/>
      <c r="P93" s="1082"/>
      <c r="Q93" s="1085"/>
      <c r="R93" s="1086"/>
      <c r="S93" s="851"/>
      <c r="T93" s="836"/>
      <c r="U93" s="836"/>
      <c r="V93" s="837"/>
      <c r="W93" s="1088"/>
      <c r="X93" s="1088"/>
      <c r="Y93" s="1088"/>
      <c r="Z93" s="1078"/>
      <c r="AA93" s="1078"/>
      <c r="AB93" s="1090"/>
      <c r="AC93" s="1090"/>
      <c r="AD93" s="1092"/>
      <c r="AE93" s="1092"/>
      <c r="AF93" s="1092"/>
      <c r="AG93" s="1094"/>
      <c r="AH93" s="865"/>
      <c r="AI93" s="1096"/>
      <c r="AJ93" s="1096"/>
      <c r="AK93" s="906"/>
      <c r="AL93" s="907"/>
      <c r="AM93" s="936"/>
      <c r="AN93" s="1100"/>
      <c r="AO93" s="1100"/>
      <c r="AP93" s="1100"/>
      <c r="AQ93" s="1100"/>
      <c r="AU93" s="1102"/>
      <c r="AV93" s="1102"/>
      <c r="AW93" s="901"/>
      <c r="AX93" s="812"/>
      <c r="AY93" s="812"/>
      <c r="AZ93" s="874"/>
      <c r="BA93" s="812"/>
      <c r="BB93" s="996"/>
      <c r="BC93" s="1098"/>
      <c r="BD93" s="996"/>
      <c r="BE93" s="996"/>
      <c r="BF93" s="1098"/>
      <c r="BG93"/>
      <c r="BH93" s="996"/>
      <c r="BI93"/>
    </row>
    <row r="94" spans="2:61" ht="15.95" hidden="1" customHeight="1">
      <c r="B94" s="829">
        <v>40</v>
      </c>
      <c r="C94" s="1087"/>
      <c r="D94" s="1087"/>
      <c r="E94" s="1087"/>
      <c r="F94" s="866"/>
      <c r="G94" s="867"/>
      <c r="H94" s="867"/>
      <c r="I94" s="868"/>
      <c r="J94" s="1087"/>
      <c r="K94" s="1087"/>
      <c r="L94" s="1087"/>
      <c r="M94" s="1077"/>
      <c r="N94" s="1077"/>
      <c r="O94" s="1079" t="str">
        <f>IFERROR(IF(F94="","",INDEX(CMLIGHTBASE[Base Watt 1],MATCH(F94,CMLIGHTBASE[Base Desc 1],0))),"")</f>
        <v/>
      </c>
      <c r="P94" s="1080"/>
      <c r="Q94" s="1083"/>
      <c r="R94" s="1084"/>
      <c r="S94" s="885"/>
      <c r="T94" s="867"/>
      <c r="U94" s="867"/>
      <c r="V94" s="868"/>
      <c r="W94" s="1087"/>
      <c r="X94" s="1087"/>
      <c r="Y94" s="1087"/>
      <c r="Z94" s="1077"/>
      <c r="AA94" s="1077"/>
      <c r="AB94" s="1089"/>
      <c r="AC94" s="1089"/>
      <c r="AD94" s="1091"/>
      <c r="AE94" s="1091"/>
      <c r="AF94" s="1091"/>
      <c r="AG94" s="1093"/>
      <c r="AH94" s="918" t="str">
        <f t="shared" ref="AH94" si="190">IFERROR(IF(OR(C94="",J94="",M94="",O94="",Q94="",W94="",Z94="",AB94="",AD94="",AF94=""),"",ROUND((AD94+AF94)*Z94,2)),"")</f>
        <v/>
      </c>
      <c r="AI94" s="1095"/>
      <c r="AJ94" s="1095"/>
      <c r="AK94" s="904" t="str">
        <f t="shared" ref="AK94" si="191">IFERROR(IF(OR(C94="",F94="",J94="",M94="",O94="",Q94="",S94="",W94="",Z94="",AB94="",AD94="",AF94=""),"",ROUND(IF((M94*O94)&lt;=(Z94*AB94),"0",(AX94-AY94+BD94)*BE94),2)),"")</f>
        <v/>
      </c>
      <c r="AL94" s="905"/>
      <c r="AM94" s="969"/>
      <c r="AN94" s="1099" t="str">
        <f>IFERROR(IF(OR(C94="",F94="",J94="",M94="",O94="",Q94="",S94="",W94="",Z94="",AB94="",AD94="",AF94=""),"",IF(OR(ISNUMBER(SEARCH("~~",F94)),ISNUMBER(SEARCH("~~",S94))),"Invalid Fixture Type Selected",IF(BF94&lt;&gt;"",BF94,ROUND(MIN(AH94*0.75,AK94*INDEX(INCRATE[Electric],MATCH("CMLIGHT",INCRATE[Incentive Type]))),2)))),"")</f>
        <v/>
      </c>
      <c r="AO94" s="1099"/>
      <c r="AP94" s="1099"/>
      <c r="AQ94" s="1099"/>
      <c r="AU94" s="1103" t="str">
        <f>IF(F94="","",INDEX(CUSTLIGHTUNIT,MATCH(F94,CMELIGHTBASE1,0)))</f>
        <v/>
      </c>
      <c r="AV94" s="1101" t="str">
        <f>IFERROR(IF(OR(C94="",F94="",J94="",M94="",O94="",Q94="",S94="",W94="",Z94="",AB94="",AD94="",AF94=""),"",((((1+ELOSS)*((AK94*INDEX(ELECCB[NPV AEC $/kWh],MATCH(15,ELECCB[Year Number],0)))+(AW94*INDEX(ELECCB[NPV ACC+T&amp;D $/kW],MATCH(15,ELECCB[Year Number],0)))))+((1+GLOSS)*((BB94*INDEX(GASCB[NPV GAEC $/therm],MATCH(15,GASCB[Year Number],1))))))/AH94)),"")</f>
        <v/>
      </c>
      <c r="AW94" s="900" t="str">
        <f>IFERROR(IF(OR(C94="",F94="",J94="",M94="",O94="",Q94="",S94="",W94="",Z94="",AB94="",AD94="",AF94=""),"",IF(OR(ISNUMBER(SEARCH("Exterior",C94)),((M94*O94)&lt;=(Z94*AB94)),ISNUMBER(SEARCH("Exterior",S94)),ISNUMBER(SEARCH("Exterior",F94))),0,ROUND((((M94*O94)-(Z94*AB94))/1000)*INDEX(LightingWHF[Coincidence Factor CF],MATCH(M02S02F26,LightingWHF[Building/Space Type],0))*IF(OR(M02S02F32="AC with Natural Gas Heat",M02S02F32="AC with Electric Heat",M02S02F32="Heat Pump"),INDEX(LightingWHF[Waste Heat Cooling Demand WHFd],MATCH(M02S02F26,LightingWHF[Building/Space Type],0)),1),3))),"")</f>
        <v/>
      </c>
      <c r="AX94" s="811" t="str">
        <f t="shared" ref="AX94" si="192">IF(OR(C94="",F94="",J94="",M94="",O94="",Q94="",S94="",W94="",Z94="",AB94="",AD94="",AF94=""),"",ROUND(M94*O94*Q94/1000,2))</f>
        <v/>
      </c>
      <c r="AY94" s="811" t="str">
        <f t="shared" ref="AY94" si="193">IF(OR(C94="",F94="",J94="",M94="",O94="",Q94="",S94="",W94="",Z94="",AB94="",AD94="",AF94=""),"",ROUND(Z94*AB94*Q94/1000,2))</f>
        <v/>
      </c>
      <c r="AZ94" s="873" t="str">
        <f>IF(OR(C94="",F94="",J94="",M94="",O94="",Q94="",S94="",W94="",Z94="",AB94="",AD94="",AF94=""),"",IF(ISNUMBER(AN94),(CONCATENATE(INDEX(CMLIGHTBASE[Measure Number],MATCH(F94,CMLIGHTBASE[Base Desc 1],0)),INDEX(CMLIGHTEFF[Measure Number],MATCH(S94,CMLIGHTEFF[Eff Desc 1],0)))),IF(AK94=0,"","000001")))</f>
        <v/>
      </c>
      <c r="BA94" s="811" t="str">
        <f t="shared" ref="BA94" si="194">IF(OR(C94="",F94="",J94="",M94="",O94="",Q94="",S94="",W94="",Z94="",AB94="",AD94="",AF94=""),"",IF((M94*O94)&lt;=(Z94*AB94),"0",AX94-AY94))</f>
        <v/>
      </c>
      <c r="BB94" s="1058" t="str">
        <f>IF(OR(C94="",F94="",J94="",M94="",O94="",Q94="",S94="",W94="",Z94="",AB94="",AD94="",AF94=""),"",IF(M02S02F46="Electric Only",0,IF(OR(ISNUMBER(SEARCH("Exterior",S94)),ISNUMBER(SEARCH("Exterior",C94)),ISNUMBER(SEARCH("Exterior",F94))),0,IF(OR(M02S02F32="AC with Natural Gas Heat",M02S02F32="Natural Gas Heat Only"),(((O94*M94-AB94*Z94)/1000)*Q94*-INDEX(LightingWHF[Waste Heat Gas Heating IFTherms],MATCH(M02S02F26,LightingWHF[Building/Space Type],0))),0))))</f>
        <v/>
      </c>
      <c r="BC94" s="1097" t="str">
        <f>IFERROR(AH94/M02S02F35/BA94,"")</f>
        <v/>
      </c>
      <c r="BD94" s="1058" t="str">
        <f>IF(OR(C94="",F94="",J94="",M94="",O94="",Q94="",S94="",W94="",Z94="",AB94="",AD94="",AF94=""),"",IF(M02S02F46="Gas Only",0,IF(OR(ISNUMBER(SEARCH("Exterior",S94)),ISNUMBER(SEARCH("Exterior",C94)),ISNUMBER(SEARCH("Exterior",F94))),0,IF(M02S02F32="Heat Pump",(((O94*M94-AB94*Z94)/1000)*Q94*-INDEX(LightingWHF[Waste Heat Electric Heat Pump Heating IFkWh],MATCH(M02S02F26,LightingWHF[Building/Space Type],0))),
IF(OR(M02S02F32="AC with Electric Heat",M02S02F32="Electric Heat Only"),(((O94*M94-AB94*Z94)/1000)*Q94*-INDEX(LightingWHF[Waste Heat Electric Resistance Heating IFkWh],MATCH(M02S02F26,LightingWHF[Building/Space Type],0))),0
)))))</f>
        <v/>
      </c>
      <c r="BE94" s="1058" t="str">
        <f>IF(OR(C94="",F94="",J94="",M94="",O94="",Q94="",S94="",W94="",Z94="",AB94="",AD94="",AF94=""),"",IF(M02S02F46="Gas Only",0,IF(OR(ISNUMBER(SEARCH("Exterior",S94)),ISNUMBER(SEARCH("Exterior",C94)),ISNUMBER(SEARCH("Exterior",F94))),1,IF(OR(M02S02F32="Heat Pump",M02S02F32="AC with Natural Gas Heat",M02S02F32="AC with Electric Heat"),(INDEX(LightingWHF[Waste Heat Cooling Energy WHFe],MATCH(M02S02F26,LightingWHF[Building/Space Type],0))),1))))</f>
        <v/>
      </c>
      <c r="BF94" s="1097" t="str">
        <f>IFERROR(IF((M94*O94)&lt;=(Z94*AB94),MEASURESAVE,IF(M02S02F35="",MEASURERATE,IF(AH94/M02S02F35/BA94&lt;1,MEASUREPAY,IF(AV94&lt;1,MEASURECB,IF(OR(ISBLANK(M02S02F26),ISBLANK(M02S02F32),ISBLANK(M02S02F46)),MEASUREBLDG,""))))),MEASURESUBMIT)</f>
        <v>Submit for Review</v>
      </c>
      <c r="BG94"/>
      <c r="BH94" s="995" t="str">
        <f ca="1">IF(OR(C94="",F94="",J94="",M94="",O94="",Q94="",S94="",W94="",Z94="",AB94="",AD94="",AF94=""),"",IF('M01-S01'!$V$82&lt;TODAY(),0,IF(M02S02F46="Gas Only",0,IF(OR(AK94="",AK94&lt;0,AH94&lt;=AN94),0,MIN(AH94-AN94,ROUND(IF(OR(ISNUMBER(SEARCH("T12",F94)),ISNUMBER(SEARCH("T8",F94)),ISNUMBER(SEARCH("T5",F94)),ISNUMBER(SEARCH("MH",F94)),ISNUMBER(SEARCH("HPS",F94)),ISNUMBER(SEARCH("MV",F94))),AN94*0.2),2))))))</f>
        <v/>
      </c>
      <c r="BI94"/>
    </row>
    <row r="95" spans="2:61" ht="15.95" hidden="1" customHeight="1">
      <c r="B95" s="829"/>
      <c r="C95" s="1088"/>
      <c r="D95" s="1088"/>
      <c r="E95" s="1088"/>
      <c r="F95" s="835"/>
      <c r="G95" s="836"/>
      <c r="H95" s="836"/>
      <c r="I95" s="837"/>
      <c r="J95" s="1088"/>
      <c r="K95" s="1088"/>
      <c r="L95" s="1088"/>
      <c r="M95" s="1078"/>
      <c r="N95" s="1078"/>
      <c r="O95" s="1081"/>
      <c r="P95" s="1082"/>
      <c r="Q95" s="1085"/>
      <c r="R95" s="1086"/>
      <c r="S95" s="851"/>
      <c r="T95" s="836"/>
      <c r="U95" s="836"/>
      <c r="V95" s="837"/>
      <c r="W95" s="1088"/>
      <c r="X95" s="1088"/>
      <c r="Y95" s="1088"/>
      <c r="Z95" s="1078"/>
      <c r="AA95" s="1078"/>
      <c r="AB95" s="1090"/>
      <c r="AC95" s="1090"/>
      <c r="AD95" s="1092"/>
      <c r="AE95" s="1092"/>
      <c r="AF95" s="1092"/>
      <c r="AG95" s="1094"/>
      <c r="AH95" s="865"/>
      <c r="AI95" s="1096"/>
      <c r="AJ95" s="1096"/>
      <c r="AK95" s="906"/>
      <c r="AL95" s="907"/>
      <c r="AM95" s="936"/>
      <c r="AN95" s="1100"/>
      <c r="AO95" s="1100"/>
      <c r="AP95" s="1100"/>
      <c r="AQ95" s="1100"/>
      <c r="AU95" s="1102"/>
      <c r="AV95" s="1102"/>
      <c r="AW95" s="901"/>
      <c r="AX95" s="812"/>
      <c r="AY95" s="812"/>
      <c r="AZ95" s="874"/>
      <c r="BA95" s="812"/>
      <c r="BB95" s="996"/>
      <c r="BC95" s="1098"/>
      <c r="BD95" s="996"/>
      <c r="BE95" s="996"/>
      <c r="BF95" s="1098"/>
      <c r="BG95"/>
      <c r="BH95" s="996"/>
      <c r="BI95"/>
    </row>
    <row r="96" spans="2:61" ht="15.95" hidden="1" customHeight="1">
      <c r="B96" s="829">
        <v>41</v>
      </c>
      <c r="C96" s="1087"/>
      <c r="D96" s="1087"/>
      <c r="E96" s="1087"/>
      <c r="F96" s="866"/>
      <c r="G96" s="867"/>
      <c r="H96" s="867"/>
      <c r="I96" s="868"/>
      <c r="J96" s="1087"/>
      <c r="K96" s="1087"/>
      <c r="L96" s="1087"/>
      <c r="M96" s="1077"/>
      <c r="N96" s="1077"/>
      <c r="O96" s="1079" t="str">
        <f>IFERROR(IF(F96="","",INDEX(CMLIGHTBASE[Base Watt 1],MATCH(F96,CMLIGHTBASE[Base Desc 1],0))),"")</f>
        <v/>
      </c>
      <c r="P96" s="1080"/>
      <c r="Q96" s="1083"/>
      <c r="R96" s="1084"/>
      <c r="S96" s="885"/>
      <c r="T96" s="867"/>
      <c r="U96" s="867"/>
      <c r="V96" s="868"/>
      <c r="W96" s="1087"/>
      <c r="X96" s="1087"/>
      <c r="Y96" s="1087"/>
      <c r="Z96" s="1077"/>
      <c r="AA96" s="1077"/>
      <c r="AB96" s="1089"/>
      <c r="AC96" s="1089"/>
      <c r="AD96" s="1091"/>
      <c r="AE96" s="1091"/>
      <c r="AF96" s="1091"/>
      <c r="AG96" s="1093"/>
      <c r="AH96" s="918" t="str">
        <f t="shared" ref="AH96" si="195">IFERROR(IF(OR(C96="",J96="",M96="",O96="",Q96="",W96="",Z96="",AB96="",AD96="",AF96=""),"",ROUND((AD96+AF96)*Z96,2)),"")</f>
        <v/>
      </c>
      <c r="AI96" s="1095"/>
      <c r="AJ96" s="1095"/>
      <c r="AK96" s="904" t="str">
        <f t="shared" ref="AK96" si="196">IFERROR(IF(OR(C96="",F96="",J96="",M96="",O96="",Q96="",S96="",W96="",Z96="",AB96="",AD96="",AF96=""),"",ROUND(IF((M96*O96)&lt;=(Z96*AB96),"0",(AX96-AY96+BD96)*BE96),2)),"")</f>
        <v/>
      </c>
      <c r="AL96" s="905"/>
      <c r="AM96" s="969"/>
      <c r="AN96" s="1099" t="str">
        <f>IFERROR(IF(OR(C96="",F96="",J96="",M96="",O96="",Q96="",S96="",W96="",Z96="",AB96="",AD96="",AF96=""),"",IF(OR(ISNUMBER(SEARCH("~~",F96)),ISNUMBER(SEARCH("~~",S96))),"Invalid Fixture Type Selected",IF(BF96&lt;&gt;"",BF96,ROUND(MIN(AH96*0.75,AK96*INDEX(INCRATE[Electric],MATCH("CMLIGHT",INCRATE[Incentive Type]))),2)))),"")</f>
        <v/>
      </c>
      <c r="AO96" s="1099"/>
      <c r="AP96" s="1099"/>
      <c r="AQ96" s="1099"/>
      <c r="AU96" s="1103" t="str">
        <f>IF(F96="","",INDEX(CUSTLIGHTUNIT,MATCH(F96,CMELIGHTBASE1,0)))</f>
        <v/>
      </c>
      <c r="AV96" s="1101" t="str">
        <f>IFERROR(IF(OR(C96="",F96="",J96="",M96="",O96="",Q96="",S96="",W96="",Z96="",AB96="",AD96="",AF96=""),"",((((1+ELOSS)*((AK96*INDEX(ELECCB[NPV AEC $/kWh],MATCH(15,ELECCB[Year Number],0)))+(AW96*INDEX(ELECCB[NPV ACC+T&amp;D $/kW],MATCH(15,ELECCB[Year Number],0)))))+((1+GLOSS)*((BB96*INDEX(GASCB[NPV GAEC $/therm],MATCH(15,GASCB[Year Number],1))))))/AH96)),"")</f>
        <v/>
      </c>
      <c r="AW96" s="900" t="str">
        <f>IFERROR(IF(OR(C96="",F96="",J96="",M96="",O96="",Q96="",S96="",W96="",Z96="",AB96="",AD96="",AF96=""),"",IF(OR(ISNUMBER(SEARCH("Exterior",C96)),((M96*O96)&lt;=(Z96*AB96)),ISNUMBER(SEARCH("Exterior",S96)),ISNUMBER(SEARCH("Exterior",F96))),0,ROUND((((M96*O96)-(Z96*AB96))/1000)*INDEX(LightingWHF[Coincidence Factor CF],MATCH(M02S02F26,LightingWHF[Building/Space Type],0))*IF(OR(M02S02F32="AC with Natural Gas Heat",M02S02F32="AC with Electric Heat",M02S02F32="Heat Pump"),INDEX(LightingWHF[Waste Heat Cooling Demand WHFd],MATCH(M02S02F26,LightingWHF[Building/Space Type],0)),1),3))),"")</f>
        <v/>
      </c>
      <c r="AX96" s="811" t="str">
        <f t="shared" ref="AX96" si="197">IF(OR(C96="",F96="",J96="",M96="",O96="",Q96="",S96="",W96="",Z96="",AB96="",AD96="",AF96=""),"",ROUND(M96*O96*Q96/1000,2))</f>
        <v/>
      </c>
      <c r="AY96" s="811" t="str">
        <f t="shared" ref="AY96" si="198">IF(OR(C96="",F96="",J96="",M96="",O96="",Q96="",S96="",W96="",Z96="",AB96="",AD96="",AF96=""),"",ROUND(Z96*AB96*Q96/1000,2))</f>
        <v/>
      </c>
      <c r="AZ96" s="873" t="str">
        <f>IF(OR(C96="",F96="",J96="",M96="",O96="",Q96="",S96="",W96="",Z96="",AB96="",AD96="",AF96=""),"",IF(ISNUMBER(AN96),(CONCATENATE(INDEX(CMLIGHTBASE[Measure Number],MATCH(F96,CMLIGHTBASE[Base Desc 1],0)),INDEX(CMLIGHTEFF[Measure Number],MATCH(S96,CMLIGHTEFF[Eff Desc 1],0)))),IF(AK96=0,"","000001")))</f>
        <v/>
      </c>
      <c r="BA96" s="811" t="str">
        <f t="shared" ref="BA96" si="199">IF(OR(C96="",F96="",J96="",M96="",O96="",Q96="",S96="",W96="",Z96="",AB96="",AD96="",AF96=""),"",IF((M96*O96)&lt;=(Z96*AB96),"0",AX96-AY96))</f>
        <v/>
      </c>
      <c r="BB96" s="1058" t="str">
        <f>IF(OR(C96="",F96="",J96="",M96="",O96="",Q96="",S96="",W96="",Z96="",AB96="",AD96="",AF96=""),"",IF(M02S02F46="Electric Only",0,IF(OR(ISNUMBER(SEARCH("Exterior",S96)),ISNUMBER(SEARCH("Exterior",C96)),ISNUMBER(SEARCH("Exterior",F96))),0,IF(OR(M02S02F32="AC with Natural Gas Heat",M02S02F32="Natural Gas Heat Only"),(((O96*M96-AB96*Z96)/1000)*Q96*-INDEX(LightingWHF[Waste Heat Gas Heating IFTherms],MATCH(M02S02F26,LightingWHF[Building/Space Type],0))),0))))</f>
        <v/>
      </c>
      <c r="BC96" s="1097" t="str">
        <f>IFERROR(AH96/M02S02F35/BA96,"")</f>
        <v/>
      </c>
      <c r="BD96" s="1058" t="str">
        <f>IF(OR(C96="",F96="",J96="",M96="",O96="",Q96="",S96="",W96="",Z96="",AB96="",AD96="",AF96=""),"",IF(M02S02F46="Gas Only",0,IF(OR(ISNUMBER(SEARCH("Exterior",S96)),ISNUMBER(SEARCH("Exterior",C96)),ISNUMBER(SEARCH("Exterior",F96))),0,IF(M02S02F32="Heat Pump",(((O96*M96-AB96*Z96)/1000)*Q96*-INDEX(LightingWHF[Waste Heat Electric Heat Pump Heating IFkWh],MATCH(M02S02F26,LightingWHF[Building/Space Type],0))),
IF(OR(M02S02F32="AC with Electric Heat",M02S02F32="Electric Heat Only"),(((O96*M96-AB96*Z96)/1000)*Q96*-INDEX(LightingWHF[Waste Heat Electric Resistance Heating IFkWh],MATCH(M02S02F26,LightingWHF[Building/Space Type],0))),0
)))))</f>
        <v/>
      </c>
      <c r="BE96" s="1058" t="str">
        <f>IF(OR(C96="",F96="",J96="",M96="",O96="",Q96="",S96="",W96="",Z96="",AB96="",AD96="",AF96=""),"",IF(M02S02F46="Gas Only",0,IF(OR(ISNUMBER(SEARCH("Exterior",S96)),ISNUMBER(SEARCH("Exterior",C96)),ISNUMBER(SEARCH("Exterior",F96))),1,IF(OR(M02S02F32="Heat Pump",M02S02F32="AC with Natural Gas Heat",M02S02F32="AC with Electric Heat"),(INDEX(LightingWHF[Waste Heat Cooling Energy WHFe],MATCH(M02S02F26,LightingWHF[Building/Space Type],0))),1))))</f>
        <v/>
      </c>
      <c r="BF96" s="1097" t="str">
        <f>IFERROR(IF((M96*O96)&lt;=(Z96*AB96),MEASURESAVE,IF(M02S02F35="",MEASURERATE,IF(AH96/M02S02F35/BA96&lt;1,MEASUREPAY,IF(AV96&lt;1,MEASURECB,IF(OR(ISBLANK(M02S02F26),ISBLANK(M02S02F32),ISBLANK(M02S02F46)),MEASUREBLDG,""))))),MEASURESUBMIT)</f>
        <v>Submit for Review</v>
      </c>
      <c r="BG96"/>
      <c r="BH96" s="995" t="str">
        <f ca="1">IF(OR(C96="",F96="",J96="",M96="",O96="",Q96="",S96="",W96="",Z96="",AB96="",AD96="",AF96=""),"",IF('M01-S01'!$V$82&lt;TODAY(),0,IF(M02S02F46="Gas Only",0,IF(OR(AK96="",AK96&lt;0,AH96&lt;=AN96),0,MIN(AH96-AN96,ROUND(IF(OR(ISNUMBER(SEARCH("T12",F96)),ISNUMBER(SEARCH("T8",F96)),ISNUMBER(SEARCH("T5",F96)),ISNUMBER(SEARCH("MH",F96)),ISNUMBER(SEARCH("HPS",F96)),ISNUMBER(SEARCH("MV",F96))),AN96*0.2),2))))))</f>
        <v/>
      </c>
      <c r="BI96"/>
    </row>
    <row r="97" spans="2:61" ht="15.95" hidden="1" customHeight="1">
      <c r="B97" s="829"/>
      <c r="C97" s="1088"/>
      <c r="D97" s="1088"/>
      <c r="E97" s="1088"/>
      <c r="F97" s="835"/>
      <c r="G97" s="836"/>
      <c r="H97" s="836"/>
      <c r="I97" s="837"/>
      <c r="J97" s="1088"/>
      <c r="K97" s="1088"/>
      <c r="L97" s="1088"/>
      <c r="M97" s="1078"/>
      <c r="N97" s="1078"/>
      <c r="O97" s="1081"/>
      <c r="P97" s="1082"/>
      <c r="Q97" s="1085"/>
      <c r="R97" s="1086"/>
      <c r="S97" s="851"/>
      <c r="T97" s="836"/>
      <c r="U97" s="836"/>
      <c r="V97" s="837"/>
      <c r="W97" s="1088"/>
      <c r="X97" s="1088"/>
      <c r="Y97" s="1088"/>
      <c r="Z97" s="1078"/>
      <c r="AA97" s="1078"/>
      <c r="AB97" s="1090"/>
      <c r="AC97" s="1090"/>
      <c r="AD97" s="1092"/>
      <c r="AE97" s="1092"/>
      <c r="AF97" s="1092"/>
      <c r="AG97" s="1094"/>
      <c r="AH97" s="865"/>
      <c r="AI97" s="1096"/>
      <c r="AJ97" s="1096"/>
      <c r="AK97" s="906"/>
      <c r="AL97" s="907"/>
      <c r="AM97" s="936"/>
      <c r="AN97" s="1100"/>
      <c r="AO97" s="1100"/>
      <c r="AP97" s="1100"/>
      <c r="AQ97" s="1100"/>
      <c r="AU97" s="1102"/>
      <c r="AV97" s="1102"/>
      <c r="AW97" s="901"/>
      <c r="AX97" s="812"/>
      <c r="AY97" s="812"/>
      <c r="AZ97" s="874"/>
      <c r="BA97" s="812"/>
      <c r="BB97" s="996"/>
      <c r="BC97" s="1098"/>
      <c r="BD97" s="996"/>
      <c r="BE97" s="996"/>
      <c r="BF97" s="1098"/>
      <c r="BG97"/>
      <c r="BH97" s="996"/>
      <c r="BI97"/>
    </row>
    <row r="98" spans="2:61" ht="15.95" hidden="1" customHeight="1">
      <c r="B98" s="829">
        <v>42</v>
      </c>
      <c r="C98" s="1087"/>
      <c r="D98" s="1087"/>
      <c r="E98" s="1087"/>
      <c r="F98" s="866"/>
      <c r="G98" s="867"/>
      <c r="H98" s="867"/>
      <c r="I98" s="868"/>
      <c r="J98" s="1087"/>
      <c r="K98" s="1087"/>
      <c r="L98" s="1087"/>
      <c r="M98" s="1077"/>
      <c r="N98" s="1077"/>
      <c r="O98" s="1079" t="str">
        <f>IFERROR(IF(F98="","",INDEX(CMLIGHTBASE[Base Watt 1],MATCH(F98,CMLIGHTBASE[Base Desc 1],0))),"")</f>
        <v/>
      </c>
      <c r="P98" s="1080"/>
      <c r="Q98" s="1083"/>
      <c r="R98" s="1084"/>
      <c r="S98" s="885"/>
      <c r="T98" s="867"/>
      <c r="U98" s="867"/>
      <c r="V98" s="868"/>
      <c r="W98" s="1087"/>
      <c r="X98" s="1087"/>
      <c r="Y98" s="1087"/>
      <c r="Z98" s="1077"/>
      <c r="AA98" s="1077"/>
      <c r="AB98" s="1089"/>
      <c r="AC98" s="1089"/>
      <c r="AD98" s="1091"/>
      <c r="AE98" s="1091"/>
      <c r="AF98" s="1091"/>
      <c r="AG98" s="1093"/>
      <c r="AH98" s="918" t="str">
        <f t="shared" ref="AH98" si="200">IFERROR(IF(OR(C98="",J98="",M98="",O98="",Q98="",W98="",Z98="",AB98="",AD98="",AF98=""),"",ROUND((AD98+AF98)*Z98,2)),"")</f>
        <v/>
      </c>
      <c r="AI98" s="1095"/>
      <c r="AJ98" s="1095"/>
      <c r="AK98" s="904" t="str">
        <f t="shared" ref="AK98" si="201">IFERROR(IF(OR(C98="",F98="",J98="",M98="",O98="",Q98="",S98="",W98="",Z98="",AB98="",AD98="",AF98=""),"",ROUND(IF((M98*O98)&lt;=(Z98*AB98),"0",(AX98-AY98+BD98)*BE98),2)),"")</f>
        <v/>
      </c>
      <c r="AL98" s="905"/>
      <c r="AM98" s="969"/>
      <c r="AN98" s="1099" t="str">
        <f>IFERROR(IF(OR(C98="",F98="",J98="",M98="",O98="",Q98="",S98="",W98="",Z98="",AB98="",AD98="",AF98=""),"",IF(OR(ISNUMBER(SEARCH("~~",F98)),ISNUMBER(SEARCH("~~",S98))),"Invalid Fixture Type Selected",IF(BF98&lt;&gt;"",BF98,ROUND(MIN(AH98*0.75,AK98*INDEX(INCRATE[Electric],MATCH("CMLIGHT",INCRATE[Incentive Type]))),2)))),"")</f>
        <v/>
      </c>
      <c r="AO98" s="1099"/>
      <c r="AP98" s="1099"/>
      <c r="AQ98" s="1099"/>
      <c r="AU98" s="1103" t="str">
        <f>IF(F98="","",INDEX(CUSTLIGHTUNIT,MATCH(F98,CMELIGHTBASE1,0)))</f>
        <v/>
      </c>
      <c r="AV98" s="1101" t="str">
        <f>IFERROR(IF(OR(C98="",F98="",J98="",M98="",O98="",Q98="",S98="",W98="",Z98="",AB98="",AD98="",AF98=""),"",((((1+ELOSS)*((AK98*INDEX(ELECCB[NPV AEC $/kWh],MATCH(15,ELECCB[Year Number],0)))+(AW98*INDEX(ELECCB[NPV ACC+T&amp;D $/kW],MATCH(15,ELECCB[Year Number],0)))))+((1+GLOSS)*((BB98*INDEX(GASCB[NPV GAEC $/therm],MATCH(15,GASCB[Year Number],1))))))/AH98)),"")</f>
        <v/>
      </c>
      <c r="AW98" s="900" t="str">
        <f>IFERROR(IF(OR(C98="",F98="",J98="",M98="",O98="",Q98="",S98="",W98="",Z98="",AB98="",AD98="",AF98=""),"",IF(OR(ISNUMBER(SEARCH("Exterior",C98)),((M98*O98)&lt;=(Z98*AB98)),ISNUMBER(SEARCH("Exterior",S98)),ISNUMBER(SEARCH("Exterior",F98))),0,ROUND((((M98*O98)-(Z98*AB98))/1000)*INDEX(LightingWHF[Coincidence Factor CF],MATCH(M02S02F26,LightingWHF[Building/Space Type],0))*IF(OR(M02S02F32="AC with Natural Gas Heat",M02S02F32="AC with Electric Heat",M02S02F32="Heat Pump"),INDEX(LightingWHF[Waste Heat Cooling Demand WHFd],MATCH(M02S02F26,LightingWHF[Building/Space Type],0)),1),3))),"")</f>
        <v/>
      </c>
      <c r="AX98" s="811" t="str">
        <f t="shared" ref="AX98" si="202">IF(OR(C98="",F98="",J98="",M98="",O98="",Q98="",S98="",W98="",Z98="",AB98="",AD98="",AF98=""),"",ROUND(M98*O98*Q98/1000,2))</f>
        <v/>
      </c>
      <c r="AY98" s="811" t="str">
        <f t="shared" ref="AY98" si="203">IF(OR(C98="",F98="",J98="",M98="",O98="",Q98="",S98="",W98="",Z98="",AB98="",AD98="",AF98=""),"",ROUND(Z98*AB98*Q98/1000,2))</f>
        <v/>
      </c>
      <c r="AZ98" s="873" t="str">
        <f>IF(OR(C98="",F98="",J98="",M98="",O98="",Q98="",S98="",W98="",Z98="",AB98="",AD98="",AF98=""),"",IF(ISNUMBER(AN98),(CONCATENATE(INDEX(CMLIGHTBASE[Measure Number],MATCH(F98,CMLIGHTBASE[Base Desc 1],0)),INDEX(CMLIGHTEFF[Measure Number],MATCH(S98,CMLIGHTEFF[Eff Desc 1],0)))),IF(AK98=0,"","000001")))</f>
        <v/>
      </c>
      <c r="BA98" s="811" t="str">
        <f t="shared" ref="BA98" si="204">IF(OR(C98="",F98="",J98="",M98="",O98="",Q98="",S98="",W98="",Z98="",AB98="",AD98="",AF98=""),"",IF((M98*O98)&lt;=(Z98*AB98),"0",AX98-AY98))</f>
        <v/>
      </c>
      <c r="BB98" s="1058" t="str">
        <f>IF(OR(C98="",F98="",J98="",M98="",O98="",Q98="",S98="",W98="",Z98="",AB98="",AD98="",AF98=""),"",IF(M02S02F46="Electric Only",0,IF(OR(ISNUMBER(SEARCH("Exterior",S98)),ISNUMBER(SEARCH("Exterior",C98)),ISNUMBER(SEARCH("Exterior",F98))),0,IF(OR(M02S02F32="AC with Natural Gas Heat",M02S02F32="Natural Gas Heat Only"),(((O98*M98-AB98*Z98)/1000)*Q98*-INDEX(LightingWHF[Waste Heat Gas Heating IFTherms],MATCH(M02S02F26,LightingWHF[Building/Space Type],0))),0))))</f>
        <v/>
      </c>
      <c r="BC98" s="1097" t="str">
        <f>IFERROR(AH98/M02S02F35/BA98,"")</f>
        <v/>
      </c>
      <c r="BD98" s="1058" t="str">
        <f>IF(OR(C98="",F98="",J98="",M98="",O98="",Q98="",S98="",W98="",Z98="",AB98="",AD98="",AF98=""),"",IF(M02S02F46="Gas Only",0,IF(OR(ISNUMBER(SEARCH("Exterior",S98)),ISNUMBER(SEARCH("Exterior",C98)),ISNUMBER(SEARCH("Exterior",F98))),0,IF(M02S02F32="Heat Pump",(((O98*M98-AB98*Z98)/1000)*Q98*-INDEX(LightingWHF[Waste Heat Electric Heat Pump Heating IFkWh],MATCH(M02S02F26,LightingWHF[Building/Space Type],0))),
IF(OR(M02S02F32="AC with Electric Heat",M02S02F32="Electric Heat Only"),(((O98*M98-AB98*Z98)/1000)*Q98*-INDEX(LightingWHF[Waste Heat Electric Resistance Heating IFkWh],MATCH(M02S02F26,LightingWHF[Building/Space Type],0))),0
)))))</f>
        <v/>
      </c>
      <c r="BE98" s="1058" t="str">
        <f>IF(OR(C98="",F98="",J98="",M98="",O98="",Q98="",S98="",W98="",Z98="",AB98="",AD98="",AF98=""),"",IF(M02S02F46="Gas Only",0,IF(OR(ISNUMBER(SEARCH("Exterior",S98)),ISNUMBER(SEARCH("Exterior",C98)),ISNUMBER(SEARCH("Exterior",F98))),1,IF(OR(M02S02F32="Heat Pump",M02S02F32="AC with Natural Gas Heat",M02S02F32="AC with Electric Heat"),(INDEX(LightingWHF[Waste Heat Cooling Energy WHFe],MATCH(M02S02F26,LightingWHF[Building/Space Type],0))),1))))</f>
        <v/>
      </c>
      <c r="BF98" s="1097" t="str">
        <f>IFERROR(IF((M98*O98)&lt;=(Z98*AB98),MEASURESAVE,IF(M02S02F35="",MEASURERATE,IF(AH98/M02S02F35/BA98&lt;1,MEASUREPAY,IF(AV98&lt;1,MEASURECB,IF(OR(ISBLANK(M02S02F26),ISBLANK(M02S02F32),ISBLANK(M02S02F46)),MEASUREBLDG,""))))),MEASURESUBMIT)</f>
        <v>Submit for Review</v>
      </c>
      <c r="BG98"/>
      <c r="BH98" s="995" t="str">
        <f ca="1">IF(OR(C98="",F98="",J98="",M98="",O98="",Q98="",S98="",W98="",Z98="",AB98="",AD98="",AF98=""),"",IF('M01-S01'!$V$82&lt;TODAY(),0,IF(M02S02F46="Gas Only",0,IF(OR(AK98="",AK98&lt;0,AH98&lt;=AN98),0,MIN(AH98-AN98,ROUND(IF(OR(ISNUMBER(SEARCH("T12",F98)),ISNUMBER(SEARCH("T8",F98)),ISNUMBER(SEARCH("T5",F98)),ISNUMBER(SEARCH("MH",F98)),ISNUMBER(SEARCH("HPS",F98)),ISNUMBER(SEARCH("MV",F98))),AN98*0.2),2))))))</f>
        <v/>
      </c>
      <c r="BI98"/>
    </row>
    <row r="99" spans="2:61" ht="15.95" hidden="1" customHeight="1">
      <c r="B99" s="829"/>
      <c r="C99" s="1088"/>
      <c r="D99" s="1088"/>
      <c r="E99" s="1088"/>
      <c r="F99" s="835"/>
      <c r="G99" s="836"/>
      <c r="H99" s="836"/>
      <c r="I99" s="837"/>
      <c r="J99" s="1088"/>
      <c r="K99" s="1088"/>
      <c r="L99" s="1088"/>
      <c r="M99" s="1078"/>
      <c r="N99" s="1078"/>
      <c r="O99" s="1081"/>
      <c r="P99" s="1082"/>
      <c r="Q99" s="1085"/>
      <c r="R99" s="1086"/>
      <c r="S99" s="851"/>
      <c r="T99" s="836"/>
      <c r="U99" s="836"/>
      <c r="V99" s="837"/>
      <c r="W99" s="1088"/>
      <c r="X99" s="1088"/>
      <c r="Y99" s="1088"/>
      <c r="Z99" s="1078"/>
      <c r="AA99" s="1078"/>
      <c r="AB99" s="1090"/>
      <c r="AC99" s="1090"/>
      <c r="AD99" s="1092"/>
      <c r="AE99" s="1092"/>
      <c r="AF99" s="1092"/>
      <c r="AG99" s="1094"/>
      <c r="AH99" s="865"/>
      <c r="AI99" s="1096"/>
      <c r="AJ99" s="1096"/>
      <c r="AK99" s="906"/>
      <c r="AL99" s="907"/>
      <c r="AM99" s="936"/>
      <c r="AN99" s="1100"/>
      <c r="AO99" s="1100"/>
      <c r="AP99" s="1100"/>
      <c r="AQ99" s="1100"/>
      <c r="AU99" s="1102"/>
      <c r="AV99" s="1102"/>
      <c r="AW99" s="901"/>
      <c r="AX99" s="812"/>
      <c r="AY99" s="812"/>
      <c r="AZ99" s="874"/>
      <c r="BA99" s="812"/>
      <c r="BB99" s="996"/>
      <c r="BC99" s="1098"/>
      <c r="BD99" s="996"/>
      <c r="BE99" s="996"/>
      <c r="BF99" s="1098"/>
      <c r="BG99"/>
      <c r="BH99" s="996"/>
      <c r="BI99"/>
    </row>
    <row r="100" spans="2:61" ht="15.95" hidden="1" customHeight="1">
      <c r="B100" s="829">
        <v>43</v>
      </c>
      <c r="C100" s="1087"/>
      <c r="D100" s="1087"/>
      <c r="E100" s="1087"/>
      <c r="F100" s="866"/>
      <c r="G100" s="867"/>
      <c r="H100" s="867"/>
      <c r="I100" s="868"/>
      <c r="J100" s="1087"/>
      <c r="K100" s="1087"/>
      <c r="L100" s="1087"/>
      <c r="M100" s="1077"/>
      <c r="N100" s="1077"/>
      <c r="O100" s="1079" t="str">
        <f>IFERROR(IF(F100="","",INDEX(CMLIGHTBASE[Base Watt 1],MATCH(F100,CMLIGHTBASE[Base Desc 1],0))),"")</f>
        <v/>
      </c>
      <c r="P100" s="1080"/>
      <c r="Q100" s="1083"/>
      <c r="R100" s="1084"/>
      <c r="S100" s="885"/>
      <c r="T100" s="867"/>
      <c r="U100" s="867"/>
      <c r="V100" s="868"/>
      <c r="W100" s="1087"/>
      <c r="X100" s="1087"/>
      <c r="Y100" s="1087"/>
      <c r="Z100" s="1077"/>
      <c r="AA100" s="1077"/>
      <c r="AB100" s="1089"/>
      <c r="AC100" s="1089"/>
      <c r="AD100" s="1091"/>
      <c r="AE100" s="1091"/>
      <c r="AF100" s="1091"/>
      <c r="AG100" s="1093"/>
      <c r="AH100" s="918" t="str">
        <f t="shared" ref="AH100" si="205">IFERROR(IF(OR(C100="",J100="",M100="",O100="",Q100="",W100="",Z100="",AB100="",AD100="",AF100=""),"",ROUND((AD100+AF100)*Z100,2)),"")</f>
        <v/>
      </c>
      <c r="AI100" s="1095"/>
      <c r="AJ100" s="1095"/>
      <c r="AK100" s="904" t="str">
        <f t="shared" ref="AK100" si="206">IFERROR(IF(OR(C100="",F100="",J100="",M100="",O100="",Q100="",S100="",W100="",Z100="",AB100="",AD100="",AF100=""),"",ROUND(IF((M100*O100)&lt;=(Z100*AB100),"0",(AX100-AY100+BD100)*BE100),2)),"")</f>
        <v/>
      </c>
      <c r="AL100" s="905"/>
      <c r="AM100" s="969"/>
      <c r="AN100" s="1099" t="str">
        <f>IFERROR(IF(OR(C100="",F100="",J100="",M100="",O100="",Q100="",S100="",W100="",Z100="",AB100="",AD100="",AF100=""),"",IF(OR(ISNUMBER(SEARCH("~~",F100)),ISNUMBER(SEARCH("~~",S100))),"Invalid Fixture Type Selected",IF(BF100&lt;&gt;"",BF100,ROUND(MIN(AH100*0.75,AK100*INDEX(INCRATE[Electric],MATCH("CMLIGHT",INCRATE[Incentive Type]))),2)))),"")</f>
        <v/>
      </c>
      <c r="AO100" s="1099"/>
      <c r="AP100" s="1099"/>
      <c r="AQ100" s="1099"/>
      <c r="AU100" s="1103" t="str">
        <f>IF(F100="","",INDEX(CUSTLIGHTUNIT,MATCH(F100,CMELIGHTBASE1,0)))</f>
        <v/>
      </c>
      <c r="AV100" s="1101" t="str">
        <f>IFERROR(IF(OR(C100="",F100="",J100="",M100="",O100="",Q100="",S100="",W100="",Z100="",AB100="",AD100="",AF100=""),"",((((1+ELOSS)*((AK100*INDEX(ELECCB[NPV AEC $/kWh],MATCH(15,ELECCB[Year Number],0)))+(AW100*INDEX(ELECCB[NPV ACC+T&amp;D $/kW],MATCH(15,ELECCB[Year Number],0)))))+((1+GLOSS)*((BB100*INDEX(GASCB[NPV GAEC $/therm],MATCH(15,GASCB[Year Number],1))))))/AH100)),"")</f>
        <v/>
      </c>
      <c r="AW100" s="900" t="str">
        <f>IFERROR(IF(OR(C100="",F100="",J100="",M100="",O100="",Q100="",S100="",W100="",Z100="",AB100="",AD100="",AF100=""),"",IF(OR(ISNUMBER(SEARCH("Exterior",C100)),((M100*O100)&lt;=(Z100*AB100)),ISNUMBER(SEARCH("Exterior",S100)),ISNUMBER(SEARCH("Exterior",F100))),0,ROUND((((M100*O100)-(Z100*AB100))/1000)*INDEX(LightingWHF[Coincidence Factor CF],MATCH(M02S02F26,LightingWHF[Building/Space Type],0))*IF(OR(M02S02F32="AC with Natural Gas Heat",M02S02F32="AC with Electric Heat",M02S02F32="Heat Pump"),INDEX(LightingWHF[Waste Heat Cooling Demand WHFd],MATCH(M02S02F26,LightingWHF[Building/Space Type],0)),1),3))),"")</f>
        <v/>
      </c>
      <c r="AX100" s="811" t="str">
        <f t="shared" ref="AX100" si="207">IF(OR(C100="",F100="",J100="",M100="",O100="",Q100="",S100="",W100="",Z100="",AB100="",AD100="",AF100=""),"",ROUND(M100*O100*Q100/1000,2))</f>
        <v/>
      </c>
      <c r="AY100" s="811" t="str">
        <f t="shared" ref="AY100" si="208">IF(OR(C100="",F100="",J100="",M100="",O100="",Q100="",S100="",W100="",Z100="",AB100="",AD100="",AF100=""),"",ROUND(Z100*AB100*Q100/1000,2))</f>
        <v/>
      </c>
      <c r="AZ100" s="873" t="str">
        <f>IF(OR(C100="",F100="",J100="",M100="",O100="",Q100="",S100="",W100="",Z100="",AB100="",AD100="",AF100=""),"",IF(ISNUMBER(AN100),(CONCATENATE(INDEX(CMLIGHTBASE[Measure Number],MATCH(F100,CMLIGHTBASE[Base Desc 1],0)),INDEX(CMLIGHTEFF[Measure Number],MATCH(S100,CMLIGHTEFF[Eff Desc 1],0)))),IF(AK100=0,"","000001")))</f>
        <v/>
      </c>
      <c r="BA100" s="811" t="str">
        <f t="shared" ref="BA100" si="209">IF(OR(C100="",F100="",J100="",M100="",O100="",Q100="",S100="",W100="",Z100="",AB100="",AD100="",AF100=""),"",IF((M100*O100)&lt;=(Z100*AB100),"0",AX100-AY100))</f>
        <v/>
      </c>
      <c r="BB100" s="1058" t="str">
        <f>IF(OR(C100="",F100="",J100="",M100="",O100="",Q100="",S100="",W100="",Z100="",AB100="",AD100="",AF100=""),"",IF(M02S02F46="Electric Only",0,IF(OR(ISNUMBER(SEARCH("Exterior",S100)),ISNUMBER(SEARCH("Exterior",C100)),ISNUMBER(SEARCH("Exterior",F100))),0,IF(OR(M02S02F32="AC with Natural Gas Heat",M02S02F32="Natural Gas Heat Only"),(((O100*M100-AB100*Z100)/1000)*Q100*-INDEX(LightingWHF[Waste Heat Gas Heating IFTherms],MATCH(M02S02F26,LightingWHF[Building/Space Type],0))),0))))</f>
        <v/>
      </c>
      <c r="BC100" s="1097" t="str">
        <f>IFERROR(AH100/M02S02F35/BA100,"")</f>
        <v/>
      </c>
      <c r="BD100" s="1058" t="str">
        <f>IF(OR(C100="",F100="",J100="",M100="",O100="",Q100="",S100="",W100="",Z100="",AB100="",AD100="",AF100=""),"",IF(M02S02F46="Gas Only",0,IF(OR(ISNUMBER(SEARCH("Exterior",S100)),ISNUMBER(SEARCH("Exterior",C100)),ISNUMBER(SEARCH("Exterior",F100))),0,IF(M02S02F32="Heat Pump",(((O100*M100-AB100*Z100)/1000)*Q100*-INDEX(LightingWHF[Waste Heat Electric Heat Pump Heating IFkWh],MATCH(M02S02F26,LightingWHF[Building/Space Type],0))),
IF(OR(M02S02F32="AC with Electric Heat",M02S02F32="Electric Heat Only"),(((O100*M100-AB100*Z100)/1000)*Q100*-INDEX(LightingWHF[Waste Heat Electric Resistance Heating IFkWh],MATCH(M02S02F26,LightingWHF[Building/Space Type],0))),0
)))))</f>
        <v/>
      </c>
      <c r="BE100" s="1058" t="str">
        <f>IF(OR(C100="",F100="",J100="",M100="",O100="",Q100="",S100="",W100="",Z100="",AB100="",AD100="",AF100=""),"",IF(M02S02F46="Gas Only",0,IF(OR(ISNUMBER(SEARCH("Exterior",S100)),ISNUMBER(SEARCH("Exterior",C100)),ISNUMBER(SEARCH("Exterior",F100))),1,IF(OR(M02S02F32="Heat Pump",M02S02F32="AC with Natural Gas Heat",M02S02F32="AC with Electric Heat"),(INDEX(LightingWHF[Waste Heat Cooling Energy WHFe],MATCH(M02S02F26,LightingWHF[Building/Space Type],0))),1))))</f>
        <v/>
      </c>
      <c r="BF100" s="1097" t="str">
        <f>IFERROR(IF((M100*O100)&lt;=(Z100*AB100),MEASURESAVE,IF(M02S02F35="",MEASURERATE,IF(AH100/M02S02F35/BA100&lt;1,MEASUREPAY,IF(AV100&lt;1,MEASURECB,IF(OR(ISBLANK(M02S02F26),ISBLANK(M02S02F32),ISBLANK(M02S02F46)),MEASUREBLDG,""))))),MEASURESUBMIT)</f>
        <v>Submit for Review</v>
      </c>
      <c r="BG100"/>
      <c r="BH100" s="995" t="str">
        <f ca="1">IF(OR(C100="",F100="",J100="",M100="",O100="",Q100="",S100="",W100="",Z100="",AB100="",AD100="",AF100=""),"",IF('M01-S01'!$V$82&lt;TODAY(),0,IF(M02S02F46="Gas Only",0,IF(OR(AK100="",AK100&lt;0,AH100&lt;=AN100),0,MIN(AH100-AN100,ROUND(IF(OR(ISNUMBER(SEARCH("T12",F100)),ISNUMBER(SEARCH("T8",F100)),ISNUMBER(SEARCH("T5",F100)),ISNUMBER(SEARCH("MH",F100)),ISNUMBER(SEARCH("HPS",F100)),ISNUMBER(SEARCH("MV",F100))),AN100*0.2),2))))))</f>
        <v/>
      </c>
      <c r="BI100"/>
    </row>
    <row r="101" spans="2:61" ht="15.95" hidden="1" customHeight="1">
      <c r="B101" s="829"/>
      <c r="C101" s="1088"/>
      <c r="D101" s="1088"/>
      <c r="E101" s="1088"/>
      <c r="F101" s="835"/>
      <c r="G101" s="836"/>
      <c r="H101" s="836"/>
      <c r="I101" s="837"/>
      <c r="J101" s="1088"/>
      <c r="K101" s="1088"/>
      <c r="L101" s="1088"/>
      <c r="M101" s="1078"/>
      <c r="N101" s="1078"/>
      <c r="O101" s="1081"/>
      <c r="P101" s="1082"/>
      <c r="Q101" s="1085"/>
      <c r="R101" s="1086"/>
      <c r="S101" s="851"/>
      <c r="T101" s="836"/>
      <c r="U101" s="836"/>
      <c r="V101" s="837"/>
      <c r="W101" s="1088"/>
      <c r="X101" s="1088"/>
      <c r="Y101" s="1088"/>
      <c r="Z101" s="1078"/>
      <c r="AA101" s="1078"/>
      <c r="AB101" s="1090"/>
      <c r="AC101" s="1090"/>
      <c r="AD101" s="1092"/>
      <c r="AE101" s="1092"/>
      <c r="AF101" s="1092"/>
      <c r="AG101" s="1094"/>
      <c r="AH101" s="865"/>
      <c r="AI101" s="1096"/>
      <c r="AJ101" s="1096"/>
      <c r="AK101" s="906"/>
      <c r="AL101" s="907"/>
      <c r="AM101" s="936"/>
      <c r="AN101" s="1100"/>
      <c r="AO101" s="1100"/>
      <c r="AP101" s="1100"/>
      <c r="AQ101" s="1100"/>
      <c r="AU101" s="1102"/>
      <c r="AV101" s="1102"/>
      <c r="AW101" s="901"/>
      <c r="AX101" s="812"/>
      <c r="AY101" s="812"/>
      <c r="AZ101" s="874"/>
      <c r="BA101" s="812"/>
      <c r="BB101" s="996"/>
      <c r="BC101" s="1098"/>
      <c r="BD101" s="996"/>
      <c r="BE101" s="996"/>
      <c r="BF101" s="1098"/>
      <c r="BG101"/>
      <c r="BH101" s="996"/>
      <c r="BI101"/>
    </row>
    <row r="102" spans="2:61" ht="15.95" hidden="1" customHeight="1">
      <c r="B102" s="829">
        <v>44</v>
      </c>
      <c r="C102" s="1087"/>
      <c r="D102" s="1087"/>
      <c r="E102" s="1087"/>
      <c r="F102" s="866"/>
      <c r="G102" s="867"/>
      <c r="H102" s="867"/>
      <c r="I102" s="868"/>
      <c r="J102" s="1087"/>
      <c r="K102" s="1087"/>
      <c r="L102" s="1087"/>
      <c r="M102" s="1077"/>
      <c r="N102" s="1077"/>
      <c r="O102" s="1079" t="str">
        <f>IFERROR(IF(F102="","",INDEX(CMLIGHTBASE[Base Watt 1],MATCH(F102,CMLIGHTBASE[Base Desc 1],0))),"")</f>
        <v/>
      </c>
      <c r="P102" s="1080"/>
      <c r="Q102" s="1083"/>
      <c r="R102" s="1084"/>
      <c r="S102" s="885"/>
      <c r="T102" s="867"/>
      <c r="U102" s="867"/>
      <c r="V102" s="868"/>
      <c r="W102" s="1087"/>
      <c r="X102" s="1087"/>
      <c r="Y102" s="1087"/>
      <c r="Z102" s="1077"/>
      <c r="AA102" s="1077"/>
      <c r="AB102" s="1089"/>
      <c r="AC102" s="1089"/>
      <c r="AD102" s="1091"/>
      <c r="AE102" s="1091"/>
      <c r="AF102" s="1091"/>
      <c r="AG102" s="1093"/>
      <c r="AH102" s="918" t="str">
        <f t="shared" ref="AH102" si="210">IFERROR(IF(OR(C102="",J102="",M102="",O102="",Q102="",W102="",Z102="",AB102="",AD102="",AF102=""),"",ROUND((AD102+AF102)*Z102,2)),"")</f>
        <v/>
      </c>
      <c r="AI102" s="1095"/>
      <c r="AJ102" s="1095"/>
      <c r="AK102" s="904" t="str">
        <f t="shared" ref="AK102" si="211">IFERROR(IF(OR(C102="",F102="",J102="",M102="",O102="",Q102="",S102="",W102="",Z102="",AB102="",AD102="",AF102=""),"",ROUND(IF((M102*O102)&lt;=(Z102*AB102),"0",(AX102-AY102+BD102)*BE102),2)),"")</f>
        <v/>
      </c>
      <c r="AL102" s="905"/>
      <c r="AM102" s="969"/>
      <c r="AN102" s="1099" t="str">
        <f>IFERROR(IF(OR(C102="",F102="",J102="",M102="",O102="",Q102="",S102="",W102="",Z102="",AB102="",AD102="",AF102=""),"",IF(OR(ISNUMBER(SEARCH("~~",F102)),ISNUMBER(SEARCH("~~",S102))),"Invalid Fixture Type Selected",IF(BF102&lt;&gt;"",BF102,ROUND(MIN(AH102*0.75,AK102*INDEX(INCRATE[Electric],MATCH("CMLIGHT",INCRATE[Incentive Type]))),2)))),"")</f>
        <v/>
      </c>
      <c r="AO102" s="1099"/>
      <c r="AP102" s="1099"/>
      <c r="AQ102" s="1099"/>
      <c r="AU102" s="1103" t="str">
        <f>IF(F102="","",INDEX(CUSTLIGHTUNIT,MATCH(F102,CMELIGHTBASE1,0)))</f>
        <v/>
      </c>
      <c r="AV102" s="1101" t="str">
        <f>IFERROR(IF(OR(C102="",F102="",J102="",M102="",O102="",Q102="",S102="",W102="",Z102="",AB102="",AD102="",AF102=""),"",((((1+ELOSS)*((AK102*INDEX(ELECCB[NPV AEC $/kWh],MATCH(15,ELECCB[Year Number],0)))+(AW102*INDEX(ELECCB[NPV ACC+T&amp;D $/kW],MATCH(15,ELECCB[Year Number],0)))))+((1+GLOSS)*((BB102*INDEX(GASCB[NPV GAEC $/therm],MATCH(15,GASCB[Year Number],1))))))/AH102)),"")</f>
        <v/>
      </c>
      <c r="AW102" s="900" t="str">
        <f>IFERROR(IF(OR(C102="",F102="",J102="",M102="",O102="",Q102="",S102="",W102="",Z102="",AB102="",AD102="",AF102=""),"",IF(OR(ISNUMBER(SEARCH("Exterior",C102)),((M102*O102)&lt;=(Z102*AB102)),ISNUMBER(SEARCH("Exterior",S102)),ISNUMBER(SEARCH("Exterior",F102))),0,ROUND((((M102*O102)-(Z102*AB102))/1000)*INDEX(LightingWHF[Coincidence Factor CF],MATCH(M02S02F26,LightingWHF[Building/Space Type],0))*IF(OR(M02S02F32="AC with Natural Gas Heat",M02S02F32="AC with Electric Heat",M02S02F32="Heat Pump"),INDEX(LightingWHF[Waste Heat Cooling Demand WHFd],MATCH(M02S02F26,LightingWHF[Building/Space Type],0)),1),3))),"")</f>
        <v/>
      </c>
      <c r="AX102" s="811" t="str">
        <f t="shared" ref="AX102" si="212">IF(OR(C102="",F102="",J102="",M102="",O102="",Q102="",S102="",W102="",Z102="",AB102="",AD102="",AF102=""),"",ROUND(M102*O102*Q102/1000,2))</f>
        <v/>
      </c>
      <c r="AY102" s="811" t="str">
        <f t="shared" ref="AY102" si="213">IF(OR(C102="",F102="",J102="",M102="",O102="",Q102="",S102="",W102="",Z102="",AB102="",AD102="",AF102=""),"",ROUND(Z102*AB102*Q102/1000,2))</f>
        <v/>
      </c>
      <c r="AZ102" s="873" t="str">
        <f>IF(OR(C102="",F102="",J102="",M102="",O102="",Q102="",S102="",W102="",Z102="",AB102="",AD102="",AF102=""),"",IF(ISNUMBER(AN102),(CONCATENATE(INDEX(CMLIGHTBASE[Measure Number],MATCH(F102,CMLIGHTBASE[Base Desc 1],0)),INDEX(CMLIGHTEFF[Measure Number],MATCH(S102,CMLIGHTEFF[Eff Desc 1],0)))),IF(AK102=0,"","000001")))</f>
        <v/>
      </c>
      <c r="BA102" s="811" t="str">
        <f t="shared" ref="BA102" si="214">IF(OR(C102="",F102="",J102="",M102="",O102="",Q102="",S102="",W102="",Z102="",AB102="",AD102="",AF102=""),"",IF((M102*O102)&lt;=(Z102*AB102),"0",AX102-AY102))</f>
        <v/>
      </c>
      <c r="BB102" s="1058" t="str">
        <f>IF(OR(C102="",F102="",J102="",M102="",O102="",Q102="",S102="",W102="",Z102="",AB102="",AD102="",AF102=""),"",IF(M02S02F46="Electric Only",0,IF(OR(ISNUMBER(SEARCH("Exterior",S102)),ISNUMBER(SEARCH("Exterior",C102)),ISNUMBER(SEARCH("Exterior",F102))),0,IF(OR(M02S02F32="AC with Natural Gas Heat",M02S02F32="Natural Gas Heat Only"),(((O102*M102-AB102*Z102)/1000)*Q102*-INDEX(LightingWHF[Waste Heat Gas Heating IFTherms],MATCH(M02S02F26,LightingWHF[Building/Space Type],0))),0))))</f>
        <v/>
      </c>
      <c r="BC102" s="1097" t="str">
        <f>IFERROR(AH102/M02S02F35/BA102,"")</f>
        <v/>
      </c>
      <c r="BD102" s="1058" t="str">
        <f>IF(OR(C102="",F102="",J102="",M102="",O102="",Q102="",S102="",W102="",Z102="",AB102="",AD102="",AF102=""),"",IF(M02S02F46="Gas Only",0,IF(OR(ISNUMBER(SEARCH("Exterior",S102)),ISNUMBER(SEARCH("Exterior",C102)),ISNUMBER(SEARCH("Exterior",F102))),0,IF(M02S02F32="Heat Pump",(((O102*M102-AB102*Z102)/1000)*Q102*-INDEX(LightingWHF[Waste Heat Electric Heat Pump Heating IFkWh],MATCH(M02S02F26,LightingWHF[Building/Space Type],0))),
IF(OR(M02S02F32="AC with Electric Heat",M02S02F32="Electric Heat Only"),(((O102*M102-AB102*Z102)/1000)*Q102*-INDEX(LightingWHF[Waste Heat Electric Resistance Heating IFkWh],MATCH(M02S02F26,LightingWHF[Building/Space Type],0))),0
)))))</f>
        <v/>
      </c>
      <c r="BE102" s="1058" t="str">
        <f>IF(OR(C102="",F102="",J102="",M102="",O102="",Q102="",S102="",W102="",Z102="",AB102="",AD102="",AF102=""),"",IF(M02S02F46="Gas Only",0,IF(OR(ISNUMBER(SEARCH("Exterior",S102)),ISNUMBER(SEARCH("Exterior",C102)),ISNUMBER(SEARCH("Exterior",F102))),1,IF(OR(M02S02F32="Heat Pump",M02S02F32="AC with Natural Gas Heat",M02S02F32="AC with Electric Heat"),(INDEX(LightingWHF[Waste Heat Cooling Energy WHFe],MATCH(M02S02F26,LightingWHF[Building/Space Type],0))),1))))</f>
        <v/>
      </c>
      <c r="BF102" s="1097" t="str">
        <f>IFERROR(IF((M102*O102)&lt;=(Z102*AB102),MEASURESAVE,IF(M02S02F35="",MEASURERATE,IF(AH102/M02S02F35/BA102&lt;1,MEASUREPAY,IF(AV102&lt;1,MEASURECB,IF(OR(ISBLANK(M02S02F26),ISBLANK(M02S02F32),ISBLANK(M02S02F46)),MEASUREBLDG,""))))),MEASURESUBMIT)</f>
        <v>Submit for Review</v>
      </c>
      <c r="BG102"/>
      <c r="BH102" s="995" t="str">
        <f ca="1">IF(OR(C102="",F102="",J102="",M102="",O102="",Q102="",S102="",W102="",Z102="",AB102="",AD102="",AF102=""),"",IF('M01-S01'!$V$82&lt;TODAY(),0,IF(M02S02F46="Gas Only",0,IF(OR(AK102="",AK102&lt;0,AH102&lt;=AN102),0,MIN(AH102-AN102,ROUND(IF(OR(ISNUMBER(SEARCH("T12",F102)),ISNUMBER(SEARCH("T8",F102)),ISNUMBER(SEARCH("T5",F102)),ISNUMBER(SEARCH("MH",F102)),ISNUMBER(SEARCH("HPS",F102)),ISNUMBER(SEARCH("MV",F102))),AN102*0.2),2))))))</f>
        <v/>
      </c>
      <c r="BI102"/>
    </row>
    <row r="103" spans="2:61" ht="15.95" hidden="1" customHeight="1">
      <c r="B103" s="829"/>
      <c r="C103" s="1088"/>
      <c r="D103" s="1088"/>
      <c r="E103" s="1088"/>
      <c r="F103" s="835"/>
      <c r="G103" s="836"/>
      <c r="H103" s="836"/>
      <c r="I103" s="837"/>
      <c r="J103" s="1088"/>
      <c r="K103" s="1088"/>
      <c r="L103" s="1088"/>
      <c r="M103" s="1078"/>
      <c r="N103" s="1078"/>
      <c r="O103" s="1081"/>
      <c r="P103" s="1082"/>
      <c r="Q103" s="1085"/>
      <c r="R103" s="1086"/>
      <c r="S103" s="851"/>
      <c r="T103" s="836"/>
      <c r="U103" s="836"/>
      <c r="V103" s="837"/>
      <c r="W103" s="1088"/>
      <c r="X103" s="1088"/>
      <c r="Y103" s="1088"/>
      <c r="Z103" s="1078"/>
      <c r="AA103" s="1078"/>
      <c r="AB103" s="1090"/>
      <c r="AC103" s="1090"/>
      <c r="AD103" s="1092"/>
      <c r="AE103" s="1092"/>
      <c r="AF103" s="1092"/>
      <c r="AG103" s="1094"/>
      <c r="AH103" s="865"/>
      <c r="AI103" s="1096"/>
      <c r="AJ103" s="1096"/>
      <c r="AK103" s="906"/>
      <c r="AL103" s="907"/>
      <c r="AM103" s="936"/>
      <c r="AN103" s="1100"/>
      <c r="AO103" s="1100"/>
      <c r="AP103" s="1100"/>
      <c r="AQ103" s="1100"/>
      <c r="AU103" s="1102"/>
      <c r="AV103" s="1102"/>
      <c r="AW103" s="901"/>
      <c r="AX103" s="812"/>
      <c r="AY103" s="812"/>
      <c r="AZ103" s="874"/>
      <c r="BA103" s="812"/>
      <c r="BB103" s="996"/>
      <c r="BC103" s="1098"/>
      <c r="BD103" s="996"/>
      <c r="BE103" s="996"/>
      <c r="BF103" s="1098"/>
      <c r="BG103"/>
      <c r="BH103" s="996"/>
      <c r="BI103"/>
    </row>
    <row r="104" spans="2:61" ht="15.95" hidden="1" customHeight="1">
      <c r="B104" s="829">
        <v>45</v>
      </c>
      <c r="C104" s="1087"/>
      <c r="D104" s="1087"/>
      <c r="E104" s="1087"/>
      <c r="F104" s="866"/>
      <c r="G104" s="867"/>
      <c r="H104" s="867"/>
      <c r="I104" s="868"/>
      <c r="J104" s="1087"/>
      <c r="K104" s="1087"/>
      <c r="L104" s="1087"/>
      <c r="M104" s="1077"/>
      <c r="N104" s="1077"/>
      <c r="O104" s="1079" t="str">
        <f>IFERROR(IF(F104="","",INDEX(CMLIGHTBASE[Base Watt 1],MATCH(F104,CMLIGHTBASE[Base Desc 1],0))),"")</f>
        <v/>
      </c>
      <c r="P104" s="1080"/>
      <c r="Q104" s="1083"/>
      <c r="R104" s="1084"/>
      <c r="S104" s="885"/>
      <c r="T104" s="867"/>
      <c r="U104" s="867"/>
      <c r="V104" s="868"/>
      <c r="W104" s="1087"/>
      <c r="X104" s="1087"/>
      <c r="Y104" s="1087"/>
      <c r="Z104" s="1077"/>
      <c r="AA104" s="1077"/>
      <c r="AB104" s="1089"/>
      <c r="AC104" s="1089"/>
      <c r="AD104" s="1091"/>
      <c r="AE104" s="1091"/>
      <c r="AF104" s="1091"/>
      <c r="AG104" s="1093"/>
      <c r="AH104" s="918" t="str">
        <f t="shared" ref="AH104" si="215">IFERROR(IF(OR(C104="",J104="",M104="",O104="",Q104="",W104="",Z104="",AB104="",AD104="",AF104=""),"",ROUND((AD104+AF104)*Z104,2)),"")</f>
        <v/>
      </c>
      <c r="AI104" s="1095"/>
      <c r="AJ104" s="1095"/>
      <c r="AK104" s="904" t="str">
        <f t="shared" ref="AK104" si="216">IFERROR(IF(OR(C104="",F104="",J104="",M104="",O104="",Q104="",S104="",W104="",Z104="",AB104="",AD104="",AF104=""),"",ROUND(IF((M104*O104)&lt;=(Z104*AB104),"0",(AX104-AY104+BD104)*BE104),2)),"")</f>
        <v/>
      </c>
      <c r="AL104" s="905"/>
      <c r="AM104" s="969"/>
      <c r="AN104" s="1099" t="str">
        <f>IFERROR(IF(OR(C104="",F104="",J104="",M104="",O104="",Q104="",S104="",W104="",Z104="",AB104="",AD104="",AF104=""),"",IF(OR(ISNUMBER(SEARCH("~~",F104)),ISNUMBER(SEARCH("~~",S104))),"Invalid Fixture Type Selected",IF(BF104&lt;&gt;"",BF104,ROUND(MIN(AH104*0.75,AK104*INDEX(INCRATE[Electric],MATCH("CMLIGHT",INCRATE[Incentive Type]))),2)))),"")</f>
        <v/>
      </c>
      <c r="AO104" s="1099"/>
      <c r="AP104" s="1099"/>
      <c r="AQ104" s="1099"/>
      <c r="AU104" s="1103" t="str">
        <f>IF(F104="","",INDEX(CUSTLIGHTUNIT,MATCH(F104,CMELIGHTBASE1,0)))</f>
        <v/>
      </c>
      <c r="AV104" s="1101" t="str">
        <f>IFERROR(IF(OR(C104="",F104="",J104="",M104="",O104="",Q104="",S104="",W104="",Z104="",AB104="",AD104="",AF104=""),"",((((1+ELOSS)*((AK104*INDEX(ELECCB[NPV AEC $/kWh],MATCH(15,ELECCB[Year Number],0)))+(AW104*INDEX(ELECCB[NPV ACC+T&amp;D $/kW],MATCH(15,ELECCB[Year Number],0)))))+((1+GLOSS)*((BB104*INDEX(GASCB[NPV GAEC $/therm],MATCH(15,GASCB[Year Number],1))))))/AH104)),"")</f>
        <v/>
      </c>
      <c r="AW104" s="900" t="str">
        <f>IFERROR(IF(OR(C104="",F104="",J104="",M104="",O104="",Q104="",S104="",W104="",Z104="",AB104="",AD104="",AF104=""),"",IF(OR(ISNUMBER(SEARCH("Exterior",C104)),((M104*O104)&lt;=(Z104*AB104)),ISNUMBER(SEARCH("Exterior",S104)),ISNUMBER(SEARCH("Exterior",F104))),0,ROUND((((M104*O104)-(Z104*AB104))/1000)*INDEX(LightingWHF[Coincidence Factor CF],MATCH(M02S02F26,LightingWHF[Building/Space Type],0))*IF(OR(M02S02F32="AC with Natural Gas Heat",M02S02F32="AC with Electric Heat",M02S02F32="Heat Pump"),INDEX(LightingWHF[Waste Heat Cooling Demand WHFd],MATCH(M02S02F26,LightingWHF[Building/Space Type],0)),1),3))),"")</f>
        <v/>
      </c>
      <c r="AX104" s="811" t="str">
        <f t="shared" ref="AX104" si="217">IF(OR(C104="",F104="",J104="",M104="",O104="",Q104="",S104="",W104="",Z104="",AB104="",AD104="",AF104=""),"",ROUND(M104*O104*Q104/1000,2))</f>
        <v/>
      </c>
      <c r="AY104" s="811" t="str">
        <f t="shared" ref="AY104" si="218">IF(OR(C104="",F104="",J104="",M104="",O104="",Q104="",S104="",W104="",Z104="",AB104="",AD104="",AF104=""),"",ROUND(Z104*AB104*Q104/1000,2))</f>
        <v/>
      </c>
      <c r="AZ104" s="873" t="str">
        <f>IF(OR(C104="",F104="",J104="",M104="",O104="",Q104="",S104="",W104="",Z104="",AB104="",AD104="",AF104=""),"",IF(ISNUMBER(AN104),(CONCATENATE(INDEX(CMLIGHTBASE[Measure Number],MATCH(F104,CMLIGHTBASE[Base Desc 1],0)),INDEX(CMLIGHTEFF[Measure Number],MATCH(S104,CMLIGHTEFF[Eff Desc 1],0)))),IF(AK104=0,"","000001")))</f>
        <v/>
      </c>
      <c r="BA104" s="811" t="str">
        <f t="shared" ref="BA104" si="219">IF(OR(C104="",F104="",J104="",M104="",O104="",Q104="",S104="",W104="",Z104="",AB104="",AD104="",AF104=""),"",IF((M104*O104)&lt;=(Z104*AB104),"0",AX104-AY104))</f>
        <v/>
      </c>
      <c r="BB104" s="1058" t="str">
        <f>IF(OR(C104="",F104="",J104="",M104="",O104="",Q104="",S104="",W104="",Z104="",AB104="",AD104="",AF104=""),"",IF(M02S02F46="Electric Only",0,IF(OR(ISNUMBER(SEARCH("Exterior",S104)),ISNUMBER(SEARCH("Exterior",C104)),ISNUMBER(SEARCH("Exterior",F104))),0,IF(OR(M02S02F32="AC with Natural Gas Heat",M02S02F32="Natural Gas Heat Only"),(((O104*M104-AB104*Z104)/1000)*Q104*-INDEX(LightingWHF[Waste Heat Gas Heating IFTherms],MATCH(M02S02F26,LightingWHF[Building/Space Type],0))),0))))</f>
        <v/>
      </c>
      <c r="BC104" s="1097" t="str">
        <f>IFERROR(AH104/M02S02F35/BA104,"")</f>
        <v/>
      </c>
      <c r="BD104" s="1058" t="str">
        <f>IF(OR(C104="",F104="",J104="",M104="",O104="",Q104="",S104="",W104="",Z104="",AB104="",AD104="",AF104=""),"",IF(M02S02F46="Gas Only",0,IF(OR(ISNUMBER(SEARCH("Exterior",S104)),ISNUMBER(SEARCH("Exterior",C104)),ISNUMBER(SEARCH("Exterior",F104))),0,IF(M02S02F32="Heat Pump",(((O104*M104-AB104*Z104)/1000)*Q104*-INDEX(LightingWHF[Waste Heat Electric Heat Pump Heating IFkWh],MATCH(M02S02F26,LightingWHF[Building/Space Type],0))),
IF(OR(M02S02F32="AC with Electric Heat",M02S02F32="Electric Heat Only"),(((O104*M104-AB104*Z104)/1000)*Q104*-INDEX(LightingWHF[Waste Heat Electric Resistance Heating IFkWh],MATCH(M02S02F26,LightingWHF[Building/Space Type],0))),0
)))))</f>
        <v/>
      </c>
      <c r="BE104" s="1058" t="str">
        <f>IF(OR(C104="",F104="",J104="",M104="",O104="",Q104="",S104="",W104="",Z104="",AB104="",AD104="",AF104=""),"",IF(M02S02F46="Gas Only",0,IF(OR(ISNUMBER(SEARCH("Exterior",S104)),ISNUMBER(SEARCH("Exterior",C104)),ISNUMBER(SEARCH("Exterior",F104))),1,IF(OR(M02S02F32="Heat Pump",M02S02F32="AC with Natural Gas Heat",M02S02F32="AC with Electric Heat"),(INDEX(LightingWHF[Waste Heat Cooling Energy WHFe],MATCH(M02S02F26,LightingWHF[Building/Space Type],0))),1))))</f>
        <v/>
      </c>
      <c r="BF104" s="1097" t="str">
        <f>IFERROR(IF((M104*O104)&lt;=(Z104*AB104),MEASURESAVE,IF(M02S02F35="",MEASURERATE,IF(AH104/M02S02F35/BA104&lt;1,MEASUREPAY,IF(AV104&lt;1,MEASURECB,IF(OR(ISBLANK(M02S02F26),ISBLANK(M02S02F32),ISBLANK(M02S02F46)),MEASUREBLDG,""))))),MEASURESUBMIT)</f>
        <v>Submit for Review</v>
      </c>
      <c r="BG104"/>
      <c r="BH104" s="995" t="str">
        <f ca="1">IF(OR(C104="",F104="",J104="",M104="",O104="",Q104="",S104="",W104="",Z104="",AB104="",AD104="",AF104=""),"",IF('M01-S01'!$V$82&lt;TODAY(),0,IF(M02S02F46="Gas Only",0,IF(OR(AK104="",AK104&lt;0,AH104&lt;=AN104),0,MIN(AH104-AN104,ROUND(IF(OR(ISNUMBER(SEARCH("T12",F104)),ISNUMBER(SEARCH("T8",F104)),ISNUMBER(SEARCH("T5",F104)),ISNUMBER(SEARCH("MH",F104)),ISNUMBER(SEARCH("HPS",F104)),ISNUMBER(SEARCH("MV",F104))),AN104*0.2),2))))))</f>
        <v/>
      </c>
      <c r="BI104"/>
    </row>
    <row r="105" spans="2:61" ht="15.95" hidden="1" customHeight="1">
      <c r="B105" s="829"/>
      <c r="C105" s="1088"/>
      <c r="D105" s="1088"/>
      <c r="E105" s="1088"/>
      <c r="F105" s="835"/>
      <c r="G105" s="836"/>
      <c r="H105" s="836"/>
      <c r="I105" s="837"/>
      <c r="J105" s="1088"/>
      <c r="K105" s="1088"/>
      <c r="L105" s="1088"/>
      <c r="M105" s="1078"/>
      <c r="N105" s="1078"/>
      <c r="O105" s="1081"/>
      <c r="P105" s="1082"/>
      <c r="Q105" s="1085"/>
      <c r="R105" s="1086"/>
      <c r="S105" s="851"/>
      <c r="T105" s="836"/>
      <c r="U105" s="836"/>
      <c r="V105" s="837"/>
      <c r="W105" s="1088"/>
      <c r="X105" s="1088"/>
      <c r="Y105" s="1088"/>
      <c r="Z105" s="1078"/>
      <c r="AA105" s="1078"/>
      <c r="AB105" s="1090"/>
      <c r="AC105" s="1090"/>
      <c r="AD105" s="1092"/>
      <c r="AE105" s="1092"/>
      <c r="AF105" s="1092"/>
      <c r="AG105" s="1094"/>
      <c r="AH105" s="865"/>
      <c r="AI105" s="1096"/>
      <c r="AJ105" s="1096"/>
      <c r="AK105" s="906"/>
      <c r="AL105" s="907"/>
      <c r="AM105" s="936"/>
      <c r="AN105" s="1100"/>
      <c r="AO105" s="1100"/>
      <c r="AP105" s="1100"/>
      <c r="AQ105" s="1100"/>
      <c r="AU105" s="1102"/>
      <c r="AV105" s="1102"/>
      <c r="AW105" s="901"/>
      <c r="AX105" s="812"/>
      <c r="AY105" s="812"/>
      <c r="AZ105" s="874"/>
      <c r="BA105" s="812"/>
      <c r="BB105" s="996"/>
      <c r="BC105" s="1098"/>
      <c r="BD105" s="996"/>
      <c r="BE105" s="996"/>
      <c r="BF105" s="1098"/>
      <c r="BG105"/>
      <c r="BH105" s="996"/>
      <c r="BI105"/>
    </row>
    <row r="106" spans="2:61" ht="15.95" hidden="1" customHeight="1">
      <c r="B106" s="829">
        <v>46</v>
      </c>
      <c r="C106" s="1087"/>
      <c r="D106" s="1087"/>
      <c r="E106" s="1087"/>
      <c r="F106" s="866"/>
      <c r="G106" s="867"/>
      <c r="H106" s="867"/>
      <c r="I106" s="868"/>
      <c r="J106" s="1087"/>
      <c r="K106" s="1087"/>
      <c r="L106" s="1087"/>
      <c r="M106" s="1077"/>
      <c r="N106" s="1077"/>
      <c r="O106" s="1079" t="str">
        <f>IFERROR(IF(F106="","",INDEX(CMLIGHTBASE[Base Watt 1],MATCH(F106,CMLIGHTBASE[Base Desc 1],0))),"")</f>
        <v/>
      </c>
      <c r="P106" s="1080"/>
      <c r="Q106" s="1083"/>
      <c r="R106" s="1084"/>
      <c r="S106" s="885"/>
      <c r="T106" s="867"/>
      <c r="U106" s="867"/>
      <c r="V106" s="868"/>
      <c r="W106" s="1087"/>
      <c r="X106" s="1087"/>
      <c r="Y106" s="1087"/>
      <c r="Z106" s="1077"/>
      <c r="AA106" s="1077"/>
      <c r="AB106" s="1089"/>
      <c r="AC106" s="1089"/>
      <c r="AD106" s="1091"/>
      <c r="AE106" s="1091"/>
      <c r="AF106" s="1091"/>
      <c r="AG106" s="1093"/>
      <c r="AH106" s="918" t="str">
        <f t="shared" ref="AH106" si="220">IFERROR(IF(OR(C106="",J106="",M106="",O106="",Q106="",W106="",Z106="",AB106="",AD106="",AF106=""),"",ROUND((AD106+AF106)*Z106,2)),"")</f>
        <v/>
      </c>
      <c r="AI106" s="1095"/>
      <c r="AJ106" s="1095"/>
      <c r="AK106" s="904" t="str">
        <f t="shared" ref="AK106" si="221">IFERROR(IF(OR(C106="",F106="",J106="",M106="",O106="",Q106="",S106="",W106="",Z106="",AB106="",AD106="",AF106=""),"",ROUND(IF((M106*O106)&lt;=(Z106*AB106),"0",(AX106-AY106+BD106)*BE106),2)),"")</f>
        <v/>
      </c>
      <c r="AL106" s="905"/>
      <c r="AM106" s="969"/>
      <c r="AN106" s="1099" t="str">
        <f>IFERROR(IF(OR(C106="",F106="",J106="",M106="",O106="",Q106="",S106="",W106="",Z106="",AB106="",AD106="",AF106=""),"",IF(OR(ISNUMBER(SEARCH("~~",F106)),ISNUMBER(SEARCH("~~",S106))),"Invalid Fixture Type Selected",IF(BF106&lt;&gt;"",BF106,ROUND(MIN(AH106*0.75,AK106*INDEX(INCRATE[Electric],MATCH("CMLIGHT",INCRATE[Incentive Type]))),2)))),"")</f>
        <v/>
      </c>
      <c r="AO106" s="1099"/>
      <c r="AP106" s="1099"/>
      <c r="AQ106" s="1099"/>
      <c r="AU106" s="1103" t="str">
        <f>IF(F106="","",INDEX(CUSTLIGHTUNIT,MATCH(F106,CMELIGHTBASE1,0)))</f>
        <v/>
      </c>
      <c r="AV106" s="1101" t="str">
        <f>IFERROR(IF(OR(C106="",F106="",J106="",M106="",O106="",Q106="",S106="",W106="",Z106="",AB106="",AD106="",AF106=""),"",((((1+ELOSS)*((AK106*INDEX(ELECCB[NPV AEC $/kWh],MATCH(15,ELECCB[Year Number],0)))+(AW106*INDEX(ELECCB[NPV ACC+T&amp;D $/kW],MATCH(15,ELECCB[Year Number],0)))))+((1+GLOSS)*((BB106*INDEX(GASCB[NPV GAEC $/therm],MATCH(15,GASCB[Year Number],1))))))/AH106)),"")</f>
        <v/>
      </c>
      <c r="AW106" s="900" t="str">
        <f>IFERROR(IF(OR(C106="",F106="",J106="",M106="",O106="",Q106="",S106="",W106="",Z106="",AB106="",AD106="",AF106=""),"",IF(OR(ISNUMBER(SEARCH("Exterior",C106)),((M106*O106)&lt;=(Z106*AB106)),ISNUMBER(SEARCH("Exterior",S106)),ISNUMBER(SEARCH("Exterior",F106))),0,ROUND((((M106*O106)-(Z106*AB106))/1000)*INDEX(LightingWHF[Coincidence Factor CF],MATCH(M02S02F26,LightingWHF[Building/Space Type],0))*IF(OR(M02S02F32="AC with Natural Gas Heat",M02S02F32="AC with Electric Heat",M02S02F32="Heat Pump"),INDEX(LightingWHF[Waste Heat Cooling Demand WHFd],MATCH(M02S02F26,LightingWHF[Building/Space Type],0)),1),3))),"")</f>
        <v/>
      </c>
      <c r="AX106" s="811" t="str">
        <f t="shared" ref="AX106" si="222">IF(OR(C106="",F106="",J106="",M106="",O106="",Q106="",S106="",W106="",Z106="",AB106="",AD106="",AF106=""),"",ROUND(M106*O106*Q106/1000,2))</f>
        <v/>
      </c>
      <c r="AY106" s="811" t="str">
        <f t="shared" ref="AY106" si="223">IF(OR(C106="",F106="",J106="",M106="",O106="",Q106="",S106="",W106="",Z106="",AB106="",AD106="",AF106=""),"",ROUND(Z106*AB106*Q106/1000,2))</f>
        <v/>
      </c>
      <c r="AZ106" s="873" t="str">
        <f>IF(OR(C106="",F106="",J106="",M106="",O106="",Q106="",S106="",W106="",Z106="",AB106="",AD106="",AF106=""),"",IF(ISNUMBER(AN106),(CONCATENATE(INDEX(CMLIGHTBASE[Measure Number],MATCH(F106,CMLIGHTBASE[Base Desc 1],0)),INDEX(CMLIGHTEFF[Measure Number],MATCH(S106,CMLIGHTEFF[Eff Desc 1],0)))),IF(AK106=0,"","000001")))</f>
        <v/>
      </c>
      <c r="BA106" s="811" t="str">
        <f t="shared" ref="BA106" si="224">IF(OR(C106="",F106="",J106="",M106="",O106="",Q106="",S106="",W106="",Z106="",AB106="",AD106="",AF106=""),"",IF((M106*O106)&lt;=(Z106*AB106),"0",AX106-AY106))</f>
        <v/>
      </c>
      <c r="BB106" s="1058" t="str">
        <f>IF(OR(C106="",F106="",J106="",M106="",O106="",Q106="",S106="",W106="",Z106="",AB106="",AD106="",AF106=""),"",IF(M02S02F46="Electric Only",0,IF(OR(ISNUMBER(SEARCH("Exterior",S106)),ISNUMBER(SEARCH("Exterior",C106)),ISNUMBER(SEARCH("Exterior",F106))),0,IF(OR(M02S02F32="AC with Natural Gas Heat",M02S02F32="Natural Gas Heat Only"),(((O106*M106-AB106*Z106)/1000)*Q106*-INDEX(LightingWHF[Waste Heat Gas Heating IFTherms],MATCH(M02S02F26,LightingWHF[Building/Space Type],0))),0))))</f>
        <v/>
      </c>
      <c r="BC106" s="1097" t="str">
        <f>IFERROR(AH106/M02S02F35/BA106,"")</f>
        <v/>
      </c>
      <c r="BD106" s="1058" t="str">
        <f>IF(OR(C106="",F106="",J106="",M106="",O106="",Q106="",S106="",W106="",Z106="",AB106="",AD106="",AF106=""),"",IF(M02S02F46="Gas Only",0,IF(OR(ISNUMBER(SEARCH("Exterior",S106)),ISNUMBER(SEARCH("Exterior",C106)),ISNUMBER(SEARCH("Exterior",F106))),0,IF(M02S02F32="Heat Pump",(((O106*M106-AB106*Z106)/1000)*Q106*-INDEX(LightingWHF[Waste Heat Electric Heat Pump Heating IFkWh],MATCH(M02S02F26,LightingWHF[Building/Space Type],0))),
IF(OR(M02S02F32="AC with Electric Heat",M02S02F32="Electric Heat Only"),(((O106*M106-AB106*Z106)/1000)*Q106*-INDEX(LightingWHF[Waste Heat Electric Resistance Heating IFkWh],MATCH(M02S02F26,LightingWHF[Building/Space Type],0))),0
)))))</f>
        <v/>
      </c>
      <c r="BE106" s="1058" t="str">
        <f>IF(OR(C106="",F106="",J106="",M106="",O106="",Q106="",S106="",W106="",Z106="",AB106="",AD106="",AF106=""),"",IF(M02S02F46="Gas Only",0,IF(OR(ISNUMBER(SEARCH("Exterior",S106)),ISNUMBER(SEARCH("Exterior",C106)),ISNUMBER(SEARCH("Exterior",F106))),1,IF(OR(M02S02F32="Heat Pump",M02S02F32="AC with Natural Gas Heat",M02S02F32="AC with Electric Heat"),(INDEX(LightingWHF[Waste Heat Cooling Energy WHFe],MATCH(M02S02F26,LightingWHF[Building/Space Type],0))),1))))</f>
        <v/>
      </c>
      <c r="BF106" s="1097" t="str">
        <f>IFERROR(IF((M106*O106)&lt;=(Z106*AB106),MEASURESAVE,IF(M02S02F35="",MEASURERATE,IF(AH106/M02S02F35/BA106&lt;1,MEASUREPAY,IF(AV106&lt;1,MEASURECB,IF(OR(ISBLANK(M02S02F26),ISBLANK(M02S02F32),ISBLANK(M02S02F46)),MEASUREBLDG,""))))),MEASURESUBMIT)</f>
        <v>Submit for Review</v>
      </c>
      <c r="BG106"/>
      <c r="BH106" s="995" t="str">
        <f ca="1">IF(OR(C106="",F106="",J106="",M106="",O106="",Q106="",S106="",W106="",Z106="",AB106="",AD106="",AF106=""),"",IF('M01-S01'!$V$82&lt;TODAY(),0,IF(M02S02F46="Gas Only",0,IF(OR(AK106="",AK106&lt;0,AH106&lt;=AN106),0,MIN(AH106-AN106,ROUND(IF(OR(ISNUMBER(SEARCH("T12",F106)),ISNUMBER(SEARCH("T8",F106)),ISNUMBER(SEARCH("T5",F106)),ISNUMBER(SEARCH("MH",F106)),ISNUMBER(SEARCH("HPS",F106)),ISNUMBER(SEARCH("MV",F106))),AN106*0.2),2))))))</f>
        <v/>
      </c>
      <c r="BI106"/>
    </row>
    <row r="107" spans="2:61" ht="15.95" hidden="1" customHeight="1">
      <c r="B107" s="829"/>
      <c r="C107" s="1088"/>
      <c r="D107" s="1088"/>
      <c r="E107" s="1088"/>
      <c r="F107" s="835"/>
      <c r="G107" s="836"/>
      <c r="H107" s="836"/>
      <c r="I107" s="837"/>
      <c r="J107" s="1088"/>
      <c r="K107" s="1088"/>
      <c r="L107" s="1088"/>
      <c r="M107" s="1078"/>
      <c r="N107" s="1078"/>
      <c r="O107" s="1081"/>
      <c r="P107" s="1082"/>
      <c r="Q107" s="1085"/>
      <c r="R107" s="1086"/>
      <c r="S107" s="851"/>
      <c r="T107" s="836"/>
      <c r="U107" s="836"/>
      <c r="V107" s="837"/>
      <c r="W107" s="1088"/>
      <c r="X107" s="1088"/>
      <c r="Y107" s="1088"/>
      <c r="Z107" s="1078"/>
      <c r="AA107" s="1078"/>
      <c r="AB107" s="1090"/>
      <c r="AC107" s="1090"/>
      <c r="AD107" s="1092"/>
      <c r="AE107" s="1092"/>
      <c r="AF107" s="1092"/>
      <c r="AG107" s="1094"/>
      <c r="AH107" s="865"/>
      <c r="AI107" s="1096"/>
      <c r="AJ107" s="1096"/>
      <c r="AK107" s="906"/>
      <c r="AL107" s="907"/>
      <c r="AM107" s="936"/>
      <c r="AN107" s="1100"/>
      <c r="AO107" s="1100"/>
      <c r="AP107" s="1100"/>
      <c r="AQ107" s="1100"/>
      <c r="AU107" s="1102"/>
      <c r="AV107" s="1102"/>
      <c r="AW107" s="901"/>
      <c r="AX107" s="812"/>
      <c r="AY107" s="812"/>
      <c r="AZ107" s="874"/>
      <c r="BA107" s="812"/>
      <c r="BB107" s="996"/>
      <c r="BC107" s="1098"/>
      <c r="BD107" s="996"/>
      <c r="BE107" s="996"/>
      <c r="BF107" s="1098"/>
      <c r="BG107"/>
      <c r="BH107" s="996"/>
      <c r="BI107"/>
    </row>
    <row r="108" spans="2:61" ht="15.95" hidden="1" customHeight="1">
      <c r="B108" s="829">
        <v>47</v>
      </c>
      <c r="C108" s="1087"/>
      <c r="D108" s="1087"/>
      <c r="E108" s="1087"/>
      <c r="F108" s="866"/>
      <c r="G108" s="867"/>
      <c r="H108" s="867"/>
      <c r="I108" s="868"/>
      <c r="J108" s="1087"/>
      <c r="K108" s="1087"/>
      <c r="L108" s="1087"/>
      <c r="M108" s="1077"/>
      <c r="N108" s="1077"/>
      <c r="O108" s="1079" t="str">
        <f>IFERROR(IF(F108="","",INDEX(CMLIGHTBASE[Base Watt 1],MATCH(F108,CMLIGHTBASE[Base Desc 1],0))),"")</f>
        <v/>
      </c>
      <c r="P108" s="1080"/>
      <c r="Q108" s="1083"/>
      <c r="R108" s="1084"/>
      <c r="S108" s="885"/>
      <c r="T108" s="867"/>
      <c r="U108" s="867"/>
      <c r="V108" s="868"/>
      <c r="W108" s="1087"/>
      <c r="X108" s="1087"/>
      <c r="Y108" s="1087"/>
      <c r="Z108" s="1077"/>
      <c r="AA108" s="1077"/>
      <c r="AB108" s="1089"/>
      <c r="AC108" s="1089"/>
      <c r="AD108" s="1091"/>
      <c r="AE108" s="1091"/>
      <c r="AF108" s="1091"/>
      <c r="AG108" s="1093"/>
      <c r="AH108" s="918" t="str">
        <f t="shared" ref="AH108" si="225">IFERROR(IF(OR(C108="",J108="",M108="",O108="",Q108="",W108="",Z108="",AB108="",AD108="",AF108=""),"",ROUND((AD108+AF108)*Z108,2)),"")</f>
        <v/>
      </c>
      <c r="AI108" s="1095"/>
      <c r="AJ108" s="1095"/>
      <c r="AK108" s="904" t="str">
        <f t="shared" ref="AK108" si="226">IFERROR(IF(OR(C108="",F108="",J108="",M108="",O108="",Q108="",S108="",W108="",Z108="",AB108="",AD108="",AF108=""),"",ROUND(IF((M108*O108)&lt;=(Z108*AB108),"0",(AX108-AY108+BD108)*BE108),2)),"")</f>
        <v/>
      </c>
      <c r="AL108" s="905"/>
      <c r="AM108" s="969"/>
      <c r="AN108" s="1099" t="str">
        <f>IFERROR(IF(OR(C108="",F108="",J108="",M108="",O108="",Q108="",S108="",W108="",Z108="",AB108="",AD108="",AF108=""),"",IF(OR(ISNUMBER(SEARCH("~~",F108)),ISNUMBER(SEARCH("~~",S108))),"Invalid Fixture Type Selected",IF(BF108&lt;&gt;"",BF108,ROUND(MIN(AH108*0.75,AK108*INDEX(INCRATE[Electric],MATCH("CMLIGHT",INCRATE[Incentive Type]))),2)))),"")</f>
        <v/>
      </c>
      <c r="AO108" s="1099"/>
      <c r="AP108" s="1099"/>
      <c r="AQ108" s="1099"/>
      <c r="AU108" s="1103" t="str">
        <f>IF(F108="","",INDEX(CUSTLIGHTUNIT,MATCH(F108,CMELIGHTBASE1,0)))</f>
        <v/>
      </c>
      <c r="AV108" s="1101" t="str">
        <f>IFERROR(IF(OR(C108="",F108="",J108="",M108="",O108="",Q108="",S108="",W108="",Z108="",AB108="",AD108="",AF108=""),"",((((1+ELOSS)*((AK108*INDEX(ELECCB[NPV AEC $/kWh],MATCH(15,ELECCB[Year Number],0)))+(AW108*INDEX(ELECCB[NPV ACC+T&amp;D $/kW],MATCH(15,ELECCB[Year Number],0)))))+((1+GLOSS)*((BB108*INDEX(GASCB[NPV GAEC $/therm],MATCH(15,GASCB[Year Number],1))))))/AH108)),"")</f>
        <v/>
      </c>
      <c r="AW108" s="900" t="str">
        <f>IFERROR(IF(OR(C108="",F108="",J108="",M108="",O108="",Q108="",S108="",W108="",Z108="",AB108="",AD108="",AF108=""),"",IF(OR(ISNUMBER(SEARCH("Exterior",C108)),((M108*O108)&lt;=(Z108*AB108)),ISNUMBER(SEARCH("Exterior",S108)),ISNUMBER(SEARCH("Exterior",F108))),0,ROUND((((M108*O108)-(Z108*AB108))/1000)*INDEX(LightingWHF[Coincidence Factor CF],MATCH(M02S02F26,LightingWHF[Building/Space Type],0))*IF(OR(M02S02F32="AC with Natural Gas Heat",M02S02F32="AC with Electric Heat",M02S02F32="Heat Pump"),INDEX(LightingWHF[Waste Heat Cooling Demand WHFd],MATCH(M02S02F26,LightingWHF[Building/Space Type],0)),1),3))),"")</f>
        <v/>
      </c>
      <c r="AX108" s="811" t="str">
        <f t="shared" ref="AX108" si="227">IF(OR(C108="",F108="",J108="",M108="",O108="",Q108="",S108="",W108="",Z108="",AB108="",AD108="",AF108=""),"",ROUND(M108*O108*Q108/1000,2))</f>
        <v/>
      </c>
      <c r="AY108" s="811" t="str">
        <f t="shared" ref="AY108" si="228">IF(OR(C108="",F108="",J108="",M108="",O108="",Q108="",S108="",W108="",Z108="",AB108="",AD108="",AF108=""),"",ROUND(Z108*AB108*Q108/1000,2))</f>
        <v/>
      </c>
      <c r="AZ108" s="873" t="str">
        <f>IF(OR(C108="",F108="",J108="",M108="",O108="",Q108="",S108="",W108="",Z108="",AB108="",AD108="",AF108=""),"",IF(ISNUMBER(AN108),(CONCATENATE(INDEX(CMLIGHTBASE[Measure Number],MATCH(F108,CMLIGHTBASE[Base Desc 1],0)),INDEX(CMLIGHTEFF[Measure Number],MATCH(S108,CMLIGHTEFF[Eff Desc 1],0)))),IF(AK108=0,"","000001")))</f>
        <v/>
      </c>
      <c r="BA108" s="811" t="str">
        <f t="shared" ref="BA108" si="229">IF(OR(C108="",F108="",J108="",M108="",O108="",Q108="",S108="",W108="",Z108="",AB108="",AD108="",AF108=""),"",IF((M108*O108)&lt;=(Z108*AB108),"0",AX108-AY108))</f>
        <v/>
      </c>
      <c r="BB108" s="1058" t="str">
        <f>IF(OR(C108="",F108="",J108="",M108="",O108="",Q108="",S108="",W108="",Z108="",AB108="",AD108="",AF108=""),"",IF(M02S02F46="Electric Only",0,IF(OR(ISNUMBER(SEARCH("Exterior",S108)),ISNUMBER(SEARCH("Exterior",C108)),ISNUMBER(SEARCH("Exterior",F108))),0,IF(OR(M02S02F32="AC with Natural Gas Heat",M02S02F32="Natural Gas Heat Only"),(((O108*M108-AB108*Z108)/1000)*Q108*-INDEX(LightingWHF[Waste Heat Gas Heating IFTherms],MATCH(M02S02F26,LightingWHF[Building/Space Type],0))),0))))</f>
        <v/>
      </c>
      <c r="BC108" s="1097" t="str">
        <f>IFERROR(AH108/M02S02F35/BA108,"")</f>
        <v/>
      </c>
      <c r="BD108" s="1058" t="str">
        <f>IF(OR(C108="",F108="",J108="",M108="",O108="",Q108="",S108="",W108="",Z108="",AB108="",AD108="",AF108=""),"",IF(M02S02F46="Gas Only",0,IF(OR(ISNUMBER(SEARCH("Exterior",S108)),ISNUMBER(SEARCH("Exterior",C108)),ISNUMBER(SEARCH("Exterior",F108))),0,IF(M02S02F32="Heat Pump",(((O108*M108-AB108*Z108)/1000)*Q108*-INDEX(LightingWHF[Waste Heat Electric Heat Pump Heating IFkWh],MATCH(M02S02F26,LightingWHF[Building/Space Type],0))),
IF(OR(M02S02F32="AC with Electric Heat",M02S02F32="Electric Heat Only"),(((O108*M108-AB108*Z108)/1000)*Q108*-INDEX(LightingWHF[Waste Heat Electric Resistance Heating IFkWh],MATCH(M02S02F26,LightingWHF[Building/Space Type],0))),0
)))))</f>
        <v/>
      </c>
      <c r="BE108" s="1058" t="str">
        <f>IF(OR(C108="",F108="",J108="",M108="",O108="",Q108="",S108="",W108="",Z108="",AB108="",AD108="",AF108=""),"",IF(M02S02F46="Gas Only",0,IF(OR(ISNUMBER(SEARCH("Exterior",S108)),ISNUMBER(SEARCH("Exterior",C108)),ISNUMBER(SEARCH("Exterior",F108))),1,IF(OR(M02S02F32="Heat Pump",M02S02F32="AC with Natural Gas Heat",M02S02F32="AC with Electric Heat"),(INDEX(LightingWHF[Waste Heat Cooling Energy WHFe],MATCH(M02S02F26,LightingWHF[Building/Space Type],0))),1))))</f>
        <v/>
      </c>
      <c r="BF108" s="1097" t="str">
        <f>IFERROR(IF((M108*O108)&lt;=(Z108*AB108),MEASURESAVE,IF(M02S02F35="",MEASURERATE,IF(AH108/M02S02F35/BA108&lt;1,MEASUREPAY,IF(AV108&lt;1,MEASURECB,IF(OR(ISBLANK(M02S02F26),ISBLANK(M02S02F32),ISBLANK(M02S02F46)),MEASUREBLDG,""))))),MEASURESUBMIT)</f>
        <v>Submit for Review</v>
      </c>
      <c r="BG108"/>
      <c r="BH108" s="995" t="str">
        <f ca="1">IF(OR(C108="",F108="",J108="",M108="",O108="",Q108="",S108="",W108="",Z108="",AB108="",AD108="",AF108=""),"",IF('M01-S01'!$V$82&lt;TODAY(),0,IF(M02S02F46="Gas Only",0,IF(OR(AK108="",AK108&lt;0,AH108&lt;=AN108),0,MIN(AH108-AN108,ROUND(IF(OR(ISNUMBER(SEARCH("T12",F108)),ISNUMBER(SEARCH("T8",F108)),ISNUMBER(SEARCH("T5",F108)),ISNUMBER(SEARCH("MH",F108)),ISNUMBER(SEARCH("HPS",F108)),ISNUMBER(SEARCH("MV",F108))),AN108*0.2),2))))))</f>
        <v/>
      </c>
      <c r="BI108"/>
    </row>
    <row r="109" spans="2:61" ht="15.95" hidden="1" customHeight="1">
      <c r="B109" s="829"/>
      <c r="C109" s="1088"/>
      <c r="D109" s="1088"/>
      <c r="E109" s="1088"/>
      <c r="F109" s="835"/>
      <c r="G109" s="836"/>
      <c r="H109" s="836"/>
      <c r="I109" s="837"/>
      <c r="J109" s="1088"/>
      <c r="K109" s="1088"/>
      <c r="L109" s="1088"/>
      <c r="M109" s="1078"/>
      <c r="N109" s="1078"/>
      <c r="O109" s="1081"/>
      <c r="P109" s="1082"/>
      <c r="Q109" s="1085"/>
      <c r="R109" s="1086"/>
      <c r="S109" s="851"/>
      <c r="T109" s="836"/>
      <c r="U109" s="836"/>
      <c r="V109" s="837"/>
      <c r="W109" s="1088"/>
      <c r="X109" s="1088"/>
      <c r="Y109" s="1088"/>
      <c r="Z109" s="1078"/>
      <c r="AA109" s="1078"/>
      <c r="AB109" s="1090"/>
      <c r="AC109" s="1090"/>
      <c r="AD109" s="1092"/>
      <c r="AE109" s="1092"/>
      <c r="AF109" s="1092"/>
      <c r="AG109" s="1094"/>
      <c r="AH109" s="865"/>
      <c r="AI109" s="1096"/>
      <c r="AJ109" s="1096"/>
      <c r="AK109" s="906"/>
      <c r="AL109" s="907"/>
      <c r="AM109" s="936"/>
      <c r="AN109" s="1100"/>
      <c r="AO109" s="1100"/>
      <c r="AP109" s="1100"/>
      <c r="AQ109" s="1100"/>
      <c r="AU109" s="1102"/>
      <c r="AV109" s="1102"/>
      <c r="AW109" s="901"/>
      <c r="AX109" s="812"/>
      <c r="AY109" s="812"/>
      <c r="AZ109" s="874"/>
      <c r="BA109" s="812"/>
      <c r="BB109" s="996"/>
      <c r="BC109" s="1098"/>
      <c r="BD109" s="996"/>
      <c r="BE109" s="996"/>
      <c r="BF109" s="1098"/>
      <c r="BG109"/>
      <c r="BH109" s="996"/>
      <c r="BI109"/>
    </row>
    <row r="110" spans="2:61" ht="15.95" hidden="1" customHeight="1">
      <c r="B110" s="829">
        <v>48</v>
      </c>
      <c r="C110" s="1087"/>
      <c r="D110" s="1087"/>
      <c r="E110" s="1087"/>
      <c r="F110" s="866"/>
      <c r="G110" s="867"/>
      <c r="H110" s="867"/>
      <c r="I110" s="868"/>
      <c r="J110" s="1087"/>
      <c r="K110" s="1087"/>
      <c r="L110" s="1087"/>
      <c r="M110" s="1077"/>
      <c r="N110" s="1077"/>
      <c r="O110" s="1079" t="str">
        <f>IFERROR(IF(F110="","",INDEX(CMLIGHTBASE[Base Watt 1],MATCH(F110,CMLIGHTBASE[Base Desc 1],0))),"")</f>
        <v/>
      </c>
      <c r="P110" s="1080"/>
      <c r="Q110" s="1083"/>
      <c r="R110" s="1084"/>
      <c r="S110" s="885"/>
      <c r="T110" s="867"/>
      <c r="U110" s="867"/>
      <c r="V110" s="868"/>
      <c r="W110" s="1087"/>
      <c r="X110" s="1087"/>
      <c r="Y110" s="1087"/>
      <c r="Z110" s="1077"/>
      <c r="AA110" s="1077"/>
      <c r="AB110" s="1089"/>
      <c r="AC110" s="1089"/>
      <c r="AD110" s="1091"/>
      <c r="AE110" s="1091"/>
      <c r="AF110" s="1091"/>
      <c r="AG110" s="1093"/>
      <c r="AH110" s="918" t="str">
        <f t="shared" ref="AH110" si="230">IFERROR(IF(OR(C110="",J110="",M110="",O110="",Q110="",W110="",Z110="",AB110="",AD110="",AF110=""),"",ROUND((AD110+AF110)*Z110,2)),"")</f>
        <v/>
      </c>
      <c r="AI110" s="1095"/>
      <c r="AJ110" s="1095"/>
      <c r="AK110" s="904" t="str">
        <f t="shared" ref="AK110" si="231">IFERROR(IF(OR(C110="",F110="",J110="",M110="",O110="",Q110="",S110="",W110="",Z110="",AB110="",AD110="",AF110=""),"",ROUND(IF((M110*O110)&lt;=(Z110*AB110),"0",(AX110-AY110+BD110)*BE110),2)),"")</f>
        <v/>
      </c>
      <c r="AL110" s="905"/>
      <c r="AM110" s="969"/>
      <c r="AN110" s="1099" t="str">
        <f>IFERROR(IF(OR(C110="",F110="",J110="",M110="",O110="",Q110="",S110="",W110="",Z110="",AB110="",AD110="",AF110=""),"",IF(OR(ISNUMBER(SEARCH("~~",F110)),ISNUMBER(SEARCH("~~",S110))),"Invalid Fixture Type Selected",IF(BF110&lt;&gt;"",BF110,ROUND(MIN(AH110*0.75,AK110*INDEX(INCRATE[Electric],MATCH("CMLIGHT",INCRATE[Incentive Type]))),2)))),"")</f>
        <v/>
      </c>
      <c r="AO110" s="1099"/>
      <c r="AP110" s="1099"/>
      <c r="AQ110" s="1099"/>
      <c r="AU110" s="1103" t="str">
        <f>IF(F110="","",INDEX(CUSTLIGHTUNIT,MATCH(F110,CMELIGHTBASE1,0)))</f>
        <v/>
      </c>
      <c r="AV110" s="1101" t="str">
        <f>IFERROR(IF(OR(C110="",F110="",J110="",M110="",O110="",Q110="",S110="",W110="",Z110="",AB110="",AD110="",AF110=""),"",((((1+ELOSS)*((AK110*INDEX(ELECCB[NPV AEC $/kWh],MATCH(15,ELECCB[Year Number],0)))+(AW110*INDEX(ELECCB[NPV ACC+T&amp;D $/kW],MATCH(15,ELECCB[Year Number],0)))))+((1+GLOSS)*((BB110*INDEX(GASCB[NPV GAEC $/therm],MATCH(15,GASCB[Year Number],1))))))/AH110)),"")</f>
        <v/>
      </c>
      <c r="AW110" s="900" t="str">
        <f>IFERROR(IF(OR(C110="",F110="",J110="",M110="",O110="",Q110="",S110="",W110="",Z110="",AB110="",AD110="",AF110=""),"",IF(OR(ISNUMBER(SEARCH("Exterior",C110)),((M110*O110)&lt;=(Z110*AB110)),ISNUMBER(SEARCH("Exterior",S110)),ISNUMBER(SEARCH("Exterior",F110))),0,ROUND((((M110*O110)-(Z110*AB110))/1000)*INDEX(LightingWHF[Coincidence Factor CF],MATCH(M02S02F26,LightingWHF[Building/Space Type],0))*IF(OR(M02S02F32="AC with Natural Gas Heat",M02S02F32="AC with Electric Heat",M02S02F32="Heat Pump"),INDEX(LightingWHF[Waste Heat Cooling Demand WHFd],MATCH(M02S02F26,LightingWHF[Building/Space Type],0)),1),3))),"")</f>
        <v/>
      </c>
      <c r="AX110" s="811" t="str">
        <f t="shared" ref="AX110" si="232">IF(OR(C110="",F110="",J110="",M110="",O110="",Q110="",S110="",W110="",Z110="",AB110="",AD110="",AF110=""),"",ROUND(M110*O110*Q110/1000,2))</f>
        <v/>
      </c>
      <c r="AY110" s="811" t="str">
        <f t="shared" ref="AY110" si="233">IF(OR(C110="",F110="",J110="",M110="",O110="",Q110="",S110="",W110="",Z110="",AB110="",AD110="",AF110=""),"",ROUND(Z110*AB110*Q110/1000,2))</f>
        <v/>
      </c>
      <c r="AZ110" s="873" t="str">
        <f>IF(OR(C110="",F110="",J110="",M110="",O110="",Q110="",S110="",W110="",Z110="",AB110="",AD110="",AF110=""),"",IF(ISNUMBER(AN110),(CONCATENATE(INDEX(CMLIGHTBASE[Measure Number],MATCH(F110,CMLIGHTBASE[Base Desc 1],0)),INDEX(CMLIGHTEFF[Measure Number],MATCH(S110,CMLIGHTEFF[Eff Desc 1],0)))),IF(AK110=0,"","000001")))</f>
        <v/>
      </c>
      <c r="BA110" s="811" t="str">
        <f t="shared" ref="BA110" si="234">IF(OR(C110="",F110="",J110="",M110="",O110="",Q110="",S110="",W110="",Z110="",AB110="",AD110="",AF110=""),"",IF((M110*O110)&lt;=(Z110*AB110),"0",AX110-AY110))</f>
        <v/>
      </c>
      <c r="BB110" s="1058" t="str">
        <f>IF(OR(C110="",F110="",J110="",M110="",O110="",Q110="",S110="",W110="",Z110="",AB110="",AD110="",AF110=""),"",IF(M02S02F46="Electric Only",0,IF(OR(ISNUMBER(SEARCH("Exterior",S110)),ISNUMBER(SEARCH("Exterior",C110)),ISNUMBER(SEARCH("Exterior",F110))),0,IF(OR(M02S02F32="AC with Natural Gas Heat",M02S02F32="Natural Gas Heat Only"),(((O110*M110-AB110*Z110)/1000)*Q110*-INDEX(LightingWHF[Waste Heat Gas Heating IFTherms],MATCH(M02S02F26,LightingWHF[Building/Space Type],0))),0))))</f>
        <v/>
      </c>
      <c r="BC110" s="1097" t="str">
        <f>IFERROR(AH110/M02S02F35/BA110,"")</f>
        <v/>
      </c>
      <c r="BD110" s="1058" t="str">
        <f>IF(OR(C110="",F110="",J110="",M110="",O110="",Q110="",S110="",W110="",Z110="",AB110="",AD110="",AF110=""),"",IF(M02S02F46="Gas Only",0,IF(OR(ISNUMBER(SEARCH("Exterior",S110)),ISNUMBER(SEARCH("Exterior",C110)),ISNUMBER(SEARCH("Exterior",F110))),0,IF(M02S02F32="Heat Pump",(((O110*M110-AB110*Z110)/1000)*Q110*-INDEX(LightingWHF[Waste Heat Electric Heat Pump Heating IFkWh],MATCH(M02S02F26,LightingWHF[Building/Space Type],0))),
IF(OR(M02S02F32="AC with Electric Heat",M02S02F32="Electric Heat Only"),(((O110*M110-AB110*Z110)/1000)*Q110*-INDEX(LightingWHF[Waste Heat Electric Resistance Heating IFkWh],MATCH(M02S02F26,LightingWHF[Building/Space Type],0))),0
)))))</f>
        <v/>
      </c>
      <c r="BE110" s="1058" t="str">
        <f>IF(OR(C110="",F110="",J110="",M110="",O110="",Q110="",S110="",W110="",Z110="",AB110="",AD110="",AF110=""),"",IF(M02S02F46="Gas Only",0,IF(OR(ISNUMBER(SEARCH("Exterior",S110)),ISNUMBER(SEARCH("Exterior",C110)),ISNUMBER(SEARCH("Exterior",F110))),1,IF(OR(M02S02F32="Heat Pump",M02S02F32="AC with Natural Gas Heat",M02S02F32="AC with Electric Heat"),(INDEX(LightingWHF[Waste Heat Cooling Energy WHFe],MATCH(M02S02F26,LightingWHF[Building/Space Type],0))),1))))</f>
        <v/>
      </c>
      <c r="BF110" s="1097" t="str">
        <f>IFERROR(IF((M110*O110)&lt;=(Z110*AB110),MEASURESAVE,IF(M02S02F35="",MEASURERATE,IF(AH110/M02S02F35/BA110&lt;1,MEASUREPAY,IF(AV110&lt;1,MEASURECB,IF(OR(ISBLANK(M02S02F26),ISBLANK(M02S02F32),ISBLANK(M02S02F46)),MEASUREBLDG,""))))),MEASURESUBMIT)</f>
        <v>Submit for Review</v>
      </c>
      <c r="BH110" s="995" t="str">
        <f ca="1">IF(OR(C110="",F110="",J110="",M110="",O110="",Q110="",S110="",W110="",Z110="",AB110="",AD110="",AF110=""),"",IF('M01-S01'!$V$82&lt;TODAY(),0,IF(M02S02F46="Gas Only",0,IF(OR(AK110="",AK110&lt;0,AH110&lt;=AN110),0,MIN(AH110-AN110,ROUND(IF(OR(ISNUMBER(SEARCH("T12",F110)),ISNUMBER(SEARCH("T8",F110)),ISNUMBER(SEARCH("T5",F110)),ISNUMBER(SEARCH("MH",F110)),ISNUMBER(SEARCH("HPS",F110)),ISNUMBER(SEARCH("MV",F110))),AN110*0.2),2))))))</f>
        <v/>
      </c>
      <c r="BI110"/>
    </row>
    <row r="111" spans="2:61" ht="15.95" hidden="1" customHeight="1">
      <c r="B111" s="829"/>
      <c r="C111" s="1088"/>
      <c r="D111" s="1088"/>
      <c r="E111" s="1088"/>
      <c r="F111" s="835"/>
      <c r="G111" s="836"/>
      <c r="H111" s="836"/>
      <c r="I111" s="837"/>
      <c r="J111" s="1088"/>
      <c r="K111" s="1088"/>
      <c r="L111" s="1088"/>
      <c r="M111" s="1078"/>
      <c r="N111" s="1078"/>
      <c r="O111" s="1081"/>
      <c r="P111" s="1082"/>
      <c r="Q111" s="1085"/>
      <c r="R111" s="1086"/>
      <c r="S111" s="851"/>
      <c r="T111" s="836"/>
      <c r="U111" s="836"/>
      <c r="V111" s="837"/>
      <c r="W111" s="1088"/>
      <c r="X111" s="1088"/>
      <c r="Y111" s="1088"/>
      <c r="Z111" s="1078"/>
      <c r="AA111" s="1078"/>
      <c r="AB111" s="1090"/>
      <c r="AC111" s="1090"/>
      <c r="AD111" s="1092"/>
      <c r="AE111" s="1092"/>
      <c r="AF111" s="1092"/>
      <c r="AG111" s="1094"/>
      <c r="AH111" s="865"/>
      <c r="AI111" s="1096"/>
      <c r="AJ111" s="1096"/>
      <c r="AK111" s="906"/>
      <c r="AL111" s="907"/>
      <c r="AM111" s="936"/>
      <c r="AN111" s="1100"/>
      <c r="AO111" s="1100"/>
      <c r="AP111" s="1100"/>
      <c r="AQ111" s="1100"/>
      <c r="AU111" s="1102"/>
      <c r="AV111" s="1102"/>
      <c r="AW111" s="901"/>
      <c r="AX111" s="812"/>
      <c r="AY111" s="812"/>
      <c r="AZ111" s="874"/>
      <c r="BA111" s="812"/>
      <c r="BB111" s="996"/>
      <c r="BC111" s="1098"/>
      <c r="BD111" s="996"/>
      <c r="BE111" s="996"/>
      <c r="BF111" s="1098"/>
      <c r="BG111"/>
      <c r="BH111" s="996"/>
      <c r="BI111"/>
    </row>
    <row r="112" spans="2:61" ht="15.95" hidden="1" customHeight="1">
      <c r="B112" s="829">
        <v>49</v>
      </c>
      <c r="C112" s="1087"/>
      <c r="D112" s="1087"/>
      <c r="E112" s="1087"/>
      <c r="F112" s="866"/>
      <c r="G112" s="867"/>
      <c r="H112" s="867"/>
      <c r="I112" s="868"/>
      <c r="J112" s="1087"/>
      <c r="K112" s="1087"/>
      <c r="L112" s="1087"/>
      <c r="M112" s="1077"/>
      <c r="N112" s="1077"/>
      <c r="O112" s="1079" t="str">
        <f>IFERROR(IF(F112="","",INDEX(CMLIGHTBASE[Base Watt 1],MATCH(F112,CMLIGHTBASE[Base Desc 1],0))),"")</f>
        <v/>
      </c>
      <c r="P112" s="1080"/>
      <c r="Q112" s="1083"/>
      <c r="R112" s="1084"/>
      <c r="S112" s="885"/>
      <c r="T112" s="867"/>
      <c r="U112" s="867"/>
      <c r="V112" s="868"/>
      <c r="W112" s="1087"/>
      <c r="X112" s="1087"/>
      <c r="Y112" s="1087"/>
      <c r="Z112" s="1077"/>
      <c r="AA112" s="1077"/>
      <c r="AB112" s="1089"/>
      <c r="AC112" s="1089"/>
      <c r="AD112" s="1091"/>
      <c r="AE112" s="1091"/>
      <c r="AF112" s="1091"/>
      <c r="AG112" s="1093"/>
      <c r="AH112" s="918" t="str">
        <f t="shared" ref="AH112" si="235">IFERROR(IF(OR(C112="",J112="",M112="",O112="",Q112="",W112="",Z112="",AB112="",AD112="",AF112=""),"",ROUND((AD112+AF112)*Z112,2)),"")</f>
        <v/>
      </c>
      <c r="AI112" s="1095"/>
      <c r="AJ112" s="1095"/>
      <c r="AK112" s="904" t="str">
        <f t="shared" ref="AK112" si="236">IFERROR(IF(OR(C112="",F112="",J112="",M112="",O112="",Q112="",S112="",W112="",Z112="",AB112="",AD112="",AF112=""),"",ROUND(IF((M112*O112)&lt;=(Z112*AB112),"0",(AX112-AY112+BD112)*BE112),2)),"")</f>
        <v/>
      </c>
      <c r="AL112" s="905"/>
      <c r="AM112" s="969"/>
      <c r="AN112" s="1099" t="str">
        <f>IFERROR(IF(OR(C112="",F112="",J112="",M112="",O112="",Q112="",S112="",W112="",Z112="",AB112="",AD112="",AF112=""),"",IF(OR(ISNUMBER(SEARCH("~~",F112)),ISNUMBER(SEARCH("~~",S112))),"Invalid Fixture Type Selected",IF(BF112&lt;&gt;"",BF112,ROUND(MIN(AH112*0.75,AK112*INDEX(INCRATE[Electric],MATCH("CMLIGHT",INCRATE[Incentive Type]))),2)))),"")</f>
        <v/>
      </c>
      <c r="AO112" s="1099"/>
      <c r="AP112" s="1099"/>
      <c r="AQ112" s="1099"/>
      <c r="AU112" s="1103" t="str">
        <f>IF(F112="","",INDEX(CUSTLIGHTUNIT,MATCH(F112,CMELIGHTBASE1,0)))</f>
        <v/>
      </c>
      <c r="AV112" s="1101" t="str">
        <f>IFERROR(IF(OR(C112="",F112="",J112="",M112="",O112="",Q112="",S112="",W112="",Z112="",AB112="",AD112="",AF112=""),"",((((1+ELOSS)*((AK112*INDEX(ELECCB[NPV AEC $/kWh],MATCH(15,ELECCB[Year Number],0)))+(AW112*INDEX(ELECCB[NPV ACC+T&amp;D $/kW],MATCH(15,ELECCB[Year Number],0)))))+((1+GLOSS)*((BB112*INDEX(GASCB[NPV GAEC $/therm],MATCH(15,GASCB[Year Number],1))))))/AH112)),"")</f>
        <v/>
      </c>
      <c r="AW112" s="900" t="str">
        <f>IFERROR(IF(OR(C112="",F112="",J112="",M112="",O112="",Q112="",S112="",W112="",Z112="",AB112="",AD112="",AF112=""),"",IF(OR(ISNUMBER(SEARCH("Exterior",C112)),((M112*O112)&lt;=(Z112*AB112)),ISNUMBER(SEARCH("Exterior",S112)),ISNUMBER(SEARCH("Exterior",F112))),0,ROUND((((M112*O112)-(Z112*AB112))/1000)*INDEX(LightingWHF[Coincidence Factor CF],MATCH(M02S02F26,LightingWHF[Building/Space Type],0))*IF(OR(M02S02F32="AC with Natural Gas Heat",M02S02F32="AC with Electric Heat",M02S02F32="Heat Pump"),INDEX(LightingWHF[Waste Heat Cooling Demand WHFd],MATCH(M02S02F26,LightingWHF[Building/Space Type],0)),1),3))),"")</f>
        <v/>
      </c>
      <c r="AX112" s="811" t="str">
        <f t="shared" ref="AX112" si="237">IF(OR(C112="",F112="",J112="",M112="",O112="",Q112="",S112="",W112="",Z112="",AB112="",AD112="",AF112=""),"",ROUND(M112*O112*Q112/1000,2))</f>
        <v/>
      </c>
      <c r="AY112" s="811" t="str">
        <f t="shared" ref="AY112" si="238">IF(OR(C112="",F112="",J112="",M112="",O112="",Q112="",S112="",W112="",Z112="",AB112="",AD112="",AF112=""),"",ROUND(Z112*AB112*Q112/1000,2))</f>
        <v/>
      </c>
      <c r="AZ112" s="873" t="str">
        <f>IF(OR(C112="",F112="",J112="",M112="",O112="",Q112="",S112="",W112="",Z112="",AB112="",AD112="",AF112=""),"",IF(ISNUMBER(AN112),(CONCATENATE(INDEX(CMLIGHTBASE[Measure Number],MATCH(F112,CMLIGHTBASE[Base Desc 1],0)),INDEX(CMLIGHTEFF[Measure Number],MATCH(S112,CMLIGHTEFF[Eff Desc 1],0)))),IF(AK112=0,"","000001")))</f>
        <v/>
      </c>
      <c r="BA112" s="811" t="str">
        <f t="shared" ref="BA112" si="239">IF(OR(C112="",F112="",J112="",M112="",O112="",Q112="",S112="",W112="",Z112="",AB112="",AD112="",AF112=""),"",IF((M112*O112)&lt;=(Z112*AB112),"0",AX112-AY112))</f>
        <v/>
      </c>
      <c r="BB112" s="1058" t="str">
        <f>IF(OR(C112="",F112="",J112="",M112="",O112="",Q112="",S112="",W112="",Z112="",AB112="",AD112="",AF112=""),"",IF(M02S02F46="Electric Only",0,IF(OR(ISNUMBER(SEARCH("Exterior",S112)),ISNUMBER(SEARCH("Exterior",C112)),ISNUMBER(SEARCH("Exterior",F112))),0,IF(OR(M02S02F32="AC with Natural Gas Heat",M02S02F32="Natural Gas Heat Only"),(((O112*M112-AB112*Z112)/1000)*Q112*-INDEX(LightingWHF[Waste Heat Gas Heating IFTherms],MATCH(M02S02F26,LightingWHF[Building/Space Type],0))),0))))</f>
        <v/>
      </c>
      <c r="BC112" s="1097" t="str">
        <f>IFERROR(AH112/M02S02F35/BA112,"")</f>
        <v/>
      </c>
      <c r="BD112" s="1058" t="str">
        <f>IF(OR(C112="",F112="",J112="",M112="",O112="",Q112="",S112="",W112="",Z112="",AB112="",AD112="",AF112=""),"",IF(M02S02F46="Gas Only",0,IF(OR(ISNUMBER(SEARCH("Exterior",S112)),ISNUMBER(SEARCH("Exterior",C112)),ISNUMBER(SEARCH("Exterior",F112))),0,IF(M02S02F32="Heat Pump",(((O112*M112-AB112*Z112)/1000)*Q112*-INDEX(LightingWHF[Waste Heat Electric Heat Pump Heating IFkWh],MATCH(M02S02F26,LightingWHF[Building/Space Type],0))),
IF(OR(M02S02F32="AC with Electric Heat",M02S02F32="Electric Heat Only"),(((O112*M112-AB112*Z112)/1000)*Q112*-INDEX(LightingWHF[Waste Heat Electric Resistance Heating IFkWh],MATCH(M02S02F26,LightingWHF[Building/Space Type],0))),0
)))))</f>
        <v/>
      </c>
      <c r="BE112" s="1058" t="str">
        <f>IF(OR(C112="",F112="",J112="",M112="",O112="",Q112="",S112="",W112="",Z112="",AB112="",AD112="",AF112=""),"",IF(M02S02F46="Gas Only",0,IF(OR(ISNUMBER(SEARCH("Exterior",S112)),ISNUMBER(SEARCH("Exterior",C112)),ISNUMBER(SEARCH("Exterior",F112))),1,IF(OR(M02S02F32="Heat Pump",M02S02F32="AC with Natural Gas Heat",M02S02F32="AC with Electric Heat"),(INDEX(LightingWHF[Waste Heat Cooling Energy WHFe],MATCH(M02S02F26,LightingWHF[Building/Space Type],0))),1))))</f>
        <v/>
      </c>
      <c r="BF112" s="1097" t="str">
        <f>IFERROR(IF((M112*O112)&lt;=(Z112*AB112),MEASURESAVE,IF(M02S02F35="",MEASURERATE,IF(AH112/M02S02F35/BA112&lt;1,MEASUREPAY,IF(AV112&lt;1,MEASURECB,IF(OR(ISBLANK(M02S02F26),ISBLANK(M02S02F32),ISBLANK(M02S02F46)),MEASUREBLDG,""))))),MEASURESUBMIT)</f>
        <v>Submit for Review</v>
      </c>
      <c r="BG112"/>
      <c r="BH112" s="995" t="str">
        <f ca="1">IF(OR(C112="",F112="",J112="",M112="",O112="",Q112="",S112="",W112="",Z112="",AB112="",AD112="",AF112=""),"",IF('M01-S01'!$V$82&lt;TODAY(),0,IF(M02S02F46="Gas Only",0,IF(OR(AK112="",AK112&lt;0,AH112&lt;=AN112),0,MIN(AH112-AN112,ROUND(IF(OR(ISNUMBER(SEARCH("T12",F112)),ISNUMBER(SEARCH("T8",F112)),ISNUMBER(SEARCH("T5",F112)),ISNUMBER(SEARCH("MH",F112)),ISNUMBER(SEARCH("HPS",F112)),ISNUMBER(SEARCH("MV",F112))),AN112*0.2),2))))))</f>
        <v/>
      </c>
      <c r="BI112"/>
    </row>
    <row r="113" spans="2:61" ht="15.95" hidden="1" customHeight="1">
      <c r="B113" s="829"/>
      <c r="C113" s="1088"/>
      <c r="D113" s="1088"/>
      <c r="E113" s="1088"/>
      <c r="F113" s="835"/>
      <c r="G113" s="836"/>
      <c r="H113" s="836"/>
      <c r="I113" s="837"/>
      <c r="J113" s="1088"/>
      <c r="K113" s="1088"/>
      <c r="L113" s="1088"/>
      <c r="M113" s="1078"/>
      <c r="N113" s="1078"/>
      <c r="O113" s="1081"/>
      <c r="P113" s="1082"/>
      <c r="Q113" s="1085"/>
      <c r="R113" s="1086"/>
      <c r="S113" s="851"/>
      <c r="T113" s="836"/>
      <c r="U113" s="836"/>
      <c r="V113" s="837"/>
      <c r="W113" s="1088"/>
      <c r="X113" s="1088"/>
      <c r="Y113" s="1088"/>
      <c r="Z113" s="1078"/>
      <c r="AA113" s="1078"/>
      <c r="AB113" s="1090"/>
      <c r="AC113" s="1090"/>
      <c r="AD113" s="1092"/>
      <c r="AE113" s="1092"/>
      <c r="AF113" s="1092"/>
      <c r="AG113" s="1094"/>
      <c r="AH113" s="865"/>
      <c r="AI113" s="1096"/>
      <c r="AJ113" s="1096"/>
      <c r="AK113" s="906"/>
      <c r="AL113" s="907"/>
      <c r="AM113" s="936"/>
      <c r="AN113" s="1100"/>
      <c r="AO113" s="1100"/>
      <c r="AP113" s="1100"/>
      <c r="AQ113" s="1100"/>
      <c r="AU113" s="1102"/>
      <c r="AV113" s="1102"/>
      <c r="AW113" s="901"/>
      <c r="AX113" s="812"/>
      <c r="AY113" s="812"/>
      <c r="AZ113" s="874"/>
      <c r="BA113" s="812"/>
      <c r="BB113" s="996"/>
      <c r="BC113" s="1098"/>
      <c r="BD113" s="996"/>
      <c r="BE113" s="996"/>
      <c r="BF113" s="1098"/>
      <c r="BG113"/>
      <c r="BH113" s="996"/>
      <c r="BI113"/>
    </row>
    <row r="114" spans="2:61" ht="15.95" hidden="1" customHeight="1">
      <c r="B114" s="829">
        <v>50</v>
      </c>
      <c r="C114" s="1087"/>
      <c r="D114" s="1087"/>
      <c r="E114" s="1087"/>
      <c r="F114" s="866">
        <f ca="1">IF(OR(S114="",S114=0),0,INDEX(PMEBONUS[Base Desc 1],MATCH(S114,PMEBONUS[Eff Desc 1],0)))</f>
        <v>0</v>
      </c>
      <c r="G114" s="867"/>
      <c r="H114" s="867"/>
      <c r="I114" s="868"/>
      <c r="J114" s="1087"/>
      <c r="K114" s="1087"/>
      <c r="L114" s="1087"/>
      <c r="M114" s="1077">
        <f ca="1">IF(F114=0,0,1)</f>
        <v>0</v>
      </c>
      <c r="N114" s="1077"/>
      <c r="O114" s="1079" t="str">
        <f ca="1">IFERROR(IF(F114="","",INDEX(CMLIGHTBASE[Base Watt 1],MATCH(F114,CMLIGHTBASE[Base Desc 1],0))),"")</f>
        <v/>
      </c>
      <c r="P114" s="1080"/>
      <c r="Q114" s="1083"/>
      <c r="R114" s="1084"/>
      <c r="S114" s="885">
        <f ca="1">IF(OR(SUM(AK16:AM113)&lt;=0,SUM(BH16:BH113)&lt;=0),0,INDEX(PMEBONUS[],4,3))</f>
        <v>0</v>
      </c>
      <c r="T114" s="867"/>
      <c r="U114" s="867"/>
      <c r="V114" s="868"/>
      <c r="W114" s="1087"/>
      <c r="X114" s="1087"/>
      <c r="Y114" s="1087"/>
      <c r="Z114" s="1077">
        <f ca="1">IF(S114=0,0,1)</f>
        <v>0</v>
      </c>
      <c r="AA114" s="1077"/>
      <c r="AB114" s="1089"/>
      <c r="AC114" s="1089"/>
      <c r="AD114" s="1091"/>
      <c r="AE114" s="1091"/>
      <c r="AF114" s="1091"/>
      <c r="AG114" s="1093"/>
      <c r="AH114" s="918" t="str">
        <f ca="1">IFERROR(IF(OR(C114="",J114="",M114="",O114="",Q114="",W114="",Z114="",AB114="",AD114="",AF114=""),"",ROUND((AD114+AF114)*Z114,2)),"")</f>
        <v/>
      </c>
      <c r="AI114" s="1095"/>
      <c r="AJ114" s="1095"/>
      <c r="AK114" s="904" t="str">
        <f ca="1">IFERROR(IF(OR(C114="",F114="",J114="",M114="",O114="",Q114="",S114="",W114="",Z114="",AB114="",AD114="",AF114=""),"",ROUND(IF((M114*O114)&lt;=(Z114*AB114),"0",(AX114-AY114+BD114)*BE114),2)),"")</f>
        <v/>
      </c>
      <c r="AL114" s="905"/>
      <c r="AM114" s="969"/>
      <c r="AN114" s="1099" t="str">
        <f ca="1">IF(BB114="","",BB114)</f>
        <v/>
      </c>
      <c r="AO114" s="1099"/>
      <c r="AP114" s="1099"/>
      <c r="AQ114" s="1099"/>
      <c r="AU114" s="1103" t="str">
        <f ca="1">IF(OR(F114="",F114=0),"",INDEX(PMEBONUS[Unit of Measure],MATCH(F114,PMEBONUS[Base Desc 1],0)))</f>
        <v/>
      </c>
      <c r="AV114" s="1101" t="str">
        <f ca="1">IFERROR(IF(OR(C114="",F114="",J114="",M114="",O114="",Q114="",S114="",W114="",Z114="",AB114="",AD114="",AF114=""),"",((1+ELOSS)*((AK114*INDEX(ELECCB[NPV AEC $/kWh],MATCH(15,ELECCB[Year Number],0)))+(AW114*INDEX(ELECCB[NPV ACC+T&amp;D $/kW],MATCH(15,ELECCB[Year Number],0))))/AH114)),"")</f>
        <v/>
      </c>
      <c r="AW114" s="900" t="str">
        <f ca="1">IFERROR(IF(OR(C114="",F114="",J114="",M114="",O114="",Q114="",S114="",W114="",Z114="",AB114="",AD114="",AF114=""),"",IF(OR(ISNUMBER(SEARCH("Exterior",C114)),((M114*O114)&lt;=(Z114*AB114)),ISNUMBER(SEARCH("Exterior",S114)),ISNUMBER(SEARCH("Exterior",F114))),0,ROUND((((M114*O114)-(Z114*AB114))/1000)*INDEX(BUILDINGTYPE[Lighting Coincidence Factor],MATCH(M02S02F26,BUILDINGTYPE[Building Type],0)),3))),"")</f>
        <v/>
      </c>
      <c r="AX114" s="811" t="str">
        <f ca="1">IF(OR(C114="",F114="",J114="",M114="",O114="",Q114="",S114="",W114="",Z114="",AB114="",AD114="",AF114=""),"",ROUND(M114*O114*Q114/1000,2))</f>
        <v/>
      </c>
      <c r="AY114" s="811" t="str">
        <f ca="1">IF(OR(C114="",F114="",J114="",M114="",O114="",Q114="",S114="",W114="",Z114="",AB114="",AD114="",AF114=""),"",ROUND(Z114*AB114*Q114/1000,2))</f>
        <v/>
      </c>
      <c r="AZ114" s="873" t="str">
        <f ca="1">IF(OR(S114="",S114=0,SUM(AK16:AM113)&lt;=0),"",INDEX(PMEBONUS[Measure '#],MATCH(S114,PMEBONUS[Equipment Description],0)))</f>
        <v/>
      </c>
      <c r="BA114" s="811" t="str">
        <f ca="1">IF(OR(C114="",F114="",J114="",M114="",O114="",Q114="",S114="",W114="",Z114="",AB114="",AD114="",AF114=""),"",IF((M114*O114)&lt;=(Z114*AB114),"0",AX114-AY114))</f>
        <v/>
      </c>
      <c r="BB114" s="1058" t="str">
        <f ca="1">IFERROR(IF(OR(S114="",S114=0,SUM(AK16:AM113)&lt;=0),"",SUM(BH16:BH113)),"")</f>
        <v/>
      </c>
      <c r="BC114" s="1097" t="str">
        <f ca="1">IFERROR(AH114/M02S02F35/BA114,"")</f>
        <v/>
      </c>
      <c r="BD114" s="1058" t="str">
        <f ca="1">IF(OR(C114="",F114="",J114="",M114="",O114="",Q114="",S114="",W114="",Z114="",AB114="",AD114="",AF114=""),"",IF(M02S02F46="Gas Only",0,IF(OR(ISNUMBER(SEARCH("Exterior",S114)),ISNUMBER(SEARCH("Exterior",C114)),ISNUMBER(SEARCH("Exterior",F114))),0,IF(M02S02F32="Heat Pump",(((O114*M114-AB114*Z114)/1000)*Q114*-INDEX(LightingWHF[Waste Heat Electric Heat Pump Heating IFkWh],MATCH(M02S02F26,LightingWHF[Building/Space Type],0))),
IF(OR(M02S02F32="AC with Electric Heat",M02S02F32="Electric Heat Only"),(((O114*M114-AB114*Z114)/1000)*Q114*-INDEX(LightingWHF[Waste Heat Electric Resistance Heating IFkWh],MATCH(M02S02F26,LightingWHF[Building/Space Type],0))),0
)))))</f>
        <v/>
      </c>
      <c r="BE114" s="1058" t="str">
        <f ca="1">IF(OR(C114="",F114="",J114="",M114="",O114="",Q114="",S114="",W114="",Z114="",AB114="",AD114="",AF114=""),"",IF(M02S02F46="Gas Only",0,IF(OR(ISNUMBER(SEARCH("Exterior",S114)),ISNUMBER(SEARCH("Exterior",C114)),ISNUMBER(SEARCH("Exterior",F114))),1,IF(OR(M02S02F32="Heat Pump",M02S02F32="AC with Natural Gas Heat",M02S02F32="AC with Electric Heat"),(INDEX(LightingWHF[Waste Heat Cooling Energy WHFe],MATCH(M02S02F26,LightingWHF[Building/Space Type],0))),1))))</f>
        <v/>
      </c>
      <c r="BF114" s="1097" t="str">
        <f ca="1">IFERROR(IF((M114*O114)&lt;=(Z114*AB114),MEASURESAVE,IF(M02S02F35="",MEASURERATE,IF(AH114/M02S02F35/BA114&lt;1,MEASUREPAY,IF(AV114&lt;1,MEASURECB,IF(OR(ISBLANK(M02S02F26),ISBLANK(M02S02F32),ISBLANK(M02S02F46)),MEASUREBLDG,""))))),MEASURESUBMIT)</f>
        <v>Submit for Review</v>
      </c>
      <c r="BG114" s="808"/>
      <c r="BH114"/>
      <c r="BI114"/>
    </row>
    <row r="115" spans="2:61" ht="15.95" hidden="1" customHeight="1">
      <c r="B115" s="829"/>
      <c r="C115" s="1088"/>
      <c r="D115" s="1088"/>
      <c r="E115" s="1088"/>
      <c r="F115" s="835"/>
      <c r="G115" s="836"/>
      <c r="H115" s="836"/>
      <c r="I115" s="837"/>
      <c r="J115" s="1088"/>
      <c r="K115" s="1088"/>
      <c r="L115" s="1088"/>
      <c r="M115" s="1078"/>
      <c r="N115" s="1078"/>
      <c r="O115" s="1081"/>
      <c r="P115" s="1082"/>
      <c r="Q115" s="1085"/>
      <c r="R115" s="1086"/>
      <c r="S115" s="851"/>
      <c r="T115" s="836"/>
      <c r="U115" s="836"/>
      <c r="V115" s="837"/>
      <c r="W115" s="1088"/>
      <c r="X115" s="1088"/>
      <c r="Y115" s="1088"/>
      <c r="Z115" s="1078"/>
      <c r="AA115" s="1078"/>
      <c r="AB115" s="1090"/>
      <c r="AC115" s="1090"/>
      <c r="AD115" s="1092"/>
      <c r="AE115" s="1092"/>
      <c r="AF115" s="1092"/>
      <c r="AG115" s="1094"/>
      <c r="AH115" s="865"/>
      <c r="AI115" s="1096"/>
      <c r="AJ115" s="1096"/>
      <c r="AK115" s="906"/>
      <c r="AL115" s="907"/>
      <c r="AM115" s="936"/>
      <c r="AN115" s="1100"/>
      <c r="AO115" s="1100"/>
      <c r="AP115" s="1100"/>
      <c r="AQ115" s="1100"/>
      <c r="AU115" s="1102"/>
      <c r="AV115" s="1102"/>
      <c r="AW115" s="901"/>
      <c r="AX115" s="812"/>
      <c r="AY115" s="812"/>
      <c r="AZ115" s="874"/>
      <c r="BA115" s="812"/>
      <c r="BB115" s="996"/>
      <c r="BC115" s="1098"/>
      <c r="BD115" s="996"/>
      <c r="BE115" s="996"/>
      <c r="BF115" s="1098"/>
      <c r="BG115" s="809"/>
      <c r="BH115"/>
      <c r="BI115"/>
    </row>
    <row r="116" spans="2:61" ht="15.95" hidden="1" customHeight="1">
      <c r="B116" s="923">
        <v>51</v>
      </c>
      <c r="AV116" s="135"/>
    </row>
    <row r="117" spans="2:61" ht="15.95" hidden="1" customHeight="1">
      <c r="B117" s="923"/>
      <c r="AV117" s="135"/>
    </row>
    <row r="118" spans="2:61" ht="15.95" hidden="1" customHeight="1">
      <c r="B118" s="923">
        <v>52</v>
      </c>
      <c r="AV118" s="135"/>
    </row>
    <row r="119" spans="2:61" ht="15.95" hidden="1" customHeight="1">
      <c r="B119" s="923"/>
      <c r="AV119" s="135"/>
    </row>
    <row r="120" spans="2:61" ht="15.95" hidden="1" customHeight="1">
      <c r="B120" s="923">
        <v>53</v>
      </c>
      <c r="AV120" s="135"/>
    </row>
    <row r="121" spans="2:61" ht="15.95" hidden="1" customHeight="1">
      <c r="B121" s="923"/>
      <c r="AV121" s="135"/>
    </row>
    <row r="122" spans="2:61" ht="15.95" hidden="1" customHeight="1">
      <c r="B122" s="923">
        <v>54</v>
      </c>
      <c r="AV122" s="135"/>
    </row>
    <row r="123" spans="2:61" ht="15.95" hidden="1" customHeight="1">
      <c r="B123" s="923"/>
      <c r="AV123" s="135"/>
    </row>
    <row r="124" spans="2:61" ht="15.95" hidden="1" customHeight="1">
      <c r="B124" s="923">
        <v>55</v>
      </c>
      <c r="AV124" s="135"/>
    </row>
    <row r="125" spans="2:61" ht="15.95" hidden="1" customHeight="1">
      <c r="B125" s="923"/>
      <c r="AV125" s="135"/>
    </row>
    <row r="126" spans="2:61" ht="15.95" hidden="1" customHeight="1">
      <c r="B126" s="923">
        <v>56</v>
      </c>
      <c r="AV126" s="135"/>
    </row>
    <row r="127" spans="2:61" ht="15.95" hidden="1" customHeight="1">
      <c r="B127" s="923"/>
      <c r="AV127" s="135"/>
    </row>
    <row r="128" spans="2:61" ht="15.95" hidden="1" customHeight="1">
      <c r="B128" s="923">
        <v>57</v>
      </c>
      <c r="AV128" s="135"/>
    </row>
    <row r="129" spans="2:48" ht="15.95" hidden="1" customHeight="1">
      <c r="B129" s="923"/>
      <c r="AV129" s="135"/>
    </row>
    <row r="130" spans="2:48" ht="15.95" hidden="1" customHeight="1">
      <c r="B130" s="923">
        <v>58</v>
      </c>
      <c r="AV130" s="135"/>
    </row>
    <row r="131" spans="2:48" ht="15.95" hidden="1" customHeight="1">
      <c r="B131" s="923"/>
      <c r="AV131" s="135"/>
    </row>
    <row r="132" spans="2:48" ht="15.95" hidden="1" customHeight="1">
      <c r="B132" s="923">
        <v>59</v>
      </c>
      <c r="AV132" s="135"/>
    </row>
    <row r="133" spans="2:48" ht="15.95" hidden="1" customHeight="1">
      <c r="B133" s="923"/>
      <c r="AV133" s="135"/>
    </row>
    <row r="134" spans="2:48" ht="15.95" hidden="1" customHeight="1">
      <c r="B134" s="923">
        <v>60</v>
      </c>
      <c r="AV134" s="135"/>
    </row>
    <row r="135" spans="2:48" ht="15.95" hidden="1" customHeight="1">
      <c r="B135" s="923"/>
      <c r="AV135" s="135"/>
    </row>
    <row r="136" spans="2:48" ht="15.95" hidden="1" customHeight="1">
      <c r="B136" s="923">
        <v>61</v>
      </c>
      <c r="AV136" s="135"/>
    </row>
    <row r="137" spans="2:48" ht="15.95" hidden="1" customHeight="1">
      <c r="B137" s="923"/>
      <c r="AV137" s="135"/>
    </row>
    <row r="138" spans="2:48" ht="15.95" hidden="1" customHeight="1">
      <c r="B138" s="923">
        <v>62</v>
      </c>
      <c r="AV138" s="135"/>
    </row>
    <row r="139" spans="2:48" ht="15.95" hidden="1" customHeight="1">
      <c r="B139" s="923"/>
      <c r="AV139" s="135"/>
    </row>
    <row r="140" spans="2:48" ht="15.95" hidden="1" customHeight="1">
      <c r="B140" s="923">
        <v>63</v>
      </c>
      <c r="AV140" s="135"/>
    </row>
    <row r="141" spans="2:48" ht="15.95" hidden="1" customHeight="1">
      <c r="B141" s="923"/>
      <c r="AV141" s="135"/>
    </row>
    <row r="142" spans="2:48" ht="15.95" hidden="1" customHeight="1">
      <c r="B142" s="923">
        <v>64</v>
      </c>
      <c r="AV142" s="135"/>
    </row>
    <row r="143" spans="2:48" ht="15.95" hidden="1" customHeight="1">
      <c r="B143" s="923"/>
      <c r="AV143" s="135"/>
    </row>
    <row r="144" spans="2:48" ht="15.95" hidden="1" customHeight="1">
      <c r="B144" s="923">
        <v>65</v>
      </c>
      <c r="AV144" s="135"/>
    </row>
    <row r="145" spans="2:48" ht="15.95" hidden="1" customHeight="1">
      <c r="B145" s="923"/>
      <c r="AV145" s="135"/>
    </row>
    <row r="146" spans="2:48" ht="15.95" hidden="1" customHeight="1">
      <c r="B146" s="923">
        <v>66</v>
      </c>
      <c r="AV146" s="135"/>
    </row>
    <row r="147" spans="2:48" ht="15.95" hidden="1" customHeight="1">
      <c r="B147" s="923"/>
      <c r="AV147" s="135"/>
    </row>
    <row r="148" spans="2:48" ht="15.95" hidden="1" customHeight="1">
      <c r="B148" s="923">
        <v>67</v>
      </c>
      <c r="AV148" s="135"/>
    </row>
    <row r="149" spans="2:48" ht="15.95" hidden="1" customHeight="1">
      <c r="B149" s="923"/>
      <c r="AV149" s="135"/>
    </row>
    <row r="150" spans="2:48" ht="15.95" hidden="1" customHeight="1">
      <c r="B150" s="923">
        <v>68</v>
      </c>
      <c r="AV150" s="135"/>
    </row>
    <row r="151" spans="2:48" ht="15.95" hidden="1" customHeight="1">
      <c r="B151" s="923"/>
      <c r="AV151" s="135"/>
    </row>
    <row r="152" spans="2:48" ht="15.95" hidden="1" customHeight="1">
      <c r="B152" s="923">
        <v>69</v>
      </c>
      <c r="AV152" s="135"/>
    </row>
    <row r="153" spans="2:48" ht="15.95" hidden="1" customHeight="1">
      <c r="B153" s="923"/>
      <c r="AV153" s="135"/>
    </row>
    <row r="154" spans="2:48" ht="15.95" hidden="1" customHeight="1">
      <c r="B154" s="923">
        <v>70</v>
      </c>
      <c r="AV154" s="135"/>
    </row>
    <row r="155" spans="2:48" ht="15.95" hidden="1" customHeight="1">
      <c r="B155" s="923"/>
      <c r="AV155" s="135"/>
    </row>
    <row r="156" spans="2:48" ht="15.95" hidden="1" customHeight="1">
      <c r="B156" s="923">
        <v>71</v>
      </c>
      <c r="AV156" s="135"/>
    </row>
    <row r="157" spans="2:48" ht="15.95" hidden="1" customHeight="1">
      <c r="B157" s="923"/>
      <c r="AV157" s="135"/>
    </row>
    <row r="158" spans="2:48" ht="15.95" hidden="1" customHeight="1">
      <c r="B158" s="923">
        <v>72</v>
      </c>
      <c r="AV158" s="135"/>
    </row>
    <row r="159" spans="2:48" ht="15.95" hidden="1" customHeight="1">
      <c r="B159" s="923"/>
      <c r="AV159" s="135"/>
    </row>
    <row r="160" spans="2:48" ht="15.95" hidden="1" customHeight="1">
      <c r="B160" s="923">
        <v>73</v>
      </c>
      <c r="AV160" s="135"/>
    </row>
    <row r="161" spans="2:48" ht="15.95" hidden="1" customHeight="1">
      <c r="B161" s="923"/>
      <c r="AV161" s="135"/>
    </row>
    <row r="162" spans="2:48" ht="15.95" hidden="1" customHeight="1">
      <c r="B162" s="923">
        <v>74</v>
      </c>
      <c r="AV162" s="135"/>
    </row>
    <row r="163" spans="2:48" ht="15.95" hidden="1" customHeight="1">
      <c r="B163" s="923"/>
      <c r="AV163" s="135"/>
    </row>
    <row r="164" spans="2:48" ht="15.95" hidden="1" customHeight="1">
      <c r="B164" s="923">
        <v>75</v>
      </c>
      <c r="AV164" s="135"/>
    </row>
    <row r="165" spans="2:48" ht="15.95" hidden="1" customHeight="1">
      <c r="B165" s="923"/>
      <c r="AV165" s="135"/>
    </row>
    <row r="166" spans="2:48" ht="15.95" hidden="1" customHeight="1">
      <c r="B166" s="923">
        <v>76</v>
      </c>
      <c r="AV166" s="135"/>
    </row>
    <row r="167" spans="2:48" ht="15.95" hidden="1" customHeight="1">
      <c r="B167" s="923"/>
      <c r="AV167" s="135"/>
    </row>
    <row r="168" spans="2:48" ht="15.95" hidden="1" customHeight="1">
      <c r="B168" s="923">
        <v>77</v>
      </c>
      <c r="AV168" s="135"/>
    </row>
    <row r="169" spans="2:48" ht="15.95" hidden="1" customHeight="1">
      <c r="B169" s="923"/>
      <c r="AV169" s="135"/>
    </row>
    <row r="170" spans="2:48" ht="15.95" hidden="1" customHeight="1">
      <c r="B170" s="923">
        <v>78</v>
      </c>
      <c r="AV170" s="135"/>
    </row>
    <row r="171" spans="2:48" ht="15.95" hidden="1" customHeight="1">
      <c r="B171" s="923"/>
      <c r="AV171" s="135"/>
    </row>
    <row r="172" spans="2:48" ht="15.95" hidden="1" customHeight="1">
      <c r="B172" s="923">
        <v>79</v>
      </c>
      <c r="AV172" s="135"/>
    </row>
    <row r="173" spans="2:48" ht="15.95" hidden="1" customHeight="1">
      <c r="B173" s="923"/>
      <c r="AV173" s="135"/>
    </row>
    <row r="174" spans="2:48" ht="15.95" hidden="1" customHeight="1">
      <c r="B174" s="923">
        <v>80</v>
      </c>
      <c r="AV174" s="135"/>
    </row>
    <row r="175" spans="2:48" ht="15.95" hidden="1" customHeight="1">
      <c r="B175" s="923"/>
      <c r="AV175" s="135"/>
    </row>
    <row r="176" spans="2:48" ht="15.95" hidden="1" customHeight="1">
      <c r="B176" s="923">
        <v>81</v>
      </c>
      <c r="AV176" s="135"/>
    </row>
    <row r="177" spans="2:48" ht="15.95" hidden="1" customHeight="1">
      <c r="B177" s="923"/>
      <c r="AV177" s="135"/>
    </row>
    <row r="178" spans="2:48" ht="15.95" hidden="1" customHeight="1">
      <c r="B178" s="923">
        <v>82</v>
      </c>
      <c r="AV178" s="135"/>
    </row>
    <row r="179" spans="2:48" ht="15.95" hidden="1" customHeight="1">
      <c r="B179" s="923"/>
      <c r="AV179" s="135"/>
    </row>
    <row r="180" spans="2:48" ht="15.95" hidden="1" customHeight="1">
      <c r="B180" s="923">
        <v>83</v>
      </c>
      <c r="AV180" s="135"/>
    </row>
    <row r="181" spans="2:48" ht="15.95" hidden="1" customHeight="1">
      <c r="B181" s="923"/>
      <c r="AV181" s="135"/>
    </row>
    <row r="182" spans="2:48" ht="15.95" hidden="1" customHeight="1">
      <c r="B182" s="923">
        <v>84</v>
      </c>
      <c r="AV182" s="135"/>
    </row>
    <row r="183" spans="2:48" ht="15.95" hidden="1" customHeight="1">
      <c r="B183" s="923"/>
      <c r="AV183" s="135"/>
    </row>
    <row r="184" spans="2:48" ht="15.95" hidden="1" customHeight="1">
      <c r="B184" s="923">
        <v>85</v>
      </c>
      <c r="AV184" s="135"/>
    </row>
    <row r="185" spans="2:48" ht="15.95" hidden="1" customHeight="1">
      <c r="B185" s="923"/>
      <c r="AV185" s="135"/>
    </row>
    <row r="186" spans="2:48" ht="15.95" hidden="1" customHeight="1">
      <c r="B186" s="923">
        <v>86</v>
      </c>
      <c r="AV186" s="135"/>
    </row>
    <row r="187" spans="2:48" ht="15.95" hidden="1" customHeight="1">
      <c r="B187" s="923"/>
      <c r="AV187" s="135"/>
    </row>
    <row r="188" spans="2:48" ht="15.95" hidden="1" customHeight="1">
      <c r="B188" s="923">
        <v>87</v>
      </c>
      <c r="AV188" s="135"/>
    </row>
    <row r="189" spans="2:48" ht="15.95" hidden="1" customHeight="1">
      <c r="B189" s="923"/>
      <c r="AV189" s="135"/>
    </row>
    <row r="190" spans="2:48" ht="15.95" hidden="1" customHeight="1">
      <c r="B190" s="923">
        <v>88</v>
      </c>
      <c r="AV190" s="135"/>
    </row>
    <row r="191" spans="2:48" ht="15.95" hidden="1" customHeight="1">
      <c r="B191" s="923"/>
      <c r="AV191" s="135"/>
    </row>
    <row r="192" spans="2:48" ht="15.95" hidden="1" customHeight="1">
      <c r="B192" s="923">
        <v>89</v>
      </c>
      <c r="AV192" s="135"/>
    </row>
    <row r="193" spans="2:55" ht="15.95" hidden="1" customHeight="1">
      <c r="B193" s="923"/>
      <c r="AV193" s="135"/>
    </row>
    <row r="194" spans="2:55" ht="15.95" hidden="1" customHeight="1">
      <c r="B194" s="923">
        <v>90</v>
      </c>
      <c r="AV194" s="135"/>
    </row>
    <row r="195" spans="2:55" ht="15.95" hidden="1" customHeight="1">
      <c r="B195" s="923"/>
      <c r="AV195" s="135"/>
    </row>
    <row r="196" spans="2:55" ht="15.95" hidden="1" customHeight="1">
      <c r="B196" s="923">
        <v>91</v>
      </c>
      <c r="AV196" s="135"/>
    </row>
    <row r="197" spans="2:55" ht="15.95" hidden="1" customHeight="1">
      <c r="B197" s="923"/>
      <c r="AV197" s="135"/>
    </row>
    <row r="198" spans="2:55" ht="15.75" hidden="1" customHeight="1">
      <c r="B198" s="923">
        <v>92</v>
      </c>
      <c r="AV198" s="135"/>
    </row>
    <row r="199" spans="2:55" ht="15.95" hidden="1" customHeight="1">
      <c r="B199" s="923"/>
      <c r="AV199" s="135"/>
    </row>
    <row r="200" spans="2:55" ht="15.95" customHeight="1">
      <c r="B200" s="272" t="str">
        <f>FOOT1</f>
        <v>NIPSCO Energy Efficiency Program</v>
      </c>
      <c r="C200" s="272"/>
      <c r="D200" s="272"/>
      <c r="E200" s="272"/>
      <c r="F200" s="272"/>
      <c r="G200" s="272"/>
      <c r="H200" s="272"/>
      <c r="I200" s="272"/>
      <c r="J200" s="272"/>
      <c r="K200" s="272"/>
      <c r="L200" s="272"/>
      <c r="M200" s="656" t="str">
        <f>FOOT4</f>
        <v>NIPSCO’s energy efficiency programs are administered by TRC, a third‐party implementation specialist that helps homes and businesses save energy.</v>
      </c>
      <c r="N200" s="656"/>
      <c r="O200" s="656"/>
      <c r="P200" s="656"/>
      <c r="Q200" s="656"/>
      <c r="R200" s="656"/>
      <c r="S200" s="656"/>
      <c r="T200" s="656"/>
      <c r="U200" s="656"/>
      <c r="V200" s="656"/>
      <c r="W200" s="656"/>
      <c r="X200" s="656"/>
      <c r="Y200" s="656"/>
      <c r="Z200" s="656"/>
      <c r="AA200" s="656"/>
      <c r="AB200" s="656"/>
      <c r="AC200" s="656"/>
      <c r="AD200" s="656"/>
      <c r="AE200" s="656"/>
      <c r="AF200" s="656"/>
      <c r="AG200" s="656"/>
      <c r="AH200" s="272"/>
      <c r="AI200" s="272"/>
      <c r="AJ200" s="272"/>
      <c r="AK200" s="272"/>
      <c r="AL200" s="272"/>
      <c r="AM200" s="272"/>
      <c r="AN200" s="272"/>
      <c r="AO200" s="272"/>
      <c r="AP200" s="272"/>
      <c r="AQ200" s="272"/>
      <c r="AR200" s="273" t="str">
        <f>FOOTDISCLAIM</f>
        <v/>
      </c>
      <c r="AV200" s="687">
        <f ca="1">SUMIF(AN16:AQ199,"&gt;0",AV66:AV199)</f>
        <v>0</v>
      </c>
      <c r="AW200"/>
      <c r="AX200"/>
      <c r="AY200"/>
      <c r="AZ200"/>
      <c r="BA200"/>
    </row>
    <row r="201" spans="2:55" ht="15.95" customHeight="1">
      <c r="B201" s="272" t="str">
        <f>FOOT2</f>
        <v>Toll-Free 800-299-2501</v>
      </c>
      <c r="C201" s="272"/>
      <c r="D201" s="272"/>
      <c r="E201" s="272"/>
      <c r="F201" s="272"/>
      <c r="G201" s="272"/>
      <c r="H201" s="272"/>
      <c r="I201" s="272"/>
      <c r="J201" s="272"/>
      <c r="K201" s="272"/>
      <c r="L201" s="272"/>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272"/>
      <c r="AI201" s="272"/>
      <c r="AJ201" s="272"/>
      <c r="AK201" s="272"/>
      <c r="AL201" s="272"/>
      <c r="AM201" s="272"/>
      <c r="AN201" s="272"/>
      <c r="AO201" s="272"/>
      <c r="AP201" s="272"/>
      <c r="AQ201" s="272"/>
      <c r="AR201" s="273" t="str">
        <f>FOOT5</f>
        <v/>
      </c>
      <c r="AV201" s="687"/>
      <c r="AW201"/>
      <c r="AX201"/>
      <c r="AY201"/>
      <c r="AZ201"/>
      <c r="BA201"/>
      <c r="BC201"/>
    </row>
    <row r="202" spans="2:55" ht="15.95" customHeight="1">
      <c r="B202" s="281" t="s">
        <v>1551</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v3.7.0</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Z3XF/JOyTteElpmfTBm/Vp4FLRxPbHfdx/f020TEapRZlsoAnhlk3OBozJ5DhPNUR1wefDlT5X5NtiR/R1ZW7A==" saltValue="NaJoizUIpCPPN5HFR8HRGA==" spinCount="100000" sheet="1" objects="1" scenarios="1" selectLockedCells="1"/>
  <mergeCells count="1537">
    <mergeCell ref="AF11:AI11"/>
    <mergeCell ref="AF12:AI13"/>
    <mergeCell ref="BH82:BH83"/>
    <mergeCell ref="BH84:BH85"/>
    <mergeCell ref="BH86:BH87"/>
    <mergeCell ref="BH88:BH89"/>
    <mergeCell ref="BH90:BH91"/>
    <mergeCell ref="BH92:BH93"/>
    <mergeCell ref="BH94:BH95"/>
    <mergeCell ref="BH96:BH97"/>
    <mergeCell ref="BH98:BH99"/>
    <mergeCell ref="BH100:BH101"/>
    <mergeCell ref="BH102:BH103"/>
    <mergeCell ref="BH104:BH105"/>
    <mergeCell ref="BH106:BH107"/>
    <mergeCell ref="BH108:BH109"/>
    <mergeCell ref="BH110:BH111"/>
    <mergeCell ref="BH14:BH15"/>
    <mergeCell ref="BH16:BH17"/>
    <mergeCell ref="BH18:BH19"/>
    <mergeCell ref="BH20:BH21"/>
    <mergeCell ref="BH22:BH23"/>
    <mergeCell ref="BH24:BH25"/>
    <mergeCell ref="BH26:BH27"/>
    <mergeCell ref="BH28:BH29"/>
    <mergeCell ref="BH30:BH31"/>
    <mergeCell ref="BH32:BH33"/>
    <mergeCell ref="BH34:BH35"/>
    <mergeCell ref="BH36:BH37"/>
    <mergeCell ref="BH38:BH39"/>
    <mergeCell ref="BH40:BH41"/>
    <mergeCell ref="BH42:BH43"/>
    <mergeCell ref="BH112:BH113"/>
    <mergeCell ref="BH48:BH49"/>
    <mergeCell ref="BH50:BH51"/>
    <mergeCell ref="BH52:BH53"/>
    <mergeCell ref="BH54:BH55"/>
    <mergeCell ref="BH56:BH57"/>
    <mergeCell ref="BH58:BH59"/>
    <mergeCell ref="BH60:BH61"/>
    <mergeCell ref="BH62:BH63"/>
    <mergeCell ref="BH64:BH65"/>
    <mergeCell ref="BH66:BH67"/>
    <mergeCell ref="BH68:BH69"/>
    <mergeCell ref="BH70:BH71"/>
    <mergeCell ref="BH72:BH73"/>
    <mergeCell ref="BH74:BH75"/>
    <mergeCell ref="BH76:BH77"/>
    <mergeCell ref="BH78:BH79"/>
    <mergeCell ref="BH80:BH81"/>
    <mergeCell ref="BH44:BH45"/>
    <mergeCell ref="BH46:BH47"/>
    <mergeCell ref="C106:E107"/>
    <mergeCell ref="F106:I107"/>
    <mergeCell ref="J106:L107"/>
    <mergeCell ref="BE114:BE115"/>
    <mergeCell ref="BF114:BF115"/>
    <mergeCell ref="BG114:BG115"/>
    <mergeCell ref="BF112:BF113"/>
    <mergeCell ref="AW110:AW111"/>
    <mergeCell ref="AX110:AX111"/>
    <mergeCell ref="AY110:AY111"/>
    <mergeCell ref="AZ110:AZ111"/>
    <mergeCell ref="BA110:BA111"/>
    <mergeCell ref="BB110:BB111"/>
    <mergeCell ref="BC110:BC111"/>
    <mergeCell ref="BF110:BF111"/>
    <mergeCell ref="AX114:AX115"/>
    <mergeCell ref="AY114:AY115"/>
    <mergeCell ref="AZ114:AZ115"/>
    <mergeCell ref="BA114:BA115"/>
    <mergeCell ref="BB114:BB115"/>
    <mergeCell ref="BC114:BC115"/>
    <mergeCell ref="BC112:BC113"/>
    <mergeCell ref="AW114:AW115"/>
    <mergeCell ref="C114:E115"/>
    <mergeCell ref="F114:I115"/>
    <mergeCell ref="J114:L115"/>
    <mergeCell ref="M114:N115"/>
    <mergeCell ref="O114:P115"/>
    <mergeCell ref="Q114:R115"/>
    <mergeCell ref="S114:V115"/>
    <mergeCell ref="W114:Y115"/>
    <mergeCell ref="Z114:AA115"/>
    <mergeCell ref="AB114:AC115"/>
    <mergeCell ref="AD114:AE115"/>
    <mergeCell ref="AK112:AM113"/>
    <mergeCell ref="AN112:AQ113"/>
    <mergeCell ref="AU112:AU113"/>
    <mergeCell ref="AU110:AU111"/>
    <mergeCell ref="C108:E109"/>
    <mergeCell ref="F108:I109"/>
    <mergeCell ref="J108:L109"/>
    <mergeCell ref="M108:N109"/>
    <mergeCell ref="C112:E113"/>
    <mergeCell ref="F112:I113"/>
    <mergeCell ref="J112:L113"/>
    <mergeCell ref="M112:N113"/>
    <mergeCell ref="O112:P113"/>
    <mergeCell ref="Q112:R113"/>
    <mergeCell ref="C110:E111"/>
    <mergeCell ref="F110:I111"/>
    <mergeCell ref="J110:L111"/>
    <mergeCell ref="M110:N111"/>
    <mergeCell ref="O110:P111"/>
    <mergeCell ref="Q110:R111"/>
    <mergeCell ref="S110:V111"/>
    <mergeCell ref="W110:Y111"/>
    <mergeCell ref="Z110:AA111"/>
    <mergeCell ref="AB110:AC111"/>
    <mergeCell ref="S112:V113"/>
    <mergeCell ref="W112:Y113"/>
    <mergeCell ref="Z112:AA113"/>
    <mergeCell ref="AB112:AC113"/>
    <mergeCell ref="AZ108:AZ109"/>
    <mergeCell ref="BA108:BA109"/>
    <mergeCell ref="BB108:BB109"/>
    <mergeCell ref="BC108:BC109"/>
    <mergeCell ref="BF108:BF109"/>
    <mergeCell ref="AV112:AV113"/>
    <mergeCell ref="AW112:AW113"/>
    <mergeCell ref="AX112:AX113"/>
    <mergeCell ref="AY112:AY113"/>
    <mergeCell ref="AZ112:AZ113"/>
    <mergeCell ref="BA112:BA113"/>
    <mergeCell ref="BF106:BF107"/>
    <mergeCell ref="AD106:AE107"/>
    <mergeCell ref="AF106:AG107"/>
    <mergeCell ref="AH106:AJ107"/>
    <mergeCell ref="AK106:AM107"/>
    <mergeCell ref="AN106:AQ107"/>
    <mergeCell ref="BC106:BC107"/>
    <mergeCell ref="AW108:AW109"/>
    <mergeCell ref="AY106:AY107"/>
    <mergeCell ref="AU106:AU107"/>
    <mergeCell ref="AD108:AE109"/>
    <mergeCell ref="AF108:AG109"/>
    <mergeCell ref="AH108:AJ109"/>
    <mergeCell ref="AK108:AM109"/>
    <mergeCell ref="AN108:AQ109"/>
    <mergeCell ref="AU108:AU109"/>
    <mergeCell ref="AV108:AV109"/>
    <mergeCell ref="AD110:AE111"/>
    <mergeCell ref="AD112:AE113"/>
    <mergeCell ref="M106:N107"/>
    <mergeCell ref="O106:P107"/>
    <mergeCell ref="Q106:R107"/>
    <mergeCell ref="S106:V107"/>
    <mergeCell ref="W106:Y107"/>
    <mergeCell ref="Z106:AA107"/>
    <mergeCell ref="AB106:AC107"/>
    <mergeCell ref="AF114:AG115"/>
    <mergeCell ref="AH114:AJ115"/>
    <mergeCell ref="AK114:AM115"/>
    <mergeCell ref="AN114:AQ115"/>
    <mergeCell ref="AU114:AU115"/>
    <mergeCell ref="AV114:AV115"/>
    <mergeCell ref="AZ106:AZ107"/>
    <mergeCell ref="BA106:BA107"/>
    <mergeCell ref="BB106:BB107"/>
    <mergeCell ref="AX108:AX109"/>
    <mergeCell ref="AF110:AG111"/>
    <mergeCell ref="AH110:AJ111"/>
    <mergeCell ref="AK110:AM111"/>
    <mergeCell ref="AN110:AQ111"/>
    <mergeCell ref="BB112:BB113"/>
    <mergeCell ref="AV110:AV111"/>
    <mergeCell ref="AB108:AC109"/>
    <mergeCell ref="AY108:AY109"/>
    <mergeCell ref="O108:P109"/>
    <mergeCell ref="Q108:R109"/>
    <mergeCell ref="S108:V109"/>
    <mergeCell ref="W108:Y109"/>
    <mergeCell ref="Z108:AA109"/>
    <mergeCell ref="AF112:AG113"/>
    <mergeCell ref="AH112:AJ113"/>
    <mergeCell ref="BF100:BF101"/>
    <mergeCell ref="AW98:AW99"/>
    <mergeCell ref="AX98:AX99"/>
    <mergeCell ref="AY98:AY99"/>
    <mergeCell ref="AZ98:AZ99"/>
    <mergeCell ref="BA98:BA99"/>
    <mergeCell ref="BB98:BB99"/>
    <mergeCell ref="BC98:BC99"/>
    <mergeCell ref="BF98:BF99"/>
    <mergeCell ref="AY102:AY103"/>
    <mergeCell ref="AZ102:AZ103"/>
    <mergeCell ref="BA102:BA103"/>
    <mergeCell ref="BB102:BB103"/>
    <mergeCell ref="BC102:BC103"/>
    <mergeCell ref="BF102:BF103"/>
    <mergeCell ref="AX102:AX103"/>
    <mergeCell ref="AV106:AV107"/>
    <mergeCell ref="AW106:AW107"/>
    <mergeCell ref="AX106:AX107"/>
    <mergeCell ref="AV104:AV105"/>
    <mergeCell ref="BC100:BC101"/>
    <mergeCell ref="AW102:AW103"/>
    <mergeCell ref="AW104:AW105"/>
    <mergeCell ref="AX104:AX105"/>
    <mergeCell ref="AY104:AY105"/>
    <mergeCell ref="AZ104:AZ105"/>
    <mergeCell ref="BA104:BA105"/>
    <mergeCell ref="BB104:BB105"/>
    <mergeCell ref="BC104:BC105"/>
    <mergeCell ref="BF104:BF105"/>
    <mergeCell ref="AZ100:AZ101"/>
    <mergeCell ref="BA100:BA101"/>
    <mergeCell ref="C104:E105"/>
    <mergeCell ref="F104:I105"/>
    <mergeCell ref="J104:L105"/>
    <mergeCell ref="M104:N105"/>
    <mergeCell ref="O104:P105"/>
    <mergeCell ref="Q104:R105"/>
    <mergeCell ref="S104:V105"/>
    <mergeCell ref="W104:Y105"/>
    <mergeCell ref="Z104:AA105"/>
    <mergeCell ref="AB104:AC105"/>
    <mergeCell ref="AD104:AE105"/>
    <mergeCell ref="AF104:AG105"/>
    <mergeCell ref="AH104:AJ105"/>
    <mergeCell ref="AK104:AM105"/>
    <mergeCell ref="AN104:AQ105"/>
    <mergeCell ref="AU104:AU105"/>
    <mergeCell ref="AF102:AG103"/>
    <mergeCell ref="C102:E103"/>
    <mergeCell ref="F102:I103"/>
    <mergeCell ref="J102:L103"/>
    <mergeCell ref="M102:N103"/>
    <mergeCell ref="O102:P103"/>
    <mergeCell ref="Q102:R103"/>
    <mergeCell ref="S102:V103"/>
    <mergeCell ref="F96:I97"/>
    <mergeCell ref="J96:L97"/>
    <mergeCell ref="M96:N97"/>
    <mergeCell ref="O96:P97"/>
    <mergeCell ref="Q96:R97"/>
    <mergeCell ref="S96:V97"/>
    <mergeCell ref="W96:Y97"/>
    <mergeCell ref="Z96:AA97"/>
    <mergeCell ref="AV100:AV101"/>
    <mergeCell ref="AW100:AW101"/>
    <mergeCell ref="AB96:AC97"/>
    <mergeCell ref="AD96:AE97"/>
    <mergeCell ref="AF96:AG97"/>
    <mergeCell ref="AH96:AJ97"/>
    <mergeCell ref="AK96:AM97"/>
    <mergeCell ref="AN96:AQ97"/>
    <mergeCell ref="AU96:AU97"/>
    <mergeCell ref="AV96:AV97"/>
    <mergeCell ref="AW96:AW97"/>
    <mergeCell ref="AX100:AX101"/>
    <mergeCell ref="AY100:AY101"/>
    <mergeCell ref="M98:N99"/>
    <mergeCell ref="O98:P99"/>
    <mergeCell ref="Q98:R99"/>
    <mergeCell ref="S98:V99"/>
    <mergeCell ref="W98:Y99"/>
    <mergeCell ref="Z98:AA99"/>
    <mergeCell ref="AB98:AC99"/>
    <mergeCell ref="AD98:AE99"/>
    <mergeCell ref="AF98:AG99"/>
    <mergeCell ref="AH98:AJ99"/>
    <mergeCell ref="AK98:AM99"/>
    <mergeCell ref="AN98:AQ99"/>
    <mergeCell ref="AU98:AU99"/>
    <mergeCell ref="AU102:AU103"/>
    <mergeCell ref="BB100:BB101"/>
    <mergeCell ref="AV98:AV99"/>
    <mergeCell ref="W102:Y103"/>
    <mergeCell ref="Z102:AA103"/>
    <mergeCell ref="AB102:AC103"/>
    <mergeCell ref="AD102:AE103"/>
    <mergeCell ref="AH102:AJ103"/>
    <mergeCell ref="AK102:AM103"/>
    <mergeCell ref="AN102:AQ103"/>
    <mergeCell ref="AV102:AV103"/>
    <mergeCell ref="C100:E101"/>
    <mergeCell ref="F100:I101"/>
    <mergeCell ref="J100:L101"/>
    <mergeCell ref="M100:N101"/>
    <mergeCell ref="O100:P101"/>
    <mergeCell ref="Q100:R101"/>
    <mergeCell ref="S100:V101"/>
    <mergeCell ref="W100:Y101"/>
    <mergeCell ref="Z100:AA101"/>
    <mergeCell ref="AB100:AC101"/>
    <mergeCell ref="AD100:AE101"/>
    <mergeCell ref="AF100:AG101"/>
    <mergeCell ref="AH100:AJ101"/>
    <mergeCell ref="AK100:AM101"/>
    <mergeCell ref="AN100:AQ101"/>
    <mergeCell ref="AU100:AU101"/>
    <mergeCell ref="C98:E99"/>
    <mergeCell ref="F98:I99"/>
    <mergeCell ref="J98:L99"/>
    <mergeCell ref="C96:E97"/>
    <mergeCell ref="BF94:BF95"/>
    <mergeCell ref="AW92:AW93"/>
    <mergeCell ref="AX92:AX93"/>
    <mergeCell ref="AY92:AY93"/>
    <mergeCell ref="AZ92:AZ93"/>
    <mergeCell ref="BA92:BA93"/>
    <mergeCell ref="BB92:BB93"/>
    <mergeCell ref="BC92:BC93"/>
    <mergeCell ref="BF92:BF93"/>
    <mergeCell ref="AY96:AY97"/>
    <mergeCell ref="AZ96:AZ97"/>
    <mergeCell ref="BA96:BA97"/>
    <mergeCell ref="BB96:BB97"/>
    <mergeCell ref="BC96:BC97"/>
    <mergeCell ref="BF96:BF97"/>
    <mergeCell ref="AY94:AY95"/>
    <mergeCell ref="AZ94:AZ95"/>
    <mergeCell ref="BA94:BA95"/>
    <mergeCell ref="BB94:BB95"/>
    <mergeCell ref="AX96:AX97"/>
    <mergeCell ref="AD94:AE95"/>
    <mergeCell ref="AF94:AG95"/>
    <mergeCell ref="AH94:AJ95"/>
    <mergeCell ref="AK94:AM95"/>
    <mergeCell ref="AN94:AQ95"/>
    <mergeCell ref="AU94:AU95"/>
    <mergeCell ref="BC94:BC95"/>
    <mergeCell ref="C92:E93"/>
    <mergeCell ref="F92:I93"/>
    <mergeCell ref="J92:L93"/>
    <mergeCell ref="M92:N93"/>
    <mergeCell ref="C90:E91"/>
    <mergeCell ref="F90:I91"/>
    <mergeCell ref="J90:L91"/>
    <mergeCell ref="M90:N91"/>
    <mergeCell ref="O90:P91"/>
    <mergeCell ref="Q90:R91"/>
    <mergeCell ref="S90:V91"/>
    <mergeCell ref="W90:Y91"/>
    <mergeCell ref="Z90:AA91"/>
    <mergeCell ref="AV94:AV95"/>
    <mergeCell ref="AW94:AW95"/>
    <mergeCell ref="AX94:AX95"/>
    <mergeCell ref="AV92:AV93"/>
    <mergeCell ref="AB90:AC91"/>
    <mergeCell ref="AD90:AE91"/>
    <mergeCell ref="AF90:AG91"/>
    <mergeCell ref="AH90:AJ91"/>
    <mergeCell ref="AK90:AM91"/>
    <mergeCell ref="AN90:AQ91"/>
    <mergeCell ref="AU90:AU91"/>
    <mergeCell ref="AV90:AV91"/>
    <mergeCell ref="AW90:AW91"/>
    <mergeCell ref="C94:E95"/>
    <mergeCell ref="F94:I95"/>
    <mergeCell ref="J94:L95"/>
    <mergeCell ref="M94:N95"/>
    <mergeCell ref="O94:P95"/>
    <mergeCell ref="Q94:R95"/>
    <mergeCell ref="S94:V95"/>
    <mergeCell ref="W94:Y95"/>
    <mergeCell ref="Z94:AA95"/>
    <mergeCell ref="AB94:AC95"/>
    <mergeCell ref="BC88:BC89"/>
    <mergeCell ref="BF88:BF89"/>
    <mergeCell ref="AW86:AW87"/>
    <mergeCell ref="AX86:AX87"/>
    <mergeCell ref="AY86:AY87"/>
    <mergeCell ref="AZ86:AZ87"/>
    <mergeCell ref="BA86:BA87"/>
    <mergeCell ref="BB86:BB87"/>
    <mergeCell ref="BC86:BC87"/>
    <mergeCell ref="BF86:BF87"/>
    <mergeCell ref="AY90:AY91"/>
    <mergeCell ref="AZ90:AZ91"/>
    <mergeCell ref="BA90:BA91"/>
    <mergeCell ref="BB90:BB91"/>
    <mergeCell ref="BC90:BC91"/>
    <mergeCell ref="BF90:BF91"/>
    <mergeCell ref="AV88:AV89"/>
    <mergeCell ref="AW88:AW89"/>
    <mergeCell ref="AX88:AX89"/>
    <mergeCell ref="AY88:AY89"/>
    <mergeCell ref="AZ88:AZ89"/>
    <mergeCell ref="BA88:BA89"/>
    <mergeCell ref="BB88:BB89"/>
    <mergeCell ref="AV86:AV87"/>
    <mergeCell ref="AX90:AX91"/>
    <mergeCell ref="O92:P93"/>
    <mergeCell ref="Q92:R93"/>
    <mergeCell ref="S92:V93"/>
    <mergeCell ref="W92:Y93"/>
    <mergeCell ref="Z92:AA93"/>
    <mergeCell ref="AB92:AC93"/>
    <mergeCell ref="AD92:AE93"/>
    <mergeCell ref="AF92:AG93"/>
    <mergeCell ref="AH92:AJ93"/>
    <mergeCell ref="AK92:AM93"/>
    <mergeCell ref="AN92:AQ93"/>
    <mergeCell ref="AU92:AU93"/>
    <mergeCell ref="C84:E85"/>
    <mergeCell ref="F84:I85"/>
    <mergeCell ref="J84:L85"/>
    <mergeCell ref="M84:N85"/>
    <mergeCell ref="O84:P85"/>
    <mergeCell ref="Q84:R85"/>
    <mergeCell ref="S84:V85"/>
    <mergeCell ref="W84:Y85"/>
    <mergeCell ref="Z84:AA85"/>
    <mergeCell ref="AB84:AC85"/>
    <mergeCell ref="AD84:AE85"/>
    <mergeCell ref="AF84:AG85"/>
    <mergeCell ref="AH84:AJ85"/>
    <mergeCell ref="AK84:AM85"/>
    <mergeCell ref="AN84:AQ85"/>
    <mergeCell ref="AU84:AU85"/>
    <mergeCell ref="Q88:R89"/>
    <mergeCell ref="S88:V89"/>
    <mergeCell ref="W88:Y89"/>
    <mergeCell ref="Z88:AA89"/>
    <mergeCell ref="AV84:AV85"/>
    <mergeCell ref="AW84:AW85"/>
    <mergeCell ref="C88:E89"/>
    <mergeCell ref="F88:I89"/>
    <mergeCell ref="J88:L89"/>
    <mergeCell ref="M88:N89"/>
    <mergeCell ref="O88:P89"/>
    <mergeCell ref="BC82:BC83"/>
    <mergeCell ref="BF82:BF83"/>
    <mergeCell ref="AW80:AW81"/>
    <mergeCell ref="AX80:AX81"/>
    <mergeCell ref="AY80:AY81"/>
    <mergeCell ref="AZ80:AZ81"/>
    <mergeCell ref="BA80:BA81"/>
    <mergeCell ref="BB80:BB81"/>
    <mergeCell ref="BC80:BC81"/>
    <mergeCell ref="BF80:BF81"/>
    <mergeCell ref="AY84:AY85"/>
    <mergeCell ref="AZ84:AZ85"/>
    <mergeCell ref="BA84:BA85"/>
    <mergeCell ref="BB84:BB85"/>
    <mergeCell ref="BC84:BC85"/>
    <mergeCell ref="BF84:BF85"/>
    <mergeCell ref="AY82:AY83"/>
    <mergeCell ref="AZ82:AZ83"/>
    <mergeCell ref="BA82:BA83"/>
    <mergeCell ref="BB82:BB83"/>
    <mergeCell ref="AX84:AX85"/>
    <mergeCell ref="AV82:AV83"/>
    <mergeCell ref="AW82:AW83"/>
    <mergeCell ref="AX82:AX83"/>
    <mergeCell ref="AV80:AV81"/>
    <mergeCell ref="AB88:AC89"/>
    <mergeCell ref="AD88:AE89"/>
    <mergeCell ref="AF88:AG89"/>
    <mergeCell ref="AH88:AJ89"/>
    <mergeCell ref="AK88:AM89"/>
    <mergeCell ref="AN88:AQ89"/>
    <mergeCell ref="AU88:AU89"/>
    <mergeCell ref="C82:E83"/>
    <mergeCell ref="F82:I83"/>
    <mergeCell ref="J82:L83"/>
    <mergeCell ref="M82:N83"/>
    <mergeCell ref="O82:P83"/>
    <mergeCell ref="Q82:R83"/>
    <mergeCell ref="S82:V83"/>
    <mergeCell ref="W82:Y83"/>
    <mergeCell ref="Z82:AA83"/>
    <mergeCell ref="AB82:AC83"/>
    <mergeCell ref="AD82:AE83"/>
    <mergeCell ref="AF82:AG83"/>
    <mergeCell ref="AH82:AJ83"/>
    <mergeCell ref="AK82:AM83"/>
    <mergeCell ref="AN82:AQ83"/>
    <mergeCell ref="AU82:AU83"/>
    <mergeCell ref="C86:E87"/>
    <mergeCell ref="F86:I87"/>
    <mergeCell ref="J86:L87"/>
    <mergeCell ref="M86:N87"/>
    <mergeCell ref="O86:P87"/>
    <mergeCell ref="Q86:R87"/>
    <mergeCell ref="S86:V87"/>
    <mergeCell ref="W86:Y87"/>
    <mergeCell ref="Z86:AA87"/>
    <mergeCell ref="AB86:AC87"/>
    <mergeCell ref="AD86:AE87"/>
    <mergeCell ref="AF86:AG87"/>
    <mergeCell ref="AH86:AJ87"/>
    <mergeCell ref="AK86:AM87"/>
    <mergeCell ref="AN86:AQ87"/>
    <mergeCell ref="AU86:AU87"/>
    <mergeCell ref="C80:E81"/>
    <mergeCell ref="F80:I81"/>
    <mergeCell ref="J80:L81"/>
    <mergeCell ref="M80:N81"/>
    <mergeCell ref="O80:P81"/>
    <mergeCell ref="Q80:R81"/>
    <mergeCell ref="S80:V81"/>
    <mergeCell ref="W80:Y81"/>
    <mergeCell ref="Z80:AA81"/>
    <mergeCell ref="AB80:AC81"/>
    <mergeCell ref="AD80:AE81"/>
    <mergeCell ref="AF80:AG81"/>
    <mergeCell ref="AH80:AJ81"/>
    <mergeCell ref="AK80:AM81"/>
    <mergeCell ref="AN80:AQ81"/>
    <mergeCell ref="AU80:AU81"/>
    <mergeCell ref="BC76:BC77"/>
    <mergeCell ref="BF76:BF77"/>
    <mergeCell ref="AW74:AW75"/>
    <mergeCell ref="AX74:AX75"/>
    <mergeCell ref="AY74:AY75"/>
    <mergeCell ref="AZ74:AZ75"/>
    <mergeCell ref="BA74:BA75"/>
    <mergeCell ref="BB74:BB75"/>
    <mergeCell ref="BC74:BC75"/>
    <mergeCell ref="BF74:BF75"/>
    <mergeCell ref="AY78:AY79"/>
    <mergeCell ref="AZ78:AZ79"/>
    <mergeCell ref="BA78:BA79"/>
    <mergeCell ref="BB78:BB79"/>
    <mergeCell ref="BC78:BC79"/>
    <mergeCell ref="BF78:BF79"/>
    <mergeCell ref="AV78:AV79"/>
    <mergeCell ref="AW78:AW79"/>
    <mergeCell ref="AX78:AX79"/>
    <mergeCell ref="AY76:AY77"/>
    <mergeCell ref="AZ76:AZ77"/>
    <mergeCell ref="BA76:BA77"/>
    <mergeCell ref="BB76:BB77"/>
    <mergeCell ref="AV74:AV75"/>
    <mergeCell ref="AV72:AV73"/>
    <mergeCell ref="AW72:AW73"/>
    <mergeCell ref="C76:E77"/>
    <mergeCell ref="F76:I77"/>
    <mergeCell ref="J76:L77"/>
    <mergeCell ref="M76:N77"/>
    <mergeCell ref="O76:P77"/>
    <mergeCell ref="C72:E73"/>
    <mergeCell ref="F72:I73"/>
    <mergeCell ref="J72:L73"/>
    <mergeCell ref="M72:N73"/>
    <mergeCell ref="O72:P73"/>
    <mergeCell ref="Q72:R73"/>
    <mergeCell ref="S72:V73"/>
    <mergeCell ref="W72:Y73"/>
    <mergeCell ref="Z72:AA73"/>
    <mergeCell ref="M78:N79"/>
    <mergeCell ref="O78:P79"/>
    <mergeCell ref="Q78:R79"/>
    <mergeCell ref="S78:V79"/>
    <mergeCell ref="W78:Y79"/>
    <mergeCell ref="Z78:AA79"/>
    <mergeCell ref="AB78:AC79"/>
    <mergeCell ref="AD78:AE79"/>
    <mergeCell ref="AF78:AG79"/>
    <mergeCell ref="AH78:AJ79"/>
    <mergeCell ref="AK78:AM79"/>
    <mergeCell ref="AN78:AQ79"/>
    <mergeCell ref="AU78:AU79"/>
    <mergeCell ref="C78:E79"/>
    <mergeCell ref="F78:I79"/>
    <mergeCell ref="J78:L79"/>
    <mergeCell ref="BC70:BC71"/>
    <mergeCell ref="BF70:BF71"/>
    <mergeCell ref="AW68:AW69"/>
    <mergeCell ref="AX68:AX69"/>
    <mergeCell ref="AY68:AY69"/>
    <mergeCell ref="AZ68:AZ69"/>
    <mergeCell ref="BA68:BA69"/>
    <mergeCell ref="BB68:BB69"/>
    <mergeCell ref="BC68:BC69"/>
    <mergeCell ref="BF68:BF69"/>
    <mergeCell ref="AY72:AY73"/>
    <mergeCell ref="AZ72:AZ73"/>
    <mergeCell ref="BA72:BA73"/>
    <mergeCell ref="BB72:BB73"/>
    <mergeCell ref="BC72:BC73"/>
    <mergeCell ref="BF72:BF73"/>
    <mergeCell ref="AY70:AY71"/>
    <mergeCell ref="AZ70:AZ71"/>
    <mergeCell ref="BA70:BA71"/>
    <mergeCell ref="BB70:BB71"/>
    <mergeCell ref="AX72:AX73"/>
    <mergeCell ref="C70:E71"/>
    <mergeCell ref="F70:I71"/>
    <mergeCell ref="J70:L71"/>
    <mergeCell ref="J66:L67"/>
    <mergeCell ref="M66:N67"/>
    <mergeCell ref="O66:P67"/>
    <mergeCell ref="Q66:R67"/>
    <mergeCell ref="S66:V67"/>
    <mergeCell ref="W66:Y67"/>
    <mergeCell ref="Z66:AA67"/>
    <mergeCell ref="AV70:AV71"/>
    <mergeCell ref="AW70:AW71"/>
    <mergeCell ref="AX70:AX71"/>
    <mergeCell ref="AK66:AM67"/>
    <mergeCell ref="AN66:AQ67"/>
    <mergeCell ref="AU66:AU67"/>
    <mergeCell ref="Q76:R77"/>
    <mergeCell ref="S76:V77"/>
    <mergeCell ref="W76:Y77"/>
    <mergeCell ref="Z76:AA77"/>
    <mergeCell ref="AB76:AC77"/>
    <mergeCell ref="AD76:AE77"/>
    <mergeCell ref="AF76:AG77"/>
    <mergeCell ref="AH76:AJ77"/>
    <mergeCell ref="AK76:AM77"/>
    <mergeCell ref="AN76:AQ77"/>
    <mergeCell ref="AU76:AU77"/>
    <mergeCell ref="AV76:AV77"/>
    <mergeCell ref="AW76:AW77"/>
    <mergeCell ref="AX76:AX77"/>
    <mergeCell ref="AB72:AC73"/>
    <mergeCell ref="AD72:AE73"/>
    <mergeCell ref="AF72:AG73"/>
    <mergeCell ref="AH72:AJ73"/>
    <mergeCell ref="AK72:AM73"/>
    <mergeCell ref="M70:N71"/>
    <mergeCell ref="O70:P71"/>
    <mergeCell ref="Q70:R71"/>
    <mergeCell ref="S70:V71"/>
    <mergeCell ref="W70:Y71"/>
    <mergeCell ref="Z70:AA71"/>
    <mergeCell ref="AB70:AC71"/>
    <mergeCell ref="AD70:AE71"/>
    <mergeCell ref="AF70:AG71"/>
    <mergeCell ref="AH70:AJ71"/>
    <mergeCell ref="AK70:AM71"/>
    <mergeCell ref="AN70:AQ71"/>
    <mergeCell ref="AU70:AU71"/>
    <mergeCell ref="C74:E75"/>
    <mergeCell ref="F74:I75"/>
    <mergeCell ref="J74:L75"/>
    <mergeCell ref="M74:N75"/>
    <mergeCell ref="O74:P75"/>
    <mergeCell ref="Q74:R75"/>
    <mergeCell ref="S74:V75"/>
    <mergeCell ref="W74:Y75"/>
    <mergeCell ref="Z74:AA75"/>
    <mergeCell ref="AB74:AC75"/>
    <mergeCell ref="AD74:AE75"/>
    <mergeCell ref="AF74:AG75"/>
    <mergeCell ref="AH74:AJ75"/>
    <mergeCell ref="AK74:AM75"/>
    <mergeCell ref="AN74:AQ75"/>
    <mergeCell ref="AU74:AU75"/>
    <mergeCell ref="AN72:AQ73"/>
    <mergeCell ref="AU72:AU73"/>
    <mergeCell ref="AY66:AY67"/>
    <mergeCell ref="AZ66:AZ67"/>
    <mergeCell ref="BA66:BA67"/>
    <mergeCell ref="BB66:BB67"/>
    <mergeCell ref="BC66:BC67"/>
    <mergeCell ref="BF66:BF67"/>
    <mergeCell ref="C68:E69"/>
    <mergeCell ref="F68:I69"/>
    <mergeCell ref="J68:L69"/>
    <mergeCell ref="M68:N69"/>
    <mergeCell ref="O68:P69"/>
    <mergeCell ref="Q68:R69"/>
    <mergeCell ref="S68:V69"/>
    <mergeCell ref="W68:Y69"/>
    <mergeCell ref="Z68:AA69"/>
    <mergeCell ref="AB68:AC69"/>
    <mergeCell ref="AD68:AE69"/>
    <mergeCell ref="AF68:AG69"/>
    <mergeCell ref="AH68:AJ69"/>
    <mergeCell ref="AK68:AM69"/>
    <mergeCell ref="AN68:AQ69"/>
    <mergeCell ref="AU68:AU69"/>
    <mergeCell ref="AV68:AV69"/>
    <mergeCell ref="AB66:AC67"/>
    <mergeCell ref="AD66:AE67"/>
    <mergeCell ref="AF66:AG67"/>
    <mergeCell ref="AH66:AJ67"/>
    <mergeCell ref="AV66:AV67"/>
    <mergeCell ref="AW66:AW67"/>
    <mergeCell ref="AX66:AX67"/>
    <mergeCell ref="C66:E67"/>
    <mergeCell ref="F66:I67"/>
    <mergeCell ref="AV200:AV201"/>
    <mergeCell ref="C18:E19"/>
    <mergeCell ref="R12:U13"/>
    <mergeCell ref="V12:Y13"/>
    <mergeCell ref="Z12:AC13"/>
    <mergeCell ref="C14:E15"/>
    <mergeCell ref="C16:E17"/>
    <mergeCell ref="AQ1:AR1"/>
    <mergeCell ref="AQ2:AR3"/>
    <mergeCell ref="AH20:AJ21"/>
    <mergeCell ref="AH1:AK1"/>
    <mergeCell ref="AL1:AP1"/>
    <mergeCell ref="AH2:AK3"/>
    <mergeCell ref="AL2:AP3"/>
    <mergeCell ref="Z20:AA21"/>
    <mergeCell ref="Q20:R21"/>
    <mergeCell ref="J20:L21"/>
    <mergeCell ref="M20:N21"/>
    <mergeCell ref="O20:P21"/>
    <mergeCell ref="W20:Y21"/>
    <mergeCell ref="AD20:AE21"/>
    <mergeCell ref="AF20:AG21"/>
    <mergeCell ref="J16:L17"/>
    <mergeCell ref="J14:L15"/>
    <mergeCell ref="M14:N15"/>
    <mergeCell ref="R9:AC10"/>
    <mergeCell ref="AH16:AJ17"/>
    <mergeCell ref="AN16:AQ17"/>
    <mergeCell ref="AV16:AV17"/>
    <mergeCell ref="S14:V15"/>
    <mergeCell ref="Q14:R15"/>
    <mergeCell ref="W14:Y15"/>
    <mergeCell ref="O16:P17"/>
    <mergeCell ref="Z22:AA23"/>
    <mergeCell ref="S22:V23"/>
    <mergeCell ref="AX22:AX23"/>
    <mergeCell ref="AZ14:AZ15"/>
    <mergeCell ref="AZ16:AZ17"/>
    <mergeCell ref="AY14:AY15"/>
    <mergeCell ref="AV14:AV15"/>
    <mergeCell ref="AB14:AC15"/>
    <mergeCell ref="AD14:AE15"/>
    <mergeCell ref="AF14:AG15"/>
    <mergeCell ref="AH14:AJ15"/>
    <mergeCell ref="AN14:AQ15"/>
    <mergeCell ref="AB16:AC17"/>
    <mergeCell ref="AD16:AE17"/>
    <mergeCell ref="AF16:AG17"/>
    <mergeCell ref="AU18:AU19"/>
    <mergeCell ref="AU20:AU21"/>
    <mergeCell ref="AU22:AU23"/>
    <mergeCell ref="Z14:AA15"/>
    <mergeCell ref="Q16:R17"/>
    <mergeCell ref="W16:Y17"/>
    <mergeCell ref="AU14:AU15"/>
    <mergeCell ref="AU16:AU17"/>
    <mergeCell ref="AW16:AW17"/>
    <mergeCell ref="AW14:AW15"/>
    <mergeCell ref="AX14:AX15"/>
    <mergeCell ref="AX16:AX17"/>
    <mergeCell ref="AH18:AJ19"/>
    <mergeCell ref="AF18:AG19"/>
    <mergeCell ref="AN18:AQ19"/>
    <mergeCell ref="AB20:AC21"/>
    <mergeCell ref="AN34:AQ35"/>
    <mergeCell ref="AZ32:AZ33"/>
    <mergeCell ref="AB22:AC23"/>
    <mergeCell ref="AD22:AE23"/>
    <mergeCell ref="AF22:AG23"/>
    <mergeCell ref="AD26:AE27"/>
    <mergeCell ref="AF26:AG27"/>
    <mergeCell ref="AH26:AJ27"/>
    <mergeCell ref="AN26:AQ27"/>
    <mergeCell ref="AW22:AW23"/>
    <mergeCell ref="AN24:AQ25"/>
    <mergeCell ref="AZ26:AZ27"/>
    <mergeCell ref="AB26:AC27"/>
    <mergeCell ref="AN28:AQ29"/>
    <mergeCell ref="AN30:AQ31"/>
    <mergeCell ref="AU32:AU33"/>
    <mergeCell ref="AU34:AU35"/>
    <mergeCell ref="J18:L19"/>
    <mergeCell ref="M18:N19"/>
    <mergeCell ref="O18:P19"/>
    <mergeCell ref="Q18:R19"/>
    <mergeCell ref="W18:Y19"/>
    <mergeCell ref="Z18:AA19"/>
    <mergeCell ref="S18:V19"/>
    <mergeCell ref="J22:L23"/>
    <mergeCell ref="M22:N23"/>
    <mergeCell ref="O22:P23"/>
    <mergeCell ref="Q22:R23"/>
    <mergeCell ref="W22:Y23"/>
    <mergeCell ref="AW18:AW19"/>
    <mergeCell ref="AX18:AX19"/>
    <mergeCell ref="AY18:AY19"/>
    <mergeCell ref="AZ18:AZ19"/>
    <mergeCell ref="Q24:R25"/>
    <mergeCell ref="W24:Y25"/>
    <mergeCell ref="AK22:AM23"/>
    <mergeCell ref="AZ24:AZ25"/>
    <mergeCell ref="AV20:AV21"/>
    <mergeCell ref="AW20:AW21"/>
    <mergeCell ref="AX20:AX21"/>
    <mergeCell ref="AY20:AY21"/>
    <mergeCell ref="AZ20:AZ21"/>
    <mergeCell ref="AV22:AV23"/>
    <mergeCell ref="S20:V21"/>
    <mergeCell ref="AB18:AC19"/>
    <mergeCell ref="AD18:AE19"/>
    <mergeCell ref="AY22:AY23"/>
    <mergeCell ref="AZ22:AZ23"/>
    <mergeCell ref="AV24:AV25"/>
    <mergeCell ref="J24:L25"/>
    <mergeCell ref="M24:N25"/>
    <mergeCell ref="O24:P25"/>
    <mergeCell ref="AZ28:AZ29"/>
    <mergeCell ref="C20:E21"/>
    <mergeCell ref="M30:N31"/>
    <mergeCell ref="AH22:AJ23"/>
    <mergeCell ref="AN22:AQ23"/>
    <mergeCell ref="AH24:AJ25"/>
    <mergeCell ref="AN20:AQ21"/>
    <mergeCell ref="AK26:AM27"/>
    <mergeCell ref="AK28:AM29"/>
    <mergeCell ref="AK30:AM31"/>
    <mergeCell ref="C22:E23"/>
    <mergeCell ref="S24:V25"/>
    <mergeCell ref="AB24:AC25"/>
    <mergeCell ref="AD24:AE25"/>
    <mergeCell ref="AF24:AG25"/>
    <mergeCell ref="AU24:AU25"/>
    <mergeCell ref="AU26:AU27"/>
    <mergeCell ref="AU28:AU29"/>
    <mergeCell ref="AU30:AU31"/>
    <mergeCell ref="AB30:AC31"/>
    <mergeCell ref="AD30:AE31"/>
    <mergeCell ref="AF30:AG31"/>
    <mergeCell ref="AH30:AJ31"/>
    <mergeCell ref="S30:V31"/>
    <mergeCell ref="AK24:AM25"/>
    <mergeCell ref="C24:E25"/>
    <mergeCell ref="AW24:AW25"/>
    <mergeCell ref="AX24:AX25"/>
    <mergeCell ref="AY24:AY25"/>
    <mergeCell ref="B34:B35"/>
    <mergeCell ref="B36:B37"/>
    <mergeCell ref="C26:E27"/>
    <mergeCell ref="C28:E29"/>
    <mergeCell ref="C30:E31"/>
    <mergeCell ref="C32:E33"/>
    <mergeCell ref="C34:E35"/>
    <mergeCell ref="C36:E37"/>
    <mergeCell ref="B38:B39"/>
    <mergeCell ref="M200:AG201"/>
    <mergeCell ref="B16:B17"/>
    <mergeCell ref="R11:U11"/>
    <mergeCell ref="V11:Y11"/>
    <mergeCell ref="Z11:AC11"/>
    <mergeCell ref="B40:B41"/>
    <mergeCell ref="B18:B19"/>
    <mergeCell ref="B20:B21"/>
    <mergeCell ref="B22:B23"/>
    <mergeCell ref="B24:B25"/>
    <mergeCell ref="B26:B27"/>
    <mergeCell ref="B28:B29"/>
    <mergeCell ref="B64:B65"/>
    <mergeCell ref="B42:B43"/>
    <mergeCell ref="B44:B45"/>
    <mergeCell ref="B46:B47"/>
    <mergeCell ref="B48:B49"/>
    <mergeCell ref="B50:B51"/>
    <mergeCell ref="B30:B31"/>
    <mergeCell ref="Z16:AA17"/>
    <mergeCell ref="S16:V17"/>
    <mergeCell ref="O14:P15"/>
    <mergeCell ref="M16:N17"/>
    <mergeCell ref="B52:B53"/>
    <mergeCell ref="J28:L29"/>
    <mergeCell ref="M28:N29"/>
    <mergeCell ref="J30:L31"/>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C40:E41"/>
    <mergeCell ref="J40:L41"/>
    <mergeCell ref="M40:N41"/>
    <mergeCell ref="C38:E39"/>
    <mergeCell ref="C42:E43"/>
    <mergeCell ref="J42:L43"/>
    <mergeCell ref="M42:N43"/>
    <mergeCell ref="C60:E61"/>
    <mergeCell ref="J60:L61"/>
    <mergeCell ref="M60:N61"/>
    <mergeCell ref="B32:B33"/>
    <mergeCell ref="B112:B113"/>
    <mergeCell ref="B90:B91"/>
    <mergeCell ref="B92:B93"/>
    <mergeCell ref="B94:B95"/>
    <mergeCell ref="B96:B97"/>
    <mergeCell ref="B98:B99"/>
    <mergeCell ref="B100:B101"/>
    <mergeCell ref="B102:B103"/>
    <mergeCell ref="B104:B105"/>
    <mergeCell ref="B106:B107"/>
    <mergeCell ref="B108:B109"/>
    <mergeCell ref="B110:B111"/>
    <mergeCell ref="B140:B141"/>
    <mergeCell ref="B142:B143"/>
    <mergeCell ref="B144:B145"/>
    <mergeCell ref="B146:B147"/>
    <mergeCell ref="B148:B149"/>
    <mergeCell ref="B150:B151"/>
    <mergeCell ref="B152:B153"/>
    <mergeCell ref="B154:B155"/>
    <mergeCell ref="B156:B157"/>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B182:B183"/>
    <mergeCell ref="B160:B161"/>
    <mergeCell ref="B138:B139"/>
    <mergeCell ref="B158:B159"/>
    <mergeCell ref="AV34:AV35"/>
    <mergeCell ref="AW34:AW35"/>
    <mergeCell ref="AX34:AX35"/>
    <mergeCell ref="AY34:AY35"/>
    <mergeCell ref="AV28:AV29"/>
    <mergeCell ref="AW28:AW29"/>
    <mergeCell ref="AX28:AX29"/>
    <mergeCell ref="AY28:AY29"/>
    <mergeCell ref="AV32:AV33"/>
    <mergeCell ref="AW32:AW33"/>
    <mergeCell ref="AX32:AX33"/>
    <mergeCell ref="AY32:AY33"/>
    <mergeCell ref="Q32:R33"/>
    <mergeCell ref="W32:Y33"/>
    <mergeCell ref="Z32:AA33"/>
    <mergeCell ref="AB32:AC33"/>
    <mergeCell ref="AD32:AE33"/>
    <mergeCell ref="AB28:AC29"/>
    <mergeCell ref="AD28:AE29"/>
    <mergeCell ref="AF28:AG29"/>
    <mergeCell ref="AH28:AJ29"/>
    <mergeCell ref="AN32:AQ33"/>
    <mergeCell ref="AK34:AM35"/>
    <mergeCell ref="AN36:AQ37"/>
    <mergeCell ref="AV36:AV37"/>
    <mergeCell ref="AW36:AW37"/>
    <mergeCell ref="BF32:BF33"/>
    <mergeCell ref="BF34:BF35"/>
    <mergeCell ref="BF14:BF15"/>
    <mergeCell ref="BF16:BF17"/>
    <mergeCell ref="BF18:BF19"/>
    <mergeCell ref="BF20:BF21"/>
    <mergeCell ref="BF22:BF23"/>
    <mergeCell ref="BF24:BF25"/>
    <mergeCell ref="BF26:BF27"/>
    <mergeCell ref="BF28:BF29"/>
    <mergeCell ref="BF30:BF31"/>
    <mergeCell ref="BC32:BC33"/>
    <mergeCell ref="BC34:BC35"/>
    <mergeCell ref="BC14:BC15"/>
    <mergeCell ref="BC16:BC17"/>
    <mergeCell ref="BC18:BC19"/>
    <mergeCell ref="BC20:BC21"/>
    <mergeCell ref="BC22:BC23"/>
    <mergeCell ref="BC24:BC25"/>
    <mergeCell ref="BC26:BC27"/>
    <mergeCell ref="BD14:BD15"/>
    <mergeCell ref="BE14:BE15"/>
    <mergeCell ref="BD16:BD17"/>
    <mergeCell ref="BE16:BE17"/>
    <mergeCell ref="BD18:BD19"/>
    <mergeCell ref="BE18:BE19"/>
    <mergeCell ref="BD20:BD21"/>
    <mergeCell ref="BE20:BE21"/>
    <mergeCell ref="BD22:BD23"/>
    <mergeCell ref="BE22:BE23"/>
    <mergeCell ref="BD24:BD25"/>
    <mergeCell ref="BE24:BE25"/>
    <mergeCell ref="BA32:BA33"/>
    <mergeCell ref="BB32:BB33"/>
    <mergeCell ref="BA26:BA27"/>
    <mergeCell ref="BB26:BB27"/>
    <mergeCell ref="BA14:BA15"/>
    <mergeCell ref="BB14:BB15"/>
    <mergeCell ref="BB20:BB21"/>
    <mergeCell ref="BB22:BB23"/>
    <mergeCell ref="BB24:BB25"/>
    <mergeCell ref="BA16:BA17"/>
    <mergeCell ref="BB16:BB17"/>
    <mergeCell ref="BB30:BB31"/>
    <mergeCell ref="AK14:AM15"/>
    <mergeCell ref="AK16:AM17"/>
    <mergeCell ref="AK18:AM19"/>
    <mergeCell ref="AK20:AM21"/>
    <mergeCell ref="AY16:AY17"/>
    <mergeCell ref="BB18:BB19"/>
    <mergeCell ref="AV26:AV27"/>
    <mergeCell ref="AW26:AW27"/>
    <mergeCell ref="AX26:AX27"/>
    <mergeCell ref="AY26:AY27"/>
    <mergeCell ref="AV30:AV31"/>
    <mergeCell ref="AW30:AW31"/>
    <mergeCell ref="AX30:AX31"/>
    <mergeCell ref="AY30:AY31"/>
    <mergeCell ref="AK32:AM33"/>
    <mergeCell ref="BA18:BA19"/>
    <mergeCell ref="BA20:BA21"/>
    <mergeCell ref="BA22:BA23"/>
    <mergeCell ref="BA24:BA25"/>
    <mergeCell ref="AV18:AV19"/>
    <mergeCell ref="J38:L39"/>
    <mergeCell ref="M38:N39"/>
    <mergeCell ref="O38:P39"/>
    <mergeCell ref="Q38:R39"/>
    <mergeCell ref="W38:Y39"/>
    <mergeCell ref="Z38:AA39"/>
    <mergeCell ref="BC28:BC29"/>
    <mergeCell ref="BC30:BC31"/>
    <mergeCell ref="BA28:BA29"/>
    <mergeCell ref="BB28:BB29"/>
    <mergeCell ref="AZ34:AZ35"/>
    <mergeCell ref="BA34:BA35"/>
    <mergeCell ref="BB34:BB35"/>
    <mergeCell ref="AZ30:AZ31"/>
    <mergeCell ref="BA30:BA31"/>
    <mergeCell ref="Z24:AA25"/>
    <mergeCell ref="O28:P29"/>
    <mergeCell ref="Q28:R29"/>
    <mergeCell ref="W28:Y29"/>
    <mergeCell ref="Z28:AA29"/>
    <mergeCell ref="J26:L27"/>
    <mergeCell ref="M26:N27"/>
    <mergeCell ref="O26:P27"/>
    <mergeCell ref="S26:V27"/>
    <mergeCell ref="S28:V29"/>
    <mergeCell ref="Q26:R27"/>
    <mergeCell ref="W26:Y27"/>
    <mergeCell ref="Z26:AA27"/>
    <mergeCell ref="O30:P31"/>
    <mergeCell ref="Q30:R31"/>
    <mergeCell ref="W30:Y31"/>
    <mergeCell ref="Z30:AA31"/>
    <mergeCell ref="J32:L33"/>
    <mergeCell ref="M32:N33"/>
    <mergeCell ref="M36:N37"/>
    <mergeCell ref="O36:P37"/>
    <mergeCell ref="Q36:R37"/>
    <mergeCell ref="W36:Y37"/>
    <mergeCell ref="Z36:AA37"/>
    <mergeCell ref="J34:L35"/>
    <mergeCell ref="M34:N35"/>
    <mergeCell ref="O34:P35"/>
    <mergeCell ref="Q34:R35"/>
    <mergeCell ref="W34:Y35"/>
    <mergeCell ref="Z34:AA35"/>
    <mergeCell ref="AF32:AG33"/>
    <mergeCell ref="AH32:AJ33"/>
    <mergeCell ref="AH34:AJ35"/>
    <mergeCell ref="AB34:AC35"/>
    <mergeCell ref="AD34:AE35"/>
    <mergeCell ref="O32:P33"/>
    <mergeCell ref="J36:L37"/>
    <mergeCell ref="AF34:AG35"/>
    <mergeCell ref="AD38:AE39"/>
    <mergeCell ref="AF38:AG39"/>
    <mergeCell ref="AH38:AJ39"/>
    <mergeCell ref="AN38:AQ39"/>
    <mergeCell ref="AV38:AV39"/>
    <mergeCell ref="AW38:AW39"/>
    <mergeCell ref="AX38:AX39"/>
    <mergeCell ref="AY38:AY39"/>
    <mergeCell ref="AZ38:AZ39"/>
    <mergeCell ref="AN40:AQ41"/>
    <mergeCell ref="AV40:AV41"/>
    <mergeCell ref="AW40:AW41"/>
    <mergeCell ref="AX40:AX41"/>
    <mergeCell ref="AY40:AY41"/>
    <mergeCell ref="AZ40:AZ41"/>
    <mergeCell ref="BA40:BA41"/>
    <mergeCell ref="AU38:AU39"/>
    <mergeCell ref="AU40:AU41"/>
    <mergeCell ref="BF44:BF45"/>
    <mergeCell ref="BA42:BA43"/>
    <mergeCell ref="BB42:BB43"/>
    <mergeCell ref="BC42:BC43"/>
    <mergeCell ref="BF42:BF43"/>
    <mergeCell ref="AK44:AM45"/>
    <mergeCell ref="BF40:BF41"/>
    <mergeCell ref="BA36:BA37"/>
    <mergeCell ref="BB36:BB37"/>
    <mergeCell ref="BC36:BC37"/>
    <mergeCell ref="BF36:BF37"/>
    <mergeCell ref="BA38:BA39"/>
    <mergeCell ref="BB38:BB39"/>
    <mergeCell ref="BC38:BC39"/>
    <mergeCell ref="BF38:BF39"/>
    <mergeCell ref="AU42:AU43"/>
    <mergeCell ref="AU44:AU45"/>
    <mergeCell ref="BA44:BA45"/>
    <mergeCell ref="BB44:BB45"/>
    <mergeCell ref="BC44:BC45"/>
    <mergeCell ref="AX36:AX37"/>
    <mergeCell ref="AY36:AY37"/>
    <mergeCell ref="AU36:AU37"/>
    <mergeCell ref="AN42:AQ43"/>
    <mergeCell ref="AV42:AV43"/>
    <mergeCell ref="AW42:AW43"/>
    <mergeCell ref="AX42:AX43"/>
    <mergeCell ref="AY42:AY43"/>
    <mergeCell ref="AZ42:AZ43"/>
    <mergeCell ref="AK42:AM43"/>
    <mergeCell ref="AZ36:AZ37"/>
    <mergeCell ref="BD44:BD45"/>
    <mergeCell ref="C44:E45"/>
    <mergeCell ref="J44:L45"/>
    <mergeCell ref="AN44:AQ45"/>
    <mergeCell ref="AV44:AV45"/>
    <mergeCell ref="AW44:AW45"/>
    <mergeCell ref="AX44:AX45"/>
    <mergeCell ref="AY44:AY45"/>
    <mergeCell ref="AZ44:AZ45"/>
    <mergeCell ref="BB40:BB41"/>
    <mergeCell ref="BC40:BC41"/>
    <mergeCell ref="O40:P41"/>
    <mergeCell ref="BC46:BC47"/>
    <mergeCell ref="AU50:AU51"/>
    <mergeCell ref="BF48:BF49"/>
    <mergeCell ref="AK46:AM47"/>
    <mergeCell ref="C46:E47"/>
    <mergeCell ref="J46:L47"/>
    <mergeCell ref="M46:N47"/>
    <mergeCell ref="O46:P47"/>
    <mergeCell ref="Q46:R47"/>
    <mergeCell ref="W46:Y47"/>
    <mergeCell ref="Z46:AA47"/>
    <mergeCell ref="AB46:AC47"/>
    <mergeCell ref="AD46:AE47"/>
    <mergeCell ref="AF46:AG47"/>
    <mergeCell ref="AH46:AJ47"/>
    <mergeCell ref="AN46:AQ47"/>
    <mergeCell ref="AV46:AV47"/>
    <mergeCell ref="AW46:AW47"/>
    <mergeCell ref="AX46:AX47"/>
    <mergeCell ref="AY46:AY47"/>
    <mergeCell ref="AZ46:AZ47"/>
    <mergeCell ref="BA46:BA47"/>
    <mergeCell ref="BB46:BB47"/>
    <mergeCell ref="BF46:BF47"/>
    <mergeCell ref="C48:E49"/>
    <mergeCell ref="AN48:AQ49"/>
    <mergeCell ref="AV48:AV49"/>
    <mergeCell ref="AW48:AW49"/>
    <mergeCell ref="AX48:AX49"/>
    <mergeCell ref="AY48:AY49"/>
    <mergeCell ref="AZ48:AZ49"/>
    <mergeCell ref="BA48:BA49"/>
    <mergeCell ref="AU46:AU47"/>
    <mergeCell ref="AU48:AU49"/>
    <mergeCell ref="M50:N51"/>
    <mergeCell ref="O50:P51"/>
    <mergeCell ref="Q50:R51"/>
    <mergeCell ref="W50:Y51"/>
    <mergeCell ref="Z50:AA51"/>
    <mergeCell ref="AB50:AC51"/>
    <mergeCell ref="AD50:AE51"/>
    <mergeCell ref="AF50:AG51"/>
    <mergeCell ref="AH50:AJ51"/>
    <mergeCell ref="AN50:AQ51"/>
    <mergeCell ref="AV50:AV51"/>
    <mergeCell ref="AW50:AW51"/>
    <mergeCell ref="AX50:AX51"/>
    <mergeCell ref="AY50:AY51"/>
    <mergeCell ref="AZ50:AZ51"/>
    <mergeCell ref="AK50:AM51"/>
    <mergeCell ref="W48:Y49"/>
    <mergeCell ref="C54:E55"/>
    <mergeCell ref="J54:L55"/>
    <mergeCell ref="AZ52:AZ53"/>
    <mergeCell ref="C50:E51"/>
    <mergeCell ref="J50:L51"/>
    <mergeCell ref="Z48:AA49"/>
    <mergeCell ref="AB48:AC49"/>
    <mergeCell ref="AD48:AE49"/>
    <mergeCell ref="AF48:AG49"/>
    <mergeCell ref="BC48:BC49"/>
    <mergeCell ref="F48:I49"/>
    <mergeCell ref="J48:L49"/>
    <mergeCell ref="M48:N49"/>
    <mergeCell ref="O48:P49"/>
    <mergeCell ref="Q48:R49"/>
    <mergeCell ref="AH48:AJ49"/>
    <mergeCell ref="AK48:AM49"/>
    <mergeCell ref="BB48:BB49"/>
    <mergeCell ref="C52:E53"/>
    <mergeCell ref="J52:L53"/>
    <mergeCell ref="M52:N53"/>
    <mergeCell ref="O52:P53"/>
    <mergeCell ref="Q52:R53"/>
    <mergeCell ref="W52:Y53"/>
    <mergeCell ref="Z52:AA53"/>
    <mergeCell ref="AB52:AC53"/>
    <mergeCell ref="AD52:AE53"/>
    <mergeCell ref="AF52:AG53"/>
    <mergeCell ref="AH52:AJ53"/>
    <mergeCell ref="AN52:AQ53"/>
    <mergeCell ref="AV52:AV53"/>
    <mergeCell ref="AW52:AW53"/>
    <mergeCell ref="AY52:AY53"/>
    <mergeCell ref="BC54:BC55"/>
    <mergeCell ref="BF54:BF55"/>
    <mergeCell ref="AV54:AV55"/>
    <mergeCell ref="AW54:AW55"/>
    <mergeCell ref="AX54:AX55"/>
    <mergeCell ref="AY54:AY55"/>
    <mergeCell ref="BA52:BA53"/>
    <mergeCell ref="BB52:BB53"/>
    <mergeCell ref="BC52:BC53"/>
    <mergeCell ref="AU54:AU55"/>
    <mergeCell ref="AU52:AU53"/>
    <mergeCell ref="S50:V51"/>
    <mergeCell ref="F50:I51"/>
    <mergeCell ref="AZ54:AZ55"/>
    <mergeCell ref="AB54:AC55"/>
    <mergeCell ref="AD54:AE55"/>
    <mergeCell ref="AF54:AG55"/>
    <mergeCell ref="AH54:AJ55"/>
    <mergeCell ref="AN54:AQ55"/>
    <mergeCell ref="BA54:BA55"/>
    <mergeCell ref="BB54:BB55"/>
    <mergeCell ref="BA50:BA51"/>
    <mergeCell ref="BB50:BB51"/>
    <mergeCell ref="BC50:BC51"/>
    <mergeCell ref="BF50:BF51"/>
    <mergeCell ref="F54:I55"/>
    <mergeCell ref="S52:V53"/>
    <mergeCell ref="S54:V55"/>
    <mergeCell ref="BF52:BF53"/>
    <mergeCell ref="J56:L57"/>
    <mergeCell ref="M56:N57"/>
    <mergeCell ref="O56:P57"/>
    <mergeCell ref="Q56:R57"/>
    <mergeCell ref="W56:Y57"/>
    <mergeCell ref="F56:I57"/>
    <mergeCell ref="S56:V57"/>
    <mergeCell ref="AW56:AW57"/>
    <mergeCell ref="AX56:AX57"/>
    <mergeCell ref="AK52:AM53"/>
    <mergeCell ref="AK54:AM55"/>
    <mergeCell ref="AK56:AM57"/>
    <mergeCell ref="M54:N55"/>
    <mergeCell ref="O54:P55"/>
    <mergeCell ref="Q54:R55"/>
    <mergeCell ref="W54:Y55"/>
    <mergeCell ref="Z54:AA55"/>
    <mergeCell ref="AX52:AX53"/>
    <mergeCell ref="BF56:BF57"/>
    <mergeCell ref="C58:E59"/>
    <mergeCell ref="J58:L59"/>
    <mergeCell ref="M58:N59"/>
    <mergeCell ref="O58:P59"/>
    <mergeCell ref="Q58:R59"/>
    <mergeCell ref="W58:Y59"/>
    <mergeCell ref="Z58:AA59"/>
    <mergeCell ref="AB58:AC59"/>
    <mergeCell ref="AD58:AE59"/>
    <mergeCell ref="AF58:AG59"/>
    <mergeCell ref="AH58:AJ59"/>
    <mergeCell ref="AN58:AQ59"/>
    <mergeCell ref="AV58:AV59"/>
    <mergeCell ref="AW58:AW59"/>
    <mergeCell ref="AX58:AX59"/>
    <mergeCell ref="AY58:AY59"/>
    <mergeCell ref="AZ58:AZ59"/>
    <mergeCell ref="BA58:BA59"/>
    <mergeCell ref="BB58:BB59"/>
    <mergeCell ref="BC58:BC59"/>
    <mergeCell ref="Z56:AA57"/>
    <mergeCell ref="AU56:AU57"/>
    <mergeCell ref="AU58:AU59"/>
    <mergeCell ref="AY56:AY57"/>
    <mergeCell ref="AZ56:AZ57"/>
    <mergeCell ref="AV56:AV57"/>
    <mergeCell ref="AN56:AQ57"/>
    <mergeCell ref="BA56:BA57"/>
    <mergeCell ref="BB56:BB57"/>
    <mergeCell ref="BC56:BC57"/>
    <mergeCell ref="C56:E57"/>
    <mergeCell ref="BA62:BA63"/>
    <mergeCell ref="BB62:BB63"/>
    <mergeCell ref="BF58:BF59"/>
    <mergeCell ref="AN60:AQ61"/>
    <mergeCell ref="AV60:AV61"/>
    <mergeCell ref="AW60:AW61"/>
    <mergeCell ref="AX60:AX61"/>
    <mergeCell ref="AY60:AY61"/>
    <mergeCell ref="AZ60:AZ61"/>
    <mergeCell ref="BA60:BA61"/>
    <mergeCell ref="BB60:BB61"/>
    <mergeCell ref="BC60:BC61"/>
    <mergeCell ref="BF60:BF61"/>
    <mergeCell ref="BC62:BC63"/>
    <mergeCell ref="BF62:BF63"/>
    <mergeCell ref="AK58:AM59"/>
    <mergeCell ref="F58:I59"/>
    <mergeCell ref="F60:I61"/>
    <mergeCell ref="AU60:AU61"/>
    <mergeCell ref="AU62:AU63"/>
    <mergeCell ref="AK60:AM61"/>
    <mergeCell ref="O60:P61"/>
    <mergeCell ref="Q60:R61"/>
    <mergeCell ref="W60:Y61"/>
    <mergeCell ref="Z60:AA61"/>
    <mergeCell ref="AB60:AC61"/>
    <mergeCell ref="BD62:BD63"/>
    <mergeCell ref="BE62:BE63"/>
    <mergeCell ref="AN64:AQ65"/>
    <mergeCell ref="AV64:AV65"/>
    <mergeCell ref="AW64:AW65"/>
    <mergeCell ref="AX64:AX65"/>
    <mergeCell ref="AY64:AY65"/>
    <mergeCell ref="AZ64:AZ65"/>
    <mergeCell ref="F64:I65"/>
    <mergeCell ref="C62:E63"/>
    <mergeCell ref="J62:L63"/>
    <mergeCell ref="M62:N63"/>
    <mergeCell ref="O62:P63"/>
    <mergeCell ref="Q62:R63"/>
    <mergeCell ref="W62:Y63"/>
    <mergeCell ref="Z62:AA63"/>
    <mergeCell ref="AB62:AC63"/>
    <mergeCell ref="C64:E65"/>
    <mergeCell ref="J64:L65"/>
    <mergeCell ref="M64:N65"/>
    <mergeCell ref="O64:P65"/>
    <mergeCell ref="Q64:R65"/>
    <mergeCell ref="W64:Y65"/>
    <mergeCell ref="Z64:AA65"/>
    <mergeCell ref="AB64:AC65"/>
    <mergeCell ref="AN62:AQ63"/>
    <mergeCell ref="AH64:AJ65"/>
    <mergeCell ref="AV62:AV63"/>
    <mergeCell ref="AW62:AW63"/>
    <mergeCell ref="AX62:AX63"/>
    <mergeCell ref="AY62:AY63"/>
    <mergeCell ref="AZ62:AZ63"/>
    <mergeCell ref="AU64:AU65"/>
    <mergeCell ref="AK62:AM63"/>
    <mergeCell ref="BA64:BA65"/>
    <mergeCell ref="BB64:BB65"/>
    <mergeCell ref="BC64:BC65"/>
    <mergeCell ref="BF64:BF65"/>
    <mergeCell ref="F62:I63"/>
    <mergeCell ref="F14:I15"/>
    <mergeCell ref="F16:I17"/>
    <mergeCell ref="F18:I19"/>
    <mergeCell ref="F20:I21"/>
    <mergeCell ref="F22:I23"/>
    <mergeCell ref="F24:I25"/>
    <mergeCell ref="F26:I27"/>
    <mergeCell ref="F28:I29"/>
    <mergeCell ref="F30:I31"/>
    <mergeCell ref="F52:I53"/>
    <mergeCell ref="S32:V33"/>
    <mergeCell ref="S34:V35"/>
    <mergeCell ref="S36:V37"/>
    <mergeCell ref="S38:V39"/>
    <mergeCell ref="S40:V41"/>
    <mergeCell ref="S42:V43"/>
    <mergeCell ref="S44:V45"/>
    <mergeCell ref="S46:V47"/>
    <mergeCell ref="S48:V49"/>
    <mergeCell ref="F32:I33"/>
    <mergeCell ref="F34:I35"/>
    <mergeCell ref="F36:I37"/>
    <mergeCell ref="F38:I39"/>
    <mergeCell ref="F40:I41"/>
    <mergeCell ref="F42:I43"/>
    <mergeCell ref="F44:I45"/>
    <mergeCell ref="F46:I47"/>
    <mergeCell ref="AK64:AM65"/>
    <mergeCell ref="S58:V59"/>
    <mergeCell ref="S60:V61"/>
    <mergeCell ref="S62:V63"/>
    <mergeCell ref="S64:V65"/>
    <mergeCell ref="AF56:AG57"/>
    <mergeCell ref="AH56:AJ57"/>
    <mergeCell ref="AD62:AE63"/>
    <mergeCell ref="AF62:AG63"/>
    <mergeCell ref="AH62:AJ63"/>
    <mergeCell ref="AF60:AG61"/>
    <mergeCell ref="AH60:AJ61"/>
    <mergeCell ref="AB56:AC57"/>
    <mergeCell ref="AD56:AE57"/>
    <mergeCell ref="AD64:AE65"/>
    <mergeCell ref="AF64:AG65"/>
    <mergeCell ref="AD60:AE61"/>
    <mergeCell ref="M44:N45"/>
    <mergeCell ref="O44:P45"/>
    <mergeCell ref="Q44:R45"/>
    <mergeCell ref="W44:Y45"/>
    <mergeCell ref="Z44:AA45"/>
    <mergeCell ref="AB44:AC45"/>
    <mergeCell ref="AD44:AE45"/>
    <mergeCell ref="AF44:AG45"/>
    <mergeCell ref="AH44:AJ45"/>
    <mergeCell ref="AF36:AG37"/>
    <mergeCell ref="AH36:AJ37"/>
    <mergeCell ref="AK36:AM37"/>
    <mergeCell ref="AK38:AM39"/>
    <mergeCell ref="AK40:AM41"/>
    <mergeCell ref="Q40:R41"/>
    <mergeCell ref="W40:Y41"/>
    <mergeCell ref="Z40:AA41"/>
    <mergeCell ref="AB40:AC41"/>
    <mergeCell ref="AD40:AE41"/>
    <mergeCell ref="AF40:AG41"/>
    <mergeCell ref="AH40:AJ41"/>
    <mergeCell ref="AB36:AC37"/>
    <mergeCell ref="AD36:AE37"/>
    <mergeCell ref="O42:P43"/>
    <mergeCell ref="Q42:R43"/>
    <mergeCell ref="W42:Y43"/>
    <mergeCell ref="Z42:AA43"/>
    <mergeCell ref="AB42:AC43"/>
    <mergeCell ref="AD42:AE43"/>
    <mergeCell ref="AF42:AG43"/>
    <mergeCell ref="AH42:AJ43"/>
    <mergeCell ref="AB38:AC39"/>
    <mergeCell ref="BD26:BD27"/>
    <mergeCell ref="BE26:BE27"/>
    <mergeCell ref="BD28:BD29"/>
    <mergeCell ref="BE28:BE29"/>
    <mergeCell ref="BD30:BD31"/>
    <mergeCell ref="BE30:BE31"/>
    <mergeCell ref="BD32:BD33"/>
    <mergeCell ref="BE32:BE33"/>
    <mergeCell ref="BD34:BD35"/>
    <mergeCell ref="BE34:BE35"/>
    <mergeCell ref="BD36:BD37"/>
    <mergeCell ref="BE36:BE37"/>
    <mergeCell ref="BD38:BD39"/>
    <mergeCell ref="BE38:BE39"/>
    <mergeCell ref="BD40:BD41"/>
    <mergeCell ref="BE40:BE41"/>
    <mergeCell ref="BD42:BD43"/>
    <mergeCell ref="BE42:BE43"/>
    <mergeCell ref="BE44:BE45"/>
    <mergeCell ref="BD46:BD47"/>
    <mergeCell ref="BE46:BE47"/>
    <mergeCell ref="BD48:BD49"/>
    <mergeCell ref="BE48:BE49"/>
    <mergeCell ref="BD50:BD51"/>
    <mergeCell ref="BE50:BE51"/>
    <mergeCell ref="BD52:BD53"/>
    <mergeCell ref="BE52:BE53"/>
    <mergeCell ref="BD54:BD55"/>
    <mergeCell ref="BE54:BE55"/>
    <mergeCell ref="BD56:BD57"/>
    <mergeCell ref="BE56:BE57"/>
    <mergeCell ref="BD58:BD59"/>
    <mergeCell ref="BE58:BE59"/>
    <mergeCell ref="BD60:BD61"/>
    <mergeCell ref="BE60:BE61"/>
    <mergeCell ref="BE98:BE99"/>
    <mergeCell ref="BD64:BD65"/>
    <mergeCell ref="BE64:BE65"/>
    <mergeCell ref="BD66:BD67"/>
    <mergeCell ref="BE66:BE67"/>
    <mergeCell ref="BD68:BD69"/>
    <mergeCell ref="BE68:BE69"/>
    <mergeCell ref="BD70:BD71"/>
    <mergeCell ref="BE70:BE71"/>
    <mergeCell ref="BD72:BD73"/>
    <mergeCell ref="BE72:BE73"/>
    <mergeCell ref="BD74:BD75"/>
    <mergeCell ref="BE74:BE75"/>
    <mergeCell ref="BD76:BD77"/>
    <mergeCell ref="BE76:BE77"/>
    <mergeCell ref="BD78:BD79"/>
    <mergeCell ref="BE78:BE79"/>
    <mergeCell ref="BD80:BD81"/>
    <mergeCell ref="BE80:BE81"/>
    <mergeCell ref="BD100:BD101"/>
    <mergeCell ref="BE100:BE101"/>
    <mergeCell ref="BD102:BD103"/>
    <mergeCell ref="BE102:BE103"/>
    <mergeCell ref="BD104:BD105"/>
    <mergeCell ref="BE104:BE105"/>
    <mergeCell ref="BD106:BD107"/>
    <mergeCell ref="BE106:BE107"/>
    <mergeCell ref="BD108:BD109"/>
    <mergeCell ref="BE108:BE109"/>
    <mergeCell ref="BD110:BD111"/>
    <mergeCell ref="BE110:BE111"/>
    <mergeCell ref="BD112:BD113"/>
    <mergeCell ref="BE112:BE113"/>
    <mergeCell ref="BD114:BD115"/>
    <mergeCell ref="BD82:BD83"/>
    <mergeCell ref="BE82:BE83"/>
    <mergeCell ref="BD84:BD85"/>
    <mergeCell ref="BE84:BE85"/>
    <mergeCell ref="BD86:BD87"/>
    <mergeCell ref="BE86:BE87"/>
    <mergeCell ref="BD88:BD89"/>
    <mergeCell ref="BE88:BE89"/>
    <mergeCell ref="BD90:BD91"/>
    <mergeCell ref="BE90:BE91"/>
    <mergeCell ref="BD92:BD93"/>
    <mergeCell ref="BE92:BE93"/>
    <mergeCell ref="BD94:BD95"/>
    <mergeCell ref="BE94:BE95"/>
    <mergeCell ref="BD96:BD97"/>
    <mergeCell ref="BE96:BE97"/>
    <mergeCell ref="BD98:BD99"/>
  </mergeCells>
  <conditionalFormatting sqref="J16:AG115">
    <cfRule type="expression" dxfId="135" priority="1">
      <formula>AND(ISBLANK($F16)=FALSE,OR(ISBLANK(J16)=TRUE,J16=""))</formula>
    </cfRule>
  </conditionalFormatting>
  <conditionalFormatting sqref="O16:P115">
    <cfRule type="expression" dxfId="134" priority="300">
      <formula>O16&lt;&gt;INDEX(CMELIGHTBASEW,MATCH(F16,CMELIGHTBASE1,0))</formula>
    </cfRule>
  </conditionalFormatting>
  <conditionalFormatting sqref="Q16:R115">
    <cfRule type="expression" dxfId="133" priority="28">
      <formula>AND(ISNUMBER(SEARCH("24/7",#REF!))=TRUE,Q16&lt;&gt;8760)</formula>
    </cfRule>
  </conditionalFormatting>
  <conditionalFormatting sqref="AB16:AC115 O16:P115">
    <cfRule type="expression" dxfId="132" priority="302">
      <formula>MOD(O16,1)&lt;&gt;0</formula>
    </cfRule>
  </conditionalFormatting>
  <conditionalFormatting sqref="AB16:AC115">
    <cfRule type="expression" dxfId="131" priority="301">
      <formula>AB16&lt;&gt;INDEX(CMELIGHTEFFBASEW,MATCH(S16,CMELIGHTEFF1,0))</formula>
    </cfRule>
  </conditionalFormatting>
  <conditionalFormatting sqref="AH2 AL2">
    <cfRule type="expression" dxfId="130" priority="7">
      <formula>PROJSTATUS=PROJSTATELI</formula>
    </cfRule>
    <cfRule type="expression" dxfId="129" priority="8">
      <formula>PROJSTATUS=PROJSTATREVIEW</formula>
    </cfRule>
    <cfRule type="expression" dxfId="128" priority="22">
      <formula>PROJSTATUS=PROJSTATPREAPPROVE</formula>
    </cfRule>
    <cfRule type="expression" dxfId="127" priority="23">
      <formula>PROJSTATUS=PROJSTATSTANDARD</formula>
    </cfRule>
    <cfRule type="expression" dxfId="126" priority="24">
      <formula>PROJSTATUS=PROJSTATEXP</formula>
    </cfRule>
  </conditionalFormatting>
  <conditionalFormatting sqref="AN16 AN18 AN20 AN22 AN24 AN26 AN28 AN30 AN32 AN34 AN36 AN38 AN40 AN42 AN44 AN46 AN48 AN50 AN52 AN54 AN56 AN58 AN60 AN62 AN64 AN66 AN68 AN70 AN72 AN74 AN76 AN78 AN80 AN82 AN84 AN86 AN88 AN90 AN92 AN94 AN96 AN98 AN100 AN102 AN104 AN106 AN108 AN110 AN112 AN114">
    <cfRule type="expression" dxfId="125" priority="25">
      <formula>ISNUMBER(AN16)=FALSE</formula>
    </cfRule>
  </conditionalFormatting>
  <conditionalFormatting sqref="AQ2:AR3">
    <cfRule type="cellIs" dxfId="124" priority="12" operator="equal">
      <formula>1</formula>
    </cfRule>
    <cfRule type="cellIs" dxfId="123" priority="17" operator="between">
      <formula>0.51</formula>
      <formula>0.99</formula>
    </cfRule>
    <cfRule type="cellIs" dxfId="122" priority="19" operator="lessThanOrEqual">
      <formula>0.5</formula>
    </cfRule>
  </conditionalFormatting>
  <conditionalFormatting sqref="AZ16:AZ115">
    <cfRule type="expression" dxfId="121" priority="100">
      <formula>AND(ISBLANK($S16)=FALSE,OR(ISBLANK(AZ16)=TRUE,AZ16=""))</formula>
    </cfRule>
  </conditionalFormatting>
  <dataValidations xWindow="224" yWindow="512" count="8">
    <dataValidation type="decimal" operator="greaterThan" allowBlank="1" showInputMessage="1" showErrorMessage="1" error="Please enter a number value into the field." sqref="AB16:AC65" xr:uid="{00000000-0002-0000-1C00-000000000000}">
      <formula1>0</formula1>
    </dataValidation>
    <dataValidation type="whole" operator="lessThanOrEqual" allowBlank="1" showInputMessage="1" showErrorMessage="1" sqref="Q16:R65" xr:uid="{00000000-0002-0000-1C00-000001000000}">
      <formula1>8760</formula1>
    </dataValidation>
    <dataValidation type="list" allowBlank="1" showInputMessage="1" showErrorMessage="1" prompt="Choose from existing fixture type options. If the fixture is not listed, select Other at the bottom and provide a detailed description of the fixture in the next column." sqref="F16:I113" xr:uid="{00000000-0002-0000-1C00-000002000000}">
      <formula1>CMELIGHTBASE1</formula1>
    </dataValidation>
    <dataValidation type="list" allowBlank="1" showInputMessage="1" showErrorMessage="1" prompt="Choose from new fixture type options. If the fixture is not listed, select Other at the botom and provide a detailed description of the fixture in the next column." sqref="S18:V113" xr:uid="{00000000-0002-0000-1C00-000003000000}">
      <formula1>CMELIGHTEFF1</formula1>
    </dataValidation>
    <dataValidation type="decimal" operator="greaterThan" allowBlank="1" showInputMessage="1" error="Please enter a number value into the field." sqref="O16:P115" xr:uid="{00000000-0002-0000-1C00-000004000000}">
      <formula1>0</formula1>
    </dataValidation>
    <dataValidation type="decimal" allowBlank="1" showInputMessage="1" showErrorMessage="1" sqref="M16:N65 Z16:AA65" xr:uid="{00000000-0002-0000-1C00-000005000000}">
      <formula1>0</formula1>
      <formula2>999999</formula2>
    </dataValidation>
    <dataValidation type="decimal" allowBlank="1" showInputMessage="1" showErrorMessage="1" sqref="AD16:AG65" xr:uid="{00000000-0002-0000-1C00-000006000000}">
      <formula1>0</formula1>
      <formula2>1000000</formula2>
    </dataValidation>
    <dataValidation type="list" allowBlank="1" showInputMessage="1" showErrorMessage="1" prompt="Choose from new fixture type options. If the fixture is not listed, select Other at the botom and provide a detailed description of the fixture in the next column." sqref="S16:V17" xr:uid="{00000000-0002-0000-1C00-000007000000}">
      <formula1>IF(F16="Others - Exterior",CMELIGHTEFF2,IF(F16="Others - Interior",CMELIGHTEFF3,CMELIGHTEFF1))</formula1>
    </dataValidation>
  </dataValidations>
  <hyperlinks>
    <hyperlink ref="B202" r:id="rId1" xr:uid="{1CCDF4D6-2B0C-42B7-BC56-E1AB04B185CF}"/>
  </hyperlinks>
  <pageMargins left="0.25" right="0.25" top="0.25" bottom="0.25" header="0.25" footer="0.25"/>
  <pageSetup scale="46" fitToHeight="0" orientation="landscape"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pageSetUpPr fitToPage="1"/>
  </sheetPr>
  <dimension ref="A1:BZ202"/>
  <sheetViews>
    <sheetView showGridLines="0" showRowColHeaders="0" zoomScale="85" zoomScaleNormal="85" workbookViewId="0">
      <selection activeCell="C16" sqref="C16:E17"/>
    </sheetView>
  </sheetViews>
  <sheetFormatPr defaultColWidth="0" defaultRowHeight="15" customHeight="1" zeroHeight="1"/>
  <cols>
    <col min="1" max="4" width="4.7109375" customWidth="1"/>
    <col min="5" max="5" width="4.85546875" customWidth="1"/>
    <col min="6" max="44" width="4.7109375" customWidth="1"/>
    <col min="45" max="45" width="4.7109375" style="59" customWidth="1"/>
    <col min="46" max="46" width="4.7109375" style="59" hidden="1" customWidth="1"/>
    <col min="47" max="78" width="9.140625" style="59" hidden="1" customWidth="1"/>
    <col min="79" max="16384" width="9.140625" hidden="1"/>
  </cols>
  <sheetData>
    <row r="1" spans="2:59" ht="15.95" customHeight="1">
      <c r="AH1" s="681" t="s">
        <v>471</v>
      </c>
      <c r="AI1" s="681"/>
      <c r="AJ1" s="681"/>
      <c r="AK1" s="681"/>
      <c r="AL1" s="682" t="s">
        <v>736</v>
      </c>
      <c r="AM1" s="682"/>
      <c r="AN1" s="682"/>
      <c r="AO1" s="682"/>
      <c r="AP1" s="682"/>
      <c r="AQ1" s="678" t="s">
        <v>474</v>
      </c>
      <c r="AR1" s="678"/>
    </row>
    <row r="2" spans="2:59" ht="15.95" customHeight="1">
      <c r="AH2" s="683" t="str">
        <f ca="1">INCENSTATUS</f>
        <v>---</v>
      </c>
      <c r="AI2" s="684"/>
      <c r="AJ2" s="684"/>
      <c r="AK2" s="684"/>
      <c r="AL2" s="685" t="str">
        <f ca="1">PROJSTATUS</f>
        <v>Enter Measures</v>
      </c>
      <c r="AM2" s="685"/>
      <c r="AN2" s="685"/>
      <c r="AO2" s="685"/>
      <c r="AP2" s="685"/>
      <c r="AQ2" s="679">
        <f ca="1">PROGRESSSTATUS</f>
        <v>2.8985507246376812E-2</v>
      </c>
      <c r="AR2" s="680"/>
    </row>
    <row r="3" spans="2:59" ht="15.95" customHeight="1">
      <c r="AH3" s="675"/>
      <c r="AI3" s="676"/>
      <c r="AJ3" s="676"/>
      <c r="AK3" s="676"/>
      <c r="AL3" s="668"/>
      <c r="AM3" s="668"/>
      <c r="AN3" s="668"/>
      <c r="AO3" s="668"/>
      <c r="AP3" s="668"/>
      <c r="AQ3" s="662"/>
      <c r="AR3" s="663"/>
    </row>
    <row r="4" spans="2:59" ht="15.95" customHeight="1">
      <c r="AR4" s="171"/>
      <c r="BB4" s="415"/>
    </row>
    <row r="5" spans="2:59" ht="15.95" customHeight="1"/>
    <row r="6" spans="2:59" ht="15.95" customHeight="1">
      <c r="AU6" s="59" t="s">
        <v>907</v>
      </c>
      <c r="AV6" s="59">
        <f>PROJID</f>
        <v>0</v>
      </c>
      <c r="AY6"/>
      <c r="BE6" s="415"/>
    </row>
    <row r="7" spans="2:59" ht="15.95" customHeight="1">
      <c r="AU7" s="87"/>
      <c r="AV7" s="87" t="s">
        <v>866</v>
      </c>
      <c r="AW7" s="87" t="s">
        <v>231</v>
      </c>
      <c r="AX7" s="87" t="s">
        <v>892</v>
      </c>
      <c r="AY7"/>
    </row>
    <row r="8" spans="2:59" ht="15.95" customHeight="1">
      <c r="AU8" s="87" t="s">
        <v>219</v>
      </c>
      <c r="AV8" s="87" t="str">
        <f ca="1">CBPRESE</f>
        <v>NA</v>
      </c>
      <c r="AW8" s="87" t="str">
        <f ca="1">CBCUSE</f>
        <v>NA</v>
      </c>
      <c r="AX8" s="87" t="str">
        <f ca="1">CBALL</f>
        <v>NA</v>
      </c>
      <c r="AY8"/>
    </row>
    <row r="9" spans="2:59" ht="15.95" customHeight="1">
      <c r="B9" s="59"/>
      <c r="C9" s="59"/>
      <c r="D9" s="59"/>
      <c r="E9" s="59"/>
      <c r="F9" s="59"/>
      <c r="G9" s="59"/>
      <c r="H9" s="59"/>
      <c r="I9" s="59"/>
      <c r="J9" s="59"/>
      <c r="K9" s="59"/>
      <c r="L9" s="59"/>
      <c r="M9" s="59"/>
      <c r="N9" s="59"/>
      <c r="O9" s="59"/>
      <c r="P9" s="59"/>
      <c r="Q9" s="59"/>
      <c r="R9" s="730" t="str">
        <f>CONCATENATE(M4S2," ","Summary")</f>
        <v>New Construction Lighting Summary</v>
      </c>
      <c r="S9" s="730"/>
      <c r="T9" s="730"/>
      <c r="U9" s="730"/>
      <c r="V9" s="730"/>
      <c r="W9" s="730"/>
      <c r="X9" s="730"/>
      <c r="Y9" s="730"/>
      <c r="Z9" s="730"/>
      <c r="AA9" s="730"/>
      <c r="AB9" s="730"/>
      <c r="AC9" s="730"/>
      <c r="AD9" s="59"/>
      <c r="AE9" s="59"/>
      <c r="AF9" s="59"/>
      <c r="AG9" s="59"/>
      <c r="AH9" s="59"/>
      <c r="AI9" s="59"/>
      <c r="AJ9" s="59"/>
      <c r="AK9" s="59"/>
      <c r="AL9" s="59"/>
      <c r="AM9" s="59"/>
      <c r="AN9" s="59"/>
      <c r="AO9" s="59"/>
      <c r="AP9" s="59"/>
      <c r="AQ9" s="59"/>
      <c r="AR9" s="59"/>
      <c r="AU9" s="87"/>
      <c r="AV9" s="87"/>
      <c r="AW9" s="87"/>
      <c r="AX9" s="87"/>
      <c r="AY9"/>
    </row>
    <row r="10" spans="2:59" ht="15.95" customHeight="1">
      <c r="B10" s="59"/>
      <c r="C10" s="59"/>
      <c r="D10" s="59"/>
      <c r="E10" s="59"/>
      <c r="F10" s="59"/>
      <c r="G10" s="59"/>
      <c r="H10" s="59"/>
      <c r="I10" s="59"/>
      <c r="J10" s="59"/>
      <c r="K10" s="59"/>
      <c r="L10" s="59"/>
      <c r="M10" s="59"/>
      <c r="N10" s="59"/>
      <c r="O10" s="59"/>
      <c r="P10" s="67"/>
      <c r="Q10" s="67"/>
      <c r="R10" s="730"/>
      <c r="S10" s="730"/>
      <c r="T10" s="730"/>
      <c r="U10" s="730"/>
      <c r="V10" s="730"/>
      <c r="W10" s="730"/>
      <c r="X10" s="730"/>
      <c r="Y10" s="730"/>
      <c r="Z10" s="730"/>
      <c r="AA10" s="730"/>
      <c r="AB10" s="730"/>
      <c r="AC10" s="730"/>
      <c r="AD10" s="67"/>
      <c r="AE10" s="67"/>
      <c r="AF10" s="67"/>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c r="AY10"/>
    </row>
    <row r="11" spans="2:59" ht="15.95" customHeight="1">
      <c r="B11" s="59"/>
      <c r="C11" s="59"/>
      <c r="D11" s="59"/>
      <c r="E11" s="59"/>
      <c r="F11" s="59"/>
      <c r="G11" s="59"/>
      <c r="H11" s="59"/>
      <c r="I11" s="59"/>
      <c r="J11" s="59"/>
      <c r="K11" s="59"/>
      <c r="L11" s="59"/>
      <c r="M11" s="59"/>
      <c r="N11" s="59"/>
      <c r="O11" s="59"/>
      <c r="P11" s="59"/>
      <c r="Q11" s="59"/>
      <c r="R11" s="831" t="s">
        <v>68</v>
      </c>
      <c r="S11" s="831"/>
      <c r="T11" s="831"/>
      <c r="U11" s="831"/>
      <c r="V11" s="831" t="s">
        <v>69</v>
      </c>
      <c r="W11" s="831"/>
      <c r="X11" s="831"/>
      <c r="Y11" s="831"/>
      <c r="Z11" s="831" t="s">
        <v>70</v>
      </c>
      <c r="AA11" s="831"/>
      <c r="AB11" s="831"/>
      <c r="AC11" s="831"/>
      <c r="AD11" s="59"/>
      <c r="AE11" s="59"/>
      <c r="AJ11" s="59"/>
      <c r="AK11" s="59"/>
      <c r="AL11" s="59"/>
      <c r="AM11" s="59"/>
      <c r="AN11" s="59"/>
      <c r="AO11" s="59"/>
      <c r="AP11" s="59"/>
      <c r="AQ11" s="59"/>
      <c r="AR11" s="59"/>
      <c r="AU11" s="88"/>
    </row>
    <row r="12" spans="2:59" ht="15.95" customHeight="1">
      <c r="B12" s="59"/>
      <c r="C12" s="59"/>
      <c r="D12" s="59"/>
      <c r="E12" s="59"/>
      <c r="F12" s="59"/>
      <c r="G12" s="59"/>
      <c r="H12" s="59"/>
      <c r="I12" s="59"/>
      <c r="J12" s="59"/>
      <c r="K12" s="59"/>
      <c r="L12" s="59"/>
      <c r="M12" s="59"/>
      <c r="N12" s="59"/>
      <c r="O12" s="59"/>
      <c r="P12" s="59"/>
      <c r="Q12" s="59"/>
      <c r="R12" s="875">
        <f>SUM(AN16:AQ199)</f>
        <v>0</v>
      </c>
      <c r="S12" s="875"/>
      <c r="T12" s="875"/>
      <c r="U12" s="875"/>
      <c r="V12" s="875">
        <f ca="1">SUMIF(AN16:AQ198,"&gt;0",AH16:AJ198)</f>
        <v>0</v>
      </c>
      <c r="W12" s="875"/>
      <c r="X12" s="875"/>
      <c r="Y12" s="875"/>
      <c r="Z12" s="876">
        <f ca="1">SUMIF(AN16:AQ198,"&gt;0",AK16:AM198)</f>
        <v>0</v>
      </c>
      <c r="AA12" s="876"/>
      <c r="AB12" s="876"/>
      <c r="AC12" s="876"/>
      <c r="AD12" s="474"/>
      <c r="AE12" s="59"/>
      <c r="AJ12" s="59"/>
      <c r="AK12" s="59"/>
      <c r="AL12" s="59"/>
      <c r="AM12" s="59"/>
      <c r="AN12" s="59"/>
      <c r="AO12" s="59"/>
      <c r="AP12" s="59"/>
      <c r="AQ12" s="59"/>
      <c r="AR12" s="59"/>
      <c r="AU12" s="59" t="s">
        <v>1510</v>
      </c>
    </row>
    <row r="13" spans="2:59" ht="15.95" customHeight="1">
      <c r="B13" s="59"/>
      <c r="C13" s="59"/>
      <c r="D13" s="59"/>
      <c r="E13" s="59"/>
      <c r="F13" s="59"/>
      <c r="G13" s="59"/>
      <c r="H13" s="59"/>
      <c r="I13" s="59"/>
      <c r="J13" s="59"/>
      <c r="K13" s="59"/>
      <c r="L13" s="59"/>
      <c r="M13" s="59"/>
      <c r="N13" s="59"/>
      <c r="O13" s="59"/>
      <c r="P13" s="59"/>
      <c r="Q13" s="59"/>
      <c r="R13" s="875"/>
      <c r="S13" s="875"/>
      <c r="T13" s="875"/>
      <c r="U13" s="875"/>
      <c r="V13" s="875"/>
      <c r="W13" s="875"/>
      <c r="X13" s="875"/>
      <c r="Y13" s="875"/>
      <c r="Z13" s="876"/>
      <c r="AA13" s="876"/>
      <c r="AB13" s="876"/>
      <c r="AC13" s="876"/>
      <c r="AD13" s="474"/>
      <c r="AE13" s="59"/>
      <c r="AJ13" s="59"/>
      <c r="AK13" s="59"/>
      <c r="AL13" s="59"/>
      <c r="AM13" s="59"/>
      <c r="AN13" s="59"/>
      <c r="AO13" s="59"/>
      <c r="AP13" s="59"/>
      <c r="AQ13" s="59"/>
      <c r="AR13" s="59"/>
    </row>
    <row r="14" spans="2:59" ht="15.95" customHeight="1">
      <c r="B14" s="59"/>
      <c r="C14" s="804" t="s">
        <v>1329</v>
      </c>
      <c r="D14" s="804"/>
      <c r="E14" s="804"/>
      <c r="F14" s="804" t="s">
        <v>1328</v>
      </c>
      <c r="G14" s="804"/>
      <c r="H14" s="804"/>
      <c r="I14" s="804"/>
      <c r="J14" s="804"/>
      <c r="K14" s="804"/>
      <c r="L14" s="804" t="s">
        <v>1332</v>
      </c>
      <c r="M14" s="804"/>
      <c r="N14" s="804"/>
      <c r="O14" s="804"/>
      <c r="P14" s="804"/>
      <c r="Q14" s="804" t="s">
        <v>997</v>
      </c>
      <c r="R14" s="804"/>
      <c r="S14" s="1141" t="s">
        <v>1333</v>
      </c>
      <c r="T14" s="1141"/>
      <c r="U14" s="1141"/>
      <c r="V14" s="1141"/>
      <c r="W14" s="1141"/>
      <c r="X14" s="1141"/>
      <c r="Y14" s="1141" t="s">
        <v>1331</v>
      </c>
      <c r="Z14" s="1141"/>
      <c r="AA14" s="1141"/>
      <c r="AB14" s="1141"/>
      <c r="AC14" s="1141"/>
      <c r="AD14" s="804" t="s">
        <v>1625</v>
      </c>
      <c r="AE14" s="804"/>
      <c r="AF14" s="804"/>
      <c r="AG14" s="804"/>
      <c r="AH14" s="804" t="s">
        <v>151</v>
      </c>
      <c r="AI14" s="804"/>
      <c r="AJ14" s="804"/>
      <c r="AK14" s="804" t="s">
        <v>116</v>
      </c>
      <c r="AL14" s="804"/>
      <c r="AM14" s="804"/>
      <c r="AN14" s="804" t="s">
        <v>108</v>
      </c>
      <c r="AO14" s="804"/>
      <c r="AP14" s="804"/>
      <c r="AQ14" s="804"/>
      <c r="AR14" s="59"/>
      <c r="AU14" s="804" t="s">
        <v>219</v>
      </c>
      <c r="AV14" s="804" t="s">
        <v>240</v>
      </c>
      <c r="AW14" s="804" t="s">
        <v>1701</v>
      </c>
      <c r="AX14" s="804" t="s">
        <v>1363</v>
      </c>
      <c r="AY14" s="804" t="s">
        <v>149</v>
      </c>
      <c r="AZ14" s="804" t="s">
        <v>1614</v>
      </c>
      <c r="BA14" s="804" t="s">
        <v>1613</v>
      </c>
      <c r="BB14" s="1144" t="s">
        <v>1612</v>
      </c>
      <c r="BC14" s="1144" t="s">
        <v>1700</v>
      </c>
      <c r="BD14" s="804" t="s">
        <v>581</v>
      </c>
      <c r="BE14" s="804" t="s">
        <v>141</v>
      </c>
      <c r="BF14" s="804" t="s">
        <v>1699</v>
      </c>
      <c r="BG14" s="804" t="s">
        <v>489</v>
      </c>
    </row>
    <row r="15" spans="2:59" ht="15.95" customHeight="1" thickBot="1">
      <c r="B15" s="59"/>
      <c r="C15" s="805"/>
      <c r="D15" s="805"/>
      <c r="E15" s="805"/>
      <c r="F15" s="805"/>
      <c r="G15" s="805"/>
      <c r="H15" s="805"/>
      <c r="I15" s="805"/>
      <c r="J15" s="805"/>
      <c r="K15" s="805"/>
      <c r="L15" s="805" t="s">
        <v>1459</v>
      </c>
      <c r="M15" s="805"/>
      <c r="N15" s="805" t="s">
        <v>1330</v>
      </c>
      <c r="O15" s="805"/>
      <c r="P15" s="805"/>
      <c r="Q15" s="805"/>
      <c r="R15" s="805"/>
      <c r="S15" s="805"/>
      <c r="T15" s="805"/>
      <c r="U15" s="805"/>
      <c r="V15" s="805"/>
      <c r="W15" s="805"/>
      <c r="X15" s="805"/>
      <c r="Y15" s="805" t="s">
        <v>1459</v>
      </c>
      <c r="Z15" s="805"/>
      <c r="AA15" s="805" t="s">
        <v>1330</v>
      </c>
      <c r="AB15" s="805"/>
      <c r="AC15" s="805"/>
      <c r="AD15" s="805" t="s">
        <v>1332</v>
      </c>
      <c r="AE15" s="805"/>
      <c r="AF15" s="805" t="s">
        <v>1626</v>
      </c>
      <c r="AG15" s="805"/>
      <c r="AH15" s="805"/>
      <c r="AI15" s="805"/>
      <c r="AJ15" s="805"/>
      <c r="AK15" s="805"/>
      <c r="AL15" s="805"/>
      <c r="AM15" s="805"/>
      <c r="AN15" s="805"/>
      <c r="AO15" s="805"/>
      <c r="AP15" s="805"/>
      <c r="AQ15" s="805"/>
      <c r="AR15" s="59"/>
      <c r="AU15" s="805"/>
      <c r="AV15" s="805"/>
      <c r="AW15" s="805"/>
      <c r="AX15" s="805"/>
      <c r="AY15" s="805"/>
      <c r="AZ15" s="805"/>
      <c r="BA15" s="805"/>
      <c r="BB15" s="1145"/>
      <c r="BC15" s="1145"/>
      <c r="BD15" s="805"/>
      <c r="BE15" s="805"/>
      <c r="BF15" s="805"/>
      <c r="BG15" s="805"/>
    </row>
    <row r="16" spans="2:59" ht="15.95" customHeight="1">
      <c r="B16" s="830">
        <v>1</v>
      </c>
      <c r="C16" s="1134"/>
      <c r="D16" s="1134"/>
      <c r="E16" s="1134"/>
      <c r="F16" s="1126" t="str">
        <f>IF(ISBLANK(M04S09F01),"",M04S09F01)</f>
        <v/>
      </c>
      <c r="G16" s="1126"/>
      <c r="H16" s="1126"/>
      <c r="I16" s="1126"/>
      <c r="J16" s="1126"/>
      <c r="K16" s="1126"/>
      <c r="L16" s="1122" t="str">
        <f>IF(F16="","",INDEX(LPDWATT[IECC 2018  (Watts/ Sq. Ft.)],MATCH(F16,LPDWATT[Building Area Type]),0))</f>
        <v/>
      </c>
      <c r="M16" s="1122"/>
      <c r="N16" s="1106" t="str">
        <f>IF(OR(C16="",F16=""),"",C16*L16)</f>
        <v/>
      </c>
      <c r="O16" s="1106"/>
      <c r="P16" s="1106"/>
      <c r="Q16" s="1108" t="str">
        <f>IF(F16="","",INDEX(LPDWATT[Fixture Annual Operating Hours],MATCH(F16,LPDWATT[Building Area Type]),0))</f>
        <v/>
      </c>
      <c r="R16" s="1109"/>
      <c r="S16" s="1138" t="str">
        <f>IF(F16="","","Lighting Schedule Space Type #1")</f>
        <v/>
      </c>
      <c r="T16" s="1139"/>
      <c r="U16" s="1139"/>
      <c r="V16" s="1139"/>
      <c r="W16" s="1139"/>
      <c r="X16" s="1140"/>
      <c r="Y16" s="1122" t="str">
        <f>IF(OR(C16="",F16=""),"",ROUND(AA16/C16,2))</f>
        <v/>
      </c>
      <c r="Z16" s="1122"/>
      <c r="AA16" s="1106" t="str">
        <f>IF(OR(S16="",F16=""),"",M04S09F02)</f>
        <v/>
      </c>
      <c r="AB16" s="1106"/>
      <c r="AC16" s="1106"/>
      <c r="AD16" s="1136"/>
      <c r="AE16" s="1137"/>
      <c r="AF16" s="1091"/>
      <c r="AG16" s="1091"/>
      <c r="AH16" s="865" t="str">
        <f>IFERROR(IF(OR(L16="",F16="",Q16="",S16="",N16="",C16="",Y16="",AA16="",AF16=""),"",ROUND(AZ16,2)),0)</f>
        <v/>
      </c>
      <c r="AI16" s="1096"/>
      <c r="AJ16" s="1096"/>
      <c r="AK16" s="1105" t="str">
        <f>IF(OR(C16="",F16="",L16="",N16="",Q16="",,S16="",Y16="",AA16="",AF16=""),"",IF((N16)-(AA16)&lt;=0,0,ROUND(((((N16*Q16)-(AA16*Q16))/1000)+BF16)*AW16,2)))</f>
        <v/>
      </c>
      <c r="AL16" s="1105"/>
      <c r="AM16" s="1105"/>
      <c r="AN16" s="1132" t="str">
        <f>IF(OR(C16="",F16="",L16="",N16="",Q16="",Y16="",S16="",,AA16="",AF16=""),"",IF(BG16&lt;&gt;"",BG16,AX16))</f>
        <v/>
      </c>
      <c r="AO16" s="1132"/>
      <c r="AP16" s="1132"/>
      <c r="AQ16" s="1132"/>
      <c r="AR16" s="59"/>
      <c r="AU16" s="1103" t="str">
        <f>IF(OR(C16="",F16="",L16="",N16="",Q16="",S16="",Y16="",AA16="",AF16=""),"",((((1+ELOSS)*((AK16*INDEX(ELECCB[NPV AEC $/kWh],MATCH(15,ELECCB[Year Number],0)))+(AV16*INDEX(ELECCB[NPV ACC+T&amp;D $/kW],MATCH(15,ELECCB[Year Number],0)))))+((1+GLOSS)*((BC16*INDEX(GASCB[NPV GAEC $/therm],MATCH(15,GASCB[Year Number],1))))))/AH16))</f>
        <v/>
      </c>
      <c r="AV16" s="1128" t="str">
        <f>IFERROR(IF(OR(C16="",F16="",L16="",N16="",Q16="",S16="",Y16="",AA16="",AF16=""),"",IF(OR(ISNUMBER(SEARCH("Exterior",F16)),((N16)-(AA16)&lt;=0)),0,
ROUND((((N16)-(AA16))/1000)*INDEX(LPDWATT[Lighting Coincidence Factor],MATCH(F16,LPDWATT[Building Area Type],0))*IF(OR(M02S02F32="AC with Natural Gas Heat",M02S02F32="AC with Electric Heat",M02S02F32="Heat Pump"),INDEX(LPDWATT[Waste Heat Cooling Demand WHFd],MATCH(F16,LPDWATT[Building Area Type],0)),1),3))),"")</f>
        <v/>
      </c>
      <c r="AW16" s="1128" t="str">
        <f>IFERROR(IF(OR(C16="",F16="",L16="",N16="",Q16="",S16="",Y16="",AA16="",AF16=""),"",IF(M02S02F46="Gas Only",0,IF(ISNUMBER(SEARCH("Exterior",F16)),1,IF(OR(M02S02F32="Heat Pump",M02S02F32="AC with Natural Gas Heat",M02S02F32="AC with Electric Heat"),(INDEX(LPDWATT[Waste Heat Cooling Energy WHFe],MATCH(F16,LPDWATT[Building Area Type],0))),1)))),0)</f>
        <v/>
      </c>
      <c r="AX16" s="1097" t="str">
        <f>IFERROR(ROUND(MIN(AH16,AK16*INDEX(INCRATE[Electric],MATCH("CMLIGHT",INCRATE[Incentive Type]))),2),"")</f>
        <v/>
      </c>
      <c r="AY16" s="825">
        <v>15</v>
      </c>
      <c r="AZ16" s="1097" t="str">
        <f>IFERROR(IF(AD16&lt;&gt;"",(AF16-AD16)*1,MIN(AF16*0.75,BB16*1)),"")</f>
        <v/>
      </c>
      <c r="BA16" s="1097" t="str">
        <f>IFERROR(1-(AA16/N16),"")</f>
        <v/>
      </c>
      <c r="BB16" s="1097" t="str">
        <f>IFERROR(IF(ISNUMBER(SEARCH("Exterior",F16)),((N16-AA16)/1000)*INDEX(NCLIGHTINCCOST[WI Incremental Cost ($/sq ft)],MATCH("Exterior",NCLIGHTINCCOST[% Below Code],0)),IF(OR(BA16="",BA16&lt;=0),"",IF(BA16&lt;=0.2, C16*INDEX(NCLIGHTINCCOST[WI Incremental Cost ($/sq ft)],MATCH(0.2,NCLIGHTINCCOST[% Below Code],0)),IF(AND(BA16&gt;0.2,BA16&lt;0.4),C16*INDEX(NCLIGHTINCCOST[WI Incremental Cost ($/sq ft)],MATCH(0.3,NCLIGHTINCCOST[% Below Code],0)), IF(BA16&gt;=0.4,C16*INDEX(NCLIGHTINCCOST[WI Incremental Cost ($/sq ft)],MATCH(0.4,NCLIGHTINCCOST[% Below Code],0)),0))))),"")</f>
        <v/>
      </c>
      <c r="BC16" s="1146" t="str">
        <f>IFERROR(IF(OR(C16="",F16="",L16="",N16="",Q16="",S16="",Y16="",AA16="",AF16=""),"",IF(M02S02F46="Electric Only",0,IF(ISNUMBER(SEARCH("Exterior",F16)),0,IF(OR(M02S02F32="AC with Natural Gas Heat",M02S02F32="Natural Gas Heat Only"),(AK16*-INDEX(LPDWATT[Waste Heat Gas Heating IFTherms],MATCH(F16,LPDWATT[Building Area Type],0))),0)))),0)</f>
        <v/>
      </c>
      <c r="BD16" s="1097" t="str">
        <f>IFERROR(AH16/M02S02F35/AK16,"")</f>
        <v/>
      </c>
      <c r="BE16" s="1124" t="str">
        <f>IF(OR(C16="",F16="",Q16="",S16="",AA16="",AF16=""),"",IF(ISNUMBER(AN16),IF(ISNUMBER(SEARCH("Exterior",F16)),"710102","710101"),IF(AK16=0,"","000001")))</f>
        <v/>
      </c>
      <c r="BF16" s="1097" t="str">
        <f>IFERROR(IF(OR(C16="",F16="",L16="",N16="",Q16="",S16="",Y16="",AA16="",AF16=""),"",IF(M02S02F46="Gas Only",0,IF(ISNUMBER(SEARCH("Exterior",F16)),0,IF(M02S02F32="Heat Pump",((((N16-Q16)-(AA16-Q16))/1000)*-INDEX(LPDWATT[Waste Heat Electric Heat Pump Heating IFkWh],MATCH(F16,LPDWATT[Building Area Type],0))),IF(OR(M02S02F32="AC with Electric Heat",M02S02F32="Electric Heat Only"),(((N16-Q16)-(AA16-Q16))/1000)*-INDEX(LPDWATT[Waste Heat Electric Resistance Heating IFkWh],MATCH(F16,LPDWATT[Building Area Type],0)),0))))),0)</f>
        <v/>
      </c>
      <c r="BG16" s="1097" t="str">
        <f>IFERROR(IF((N16)-(AA16)&lt;=0,MEASURESAV,IF(M02S02F35="",MEASURERATE,IF(OR(F16="Others (Incremental)",F16="Others"),MEASURESUBMIT, IF(BD16&lt;1,MEASUREPAY,IF(AU16&lt;1,MEASURECB,""))))),MEASURESUBMIT)</f>
        <v>Submit for Review</v>
      </c>
    </row>
    <row r="17" spans="2:59" ht="15.95" customHeight="1">
      <c r="B17" s="830"/>
      <c r="C17" s="1135"/>
      <c r="D17" s="1135"/>
      <c r="E17" s="1135"/>
      <c r="F17" s="1127"/>
      <c r="G17" s="1127"/>
      <c r="H17" s="1127"/>
      <c r="I17" s="1127"/>
      <c r="J17" s="1127"/>
      <c r="K17" s="1127"/>
      <c r="L17" s="1123"/>
      <c r="M17" s="1123"/>
      <c r="N17" s="1107"/>
      <c r="O17" s="1107"/>
      <c r="P17" s="1107"/>
      <c r="Q17" s="1110"/>
      <c r="R17" s="1111"/>
      <c r="S17" s="1119"/>
      <c r="T17" s="1120"/>
      <c r="U17" s="1120"/>
      <c r="V17" s="1120"/>
      <c r="W17" s="1120"/>
      <c r="X17" s="1121"/>
      <c r="Y17" s="1123"/>
      <c r="Z17" s="1123"/>
      <c r="AA17" s="1107"/>
      <c r="AB17" s="1107"/>
      <c r="AC17" s="1107"/>
      <c r="AD17" s="1114"/>
      <c r="AE17" s="1115"/>
      <c r="AF17" s="1092"/>
      <c r="AG17" s="1092"/>
      <c r="AH17" s="1130"/>
      <c r="AI17" s="1131"/>
      <c r="AJ17" s="1131"/>
      <c r="AK17" s="1143"/>
      <c r="AL17" s="1143"/>
      <c r="AM17" s="1143"/>
      <c r="AN17" s="1133"/>
      <c r="AO17" s="1133"/>
      <c r="AP17" s="1133"/>
      <c r="AQ17" s="1133"/>
      <c r="AR17" s="59"/>
      <c r="AU17" s="1102"/>
      <c r="AV17" s="1129"/>
      <c r="AW17" s="1129"/>
      <c r="AX17" s="1098"/>
      <c r="AY17" s="826"/>
      <c r="AZ17" s="1098"/>
      <c r="BA17" s="1098"/>
      <c r="BB17" s="1098"/>
      <c r="BC17" s="1147"/>
      <c r="BD17" s="1098"/>
      <c r="BE17" s="1125"/>
      <c r="BF17" s="1098"/>
      <c r="BG17" s="1098"/>
    </row>
    <row r="18" spans="2:59" ht="15.95" customHeight="1">
      <c r="B18" s="829">
        <v>2</v>
      </c>
      <c r="C18" s="1134"/>
      <c r="D18" s="1134"/>
      <c r="E18" s="1134"/>
      <c r="F18" s="1126" t="str">
        <f>IF(ISBLANK(M04S09F03),"",M04S09F03)</f>
        <v/>
      </c>
      <c r="G18" s="1126"/>
      <c r="H18" s="1126"/>
      <c r="I18" s="1126"/>
      <c r="J18" s="1126"/>
      <c r="K18" s="1126"/>
      <c r="L18" s="1122" t="str">
        <f>IF(F18="","",INDEX(LPDWATT[IECC 2018  (Watts/ Sq. Ft.)],MATCH(F18,LPDWATT[Building Area Type]),0))</f>
        <v/>
      </c>
      <c r="M18" s="1122"/>
      <c r="N18" s="1106" t="str">
        <f>IF(OR(C18="",F18=""),"",C18*L18)</f>
        <v/>
      </c>
      <c r="O18" s="1106"/>
      <c r="P18" s="1106"/>
      <c r="Q18" s="1108" t="str">
        <f>IF(F18="","",INDEX(LPDWATT[Fixture Annual Operating Hours],MATCH(F18,LPDWATT[Building Area Type]),0))</f>
        <v/>
      </c>
      <c r="R18" s="1109"/>
      <c r="S18" s="1116" t="str">
        <f>IF(F18="","","Lighting Schedule Space Type #2")</f>
        <v/>
      </c>
      <c r="T18" s="1117"/>
      <c r="U18" s="1117"/>
      <c r="V18" s="1117"/>
      <c r="W18" s="1117"/>
      <c r="X18" s="1118"/>
      <c r="Y18" s="1122" t="str">
        <f t="shared" ref="Y18" si="0">IF(OR(C18="",F18=""),"",ROUND(AA18/C18,2))</f>
        <v/>
      </c>
      <c r="Z18" s="1122"/>
      <c r="AA18" s="1106" t="str">
        <f>IF(OR(S18="",F18=""),"",M04S09F04)</f>
        <v/>
      </c>
      <c r="AB18" s="1106"/>
      <c r="AC18" s="1106"/>
      <c r="AD18" s="1112"/>
      <c r="AE18" s="1113"/>
      <c r="AF18" s="1091"/>
      <c r="AG18" s="1091"/>
      <c r="AH18" s="865" t="str">
        <f t="shared" ref="AH18" si="1">IFERROR(IF(OR(L18="",F18="",Q18="",S18="",N18="",C18="",Y18="",AA18="",AF18=""),"",ROUND(AZ18,2)),0)</f>
        <v/>
      </c>
      <c r="AI18" s="1096"/>
      <c r="AJ18" s="1096"/>
      <c r="AK18" s="904" t="str">
        <f t="shared" ref="AK18" si="2">IF(OR(C18="",F18="",L18="",N18="",Q18="",,S18="",Y18="",AA18="",AF18=""),"",IF((N18)-(AA18)&lt;=0,0,ROUND(((((N18*Q18)-(AA18*Q18))/1000)+BF18)*AW18,2)))</f>
        <v/>
      </c>
      <c r="AL18" s="905"/>
      <c r="AM18" s="969"/>
      <c r="AN18" s="1132" t="str">
        <f>IF(OR(C18="",F18="",L18="",N18="",Q18="",Y18="",S18="",,AA18="",AF18=""),"",IF(BG18&lt;&gt;"",BG18,AX18))</f>
        <v/>
      </c>
      <c r="AO18" s="1132"/>
      <c r="AP18" s="1132"/>
      <c r="AQ18" s="1132"/>
      <c r="AR18" s="59"/>
      <c r="AU18" s="1103" t="str">
        <f>IF(OR(C18="",F18="",L18="",N18="",Q18="",S18="",Y18="",AA18="",AF18=""),"",((((1+ELOSS)*((AK18*INDEX(ELECCB[NPV AEC $/kWh],MATCH(15,ELECCB[Year Number],0)))+(AV18*INDEX(ELECCB[NPV ACC+T&amp;D $/kW],MATCH(15,ELECCB[Year Number],0)))))+((1+GLOSS)*((BC18*INDEX(GASCB[NPV GAEC $/therm],MATCH(15,GASCB[Year Number],1))))))/AH18))</f>
        <v/>
      </c>
      <c r="AV18" s="1128" t="str">
        <f>IFERROR(IF(OR(C18="",F18="",L18="",N18="",Q18="",S18="",Y18="",AA18="",AF18=""),"",IF(OR(ISNUMBER(SEARCH("Exterior",F18)),((N18)-(AA18)&lt;=0)),0,
ROUND((((N18)-(AA18))/1000)*INDEX(LPDWATT[Lighting Coincidence Factor],MATCH(F18,LPDWATT[Building Area Type],0))*IF(OR(M02S02F32="AC with Natural Gas Heat",M02S02F32="AC with Electric Heat",M02S02F32="Heat Pump"),INDEX(LPDWATT[Waste Heat Cooling Demand WHFd],MATCH(F18,LPDWATT[Building Area Type],0)),1),3))),"")</f>
        <v/>
      </c>
      <c r="AW18" s="1128" t="str">
        <f>IFERROR(IF(OR(C18="",F18="",L18="",N18="",Q18="",S18="",Y18="",AA18="",AF18=""),"",IF(M02S02F46="Gas Only",0,IF(ISNUMBER(SEARCH("Exterior",F18)),1,IF(OR(M02S02F32="Heat Pump",M02S02F32="AC with Natural Gas Heat",M02S02F32="AC with Electric Heat"),(INDEX(LPDWATT[Waste Heat Cooling Energy WHFe],MATCH(F18,LPDWATT[Building Area Type],0))),1)))),0)</f>
        <v/>
      </c>
      <c r="AX18" s="1097" t="str">
        <f>IFERROR(ROUND(MIN(AH18,AK18*INDEX(INCRATE[Electric],MATCH("CMLIGHT",INCRATE[Incentive Type]))),2),"")</f>
        <v/>
      </c>
      <c r="AY18" s="825">
        <v>15</v>
      </c>
      <c r="AZ18" s="1097" t="str">
        <f t="shared" ref="AZ18" si="3">IFERROR(IF(AD18&lt;&gt;"",(AF18-AD18)*1,MIN(AF18*0.75,BB18*1)),"")</f>
        <v/>
      </c>
      <c r="BA18" s="1097" t="str">
        <f t="shared" ref="BA18" si="4">IFERROR(1-(AA18/N18),"")</f>
        <v/>
      </c>
      <c r="BB18" s="1097" t="str">
        <f>IFERROR(IF(ISNUMBER(SEARCH("Exterior",F18)),((N18-AA18)/1000)*INDEX(NCLIGHTINCCOST[WI Incremental Cost ($/sq ft)],MATCH("Exterior",NCLIGHTINCCOST[% Below Code],0)),IF(OR(BA18="",BA18&lt;=0),"",IF(BA18&lt;=0.2, C18*INDEX(NCLIGHTINCCOST[WI Incremental Cost ($/sq ft)],MATCH(0.2,NCLIGHTINCCOST[% Below Code],0)),IF(AND(BA18&gt;0.2,BA18&lt;0.4),C18*INDEX(NCLIGHTINCCOST[WI Incremental Cost ($/sq ft)],MATCH(0.3,NCLIGHTINCCOST[% Below Code],0)), IF(BA18&gt;=0.4,C18*INDEX(NCLIGHTINCCOST[WI Incremental Cost ($/sq ft)],MATCH(0.4,NCLIGHTINCCOST[% Below Code],0)),0))))),"")</f>
        <v/>
      </c>
      <c r="BC18" s="1146" t="str">
        <f>IFERROR(IF(OR(C18="",F18="",L18="",N18="",Q18="",S18="",Y18="",AA18="",AF18=""),"",IF(M02S02F46="Electric Only",0,IF(ISNUMBER(SEARCH("Exterior",F18)),0,IF(OR(M02S02F32="AC with Natural Gas Heat",M02S02F32="Natural Gas Heat Only"),(AK18*-INDEX(LPDWATT[Waste Heat Gas Heating IFTherms],MATCH(F18,LPDWATT[Building Area Type],0))),0)))),0)</f>
        <v/>
      </c>
      <c r="BD18" s="1097" t="str">
        <f>IFERROR(AH18/M02S02F35/AK18,"")</f>
        <v/>
      </c>
      <c r="BE18" s="1124" t="str">
        <f t="shared" ref="BE18" si="5">IF(OR(C18="",F18="",Q18="",S18="",AA18="",AF18=""),"",IF(ISNUMBER(AN18),IF(ISNUMBER(SEARCH("Exterior",F18)),"710102","710101"),IF(AK18=0,"","000001")))</f>
        <v/>
      </c>
      <c r="BF18" s="1097" t="str">
        <f>IFERROR(IF(OR(C18="",F18="",L18="",N18="",Q18="",S18="",Y18="",AA18="",AF18=""),"",IF(M02S02F46="Gas Only",0,IF(ISNUMBER(SEARCH("Exterior",F18)),0,IF(M02S02F32="Heat Pump",((((N18-Q18)-(AA18-Q18))/1000)*-INDEX(LPDWATT[Waste Heat Electric Heat Pump Heating IFkWh],MATCH(F18,LPDWATT[Building Area Type],0))),IF(OR(M02S02F32="AC with Electric Heat",M02S02F32="Electric Heat Only"),(((N18-Q18)-(AA18-Q18))/1000)*-INDEX(LPDWATT[Waste Heat Electric Resistance Heating IFkWh],MATCH(F18,LPDWATT[Building Area Type],0)),0))))),0)</f>
        <v/>
      </c>
      <c r="BG18" s="1097" t="str">
        <f>IFERROR(IF((N18)-(AA18)&lt;=0,MEASURESAV,IF(M02S02F35="",MEASURERATE,IF(OR(F18="Others (Incremental)",F18="Others"),MEASURESUBMIT, IF(BD18&lt;1,MEASUREPAY,IF(AU18&lt;1,MEASURECB,""))))),MEASURESUBMIT)</f>
        <v>Submit for Review</v>
      </c>
    </row>
    <row r="19" spans="2:59" ht="15.95" customHeight="1">
      <c r="B19" s="829"/>
      <c r="C19" s="1135"/>
      <c r="D19" s="1135"/>
      <c r="E19" s="1135"/>
      <c r="F19" s="1127"/>
      <c r="G19" s="1127"/>
      <c r="H19" s="1127"/>
      <c r="I19" s="1127"/>
      <c r="J19" s="1127"/>
      <c r="K19" s="1127"/>
      <c r="L19" s="1123"/>
      <c r="M19" s="1123"/>
      <c r="N19" s="1107"/>
      <c r="O19" s="1107"/>
      <c r="P19" s="1107"/>
      <c r="Q19" s="1110"/>
      <c r="R19" s="1111"/>
      <c r="S19" s="1119"/>
      <c r="T19" s="1120"/>
      <c r="U19" s="1120"/>
      <c r="V19" s="1120"/>
      <c r="W19" s="1120"/>
      <c r="X19" s="1121"/>
      <c r="Y19" s="1123"/>
      <c r="Z19" s="1123"/>
      <c r="AA19" s="1107"/>
      <c r="AB19" s="1107"/>
      <c r="AC19" s="1107"/>
      <c r="AD19" s="1114"/>
      <c r="AE19" s="1115"/>
      <c r="AF19" s="1092"/>
      <c r="AG19" s="1092"/>
      <c r="AH19" s="1130"/>
      <c r="AI19" s="1131"/>
      <c r="AJ19" s="1131"/>
      <c r="AK19" s="906"/>
      <c r="AL19" s="907"/>
      <c r="AM19" s="936"/>
      <c r="AN19" s="1133"/>
      <c r="AO19" s="1133"/>
      <c r="AP19" s="1133"/>
      <c r="AQ19" s="1133"/>
      <c r="AR19" s="59"/>
      <c r="AU19" s="1102"/>
      <c r="AV19" s="1129"/>
      <c r="AW19" s="1129"/>
      <c r="AX19" s="1098"/>
      <c r="AY19" s="826"/>
      <c r="AZ19" s="1098"/>
      <c r="BA19" s="1098"/>
      <c r="BB19" s="1098"/>
      <c r="BC19" s="1147"/>
      <c r="BD19" s="1098"/>
      <c r="BE19" s="1125"/>
      <c r="BF19" s="1098"/>
      <c r="BG19" s="1098"/>
    </row>
    <row r="20" spans="2:59" ht="15.95" customHeight="1">
      <c r="B20" s="829">
        <v>3</v>
      </c>
      <c r="C20" s="1134"/>
      <c r="D20" s="1134"/>
      <c r="E20" s="1134"/>
      <c r="F20" s="1126" t="str">
        <f>IF(ISBLANK(M04S09F05),"",M04S09F05)</f>
        <v/>
      </c>
      <c r="G20" s="1126"/>
      <c r="H20" s="1126"/>
      <c r="I20" s="1126"/>
      <c r="J20" s="1126"/>
      <c r="K20" s="1126"/>
      <c r="L20" s="1122" t="str">
        <f>IF(F20="","",INDEX(LPDWATT[IECC 2018  (Watts/ Sq. Ft.)],MATCH(F20,LPDWATT[Building Area Type]),0))</f>
        <v/>
      </c>
      <c r="M20" s="1122"/>
      <c r="N20" s="1106" t="str">
        <f>IF(OR(C20="",F20=""),"",C20*L20)</f>
        <v/>
      </c>
      <c r="O20" s="1106"/>
      <c r="P20" s="1106"/>
      <c r="Q20" s="1108"/>
      <c r="R20" s="1109"/>
      <c r="S20" s="1116" t="str">
        <f>IF(F20="","","Lighting Schedule Space Type #3")</f>
        <v/>
      </c>
      <c r="T20" s="1117"/>
      <c r="U20" s="1117"/>
      <c r="V20" s="1117"/>
      <c r="W20" s="1117"/>
      <c r="X20" s="1118"/>
      <c r="Y20" s="1122" t="str">
        <f t="shared" ref="Y20" si="6">IF(OR(C20="",F20=""),"",ROUND(AA20/C20,2))</f>
        <v/>
      </c>
      <c r="Z20" s="1122"/>
      <c r="AA20" s="1106" t="str">
        <f>IF(OR(S20="",F20=""),"",M04S09F06)</f>
        <v/>
      </c>
      <c r="AB20" s="1106"/>
      <c r="AC20" s="1106"/>
      <c r="AD20" s="1112"/>
      <c r="AE20" s="1113"/>
      <c r="AF20" s="1091"/>
      <c r="AG20" s="1091"/>
      <c r="AH20" s="865" t="str">
        <f t="shared" ref="AH20" si="7">IFERROR(IF(OR(L20="",F20="",Q20="",S20="",N20="",C20="",Y20="",AA20="",AF20=""),"",ROUND(AZ20,2)),0)</f>
        <v/>
      </c>
      <c r="AI20" s="1096"/>
      <c r="AJ20" s="1096"/>
      <c r="AK20" s="904" t="str">
        <f t="shared" ref="AK20" si="8">IF(OR(C20="",F20="",L20="",N20="",Q20="",,S20="",Y20="",AA20="",AF20=""),"",IF((N20)-(AA20)&lt;=0,0,ROUND(((((N20*Q20)-(AA20*Q20))/1000)+BF20)*AW20,2)))</f>
        <v/>
      </c>
      <c r="AL20" s="905"/>
      <c r="AM20" s="969"/>
      <c r="AN20" s="1132" t="str">
        <f>IF(OR(C20="",F20="",L20="",N20="",Q20="",Y20="",S20="",,AA20="",AF20=""),"",IF(BG20&lt;&gt;"",BG20,AX20))</f>
        <v/>
      </c>
      <c r="AO20" s="1132"/>
      <c r="AP20" s="1132"/>
      <c r="AQ20" s="1132"/>
      <c r="AR20" s="59"/>
      <c r="AU20" s="1103" t="str">
        <f>IF(OR(C20="",F20="",L20="",N20="",Q20="",S20="",Y20="",AA20="",AF20=""),"",((((1+ELOSS)*((AK20*INDEX(ELECCB[NPV AEC $/kWh],MATCH(15,ELECCB[Year Number],0)))+(AV20*INDEX(ELECCB[NPV ACC+T&amp;D $/kW],MATCH(15,ELECCB[Year Number],0)))))+((1+GLOSS)*((BC20*INDEX(GASCB[NPV GAEC $/therm],MATCH(15,GASCB[Year Number],1))))))/AH20))</f>
        <v/>
      </c>
      <c r="AV20" s="1128" t="str">
        <f>IFERROR(IF(OR(C20="",F20="",L20="",N20="",Q20="",S20="",Y20="",AA20="",AF20=""),"",IF(OR(ISNUMBER(SEARCH("Exterior",F20)),((N20)-(AA20)&lt;=0)),0,
ROUND((((N20)-(AA20))/1000)*INDEX(LPDWATT[Lighting Coincidence Factor],MATCH(F20,LPDWATT[Building Area Type],0))*IF(OR(M02S02F32="AC with Natural Gas Heat",M02S02F32="AC with Electric Heat",M02S02F32="Heat Pump"),INDEX(LPDWATT[Waste Heat Cooling Demand WHFd],MATCH(F20,LPDWATT[Building Area Type],0)),1),3))),"")</f>
        <v/>
      </c>
      <c r="AW20" s="1128" t="str">
        <f>IFERROR(IF(OR(C20="",F20="",L20="",N20="",Q20="",S20="",Y20="",AA20="",AF20=""),"",IF(M02S02F46="Gas Only",0,IF(ISNUMBER(SEARCH("Exterior",F20)),1,IF(OR(M02S02F32="Heat Pump",M02S02F32="AC with Natural Gas Heat",M02S02F32="AC with Electric Heat"),(INDEX(LPDWATT[Waste Heat Cooling Energy WHFe],MATCH(F20,LPDWATT[Building Area Type],0))),1)))),0)</f>
        <v/>
      </c>
      <c r="AX20" s="1097" t="str">
        <f>IFERROR(ROUND(MIN(AH20,AK20*INDEX(INCRATE[Electric],MATCH("CMLIGHT",INCRATE[Incentive Type]))),2),"")</f>
        <v/>
      </c>
      <c r="AY20" s="825">
        <v>15</v>
      </c>
      <c r="AZ20" s="1097" t="str">
        <f t="shared" ref="AZ20" si="9">IFERROR(IF(AD20&lt;&gt;"",(AF20-AD20)*1,MIN(AF20*0.75,BB20*1)),"")</f>
        <v/>
      </c>
      <c r="BA20" s="1097" t="str">
        <f t="shared" ref="BA20" si="10">IFERROR(1-(AA20/N20),"")</f>
        <v/>
      </c>
      <c r="BB20" s="1097" t="str">
        <f>IFERROR(IF(ISNUMBER(SEARCH("Exterior",F20)),((N20-AA20)/1000)*INDEX(NCLIGHTINCCOST[WI Incremental Cost ($/sq ft)],MATCH("Exterior",NCLIGHTINCCOST[% Below Code],0)),IF(OR(BA20="",BA20&lt;=0),"",IF(BA20&lt;=0.2, C20*INDEX(NCLIGHTINCCOST[WI Incremental Cost ($/sq ft)],MATCH(0.2,NCLIGHTINCCOST[% Below Code],0)),IF(AND(BA20&gt;0.2,BA20&lt;0.4),C20*INDEX(NCLIGHTINCCOST[WI Incremental Cost ($/sq ft)],MATCH(0.3,NCLIGHTINCCOST[% Below Code],0)), IF(BA20&gt;=0.4,C20*INDEX(NCLIGHTINCCOST[WI Incremental Cost ($/sq ft)],MATCH(0.4,NCLIGHTINCCOST[% Below Code],0)),0))))),"")</f>
        <v/>
      </c>
      <c r="BC20" s="1146" t="str">
        <f>IFERROR(IF(OR(C20="",F20="",L20="",N20="",Q20="",S20="",Y20="",AA20="",AF20=""),"",IF(M02S02F46="Electric Only",0,IF(ISNUMBER(SEARCH("Exterior",F20)),0,IF(OR(M02S02F32="AC with Natural Gas Heat",M02S02F32="Natural Gas Heat Only"),(AK20*-INDEX(LPDWATT[Waste Heat Gas Heating IFTherms],MATCH(F20,LPDWATT[Building Area Type],0))),0)))),0)</f>
        <v/>
      </c>
      <c r="BD20" s="1097" t="str">
        <f>IFERROR(AH20/M02S02F35/AK20,"")</f>
        <v/>
      </c>
      <c r="BE20" s="1124" t="str">
        <f t="shared" ref="BE20" si="11">IF(OR(C20="",F20="",Q20="",S20="",AA20="",AF20=""),"",IF(ISNUMBER(AN20),IF(ISNUMBER(SEARCH("Exterior",F20)),"710102","710101"),IF(AK20=0,"","000001")))</f>
        <v/>
      </c>
      <c r="BF20" s="1097" t="str">
        <f>IFERROR(IF(OR(C20="",F20="",L20="",N20="",Q20="",S20="",Y20="",AA20="",AF20=""),"",IF(M02S02F46="Gas Only",0,IF(ISNUMBER(SEARCH("Exterior",F20)),0,IF(M02S02F32="Heat Pump",((((N20-Q20)-(AA20-Q20))/1000)*-INDEX(LPDWATT[Waste Heat Electric Heat Pump Heating IFkWh],MATCH(F20,LPDWATT[Building Area Type],0))),IF(OR(M02S02F32="AC with Electric Heat",M02S02F32="Electric Heat Only"),(((N20-Q20)-(AA20-Q20))/1000)*-INDEX(LPDWATT[Waste Heat Electric Resistance Heating IFkWh],MATCH(F20,LPDWATT[Building Area Type],0)),0))))),0)</f>
        <v/>
      </c>
      <c r="BG20" s="1097" t="str">
        <f>IFERROR(IF((N20)-(AA20)&lt;=0,MEASURESAV,IF(M02S02F35="",MEASURERATE,IF(OR(F20="Others (Incremental)",F20="Others"),MEASURESUBMIT, IF(BD20&lt;1,MEASUREPAY,IF(AU20&lt;1,MEASURECB,""))))),MEASURESUBMIT)</f>
        <v>Submit for Review</v>
      </c>
    </row>
    <row r="21" spans="2:59" ht="15.95" customHeight="1">
      <c r="B21" s="829"/>
      <c r="C21" s="1135"/>
      <c r="D21" s="1135"/>
      <c r="E21" s="1135"/>
      <c r="F21" s="1127"/>
      <c r="G21" s="1127"/>
      <c r="H21" s="1127"/>
      <c r="I21" s="1127"/>
      <c r="J21" s="1127"/>
      <c r="K21" s="1127"/>
      <c r="L21" s="1123"/>
      <c r="M21" s="1123"/>
      <c r="N21" s="1107"/>
      <c r="O21" s="1107"/>
      <c r="P21" s="1107"/>
      <c r="Q21" s="1110"/>
      <c r="R21" s="1111"/>
      <c r="S21" s="1119"/>
      <c r="T21" s="1120"/>
      <c r="U21" s="1120"/>
      <c r="V21" s="1120"/>
      <c r="W21" s="1120"/>
      <c r="X21" s="1121"/>
      <c r="Y21" s="1123"/>
      <c r="Z21" s="1123"/>
      <c r="AA21" s="1107"/>
      <c r="AB21" s="1107"/>
      <c r="AC21" s="1107"/>
      <c r="AD21" s="1114"/>
      <c r="AE21" s="1115"/>
      <c r="AF21" s="1092"/>
      <c r="AG21" s="1092"/>
      <c r="AH21" s="1130"/>
      <c r="AI21" s="1131"/>
      <c r="AJ21" s="1131"/>
      <c r="AK21" s="906"/>
      <c r="AL21" s="907"/>
      <c r="AM21" s="936"/>
      <c r="AN21" s="1133"/>
      <c r="AO21" s="1133"/>
      <c r="AP21" s="1133"/>
      <c r="AQ21" s="1133"/>
      <c r="AR21" s="59"/>
      <c r="AU21" s="1102"/>
      <c r="AV21" s="1129"/>
      <c r="AW21" s="1129"/>
      <c r="AX21" s="1098"/>
      <c r="AY21" s="826"/>
      <c r="AZ21" s="1098"/>
      <c r="BA21" s="1098"/>
      <c r="BB21" s="1098"/>
      <c r="BC21" s="1147"/>
      <c r="BD21" s="1098"/>
      <c r="BE21" s="1125"/>
      <c r="BF21" s="1098"/>
      <c r="BG21" s="1098"/>
    </row>
    <row r="22" spans="2:59" ht="15.95" customHeight="1">
      <c r="B22" s="829">
        <v>4</v>
      </c>
      <c r="C22" s="1134"/>
      <c r="D22" s="1134"/>
      <c r="E22" s="1134"/>
      <c r="F22" s="1126" t="str">
        <f>IF(ISBLANK(M04S09F07),"",M04S09F07)</f>
        <v/>
      </c>
      <c r="G22" s="1126"/>
      <c r="H22" s="1126"/>
      <c r="I22" s="1126"/>
      <c r="J22" s="1126"/>
      <c r="K22" s="1126"/>
      <c r="L22" s="1122" t="str">
        <f>IF(F22="","",INDEX(LPDWATT[IECC 2018  (Watts/ Sq. Ft.)],MATCH(F22,LPDWATT[Building Area Type]),0))</f>
        <v/>
      </c>
      <c r="M22" s="1122"/>
      <c r="N22" s="1106" t="str">
        <f>IF(OR(C22="",F22=""),"",C22*L22)</f>
        <v/>
      </c>
      <c r="O22" s="1106"/>
      <c r="P22" s="1106"/>
      <c r="Q22" s="1108" t="str">
        <f>IF(F22="","",INDEX(LPDWATT[Fixture Annual Operating Hours],MATCH(F22,LPDWATT[Building Area Type]),0))</f>
        <v/>
      </c>
      <c r="R22" s="1109"/>
      <c r="S22" s="1116" t="str">
        <f>IF(F22="","","Lighting Schedule Space Type #4")</f>
        <v/>
      </c>
      <c r="T22" s="1117"/>
      <c r="U22" s="1117"/>
      <c r="V22" s="1117"/>
      <c r="W22" s="1117"/>
      <c r="X22" s="1118"/>
      <c r="Y22" s="1122" t="str">
        <f t="shared" ref="Y22" si="12">IF(OR(C22="",F22=""),"",ROUND(AA22/C22,2))</f>
        <v/>
      </c>
      <c r="Z22" s="1122"/>
      <c r="AA22" s="1106" t="str">
        <f>IF(OR(S22="",F22=""),"",M04S09F08)</f>
        <v/>
      </c>
      <c r="AB22" s="1106"/>
      <c r="AC22" s="1106"/>
      <c r="AD22" s="1112"/>
      <c r="AE22" s="1113"/>
      <c r="AF22" s="1091"/>
      <c r="AG22" s="1091"/>
      <c r="AH22" s="865" t="str">
        <f t="shared" ref="AH22" si="13">IFERROR(IF(OR(L22="",F22="",Q22="",S22="",N22="",C22="",Y22="",AA22="",AF22=""),"",ROUND(AZ22,2)),0)</f>
        <v/>
      </c>
      <c r="AI22" s="1096"/>
      <c r="AJ22" s="1096"/>
      <c r="AK22" s="904" t="str">
        <f t="shared" ref="AK22" si="14">IF(OR(C22="",F22="",L22="",N22="",Q22="",,S22="",Y22="",AA22="",AF22=""),"",IF((N22)-(AA22)&lt;=0,0,ROUND(((((N22*Q22)-(AA22*Q22))/1000)+BF22)*AW22,2)))</f>
        <v/>
      </c>
      <c r="AL22" s="905"/>
      <c r="AM22" s="969"/>
      <c r="AN22" s="1132" t="str">
        <f>IF(OR(C22="",F22="",L22="",N22="",Q22="",Y22="",S22="",,AA22="",AF22=""),"",IF(BG22&lt;&gt;"",BG22,AX22))</f>
        <v/>
      </c>
      <c r="AO22" s="1132"/>
      <c r="AP22" s="1132"/>
      <c r="AQ22" s="1132"/>
      <c r="AR22" s="59"/>
      <c r="AU22" s="1103" t="str">
        <f>IF(OR(C22="",F22="",L22="",N22="",Q22="",S22="",Y22="",AA22="",AF22=""),"",((((1+ELOSS)*((AK22*INDEX(ELECCB[NPV AEC $/kWh],MATCH(15,ELECCB[Year Number],0)))+(AV22*INDEX(ELECCB[NPV ACC+T&amp;D $/kW],MATCH(15,ELECCB[Year Number],0)))))+((1+GLOSS)*((BC22*INDEX(GASCB[NPV GAEC $/therm],MATCH(15,GASCB[Year Number],1))))))/AH22))</f>
        <v/>
      </c>
      <c r="AV22" s="1128" t="str">
        <f>IFERROR(IF(OR(C22="",F22="",L22="",N22="",Q22="",S22="",Y22="",AA22="",AF22=""),"",IF(OR(ISNUMBER(SEARCH("Exterior",F22)),((N22)-(AA22)&lt;=0)),0,
ROUND((((N22)-(AA22))/1000)*INDEX(LPDWATT[Lighting Coincidence Factor],MATCH(F22,LPDWATT[Building Area Type],0))*IF(OR(M02S02F32="AC with Natural Gas Heat",M02S02F32="AC with Electric Heat",M02S02F32="Heat Pump"),INDEX(LPDWATT[Waste Heat Cooling Demand WHFd],MATCH(F22,LPDWATT[Building Area Type],0)),1),3))),"")</f>
        <v/>
      </c>
      <c r="AW22" s="1128" t="str">
        <f>IFERROR(IF(OR(C22="",F22="",L22="",N22="",Q22="",S22="",Y22="",AA22="",AF22=""),"",IF(M02S02F46="Gas Only",0,IF(ISNUMBER(SEARCH("Exterior",F22)),1,IF(OR(M02S02F32="Heat Pump",M02S02F32="AC with Natural Gas Heat",M02S02F32="AC with Electric Heat"),(INDEX(LPDWATT[Waste Heat Cooling Energy WHFe],MATCH(F22,LPDWATT[Building Area Type],0))),1)))),0)</f>
        <v/>
      </c>
      <c r="AX22" s="1097" t="str">
        <f>IFERROR(ROUND(MIN(AH22,AK22*INDEX(INCRATE[Electric],MATCH("CMLIGHT",INCRATE[Incentive Type]))),2),"")</f>
        <v/>
      </c>
      <c r="AY22" s="825">
        <v>15</v>
      </c>
      <c r="AZ22" s="1097" t="str">
        <f t="shared" ref="AZ22" si="15">IFERROR(IF(AD22&lt;&gt;"",(AF22-AD22)*1,MIN(AF22*0.75,BB22*1)),"")</f>
        <v/>
      </c>
      <c r="BA22" s="1097" t="str">
        <f t="shared" ref="BA22" si="16">IFERROR(1-(AA22/N22),"")</f>
        <v/>
      </c>
      <c r="BB22" s="1097" t="str">
        <f>IFERROR(IF(ISNUMBER(SEARCH("Exterior",F22)),((N22-AA22)/1000)*INDEX(NCLIGHTINCCOST[WI Incremental Cost ($/sq ft)],MATCH("Exterior",NCLIGHTINCCOST[% Below Code],0)),IF(OR(BA22="",BA22&lt;=0),"",IF(BA22&lt;=0.2, C22*INDEX(NCLIGHTINCCOST[WI Incremental Cost ($/sq ft)],MATCH(0.2,NCLIGHTINCCOST[% Below Code],0)),IF(AND(BA22&gt;0.2,BA22&lt;0.4),C22*INDEX(NCLIGHTINCCOST[WI Incremental Cost ($/sq ft)],MATCH(0.3,NCLIGHTINCCOST[% Below Code],0)), IF(BA22&gt;=0.4,C22*INDEX(NCLIGHTINCCOST[WI Incremental Cost ($/sq ft)],MATCH(0.4,NCLIGHTINCCOST[% Below Code],0)),0))))),"")</f>
        <v/>
      </c>
      <c r="BC22" s="1146" t="str">
        <f>IFERROR(IF(OR(C22="",F22="",L22="",N22="",Q22="",S22="",Y22="",AA22="",AF22=""),"",IF(M02S02F46="Electric Only",0,IF(ISNUMBER(SEARCH("Exterior",F22)),0,IF(OR(M02S02F32="AC with Natural Gas Heat",M02S02F32="Natural Gas Heat Only"),(AK22*-INDEX(LPDWATT[Waste Heat Gas Heating IFTherms],MATCH(F22,LPDWATT[Building Area Type],0))),0)))),0)</f>
        <v/>
      </c>
      <c r="BD22" s="1097" t="str">
        <f>IFERROR(AH22/M02S02F35/AK22,"")</f>
        <v/>
      </c>
      <c r="BE22" s="1124" t="str">
        <f t="shared" ref="BE22" si="17">IF(OR(C22="",F22="",Q22="",S22="",AA22="",AF22=""),"",IF(ISNUMBER(AN22),IF(ISNUMBER(SEARCH("Exterior",F22)),"710102","710101"),IF(AK22=0,"","000001")))</f>
        <v/>
      </c>
      <c r="BF22" s="1097" t="str">
        <f>IFERROR(IF(OR(C22="",F22="",L22="",N22="",Q22="",S22="",Y22="",AA22="",AF22=""),"",IF(M02S02F46="Gas Only",0,IF(ISNUMBER(SEARCH("Exterior",F22)),0,IF(M02S02F32="Heat Pump",((((N22-Q22)-(AA22-Q22))/1000)*-INDEX(LPDWATT[Waste Heat Electric Heat Pump Heating IFkWh],MATCH(F22,LPDWATT[Building Area Type],0))),IF(OR(M02S02F32="AC with Electric Heat",M02S02F32="Electric Heat Only"),(((N22-Q22)-(AA22-Q22))/1000)*-INDEX(LPDWATT[Waste Heat Electric Resistance Heating IFkWh],MATCH(F22,LPDWATT[Building Area Type],0)),0))))),0)</f>
        <v/>
      </c>
      <c r="BG22" s="1097" t="str">
        <f>IFERROR(IF((N22)-(AA22)&lt;=0,MEASURESAV,IF(M02S02F35="",MEASURERATE,IF(OR(F22="Others (Incremental)",F22="Others"),MEASURESUBMIT, IF(BD22&lt;1,MEASUREPAY,IF(AU22&lt;1,MEASURECB,""))))),MEASURESUBMIT)</f>
        <v>Submit for Review</v>
      </c>
    </row>
    <row r="23" spans="2:59" ht="15.95" customHeight="1">
      <c r="B23" s="829"/>
      <c r="C23" s="1135"/>
      <c r="D23" s="1135"/>
      <c r="E23" s="1135"/>
      <c r="F23" s="1127"/>
      <c r="G23" s="1127"/>
      <c r="H23" s="1127"/>
      <c r="I23" s="1127"/>
      <c r="J23" s="1127"/>
      <c r="K23" s="1127"/>
      <c r="L23" s="1123"/>
      <c r="M23" s="1123"/>
      <c r="N23" s="1107"/>
      <c r="O23" s="1107"/>
      <c r="P23" s="1107"/>
      <c r="Q23" s="1110"/>
      <c r="R23" s="1111"/>
      <c r="S23" s="1119"/>
      <c r="T23" s="1120"/>
      <c r="U23" s="1120"/>
      <c r="V23" s="1120"/>
      <c r="W23" s="1120"/>
      <c r="X23" s="1121"/>
      <c r="Y23" s="1123"/>
      <c r="Z23" s="1123"/>
      <c r="AA23" s="1107"/>
      <c r="AB23" s="1107"/>
      <c r="AC23" s="1107"/>
      <c r="AD23" s="1114"/>
      <c r="AE23" s="1115"/>
      <c r="AF23" s="1092"/>
      <c r="AG23" s="1092"/>
      <c r="AH23" s="1130"/>
      <c r="AI23" s="1131"/>
      <c r="AJ23" s="1131"/>
      <c r="AK23" s="906"/>
      <c r="AL23" s="907"/>
      <c r="AM23" s="936"/>
      <c r="AN23" s="1133"/>
      <c r="AO23" s="1133"/>
      <c r="AP23" s="1133"/>
      <c r="AQ23" s="1133"/>
      <c r="AR23" s="59"/>
      <c r="AU23" s="1102"/>
      <c r="AV23" s="1129"/>
      <c r="AW23" s="1129"/>
      <c r="AX23" s="1098"/>
      <c r="AY23" s="826"/>
      <c r="AZ23" s="1098"/>
      <c r="BA23" s="1098"/>
      <c r="BB23" s="1098"/>
      <c r="BC23" s="1147"/>
      <c r="BD23" s="1098"/>
      <c r="BE23" s="1125"/>
      <c r="BF23" s="1098"/>
      <c r="BG23" s="1098"/>
    </row>
    <row r="24" spans="2:59" ht="15.95" customHeight="1">
      <c r="B24" s="829">
        <v>5</v>
      </c>
      <c r="C24" s="1134"/>
      <c r="D24" s="1134"/>
      <c r="E24" s="1134"/>
      <c r="F24" s="1126" t="str">
        <f>IF(ISBLANK(M04S09F09),"",M04S09F09)</f>
        <v/>
      </c>
      <c r="G24" s="1126"/>
      <c r="H24" s="1126"/>
      <c r="I24" s="1126"/>
      <c r="J24" s="1126"/>
      <c r="K24" s="1126"/>
      <c r="L24" s="1122" t="str">
        <f>IF(F24="","",INDEX(LPDWATT[IECC 2018  (Watts/ Sq. Ft.)],MATCH(F24,LPDWATT[Building Area Type]),0))</f>
        <v/>
      </c>
      <c r="M24" s="1122"/>
      <c r="N24" s="1106" t="str">
        <f>IF(OR(C24="",F24=""),"",C24*L24)</f>
        <v/>
      </c>
      <c r="O24" s="1106"/>
      <c r="P24" s="1106"/>
      <c r="Q24" s="1108" t="str">
        <f>IF(F24="","",INDEX(LPDWATT[Fixture Annual Operating Hours],MATCH(F24,LPDWATT[Building Area Type]),0))</f>
        <v/>
      </c>
      <c r="R24" s="1109"/>
      <c r="S24" s="1116" t="str">
        <f>IF(F24="","","Lighting Schedule Space Type #5")</f>
        <v/>
      </c>
      <c r="T24" s="1117"/>
      <c r="U24" s="1117"/>
      <c r="V24" s="1117"/>
      <c r="W24" s="1117"/>
      <c r="X24" s="1118"/>
      <c r="Y24" s="1122" t="str">
        <f t="shared" ref="Y24" si="18">IF(OR(C24="",F24=""),"",ROUND(AA24/C24,2))</f>
        <v/>
      </c>
      <c r="Z24" s="1122"/>
      <c r="AA24" s="1106" t="str">
        <f>IF(OR(S24="",F24=""),"",M04S09F10)</f>
        <v/>
      </c>
      <c r="AB24" s="1106"/>
      <c r="AC24" s="1106"/>
      <c r="AD24" s="1112"/>
      <c r="AE24" s="1113"/>
      <c r="AF24" s="1091"/>
      <c r="AG24" s="1091"/>
      <c r="AH24" s="865" t="str">
        <f t="shared" ref="AH24" si="19">IFERROR(IF(OR(L24="",F24="",Q24="",S24="",N24="",C24="",Y24="",AA24="",AF24=""),"",ROUND(AZ24,2)),0)</f>
        <v/>
      </c>
      <c r="AI24" s="1096"/>
      <c r="AJ24" s="1096"/>
      <c r="AK24" s="904" t="str">
        <f t="shared" ref="AK24" si="20">IF(OR(C24="",F24="",L24="",N24="",Q24="",,S24="",Y24="",AA24="",AF24=""),"",IF((N24)-(AA24)&lt;=0,0,ROUND(((((N24*Q24)-(AA24*Q24))/1000)+BF24)*AW24,2)))</f>
        <v/>
      </c>
      <c r="AL24" s="905"/>
      <c r="AM24" s="969"/>
      <c r="AN24" s="1132" t="str">
        <f>IF(OR(C24="",F24="",L24="",N24="",Q24="",Y24="",S24="",,AA24="",AF24=""),"",IF(BG24&lt;&gt;"",BG24,AX24))</f>
        <v/>
      </c>
      <c r="AO24" s="1132"/>
      <c r="AP24" s="1132"/>
      <c r="AQ24" s="1132"/>
      <c r="AR24" s="59"/>
      <c r="AU24" s="1103" t="str">
        <f>IF(OR(C24="",F24="",L24="",N24="",Q24="",S24="",Y24="",AA24="",AF24=""),"",((((1+ELOSS)*((AK24*INDEX(ELECCB[NPV AEC $/kWh],MATCH(15,ELECCB[Year Number],0)))+(AV24*INDEX(ELECCB[NPV ACC+T&amp;D $/kW],MATCH(15,ELECCB[Year Number],0)))))+((1+GLOSS)*((BC24*INDEX(GASCB[NPV GAEC $/therm],MATCH(15,GASCB[Year Number],1))))))/AH24))</f>
        <v/>
      </c>
      <c r="AV24" s="1128" t="str">
        <f>IFERROR(IF(OR(C24="",F24="",L24="",N24="",Q24="",S24="",Y24="",AA24="",AF24=""),"",IF(OR(ISNUMBER(SEARCH("Exterior",F24)),((N24)-(AA24)&lt;=0)),0,
ROUND((((N24)-(AA24))/1000)*INDEX(LPDWATT[Lighting Coincidence Factor],MATCH(F24,LPDWATT[Building Area Type],0))*IF(OR(M02S02F32="AC with Natural Gas Heat",M02S02F32="AC with Electric Heat",M02S02F32="Heat Pump"),INDEX(LPDWATT[Waste Heat Cooling Demand WHFd],MATCH(F24,LPDWATT[Building Area Type],0)),1),3))),"")</f>
        <v/>
      </c>
      <c r="AW24" s="1128" t="str">
        <f>IFERROR(IF(OR(C24="",F24="",L24="",N24="",Q24="",S24="",Y24="",AA24="",AF24=""),"",IF(M02S02F46="Gas Only",0,IF(ISNUMBER(SEARCH("Exterior",F24)),1,IF(OR(M02S02F32="Heat Pump",M02S02F32="AC with Natural Gas Heat",M02S02F32="AC with Electric Heat"),(INDEX(LPDWATT[Waste Heat Cooling Energy WHFe],MATCH(F24,LPDWATT[Building Area Type],0))),1)))),0)</f>
        <v/>
      </c>
      <c r="AX24" s="1097" t="str">
        <f>IFERROR(ROUND(MIN(AH24,AK24*INDEX(INCRATE[Electric],MATCH("CMLIGHT",INCRATE[Incentive Type]))),2),"")</f>
        <v/>
      </c>
      <c r="AY24" s="825">
        <v>15</v>
      </c>
      <c r="AZ24" s="1097" t="str">
        <f t="shared" ref="AZ24" si="21">IFERROR(IF(AD24&lt;&gt;"",(AF24-AD24)*1,MIN(AF24*0.75,BB24*1)),"")</f>
        <v/>
      </c>
      <c r="BA24" s="1097" t="str">
        <f t="shared" ref="BA24" si="22">IFERROR(1-(AA24/N24),"")</f>
        <v/>
      </c>
      <c r="BB24" s="1097" t="str">
        <f>IFERROR(IF(ISNUMBER(SEARCH("Exterior",F24)),((N24-AA24)/1000)*INDEX(NCLIGHTINCCOST[WI Incremental Cost ($/sq ft)],MATCH("Exterior",NCLIGHTINCCOST[% Below Code],0)),IF(OR(BA24="",BA24&lt;=0),"",IF(BA24&lt;=0.2, C24*INDEX(NCLIGHTINCCOST[WI Incremental Cost ($/sq ft)],MATCH(0.2,NCLIGHTINCCOST[% Below Code],0)),IF(AND(BA24&gt;0.2,BA24&lt;0.4),C24*INDEX(NCLIGHTINCCOST[WI Incremental Cost ($/sq ft)],MATCH(0.3,NCLIGHTINCCOST[% Below Code],0)), IF(BA24&gt;=0.4,C24*INDEX(NCLIGHTINCCOST[WI Incremental Cost ($/sq ft)],MATCH(0.4,NCLIGHTINCCOST[% Below Code],0)),0))))),"")</f>
        <v/>
      </c>
      <c r="BC24" s="1146" t="str">
        <f>IFERROR(IF(OR(C24="",F24="",L24="",N24="",Q24="",S24="",Y24="",AA24="",AF24=""),"",IF(M02S02F46="Electric Only",0,IF(ISNUMBER(SEARCH("Exterior",F24)),0,IF(OR(M02S02F32="AC with Natural Gas Heat",M02S02F32="Natural Gas Heat Only"),(AK24*-INDEX(LPDWATT[Waste Heat Gas Heating IFTherms],MATCH(F24,LPDWATT[Building Area Type],0))),0)))),0)</f>
        <v/>
      </c>
      <c r="BD24" s="1097" t="str">
        <f>IFERROR(AH24/M02S02F35/AK24,"")</f>
        <v/>
      </c>
      <c r="BE24" s="1124" t="str">
        <f t="shared" ref="BE24" si="23">IF(OR(C24="",F24="",Q24="",S24="",AA24="",AF24=""),"",IF(ISNUMBER(AN24),IF(ISNUMBER(SEARCH("Exterior",F24)),"710102","710101"),IF(AK24=0,"","000001")))</f>
        <v/>
      </c>
      <c r="BF24" s="1097" t="str">
        <f>IFERROR(IF(OR(C24="",F24="",L24="",N24="",Q24="",S24="",Y24="",AA24="",AF24=""),"",IF(M02S02F46="Gas Only",0,IF(ISNUMBER(SEARCH("Exterior",F24)),0,IF(M02S02F32="Heat Pump",((((N24-Q24)-(AA24-Q24))/1000)*-INDEX(LPDWATT[Waste Heat Electric Heat Pump Heating IFkWh],MATCH(F24,LPDWATT[Building Area Type],0))),IF(OR(M02S02F32="AC with Electric Heat",M02S02F32="Electric Heat Only"),(((N24-Q24)-(AA24-Q24))/1000)*-INDEX(LPDWATT[Waste Heat Electric Resistance Heating IFkWh],MATCH(F24,LPDWATT[Building Area Type],0)),0))))),0)</f>
        <v/>
      </c>
      <c r="BG24" s="1097" t="str">
        <f>IFERROR(IF((N24)-(AA24)&lt;=0,MEASURESAV,IF(M02S02F35="",MEASURERATE,IF(OR(F24="Others (Incremental)",F24="Others"),MEASURESUBMIT, IF(BD24&lt;1,MEASUREPAY,IF(AU24&lt;1,MEASURECB,""))))),MEASURESUBMIT)</f>
        <v>Submit for Review</v>
      </c>
    </row>
    <row r="25" spans="2:59" ht="15.95" customHeight="1">
      <c r="B25" s="829"/>
      <c r="C25" s="1135"/>
      <c r="D25" s="1135"/>
      <c r="E25" s="1135"/>
      <c r="F25" s="1127"/>
      <c r="G25" s="1127"/>
      <c r="H25" s="1127"/>
      <c r="I25" s="1127"/>
      <c r="J25" s="1127"/>
      <c r="K25" s="1127"/>
      <c r="L25" s="1123"/>
      <c r="M25" s="1123"/>
      <c r="N25" s="1107"/>
      <c r="O25" s="1107"/>
      <c r="P25" s="1107"/>
      <c r="Q25" s="1110"/>
      <c r="R25" s="1111"/>
      <c r="S25" s="1119"/>
      <c r="T25" s="1120"/>
      <c r="U25" s="1120"/>
      <c r="V25" s="1120"/>
      <c r="W25" s="1120"/>
      <c r="X25" s="1121"/>
      <c r="Y25" s="1123"/>
      <c r="Z25" s="1123"/>
      <c r="AA25" s="1107"/>
      <c r="AB25" s="1107"/>
      <c r="AC25" s="1107"/>
      <c r="AD25" s="1114"/>
      <c r="AE25" s="1115"/>
      <c r="AF25" s="1092"/>
      <c r="AG25" s="1092"/>
      <c r="AH25" s="1130"/>
      <c r="AI25" s="1131"/>
      <c r="AJ25" s="1131"/>
      <c r="AK25" s="906"/>
      <c r="AL25" s="907"/>
      <c r="AM25" s="936"/>
      <c r="AN25" s="1133"/>
      <c r="AO25" s="1133"/>
      <c r="AP25" s="1133"/>
      <c r="AQ25" s="1133"/>
      <c r="AR25" s="59"/>
      <c r="AU25" s="1102"/>
      <c r="AV25" s="1129"/>
      <c r="AW25" s="1129"/>
      <c r="AX25" s="1098"/>
      <c r="AY25" s="826"/>
      <c r="AZ25" s="1098"/>
      <c r="BA25" s="1098"/>
      <c r="BB25" s="1098"/>
      <c r="BC25" s="1147"/>
      <c r="BD25" s="1098"/>
      <c r="BE25" s="1125"/>
      <c r="BF25" s="1098"/>
      <c r="BG25" s="1098"/>
    </row>
    <row r="26" spans="2:59" ht="15.95" customHeight="1">
      <c r="B26" s="829">
        <v>6</v>
      </c>
      <c r="C26" s="1134"/>
      <c r="D26" s="1134"/>
      <c r="E26" s="1134"/>
      <c r="F26" s="1126" t="str">
        <f>IF(ISBLANK(M04S09F11),"",M04S09F11)</f>
        <v/>
      </c>
      <c r="G26" s="1126"/>
      <c r="H26" s="1126"/>
      <c r="I26" s="1126"/>
      <c r="J26" s="1126"/>
      <c r="K26" s="1126"/>
      <c r="L26" s="1122" t="str">
        <f>IF(F26="","",INDEX(LPDWATT[IECC 2018  (Watts/ Sq. Ft.)],MATCH(F26,LPDWATT[Building Area Type]),0))</f>
        <v/>
      </c>
      <c r="M26" s="1122"/>
      <c r="N26" s="1106" t="str">
        <f>IF(OR(C26="",F26=""),"",C26*L26)</f>
        <v/>
      </c>
      <c r="O26" s="1106"/>
      <c r="P26" s="1106"/>
      <c r="Q26" s="1108" t="str">
        <f>IF(F26="","",INDEX(LPDWATT[Fixture Annual Operating Hours],MATCH(F26,LPDWATT[Building Area Type]),0))</f>
        <v/>
      </c>
      <c r="R26" s="1109"/>
      <c r="S26" s="1116" t="str">
        <f>IF(F26="","","Lighting Schedule Space Type #6")</f>
        <v/>
      </c>
      <c r="T26" s="1117"/>
      <c r="U26" s="1117"/>
      <c r="V26" s="1117"/>
      <c r="W26" s="1117"/>
      <c r="X26" s="1118"/>
      <c r="Y26" s="1122" t="str">
        <f t="shared" ref="Y26" si="24">IF(OR(C26="",F26=""),"",ROUND(AA26/C26,2))</f>
        <v/>
      </c>
      <c r="Z26" s="1122"/>
      <c r="AA26" s="1106" t="str">
        <f>IF(OR(S26="",F26=""),"",M04S09F12)</f>
        <v/>
      </c>
      <c r="AB26" s="1106"/>
      <c r="AC26" s="1106"/>
      <c r="AD26" s="1112"/>
      <c r="AE26" s="1113"/>
      <c r="AF26" s="1091"/>
      <c r="AG26" s="1091"/>
      <c r="AH26" s="865" t="str">
        <f t="shared" ref="AH26" si="25">IFERROR(IF(OR(L26="",F26="",Q26="",S26="",N26="",C26="",Y26="",AA26="",AF26=""),"",ROUND(AZ26,2)),0)</f>
        <v/>
      </c>
      <c r="AI26" s="1096"/>
      <c r="AJ26" s="1096"/>
      <c r="AK26" s="904" t="str">
        <f t="shared" ref="AK26" si="26">IF(OR(C26="",F26="",L26="",N26="",Q26="",,S26="",Y26="",AA26="",AF26=""),"",IF((N26)-(AA26)&lt;=0,0,ROUND(((((N26*Q26)-(AA26*Q26))/1000)+BF26)*AW26,2)))</f>
        <v/>
      </c>
      <c r="AL26" s="905"/>
      <c r="AM26" s="969"/>
      <c r="AN26" s="1132" t="str">
        <f>IF(OR(C26="",F26="",L26="",N26="",Q26="",Y26="",S26="",,AA26="",AF26=""),"",IF(BG26&lt;&gt;"",BG26,AX26))</f>
        <v/>
      </c>
      <c r="AO26" s="1132"/>
      <c r="AP26" s="1132"/>
      <c r="AQ26" s="1132"/>
      <c r="AR26" s="59"/>
      <c r="AU26" s="1103" t="str">
        <f>IF(OR(C26="",F26="",L26="",N26="",Q26="",S26="",Y26="",AA26="",AF26=""),"",((((1+ELOSS)*((AK26*INDEX(ELECCB[NPV AEC $/kWh],MATCH(15,ELECCB[Year Number],0)))+(AV26*INDEX(ELECCB[NPV ACC+T&amp;D $/kW],MATCH(15,ELECCB[Year Number],0)))))+((1+GLOSS)*((BC26*INDEX(GASCB[NPV GAEC $/therm],MATCH(15,GASCB[Year Number],1))))))/AH26))</f>
        <v/>
      </c>
      <c r="AV26" s="1128" t="str">
        <f>IFERROR(IF(OR(C26="",F26="",L26="",N26="",Q26="",S26="",Y26="",AA26="",AF26=""),"",IF(OR(ISNUMBER(SEARCH("Exterior",F26)),((N26)-(AA26)&lt;=0)),0,
ROUND((((N26)-(AA26))/1000)*INDEX(LPDWATT[Lighting Coincidence Factor],MATCH(F26,LPDWATT[Building Area Type],0))*IF(OR(M02S02F32="AC with Natural Gas Heat",M02S02F32="AC with Electric Heat",M02S02F32="Heat Pump"),INDEX(LPDWATT[Waste Heat Cooling Demand WHFd],MATCH(F26,LPDWATT[Building Area Type],0)),1),3))),"")</f>
        <v/>
      </c>
      <c r="AW26" s="1128" t="str">
        <f>IFERROR(IF(OR(C26="",F26="",L26="",N26="",Q26="",S26="",Y26="",AA26="",AF26=""),"",IF(M02S02F46="Gas Only",0,IF(ISNUMBER(SEARCH("Exterior",F26)),1,IF(OR(M02S02F32="Heat Pump",M02S02F32="AC with Natural Gas Heat",M02S02F32="AC with Electric Heat"),(INDEX(LPDWATT[Waste Heat Cooling Energy WHFe],MATCH(F26,LPDWATT[Building Area Type],0))),1)))),0)</f>
        <v/>
      </c>
      <c r="AX26" s="1097" t="str">
        <f>IFERROR(ROUND(MIN(AH26,AK26*INDEX(INCRATE[Electric],MATCH("CMLIGHT",INCRATE[Incentive Type]))),2),"")</f>
        <v/>
      </c>
      <c r="AY26" s="825">
        <v>15</v>
      </c>
      <c r="AZ26" s="1097" t="str">
        <f t="shared" ref="AZ26" si="27">IFERROR(IF(AD26&lt;&gt;"",(AF26-AD26)*1,MIN(AF26*0.75,BB26*1)),"")</f>
        <v/>
      </c>
      <c r="BA26" s="1097" t="str">
        <f t="shared" ref="BA26" si="28">IFERROR(1-(AA26/N26),"")</f>
        <v/>
      </c>
      <c r="BB26" s="1097" t="str">
        <f>IFERROR(IF(ISNUMBER(SEARCH("Exterior",F26)),((N26-AA26)/1000)*INDEX(NCLIGHTINCCOST[WI Incremental Cost ($/sq ft)],MATCH("Exterior",NCLIGHTINCCOST[% Below Code],0)),IF(OR(BA26="",BA26&lt;=0),"",IF(BA26&lt;=0.2, C26*INDEX(NCLIGHTINCCOST[WI Incremental Cost ($/sq ft)],MATCH(0.2,NCLIGHTINCCOST[% Below Code],0)),IF(AND(BA26&gt;0.2,BA26&lt;0.4),C26*INDEX(NCLIGHTINCCOST[WI Incremental Cost ($/sq ft)],MATCH(0.3,NCLIGHTINCCOST[% Below Code],0)), IF(BA26&gt;=0.4,C26*INDEX(NCLIGHTINCCOST[WI Incremental Cost ($/sq ft)],MATCH(0.4,NCLIGHTINCCOST[% Below Code],0)),0))))),"")</f>
        <v/>
      </c>
      <c r="BC26" s="1146" t="str">
        <f>IFERROR(IF(OR(C26="",F26="",L26="",N26="",Q26="",S26="",Y26="",AA26="",AF26=""),"",IF(M02S02F46="Electric Only",0,IF(ISNUMBER(SEARCH("Exterior",F26)),0,IF(OR(M02S02F32="AC with Natural Gas Heat",M02S02F32="Natural Gas Heat Only"),(AK26*-INDEX(LPDWATT[Waste Heat Gas Heating IFTherms],MATCH(F26,LPDWATT[Building Area Type],0))),0)))),0)</f>
        <v/>
      </c>
      <c r="BD26" s="1097" t="str">
        <f>IFERROR(AH26/M02S02F35/AK26,"")</f>
        <v/>
      </c>
      <c r="BE26" s="1124" t="str">
        <f t="shared" ref="BE26" si="29">IF(OR(C26="",F26="",Q26="",S26="",AA26="",AF26=""),"",IF(ISNUMBER(AN26),IF(ISNUMBER(SEARCH("Exterior",F26)),"710102","710101"),IF(AK26=0,"","000001")))</f>
        <v/>
      </c>
      <c r="BF26" s="1097" t="str">
        <f>IFERROR(IF(OR(C26="",F26="",L26="",N26="",Q26="",S26="",Y26="",AA26="",AF26=""),"",IF(M02S02F46="Gas Only",0,IF(ISNUMBER(SEARCH("Exterior",F26)),0,IF(M02S02F32="Heat Pump",((((N26-Q26)-(AA26-Q26))/1000)*-INDEX(LPDWATT[Waste Heat Electric Heat Pump Heating IFkWh],MATCH(F26,LPDWATT[Building Area Type],0))),IF(OR(M02S02F32="AC with Electric Heat",M02S02F32="Electric Heat Only"),(((N26-Q26)-(AA26-Q26))/1000)*-INDEX(LPDWATT[Waste Heat Electric Resistance Heating IFkWh],MATCH(F26,LPDWATT[Building Area Type],0)),0))))),0)</f>
        <v/>
      </c>
      <c r="BG26" s="1097" t="str">
        <f>IFERROR(IF((N26)-(AA26)&lt;=0,MEASURESAV,IF(M02S02F35="",MEASURERATE,IF(OR(F26="Others (Incremental)",F26="Others"),MEASURESUBMIT, IF(BD26&lt;1,MEASUREPAY,IF(AU26&lt;1,MEASURECB,""))))),MEASURESUBMIT)</f>
        <v>Submit for Review</v>
      </c>
    </row>
    <row r="27" spans="2:59" ht="15.95" customHeight="1">
      <c r="B27" s="829"/>
      <c r="C27" s="1135"/>
      <c r="D27" s="1135"/>
      <c r="E27" s="1135"/>
      <c r="F27" s="1127"/>
      <c r="G27" s="1127"/>
      <c r="H27" s="1127"/>
      <c r="I27" s="1127"/>
      <c r="J27" s="1127"/>
      <c r="K27" s="1127"/>
      <c r="L27" s="1123"/>
      <c r="M27" s="1123"/>
      <c r="N27" s="1107"/>
      <c r="O27" s="1107"/>
      <c r="P27" s="1107"/>
      <c r="Q27" s="1110"/>
      <c r="R27" s="1111"/>
      <c r="S27" s="1119"/>
      <c r="T27" s="1120"/>
      <c r="U27" s="1120"/>
      <c r="V27" s="1120"/>
      <c r="W27" s="1120"/>
      <c r="X27" s="1121"/>
      <c r="Y27" s="1123"/>
      <c r="Z27" s="1123"/>
      <c r="AA27" s="1107"/>
      <c r="AB27" s="1107"/>
      <c r="AC27" s="1107"/>
      <c r="AD27" s="1114"/>
      <c r="AE27" s="1115"/>
      <c r="AF27" s="1092"/>
      <c r="AG27" s="1092"/>
      <c r="AH27" s="1130"/>
      <c r="AI27" s="1131"/>
      <c r="AJ27" s="1131"/>
      <c r="AK27" s="906"/>
      <c r="AL27" s="907"/>
      <c r="AM27" s="936"/>
      <c r="AN27" s="1133"/>
      <c r="AO27" s="1133"/>
      <c r="AP27" s="1133"/>
      <c r="AQ27" s="1133"/>
      <c r="AR27" s="59"/>
      <c r="AU27" s="1102"/>
      <c r="AV27" s="1129"/>
      <c r="AW27" s="1129"/>
      <c r="AX27" s="1098"/>
      <c r="AY27" s="826"/>
      <c r="AZ27" s="1098"/>
      <c r="BA27" s="1098"/>
      <c r="BB27" s="1098"/>
      <c r="BC27" s="1147"/>
      <c r="BD27" s="1098"/>
      <c r="BE27" s="1125"/>
      <c r="BF27" s="1098"/>
      <c r="BG27" s="1098"/>
    </row>
    <row r="28" spans="2:59" ht="15.95" customHeight="1">
      <c r="AS28"/>
      <c r="AT28"/>
      <c r="AV28"/>
      <c r="AW28"/>
      <c r="AX28"/>
      <c r="AY28"/>
      <c r="AZ28"/>
      <c r="BA28"/>
      <c r="BB28"/>
      <c r="BC28"/>
      <c r="BD28"/>
      <c r="BE28"/>
      <c r="BF28"/>
      <c r="BG28"/>
    </row>
    <row r="29" spans="2:59" ht="15.95" customHeight="1">
      <c r="AS29"/>
      <c r="AT29"/>
      <c r="AV29"/>
      <c r="AW29"/>
      <c r="AX29"/>
      <c r="AY29"/>
      <c r="AZ29"/>
      <c r="BA29"/>
      <c r="BB29"/>
      <c r="BC29"/>
      <c r="BD29"/>
      <c r="BE29"/>
      <c r="BF29"/>
      <c r="BG29"/>
    </row>
    <row r="30" spans="2:59" ht="15.95" customHeight="1">
      <c r="AS30"/>
      <c r="AT30"/>
      <c r="AU30"/>
      <c r="AV30"/>
      <c r="AW30"/>
      <c r="AX30"/>
      <c r="AY30"/>
      <c r="AZ30"/>
      <c r="BA30"/>
      <c r="BB30"/>
      <c r="BC30"/>
    </row>
    <row r="31" spans="2:59" ht="15.95" customHeight="1">
      <c r="AS31"/>
      <c r="AT31"/>
      <c r="AU31"/>
      <c r="AV31"/>
      <c r="AW31"/>
      <c r="AX31"/>
      <c r="AY31"/>
      <c r="AZ31"/>
      <c r="BA31"/>
      <c r="BB31"/>
      <c r="BC31"/>
    </row>
    <row r="32" spans="2:59" ht="15.95" customHeight="1">
      <c r="AS32"/>
      <c r="AT32"/>
      <c r="AU32"/>
      <c r="AV32"/>
      <c r="AW32"/>
      <c r="AX32"/>
      <c r="AY32"/>
      <c r="AZ32"/>
      <c r="BA32"/>
      <c r="BB32"/>
      <c r="BC32"/>
    </row>
    <row r="33" spans="2:55" ht="15.95" customHeight="1">
      <c r="AS33"/>
      <c r="AT33"/>
      <c r="AU33"/>
      <c r="AV33"/>
      <c r="AW33"/>
      <c r="AX33"/>
      <c r="AY33"/>
      <c r="AZ33"/>
      <c r="BA33"/>
      <c r="BB33"/>
      <c r="BC33"/>
    </row>
    <row r="34" spans="2:55" ht="15.95" customHeight="1">
      <c r="AS34"/>
      <c r="AT34"/>
      <c r="AU34"/>
      <c r="AV34"/>
      <c r="AW34"/>
      <c r="AX34"/>
      <c r="AY34"/>
      <c r="AZ34"/>
      <c r="BA34"/>
      <c r="BB34"/>
      <c r="BC34"/>
    </row>
    <row r="35" spans="2:55" ht="15.95" customHeight="1">
      <c r="AS35"/>
      <c r="AT35"/>
      <c r="AU35"/>
      <c r="AV35"/>
      <c r="AW35"/>
      <c r="AX35"/>
      <c r="AY35"/>
      <c r="AZ35"/>
      <c r="BA35"/>
      <c r="BB35"/>
      <c r="BC35"/>
    </row>
    <row r="36" spans="2:55" ht="15.95" hidden="1" customHeight="1">
      <c r="B36" s="829">
        <v>11</v>
      </c>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row>
    <row r="37" spans="2:55" ht="15.95" hidden="1" customHeight="1">
      <c r="B37" s="82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row>
    <row r="38" spans="2:55" ht="15.95" hidden="1" customHeight="1">
      <c r="B38" s="829">
        <v>12</v>
      </c>
      <c r="C38" s="68"/>
      <c r="D38" s="68"/>
      <c r="E38" s="68"/>
      <c r="F38" s="68"/>
      <c r="G38" s="68"/>
      <c r="H38" s="68"/>
      <c r="I38" s="68"/>
      <c r="J38" s="68"/>
      <c r="K38" s="68"/>
      <c r="L38" s="68"/>
      <c r="M38" s="68"/>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59"/>
    </row>
    <row r="39" spans="2:55" ht="15.95" hidden="1" customHeight="1">
      <c r="B39" s="829"/>
      <c r="C39" s="68"/>
      <c r="D39" s="68"/>
      <c r="E39" s="68"/>
      <c r="F39" s="68"/>
      <c r="G39" s="68"/>
      <c r="H39" s="68"/>
      <c r="I39" s="68"/>
      <c r="J39" s="68"/>
      <c r="K39" s="68"/>
      <c r="L39" s="68"/>
      <c r="M39" s="68"/>
      <c r="N39" s="68"/>
      <c r="O39" s="68"/>
      <c r="P39" s="68"/>
      <c r="Q39" s="68"/>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59"/>
    </row>
    <row r="40" spans="2:55" ht="15.95" hidden="1" customHeight="1">
      <c r="B40" s="923">
        <v>13</v>
      </c>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row>
    <row r="41" spans="2:55" ht="15.95" hidden="1" customHeight="1">
      <c r="B41" s="923"/>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row>
    <row r="42" spans="2:55" ht="15.95" hidden="1" customHeight="1">
      <c r="B42" s="923">
        <v>14</v>
      </c>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row>
    <row r="43" spans="2:55" ht="15.95" hidden="1" customHeight="1">
      <c r="B43" s="923"/>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row>
    <row r="44" spans="2:55" ht="15.95" hidden="1" customHeight="1">
      <c r="B44" s="923">
        <v>15</v>
      </c>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row>
    <row r="45" spans="2:55" ht="15.95" hidden="1" customHeight="1">
      <c r="B45" s="923"/>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row>
    <row r="46" spans="2:55" ht="15.95" hidden="1" customHeight="1">
      <c r="B46" s="923">
        <v>16</v>
      </c>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row>
    <row r="47" spans="2:55" ht="15.95" hidden="1" customHeight="1">
      <c r="B47" s="923"/>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row>
    <row r="48" spans="2:55" ht="15.95" hidden="1" customHeight="1">
      <c r="B48" s="923">
        <v>17</v>
      </c>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row>
    <row r="49" spans="2:43" ht="15.95" hidden="1" customHeight="1">
      <c r="B49" s="923"/>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row>
    <row r="50" spans="2:43" ht="15.95" hidden="1" customHeight="1">
      <c r="B50" s="923">
        <v>18</v>
      </c>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row>
    <row r="51" spans="2:43" ht="15.95" hidden="1" customHeight="1">
      <c r="B51" s="923"/>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row>
    <row r="52" spans="2:43" ht="15.95" hidden="1" customHeight="1">
      <c r="B52" s="923">
        <v>19</v>
      </c>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row>
    <row r="53" spans="2:43" ht="15.95" hidden="1" customHeight="1">
      <c r="B53" s="923"/>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row>
    <row r="54" spans="2:43" ht="15.95" hidden="1" customHeight="1">
      <c r="B54" s="923">
        <v>20</v>
      </c>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row>
    <row r="55" spans="2:43" ht="15.95" hidden="1" customHeight="1">
      <c r="B55" s="923"/>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row>
    <row r="56" spans="2:43" ht="15.95" hidden="1" customHeight="1">
      <c r="B56" s="923">
        <v>21</v>
      </c>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row>
    <row r="57" spans="2:43" ht="15.95" hidden="1" customHeight="1">
      <c r="B57" s="923"/>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row>
    <row r="58" spans="2:43" ht="15.95" hidden="1" customHeight="1">
      <c r="B58" s="923">
        <v>22</v>
      </c>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row>
    <row r="59" spans="2:43" ht="15.95" hidden="1" customHeight="1">
      <c r="B59" s="923"/>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row>
    <row r="60" spans="2:43" ht="15.95" hidden="1" customHeight="1">
      <c r="B60" s="923">
        <v>23</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row>
    <row r="61" spans="2:43" ht="15.95" hidden="1" customHeight="1">
      <c r="B61" s="923"/>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row>
    <row r="62" spans="2:43" ht="15.95" hidden="1" customHeight="1">
      <c r="B62" s="923">
        <v>24</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row>
    <row r="63" spans="2:43" ht="15.95" hidden="1" customHeight="1">
      <c r="B63" s="923"/>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row>
    <row r="64" spans="2:43" ht="15.95" hidden="1" customHeight="1">
      <c r="B64" s="923">
        <v>25</v>
      </c>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row>
    <row r="65" spans="2:43" ht="15.95" hidden="1" customHeight="1">
      <c r="B65" s="923"/>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row>
    <row r="66" spans="2:43" ht="15.95" hidden="1" customHeight="1">
      <c r="B66" s="923">
        <v>26</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row>
    <row r="67" spans="2:43" ht="15.95" hidden="1" customHeight="1">
      <c r="B67" s="923"/>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row>
    <row r="68" spans="2:43" ht="15.95" hidden="1" customHeight="1">
      <c r="B68" s="923">
        <v>27</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row>
    <row r="69" spans="2:43" ht="15.95" hidden="1" customHeight="1">
      <c r="B69" s="923"/>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row>
    <row r="70" spans="2:43" ht="15.95" hidden="1" customHeight="1">
      <c r="B70" s="923">
        <v>28</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row>
    <row r="71" spans="2:43" ht="15.95" hidden="1" customHeight="1">
      <c r="B71" s="923"/>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row>
    <row r="72" spans="2:43" ht="15.95" hidden="1" customHeight="1">
      <c r="B72" s="923">
        <v>29</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row>
    <row r="73" spans="2:43" ht="15.95" hidden="1" customHeight="1">
      <c r="B73" s="923"/>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row>
    <row r="74" spans="2:43" ht="15.95" hidden="1" customHeight="1">
      <c r="B74" s="923">
        <v>30</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row>
    <row r="75" spans="2:43" ht="15.95" hidden="1" customHeight="1">
      <c r="B75" s="923"/>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row>
    <row r="76" spans="2:43" ht="15.95" hidden="1" customHeight="1">
      <c r="B76" s="923">
        <v>31</v>
      </c>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row>
    <row r="77" spans="2:43" ht="15.95" hidden="1" customHeight="1">
      <c r="B77" s="923"/>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row>
    <row r="78" spans="2:43" ht="15.95" hidden="1" customHeight="1">
      <c r="B78" s="923">
        <v>32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row>
    <row r="79" spans="2:43" ht="15.95" hidden="1" customHeight="1">
      <c r="B79" s="923"/>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row>
    <row r="80" spans="2:43" ht="15.95" hidden="1" customHeight="1">
      <c r="B80" s="923">
        <v>33</v>
      </c>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row>
    <row r="81" spans="2:43" ht="15.95" hidden="1" customHeight="1">
      <c r="B81" s="923"/>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row>
    <row r="82" spans="2:43" ht="15.95" hidden="1" customHeight="1">
      <c r="B82" s="923">
        <v>34</v>
      </c>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row>
    <row r="83" spans="2:43" ht="15.95" hidden="1" customHeight="1">
      <c r="B83" s="923"/>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row>
    <row r="84" spans="2:43" ht="15.95" hidden="1" customHeight="1">
      <c r="B84" s="923">
        <v>35</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row>
    <row r="85" spans="2:43" ht="15.95" hidden="1" customHeight="1">
      <c r="B85" s="923"/>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row>
    <row r="86" spans="2:43" ht="15.95" hidden="1" customHeight="1">
      <c r="B86" s="923">
        <v>36</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row>
    <row r="87" spans="2:43" ht="15.95" hidden="1" customHeight="1">
      <c r="B87" s="923"/>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row>
    <row r="88" spans="2:43" ht="15.95" hidden="1" customHeight="1">
      <c r="B88" s="923">
        <v>37</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row>
    <row r="89" spans="2:43" ht="15.95" hidden="1" customHeight="1">
      <c r="B89" s="923"/>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row>
    <row r="90" spans="2:43" ht="15.95" hidden="1" customHeight="1">
      <c r="B90" s="923">
        <v>38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row>
    <row r="91" spans="2:43" ht="15.95" hidden="1" customHeight="1">
      <c r="B91" s="923"/>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row>
    <row r="92" spans="2:43" ht="15.95" hidden="1" customHeight="1">
      <c r="B92" s="923">
        <v>39</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row>
    <row r="93" spans="2:43" ht="15.95" hidden="1" customHeight="1">
      <c r="B93" s="923"/>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row>
    <row r="94" spans="2:43" ht="15.95" hidden="1" customHeight="1">
      <c r="B94" s="923">
        <v>40</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row>
    <row r="95" spans="2:43" ht="15.95" hidden="1" customHeight="1">
      <c r="B95" s="923"/>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row>
    <row r="96" spans="2:43" ht="15.95" hidden="1" customHeight="1">
      <c r="B96" s="923">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row>
    <row r="97" spans="2:43" ht="15.95" hidden="1" customHeight="1">
      <c r="B97" s="923"/>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row>
    <row r="98" spans="2:43" ht="15.95" hidden="1" customHeight="1">
      <c r="B98" s="923">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row>
    <row r="99" spans="2:43" ht="15.95" hidden="1" customHeight="1">
      <c r="B99" s="923"/>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row>
    <row r="100" spans="2:43" ht="15.95" hidden="1" customHeight="1">
      <c r="B100" s="923">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row>
    <row r="101" spans="2:43" ht="15.95" hidden="1" customHeight="1">
      <c r="B101" s="923"/>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row>
    <row r="102" spans="2:43" ht="15.95" hidden="1" customHeight="1">
      <c r="B102" s="923">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row>
    <row r="103" spans="2:43" ht="15.95" hidden="1" customHeight="1">
      <c r="B103" s="923"/>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row>
    <row r="104" spans="2:43" ht="15.95" hidden="1" customHeight="1">
      <c r="B104" s="923">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row>
    <row r="105" spans="2:43" ht="15.95" hidden="1" customHeight="1">
      <c r="B105" s="923"/>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row>
    <row r="106" spans="2:43" ht="15.95" hidden="1" customHeight="1">
      <c r="B106" s="923">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row>
    <row r="107" spans="2:43" ht="15.95" hidden="1" customHeight="1">
      <c r="B107" s="923"/>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row>
    <row r="108" spans="2:43" ht="15.95" hidden="1" customHeight="1">
      <c r="B108" s="923">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row>
    <row r="109" spans="2:43" ht="15.95" hidden="1" customHeight="1">
      <c r="B109" s="923"/>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row>
    <row r="110" spans="2:43" ht="15.95" hidden="1" customHeight="1">
      <c r="B110" s="923">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row>
    <row r="111" spans="2:43" ht="15.95" hidden="1" customHeight="1">
      <c r="B111" s="923"/>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row>
    <row r="112" spans="2:43" ht="15.95" hidden="1" customHeight="1">
      <c r="B112" s="923">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row>
    <row r="113" spans="2:43" ht="15.95" hidden="1" customHeight="1">
      <c r="B113" s="923"/>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row>
    <row r="114" spans="2:43" ht="15.95" hidden="1" customHeight="1">
      <c r="B114" s="923">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row>
    <row r="115" spans="2:43" ht="15.95" hidden="1" customHeight="1">
      <c r="B115" s="923"/>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row>
    <row r="116" spans="2:43" ht="15.95" hidden="1" customHeight="1">
      <c r="B116" s="923">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43" ht="15.95" hidden="1" customHeight="1">
      <c r="B117" s="923"/>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43" ht="15.95" hidden="1" customHeight="1">
      <c r="B118" s="923">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43" ht="15.95" hidden="1" customHeight="1">
      <c r="B119" s="923"/>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43" ht="15.95" hidden="1" customHeight="1">
      <c r="B120" s="923">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43" ht="15.95" hidden="1" customHeight="1">
      <c r="B121" s="923"/>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43" ht="15.95" hidden="1" customHeight="1">
      <c r="B122" s="923">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43" ht="15.95" hidden="1" customHeight="1">
      <c r="B123" s="923"/>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43" ht="15.95" hidden="1" customHeight="1">
      <c r="B124" s="923">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43" ht="15.95" hidden="1" customHeight="1">
      <c r="B125" s="923"/>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43" ht="15.95" hidden="1" customHeight="1">
      <c r="B126" s="923">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43" ht="15.95" hidden="1" customHeight="1">
      <c r="B127" s="923"/>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43" ht="15.95" hidden="1" customHeight="1">
      <c r="B128" s="923">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23"/>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23">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23"/>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23">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23"/>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23">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23"/>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23">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23"/>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23">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23"/>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23">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23"/>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23">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23"/>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923">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23"/>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23">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23"/>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23">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23"/>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23">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23"/>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23">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23"/>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23">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23"/>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23">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23"/>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23">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23"/>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23">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23"/>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23">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23"/>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23">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23"/>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23">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23"/>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23">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23"/>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23">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23"/>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23">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23"/>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23">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23"/>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23">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23"/>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23">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23"/>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23">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23"/>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23">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23"/>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23">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23"/>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23">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23"/>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23">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23"/>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23">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23"/>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23">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8" ht="15.95" hidden="1" customHeight="1">
      <c r="B193" s="923"/>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8" ht="15.95" hidden="1" customHeight="1">
      <c r="B194" s="923">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8" ht="15.95" hidden="1" customHeight="1">
      <c r="B195" s="923"/>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8" ht="15.95" hidden="1" customHeight="1">
      <c r="B196" s="923">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8" ht="15.95" hidden="1" customHeight="1">
      <c r="B197" s="923"/>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8" ht="15.95" hidden="1" customHeight="1">
      <c r="B198" s="923">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8" ht="15.95" hidden="1" customHeight="1">
      <c r="B199" s="923"/>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8" ht="15.95" customHeight="1">
      <c r="B200" s="272" t="str">
        <f>FOOT1</f>
        <v>NIPSCO Energy Efficiency Program</v>
      </c>
      <c r="C200" s="272"/>
      <c r="D200" s="272"/>
      <c r="E200" s="272"/>
      <c r="F200" s="272"/>
      <c r="G200" s="272"/>
      <c r="H200" s="272"/>
      <c r="I200" s="272"/>
      <c r="J200" s="272"/>
      <c r="K200" s="272"/>
      <c r="L200" s="272"/>
      <c r="M200" s="656" t="str">
        <f>FOOT4</f>
        <v>NIPSCO’s energy efficiency programs are administered by TRC, a third‐party implementation specialist that helps homes and businesses save energy.</v>
      </c>
      <c r="N200" s="656"/>
      <c r="O200" s="656"/>
      <c r="P200" s="656"/>
      <c r="Q200" s="656"/>
      <c r="R200" s="656"/>
      <c r="S200" s="656"/>
      <c r="T200" s="656"/>
      <c r="U200" s="656"/>
      <c r="V200" s="656"/>
      <c r="W200" s="656"/>
      <c r="X200" s="656"/>
      <c r="Y200" s="656"/>
      <c r="Z200" s="656"/>
      <c r="AA200" s="656"/>
      <c r="AB200" s="656"/>
      <c r="AC200" s="656"/>
      <c r="AD200" s="656"/>
      <c r="AE200" s="656"/>
      <c r="AF200" s="656"/>
      <c r="AG200" s="656"/>
      <c r="AH200" s="272"/>
      <c r="AI200" s="272"/>
      <c r="AJ200" s="272"/>
      <c r="AK200" s="272"/>
      <c r="AL200" s="272"/>
      <c r="AM200" s="272"/>
      <c r="AN200" s="272"/>
      <c r="AO200" s="272"/>
      <c r="AP200" s="272"/>
      <c r="AQ200" s="272"/>
      <c r="AR200" s="273" t="str">
        <f>FOOTDISCLAIM</f>
        <v/>
      </c>
      <c r="AV200" s="1142">
        <f ca="1">SUMIF(AN16:AQ199,"&gt;0",AV16:AV199)</f>
        <v>0</v>
      </c>
    </row>
    <row r="201" spans="2:48" ht="15.95" customHeight="1">
      <c r="B201" s="272" t="str">
        <f>FOOT2</f>
        <v>Toll-Free 800-299-2501</v>
      </c>
      <c r="C201" s="272"/>
      <c r="D201" s="272"/>
      <c r="E201" s="272"/>
      <c r="F201" s="272"/>
      <c r="G201" s="272"/>
      <c r="H201" s="272"/>
      <c r="I201" s="272"/>
      <c r="J201" s="272"/>
      <c r="K201" s="272"/>
      <c r="L201" s="272"/>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272"/>
      <c r="AI201" s="272"/>
      <c r="AJ201" s="272"/>
      <c r="AK201" s="272"/>
      <c r="AL201" s="272"/>
      <c r="AM201" s="272"/>
      <c r="AN201" s="272"/>
      <c r="AO201" s="272"/>
      <c r="AP201" s="272"/>
      <c r="AQ201" s="272"/>
      <c r="AR201" s="273" t="str">
        <f>FOOT5</f>
        <v/>
      </c>
      <c r="AV201" s="1142"/>
    </row>
    <row r="202" spans="2:48" ht="15.95" customHeight="1">
      <c r="B202" s="281" t="s">
        <v>1551</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v3.7.0</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iI1N4paa0JAx/InEr5Wvu0mQvvG0X2YMDFvZLdE+NNYck3oMADLDPsCbGCwCKQvhkObqMEeBty6VBQm3crQbQw==" saltValue="17Vu+Ni1xo+oBDJRaE94Aw==" spinCount="100000" sheet="1" objects="1" scenarios="1" selectLockedCells="1"/>
  <mergeCells count="288">
    <mergeCell ref="BF20:BF21"/>
    <mergeCell ref="BF22:BF23"/>
    <mergeCell ref="BF24:BF25"/>
    <mergeCell ref="BF26:BF27"/>
    <mergeCell ref="AW26:AW27"/>
    <mergeCell ref="BC16:BC17"/>
    <mergeCell ref="BC18:BC19"/>
    <mergeCell ref="BC20:BC21"/>
    <mergeCell ref="BC22:BC23"/>
    <mergeCell ref="BC24:BC25"/>
    <mergeCell ref="BC26:BC27"/>
    <mergeCell ref="BB16:BB17"/>
    <mergeCell ref="BC14:BC15"/>
    <mergeCell ref="AW14:AW15"/>
    <mergeCell ref="BB18:BB19"/>
    <mergeCell ref="BB20:BB21"/>
    <mergeCell ref="BB22:BB23"/>
    <mergeCell ref="BB24:BB25"/>
    <mergeCell ref="BB26:BB27"/>
    <mergeCell ref="AZ18:AZ19"/>
    <mergeCell ref="AZ20:AZ21"/>
    <mergeCell ref="AY18:AY19"/>
    <mergeCell ref="AX18:AX19"/>
    <mergeCell ref="AX26:AX27"/>
    <mergeCell ref="AY24:AY25"/>
    <mergeCell ref="AZ26:AZ27"/>
    <mergeCell ref="AZ22:AZ23"/>
    <mergeCell ref="AZ24:AZ25"/>
    <mergeCell ref="AY22:AY23"/>
    <mergeCell ref="AY26:AY27"/>
    <mergeCell ref="AX22:AX23"/>
    <mergeCell ref="AX24:AX25"/>
    <mergeCell ref="BA26:BA27"/>
    <mergeCell ref="BB14:BB15"/>
    <mergeCell ref="BA14:BA15"/>
    <mergeCell ref="AZ14:AZ15"/>
    <mergeCell ref="AU24:AU25"/>
    <mergeCell ref="AV24:AV25"/>
    <mergeCell ref="BA16:BA17"/>
    <mergeCell ref="BA18:BA19"/>
    <mergeCell ref="BA20:BA21"/>
    <mergeCell ref="BA22:BA23"/>
    <mergeCell ref="BA24:BA25"/>
    <mergeCell ref="AY20:AY21"/>
    <mergeCell ref="AX20:AX21"/>
    <mergeCell ref="AW16:AW17"/>
    <mergeCell ref="AW18:AW19"/>
    <mergeCell ref="AW20:AW21"/>
    <mergeCell ref="AW22:AW23"/>
    <mergeCell ref="AW24:AW25"/>
    <mergeCell ref="AZ16:AZ17"/>
    <mergeCell ref="AY14:AY15"/>
    <mergeCell ref="AD15:AE15"/>
    <mergeCell ref="AF15:AG15"/>
    <mergeCell ref="AD14:AG14"/>
    <mergeCell ref="AH16:AJ17"/>
    <mergeCell ref="AN16:AQ17"/>
    <mergeCell ref="AK16:AM17"/>
    <mergeCell ref="AU16:AU17"/>
    <mergeCell ref="AV16:AV17"/>
    <mergeCell ref="AY16:AY17"/>
    <mergeCell ref="AV200:AV201"/>
    <mergeCell ref="AH20:AJ21"/>
    <mergeCell ref="AN20:AQ21"/>
    <mergeCell ref="AK20:AM21"/>
    <mergeCell ref="AU20:AU21"/>
    <mergeCell ref="AV20:AV21"/>
    <mergeCell ref="AX14:AX15"/>
    <mergeCell ref="AX16:AX17"/>
    <mergeCell ref="AU14:AU15"/>
    <mergeCell ref="AV14:AV15"/>
    <mergeCell ref="AH26:AJ27"/>
    <mergeCell ref="AN26:AQ27"/>
    <mergeCell ref="AK26:AM27"/>
    <mergeCell ref="AU26:AU27"/>
    <mergeCell ref="AV26:AV27"/>
    <mergeCell ref="AH24:AJ25"/>
    <mergeCell ref="AK18:AM19"/>
    <mergeCell ref="AH22:AJ23"/>
    <mergeCell ref="AN22:AQ23"/>
    <mergeCell ref="AK22:AM23"/>
    <mergeCell ref="AU22:AU23"/>
    <mergeCell ref="AV22:AV23"/>
    <mergeCell ref="AN24:AQ25"/>
    <mergeCell ref="AK24:AM25"/>
    <mergeCell ref="R9:AC10"/>
    <mergeCell ref="F14:K15"/>
    <mergeCell ref="AH14:AJ15"/>
    <mergeCell ref="AN14:AQ15"/>
    <mergeCell ref="AK14:AM15"/>
    <mergeCell ref="R12:U13"/>
    <mergeCell ref="V12:Y13"/>
    <mergeCell ref="Z12:AC13"/>
    <mergeCell ref="AH1:AK1"/>
    <mergeCell ref="AL1:AP1"/>
    <mergeCell ref="AH2:AK3"/>
    <mergeCell ref="AL2:AP3"/>
    <mergeCell ref="Q14:R15"/>
    <mergeCell ref="N15:P15"/>
    <mergeCell ref="L15:M15"/>
    <mergeCell ref="L14:P14"/>
    <mergeCell ref="S14:X15"/>
    <mergeCell ref="Y15:Z15"/>
    <mergeCell ref="AA15:AC15"/>
    <mergeCell ref="Y14:AC14"/>
    <mergeCell ref="AQ1:AR1"/>
    <mergeCell ref="AQ2:AR3"/>
    <mergeCell ref="M200:AG201"/>
    <mergeCell ref="B198:B199"/>
    <mergeCell ref="B186:B187"/>
    <mergeCell ref="B188:B189"/>
    <mergeCell ref="B190:B191"/>
    <mergeCell ref="B192:B193"/>
    <mergeCell ref="B194:B195"/>
    <mergeCell ref="B196:B197"/>
    <mergeCell ref="B184:B185"/>
    <mergeCell ref="B180:B181"/>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62:B163"/>
    <mergeCell ref="B164:B165"/>
    <mergeCell ref="B166:B167"/>
    <mergeCell ref="B168:B169"/>
    <mergeCell ref="B170:B171"/>
    <mergeCell ref="B172:B173"/>
    <mergeCell ref="B174:B175"/>
    <mergeCell ref="B176:B177"/>
    <mergeCell ref="B178:B17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F22:K23"/>
    <mergeCell ref="F24:K25"/>
    <mergeCell ref="F26:K27"/>
    <mergeCell ref="L20:M21"/>
    <mergeCell ref="L22:M23"/>
    <mergeCell ref="L24:M25"/>
    <mergeCell ref="B64:B65"/>
    <mergeCell ref="B42:B43"/>
    <mergeCell ref="B44:B45"/>
    <mergeCell ref="B46:B47"/>
    <mergeCell ref="B48:B49"/>
    <mergeCell ref="B50:B51"/>
    <mergeCell ref="B52:B53"/>
    <mergeCell ref="B54:B55"/>
    <mergeCell ref="B56:B57"/>
    <mergeCell ref="B58:B59"/>
    <mergeCell ref="B60:B61"/>
    <mergeCell ref="B62:B63"/>
    <mergeCell ref="B40:B41"/>
    <mergeCell ref="L26:M27"/>
    <mergeCell ref="B18:B19"/>
    <mergeCell ref="B20:B21"/>
    <mergeCell ref="B22:B23"/>
    <mergeCell ref="B24:B25"/>
    <mergeCell ref="B26:B27"/>
    <mergeCell ref="B36:B37"/>
    <mergeCell ref="B38:B39"/>
    <mergeCell ref="C20:E21"/>
    <mergeCell ref="C22:E23"/>
    <mergeCell ref="C24:E25"/>
    <mergeCell ref="C26:E27"/>
    <mergeCell ref="C18:E19"/>
    <mergeCell ref="B16:B17"/>
    <mergeCell ref="R11:U11"/>
    <mergeCell ref="V11:Y11"/>
    <mergeCell ref="Z11:AC11"/>
    <mergeCell ref="C14:E15"/>
    <mergeCell ref="C16:E17"/>
    <mergeCell ref="AD16:AE17"/>
    <mergeCell ref="AF16:AG17"/>
    <mergeCell ref="N16:P17"/>
    <mergeCell ref="Q16:R17"/>
    <mergeCell ref="Y16:Z17"/>
    <mergeCell ref="AA16:AC17"/>
    <mergeCell ref="S16:X17"/>
    <mergeCell ref="L18:M19"/>
    <mergeCell ref="Q18:R19"/>
    <mergeCell ref="AA18:AC19"/>
    <mergeCell ref="F18:K19"/>
    <mergeCell ref="F20:K21"/>
    <mergeCell ref="F16:K17"/>
    <mergeCell ref="L16:M17"/>
    <mergeCell ref="S18:X19"/>
    <mergeCell ref="AV18:AV19"/>
    <mergeCell ref="AU18:AU19"/>
    <mergeCell ref="AH18:AJ19"/>
    <mergeCell ref="AN18:AQ19"/>
    <mergeCell ref="N18:P19"/>
    <mergeCell ref="N20:P21"/>
    <mergeCell ref="S20:X21"/>
    <mergeCell ref="Y20:Z21"/>
    <mergeCell ref="Y18:Z19"/>
    <mergeCell ref="AA20:AC21"/>
    <mergeCell ref="AD18:AE19"/>
    <mergeCell ref="AF18:AG19"/>
    <mergeCell ref="AD20:AE21"/>
    <mergeCell ref="AF20:AG21"/>
    <mergeCell ref="BG24:BG25"/>
    <mergeCell ref="BE26:BE27"/>
    <mergeCell ref="BG26:BG27"/>
    <mergeCell ref="BD18:BD19"/>
    <mergeCell ref="BD20:BD21"/>
    <mergeCell ref="BE16:BE17"/>
    <mergeCell ref="BD14:BD15"/>
    <mergeCell ref="BD22:BD23"/>
    <mergeCell ref="BD24:BD25"/>
    <mergeCell ref="BE14:BE15"/>
    <mergeCell ref="BG14:BG15"/>
    <mergeCell ref="BD16:BD17"/>
    <mergeCell ref="BG16:BG17"/>
    <mergeCell ref="BE18:BE19"/>
    <mergeCell ref="BG18:BG19"/>
    <mergeCell ref="BE20:BE21"/>
    <mergeCell ref="BG20:BG21"/>
    <mergeCell ref="BE22:BE23"/>
    <mergeCell ref="BG22:BG23"/>
    <mergeCell ref="BD26:BD27"/>
    <mergeCell ref="BE24:BE25"/>
    <mergeCell ref="BF14:BF15"/>
    <mergeCell ref="BF16:BF17"/>
    <mergeCell ref="BF18:BF19"/>
    <mergeCell ref="N22:P23"/>
    <mergeCell ref="N24:P25"/>
    <mergeCell ref="N26:P27"/>
    <mergeCell ref="Q20:R21"/>
    <mergeCell ref="Q22:R23"/>
    <mergeCell ref="Q24:R25"/>
    <mergeCell ref="Q26:R27"/>
    <mergeCell ref="AF22:AG23"/>
    <mergeCell ref="AD24:AE25"/>
    <mergeCell ref="AF24:AG25"/>
    <mergeCell ref="AD26:AE27"/>
    <mergeCell ref="AF26:AG27"/>
    <mergeCell ref="S22:X23"/>
    <mergeCell ref="S24:X25"/>
    <mergeCell ref="S26:X27"/>
    <mergeCell ref="Y22:Z23"/>
    <mergeCell ref="Y24:Z25"/>
    <mergeCell ref="Y26:Z27"/>
    <mergeCell ref="AA22:AC23"/>
    <mergeCell ref="AA24:AC25"/>
    <mergeCell ref="AA26:AC27"/>
    <mergeCell ref="AD22:AE23"/>
  </mergeCells>
  <conditionalFormatting sqref="Q16:R27">
    <cfRule type="expression" dxfId="120" priority="13">
      <formula>Q16&lt;&gt;INDEX(LPDOPHR,MATCH(F16,LPDSPACE,0))</formula>
    </cfRule>
  </conditionalFormatting>
  <conditionalFormatting sqref="S16 C16:E27 Q16:R27 AF16:AG27 S18 S20 S22 S24 S26">
    <cfRule type="expression" dxfId="119" priority="1">
      <formula>AND(($F16="")=FALSE, ISBLANK(C16)=TRUE)</formula>
    </cfRule>
  </conditionalFormatting>
  <conditionalFormatting sqref="AH2 AL2">
    <cfRule type="expression" dxfId="118" priority="14">
      <formula>PROJSTATUS=PROJSTATELI</formula>
    </cfRule>
    <cfRule type="expression" dxfId="117" priority="15">
      <formula>PROJSTATUS=PROJSTATREVIEW</formula>
    </cfRule>
    <cfRule type="expression" dxfId="116" priority="19">
      <formula>PROJSTATUS=PROJSTATPREAPPROVE</formula>
    </cfRule>
    <cfRule type="expression" dxfId="115" priority="20">
      <formula>PROJSTATUS=PROJSTATSTANDARD</formula>
    </cfRule>
    <cfRule type="expression" dxfId="114" priority="21">
      <formula>PROJSTATUS=PROJSTATEXP</formula>
    </cfRule>
  </conditionalFormatting>
  <conditionalFormatting sqref="AN16 AN18 AN20 AN22 AN24 AN26">
    <cfRule type="expression" dxfId="113" priority="50">
      <formula>ISNUMBER(AN16)=FALSE</formula>
    </cfRule>
  </conditionalFormatting>
  <conditionalFormatting sqref="AQ2:AR3">
    <cfRule type="cellIs" dxfId="112" priority="16" operator="equal">
      <formula>1</formula>
    </cfRule>
    <cfRule type="cellIs" dxfId="111" priority="17" operator="between">
      <formula>0.51</formula>
      <formula>0.99</formula>
    </cfRule>
    <cfRule type="cellIs" dxfId="110" priority="18" operator="lessThanOrEqual">
      <formula>0.5</formula>
    </cfRule>
  </conditionalFormatting>
  <dataValidations xWindow="920" yWindow="669" count="8">
    <dataValidation allowBlank="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E27" xr:uid="{00000000-0002-0000-1D00-000000000000}"/>
    <dataValidation allowBlank="1" showErrorMessage="1" prompt="Baseline Detail is the equipment currently present that is being replaced._x000a__x000a_For New or Failed Replacement, this is the code-minimum equipment or control strategy that could be installed in lieu of the more efficient option." sqref="L16:M27" xr:uid="{00000000-0002-0000-1D00-000001000000}"/>
    <dataValidation type="decimal" operator="lessThanOrEqual" allowBlank="1" showInputMessage="1" showErrorMessage="1" prompt="Annual Operating Hours of Lighting" sqref="Q26 Q16 Q18 Q20 Q22 Q24" xr:uid="{00000000-0002-0000-1D00-000002000000}">
      <formula1>8760</formula1>
    </dataValidation>
    <dataValidation allowBlank="1" showErrorMessage="1" error="Please enter a numerical value" sqref="N16:P27" xr:uid="{00000000-0002-0000-1D00-000003000000}"/>
    <dataValidation type="whole" allowBlank="1" showInputMessage="1" error="Please enter a numerical value" sqref="Y16:Z27" xr:uid="{00000000-0002-0000-1D00-000004000000}">
      <formula1>0</formula1>
      <formula2>999999</formula2>
    </dataValidation>
    <dataValidation type="list" allowBlank="1" showInputMessage="1" prompt="Use the Lighting Schedule button above to auto-populate the Building Type, New Equipment Detail, Fixture Wattage, and Fixture Quantity fields for this lighting power density measure." sqref="F16:K27" xr:uid="{00000000-0002-0000-1D00-000005000000}">
      <formula1>LPDSPACE</formula1>
    </dataValidation>
    <dataValidation type="decimal" allowBlank="1" showInputMessage="1" showErrorMessage="1" error="Please enter a numerical value" promptTitle="Baseline Equipment Cost" prompt="If you have a quoted baseline cost for this measure please enter it here.  If unknown incremental material cost will calculate from TRM values." sqref="AD16:AE27" xr:uid="{00000000-0002-0000-1D00-000006000000}">
      <formula1>0</formula1>
      <formula2>999999999</formula2>
    </dataValidation>
    <dataValidation type="decimal" allowBlank="1" showInputMessage="1" showErrorMessage="1" error="Efficient cost should be greater than baseline cost.  If baseline cost unknown please leave blank.  Please enter a numerical value." promptTitle="Efficient Equipment Cost" prompt="Input the total cost of the efficient equipment." sqref="AF16:AG27" xr:uid="{00000000-0002-0000-1D00-000007000000}">
      <formula1>AD16</formula1>
      <formula2>999999999</formula2>
    </dataValidation>
  </dataValidations>
  <hyperlinks>
    <hyperlink ref="B202" r:id="rId1" xr:uid="{51BE48BD-1B2D-47CB-9B7B-46C783634671}"/>
  </hyperlinks>
  <pageMargins left="0.25" right="0.25" top="0.25" bottom="0.25" header="0.25" footer="0.25"/>
  <pageSetup scale="62" fitToHeight="0" orientation="landscape"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pageSetUpPr fitToPage="1"/>
  </sheetPr>
  <dimension ref="A1:AB78"/>
  <sheetViews>
    <sheetView showGridLines="0" showRowColHeaders="0" zoomScale="85" zoomScaleNormal="85" workbookViewId="0">
      <selection activeCell="V6" sqref="V6:Z6"/>
    </sheetView>
  </sheetViews>
  <sheetFormatPr defaultColWidth="0" defaultRowHeight="14.25" zeroHeight="1"/>
  <cols>
    <col min="1" max="1" width="3.7109375" style="59" customWidth="1"/>
    <col min="2" max="2" width="4.7109375" style="59" customWidth="1"/>
    <col min="3" max="3" width="26.140625" style="59" customWidth="1"/>
    <col min="4" max="4" width="14" style="59" bestFit="1" customWidth="1"/>
    <col min="5" max="5" width="2.7109375" style="59" customWidth="1"/>
    <col min="6" max="6" width="5.7109375" style="59" customWidth="1"/>
    <col min="7" max="8" width="11.7109375" style="59" bestFit="1" customWidth="1"/>
    <col min="9" max="9" width="2.7109375" style="59" customWidth="1"/>
    <col min="10" max="10" width="3.7109375" style="59" customWidth="1"/>
    <col min="11" max="11" width="4.7109375" style="59" customWidth="1"/>
    <col min="12" max="12" width="24.7109375" style="59" customWidth="1"/>
    <col min="13" max="13" width="13.7109375" style="59" customWidth="1"/>
    <col min="14" max="14" width="2.7109375" style="59" customWidth="1"/>
    <col min="15" max="15" width="5.7109375" style="59" customWidth="1"/>
    <col min="16" max="17" width="11.7109375" style="59" bestFit="1" customWidth="1"/>
    <col min="18" max="18" width="2.7109375" style="59" customWidth="1"/>
    <col min="19" max="19" width="3.7109375" style="59" customWidth="1"/>
    <col min="20" max="20" width="4.7109375" style="59" customWidth="1"/>
    <col min="21" max="21" width="24.7109375" style="59" customWidth="1"/>
    <col min="22" max="22" width="13.7109375" style="59" customWidth="1"/>
    <col min="23" max="23" width="2.7109375" style="59" customWidth="1"/>
    <col min="24" max="24" width="5.7109375" style="59" customWidth="1"/>
    <col min="25" max="26" width="11.7109375" style="59" bestFit="1" customWidth="1"/>
    <col min="27" max="27" width="2.7109375" style="59" customWidth="1"/>
    <col min="28" max="28" width="3.7109375" style="59" customWidth="1"/>
    <col min="29" max="16384" width="9.140625" style="59" hidden="1"/>
  </cols>
  <sheetData>
    <row r="1" spans="1:27" ht="18" customHeight="1">
      <c r="A1" s="214"/>
      <c r="C1" s="362"/>
      <c r="D1" s="362"/>
      <c r="E1" s="362"/>
      <c r="F1" s="1159" t="s">
        <v>1350</v>
      </c>
      <c r="G1" s="1159"/>
      <c r="H1" s="1159"/>
      <c r="I1" s="1159"/>
      <c r="J1" s="1159"/>
      <c r="K1" s="1159"/>
      <c r="L1" s="1159"/>
      <c r="M1" s="1159"/>
      <c r="N1" s="1159"/>
      <c r="O1" s="1159"/>
      <c r="P1" s="1159"/>
      <c r="Q1" s="1159"/>
      <c r="R1" s="1159"/>
      <c r="S1" s="1159"/>
      <c r="T1" s="1159"/>
      <c r="U1" s="1159"/>
      <c r="V1" s="1159"/>
      <c r="W1" s="362"/>
      <c r="X1" s="362"/>
      <c r="Y1" s="362"/>
      <c r="Z1" s="362"/>
      <c r="AA1" s="362"/>
    </row>
    <row r="2" spans="1:27" ht="18" customHeight="1">
      <c r="A2" s="214"/>
      <c r="B2" s="362"/>
      <c r="C2" s="362"/>
      <c r="D2" s="362"/>
      <c r="E2" s="362"/>
      <c r="F2" s="1159"/>
      <c r="G2" s="1159"/>
      <c r="H2" s="1159"/>
      <c r="I2" s="1159"/>
      <c r="J2" s="1159"/>
      <c r="K2" s="1159"/>
      <c r="L2" s="1159"/>
      <c r="M2" s="1159"/>
      <c r="N2" s="1159"/>
      <c r="O2" s="1159"/>
      <c r="P2" s="1159"/>
      <c r="Q2" s="1159"/>
      <c r="R2" s="1159"/>
      <c r="S2" s="1159"/>
      <c r="T2" s="1159"/>
      <c r="U2" s="1159"/>
      <c r="V2" s="1159"/>
      <c r="X2" s="1160" t="s">
        <v>1351</v>
      </c>
      <c r="Y2" s="1160"/>
      <c r="Z2" s="362"/>
      <c r="AA2" s="362"/>
    </row>
    <row r="3" spans="1:27" ht="18" customHeight="1">
      <c r="A3" s="214"/>
      <c r="C3" s="364"/>
      <c r="D3" s="364"/>
      <c r="E3" s="364"/>
      <c r="F3" s="1158" t="s">
        <v>1352</v>
      </c>
      <c r="G3" s="1158"/>
      <c r="H3" s="1158"/>
      <c r="I3" s="1158"/>
      <c r="J3" s="1158"/>
      <c r="K3" s="1158"/>
      <c r="L3" s="1158"/>
      <c r="M3" s="1158"/>
      <c r="N3" s="1158"/>
      <c r="O3" s="1158"/>
      <c r="P3" s="1158"/>
      <c r="Q3" s="1158"/>
      <c r="R3" s="1158"/>
      <c r="S3" s="1158"/>
      <c r="T3" s="1158"/>
      <c r="U3" s="1158"/>
      <c r="V3" s="1158"/>
      <c r="W3" s="365"/>
      <c r="X3" s="1160"/>
      <c r="Y3" s="1160"/>
    </row>
    <row r="4" spans="1:27" ht="15" customHeight="1">
      <c r="A4" s="214"/>
      <c r="B4" s="363"/>
      <c r="C4" s="363"/>
      <c r="D4" s="363"/>
      <c r="E4" s="363"/>
      <c r="F4" s="363"/>
      <c r="G4" s="363"/>
      <c r="H4" s="363"/>
      <c r="I4" s="363"/>
      <c r="J4" s="363"/>
      <c r="K4" s="363"/>
      <c r="L4" s="363"/>
      <c r="M4" s="363"/>
      <c r="N4" s="363"/>
      <c r="O4" s="363"/>
      <c r="P4" s="363"/>
      <c r="Q4" s="363"/>
      <c r="R4" s="363"/>
      <c r="S4" s="363"/>
      <c r="T4" s="363"/>
      <c r="U4" s="363"/>
      <c r="V4" s="363"/>
    </row>
    <row r="5" spans="1:27" ht="9.9499999999999993" customHeight="1">
      <c r="A5" s="214"/>
      <c r="B5" s="215"/>
      <c r="C5" s="216"/>
      <c r="D5" s="216"/>
      <c r="E5" s="216"/>
      <c r="F5" s="216"/>
      <c r="G5" s="216"/>
      <c r="H5" s="216"/>
      <c r="I5" s="217"/>
      <c r="J5" s="218"/>
      <c r="K5" s="215"/>
      <c r="L5" s="216"/>
      <c r="M5" s="216"/>
      <c r="N5" s="216"/>
      <c r="O5" s="216"/>
      <c r="P5" s="216"/>
      <c r="Q5" s="216"/>
      <c r="R5" s="217"/>
      <c r="S5" s="214"/>
      <c r="T5" s="215"/>
      <c r="U5" s="216"/>
      <c r="V5" s="216"/>
      <c r="W5" s="216"/>
      <c r="X5" s="216"/>
      <c r="Y5" s="216"/>
      <c r="Z5" s="216"/>
      <c r="AA5" s="209"/>
    </row>
    <row r="6" spans="1:27" ht="16.5" customHeight="1">
      <c r="B6" s="196"/>
      <c r="C6" s="361" t="s">
        <v>1222</v>
      </c>
      <c r="D6" s="1153"/>
      <c r="E6" s="1153"/>
      <c r="F6" s="1153"/>
      <c r="G6" s="1153"/>
      <c r="H6" s="1153"/>
      <c r="I6" s="198"/>
      <c r="J6"/>
      <c r="K6" s="196"/>
      <c r="L6" s="361" t="s">
        <v>1223</v>
      </c>
      <c r="M6" s="1153"/>
      <c r="N6" s="1153"/>
      <c r="O6" s="1153"/>
      <c r="P6" s="1153"/>
      <c r="Q6" s="1153"/>
      <c r="R6" s="198"/>
      <c r="T6" s="196"/>
      <c r="U6" s="361" t="s">
        <v>1224</v>
      </c>
      <c r="V6" s="1153"/>
      <c r="W6" s="1153"/>
      <c r="X6" s="1153"/>
      <c r="Y6" s="1153"/>
      <c r="Z6" s="1153"/>
      <c r="AA6" s="198"/>
    </row>
    <row r="7" spans="1:27" ht="7.5" customHeight="1">
      <c r="B7" s="196"/>
      <c r="C7" s="195"/>
      <c r="D7" s="195"/>
      <c r="E7" s="195"/>
      <c r="F7" s="195"/>
      <c r="G7" s="195"/>
      <c r="H7" s="197"/>
      <c r="I7" s="198"/>
      <c r="J7"/>
      <c r="K7" s="196"/>
      <c r="L7" s="195"/>
      <c r="M7" s="195"/>
      <c r="N7" s="195"/>
      <c r="O7" s="195"/>
      <c r="P7" s="195"/>
      <c r="Q7" s="197"/>
      <c r="R7" s="198"/>
      <c r="T7" s="196"/>
      <c r="U7" s="195"/>
      <c r="V7" s="195"/>
      <c r="W7" s="195"/>
      <c r="X7" s="195"/>
      <c r="Y7" s="195"/>
      <c r="Z7" s="197"/>
      <c r="AA7" s="198"/>
    </row>
    <row r="8" spans="1:27" ht="15" customHeight="1">
      <c r="B8" s="199"/>
      <c r="C8" s="205" t="s">
        <v>1221</v>
      </c>
      <c r="D8" s="206"/>
      <c r="E8" s="1152" t="s">
        <v>91</v>
      </c>
      <c r="F8" s="1152"/>
      <c r="G8" s="205" t="s">
        <v>1220</v>
      </c>
      <c r="H8" s="205" t="s">
        <v>1040</v>
      </c>
      <c r="I8" s="200"/>
      <c r="K8" s="199"/>
      <c r="L8" s="205" t="s">
        <v>1221</v>
      </c>
      <c r="M8" s="206"/>
      <c r="N8" s="1152" t="s">
        <v>91</v>
      </c>
      <c r="O8" s="1152"/>
      <c r="P8" s="205" t="s">
        <v>1220</v>
      </c>
      <c r="Q8" s="205" t="s">
        <v>1040</v>
      </c>
      <c r="R8" s="200"/>
      <c r="T8" s="199"/>
      <c r="U8" s="205" t="s">
        <v>1221</v>
      </c>
      <c r="V8" s="206"/>
      <c r="W8" s="1152" t="s">
        <v>91</v>
      </c>
      <c r="X8" s="1152"/>
      <c r="Y8" s="205" t="s">
        <v>1220</v>
      </c>
      <c r="Z8" s="205" t="s">
        <v>1040</v>
      </c>
      <c r="AA8" s="200"/>
    </row>
    <row r="9" spans="1:27">
      <c r="B9" s="199">
        <v>1</v>
      </c>
      <c r="C9" s="1151"/>
      <c r="D9" s="1151"/>
      <c r="E9" s="1149"/>
      <c r="F9" s="1150"/>
      <c r="G9" s="219"/>
      <c r="H9" s="207" t="str">
        <f>IF(AND(ISBLANK(C9),ISBLANK(E9),ISBLANK(G9)),"",(IF(OR(ISBLANK(C9),ISBLANK(E9),ISBLANK(G9)),"Enter Info",(E9*G9))))</f>
        <v/>
      </c>
      <c r="I9" s="200"/>
      <c r="K9" s="199">
        <v>1</v>
      </c>
      <c r="L9" s="1151"/>
      <c r="M9" s="1151"/>
      <c r="N9" s="1149"/>
      <c r="O9" s="1150"/>
      <c r="P9" s="219"/>
      <c r="Q9" s="210" t="str">
        <f>IF(AND(ISBLANK(L9),ISBLANK(N9),ISBLANK(P9)),"",(IF(OR(ISBLANK(L9),ISBLANK(N9),ISBLANK(P9)),"Enter Info",(N9*P9))))</f>
        <v/>
      </c>
      <c r="R9" s="200"/>
      <c r="T9" s="199">
        <v>1</v>
      </c>
      <c r="U9" s="1151"/>
      <c r="V9" s="1151"/>
      <c r="W9" s="1149"/>
      <c r="X9" s="1150"/>
      <c r="Y9" s="219"/>
      <c r="Z9" s="207" t="str">
        <f t="shared" ref="Z9:Z38" si="0">IF(AND(ISBLANK(U9),ISBLANK(W9),ISBLANK(Y9)),"",(IF(OR(ISBLANK(U9),ISBLANK(W9),ISBLANK(Y9)),"Enter Info",(W9*Y9))))</f>
        <v/>
      </c>
      <c r="AA9" s="200"/>
    </row>
    <row r="10" spans="1:27">
      <c r="B10" s="199">
        <v>2</v>
      </c>
      <c r="C10" s="1148"/>
      <c r="D10" s="1148"/>
      <c r="E10" s="1149"/>
      <c r="F10" s="1150"/>
      <c r="G10" s="220"/>
      <c r="H10" s="207" t="str">
        <f t="shared" ref="H10:H38" si="1">IF(AND(ISBLANK(C10),ISBLANK(E10),ISBLANK(G10)),"",(IF(OR(ISBLANK(C10),ISBLANK(E10),ISBLANK(G10)),"Enter Info",(E10*G10))))</f>
        <v/>
      </c>
      <c r="I10" s="200"/>
      <c r="K10" s="199">
        <v>2</v>
      </c>
      <c r="L10" s="1148"/>
      <c r="M10" s="1148"/>
      <c r="N10" s="1149"/>
      <c r="O10" s="1150"/>
      <c r="P10" s="220"/>
      <c r="Q10" s="210" t="str">
        <f>IF(AND(ISBLANK(L10),ISBLANK(N10),ISBLANK(P10)),"",(IF(OR(ISBLANK(L10),ISBLANK(N10),ISBLANK(P10)),"Enter Info",(N10*P10))))</f>
        <v/>
      </c>
      <c r="R10" s="200"/>
      <c r="T10" s="199">
        <v>2</v>
      </c>
      <c r="U10" s="1148"/>
      <c r="V10" s="1148"/>
      <c r="W10" s="1149"/>
      <c r="X10" s="1150"/>
      <c r="Y10" s="220"/>
      <c r="Z10" s="207" t="str">
        <f t="shared" si="0"/>
        <v/>
      </c>
      <c r="AA10" s="200"/>
    </row>
    <row r="11" spans="1:27">
      <c r="B11" s="199">
        <v>3</v>
      </c>
      <c r="C11" s="1148"/>
      <c r="D11" s="1148"/>
      <c r="E11" s="1154"/>
      <c r="F11" s="1155"/>
      <c r="G11" s="220"/>
      <c r="H11" s="207" t="str">
        <f t="shared" si="1"/>
        <v/>
      </c>
      <c r="I11" s="200"/>
      <c r="K11" s="199">
        <v>3</v>
      </c>
      <c r="L11" s="1148"/>
      <c r="M11" s="1148"/>
      <c r="N11" s="1154"/>
      <c r="O11" s="1155"/>
      <c r="P11" s="220"/>
      <c r="Q11" s="210" t="str">
        <f t="shared" ref="Q11:Q38" si="2">IF(AND(ISBLANK(L11),ISBLANK(N11),ISBLANK(P11)),"",(IF(OR(ISBLANK(L11),ISBLANK(N11),ISBLANK(P11)),"Enter Info",(N11*P11))))</f>
        <v/>
      </c>
      <c r="R11" s="200"/>
      <c r="T11" s="199">
        <v>3</v>
      </c>
      <c r="U11" s="1148"/>
      <c r="V11" s="1148"/>
      <c r="W11" s="1154"/>
      <c r="X11" s="1155"/>
      <c r="Y11" s="220"/>
      <c r="Z11" s="207" t="str">
        <f t="shared" si="0"/>
        <v/>
      </c>
      <c r="AA11" s="200"/>
    </row>
    <row r="12" spans="1:27">
      <c r="B12" s="199">
        <v>4</v>
      </c>
      <c r="C12" s="1148"/>
      <c r="D12" s="1148"/>
      <c r="E12" s="1149"/>
      <c r="F12" s="1150"/>
      <c r="G12" s="220"/>
      <c r="H12" s="207" t="str">
        <f t="shared" si="1"/>
        <v/>
      </c>
      <c r="I12" s="200"/>
      <c r="K12" s="199">
        <v>4</v>
      </c>
      <c r="L12" s="1148"/>
      <c r="M12" s="1148"/>
      <c r="N12" s="1149"/>
      <c r="O12" s="1150"/>
      <c r="P12" s="220"/>
      <c r="Q12" s="210" t="str">
        <f t="shared" si="2"/>
        <v/>
      </c>
      <c r="R12" s="200"/>
      <c r="T12" s="199">
        <v>4</v>
      </c>
      <c r="U12" s="1148"/>
      <c r="V12" s="1148"/>
      <c r="W12" s="1149"/>
      <c r="X12" s="1150"/>
      <c r="Y12" s="220"/>
      <c r="Z12" s="207" t="str">
        <f t="shared" si="0"/>
        <v/>
      </c>
      <c r="AA12" s="200"/>
    </row>
    <row r="13" spans="1:27">
      <c r="B13" s="199">
        <v>5</v>
      </c>
      <c r="C13" s="1148"/>
      <c r="D13" s="1148"/>
      <c r="E13" s="1149"/>
      <c r="F13" s="1150"/>
      <c r="G13" s="220"/>
      <c r="H13" s="207" t="str">
        <f t="shared" si="1"/>
        <v/>
      </c>
      <c r="I13" s="200"/>
      <c r="K13" s="199">
        <v>5</v>
      </c>
      <c r="L13" s="1148"/>
      <c r="M13" s="1148"/>
      <c r="N13" s="1149"/>
      <c r="O13" s="1150"/>
      <c r="P13" s="220"/>
      <c r="Q13" s="210" t="str">
        <f t="shared" si="2"/>
        <v/>
      </c>
      <c r="R13" s="200"/>
      <c r="T13" s="199">
        <v>5</v>
      </c>
      <c r="U13" s="1148"/>
      <c r="V13" s="1148"/>
      <c r="W13" s="1149"/>
      <c r="X13" s="1150"/>
      <c r="Y13" s="220"/>
      <c r="Z13" s="207" t="str">
        <f t="shared" si="0"/>
        <v/>
      </c>
      <c r="AA13" s="200"/>
    </row>
    <row r="14" spans="1:27">
      <c r="B14" s="199">
        <v>6</v>
      </c>
      <c r="C14" s="1148"/>
      <c r="D14" s="1148"/>
      <c r="E14" s="1149"/>
      <c r="F14" s="1150"/>
      <c r="G14" s="220"/>
      <c r="H14" s="207" t="str">
        <f t="shared" si="1"/>
        <v/>
      </c>
      <c r="I14" s="200"/>
      <c r="K14" s="199">
        <v>6</v>
      </c>
      <c r="L14" s="1148"/>
      <c r="M14" s="1148"/>
      <c r="N14" s="1149"/>
      <c r="O14" s="1150"/>
      <c r="P14" s="220"/>
      <c r="Q14" s="210" t="str">
        <f t="shared" si="2"/>
        <v/>
      </c>
      <c r="R14" s="200"/>
      <c r="T14" s="199">
        <v>6</v>
      </c>
      <c r="U14" s="1148"/>
      <c r="V14" s="1148"/>
      <c r="W14" s="1149"/>
      <c r="X14" s="1150"/>
      <c r="Y14" s="220"/>
      <c r="Z14" s="207" t="str">
        <f t="shared" si="0"/>
        <v/>
      </c>
      <c r="AA14" s="200"/>
    </row>
    <row r="15" spans="1:27">
      <c r="B15" s="199">
        <v>7</v>
      </c>
      <c r="C15" s="1148"/>
      <c r="D15" s="1148"/>
      <c r="E15" s="1149"/>
      <c r="F15" s="1150"/>
      <c r="G15" s="220"/>
      <c r="H15" s="207" t="str">
        <f t="shared" si="1"/>
        <v/>
      </c>
      <c r="I15" s="200"/>
      <c r="K15" s="199">
        <v>7</v>
      </c>
      <c r="L15" s="1156"/>
      <c r="M15" s="1157"/>
      <c r="N15" s="1149"/>
      <c r="O15" s="1150"/>
      <c r="P15" s="220"/>
      <c r="Q15" s="210" t="str">
        <f>IF(AND(ISBLANK(L15),ISBLANK(N15),ISBLANK(P15)),"",(IF(OR(ISBLANK(L15),ISBLANK(N15),ISBLANK(P15)),"Enter Info",(N15*P15))))</f>
        <v/>
      </c>
      <c r="R15" s="200"/>
      <c r="T15" s="199">
        <v>7</v>
      </c>
      <c r="U15" s="1148"/>
      <c r="V15" s="1148"/>
      <c r="W15" s="1149"/>
      <c r="X15" s="1150"/>
      <c r="Y15" s="220"/>
      <c r="Z15" s="207" t="str">
        <f t="shared" si="0"/>
        <v/>
      </c>
      <c r="AA15" s="200"/>
    </row>
    <row r="16" spans="1:27">
      <c r="B16" s="199">
        <v>8</v>
      </c>
      <c r="C16" s="1148"/>
      <c r="D16" s="1148"/>
      <c r="E16" s="1149"/>
      <c r="F16" s="1150"/>
      <c r="G16" s="220"/>
      <c r="H16" s="207" t="str">
        <f t="shared" si="1"/>
        <v/>
      </c>
      <c r="I16" s="200"/>
      <c r="K16" s="199">
        <v>8</v>
      </c>
      <c r="L16" s="1148"/>
      <c r="M16" s="1148"/>
      <c r="N16" s="1149"/>
      <c r="O16" s="1150"/>
      <c r="P16" s="220"/>
      <c r="Q16" s="210" t="str">
        <f t="shared" si="2"/>
        <v/>
      </c>
      <c r="R16" s="200"/>
      <c r="T16" s="199">
        <v>8</v>
      </c>
      <c r="U16" s="1148"/>
      <c r="V16" s="1148"/>
      <c r="W16" s="1149"/>
      <c r="X16" s="1150"/>
      <c r="Y16" s="220"/>
      <c r="Z16" s="207" t="str">
        <f t="shared" si="0"/>
        <v/>
      </c>
      <c r="AA16" s="200"/>
    </row>
    <row r="17" spans="2:27">
      <c r="B17" s="199">
        <v>9</v>
      </c>
      <c r="C17" s="1148"/>
      <c r="D17" s="1148"/>
      <c r="E17" s="1149"/>
      <c r="F17" s="1150"/>
      <c r="G17" s="220"/>
      <c r="H17" s="207" t="str">
        <f t="shared" si="1"/>
        <v/>
      </c>
      <c r="I17" s="200"/>
      <c r="K17" s="199">
        <v>9</v>
      </c>
      <c r="L17" s="1148"/>
      <c r="M17" s="1148"/>
      <c r="N17" s="1149"/>
      <c r="O17" s="1150"/>
      <c r="P17" s="220"/>
      <c r="Q17" s="210" t="str">
        <f t="shared" si="2"/>
        <v/>
      </c>
      <c r="R17" s="200"/>
      <c r="T17" s="199">
        <v>9</v>
      </c>
      <c r="U17" s="1148"/>
      <c r="V17" s="1148"/>
      <c r="W17" s="1149"/>
      <c r="X17" s="1150"/>
      <c r="Y17" s="220"/>
      <c r="Z17" s="207" t="str">
        <f t="shared" si="0"/>
        <v/>
      </c>
      <c r="AA17" s="200"/>
    </row>
    <row r="18" spans="2:27">
      <c r="B18" s="199">
        <v>10</v>
      </c>
      <c r="C18" s="1148"/>
      <c r="D18" s="1148"/>
      <c r="E18" s="1149"/>
      <c r="F18" s="1150"/>
      <c r="G18" s="220"/>
      <c r="H18" s="207" t="str">
        <f t="shared" si="1"/>
        <v/>
      </c>
      <c r="I18" s="200"/>
      <c r="K18" s="199">
        <v>10</v>
      </c>
      <c r="L18" s="1148"/>
      <c r="M18" s="1148"/>
      <c r="N18" s="1149"/>
      <c r="O18" s="1150"/>
      <c r="P18" s="220"/>
      <c r="Q18" s="210" t="str">
        <f t="shared" si="2"/>
        <v/>
      </c>
      <c r="R18" s="200"/>
      <c r="T18" s="199">
        <v>10</v>
      </c>
      <c r="U18" s="1148"/>
      <c r="V18" s="1148"/>
      <c r="W18" s="1149"/>
      <c r="X18" s="1150"/>
      <c r="Y18" s="220"/>
      <c r="Z18" s="207" t="str">
        <f t="shared" si="0"/>
        <v/>
      </c>
      <c r="AA18" s="200"/>
    </row>
    <row r="19" spans="2:27">
      <c r="B19" s="199">
        <v>11</v>
      </c>
      <c r="C19" s="1148"/>
      <c r="D19" s="1148"/>
      <c r="E19" s="1149"/>
      <c r="F19" s="1150"/>
      <c r="G19" s="220"/>
      <c r="H19" s="207" t="str">
        <f t="shared" si="1"/>
        <v/>
      </c>
      <c r="I19" s="200"/>
      <c r="K19" s="199">
        <v>11</v>
      </c>
      <c r="L19" s="1148"/>
      <c r="M19" s="1148"/>
      <c r="N19" s="1149"/>
      <c r="O19" s="1150"/>
      <c r="P19" s="220"/>
      <c r="Q19" s="210" t="str">
        <f t="shared" si="2"/>
        <v/>
      </c>
      <c r="R19" s="200"/>
      <c r="T19" s="199">
        <v>11</v>
      </c>
      <c r="U19" s="1148"/>
      <c r="V19" s="1148"/>
      <c r="W19" s="1149"/>
      <c r="X19" s="1150"/>
      <c r="Y19" s="220"/>
      <c r="Z19" s="207" t="str">
        <f t="shared" si="0"/>
        <v/>
      </c>
      <c r="AA19" s="200"/>
    </row>
    <row r="20" spans="2:27">
      <c r="B20" s="199">
        <v>12</v>
      </c>
      <c r="C20" s="1148"/>
      <c r="D20" s="1148"/>
      <c r="E20" s="1149"/>
      <c r="F20" s="1150"/>
      <c r="G20" s="220"/>
      <c r="H20" s="207" t="str">
        <f t="shared" si="1"/>
        <v/>
      </c>
      <c r="I20" s="200"/>
      <c r="K20" s="199">
        <v>12</v>
      </c>
      <c r="L20" s="1148"/>
      <c r="M20" s="1148"/>
      <c r="N20" s="1149"/>
      <c r="O20" s="1150"/>
      <c r="P20" s="220"/>
      <c r="Q20" s="210" t="str">
        <f t="shared" si="2"/>
        <v/>
      </c>
      <c r="R20" s="200"/>
      <c r="T20" s="199">
        <v>12</v>
      </c>
      <c r="U20" s="1148"/>
      <c r="V20" s="1148"/>
      <c r="W20" s="1149"/>
      <c r="X20" s="1150"/>
      <c r="Y20" s="220"/>
      <c r="Z20" s="207" t="str">
        <f t="shared" si="0"/>
        <v/>
      </c>
      <c r="AA20" s="200"/>
    </row>
    <row r="21" spans="2:27">
      <c r="B21" s="199">
        <v>13</v>
      </c>
      <c r="C21" s="1148"/>
      <c r="D21" s="1148"/>
      <c r="E21" s="1149"/>
      <c r="F21" s="1150"/>
      <c r="G21" s="220"/>
      <c r="H21" s="207" t="str">
        <f t="shared" si="1"/>
        <v/>
      </c>
      <c r="I21" s="200"/>
      <c r="K21" s="199">
        <v>13</v>
      </c>
      <c r="L21" s="1148"/>
      <c r="M21" s="1148"/>
      <c r="N21" s="1149"/>
      <c r="O21" s="1150"/>
      <c r="P21" s="220"/>
      <c r="Q21" s="210" t="str">
        <f t="shared" si="2"/>
        <v/>
      </c>
      <c r="R21" s="200"/>
      <c r="T21" s="199">
        <v>13</v>
      </c>
      <c r="U21" s="1148"/>
      <c r="V21" s="1148"/>
      <c r="W21" s="1149"/>
      <c r="X21" s="1150"/>
      <c r="Y21" s="220"/>
      <c r="Z21" s="207" t="str">
        <f t="shared" si="0"/>
        <v/>
      </c>
      <c r="AA21" s="200"/>
    </row>
    <row r="22" spans="2:27">
      <c r="B22" s="199">
        <v>14</v>
      </c>
      <c r="C22" s="1148"/>
      <c r="D22" s="1148"/>
      <c r="E22" s="1149"/>
      <c r="F22" s="1150"/>
      <c r="G22" s="220"/>
      <c r="H22" s="207" t="str">
        <f t="shared" si="1"/>
        <v/>
      </c>
      <c r="I22" s="200"/>
      <c r="K22" s="199">
        <v>14</v>
      </c>
      <c r="L22" s="1148"/>
      <c r="M22" s="1148"/>
      <c r="N22" s="1149"/>
      <c r="O22" s="1150"/>
      <c r="P22" s="220"/>
      <c r="Q22" s="210" t="str">
        <f t="shared" si="2"/>
        <v/>
      </c>
      <c r="R22" s="200"/>
      <c r="T22" s="199">
        <v>14</v>
      </c>
      <c r="U22" s="1148"/>
      <c r="V22" s="1148"/>
      <c r="W22" s="1149"/>
      <c r="X22" s="1150"/>
      <c r="Y22" s="220"/>
      <c r="Z22" s="207" t="str">
        <f t="shared" si="0"/>
        <v/>
      </c>
      <c r="AA22" s="200"/>
    </row>
    <row r="23" spans="2:27">
      <c r="B23" s="199">
        <v>15</v>
      </c>
      <c r="C23" s="1148"/>
      <c r="D23" s="1148"/>
      <c r="E23" s="1149"/>
      <c r="F23" s="1150"/>
      <c r="G23" s="220"/>
      <c r="H23" s="207" t="str">
        <f t="shared" si="1"/>
        <v/>
      </c>
      <c r="I23" s="200"/>
      <c r="K23" s="199">
        <v>15</v>
      </c>
      <c r="L23" s="1148"/>
      <c r="M23" s="1148"/>
      <c r="N23" s="1149"/>
      <c r="O23" s="1150"/>
      <c r="P23" s="220"/>
      <c r="Q23" s="210" t="str">
        <f t="shared" si="2"/>
        <v/>
      </c>
      <c r="R23" s="200"/>
      <c r="T23" s="199">
        <v>15</v>
      </c>
      <c r="U23" s="1148"/>
      <c r="V23" s="1148"/>
      <c r="W23" s="1149"/>
      <c r="X23" s="1150"/>
      <c r="Y23" s="220"/>
      <c r="Z23" s="207" t="str">
        <f t="shared" si="0"/>
        <v/>
      </c>
      <c r="AA23" s="200"/>
    </row>
    <row r="24" spans="2:27">
      <c r="B24" s="199">
        <v>16</v>
      </c>
      <c r="C24" s="1148"/>
      <c r="D24" s="1148"/>
      <c r="E24" s="1149"/>
      <c r="F24" s="1150"/>
      <c r="G24" s="220"/>
      <c r="H24" s="207" t="str">
        <f t="shared" si="1"/>
        <v/>
      </c>
      <c r="I24" s="200"/>
      <c r="K24" s="199">
        <v>16</v>
      </c>
      <c r="L24" s="1148"/>
      <c r="M24" s="1148"/>
      <c r="N24" s="1149"/>
      <c r="O24" s="1150"/>
      <c r="P24" s="220"/>
      <c r="Q24" s="210" t="str">
        <f t="shared" si="2"/>
        <v/>
      </c>
      <c r="R24" s="200"/>
      <c r="T24" s="199">
        <v>16</v>
      </c>
      <c r="U24" s="1148"/>
      <c r="V24" s="1148"/>
      <c r="W24" s="1149"/>
      <c r="X24" s="1150"/>
      <c r="Y24" s="220"/>
      <c r="Z24" s="207" t="str">
        <f t="shared" si="0"/>
        <v/>
      </c>
      <c r="AA24" s="200"/>
    </row>
    <row r="25" spans="2:27">
      <c r="B25" s="199">
        <v>17</v>
      </c>
      <c r="C25" s="1148"/>
      <c r="D25" s="1148"/>
      <c r="E25" s="1149"/>
      <c r="F25" s="1150"/>
      <c r="G25" s="220"/>
      <c r="H25" s="207" t="str">
        <f t="shared" si="1"/>
        <v/>
      </c>
      <c r="I25" s="200"/>
      <c r="K25" s="199">
        <v>17</v>
      </c>
      <c r="L25" s="1148"/>
      <c r="M25" s="1148"/>
      <c r="N25" s="1149"/>
      <c r="O25" s="1150"/>
      <c r="P25" s="220"/>
      <c r="Q25" s="210" t="str">
        <f t="shared" si="2"/>
        <v/>
      </c>
      <c r="R25" s="200"/>
      <c r="T25" s="199">
        <v>17</v>
      </c>
      <c r="U25" s="1148"/>
      <c r="V25" s="1148"/>
      <c r="W25" s="1149"/>
      <c r="X25" s="1150"/>
      <c r="Y25" s="220"/>
      <c r="Z25" s="207" t="str">
        <f t="shared" si="0"/>
        <v/>
      </c>
      <c r="AA25" s="200"/>
    </row>
    <row r="26" spans="2:27">
      <c r="B26" s="199">
        <v>18</v>
      </c>
      <c r="C26" s="1148"/>
      <c r="D26" s="1148"/>
      <c r="E26" s="1149"/>
      <c r="F26" s="1150"/>
      <c r="G26" s="220"/>
      <c r="H26" s="207" t="str">
        <f t="shared" si="1"/>
        <v/>
      </c>
      <c r="I26" s="200"/>
      <c r="K26" s="199">
        <v>18</v>
      </c>
      <c r="L26" s="1148"/>
      <c r="M26" s="1148"/>
      <c r="N26" s="1149"/>
      <c r="O26" s="1150"/>
      <c r="P26" s="220"/>
      <c r="Q26" s="210" t="str">
        <f t="shared" si="2"/>
        <v/>
      </c>
      <c r="R26" s="200"/>
      <c r="T26" s="199">
        <v>18</v>
      </c>
      <c r="U26" s="1148"/>
      <c r="V26" s="1148"/>
      <c r="W26" s="1149"/>
      <c r="X26" s="1150"/>
      <c r="Y26" s="220"/>
      <c r="Z26" s="207" t="str">
        <f t="shared" si="0"/>
        <v/>
      </c>
      <c r="AA26" s="200"/>
    </row>
    <row r="27" spans="2:27">
      <c r="B27" s="199">
        <v>19</v>
      </c>
      <c r="C27" s="1148"/>
      <c r="D27" s="1148"/>
      <c r="E27" s="1149"/>
      <c r="F27" s="1150"/>
      <c r="G27" s="220"/>
      <c r="H27" s="207" t="str">
        <f t="shared" si="1"/>
        <v/>
      </c>
      <c r="I27" s="200"/>
      <c r="K27" s="199">
        <v>19</v>
      </c>
      <c r="L27" s="1148"/>
      <c r="M27" s="1148"/>
      <c r="N27" s="1149"/>
      <c r="O27" s="1150"/>
      <c r="P27" s="220"/>
      <c r="Q27" s="210" t="str">
        <f t="shared" si="2"/>
        <v/>
      </c>
      <c r="R27" s="200"/>
      <c r="T27" s="199">
        <v>19</v>
      </c>
      <c r="U27" s="1148"/>
      <c r="V27" s="1148"/>
      <c r="W27" s="1149"/>
      <c r="X27" s="1150"/>
      <c r="Y27" s="220"/>
      <c r="Z27" s="207" t="str">
        <f t="shared" si="0"/>
        <v/>
      </c>
      <c r="AA27" s="200"/>
    </row>
    <row r="28" spans="2:27">
      <c r="B28" s="199">
        <v>20</v>
      </c>
      <c r="C28" s="1148"/>
      <c r="D28" s="1148"/>
      <c r="E28" s="1149"/>
      <c r="F28" s="1150"/>
      <c r="G28" s="220"/>
      <c r="H28" s="207" t="str">
        <f t="shared" si="1"/>
        <v/>
      </c>
      <c r="I28" s="200"/>
      <c r="K28" s="199">
        <v>20</v>
      </c>
      <c r="L28" s="1148"/>
      <c r="M28" s="1148"/>
      <c r="N28" s="1149"/>
      <c r="O28" s="1150"/>
      <c r="P28" s="220"/>
      <c r="Q28" s="210" t="str">
        <f t="shared" si="2"/>
        <v/>
      </c>
      <c r="R28" s="200"/>
      <c r="T28" s="199">
        <v>20</v>
      </c>
      <c r="U28" s="1148"/>
      <c r="V28" s="1148"/>
      <c r="W28" s="1149"/>
      <c r="X28" s="1150"/>
      <c r="Y28" s="220"/>
      <c r="Z28" s="207" t="str">
        <f t="shared" si="0"/>
        <v/>
      </c>
      <c r="AA28" s="200"/>
    </row>
    <row r="29" spans="2:27">
      <c r="B29" s="199">
        <v>21</v>
      </c>
      <c r="C29" s="1148"/>
      <c r="D29" s="1148"/>
      <c r="E29" s="1149"/>
      <c r="F29" s="1150"/>
      <c r="G29" s="220"/>
      <c r="H29" s="207" t="str">
        <f t="shared" si="1"/>
        <v/>
      </c>
      <c r="I29" s="200"/>
      <c r="K29" s="199">
        <v>21</v>
      </c>
      <c r="L29" s="1148"/>
      <c r="M29" s="1148"/>
      <c r="N29" s="1149"/>
      <c r="O29" s="1150"/>
      <c r="P29" s="220"/>
      <c r="Q29" s="210" t="str">
        <f t="shared" si="2"/>
        <v/>
      </c>
      <c r="R29" s="200"/>
      <c r="T29" s="199">
        <v>21</v>
      </c>
      <c r="U29" s="1148"/>
      <c r="V29" s="1148"/>
      <c r="W29" s="1149"/>
      <c r="X29" s="1150"/>
      <c r="Y29" s="220"/>
      <c r="Z29" s="207" t="str">
        <f t="shared" si="0"/>
        <v/>
      </c>
      <c r="AA29" s="200"/>
    </row>
    <row r="30" spans="2:27">
      <c r="B30" s="199">
        <v>22</v>
      </c>
      <c r="C30" s="1148"/>
      <c r="D30" s="1148"/>
      <c r="E30" s="1149"/>
      <c r="F30" s="1150"/>
      <c r="G30" s="220"/>
      <c r="H30" s="207" t="str">
        <f t="shared" si="1"/>
        <v/>
      </c>
      <c r="I30" s="200"/>
      <c r="K30" s="199">
        <v>22</v>
      </c>
      <c r="L30" s="1148"/>
      <c r="M30" s="1148"/>
      <c r="N30" s="1149"/>
      <c r="O30" s="1150"/>
      <c r="P30" s="220"/>
      <c r="Q30" s="210" t="str">
        <f t="shared" si="2"/>
        <v/>
      </c>
      <c r="R30" s="200"/>
      <c r="T30" s="199">
        <v>22</v>
      </c>
      <c r="U30" s="1148"/>
      <c r="V30" s="1148"/>
      <c r="W30" s="1149"/>
      <c r="X30" s="1150"/>
      <c r="Y30" s="220"/>
      <c r="Z30" s="207" t="str">
        <f t="shared" si="0"/>
        <v/>
      </c>
      <c r="AA30" s="200"/>
    </row>
    <row r="31" spans="2:27">
      <c r="B31" s="199">
        <v>23</v>
      </c>
      <c r="C31" s="1148"/>
      <c r="D31" s="1148"/>
      <c r="E31" s="1149"/>
      <c r="F31" s="1150"/>
      <c r="G31" s="220"/>
      <c r="H31" s="207" t="str">
        <f t="shared" si="1"/>
        <v/>
      </c>
      <c r="I31" s="200"/>
      <c r="K31" s="199">
        <v>23</v>
      </c>
      <c r="L31" s="1148"/>
      <c r="M31" s="1148"/>
      <c r="N31" s="1149"/>
      <c r="O31" s="1150"/>
      <c r="P31" s="220"/>
      <c r="Q31" s="210" t="str">
        <f t="shared" si="2"/>
        <v/>
      </c>
      <c r="R31" s="200"/>
      <c r="T31" s="199">
        <v>23</v>
      </c>
      <c r="U31" s="1148"/>
      <c r="V31" s="1148"/>
      <c r="W31" s="1149"/>
      <c r="X31" s="1150"/>
      <c r="Y31" s="220"/>
      <c r="Z31" s="207" t="str">
        <f t="shared" si="0"/>
        <v/>
      </c>
      <c r="AA31" s="200"/>
    </row>
    <row r="32" spans="2:27">
      <c r="B32" s="199">
        <v>24</v>
      </c>
      <c r="C32" s="1148"/>
      <c r="D32" s="1148"/>
      <c r="E32" s="1149"/>
      <c r="F32" s="1150"/>
      <c r="G32" s="220"/>
      <c r="H32" s="207" t="str">
        <f t="shared" si="1"/>
        <v/>
      </c>
      <c r="I32" s="200"/>
      <c r="K32" s="199">
        <v>24</v>
      </c>
      <c r="L32" s="1148"/>
      <c r="M32" s="1148"/>
      <c r="N32" s="1149"/>
      <c r="O32" s="1150"/>
      <c r="P32" s="220"/>
      <c r="Q32" s="210" t="str">
        <f t="shared" si="2"/>
        <v/>
      </c>
      <c r="R32" s="200"/>
      <c r="T32" s="199">
        <v>24</v>
      </c>
      <c r="U32" s="1148"/>
      <c r="V32" s="1148"/>
      <c r="W32" s="1149"/>
      <c r="X32" s="1150"/>
      <c r="Y32" s="220"/>
      <c r="Z32" s="207" t="str">
        <f t="shared" si="0"/>
        <v/>
      </c>
      <c r="AA32" s="200"/>
    </row>
    <row r="33" spans="2:27">
      <c r="B33" s="199">
        <v>25</v>
      </c>
      <c r="C33" s="1148"/>
      <c r="D33" s="1148"/>
      <c r="E33" s="1149"/>
      <c r="F33" s="1150"/>
      <c r="G33" s="220"/>
      <c r="H33" s="207" t="str">
        <f t="shared" si="1"/>
        <v/>
      </c>
      <c r="I33" s="200"/>
      <c r="K33" s="199">
        <v>25</v>
      </c>
      <c r="L33" s="1148"/>
      <c r="M33" s="1148"/>
      <c r="N33" s="1149"/>
      <c r="O33" s="1150"/>
      <c r="P33" s="220"/>
      <c r="Q33" s="210" t="str">
        <f t="shared" si="2"/>
        <v/>
      </c>
      <c r="R33" s="200"/>
      <c r="T33" s="199">
        <v>25</v>
      </c>
      <c r="U33" s="1148"/>
      <c r="V33" s="1148"/>
      <c r="W33" s="1149"/>
      <c r="X33" s="1150"/>
      <c r="Y33" s="220"/>
      <c r="Z33" s="207" t="str">
        <f t="shared" si="0"/>
        <v/>
      </c>
      <c r="AA33" s="200"/>
    </row>
    <row r="34" spans="2:27">
      <c r="B34" s="199">
        <v>26</v>
      </c>
      <c r="C34" s="1148"/>
      <c r="D34" s="1148"/>
      <c r="E34" s="1149"/>
      <c r="F34" s="1150"/>
      <c r="G34" s="220"/>
      <c r="H34" s="207" t="str">
        <f t="shared" si="1"/>
        <v/>
      </c>
      <c r="I34" s="200"/>
      <c r="K34" s="199">
        <v>26</v>
      </c>
      <c r="L34" s="1148"/>
      <c r="M34" s="1148"/>
      <c r="N34" s="1149"/>
      <c r="O34" s="1150"/>
      <c r="P34" s="220"/>
      <c r="Q34" s="210" t="str">
        <f t="shared" si="2"/>
        <v/>
      </c>
      <c r="R34" s="200"/>
      <c r="T34" s="199">
        <v>26</v>
      </c>
      <c r="U34" s="1148"/>
      <c r="V34" s="1148"/>
      <c r="W34" s="1149"/>
      <c r="X34" s="1150"/>
      <c r="Y34" s="220"/>
      <c r="Z34" s="207" t="str">
        <f t="shared" si="0"/>
        <v/>
      </c>
      <c r="AA34" s="200"/>
    </row>
    <row r="35" spans="2:27">
      <c r="B35" s="199">
        <v>27</v>
      </c>
      <c r="C35" s="1148"/>
      <c r="D35" s="1148"/>
      <c r="E35" s="1149"/>
      <c r="F35" s="1150"/>
      <c r="G35" s="220"/>
      <c r="H35" s="207" t="str">
        <f t="shared" si="1"/>
        <v/>
      </c>
      <c r="I35" s="200"/>
      <c r="K35" s="199">
        <v>27</v>
      </c>
      <c r="L35" s="1148"/>
      <c r="M35" s="1148"/>
      <c r="N35" s="1149"/>
      <c r="O35" s="1150"/>
      <c r="P35" s="220"/>
      <c r="Q35" s="210" t="str">
        <f t="shared" si="2"/>
        <v/>
      </c>
      <c r="R35" s="200"/>
      <c r="T35" s="199">
        <v>27</v>
      </c>
      <c r="U35" s="1148"/>
      <c r="V35" s="1148"/>
      <c r="W35" s="1149"/>
      <c r="X35" s="1150"/>
      <c r="Y35" s="220"/>
      <c r="Z35" s="207" t="str">
        <f t="shared" si="0"/>
        <v/>
      </c>
      <c r="AA35" s="200"/>
    </row>
    <row r="36" spans="2:27">
      <c r="B36" s="199">
        <v>28</v>
      </c>
      <c r="C36" s="1148"/>
      <c r="D36" s="1148"/>
      <c r="E36" s="1149"/>
      <c r="F36" s="1150"/>
      <c r="G36" s="220"/>
      <c r="H36" s="207" t="str">
        <f t="shared" si="1"/>
        <v/>
      </c>
      <c r="I36" s="200"/>
      <c r="K36" s="199">
        <v>28</v>
      </c>
      <c r="L36" s="1148"/>
      <c r="M36" s="1148"/>
      <c r="N36" s="1149"/>
      <c r="O36" s="1150"/>
      <c r="P36" s="220"/>
      <c r="Q36" s="210" t="str">
        <f t="shared" si="2"/>
        <v/>
      </c>
      <c r="R36" s="200"/>
      <c r="T36" s="199">
        <v>28</v>
      </c>
      <c r="U36" s="1148"/>
      <c r="V36" s="1148"/>
      <c r="W36" s="1149"/>
      <c r="X36" s="1150"/>
      <c r="Y36" s="220"/>
      <c r="Z36" s="207" t="str">
        <f t="shared" si="0"/>
        <v/>
      </c>
      <c r="AA36" s="200"/>
    </row>
    <row r="37" spans="2:27">
      <c r="B37" s="199">
        <v>29</v>
      </c>
      <c r="C37" s="1148"/>
      <c r="D37" s="1148"/>
      <c r="E37" s="1149"/>
      <c r="F37" s="1150"/>
      <c r="G37" s="220"/>
      <c r="H37" s="207" t="str">
        <f t="shared" si="1"/>
        <v/>
      </c>
      <c r="I37" s="200"/>
      <c r="K37" s="199">
        <v>29</v>
      </c>
      <c r="L37" s="1148"/>
      <c r="M37" s="1148"/>
      <c r="N37" s="1149"/>
      <c r="O37" s="1150"/>
      <c r="P37" s="220"/>
      <c r="Q37" s="210" t="str">
        <f t="shared" si="2"/>
        <v/>
      </c>
      <c r="R37" s="200"/>
      <c r="T37" s="199">
        <v>29</v>
      </c>
      <c r="U37" s="1148"/>
      <c r="V37" s="1148"/>
      <c r="W37" s="1149"/>
      <c r="X37" s="1150"/>
      <c r="Y37" s="220"/>
      <c r="Z37" s="207" t="str">
        <f t="shared" si="0"/>
        <v/>
      </c>
      <c r="AA37" s="200"/>
    </row>
    <row r="38" spans="2:27">
      <c r="B38" s="199">
        <v>30</v>
      </c>
      <c r="C38" s="1148"/>
      <c r="D38" s="1148"/>
      <c r="E38" s="1149"/>
      <c r="F38" s="1150"/>
      <c r="G38" s="220"/>
      <c r="H38" s="207" t="str">
        <f t="shared" si="1"/>
        <v/>
      </c>
      <c r="I38" s="200"/>
      <c r="K38" s="199">
        <v>30</v>
      </c>
      <c r="L38" s="1148"/>
      <c r="M38" s="1148"/>
      <c r="N38" s="1149"/>
      <c r="O38" s="1150"/>
      <c r="P38" s="220"/>
      <c r="Q38" s="210" t="str">
        <f t="shared" si="2"/>
        <v/>
      </c>
      <c r="R38" s="200"/>
      <c r="T38" s="199">
        <v>30</v>
      </c>
      <c r="U38" s="1148"/>
      <c r="V38" s="1148"/>
      <c r="W38" s="1149"/>
      <c r="X38" s="1150"/>
      <c r="Y38" s="220"/>
      <c r="Z38" s="207" t="str">
        <f t="shared" si="0"/>
        <v/>
      </c>
      <c r="AA38" s="200"/>
    </row>
    <row r="39" spans="2:27">
      <c r="B39" s="199"/>
      <c r="C39" s="194"/>
      <c r="D39" s="194"/>
      <c r="E39" s="194"/>
      <c r="F39" s="194"/>
      <c r="G39" s="194" t="s">
        <v>1040</v>
      </c>
      <c r="H39" s="208">
        <f>SUM(H9:H38)</f>
        <v>0</v>
      </c>
      <c r="I39" s="200"/>
      <c r="K39" s="199"/>
      <c r="L39" s="194"/>
      <c r="M39" s="194"/>
      <c r="N39" s="194"/>
      <c r="O39" s="194"/>
      <c r="P39" s="194" t="s">
        <v>1040</v>
      </c>
      <c r="Q39" s="211">
        <f>SUM(Q9:Q38)</f>
        <v>0</v>
      </c>
      <c r="R39" s="200"/>
      <c r="T39" s="199"/>
      <c r="U39" s="194"/>
      <c r="V39" s="194"/>
      <c r="W39" s="194"/>
      <c r="X39" s="194"/>
      <c r="Y39" s="194" t="s">
        <v>1040</v>
      </c>
      <c r="Z39" s="208">
        <f>SUM(Z9:Z38)</f>
        <v>0</v>
      </c>
      <c r="AA39" s="200"/>
    </row>
    <row r="40" spans="2:27" ht="9.9499999999999993" customHeight="1">
      <c r="B40" s="201"/>
      <c r="C40" s="202"/>
      <c r="D40" s="202"/>
      <c r="E40" s="202"/>
      <c r="F40" s="202"/>
      <c r="G40" s="202"/>
      <c r="H40" s="213"/>
      <c r="I40" s="204"/>
      <c r="K40" s="201"/>
      <c r="L40" s="202"/>
      <c r="M40" s="202"/>
      <c r="N40" s="202"/>
      <c r="O40" s="202"/>
      <c r="P40" s="202"/>
      <c r="Q40" s="203"/>
      <c r="R40" s="204"/>
      <c r="T40" s="201"/>
      <c r="U40" s="202"/>
      <c r="V40" s="202"/>
      <c r="W40" s="202"/>
      <c r="X40" s="202"/>
      <c r="Y40" s="202"/>
      <c r="Z40" s="203"/>
      <c r="AA40" s="204"/>
    </row>
    <row r="41" spans="2:27" ht="15">
      <c r="H41"/>
      <c r="I41"/>
      <c r="J41"/>
      <c r="P41"/>
      <c r="Q41"/>
    </row>
    <row r="42" spans="2:27" ht="9.9499999999999993" customHeight="1">
      <c r="B42" s="215"/>
      <c r="C42" s="216"/>
      <c r="D42" s="216"/>
      <c r="E42" s="216"/>
      <c r="F42" s="216"/>
      <c r="G42" s="216"/>
      <c r="H42" s="216"/>
      <c r="I42" s="217"/>
      <c r="J42" s="218"/>
      <c r="K42" s="215"/>
      <c r="L42" s="216"/>
      <c r="M42" s="216"/>
      <c r="N42" s="216"/>
      <c r="O42" s="216"/>
      <c r="P42" s="216"/>
      <c r="Q42" s="216"/>
      <c r="R42" s="217"/>
      <c r="S42" s="214"/>
      <c r="T42" s="215"/>
      <c r="U42" s="216"/>
      <c r="V42" s="216"/>
      <c r="W42" s="216"/>
      <c r="X42" s="216"/>
      <c r="Y42" s="216"/>
      <c r="Z42" s="216"/>
      <c r="AA42" s="209"/>
    </row>
    <row r="43" spans="2:27" ht="15">
      <c r="B43" s="196"/>
      <c r="C43" s="361" t="s">
        <v>1347</v>
      </c>
      <c r="D43" s="1153"/>
      <c r="E43" s="1153"/>
      <c r="F43" s="1153"/>
      <c r="G43" s="1153"/>
      <c r="H43" s="1153"/>
      <c r="I43" s="198"/>
      <c r="J43"/>
      <c r="K43" s="196"/>
      <c r="L43" s="361" t="s">
        <v>1348</v>
      </c>
      <c r="M43" s="1153"/>
      <c r="N43" s="1153"/>
      <c r="O43" s="1153"/>
      <c r="P43" s="1153"/>
      <c r="Q43" s="1153"/>
      <c r="R43" s="198"/>
      <c r="T43" s="196"/>
      <c r="U43" s="361" t="s">
        <v>1349</v>
      </c>
      <c r="V43" s="1153"/>
      <c r="W43" s="1153"/>
      <c r="X43" s="1153"/>
      <c r="Y43" s="1153"/>
      <c r="Z43" s="1153"/>
      <c r="AA43" s="198"/>
    </row>
    <row r="44" spans="2:27" ht="15">
      <c r="B44" s="196"/>
      <c r="C44" s="195"/>
      <c r="D44" s="195"/>
      <c r="E44" s="195"/>
      <c r="F44" s="195"/>
      <c r="G44" s="195"/>
      <c r="H44" s="197"/>
      <c r="I44" s="198"/>
      <c r="J44"/>
      <c r="K44" s="196"/>
      <c r="L44" s="195"/>
      <c r="M44" s="195"/>
      <c r="N44" s="195"/>
      <c r="O44" s="195"/>
      <c r="P44" s="195"/>
      <c r="Q44" s="197"/>
      <c r="R44" s="198"/>
      <c r="T44" s="196"/>
      <c r="U44" s="195"/>
      <c r="V44" s="195"/>
      <c r="W44" s="195"/>
      <c r="X44" s="195"/>
      <c r="Y44" s="195"/>
      <c r="Z44" s="197"/>
      <c r="AA44" s="198"/>
    </row>
    <row r="45" spans="2:27">
      <c r="B45" s="199"/>
      <c r="C45" s="205" t="s">
        <v>1221</v>
      </c>
      <c r="D45" s="206"/>
      <c r="E45" s="1152" t="s">
        <v>91</v>
      </c>
      <c r="F45" s="1152"/>
      <c r="G45" s="205" t="s">
        <v>1220</v>
      </c>
      <c r="H45" s="205" t="s">
        <v>1040</v>
      </c>
      <c r="I45" s="200"/>
      <c r="K45" s="199"/>
      <c r="L45" s="205" t="s">
        <v>1221</v>
      </c>
      <c r="M45" s="206"/>
      <c r="N45" s="1152" t="s">
        <v>91</v>
      </c>
      <c r="O45" s="1152"/>
      <c r="P45" s="205" t="s">
        <v>1220</v>
      </c>
      <c r="Q45" s="205" t="s">
        <v>1040</v>
      </c>
      <c r="R45" s="200"/>
      <c r="T45" s="199"/>
      <c r="U45" s="205" t="s">
        <v>1221</v>
      </c>
      <c r="V45" s="206"/>
      <c r="W45" s="1152" t="s">
        <v>91</v>
      </c>
      <c r="X45" s="1152"/>
      <c r="Y45" s="205" t="s">
        <v>1220</v>
      </c>
      <c r="Z45" s="205" t="s">
        <v>1040</v>
      </c>
      <c r="AA45" s="200"/>
    </row>
    <row r="46" spans="2:27">
      <c r="B46" s="199">
        <v>1</v>
      </c>
      <c r="C46" s="1151"/>
      <c r="D46" s="1151"/>
      <c r="E46" s="1149"/>
      <c r="F46" s="1150"/>
      <c r="G46" s="219"/>
      <c r="H46" s="207" t="str">
        <f>IF(AND(ISBLANK(C46),ISBLANK(E46),ISBLANK(G46)),"",(IF(OR(ISBLANK(C46),ISBLANK(E46),ISBLANK(G46)),"Enter Info",(E46*G46))))</f>
        <v/>
      </c>
      <c r="I46" s="200"/>
      <c r="K46" s="199">
        <v>1</v>
      </c>
      <c r="L46" s="1151"/>
      <c r="M46" s="1151"/>
      <c r="N46" s="1149"/>
      <c r="O46" s="1150"/>
      <c r="P46" s="219"/>
      <c r="Q46" s="210" t="str">
        <f>IF(AND(ISBLANK(L46),ISBLANK(N46),ISBLANK(P46)),"",(IF(OR(ISBLANK(L46),ISBLANK(N46),ISBLANK(P46)),"Enter Info",(N46*P46))))</f>
        <v/>
      </c>
      <c r="R46" s="200"/>
      <c r="T46" s="199">
        <v>1</v>
      </c>
      <c r="U46" s="1151"/>
      <c r="V46" s="1151"/>
      <c r="W46" s="1149"/>
      <c r="X46" s="1150"/>
      <c r="Y46" s="219"/>
      <c r="Z46" s="207" t="str">
        <f t="shared" ref="Z46:Z75" si="3">IF(AND(ISBLANK(U46),ISBLANK(W46),ISBLANK(Y46)),"",(IF(OR(ISBLANK(U46),ISBLANK(W46),ISBLANK(Y46)),"Enter Info",(W46*Y46))))</f>
        <v/>
      </c>
      <c r="AA46" s="200"/>
    </row>
    <row r="47" spans="2:27">
      <c r="B47" s="199">
        <v>2</v>
      </c>
      <c r="C47" s="1148"/>
      <c r="D47" s="1148"/>
      <c r="E47" s="1149"/>
      <c r="F47" s="1150"/>
      <c r="G47" s="220"/>
      <c r="H47" s="207" t="str">
        <f t="shared" ref="H47:H75" si="4">IF(AND(ISBLANK(C47),ISBLANK(E47),ISBLANK(G47)),"",(IF(OR(ISBLANK(C47),ISBLANK(E47),ISBLANK(G47)),"Enter Info",(E47*G47))))</f>
        <v/>
      </c>
      <c r="I47" s="200"/>
      <c r="K47" s="199">
        <v>2</v>
      </c>
      <c r="L47" s="1148"/>
      <c r="M47" s="1148"/>
      <c r="N47" s="1149"/>
      <c r="O47" s="1150"/>
      <c r="P47" s="220"/>
      <c r="Q47" s="210" t="str">
        <f>IF(AND(ISBLANK(L47),ISBLANK(N47),ISBLANK(P47)),"",(IF(OR(ISBLANK(L47),ISBLANK(N47),ISBLANK(P47)),"Enter Info",(N47*P47))))</f>
        <v/>
      </c>
      <c r="R47" s="200"/>
      <c r="T47" s="199">
        <v>2</v>
      </c>
      <c r="U47" s="1148"/>
      <c r="V47" s="1148"/>
      <c r="W47" s="1149"/>
      <c r="X47" s="1150"/>
      <c r="Y47" s="220"/>
      <c r="Z47" s="207" t="str">
        <f t="shared" si="3"/>
        <v/>
      </c>
      <c r="AA47" s="200"/>
    </row>
    <row r="48" spans="2:27">
      <c r="B48" s="199">
        <v>3</v>
      </c>
      <c r="C48" s="1148"/>
      <c r="D48" s="1148"/>
      <c r="E48" s="1154"/>
      <c r="F48" s="1155"/>
      <c r="G48" s="220"/>
      <c r="H48" s="207" t="str">
        <f t="shared" si="4"/>
        <v/>
      </c>
      <c r="I48" s="200"/>
      <c r="K48" s="199">
        <v>3</v>
      </c>
      <c r="L48" s="1148"/>
      <c r="M48" s="1148"/>
      <c r="N48" s="1154"/>
      <c r="O48" s="1155"/>
      <c r="P48" s="220"/>
      <c r="Q48" s="210" t="str">
        <f t="shared" ref="Q48:Q51" si="5">IF(AND(ISBLANK(L48),ISBLANK(N48),ISBLANK(P48)),"",(IF(OR(ISBLANK(L48),ISBLANK(N48),ISBLANK(P48)),"Enter Info",(N48*P48))))</f>
        <v/>
      </c>
      <c r="R48" s="200"/>
      <c r="T48" s="199">
        <v>3</v>
      </c>
      <c r="U48" s="1148"/>
      <c r="V48" s="1148"/>
      <c r="W48" s="1154"/>
      <c r="X48" s="1155"/>
      <c r="Y48" s="220"/>
      <c r="Z48" s="207" t="str">
        <f t="shared" si="3"/>
        <v/>
      </c>
      <c r="AA48" s="200"/>
    </row>
    <row r="49" spans="2:27">
      <c r="B49" s="199">
        <v>4</v>
      </c>
      <c r="C49" s="1148"/>
      <c r="D49" s="1148"/>
      <c r="E49" s="1149"/>
      <c r="F49" s="1150"/>
      <c r="G49" s="220"/>
      <c r="H49" s="207" t="str">
        <f t="shared" si="4"/>
        <v/>
      </c>
      <c r="I49" s="200"/>
      <c r="K49" s="199">
        <v>4</v>
      </c>
      <c r="L49" s="1148"/>
      <c r="M49" s="1148"/>
      <c r="N49" s="1149"/>
      <c r="O49" s="1150"/>
      <c r="P49" s="220"/>
      <c r="Q49" s="210" t="str">
        <f t="shared" si="5"/>
        <v/>
      </c>
      <c r="R49" s="200"/>
      <c r="T49" s="199">
        <v>4</v>
      </c>
      <c r="U49" s="1148"/>
      <c r="V49" s="1148"/>
      <c r="W49" s="1149"/>
      <c r="X49" s="1150"/>
      <c r="Y49" s="220"/>
      <c r="Z49" s="207" t="str">
        <f t="shared" si="3"/>
        <v/>
      </c>
      <c r="AA49" s="200"/>
    </row>
    <row r="50" spans="2:27">
      <c r="B50" s="199">
        <v>5</v>
      </c>
      <c r="C50" s="1148"/>
      <c r="D50" s="1148"/>
      <c r="E50" s="1149"/>
      <c r="F50" s="1150"/>
      <c r="G50" s="220"/>
      <c r="H50" s="207" t="str">
        <f t="shared" si="4"/>
        <v/>
      </c>
      <c r="I50" s="200"/>
      <c r="K50" s="199">
        <v>5</v>
      </c>
      <c r="L50" s="1148"/>
      <c r="M50" s="1148"/>
      <c r="N50" s="1149"/>
      <c r="O50" s="1150"/>
      <c r="P50" s="220"/>
      <c r="Q50" s="210" t="str">
        <f t="shared" si="5"/>
        <v/>
      </c>
      <c r="R50" s="200"/>
      <c r="T50" s="199">
        <v>5</v>
      </c>
      <c r="U50" s="1148"/>
      <c r="V50" s="1148"/>
      <c r="W50" s="1149"/>
      <c r="X50" s="1150"/>
      <c r="Y50" s="220"/>
      <c r="Z50" s="207" t="str">
        <f t="shared" si="3"/>
        <v/>
      </c>
      <c r="AA50" s="200"/>
    </row>
    <row r="51" spans="2:27">
      <c r="B51" s="199">
        <v>6</v>
      </c>
      <c r="C51" s="1148"/>
      <c r="D51" s="1148"/>
      <c r="E51" s="1149"/>
      <c r="F51" s="1150"/>
      <c r="G51" s="220"/>
      <c r="H51" s="207" t="str">
        <f t="shared" si="4"/>
        <v/>
      </c>
      <c r="I51" s="200"/>
      <c r="K51" s="199">
        <v>6</v>
      </c>
      <c r="L51" s="1148"/>
      <c r="M51" s="1148"/>
      <c r="N51" s="1149"/>
      <c r="O51" s="1150"/>
      <c r="P51" s="220"/>
      <c r="Q51" s="210" t="str">
        <f t="shared" si="5"/>
        <v/>
      </c>
      <c r="R51" s="200"/>
      <c r="T51" s="199">
        <v>6</v>
      </c>
      <c r="U51" s="1148"/>
      <c r="V51" s="1148"/>
      <c r="W51" s="1149"/>
      <c r="X51" s="1150"/>
      <c r="Y51" s="220"/>
      <c r="Z51" s="207" t="str">
        <f t="shared" si="3"/>
        <v/>
      </c>
      <c r="AA51" s="200"/>
    </row>
    <row r="52" spans="2:27">
      <c r="B52" s="199">
        <v>7</v>
      </c>
      <c r="C52" s="1148"/>
      <c r="D52" s="1148"/>
      <c r="E52" s="1149"/>
      <c r="F52" s="1150"/>
      <c r="G52" s="220"/>
      <c r="H52" s="207" t="str">
        <f t="shared" si="4"/>
        <v/>
      </c>
      <c r="I52" s="200"/>
      <c r="K52" s="199">
        <v>7</v>
      </c>
      <c r="L52" s="1156"/>
      <c r="M52" s="1157"/>
      <c r="N52" s="1149"/>
      <c r="O52" s="1150"/>
      <c r="P52" s="220"/>
      <c r="Q52" s="210" t="str">
        <f>IF(AND(ISBLANK(L52),ISBLANK(N52),ISBLANK(P52)),"",(IF(OR(ISBLANK(L52),ISBLANK(N52),ISBLANK(P52)),"Enter Info",(N52*P52))))</f>
        <v/>
      </c>
      <c r="R52" s="200"/>
      <c r="T52" s="199">
        <v>7</v>
      </c>
      <c r="U52" s="1148"/>
      <c r="V52" s="1148"/>
      <c r="W52" s="1149"/>
      <c r="X52" s="1150"/>
      <c r="Y52" s="220"/>
      <c r="Z52" s="207" t="str">
        <f t="shared" si="3"/>
        <v/>
      </c>
      <c r="AA52" s="200"/>
    </row>
    <row r="53" spans="2:27">
      <c r="B53" s="199">
        <v>8</v>
      </c>
      <c r="C53" s="1148"/>
      <c r="D53" s="1148"/>
      <c r="E53" s="1149"/>
      <c r="F53" s="1150"/>
      <c r="G53" s="220"/>
      <c r="H53" s="207" t="str">
        <f t="shared" si="4"/>
        <v/>
      </c>
      <c r="I53" s="200"/>
      <c r="K53" s="199">
        <v>8</v>
      </c>
      <c r="L53" s="1148"/>
      <c r="M53" s="1148"/>
      <c r="N53" s="1149"/>
      <c r="O53" s="1150"/>
      <c r="P53" s="220"/>
      <c r="Q53" s="210" t="str">
        <f t="shared" ref="Q53:Q75" si="6">IF(AND(ISBLANK(L53),ISBLANK(N53),ISBLANK(P53)),"",(IF(OR(ISBLANK(L53),ISBLANK(N53),ISBLANK(P53)),"Enter Info",(N53*P53))))</f>
        <v/>
      </c>
      <c r="R53" s="200"/>
      <c r="T53" s="199">
        <v>8</v>
      </c>
      <c r="U53" s="1148"/>
      <c r="V53" s="1148"/>
      <c r="W53" s="1149"/>
      <c r="X53" s="1150"/>
      <c r="Y53" s="220"/>
      <c r="Z53" s="207" t="str">
        <f t="shared" si="3"/>
        <v/>
      </c>
      <c r="AA53" s="200"/>
    </row>
    <row r="54" spans="2:27">
      <c r="B54" s="199">
        <v>9</v>
      </c>
      <c r="C54" s="1148"/>
      <c r="D54" s="1148"/>
      <c r="E54" s="1149"/>
      <c r="F54" s="1150"/>
      <c r="G54" s="220"/>
      <c r="H54" s="207" t="str">
        <f t="shared" si="4"/>
        <v/>
      </c>
      <c r="I54" s="200"/>
      <c r="K54" s="199">
        <v>9</v>
      </c>
      <c r="L54" s="1148"/>
      <c r="M54" s="1148"/>
      <c r="N54" s="1149"/>
      <c r="O54" s="1150"/>
      <c r="P54" s="220"/>
      <c r="Q54" s="210" t="str">
        <f t="shared" si="6"/>
        <v/>
      </c>
      <c r="R54" s="200"/>
      <c r="T54" s="199">
        <v>9</v>
      </c>
      <c r="U54" s="1148"/>
      <c r="V54" s="1148"/>
      <c r="W54" s="1149"/>
      <c r="X54" s="1150"/>
      <c r="Y54" s="220"/>
      <c r="Z54" s="207" t="str">
        <f t="shared" si="3"/>
        <v/>
      </c>
      <c r="AA54" s="200"/>
    </row>
    <row r="55" spans="2:27">
      <c r="B55" s="199">
        <v>10</v>
      </c>
      <c r="C55" s="1148"/>
      <c r="D55" s="1148"/>
      <c r="E55" s="1149"/>
      <c r="F55" s="1150"/>
      <c r="G55" s="220"/>
      <c r="H55" s="207" t="str">
        <f t="shared" si="4"/>
        <v/>
      </c>
      <c r="I55" s="200"/>
      <c r="K55" s="199">
        <v>10</v>
      </c>
      <c r="L55" s="1148"/>
      <c r="M55" s="1148"/>
      <c r="N55" s="1149"/>
      <c r="O55" s="1150"/>
      <c r="P55" s="220"/>
      <c r="Q55" s="210" t="str">
        <f t="shared" si="6"/>
        <v/>
      </c>
      <c r="R55" s="200"/>
      <c r="T55" s="199">
        <v>10</v>
      </c>
      <c r="U55" s="1148"/>
      <c r="V55" s="1148"/>
      <c r="W55" s="1149"/>
      <c r="X55" s="1150"/>
      <c r="Y55" s="220"/>
      <c r="Z55" s="207" t="str">
        <f t="shared" si="3"/>
        <v/>
      </c>
      <c r="AA55" s="200"/>
    </row>
    <row r="56" spans="2:27">
      <c r="B56" s="199">
        <v>11</v>
      </c>
      <c r="C56" s="1148"/>
      <c r="D56" s="1148"/>
      <c r="E56" s="1149"/>
      <c r="F56" s="1150"/>
      <c r="G56" s="220"/>
      <c r="H56" s="207" t="str">
        <f t="shared" si="4"/>
        <v/>
      </c>
      <c r="I56" s="200"/>
      <c r="K56" s="199">
        <v>11</v>
      </c>
      <c r="L56" s="1148"/>
      <c r="M56" s="1148"/>
      <c r="N56" s="1149"/>
      <c r="O56" s="1150"/>
      <c r="P56" s="220"/>
      <c r="Q56" s="210" t="str">
        <f t="shared" si="6"/>
        <v/>
      </c>
      <c r="R56" s="200"/>
      <c r="T56" s="199">
        <v>11</v>
      </c>
      <c r="U56" s="1148"/>
      <c r="V56" s="1148"/>
      <c r="W56" s="1149"/>
      <c r="X56" s="1150"/>
      <c r="Y56" s="220"/>
      <c r="Z56" s="207" t="str">
        <f t="shared" si="3"/>
        <v/>
      </c>
      <c r="AA56" s="200"/>
    </row>
    <row r="57" spans="2:27">
      <c r="B57" s="199">
        <v>12</v>
      </c>
      <c r="C57" s="1148"/>
      <c r="D57" s="1148"/>
      <c r="E57" s="1149"/>
      <c r="F57" s="1150"/>
      <c r="G57" s="220"/>
      <c r="H57" s="207" t="str">
        <f t="shared" si="4"/>
        <v/>
      </c>
      <c r="I57" s="200"/>
      <c r="K57" s="199">
        <v>12</v>
      </c>
      <c r="L57" s="1148"/>
      <c r="M57" s="1148"/>
      <c r="N57" s="1149"/>
      <c r="O57" s="1150"/>
      <c r="P57" s="220"/>
      <c r="Q57" s="210" t="str">
        <f t="shared" si="6"/>
        <v/>
      </c>
      <c r="R57" s="200"/>
      <c r="T57" s="199">
        <v>12</v>
      </c>
      <c r="U57" s="1148"/>
      <c r="V57" s="1148"/>
      <c r="W57" s="1149"/>
      <c r="X57" s="1150"/>
      <c r="Y57" s="220"/>
      <c r="Z57" s="207" t="str">
        <f t="shared" si="3"/>
        <v/>
      </c>
      <c r="AA57" s="200"/>
    </row>
    <row r="58" spans="2:27">
      <c r="B58" s="199">
        <v>13</v>
      </c>
      <c r="C58" s="1148"/>
      <c r="D58" s="1148"/>
      <c r="E58" s="1149"/>
      <c r="F58" s="1150"/>
      <c r="G58" s="220"/>
      <c r="H58" s="207" t="str">
        <f t="shared" si="4"/>
        <v/>
      </c>
      <c r="I58" s="200"/>
      <c r="K58" s="199">
        <v>13</v>
      </c>
      <c r="L58" s="1148"/>
      <c r="M58" s="1148"/>
      <c r="N58" s="1149"/>
      <c r="O58" s="1150"/>
      <c r="P58" s="220"/>
      <c r="Q58" s="210" t="str">
        <f t="shared" si="6"/>
        <v/>
      </c>
      <c r="R58" s="200"/>
      <c r="T58" s="199">
        <v>13</v>
      </c>
      <c r="U58" s="1148"/>
      <c r="V58" s="1148"/>
      <c r="W58" s="1149"/>
      <c r="X58" s="1150"/>
      <c r="Y58" s="220"/>
      <c r="Z58" s="207" t="str">
        <f t="shared" si="3"/>
        <v/>
      </c>
      <c r="AA58" s="200"/>
    </row>
    <row r="59" spans="2:27">
      <c r="B59" s="199">
        <v>14</v>
      </c>
      <c r="C59" s="1148"/>
      <c r="D59" s="1148"/>
      <c r="E59" s="1149"/>
      <c r="F59" s="1150"/>
      <c r="G59" s="220"/>
      <c r="H59" s="207" t="str">
        <f t="shared" si="4"/>
        <v/>
      </c>
      <c r="I59" s="200"/>
      <c r="K59" s="199">
        <v>14</v>
      </c>
      <c r="L59" s="1148"/>
      <c r="M59" s="1148"/>
      <c r="N59" s="1149"/>
      <c r="O59" s="1150"/>
      <c r="P59" s="220"/>
      <c r="Q59" s="210" t="str">
        <f t="shared" si="6"/>
        <v/>
      </c>
      <c r="R59" s="200"/>
      <c r="T59" s="199">
        <v>14</v>
      </c>
      <c r="U59" s="1148"/>
      <c r="V59" s="1148"/>
      <c r="W59" s="1149"/>
      <c r="X59" s="1150"/>
      <c r="Y59" s="220"/>
      <c r="Z59" s="207" t="str">
        <f t="shared" si="3"/>
        <v/>
      </c>
      <c r="AA59" s="200"/>
    </row>
    <row r="60" spans="2:27">
      <c r="B60" s="199">
        <v>15</v>
      </c>
      <c r="C60" s="1148"/>
      <c r="D60" s="1148"/>
      <c r="E60" s="1149"/>
      <c r="F60" s="1150"/>
      <c r="G60" s="220"/>
      <c r="H60" s="207" t="str">
        <f t="shared" si="4"/>
        <v/>
      </c>
      <c r="I60" s="200"/>
      <c r="K60" s="199">
        <v>15</v>
      </c>
      <c r="L60" s="1148"/>
      <c r="M60" s="1148"/>
      <c r="N60" s="1149"/>
      <c r="O60" s="1150"/>
      <c r="P60" s="220"/>
      <c r="Q60" s="210" t="str">
        <f t="shared" si="6"/>
        <v/>
      </c>
      <c r="R60" s="200"/>
      <c r="T60" s="199">
        <v>15</v>
      </c>
      <c r="U60" s="1148"/>
      <c r="V60" s="1148"/>
      <c r="W60" s="1149"/>
      <c r="X60" s="1150"/>
      <c r="Y60" s="220"/>
      <c r="Z60" s="207" t="str">
        <f t="shared" si="3"/>
        <v/>
      </c>
      <c r="AA60" s="200"/>
    </row>
    <row r="61" spans="2:27">
      <c r="B61" s="199">
        <v>16</v>
      </c>
      <c r="C61" s="1148"/>
      <c r="D61" s="1148"/>
      <c r="E61" s="1149"/>
      <c r="F61" s="1150"/>
      <c r="G61" s="220"/>
      <c r="H61" s="207" t="str">
        <f t="shared" si="4"/>
        <v/>
      </c>
      <c r="I61" s="200"/>
      <c r="K61" s="199">
        <v>16</v>
      </c>
      <c r="L61" s="1148"/>
      <c r="M61" s="1148"/>
      <c r="N61" s="1149"/>
      <c r="O61" s="1150"/>
      <c r="P61" s="220"/>
      <c r="Q61" s="210" t="str">
        <f t="shared" si="6"/>
        <v/>
      </c>
      <c r="R61" s="200"/>
      <c r="T61" s="199">
        <v>16</v>
      </c>
      <c r="U61" s="1148"/>
      <c r="V61" s="1148"/>
      <c r="W61" s="1149"/>
      <c r="X61" s="1150"/>
      <c r="Y61" s="220"/>
      <c r="Z61" s="207" t="str">
        <f t="shared" si="3"/>
        <v/>
      </c>
      <c r="AA61" s="200"/>
    </row>
    <row r="62" spans="2:27">
      <c r="B62" s="199">
        <v>17</v>
      </c>
      <c r="C62" s="1148"/>
      <c r="D62" s="1148"/>
      <c r="E62" s="1149"/>
      <c r="F62" s="1150"/>
      <c r="G62" s="220"/>
      <c r="H62" s="207" t="str">
        <f t="shared" si="4"/>
        <v/>
      </c>
      <c r="I62" s="200"/>
      <c r="K62" s="199">
        <v>17</v>
      </c>
      <c r="L62" s="1148"/>
      <c r="M62" s="1148"/>
      <c r="N62" s="1149"/>
      <c r="O62" s="1150"/>
      <c r="P62" s="220"/>
      <c r="Q62" s="210" t="str">
        <f t="shared" si="6"/>
        <v/>
      </c>
      <c r="R62" s="200"/>
      <c r="T62" s="199">
        <v>17</v>
      </c>
      <c r="U62" s="1148"/>
      <c r="V62" s="1148"/>
      <c r="W62" s="1149"/>
      <c r="X62" s="1150"/>
      <c r="Y62" s="220"/>
      <c r="Z62" s="207" t="str">
        <f t="shared" si="3"/>
        <v/>
      </c>
      <c r="AA62" s="200"/>
    </row>
    <row r="63" spans="2:27">
      <c r="B63" s="199">
        <v>18</v>
      </c>
      <c r="C63" s="1148"/>
      <c r="D63" s="1148"/>
      <c r="E63" s="1149"/>
      <c r="F63" s="1150"/>
      <c r="G63" s="220"/>
      <c r="H63" s="207" t="str">
        <f t="shared" si="4"/>
        <v/>
      </c>
      <c r="I63" s="200"/>
      <c r="K63" s="199">
        <v>18</v>
      </c>
      <c r="L63" s="1148"/>
      <c r="M63" s="1148"/>
      <c r="N63" s="1149"/>
      <c r="O63" s="1150"/>
      <c r="P63" s="220"/>
      <c r="Q63" s="210" t="str">
        <f t="shared" si="6"/>
        <v/>
      </c>
      <c r="R63" s="200"/>
      <c r="T63" s="199">
        <v>18</v>
      </c>
      <c r="U63" s="1148"/>
      <c r="V63" s="1148"/>
      <c r="W63" s="1149"/>
      <c r="X63" s="1150"/>
      <c r="Y63" s="220"/>
      <c r="Z63" s="207" t="str">
        <f t="shared" si="3"/>
        <v/>
      </c>
      <c r="AA63" s="200"/>
    </row>
    <row r="64" spans="2:27">
      <c r="B64" s="199">
        <v>19</v>
      </c>
      <c r="C64" s="1148"/>
      <c r="D64" s="1148"/>
      <c r="E64" s="1149"/>
      <c r="F64" s="1150"/>
      <c r="G64" s="220"/>
      <c r="H64" s="207" t="str">
        <f t="shared" si="4"/>
        <v/>
      </c>
      <c r="I64" s="200"/>
      <c r="K64" s="199">
        <v>19</v>
      </c>
      <c r="L64" s="1148"/>
      <c r="M64" s="1148"/>
      <c r="N64" s="1149"/>
      <c r="O64" s="1150"/>
      <c r="P64" s="220"/>
      <c r="Q64" s="210" t="str">
        <f t="shared" si="6"/>
        <v/>
      </c>
      <c r="R64" s="200"/>
      <c r="T64" s="199">
        <v>19</v>
      </c>
      <c r="U64" s="1148"/>
      <c r="V64" s="1148"/>
      <c r="W64" s="1149"/>
      <c r="X64" s="1150"/>
      <c r="Y64" s="220"/>
      <c r="Z64" s="207" t="str">
        <f t="shared" si="3"/>
        <v/>
      </c>
      <c r="AA64" s="200"/>
    </row>
    <row r="65" spans="2:27">
      <c r="B65" s="199">
        <v>20</v>
      </c>
      <c r="C65" s="1148"/>
      <c r="D65" s="1148"/>
      <c r="E65" s="1149"/>
      <c r="F65" s="1150"/>
      <c r="G65" s="220"/>
      <c r="H65" s="207" t="str">
        <f t="shared" si="4"/>
        <v/>
      </c>
      <c r="I65" s="200"/>
      <c r="K65" s="199">
        <v>20</v>
      </c>
      <c r="L65" s="1148"/>
      <c r="M65" s="1148"/>
      <c r="N65" s="1149"/>
      <c r="O65" s="1150"/>
      <c r="P65" s="220"/>
      <c r="Q65" s="210" t="str">
        <f t="shared" si="6"/>
        <v/>
      </c>
      <c r="R65" s="200"/>
      <c r="T65" s="199">
        <v>20</v>
      </c>
      <c r="U65" s="1148"/>
      <c r="V65" s="1148"/>
      <c r="W65" s="1149"/>
      <c r="X65" s="1150"/>
      <c r="Y65" s="220"/>
      <c r="Z65" s="207" t="str">
        <f t="shared" si="3"/>
        <v/>
      </c>
      <c r="AA65" s="200"/>
    </row>
    <row r="66" spans="2:27">
      <c r="B66" s="199">
        <v>21</v>
      </c>
      <c r="C66" s="1148"/>
      <c r="D66" s="1148"/>
      <c r="E66" s="1149"/>
      <c r="F66" s="1150"/>
      <c r="G66" s="220"/>
      <c r="H66" s="207" t="str">
        <f t="shared" si="4"/>
        <v/>
      </c>
      <c r="I66" s="200"/>
      <c r="K66" s="199">
        <v>21</v>
      </c>
      <c r="L66" s="1148"/>
      <c r="M66" s="1148"/>
      <c r="N66" s="1149"/>
      <c r="O66" s="1150"/>
      <c r="P66" s="220"/>
      <c r="Q66" s="210" t="str">
        <f t="shared" si="6"/>
        <v/>
      </c>
      <c r="R66" s="200"/>
      <c r="T66" s="199">
        <v>21</v>
      </c>
      <c r="U66" s="1148"/>
      <c r="V66" s="1148"/>
      <c r="W66" s="1149"/>
      <c r="X66" s="1150"/>
      <c r="Y66" s="220"/>
      <c r="Z66" s="207" t="str">
        <f t="shared" si="3"/>
        <v/>
      </c>
      <c r="AA66" s="200"/>
    </row>
    <row r="67" spans="2:27">
      <c r="B67" s="199">
        <v>22</v>
      </c>
      <c r="C67" s="1148"/>
      <c r="D67" s="1148"/>
      <c r="E67" s="1149"/>
      <c r="F67" s="1150"/>
      <c r="G67" s="220"/>
      <c r="H67" s="207" t="str">
        <f t="shared" si="4"/>
        <v/>
      </c>
      <c r="I67" s="200"/>
      <c r="K67" s="199">
        <v>22</v>
      </c>
      <c r="L67" s="1148"/>
      <c r="M67" s="1148"/>
      <c r="N67" s="1149"/>
      <c r="O67" s="1150"/>
      <c r="P67" s="220"/>
      <c r="Q67" s="210" t="str">
        <f t="shared" si="6"/>
        <v/>
      </c>
      <c r="R67" s="200"/>
      <c r="T67" s="199">
        <v>22</v>
      </c>
      <c r="U67" s="1148"/>
      <c r="V67" s="1148"/>
      <c r="W67" s="1149"/>
      <c r="X67" s="1150"/>
      <c r="Y67" s="220"/>
      <c r="Z67" s="207" t="str">
        <f t="shared" si="3"/>
        <v/>
      </c>
      <c r="AA67" s="200"/>
    </row>
    <row r="68" spans="2:27">
      <c r="B68" s="199">
        <v>23</v>
      </c>
      <c r="C68" s="1148"/>
      <c r="D68" s="1148"/>
      <c r="E68" s="1149"/>
      <c r="F68" s="1150"/>
      <c r="G68" s="220"/>
      <c r="H68" s="207" t="str">
        <f t="shared" si="4"/>
        <v/>
      </c>
      <c r="I68" s="200"/>
      <c r="K68" s="199">
        <v>23</v>
      </c>
      <c r="L68" s="1148"/>
      <c r="M68" s="1148"/>
      <c r="N68" s="1149"/>
      <c r="O68" s="1150"/>
      <c r="P68" s="220"/>
      <c r="Q68" s="210" t="str">
        <f t="shared" si="6"/>
        <v/>
      </c>
      <c r="R68" s="200"/>
      <c r="T68" s="199">
        <v>23</v>
      </c>
      <c r="U68" s="1148"/>
      <c r="V68" s="1148"/>
      <c r="W68" s="1149"/>
      <c r="X68" s="1150"/>
      <c r="Y68" s="220"/>
      <c r="Z68" s="207" t="str">
        <f t="shared" si="3"/>
        <v/>
      </c>
      <c r="AA68" s="200"/>
    </row>
    <row r="69" spans="2:27">
      <c r="B69" s="199">
        <v>24</v>
      </c>
      <c r="C69" s="1148"/>
      <c r="D69" s="1148"/>
      <c r="E69" s="1149"/>
      <c r="F69" s="1150"/>
      <c r="G69" s="220"/>
      <c r="H69" s="207" t="str">
        <f t="shared" si="4"/>
        <v/>
      </c>
      <c r="I69" s="200"/>
      <c r="K69" s="199">
        <v>24</v>
      </c>
      <c r="L69" s="1148"/>
      <c r="M69" s="1148"/>
      <c r="N69" s="1149"/>
      <c r="O69" s="1150"/>
      <c r="P69" s="220"/>
      <c r="Q69" s="210" t="str">
        <f t="shared" si="6"/>
        <v/>
      </c>
      <c r="R69" s="200"/>
      <c r="T69" s="199">
        <v>24</v>
      </c>
      <c r="U69" s="1148"/>
      <c r="V69" s="1148"/>
      <c r="W69" s="1149"/>
      <c r="X69" s="1150"/>
      <c r="Y69" s="220"/>
      <c r="Z69" s="207" t="str">
        <f t="shared" si="3"/>
        <v/>
      </c>
      <c r="AA69" s="200"/>
    </row>
    <row r="70" spans="2:27">
      <c r="B70" s="199">
        <v>25</v>
      </c>
      <c r="C70" s="1148"/>
      <c r="D70" s="1148"/>
      <c r="E70" s="1149"/>
      <c r="F70" s="1150"/>
      <c r="G70" s="220"/>
      <c r="H70" s="207" t="str">
        <f t="shared" si="4"/>
        <v/>
      </c>
      <c r="I70" s="200"/>
      <c r="K70" s="199">
        <v>25</v>
      </c>
      <c r="L70" s="1148"/>
      <c r="M70" s="1148"/>
      <c r="N70" s="1149"/>
      <c r="O70" s="1150"/>
      <c r="P70" s="220"/>
      <c r="Q70" s="210" t="str">
        <f t="shared" si="6"/>
        <v/>
      </c>
      <c r="R70" s="200"/>
      <c r="T70" s="199">
        <v>25</v>
      </c>
      <c r="U70" s="1148"/>
      <c r="V70" s="1148"/>
      <c r="W70" s="1149"/>
      <c r="X70" s="1150"/>
      <c r="Y70" s="220"/>
      <c r="Z70" s="207" t="str">
        <f t="shared" si="3"/>
        <v/>
      </c>
      <c r="AA70" s="200"/>
    </row>
    <row r="71" spans="2:27">
      <c r="B71" s="199">
        <v>26</v>
      </c>
      <c r="C71" s="1148"/>
      <c r="D71" s="1148"/>
      <c r="E71" s="1149"/>
      <c r="F71" s="1150"/>
      <c r="G71" s="220"/>
      <c r="H71" s="207" t="str">
        <f t="shared" si="4"/>
        <v/>
      </c>
      <c r="I71" s="200"/>
      <c r="K71" s="199">
        <v>26</v>
      </c>
      <c r="L71" s="1148"/>
      <c r="M71" s="1148"/>
      <c r="N71" s="1149"/>
      <c r="O71" s="1150"/>
      <c r="P71" s="220"/>
      <c r="Q71" s="210" t="str">
        <f t="shared" si="6"/>
        <v/>
      </c>
      <c r="R71" s="200"/>
      <c r="T71" s="199">
        <v>26</v>
      </c>
      <c r="U71" s="1148"/>
      <c r="V71" s="1148"/>
      <c r="W71" s="1149"/>
      <c r="X71" s="1150"/>
      <c r="Y71" s="220"/>
      <c r="Z71" s="207" t="str">
        <f t="shared" si="3"/>
        <v/>
      </c>
      <c r="AA71" s="200"/>
    </row>
    <row r="72" spans="2:27">
      <c r="B72" s="199">
        <v>27</v>
      </c>
      <c r="C72" s="1148"/>
      <c r="D72" s="1148"/>
      <c r="E72" s="1149"/>
      <c r="F72" s="1150"/>
      <c r="G72" s="220"/>
      <c r="H72" s="207" t="str">
        <f t="shared" si="4"/>
        <v/>
      </c>
      <c r="I72" s="200"/>
      <c r="K72" s="199">
        <v>27</v>
      </c>
      <c r="L72" s="1148"/>
      <c r="M72" s="1148"/>
      <c r="N72" s="1149"/>
      <c r="O72" s="1150"/>
      <c r="P72" s="220"/>
      <c r="Q72" s="210" t="str">
        <f t="shared" si="6"/>
        <v/>
      </c>
      <c r="R72" s="200"/>
      <c r="T72" s="199">
        <v>27</v>
      </c>
      <c r="U72" s="1148"/>
      <c r="V72" s="1148"/>
      <c r="W72" s="1149"/>
      <c r="X72" s="1150"/>
      <c r="Y72" s="220"/>
      <c r="Z72" s="207" t="str">
        <f t="shared" si="3"/>
        <v/>
      </c>
      <c r="AA72" s="200"/>
    </row>
    <row r="73" spans="2:27">
      <c r="B73" s="199">
        <v>28</v>
      </c>
      <c r="C73" s="1148"/>
      <c r="D73" s="1148"/>
      <c r="E73" s="1149"/>
      <c r="F73" s="1150"/>
      <c r="G73" s="220"/>
      <c r="H73" s="207" t="str">
        <f t="shared" si="4"/>
        <v/>
      </c>
      <c r="I73" s="200"/>
      <c r="K73" s="199">
        <v>28</v>
      </c>
      <c r="L73" s="1148"/>
      <c r="M73" s="1148"/>
      <c r="N73" s="1149"/>
      <c r="O73" s="1150"/>
      <c r="P73" s="220"/>
      <c r="Q73" s="210" t="str">
        <f t="shared" si="6"/>
        <v/>
      </c>
      <c r="R73" s="200"/>
      <c r="T73" s="199">
        <v>28</v>
      </c>
      <c r="U73" s="1148"/>
      <c r="V73" s="1148"/>
      <c r="W73" s="1149"/>
      <c r="X73" s="1150"/>
      <c r="Y73" s="220"/>
      <c r="Z73" s="207" t="str">
        <f t="shared" si="3"/>
        <v/>
      </c>
      <c r="AA73" s="200"/>
    </row>
    <row r="74" spans="2:27">
      <c r="B74" s="199">
        <v>29</v>
      </c>
      <c r="C74" s="1148"/>
      <c r="D74" s="1148"/>
      <c r="E74" s="1149"/>
      <c r="F74" s="1150"/>
      <c r="G74" s="220"/>
      <c r="H74" s="207" t="str">
        <f t="shared" si="4"/>
        <v/>
      </c>
      <c r="I74" s="200"/>
      <c r="K74" s="199">
        <v>29</v>
      </c>
      <c r="L74" s="1148"/>
      <c r="M74" s="1148"/>
      <c r="N74" s="1149"/>
      <c r="O74" s="1150"/>
      <c r="P74" s="220"/>
      <c r="Q74" s="210" t="str">
        <f t="shared" si="6"/>
        <v/>
      </c>
      <c r="R74" s="200"/>
      <c r="T74" s="199">
        <v>29</v>
      </c>
      <c r="U74" s="1148"/>
      <c r="V74" s="1148"/>
      <c r="W74" s="1149"/>
      <c r="X74" s="1150"/>
      <c r="Y74" s="220"/>
      <c r="Z74" s="207" t="str">
        <f t="shared" si="3"/>
        <v/>
      </c>
      <c r="AA74" s="200"/>
    </row>
    <row r="75" spans="2:27">
      <c r="B75" s="199">
        <v>30</v>
      </c>
      <c r="C75" s="1148"/>
      <c r="D75" s="1148"/>
      <c r="E75" s="1149"/>
      <c r="F75" s="1150"/>
      <c r="G75" s="220"/>
      <c r="H75" s="207" t="str">
        <f t="shared" si="4"/>
        <v/>
      </c>
      <c r="I75" s="200"/>
      <c r="K75" s="199">
        <v>30</v>
      </c>
      <c r="L75" s="1148"/>
      <c r="M75" s="1148"/>
      <c r="N75" s="1149"/>
      <c r="O75" s="1150"/>
      <c r="P75" s="220"/>
      <c r="Q75" s="210" t="str">
        <f t="shared" si="6"/>
        <v/>
      </c>
      <c r="R75" s="200"/>
      <c r="T75" s="199">
        <v>30</v>
      </c>
      <c r="U75" s="1148"/>
      <c r="V75" s="1148"/>
      <c r="W75" s="1149"/>
      <c r="X75" s="1150"/>
      <c r="Y75" s="220"/>
      <c r="Z75" s="207" t="str">
        <f t="shared" si="3"/>
        <v/>
      </c>
      <c r="AA75" s="200"/>
    </row>
    <row r="76" spans="2:27">
      <c r="B76" s="199"/>
      <c r="C76" s="194"/>
      <c r="D76" s="194"/>
      <c r="E76" s="194"/>
      <c r="F76" s="194"/>
      <c r="G76" s="194" t="s">
        <v>1040</v>
      </c>
      <c r="H76" s="208">
        <f>SUM(H46:H75)</f>
        <v>0</v>
      </c>
      <c r="I76" s="200"/>
      <c r="K76" s="199"/>
      <c r="L76" s="194"/>
      <c r="M76" s="194"/>
      <c r="N76" s="194"/>
      <c r="O76" s="194"/>
      <c r="P76" s="194" t="s">
        <v>1040</v>
      </c>
      <c r="Q76" s="211">
        <f>SUM(Q46:Q75)</f>
        <v>0</v>
      </c>
      <c r="R76" s="200"/>
      <c r="T76" s="199"/>
      <c r="U76" s="194"/>
      <c r="V76" s="194"/>
      <c r="W76" s="194"/>
      <c r="X76" s="194"/>
      <c r="Y76" s="194" t="s">
        <v>1040</v>
      </c>
      <c r="Z76" s="208">
        <f>SUM(Z46:Z75)</f>
        <v>0</v>
      </c>
      <c r="AA76" s="200"/>
    </row>
    <row r="77" spans="2:27">
      <c r="B77" s="201"/>
      <c r="C77" s="202"/>
      <c r="D77" s="202"/>
      <c r="E77" s="202"/>
      <c r="F77" s="202"/>
      <c r="G77" s="202"/>
      <c r="H77" s="213"/>
      <c r="I77" s="204"/>
      <c r="K77" s="201"/>
      <c r="L77" s="202"/>
      <c r="M77" s="202"/>
      <c r="N77" s="202"/>
      <c r="O77" s="202"/>
      <c r="P77" s="202"/>
      <c r="Q77" s="203"/>
      <c r="R77" s="204"/>
      <c r="T77" s="201"/>
      <c r="U77" s="202"/>
      <c r="V77" s="202"/>
      <c r="W77" s="202"/>
      <c r="X77" s="202"/>
      <c r="Y77" s="202"/>
      <c r="Z77" s="203"/>
      <c r="AA77" s="204"/>
    </row>
    <row r="78" spans="2:27"/>
  </sheetData>
  <sheetProtection algorithmName="SHA-512" hashValue="TKXUUJ7xn1+rPWcqideIkQ9l9Gq1/9dwcns2iBNsgxPCFQJahnIgW1UlpFuMBKWLExwdgLyl9lkMAzxilanptQ==" saltValue="ErbxHJWSNuap7qG+qviDqQ==" spinCount="100000" sheet="1" objects="1" scenarios="1" selectLockedCells="1"/>
  <mergeCells count="375">
    <mergeCell ref="F3:V3"/>
    <mergeCell ref="F1:V2"/>
    <mergeCell ref="X2:Y3"/>
    <mergeCell ref="C75:D75"/>
    <mergeCell ref="E75:F75"/>
    <mergeCell ref="L75:M75"/>
    <mergeCell ref="N75:O75"/>
    <mergeCell ref="U75:V75"/>
    <mergeCell ref="W75:X75"/>
    <mergeCell ref="C73:D73"/>
    <mergeCell ref="E73:F73"/>
    <mergeCell ref="L73:M73"/>
    <mergeCell ref="N73:O73"/>
    <mergeCell ref="U73:V73"/>
    <mergeCell ref="W73:X73"/>
    <mergeCell ref="C74:D74"/>
    <mergeCell ref="E74:F74"/>
    <mergeCell ref="L74:M74"/>
    <mergeCell ref="N74:O74"/>
    <mergeCell ref="U74:V74"/>
    <mergeCell ref="W74:X74"/>
    <mergeCell ref="C71:D71"/>
    <mergeCell ref="E71:F71"/>
    <mergeCell ref="L71:M71"/>
    <mergeCell ref="N71:O71"/>
    <mergeCell ref="U71:V71"/>
    <mergeCell ref="W71:X71"/>
    <mergeCell ref="C72:D72"/>
    <mergeCell ref="E72:F72"/>
    <mergeCell ref="L72:M72"/>
    <mergeCell ref="N72:O72"/>
    <mergeCell ref="U72:V72"/>
    <mergeCell ref="W72:X72"/>
    <mergeCell ref="C69:D69"/>
    <mergeCell ref="E69:F69"/>
    <mergeCell ref="L69:M69"/>
    <mergeCell ref="N69:O69"/>
    <mergeCell ref="U69:V69"/>
    <mergeCell ref="W69:X69"/>
    <mergeCell ref="C70:D70"/>
    <mergeCell ref="E70:F70"/>
    <mergeCell ref="L70:M70"/>
    <mergeCell ref="N70:O70"/>
    <mergeCell ref="U70:V70"/>
    <mergeCell ref="W70:X70"/>
    <mergeCell ref="C67:D67"/>
    <mergeCell ref="E67:F67"/>
    <mergeCell ref="L67:M67"/>
    <mergeCell ref="N67:O67"/>
    <mergeCell ref="U67:V67"/>
    <mergeCell ref="W67:X67"/>
    <mergeCell ref="C68:D68"/>
    <mergeCell ref="E68:F68"/>
    <mergeCell ref="L68:M68"/>
    <mergeCell ref="N68:O68"/>
    <mergeCell ref="U68:V68"/>
    <mergeCell ref="W68:X68"/>
    <mergeCell ref="C65:D65"/>
    <mergeCell ref="E65:F65"/>
    <mergeCell ref="L65:M65"/>
    <mergeCell ref="N65:O65"/>
    <mergeCell ref="U65:V65"/>
    <mergeCell ref="W65:X65"/>
    <mergeCell ref="C66:D66"/>
    <mergeCell ref="E66:F66"/>
    <mergeCell ref="L66:M66"/>
    <mergeCell ref="N66:O66"/>
    <mergeCell ref="U66:V66"/>
    <mergeCell ref="W66:X66"/>
    <mergeCell ref="C63:D63"/>
    <mergeCell ref="E63:F63"/>
    <mergeCell ref="L63:M63"/>
    <mergeCell ref="N63:O63"/>
    <mergeCell ref="U63:V63"/>
    <mergeCell ref="W63:X63"/>
    <mergeCell ref="C64:D64"/>
    <mergeCell ref="E64:F64"/>
    <mergeCell ref="L64:M64"/>
    <mergeCell ref="N64:O64"/>
    <mergeCell ref="U64:V64"/>
    <mergeCell ref="W64:X64"/>
    <mergeCell ref="C61:D61"/>
    <mergeCell ref="E61:F61"/>
    <mergeCell ref="L61:M61"/>
    <mergeCell ref="N61:O61"/>
    <mergeCell ref="U61:V61"/>
    <mergeCell ref="W61:X61"/>
    <mergeCell ref="C62:D62"/>
    <mergeCell ref="E62:F62"/>
    <mergeCell ref="L62:M62"/>
    <mergeCell ref="N62:O62"/>
    <mergeCell ref="U62:V62"/>
    <mergeCell ref="W62:X62"/>
    <mergeCell ref="C59:D59"/>
    <mergeCell ref="E59:F59"/>
    <mergeCell ref="L59:M59"/>
    <mergeCell ref="N59:O59"/>
    <mergeCell ref="U59:V59"/>
    <mergeCell ref="W59:X59"/>
    <mergeCell ref="C60:D60"/>
    <mergeCell ref="E60:F60"/>
    <mergeCell ref="L60:M60"/>
    <mergeCell ref="N60:O60"/>
    <mergeCell ref="U60:V60"/>
    <mergeCell ref="W60:X60"/>
    <mergeCell ref="C57:D57"/>
    <mergeCell ref="E57:F57"/>
    <mergeCell ref="L57:M57"/>
    <mergeCell ref="N57:O57"/>
    <mergeCell ref="U57:V57"/>
    <mergeCell ref="W57:X57"/>
    <mergeCell ref="C58:D58"/>
    <mergeCell ref="E58:F58"/>
    <mergeCell ref="L58:M58"/>
    <mergeCell ref="N58:O58"/>
    <mergeCell ref="U58:V58"/>
    <mergeCell ref="W58:X58"/>
    <mergeCell ref="C55:D55"/>
    <mergeCell ref="E55:F55"/>
    <mergeCell ref="L55:M55"/>
    <mergeCell ref="N55:O55"/>
    <mergeCell ref="U55:V55"/>
    <mergeCell ref="W55:X55"/>
    <mergeCell ref="C56:D56"/>
    <mergeCell ref="E56:F56"/>
    <mergeCell ref="L56:M56"/>
    <mergeCell ref="N56:O56"/>
    <mergeCell ref="U56:V56"/>
    <mergeCell ref="W56:X56"/>
    <mergeCell ref="C53:D53"/>
    <mergeCell ref="E53:F53"/>
    <mergeCell ref="L53:M53"/>
    <mergeCell ref="N53:O53"/>
    <mergeCell ref="U53:V53"/>
    <mergeCell ref="W53:X53"/>
    <mergeCell ref="C54:D54"/>
    <mergeCell ref="E54:F54"/>
    <mergeCell ref="L54:M54"/>
    <mergeCell ref="N54:O54"/>
    <mergeCell ref="U54:V54"/>
    <mergeCell ref="W54:X54"/>
    <mergeCell ref="C51:D51"/>
    <mergeCell ref="E51:F51"/>
    <mergeCell ref="L51:M51"/>
    <mergeCell ref="N51:O51"/>
    <mergeCell ref="U51:V51"/>
    <mergeCell ref="W51:X51"/>
    <mergeCell ref="C52:D52"/>
    <mergeCell ref="E52:F52"/>
    <mergeCell ref="L52:M52"/>
    <mergeCell ref="N52:O52"/>
    <mergeCell ref="U52:V52"/>
    <mergeCell ref="W52:X52"/>
    <mergeCell ref="C49:D49"/>
    <mergeCell ref="E49:F49"/>
    <mergeCell ref="L49:M49"/>
    <mergeCell ref="N49:O49"/>
    <mergeCell ref="U49:V49"/>
    <mergeCell ref="W49:X49"/>
    <mergeCell ref="C50:D50"/>
    <mergeCell ref="E50:F50"/>
    <mergeCell ref="L50:M50"/>
    <mergeCell ref="N50:O50"/>
    <mergeCell ref="U50:V50"/>
    <mergeCell ref="W50:X50"/>
    <mergeCell ref="C47:D47"/>
    <mergeCell ref="E47:F47"/>
    <mergeCell ref="L47:M47"/>
    <mergeCell ref="N47:O47"/>
    <mergeCell ref="U47:V47"/>
    <mergeCell ref="W47:X47"/>
    <mergeCell ref="C48:D48"/>
    <mergeCell ref="E48:F48"/>
    <mergeCell ref="L48:M48"/>
    <mergeCell ref="N48:O48"/>
    <mergeCell ref="U48:V48"/>
    <mergeCell ref="W48:X48"/>
    <mergeCell ref="D43:H43"/>
    <mergeCell ref="M43:Q43"/>
    <mergeCell ref="V43:Z43"/>
    <mergeCell ref="E45:F45"/>
    <mergeCell ref="N45:O45"/>
    <mergeCell ref="W45:X45"/>
    <mergeCell ref="C46:D46"/>
    <mergeCell ref="E46:F46"/>
    <mergeCell ref="L46:M46"/>
    <mergeCell ref="N46:O46"/>
    <mergeCell ref="U46:V46"/>
    <mergeCell ref="W46:X46"/>
    <mergeCell ref="N24:O24"/>
    <mergeCell ref="N13:O13"/>
    <mergeCell ref="N14:O14"/>
    <mergeCell ref="N15:O15"/>
    <mergeCell ref="N16:O16"/>
    <mergeCell ref="N17:O17"/>
    <mergeCell ref="N18:O18"/>
    <mergeCell ref="N37:O37"/>
    <mergeCell ref="N38:O38"/>
    <mergeCell ref="N31:O31"/>
    <mergeCell ref="N32:O32"/>
    <mergeCell ref="N33:O33"/>
    <mergeCell ref="N34:O34"/>
    <mergeCell ref="N35:O35"/>
    <mergeCell ref="N36:O36"/>
    <mergeCell ref="N25:O25"/>
    <mergeCell ref="N26:O26"/>
    <mergeCell ref="N27:O27"/>
    <mergeCell ref="N28:O28"/>
    <mergeCell ref="N29:O29"/>
    <mergeCell ref="N30:O30"/>
    <mergeCell ref="N12:O12"/>
    <mergeCell ref="E38:F38"/>
    <mergeCell ref="D6:H6"/>
    <mergeCell ref="E29:F29"/>
    <mergeCell ref="E30:F30"/>
    <mergeCell ref="E31:F31"/>
    <mergeCell ref="E32:F32"/>
    <mergeCell ref="E33:F33"/>
    <mergeCell ref="E34:F34"/>
    <mergeCell ref="E23:F23"/>
    <mergeCell ref="E24:F24"/>
    <mergeCell ref="E25:F25"/>
    <mergeCell ref="E26:F26"/>
    <mergeCell ref="E27:F27"/>
    <mergeCell ref="E28:F28"/>
    <mergeCell ref="E17:F17"/>
    <mergeCell ref="E18:F18"/>
    <mergeCell ref="E19:F19"/>
    <mergeCell ref="E20:F20"/>
    <mergeCell ref="N19:O19"/>
    <mergeCell ref="N20:O20"/>
    <mergeCell ref="N21:O21"/>
    <mergeCell ref="N22:O22"/>
    <mergeCell ref="N23:O23"/>
    <mergeCell ref="E21:F21"/>
    <mergeCell ref="E22:F22"/>
    <mergeCell ref="E11:F11"/>
    <mergeCell ref="E12:F12"/>
    <mergeCell ref="E13:F13"/>
    <mergeCell ref="E14:F14"/>
    <mergeCell ref="E15:F15"/>
    <mergeCell ref="E16:F16"/>
    <mergeCell ref="L34:M34"/>
    <mergeCell ref="L28:M28"/>
    <mergeCell ref="L29:M29"/>
    <mergeCell ref="L30:M30"/>
    <mergeCell ref="L31:M31"/>
    <mergeCell ref="L32:M32"/>
    <mergeCell ref="L33:M33"/>
    <mergeCell ref="L22:M22"/>
    <mergeCell ref="L23:M23"/>
    <mergeCell ref="L24:M24"/>
    <mergeCell ref="L25:M25"/>
    <mergeCell ref="L26:M26"/>
    <mergeCell ref="L27:M27"/>
    <mergeCell ref="L16:M16"/>
    <mergeCell ref="L17:M17"/>
    <mergeCell ref="L18:M18"/>
    <mergeCell ref="L35:M35"/>
    <mergeCell ref="L36:M36"/>
    <mergeCell ref="C37:D37"/>
    <mergeCell ref="C38:D38"/>
    <mergeCell ref="L37:M37"/>
    <mergeCell ref="L38:M38"/>
    <mergeCell ref="E35:F35"/>
    <mergeCell ref="E36:F36"/>
    <mergeCell ref="E37:F37"/>
    <mergeCell ref="L19:M19"/>
    <mergeCell ref="L20:M20"/>
    <mergeCell ref="L21:M21"/>
    <mergeCell ref="C36:D36"/>
    <mergeCell ref="L9:M9"/>
    <mergeCell ref="L10:M10"/>
    <mergeCell ref="L11:M11"/>
    <mergeCell ref="L12:M12"/>
    <mergeCell ref="L13:M13"/>
    <mergeCell ref="L14:M14"/>
    <mergeCell ref="L15:M15"/>
    <mergeCell ref="C30:D30"/>
    <mergeCell ref="C31:D31"/>
    <mergeCell ref="C32:D32"/>
    <mergeCell ref="C33:D33"/>
    <mergeCell ref="C34:D34"/>
    <mergeCell ref="C35:D35"/>
    <mergeCell ref="C24:D24"/>
    <mergeCell ref="C25:D25"/>
    <mergeCell ref="C26:D26"/>
    <mergeCell ref="C27:D27"/>
    <mergeCell ref="C28:D28"/>
    <mergeCell ref="C29:D29"/>
    <mergeCell ref="C18:D18"/>
    <mergeCell ref="C19:D19"/>
    <mergeCell ref="C20:D20"/>
    <mergeCell ref="C21:D21"/>
    <mergeCell ref="C22:D22"/>
    <mergeCell ref="C23:D23"/>
    <mergeCell ref="C12:D12"/>
    <mergeCell ref="C13:D13"/>
    <mergeCell ref="C14:D14"/>
    <mergeCell ref="C15:D15"/>
    <mergeCell ref="C16:D16"/>
    <mergeCell ref="C17:D17"/>
    <mergeCell ref="C9:D9"/>
    <mergeCell ref="C10:D10"/>
    <mergeCell ref="C11:D11"/>
    <mergeCell ref="E8:F8"/>
    <mergeCell ref="E9:F9"/>
    <mergeCell ref="E10:F10"/>
    <mergeCell ref="V6:Z6"/>
    <mergeCell ref="W8:X8"/>
    <mergeCell ref="M6:Q6"/>
    <mergeCell ref="N8:O8"/>
    <mergeCell ref="N9:O9"/>
    <mergeCell ref="N10:O10"/>
    <mergeCell ref="N11:O11"/>
    <mergeCell ref="U9:V9"/>
    <mergeCell ref="W9:X9"/>
    <mergeCell ref="U10:V10"/>
    <mergeCell ref="W10:X10"/>
    <mergeCell ref="U11:V11"/>
    <mergeCell ref="W11:X11"/>
    <mergeCell ref="U12:V12"/>
    <mergeCell ref="W12:X12"/>
    <mergeCell ref="U13:V13"/>
    <mergeCell ref="W13:X13"/>
    <mergeCell ref="U14:V14"/>
    <mergeCell ref="W14:X14"/>
    <mergeCell ref="U15:V15"/>
    <mergeCell ref="W15:X15"/>
    <mergeCell ref="U16:V16"/>
    <mergeCell ref="W16:X16"/>
    <mergeCell ref="U17:V17"/>
    <mergeCell ref="W17:X17"/>
    <mergeCell ref="U18:V18"/>
    <mergeCell ref="W18:X18"/>
    <mergeCell ref="U19:V19"/>
    <mergeCell ref="W19:X19"/>
    <mergeCell ref="U20:V20"/>
    <mergeCell ref="W20:X20"/>
    <mergeCell ref="U21:V21"/>
    <mergeCell ref="W21:X21"/>
    <mergeCell ref="U22:V22"/>
    <mergeCell ref="W22:X22"/>
    <mergeCell ref="U23:V23"/>
    <mergeCell ref="W23:X23"/>
    <mergeCell ref="U24:V24"/>
    <mergeCell ref="W24:X24"/>
    <mergeCell ref="U25:V25"/>
    <mergeCell ref="W25:X25"/>
    <mergeCell ref="U26:V26"/>
    <mergeCell ref="W26:X26"/>
    <mergeCell ref="U27:V27"/>
    <mergeCell ref="W27:X27"/>
    <mergeCell ref="U28:V28"/>
    <mergeCell ref="W28:X28"/>
    <mergeCell ref="U29:V29"/>
    <mergeCell ref="W29:X29"/>
    <mergeCell ref="U30:V30"/>
    <mergeCell ref="W30:X30"/>
    <mergeCell ref="U31:V31"/>
    <mergeCell ref="W31:X31"/>
    <mergeCell ref="U37:V37"/>
    <mergeCell ref="W37:X37"/>
    <mergeCell ref="U38:V38"/>
    <mergeCell ref="W38:X38"/>
    <mergeCell ref="U32:V32"/>
    <mergeCell ref="W32:X32"/>
    <mergeCell ref="U33:V33"/>
    <mergeCell ref="W33:X33"/>
    <mergeCell ref="U34:V34"/>
    <mergeCell ref="W34:X34"/>
    <mergeCell ref="U35:V35"/>
    <mergeCell ref="W35:X35"/>
    <mergeCell ref="U36:V36"/>
    <mergeCell ref="W36:X36"/>
  </mergeCells>
  <dataValidations xWindow="359" yWindow="286" count="3">
    <dataValidation type="list" allowBlank="1" showInputMessage="1" showErrorMessage="1" sqref="D6:H6 M6:Q6 V6:Z6 D43:H43 M43:Q43 V43:Z43" xr:uid="{00000000-0002-0000-1E00-000000000000}">
      <formula1>LPDSPACE</formula1>
    </dataValidation>
    <dataValidation type="whole" allowBlank="1" showInputMessage="1" showErrorMessage="1" sqref="E9:F38 N9:O38 W9:X38 E46:F75 N46:O75 W46:X75" xr:uid="{00000000-0002-0000-1E00-000001000000}">
      <formula1>1</formula1>
      <formula2>9999</formula2>
    </dataValidation>
    <dataValidation type="decimal" allowBlank="1" showInputMessage="1" showErrorMessage="1" sqref="G9:G38 P9:P38 Y9:Y38 G46:G75 P46:P75 Y46:Y75" xr:uid="{00000000-0002-0000-1E00-000002000000}">
      <formula1>1</formula1>
      <formula2>1000000</formula2>
    </dataValidation>
  </dataValidations>
  <printOptions horizontalCentered="1" verticalCentered="1"/>
  <pageMargins left="0.25" right="0.25" top="0.75" bottom="0.75" header="0.3" footer="0.3"/>
  <pageSetup scale="4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9"/>
  </sheetPr>
  <dimension ref="A1:V183"/>
  <sheetViews>
    <sheetView topLeftCell="A15" zoomScale="96" zoomScaleNormal="96" workbookViewId="0">
      <pane xSplit="2" topLeftCell="C1" activePane="topRight" state="frozen"/>
      <selection activeCell="G38" sqref="G38"/>
      <selection pane="topRight" activeCell="C169" sqref="C169"/>
    </sheetView>
  </sheetViews>
  <sheetFormatPr defaultRowHeight="15"/>
  <cols>
    <col min="1" max="1" width="24.140625" customWidth="1"/>
    <col min="2" max="2" width="29.85546875" customWidth="1"/>
    <col min="5" max="5" width="40.7109375" customWidth="1"/>
    <col min="6" max="10" width="15.7109375" customWidth="1"/>
    <col min="11" max="11" width="11.28515625" bestFit="1" customWidth="1"/>
  </cols>
  <sheetData>
    <row r="1" spans="1:22" ht="15.75" thickBot="1">
      <c r="A1" s="7" t="s">
        <v>67</v>
      </c>
      <c r="B1" s="1" t="str">
        <f>VERSION</f>
        <v>Custom Prescriptive Application v3.7.0</v>
      </c>
      <c r="E1" s="37" t="s">
        <v>247</v>
      </c>
      <c r="F1" s="31">
        <f ca="1">IF(EXPIRATION&lt;&gt;"","---",IF(F48=0,0,F48))</f>
        <v>0</v>
      </c>
    </row>
    <row r="2" spans="1:22" ht="15.75" thickTop="1">
      <c r="A2" s="7" t="s">
        <v>0</v>
      </c>
      <c r="B2" s="1" t="s">
        <v>1060</v>
      </c>
      <c r="E2" s="37" t="s">
        <v>473</v>
      </c>
      <c r="F2" s="31">
        <f ca="1">IF(EXPIRATION&lt;&gt;"","---",IF(H48=0,0,H48))</f>
        <v>0</v>
      </c>
      <c r="P2" s="644" t="e">
        <f ca="1">HYPERLINK("mailto:IMenergyefficiency@LMBPS.com?subject=" &amp;"IM Custom Application Submittal" &amp;"-"&amp;PICO1 &amp;"-"&amp;MONTH(TODAY())&amp;"/"&amp;DAY(TODAY()) &amp;"/"&amp;YEAR(TODAY())&amp; "&amp;body=" &amp;"Please attach Custom Incentive Application with relevent information including new equipment specification, calculations, etc in this email","Draft E-mail")</f>
        <v>#NAME?</v>
      </c>
      <c r="Q2" s="645"/>
      <c r="R2" s="645"/>
      <c r="S2" s="645"/>
      <c r="T2" s="645"/>
      <c r="U2" s="645"/>
      <c r="V2" s="646"/>
    </row>
    <row r="3" spans="1:22">
      <c r="A3" s="7" t="s">
        <v>1</v>
      </c>
      <c r="B3" s="1" t="s">
        <v>943</v>
      </c>
      <c r="E3" s="37" t="s">
        <v>248</v>
      </c>
      <c r="F3" s="31" t="str">
        <f ca="1">IF(EXPIRATION&lt;&gt;"","---",IF(J48=0,"---",J48))</f>
        <v>---</v>
      </c>
      <c r="P3" s="647"/>
      <c r="Q3" s="648"/>
      <c r="R3" s="648"/>
      <c r="S3" s="648"/>
      <c r="T3" s="648"/>
      <c r="U3" s="648"/>
      <c r="V3" s="649"/>
    </row>
    <row r="4" spans="1:22" ht="15.75" thickBot="1">
      <c r="E4" s="37" t="s">
        <v>472</v>
      </c>
      <c r="F4" s="31" t="str">
        <f ca="1">IF(EXPIRATION&lt;&gt;"",PROJSTATEXP,IF(J48=0,PROJSTATMEASURE,IF(ENGSIGN&lt;&gt;"",PROJSTATREVIEW, IF(INCENTOTAL&gt;=500000,PROJSTATCAP,IF(AND(SUM(J44:J45)&gt;0,SUM(J44:J45)&lt;10000,SUM(J46:J47)=0),PROJSTATSTANDARD,IF(INCENTOTAL&gt;10000, PROJSTATINSPECT, PROJSTATPREAPPROVE))))))</f>
        <v>Enter Measures</v>
      </c>
      <c r="P4" s="650"/>
      <c r="Q4" s="651"/>
      <c r="R4" s="651"/>
      <c r="S4" s="651"/>
      <c r="T4" s="651"/>
      <c r="U4" s="651"/>
      <c r="V4" s="652"/>
    </row>
    <row r="5" spans="1:22" ht="15.75" thickTop="1">
      <c r="E5" s="37" t="s">
        <v>481</v>
      </c>
      <c r="F5" s="36">
        <f ca="1">SUM(A74,A81,A134,A154,A173,A181)/SUM(D74,D81,D134,D154,D173,D181)</f>
        <v>2.8985507246376812E-2</v>
      </c>
    </row>
    <row r="6" spans="1:22">
      <c r="A6" s="2" t="s">
        <v>2</v>
      </c>
      <c r="B6" s="3" t="s">
        <v>3</v>
      </c>
    </row>
    <row r="7" spans="1:22">
      <c r="A7" s="4" t="s">
        <v>36</v>
      </c>
      <c r="B7" s="180" t="s">
        <v>71</v>
      </c>
    </row>
    <row r="8" spans="1:22">
      <c r="A8" s="5" t="s">
        <v>4</v>
      </c>
      <c r="B8" s="180" t="s">
        <v>582</v>
      </c>
    </row>
    <row r="9" spans="1:22">
      <c r="A9" s="5" t="s">
        <v>5</v>
      </c>
      <c r="B9" s="180" t="s">
        <v>1059</v>
      </c>
    </row>
    <row r="10" spans="1:22">
      <c r="A10" s="5" t="s">
        <v>6</v>
      </c>
      <c r="B10" s="180" t="s">
        <v>809</v>
      </c>
    </row>
    <row r="11" spans="1:22">
      <c r="A11" s="5" t="s">
        <v>7</v>
      </c>
      <c r="B11" s="180" t="s">
        <v>945</v>
      </c>
    </row>
    <row r="12" spans="1:22">
      <c r="A12" s="5" t="s">
        <v>8</v>
      </c>
      <c r="B12" s="180" t="s">
        <v>769</v>
      </c>
    </row>
    <row r="13" spans="1:22">
      <c r="A13" s="5" t="s">
        <v>9</v>
      </c>
      <c r="B13" s="180"/>
    </row>
    <row r="14" spans="1:22">
      <c r="A14" s="5" t="s">
        <v>10</v>
      </c>
      <c r="B14" s="180"/>
    </row>
    <row r="15" spans="1:22">
      <c r="A15" s="6" t="s">
        <v>11</v>
      </c>
      <c r="B15" s="180"/>
    </row>
    <row r="16" spans="1:22">
      <c r="A16" s="4" t="s">
        <v>37</v>
      </c>
      <c r="B16" s="180" t="s">
        <v>72</v>
      </c>
    </row>
    <row r="17" spans="1:16">
      <c r="A17" s="5" t="s">
        <v>12</v>
      </c>
      <c r="B17" s="180" t="s">
        <v>73</v>
      </c>
    </row>
    <row r="18" spans="1:16">
      <c r="A18" s="5" t="s">
        <v>13</v>
      </c>
      <c r="B18" s="180" t="s">
        <v>77</v>
      </c>
    </row>
    <row r="19" spans="1:16">
      <c r="A19" s="5" t="s">
        <v>14</v>
      </c>
      <c r="B19" s="180" t="s">
        <v>851</v>
      </c>
    </row>
    <row r="20" spans="1:16">
      <c r="A20" s="5" t="s">
        <v>15</v>
      </c>
      <c r="B20" s="180" t="s">
        <v>74</v>
      </c>
    </row>
    <row r="21" spans="1:16">
      <c r="A21" s="5" t="s">
        <v>16</v>
      </c>
      <c r="B21" s="180"/>
    </row>
    <row r="22" spans="1:16">
      <c r="A22" s="5" t="s">
        <v>17</v>
      </c>
      <c r="B22" s="180"/>
    </row>
    <row r="23" spans="1:16">
      <c r="A23" s="5" t="s">
        <v>18</v>
      </c>
      <c r="B23" s="180"/>
    </row>
    <row r="24" spans="1:16">
      <c r="A24" s="6" t="s">
        <v>19</v>
      </c>
      <c r="B24" s="180"/>
    </row>
    <row r="25" spans="1:16">
      <c r="A25" s="4" t="s">
        <v>62</v>
      </c>
      <c r="B25" s="180" t="s">
        <v>946</v>
      </c>
      <c r="E25" s="34" t="str">
        <f>MAIN3</f>
        <v>PRESCRIPTIVE MEASURES INPUT</v>
      </c>
      <c r="F25" s="34" t="s">
        <v>239</v>
      </c>
      <c r="G25" s="34" t="s">
        <v>240</v>
      </c>
      <c r="H25" s="34" t="s">
        <v>470</v>
      </c>
      <c r="I25" s="34" t="s">
        <v>241</v>
      </c>
      <c r="J25" s="34" t="s">
        <v>136</v>
      </c>
      <c r="P25" s="34" t="s">
        <v>1628</v>
      </c>
    </row>
    <row r="26" spans="1:16">
      <c r="A26" s="5" t="s">
        <v>20</v>
      </c>
      <c r="B26" s="180" t="s">
        <v>155</v>
      </c>
      <c r="E26" s="41" t="str">
        <f>B26</f>
        <v>Lighting</v>
      </c>
      <c r="F26" s="32">
        <f ca="1">'M03-S01'!Z12</f>
        <v>0</v>
      </c>
      <c r="G26" s="32">
        <f ca="1">'M03-S01'!AV200</f>
        <v>0</v>
      </c>
      <c r="H26" s="32"/>
      <c r="I26" s="32">
        <f ca="1">'M03-S01'!V12</f>
        <v>0</v>
      </c>
      <c r="J26" s="32">
        <f ca="1">'M03-S01'!R12</f>
        <v>0</v>
      </c>
      <c r="P26" s="32">
        <f ca="1">'M03-S01'!AF12</f>
        <v>0</v>
      </c>
    </row>
    <row r="27" spans="1:16">
      <c r="A27" s="5" t="s">
        <v>21</v>
      </c>
      <c r="B27" s="180" t="s">
        <v>1195</v>
      </c>
      <c r="E27" s="41" t="str">
        <f t="shared" ref="E27:E33" si="0">B27</f>
        <v>Lighting Controls</v>
      </c>
      <c r="F27" s="32">
        <f ca="1">'M03-S02'!Z12</f>
        <v>0</v>
      </c>
      <c r="G27" s="32">
        <f ca="1">'M03-S02'!AV200</f>
        <v>0</v>
      </c>
      <c r="H27" s="32"/>
      <c r="I27" s="32">
        <f ca="1">'M03-S02'!V12</f>
        <v>0</v>
      </c>
      <c r="J27" s="32">
        <f>'M03-S02'!R12</f>
        <v>0</v>
      </c>
      <c r="P27" s="32">
        <f ca="1">'M03-S02'!AF12</f>
        <v>0</v>
      </c>
    </row>
    <row r="28" spans="1:16">
      <c r="A28" s="5" t="s">
        <v>22</v>
      </c>
      <c r="B28" s="180" t="s">
        <v>1983</v>
      </c>
      <c r="E28" s="41" t="str">
        <f t="shared" si="0"/>
        <v>HVAC (Electric)</v>
      </c>
      <c r="F28" s="32">
        <f ca="1">'M03-S03'!Z12</f>
        <v>0</v>
      </c>
      <c r="G28" s="32">
        <f>'M03-S03'!AV200</f>
        <v>0</v>
      </c>
      <c r="H28" s="32"/>
      <c r="I28" s="32">
        <f>'M03-S03'!V12</f>
        <v>0</v>
      </c>
      <c r="J28" s="32">
        <f>'M03-S03'!R12</f>
        <v>0</v>
      </c>
      <c r="P28" s="32">
        <f ca="1">'M03-S03'!AF12</f>
        <v>0</v>
      </c>
    </row>
    <row r="29" spans="1:16">
      <c r="A29" s="5" t="s">
        <v>23</v>
      </c>
      <c r="B29" s="180" t="s">
        <v>162</v>
      </c>
      <c r="E29" s="41" t="str">
        <f t="shared" si="0"/>
        <v>Refrigeration</v>
      </c>
      <c r="F29" s="32">
        <f ca="1">'M03-S04'!Z12</f>
        <v>0</v>
      </c>
      <c r="G29" s="32">
        <f>'M03-S04'!AV200</f>
        <v>0</v>
      </c>
      <c r="H29" s="32"/>
      <c r="I29" s="32">
        <f>'M03-S04'!V12</f>
        <v>0</v>
      </c>
      <c r="J29" s="32">
        <f>'M03-S04'!R12</f>
        <v>0</v>
      </c>
      <c r="P29" s="32">
        <f ca="1">'M03-S04'!AF12</f>
        <v>0</v>
      </c>
    </row>
    <row r="30" spans="1:16">
      <c r="A30" s="5" t="s">
        <v>24</v>
      </c>
      <c r="B30" s="180" t="s">
        <v>2396</v>
      </c>
      <c r="E30" s="41" t="str">
        <f t="shared" si="0"/>
        <v>Commercial Cooking (Elec/Gas)</v>
      </c>
      <c r="F30" s="32">
        <f ca="1">'M03-S05'!Z12</f>
        <v>0</v>
      </c>
      <c r="G30" s="32">
        <f>'M03-S05'!AV200</f>
        <v>0</v>
      </c>
      <c r="H30" s="32">
        <f ca="1">'M03-S05'!AE12</f>
        <v>0</v>
      </c>
      <c r="I30" s="32">
        <f>'M03-S05'!V12</f>
        <v>0</v>
      </c>
      <c r="J30" s="32">
        <f>'M03-S05'!R12</f>
        <v>0</v>
      </c>
      <c r="P30" s="32">
        <f ca="1">'M03-S05'!AJ12</f>
        <v>0</v>
      </c>
    </row>
    <row r="31" spans="1:16" ht="30">
      <c r="A31" s="5" t="s">
        <v>25</v>
      </c>
      <c r="B31" s="193" t="s">
        <v>1231</v>
      </c>
      <c r="E31" s="41" t="str">
        <f t="shared" si="0"/>
        <v>HVAC 
(Gas)</v>
      </c>
      <c r="F31" s="32"/>
      <c r="G31" s="32"/>
      <c r="H31" s="32">
        <f ca="1">'M03-S06'!Z12</f>
        <v>0</v>
      </c>
      <c r="I31" s="32">
        <f>'M03-S06'!V12</f>
        <v>0</v>
      </c>
      <c r="J31" s="32">
        <f ca="1">'M03-S06'!R12</f>
        <v>0</v>
      </c>
      <c r="P31" s="32"/>
    </row>
    <row r="32" spans="1:16">
      <c r="A32" s="5" t="s">
        <v>26</v>
      </c>
      <c r="B32" s="180" t="s">
        <v>1196</v>
      </c>
      <c r="E32" s="41" t="str">
        <f t="shared" si="0"/>
        <v>Water Heating / Others (Gas)</v>
      </c>
      <c r="F32" s="32"/>
      <c r="G32" s="32"/>
      <c r="H32" s="32">
        <f ca="1">'M03-S07'!Z12</f>
        <v>0</v>
      </c>
      <c r="I32" s="32">
        <f>'M03-S07'!V12</f>
        <v>0</v>
      </c>
      <c r="J32" s="32">
        <f>'M03-S07'!R12</f>
        <v>0</v>
      </c>
      <c r="P32" s="32"/>
    </row>
    <row r="33" spans="1:16">
      <c r="A33" s="5" t="s">
        <v>27</v>
      </c>
      <c r="B33" s="180" t="s">
        <v>1982</v>
      </c>
      <c r="E33" s="41" t="str">
        <f t="shared" si="0"/>
        <v>Misc / Compressed Air / VFDs</v>
      </c>
      <c r="F33" s="32">
        <f>'M03-S08'!Z12</f>
        <v>0</v>
      </c>
      <c r="G33" s="32">
        <f>'M03-S08'!AW200</f>
        <v>0</v>
      </c>
      <c r="H33" s="32"/>
      <c r="I33" s="32">
        <f>'M03-S08'!V12</f>
        <v>0</v>
      </c>
      <c r="J33" s="32">
        <f>'M03-S08'!R12</f>
        <v>0</v>
      </c>
      <c r="P33" s="32">
        <f ca="1">'M03-S08'!AF12</f>
        <v>0</v>
      </c>
    </row>
    <row r="34" spans="1:16">
      <c r="A34" s="6" t="s">
        <v>1709</v>
      </c>
      <c r="B34" s="180" t="s">
        <v>1722</v>
      </c>
      <c r="E34" s="41" t="str">
        <f t="shared" ref="E34:E43" si="1">B34</f>
        <v>Agriculture (Elec/Gas)</v>
      </c>
      <c r="F34" s="32">
        <f ca="1">'M03-S09'!Z12</f>
        <v>0</v>
      </c>
      <c r="G34" s="32">
        <f>'M03-S09'!AV200</f>
        <v>0</v>
      </c>
      <c r="H34" s="32">
        <f ca="1">'M03-S09'!AE12</f>
        <v>0</v>
      </c>
      <c r="I34" s="32">
        <f>'M03-S09'!V12</f>
        <v>0</v>
      </c>
      <c r="J34" s="32">
        <f>'M03-S09'!R12</f>
        <v>0</v>
      </c>
      <c r="P34" s="32">
        <f ca="1">'M03-S09'!AJ12</f>
        <v>0</v>
      </c>
    </row>
    <row r="35" spans="1:16">
      <c r="A35" s="4" t="s">
        <v>63</v>
      </c>
      <c r="B35" s="180" t="s">
        <v>580</v>
      </c>
      <c r="E35" s="34" t="str">
        <f t="shared" si="1"/>
        <v>CUSTOM MEASURES INPUT</v>
      </c>
      <c r="F35" s="34" t="s">
        <v>239</v>
      </c>
      <c r="G35" s="34" t="s">
        <v>240</v>
      </c>
      <c r="H35" s="34" t="s">
        <v>470</v>
      </c>
      <c r="I35" s="34" t="s">
        <v>241</v>
      </c>
      <c r="J35" s="34" t="s">
        <v>136</v>
      </c>
      <c r="P35" s="34" t="s">
        <v>1628</v>
      </c>
    </row>
    <row r="36" spans="1:16">
      <c r="A36" s="5" t="s">
        <v>28</v>
      </c>
      <c r="B36" s="180" t="s">
        <v>1164</v>
      </c>
      <c r="E36" s="41" t="str">
        <f t="shared" si="1"/>
        <v>Custom Lighting</v>
      </c>
      <c r="F36" s="32">
        <f ca="1">'M04-S01'!Z12</f>
        <v>0</v>
      </c>
      <c r="G36" s="32">
        <f ca="1">'M04-S01'!AV200</f>
        <v>0</v>
      </c>
      <c r="H36" s="32"/>
      <c r="I36" s="32">
        <f ca="1">'M04-S01'!V12</f>
        <v>0</v>
      </c>
      <c r="J36" s="32">
        <f>'M04-S01'!R12</f>
        <v>0</v>
      </c>
      <c r="P36" s="32">
        <f ca="1">'M04-S01'!AF12</f>
        <v>0</v>
      </c>
    </row>
    <row r="37" spans="1:16">
      <c r="A37" s="5" t="s">
        <v>29</v>
      </c>
      <c r="B37" s="180" t="s">
        <v>998</v>
      </c>
      <c r="E37" s="41" t="str">
        <f t="shared" si="1"/>
        <v>New Construction Lighting</v>
      </c>
      <c r="F37" s="32">
        <f ca="1">'M04-S02'!Z12</f>
        <v>0</v>
      </c>
      <c r="G37" s="32">
        <f ca="1">'M04-S02'!AV200</f>
        <v>0</v>
      </c>
      <c r="H37" s="32"/>
      <c r="I37" s="32">
        <f ca="1">'M04-S02'!V12</f>
        <v>0</v>
      </c>
      <c r="J37" s="32">
        <f>'M04-S02'!R12</f>
        <v>0</v>
      </c>
      <c r="P37" s="32"/>
    </row>
    <row r="38" spans="1:16" ht="45">
      <c r="A38" s="5" t="s">
        <v>30</v>
      </c>
      <c r="B38" s="193" t="s">
        <v>1211</v>
      </c>
      <c r="E38" s="41" t="str">
        <f t="shared" si="1"/>
        <v>Custom / RCx / New Construction
 Non-Lighting (Electric)</v>
      </c>
      <c r="F38" s="32">
        <f ca="1">'M04-S03'!Z12</f>
        <v>0</v>
      </c>
      <c r="G38" s="32">
        <f ca="1">'M04-S03'!AX200</f>
        <v>0</v>
      </c>
      <c r="H38" s="32"/>
      <c r="I38" s="32">
        <f ca="1">'M04-S03'!V12</f>
        <v>0</v>
      </c>
      <c r="J38" s="32">
        <f>'M04-S03'!R12</f>
        <v>0</v>
      </c>
      <c r="P38" s="32">
        <f>'M04-S03'!F12+'M04-S03'!K12</f>
        <v>0</v>
      </c>
    </row>
    <row r="39" spans="1:16" ht="45">
      <c r="A39" s="5" t="s">
        <v>31</v>
      </c>
      <c r="B39" s="193" t="s">
        <v>1212</v>
      </c>
      <c r="E39" s="41" t="str">
        <f t="shared" si="1"/>
        <v>Custom / RCx / New Construction
 (Gas)</v>
      </c>
      <c r="F39" s="32"/>
      <c r="G39" s="32"/>
      <c r="H39" s="32">
        <f ca="1">'M04-S04'!Z12</f>
        <v>0</v>
      </c>
      <c r="I39" s="32">
        <f ca="1">'M04-S04'!V12</f>
        <v>0</v>
      </c>
      <c r="J39" s="32">
        <f>'M04-S04'!R12</f>
        <v>0</v>
      </c>
      <c r="P39" s="32"/>
    </row>
    <row r="40" spans="1:16">
      <c r="A40" s="5" t="s">
        <v>32</v>
      </c>
      <c r="B40" s="180"/>
      <c r="E40" s="41">
        <f t="shared" si="1"/>
        <v>0</v>
      </c>
      <c r="F40" s="32"/>
      <c r="G40" s="32"/>
      <c r="H40" s="32"/>
      <c r="I40" s="32"/>
      <c r="J40" s="32"/>
      <c r="P40" s="32"/>
    </row>
    <row r="41" spans="1:16">
      <c r="A41" s="5" t="s">
        <v>33</v>
      </c>
      <c r="B41" s="180"/>
      <c r="E41" s="41">
        <f t="shared" si="1"/>
        <v>0</v>
      </c>
      <c r="F41" s="32"/>
      <c r="G41" s="32"/>
      <c r="H41" s="32"/>
      <c r="I41" s="32"/>
      <c r="J41" s="32"/>
      <c r="P41" s="32"/>
    </row>
    <row r="42" spans="1:16">
      <c r="A42" s="5" t="s">
        <v>34</v>
      </c>
      <c r="B42" s="180"/>
      <c r="E42" s="41">
        <f t="shared" si="1"/>
        <v>0</v>
      </c>
      <c r="F42" s="32"/>
      <c r="G42" s="32"/>
      <c r="H42" s="32"/>
      <c r="I42" s="32"/>
      <c r="J42" s="32"/>
      <c r="P42" s="32"/>
    </row>
    <row r="43" spans="1:16">
      <c r="A43" s="6" t="s">
        <v>35</v>
      </c>
      <c r="B43" s="180"/>
      <c r="E43" s="41">
        <f t="shared" si="1"/>
        <v>0</v>
      </c>
      <c r="F43" s="32"/>
      <c r="G43" s="32"/>
      <c r="H43" s="32"/>
      <c r="I43" s="32"/>
      <c r="J43" s="32"/>
      <c r="K43" s="35" t="s">
        <v>219</v>
      </c>
      <c r="L43" s="35" t="s">
        <v>581</v>
      </c>
      <c r="P43" s="32"/>
    </row>
    <row r="44" spans="1:16">
      <c r="A44" s="4" t="s">
        <v>64</v>
      </c>
      <c r="B44" s="180" t="s">
        <v>796</v>
      </c>
      <c r="E44" s="35" t="s">
        <v>243</v>
      </c>
      <c r="F44" s="33">
        <f ca="1">SUM(F26:F34)</f>
        <v>0</v>
      </c>
      <c r="G44" s="33">
        <f ca="1">SUM(G26:G34)</f>
        <v>0</v>
      </c>
      <c r="H44" s="33"/>
      <c r="I44" s="33">
        <f ca="1">SUM(I26:I29,I33)+'M03-S09'!AU200+'M03-S05'!AU200</f>
        <v>0</v>
      </c>
      <c r="J44" s="33">
        <f ca="1">SUM(J26:J29,J33)+'M03-S09'!AZ200+'M03-S05'!AZ200</f>
        <v>0</v>
      </c>
      <c r="K44" s="366" t="str">
        <f ca="1">IFERROR(ROUND(((1+ELOSS)*((KWHTOTALPRESE*INDEX(ELECCB[NPV AEC $/kWh],MATCH(15,ELECCB[Year Number],0)))+(KWTOTALPRESE*INDEX(ELECCB[NPV ACC+T&amp;D $/kW],MATCH(10,ELECCB[Year Number],0))))/COSTTOTALPRESE),2),"NA")</f>
        <v>NA</v>
      </c>
      <c r="L44" s="33" t="str">
        <f ca="1">IFERROR(ROUND(COSTTOTALPRESE/M02S02F35/KWHTOTALPRESE,2),"NA")</f>
        <v>NA</v>
      </c>
      <c r="P44" s="33">
        <f ca="1">SUM(P26:P30,P33)</f>
        <v>0</v>
      </c>
    </row>
    <row r="45" spans="1:16">
      <c r="A45" s="5" t="s">
        <v>38</v>
      </c>
      <c r="B45" s="180" t="s">
        <v>75</v>
      </c>
      <c r="E45" s="35" t="s">
        <v>242</v>
      </c>
      <c r="F45" s="33"/>
      <c r="G45" s="33"/>
      <c r="H45" s="33">
        <f ca="1">SUM(H26:H34)</f>
        <v>0</v>
      </c>
      <c r="I45" s="33">
        <f>SUM(I31:I32)+'M03-S09'!AX200+'M03-S05'!AX200</f>
        <v>0</v>
      </c>
      <c r="J45" s="33">
        <f ca="1">SUM(J31:J32)+'M03-S09'!BA200+'M03-S05'!BA200</f>
        <v>0</v>
      </c>
      <c r="K45" s="366" t="str">
        <f ca="1">IFERROR(ROUND(((1+GLOSS)*((THERMTOTALPRESG*INDEX(GASCB[NPV GAEC $/therm],MATCH(10,GASCB[Year Number],1))))/COSTTOTALPRESG),2),"NA")</f>
        <v>NA</v>
      </c>
      <c r="L45" s="33" t="str">
        <f ca="1">IFERROR(ROUND(COSTTOTALPRESG/M02S02F36/THERMTOTALPRESG,2),"NA")</f>
        <v>NA</v>
      </c>
      <c r="P45" s="33">
        <f>SUM(P31:P32)</f>
        <v>0</v>
      </c>
    </row>
    <row r="46" spans="1:16">
      <c r="A46" s="5" t="s">
        <v>39</v>
      </c>
      <c r="B46" s="180" t="s">
        <v>124</v>
      </c>
      <c r="E46" s="35" t="s">
        <v>244</v>
      </c>
      <c r="F46" s="33">
        <f ca="1">SUM(F36:F43)</f>
        <v>0</v>
      </c>
      <c r="G46" s="33">
        <f ca="1">SUM(G36:G43)</f>
        <v>0</v>
      </c>
      <c r="H46" s="33"/>
      <c r="I46" s="33">
        <f ca="1">SUM(I36:I38)</f>
        <v>0</v>
      </c>
      <c r="J46" s="33">
        <f>SUM(J36:J38)</f>
        <v>0</v>
      </c>
      <c r="K46" s="366" t="str">
        <f ca="1">IFERROR(ROUND(((1+ELOSS)*((KWHTOTALCUSE*INDEX(ELECCB[NPV AEC $/kWh],MATCH(15,ELECCB[Year Number],0)))+(KWTOTALCUSE*INDEX(ELECCB[NPV ACC+T&amp;D $/kW],MATCH(10,ELECCB[Year Number],0))))/COSTTOTALCUSE),2),"NA")</f>
        <v>NA</v>
      </c>
      <c r="L46" s="33" t="str">
        <f ca="1">IFERROR(ROUND(COSTTOTALCUSE/M02S02F35/KWHTOTALCUSE,2),"NA")</f>
        <v>NA</v>
      </c>
      <c r="P46" s="33">
        <f ca="1">SUM(P36:P38)</f>
        <v>0</v>
      </c>
    </row>
    <row r="47" spans="1:16">
      <c r="A47" s="5" t="s">
        <v>40</v>
      </c>
      <c r="B47" s="180"/>
      <c r="E47" s="35" t="s">
        <v>245</v>
      </c>
      <c r="F47" s="33"/>
      <c r="G47" s="33"/>
      <c r="H47" s="33">
        <f ca="1">SUM(H36:H43)</f>
        <v>0</v>
      </c>
      <c r="I47" s="33">
        <f ca="1">SUM(I39)</f>
        <v>0</v>
      </c>
      <c r="J47" s="33">
        <f>SUM(J39)</f>
        <v>0</v>
      </c>
      <c r="K47" s="366" t="str">
        <f ca="1">IFERROR(ROUND(((1+GLOSS)*((THERMTOTALCUSG*INDEX(GASCB[NPV GAEC $/therm],MATCH(10,GASCB[Year Number],1))))/COSTTOTALCUSG),2),"NA")</f>
        <v>NA</v>
      </c>
      <c r="L47" s="33" t="str">
        <f ca="1">IFERROR(ROUND(COSTTOTALCUSG/M02S02F36/THERMTOTALCUSG,2),"NA")</f>
        <v>NA</v>
      </c>
      <c r="P47" s="33">
        <f>SUM(P39)</f>
        <v>0</v>
      </c>
    </row>
    <row r="48" spans="1:16">
      <c r="A48" s="5" t="s">
        <v>41</v>
      </c>
      <c r="B48" s="180" t="s">
        <v>121</v>
      </c>
      <c r="E48" s="35" t="s">
        <v>246</v>
      </c>
      <c r="F48" s="33">
        <f ca="1">SUM(F26:F34,F36:F43)</f>
        <v>0</v>
      </c>
      <c r="G48" s="33">
        <f ca="1">SUM(G26:G34,G36:G43)</f>
        <v>0</v>
      </c>
      <c r="H48" s="33">
        <f ca="1">SUM(H26:H34,H36:H43)</f>
        <v>0</v>
      </c>
      <c r="I48" s="33">
        <f ca="1">SUM(I26:I34,I36:I43)</f>
        <v>0</v>
      </c>
      <c r="J48" s="33">
        <f ca="1">SUM(J26:J34,J36:J43)+P48</f>
        <v>0</v>
      </c>
      <c r="K48" s="366" t="str">
        <f ca="1">IFERROR(ROUND((((1+ELOSS)*((KWHTOTAL*INDEX(ELECCB[NPV AEC $/kWh],MATCH(15,ELECCB[Year Number],0)))+(KWTOTAL*INDEX(ELECCB[NPV ACC+T&amp;D $/kW],MATCH(10,ELECCB[Year Number],0))))+((1+GLOSS)*((THERMTOTAL*INDEX(GASCB[NPV GAEC $/therm],MATCH(10,GASCB[Year Number],1))))))/COSTTOTAL),2),"NA")</f>
        <v>NA</v>
      </c>
      <c r="L48" s="366" t="str">
        <f ca="1">IFERROR(COSTTOTAL/((KWHTOTAL*M02S02F35)+(THERMTOTAL*M02S02F36)),"NA")</f>
        <v>NA</v>
      </c>
      <c r="P48" s="33">
        <f ca="1">SUM(P26:P34,P36:P43)</f>
        <v>0</v>
      </c>
    </row>
    <row r="49" spans="1:2">
      <c r="A49" s="5" t="s">
        <v>42</v>
      </c>
      <c r="B49" s="180" t="s">
        <v>122</v>
      </c>
    </row>
    <row r="50" spans="1:2">
      <c r="A50" s="5" t="s">
        <v>43</v>
      </c>
      <c r="B50" s="180" t="s">
        <v>235</v>
      </c>
    </row>
    <row r="51" spans="1:2">
      <c r="A51" s="5" t="s">
        <v>44</v>
      </c>
      <c r="B51" s="180" t="s">
        <v>868</v>
      </c>
    </row>
    <row r="52" spans="1:2">
      <c r="A52" s="6" t="s">
        <v>45</v>
      </c>
      <c r="B52" s="180"/>
    </row>
    <row r="53" spans="1:2">
      <c r="A53" s="4" t="s">
        <v>65</v>
      </c>
      <c r="B53" s="180"/>
    </row>
    <row r="54" spans="1:2">
      <c r="A54" s="5" t="s">
        <v>46</v>
      </c>
      <c r="B54" s="180"/>
    </row>
    <row r="55" spans="1:2">
      <c r="A55" s="5" t="s">
        <v>47</v>
      </c>
      <c r="B55" s="180"/>
    </row>
    <row r="56" spans="1:2">
      <c r="A56" s="5" t="s">
        <v>48</v>
      </c>
      <c r="B56" s="180"/>
    </row>
    <row r="57" spans="1:2">
      <c r="A57" s="5" t="s">
        <v>49</v>
      </c>
      <c r="B57" s="180"/>
    </row>
    <row r="58" spans="1:2">
      <c r="A58" s="5" t="s">
        <v>50</v>
      </c>
      <c r="B58" s="180"/>
    </row>
    <row r="59" spans="1:2">
      <c r="A59" s="5" t="s">
        <v>51</v>
      </c>
      <c r="B59" s="180"/>
    </row>
    <row r="60" spans="1:2">
      <c r="A60" s="5" t="s">
        <v>52</v>
      </c>
      <c r="B60" s="180"/>
    </row>
    <row r="61" spans="1:2">
      <c r="A61" s="6" t="s">
        <v>53</v>
      </c>
      <c r="B61" s="180"/>
    </row>
    <row r="62" spans="1:2">
      <c r="A62" s="4" t="s">
        <v>66</v>
      </c>
      <c r="B62" s="180"/>
    </row>
    <row r="63" spans="1:2">
      <c r="A63" s="5" t="s">
        <v>54</v>
      </c>
      <c r="B63" s="180"/>
    </row>
    <row r="64" spans="1:2">
      <c r="A64" s="5" t="s">
        <v>55</v>
      </c>
      <c r="B64" s="180"/>
    </row>
    <row r="65" spans="1:5">
      <c r="A65" s="5" t="s">
        <v>56</v>
      </c>
      <c r="B65" s="180"/>
    </row>
    <row r="66" spans="1:5">
      <c r="A66" s="5" t="s">
        <v>57</v>
      </c>
      <c r="B66" s="180"/>
    </row>
    <row r="67" spans="1:5">
      <c r="A67" s="5" t="s">
        <v>58</v>
      </c>
      <c r="B67" s="180"/>
    </row>
    <row r="68" spans="1:5">
      <c r="A68" s="5" t="s">
        <v>59</v>
      </c>
      <c r="B68" s="180"/>
    </row>
    <row r="69" spans="1:5">
      <c r="A69" s="5" t="s">
        <v>60</v>
      </c>
      <c r="B69" s="180"/>
    </row>
    <row r="70" spans="1:5">
      <c r="A70" s="6" t="s">
        <v>61</v>
      </c>
      <c r="B70" s="180"/>
    </row>
    <row r="73" spans="1:5">
      <c r="C73" t="s">
        <v>137</v>
      </c>
      <c r="D73" t="s">
        <v>475</v>
      </c>
    </row>
    <row r="74" spans="1:5">
      <c r="A74">
        <f ca="1">SUM(D75:D79)</f>
        <v>0</v>
      </c>
      <c r="B74" t="str">
        <f>M2S1</f>
        <v>Terms &amp; Conditions</v>
      </c>
      <c r="C74">
        <f ca="1">COUNT(C75:C79)</f>
        <v>5</v>
      </c>
      <c r="D74">
        <f ca="1">COUNT(D75:D79)</f>
        <v>5</v>
      </c>
    </row>
    <row r="75" spans="1:5">
      <c r="A75" t="s">
        <v>482</v>
      </c>
      <c r="B75" t="str">
        <f ca="1">OFFSET(INDIRECT(A75),-1,0)</f>
        <v>Electronic Signature (Account Owner or Authorized Representative)*</v>
      </c>
      <c r="C75">
        <f t="shared" ref="C75:D78" ca="1" si="2">IF(INDIRECT($A75)="",0,1)</f>
        <v>0</v>
      </c>
      <c r="D75">
        <f t="shared" ca="1" si="2"/>
        <v>0</v>
      </c>
      <c r="E75">
        <f ca="1">INDIRECT(A75)</f>
        <v>0</v>
      </c>
    </row>
    <row r="76" spans="1:5">
      <c r="A76" t="s">
        <v>483</v>
      </c>
      <c r="B76" t="str">
        <f ca="1">OFFSET(INDIRECT(A76),-1,0)</f>
        <v>Signatory Title*</v>
      </c>
      <c r="C76">
        <f t="shared" ca="1" si="2"/>
        <v>0</v>
      </c>
      <c r="D76">
        <f t="shared" ca="1" si="2"/>
        <v>0</v>
      </c>
      <c r="E76">
        <f ca="1">INDIRECT(A76)</f>
        <v>0</v>
      </c>
    </row>
    <row r="77" spans="1:5">
      <c r="A77" t="s">
        <v>1323</v>
      </c>
      <c r="B77" t="str">
        <f ca="1">OFFSET(INDIRECT(A77),-1,0)</f>
        <v>Date Signed*</v>
      </c>
      <c r="C77">
        <f t="shared" ca="1" si="2"/>
        <v>0</v>
      </c>
      <c r="D77">
        <f t="shared" ca="1" si="2"/>
        <v>0</v>
      </c>
      <c r="E77">
        <f ca="1">INDIRECT(A77)</f>
        <v>0</v>
      </c>
    </row>
    <row r="78" spans="1:5">
      <c r="A78" t="s">
        <v>2143</v>
      </c>
      <c r="B78" t="str">
        <f ca="1">OFFSET(INDIRECT(A78),-1,0)</f>
        <v>Have you Installed or Purchased Equipment*</v>
      </c>
      <c r="C78">
        <f t="shared" ca="1" si="2"/>
        <v>0</v>
      </c>
      <c r="D78">
        <f t="shared" ca="1" si="2"/>
        <v>0</v>
      </c>
      <c r="E78">
        <f t="shared" ref="E78" ca="1" si="3">INDIRECT(A78)</f>
        <v>0</v>
      </c>
    </row>
    <row r="79" spans="1:5">
      <c r="A79" t="s">
        <v>2144</v>
      </c>
      <c r="B79" t="str">
        <f ca="1">OFFSET(INDIRECT(A79),-1,0)</f>
        <v>Estimated Completion Date* (MM/DD/YYYY)</v>
      </c>
      <c r="C79">
        <f ca="1">IF(M05S02F06="YES",1,IF(INDIRECT($A79)="",0,1))</f>
        <v>0</v>
      </c>
      <c r="D79">
        <f ca="1">IF(M05S02F06="YES",1,IF(INDIRECT($A79)="",0,1))</f>
        <v>0</v>
      </c>
      <c r="E79">
        <f ca="1">IF(M05S02F06="Yes",1,INDIRECT(A79))</f>
        <v>0</v>
      </c>
    </row>
    <row r="80" spans="1:5">
      <c r="C80" t="s">
        <v>137</v>
      </c>
      <c r="D80" t="s">
        <v>475</v>
      </c>
    </row>
    <row r="81" spans="1:5">
      <c r="A81">
        <f ca="1">SUM(D82:D125)</f>
        <v>2</v>
      </c>
      <c r="B81" t="str">
        <f>M2S2</f>
        <v>Company and Site Information</v>
      </c>
      <c r="C81">
        <f ca="1">COUNT(C82:C130)</f>
        <v>49</v>
      </c>
      <c r="D81">
        <f ca="1">COUNT(D82:D126)</f>
        <v>36</v>
      </c>
    </row>
    <row r="82" spans="1:5">
      <c r="A82" t="s">
        <v>238</v>
      </c>
      <c r="B82" t="str">
        <f ca="1">OFFSET(INDIRECT(A82),-1,0)</f>
        <v>Legal Company Name*</v>
      </c>
      <c r="C82">
        <f t="shared" ref="C82:D86" ca="1" si="4">IF(INDIRECT($A82)="",0,1)</f>
        <v>0</v>
      </c>
      <c r="D82">
        <f t="shared" ca="1" si="4"/>
        <v>0</v>
      </c>
      <c r="E82">
        <f t="shared" ref="E82:E124" ca="1" si="5">INDIRECT(A82)</f>
        <v>0</v>
      </c>
    </row>
    <row r="83" spans="1:5">
      <c r="A83" t="s">
        <v>251</v>
      </c>
      <c r="B83" t="str">
        <f t="shared" ref="B83:B158" ca="1" si="6">OFFSET(INDIRECT(A83),-1,0)</f>
        <v>First Name*</v>
      </c>
      <c r="C83">
        <f t="shared" ca="1" si="4"/>
        <v>0</v>
      </c>
      <c r="D83">
        <f t="shared" ca="1" si="4"/>
        <v>0</v>
      </c>
      <c r="E83">
        <f t="shared" ca="1" si="5"/>
        <v>0</v>
      </c>
    </row>
    <row r="84" spans="1:5">
      <c r="A84" t="s">
        <v>252</v>
      </c>
      <c r="B84" t="str">
        <f t="shared" ca="1" si="6"/>
        <v>Last Name*</v>
      </c>
      <c r="C84">
        <f t="shared" ca="1" si="4"/>
        <v>0</v>
      </c>
      <c r="D84">
        <f t="shared" ca="1" si="4"/>
        <v>0</v>
      </c>
      <c r="E84">
        <f t="shared" ca="1" si="5"/>
        <v>0</v>
      </c>
    </row>
    <row r="85" spans="1:5">
      <c r="A85" t="s">
        <v>253</v>
      </c>
      <c r="B85" t="str">
        <f t="shared" ca="1" si="6"/>
        <v>Title*</v>
      </c>
      <c r="C85">
        <f t="shared" ca="1" si="4"/>
        <v>0</v>
      </c>
      <c r="D85">
        <f t="shared" ca="1" si="4"/>
        <v>0</v>
      </c>
      <c r="E85">
        <f t="shared" ca="1" si="5"/>
        <v>0</v>
      </c>
    </row>
    <row r="86" spans="1:5">
      <c r="A86" t="s">
        <v>254</v>
      </c>
      <c r="B86" t="str">
        <f t="shared" ca="1" si="6"/>
        <v>Primary Phone*</v>
      </c>
      <c r="C86">
        <f t="shared" ca="1" si="4"/>
        <v>0</v>
      </c>
      <c r="D86">
        <f t="shared" ca="1" si="4"/>
        <v>0</v>
      </c>
      <c r="E86">
        <f t="shared" ca="1" si="5"/>
        <v>0</v>
      </c>
    </row>
    <row r="87" spans="1:5">
      <c r="A87" t="s">
        <v>255</v>
      </c>
      <c r="B87" t="str">
        <f t="shared" ca="1" si="6"/>
        <v>Secondary Phone</v>
      </c>
      <c r="C87">
        <f t="shared" ref="C87:D126" ca="1" si="7">IF(INDIRECT($A87)="",0,1)</f>
        <v>0</v>
      </c>
      <c r="E87">
        <f t="shared" ca="1" si="5"/>
        <v>0</v>
      </c>
    </row>
    <row r="88" spans="1:5">
      <c r="A88" t="s">
        <v>256</v>
      </c>
      <c r="B88" t="str">
        <f t="shared" ca="1" si="6"/>
        <v>Email*</v>
      </c>
      <c r="C88">
        <f t="shared" ca="1" si="7"/>
        <v>0</v>
      </c>
      <c r="D88">
        <f t="shared" ref="D88:D101" ca="1" si="8">IF(INDIRECT($A88)="",0,1)</f>
        <v>0</v>
      </c>
      <c r="E88">
        <f t="shared" ca="1" si="5"/>
        <v>0</v>
      </c>
    </row>
    <row r="89" spans="1:5">
      <c r="A89" t="s">
        <v>257</v>
      </c>
      <c r="B89" t="str">
        <f t="shared" ca="1" si="6"/>
        <v>Company Address*</v>
      </c>
      <c r="C89">
        <f t="shared" ca="1" si="7"/>
        <v>0</v>
      </c>
      <c r="D89">
        <f t="shared" ca="1" si="8"/>
        <v>0</v>
      </c>
      <c r="E89">
        <f t="shared" ca="1" si="5"/>
        <v>0</v>
      </c>
    </row>
    <row r="90" spans="1:5">
      <c r="A90" t="s">
        <v>258</v>
      </c>
      <c r="B90" t="str">
        <f t="shared" ca="1" si="6"/>
        <v>City*</v>
      </c>
      <c r="C90">
        <f t="shared" ca="1" si="7"/>
        <v>0</v>
      </c>
      <c r="D90">
        <f t="shared" ca="1" si="8"/>
        <v>0</v>
      </c>
      <c r="E90">
        <f t="shared" ca="1" si="5"/>
        <v>0</v>
      </c>
    </row>
    <row r="91" spans="1:5">
      <c r="A91" t="s">
        <v>259</v>
      </c>
      <c r="B91" t="str">
        <f t="shared" ca="1" si="6"/>
        <v>State*</v>
      </c>
      <c r="C91">
        <f t="shared" ca="1" si="7"/>
        <v>0</v>
      </c>
      <c r="D91">
        <f t="shared" ca="1" si="8"/>
        <v>0</v>
      </c>
      <c r="E91">
        <f t="shared" ca="1" si="5"/>
        <v>0</v>
      </c>
    </row>
    <row r="92" spans="1:5">
      <c r="A92" t="s">
        <v>260</v>
      </c>
      <c r="B92" t="str">
        <f t="shared" ca="1" si="6"/>
        <v>Zip Code*</v>
      </c>
      <c r="C92">
        <f t="shared" ca="1" si="7"/>
        <v>0</v>
      </c>
      <c r="D92">
        <f t="shared" ca="1" si="8"/>
        <v>0</v>
      </c>
      <c r="E92">
        <f t="shared" ca="1" si="5"/>
        <v>0</v>
      </c>
    </row>
    <row r="93" spans="1:5">
      <c r="A93" s="181" t="s">
        <v>1197</v>
      </c>
      <c r="B93" t="str">
        <f ca="1">OFFSET(INDIRECT(A93),-2,0)</f>
        <v>How did you hear about this program?*</v>
      </c>
      <c r="C93">
        <f t="shared" ca="1" si="7"/>
        <v>0</v>
      </c>
      <c r="D93">
        <f t="shared" ca="1" si="8"/>
        <v>0</v>
      </c>
      <c r="E93">
        <f ca="1">INDIRECT(A93)</f>
        <v>0</v>
      </c>
    </row>
    <row r="94" spans="1:5">
      <c r="A94" t="s">
        <v>261</v>
      </c>
      <c r="B94" t="str">
        <f t="shared" ca="1" si="6"/>
        <v>Project Type*</v>
      </c>
      <c r="C94">
        <f t="shared" ca="1" si="7"/>
        <v>0</v>
      </c>
      <c r="D94">
        <f t="shared" ca="1" si="8"/>
        <v>0</v>
      </c>
      <c r="E94">
        <f t="shared" ca="1" si="5"/>
        <v>0</v>
      </c>
    </row>
    <row r="95" spans="1:5">
      <c r="A95" t="s">
        <v>262</v>
      </c>
      <c r="B95" t="str">
        <f t="shared" ca="1" si="6"/>
        <v>Project ID*</v>
      </c>
      <c r="C95">
        <f t="shared" ca="1" si="7"/>
        <v>0</v>
      </c>
      <c r="D95">
        <f t="shared" ca="1" si="8"/>
        <v>0</v>
      </c>
      <c r="E95">
        <f t="shared" ca="1" si="5"/>
        <v>0</v>
      </c>
    </row>
    <row r="96" spans="1:5">
      <c r="A96" t="s">
        <v>263</v>
      </c>
      <c r="B96" t="str">
        <f ca="1">OFFSET(INDIRECT(A96),0,-9)</f>
        <v>Is Site Contact same as Company Contact?*</v>
      </c>
      <c r="C96">
        <f t="shared" ca="1" si="7"/>
        <v>0</v>
      </c>
      <c r="D96">
        <f t="shared" ca="1" si="8"/>
        <v>0</v>
      </c>
      <c r="E96">
        <f t="shared" ca="1" si="5"/>
        <v>0</v>
      </c>
    </row>
    <row r="97" spans="1:5">
      <c r="A97" t="s">
        <v>264</v>
      </c>
      <c r="B97" t="str">
        <f ca="1">OFFSET(INDIRECT(A97),0,-10)</f>
        <v>Is Site Location same as Company Location?*</v>
      </c>
      <c r="C97">
        <f t="shared" ca="1" si="7"/>
        <v>0</v>
      </c>
      <c r="D97">
        <f t="shared" ca="1" si="8"/>
        <v>0</v>
      </c>
      <c r="E97">
        <f t="shared" ca="1" si="5"/>
        <v>0</v>
      </c>
    </row>
    <row r="98" spans="1:5">
      <c r="A98" t="s">
        <v>265</v>
      </c>
      <c r="B98" t="str">
        <f t="shared" ca="1" si="6"/>
        <v>First Name*</v>
      </c>
      <c r="C98">
        <f t="shared" ca="1" si="7"/>
        <v>0</v>
      </c>
      <c r="D98">
        <f t="shared" ca="1" si="8"/>
        <v>0</v>
      </c>
      <c r="E98" t="str">
        <f t="shared" ca="1" si="5"/>
        <v/>
      </c>
    </row>
    <row r="99" spans="1:5">
      <c r="A99" t="s">
        <v>266</v>
      </c>
      <c r="B99" t="str">
        <f t="shared" ca="1" si="6"/>
        <v>Last Name*</v>
      </c>
      <c r="C99">
        <f t="shared" ca="1" si="7"/>
        <v>0</v>
      </c>
      <c r="D99">
        <f t="shared" ca="1" si="8"/>
        <v>0</v>
      </c>
      <c r="E99" t="str">
        <f t="shared" ca="1" si="5"/>
        <v/>
      </c>
    </row>
    <row r="100" spans="1:5">
      <c r="A100" t="s">
        <v>267</v>
      </c>
      <c r="B100" t="str">
        <f t="shared" ca="1" si="6"/>
        <v>Title*</v>
      </c>
      <c r="C100">
        <f t="shared" ca="1" si="7"/>
        <v>0</v>
      </c>
      <c r="D100">
        <f t="shared" ca="1" si="8"/>
        <v>0</v>
      </c>
      <c r="E100" t="str">
        <f t="shared" ca="1" si="5"/>
        <v/>
      </c>
    </row>
    <row r="101" spans="1:5">
      <c r="A101" t="s">
        <v>268</v>
      </c>
      <c r="B101" t="str">
        <f t="shared" ca="1" si="6"/>
        <v>Primary Phone*</v>
      </c>
      <c r="C101">
        <f t="shared" ca="1" si="7"/>
        <v>0</v>
      </c>
      <c r="D101">
        <f t="shared" ca="1" si="8"/>
        <v>0</v>
      </c>
      <c r="E101" t="str">
        <f t="shared" ca="1" si="5"/>
        <v/>
      </c>
    </row>
    <row r="102" spans="1:5">
      <c r="A102" t="s">
        <v>269</v>
      </c>
      <c r="B102" t="str">
        <f t="shared" ca="1" si="6"/>
        <v>Secondary Phone</v>
      </c>
      <c r="C102">
        <f t="shared" ca="1" si="7"/>
        <v>0</v>
      </c>
      <c r="E102" t="str">
        <f t="shared" ca="1" si="5"/>
        <v/>
      </c>
    </row>
    <row r="103" spans="1:5">
      <c r="A103" t="s">
        <v>270</v>
      </c>
      <c r="B103" t="str">
        <f t="shared" ca="1" si="6"/>
        <v>Email*</v>
      </c>
      <c r="C103">
        <f t="shared" ca="1" si="7"/>
        <v>0</v>
      </c>
      <c r="D103">
        <f ca="1">IF(INDIRECT($A103)="",0,1)</f>
        <v>0</v>
      </c>
      <c r="E103" t="str">
        <f t="shared" ca="1" si="5"/>
        <v/>
      </c>
    </row>
    <row r="104" spans="1:5">
      <c r="A104" t="s">
        <v>271</v>
      </c>
      <c r="B104" t="str">
        <f t="shared" ca="1" si="6"/>
        <v>Site Address*</v>
      </c>
      <c r="C104">
        <f t="shared" ca="1" si="7"/>
        <v>0</v>
      </c>
      <c r="D104">
        <f ca="1">IF(INDIRECT($A104)="",0,1)</f>
        <v>0</v>
      </c>
      <c r="E104" t="str">
        <f t="shared" ca="1" si="5"/>
        <v/>
      </c>
    </row>
    <row r="105" spans="1:5">
      <c r="A105" t="s">
        <v>272</v>
      </c>
      <c r="B105" t="str">
        <f t="shared" ca="1" si="6"/>
        <v>City*</v>
      </c>
      <c r="C105">
        <f t="shared" ca="1" si="7"/>
        <v>0</v>
      </c>
      <c r="D105">
        <f ca="1">IF(INDIRECT($A105)="",0,1)</f>
        <v>0</v>
      </c>
      <c r="E105" t="str">
        <f t="shared" ca="1" si="5"/>
        <v/>
      </c>
    </row>
    <row r="106" spans="1:5">
      <c r="A106" t="s">
        <v>273</v>
      </c>
      <c r="B106" t="str">
        <f t="shared" ca="1" si="6"/>
        <v>State*</v>
      </c>
      <c r="C106">
        <f t="shared" ca="1" si="7"/>
        <v>1</v>
      </c>
      <c r="E106" t="str">
        <f t="shared" ca="1" si="5"/>
        <v>IN</v>
      </c>
    </row>
    <row r="107" spans="1:5">
      <c r="A107" t="s">
        <v>274</v>
      </c>
      <c r="B107" t="str">
        <f t="shared" ca="1" si="6"/>
        <v>Zip Code*</v>
      </c>
      <c r="C107">
        <f t="shared" ca="1" si="7"/>
        <v>0</v>
      </c>
      <c r="D107">
        <f ca="1">IF(INDIRECT($A107)="",0,1)</f>
        <v>0</v>
      </c>
      <c r="E107" t="str">
        <f t="shared" ca="1" si="5"/>
        <v/>
      </c>
    </row>
    <row r="108" spans="1:5">
      <c r="A108" t="s">
        <v>275</v>
      </c>
      <c r="B108" t="str">
        <f t="shared" ca="1" si="6"/>
        <v>Space Type*</v>
      </c>
      <c r="C108">
        <f t="shared" ca="1" si="7"/>
        <v>0</v>
      </c>
      <c r="D108">
        <f ca="1">IF(INDIRECT($A108)="",0,1)</f>
        <v>0</v>
      </c>
      <c r="E108">
        <f t="shared" ca="1" si="5"/>
        <v>0</v>
      </c>
    </row>
    <row r="109" spans="1:5">
      <c r="A109" t="s">
        <v>276</v>
      </c>
      <c r="B109" t="str">
        <f t="shared" ca="1" si="6"/>
        <v>Building Ownership*</v>
      </c>
      <c r="C109">
        <f t="shared" ca="1" si="7"/>
        <v>0</v>
      </c>
      <c r="D109">
        <f ca="1">IF(INDIRECT($A109)="",0,1)</f>
        <v>0</v>
      </c>
      <c r="E109">
        <f t="shared" ca="1" si="5"/>
        <v>0</v>
      </c>
    </row>
    <row r="110" spans="1:5">
      <c r="A110" t="s">
        <v>277</v>
      </c>
      <c r="B110" t="str">
        <f t="shared" ca="1" si="6"/>
        <v>Annual Operating Hours*</v>
      </c>
      <c r="C110">
        <f t="shared" ca="1" si="7"/>
        <v>0</v>
      </c>
      <c r="D110">
        <f ca="1">IF(INDIRECT($A110)="",0,1)</f>
        <v>0</v>
      </c>
      <c r="E110">
        <f t="shared" ca="1" si="5"/>
        <v>0</v>
      </c>
    </row>
    <row r="111" spans="1:5">
      <c r="A111" t="s">
        <v>278</v>
      </c>
      <c r="B111" t="str">
        <f t="shared" ca="1" si="6"/>
        <v>Year Built</v>
      </c>
      <c r="C111">
        <f t="shared" ca="1" si="7"/>
        <v>0</v>
      </c>
      <c r="E111">
        <f t="shared" ca="1" si="5"/>
        <v>0</v>
      </c>
    </row>
    <row r="112" spans="1:5">
      <c r="A112" t="s">
        <v>279</v>
      </c>
      <c r="B112" t="str">
        <f t="shared" ca="1" si="6"/>
        <v>Square Footage</v>
      </c>
      <c r="C112">
        <f t="shared" ca="1" si="7"/>
        <v>0</v>
      </c>
      <c r="E112">
        <f t="shared" ca="1" si="5"/>
        <v>0</v>
      </c>
    </row>
    <row r="113" spans="1:5">
      <c r="A113" t="s">
        <v>280</v>
      </c>
      <c r="B113" t="str">
        <f t="shared" ca="1" si="6"/>
        <v># of Floors</v>
      </c>
      <c r="C113">
        <f t="shared" ca="1" si="7"/>
        <v>0</v>
      </c>
      <c r="E113">
        <f t="shared" ca="1" si="5"/>
        <v>0</v>
      </c>
    </row>
    <row r="114" spans="1:5">
      <c r="A114" t="s">
        <v>281</v>
      </c>
      <c r="B114" t="str">
        <f t="shared" ca="1" si="6"/>
        <v>Space Conditioning Type*</v>
      </c>
      <c r="C114">
        <f t="shared" ca="1" si="7"/>
        <v>0</v>
      </c>
      <c r="D114">
        <f ca="1">IF(INDIRECT($A114)="",0,1)</f>
        <v>0</v>
      </c>
      <c r="E114">
        <f t="shared" ca="1" si="5"/>
        <v>0</v>
      </c>
    </row>
    <row r="115" spans="1:5">
      <c r="A115" t="s">
        <v>282</v>
      </c>
      <c r="B115" t="str">
        <f t="shared" ca="1" si="6"/>
        <v>Water Heating Type*</v>
      </c>
      <c r="C115">
        <f t="shared" ca="1" si="7"/>
        <v>0</v>
      </c>
      <c r="D115">
        <f ca="1">IF(INDIRECT($A115)="",0,1)</f>
        <v>0</v>
      </c>
      <c r="E115">
        <f t="shared" ca="1" si="5"/>
        <v>0</v>
      </c>
    </row>
    <row r="116" spans="1:5">
      <c r="A116" t="s">
        <v>283</v>
      </c>
      <c r="B116" t="str">
        <f t="shared" ca="1" si="6"/>
        <v>Site Name*</v>
      </c>
      <c r="C116">
        <f t="shared" ca="1" si="7"/>
        <v>0</v>
      </c>
      <c r="D116">
        <f ca="1">IF(INDIRECT($A116)="",0,1)</f>
        <v>0</v>
      </c>
      <c r="E116" t="str">
        <f t="shared" ca="1" si="5"/>
        <v/>
      </c>
    </row>
    <row r="117" spans="1:5">
      <c r="A117" t="s">
        <v>284</v>
      </c>
      <c r="B117" t="str">
        <f t="shared" ca="1" si="6"/>
        <v>Gas Utility Rate* ($/Therm)</v>
      </c>
      <c r="C117">
        <f t="shared" ca="1" si="7"/>
        <v>1</v>
      </c>
      <c r="D117">
        <f ca="1">IF(INDIRECT($A117)="",0,IF(INDIRECT($A117)=0.752,"",1))</f>
        <v>1</v>
      </c>
      <c r="E117">
        <f t="shared" ca="1" si="5"/>
        <v>0.95799999999999996</v>
      </c>
    </row>
    <row r="118" spans="1:5">
      <c r="A118" t="s">
        <v>1202</v>
      </c>
      <c r="B118" t="str">
        <f ca="1">OFFSET(INDIRECT(A118),-1,0)</f>
        <v>Electric Utility Rate* ($/kWh)</v>
      </c>
      <c r="C118">
        <f t="shared" ca="1" si="7"/>
        <v>1</v>
      </c>
      <c r="D118">
        <f ca="1">IF(INDIRECT($A118)="",0,IF(INDIRECT($A118)=0.105,"",1))</f>
        <v>1</v>
      </c>
      <c r="E118">
        <f ca="1">INDIRECT(A118)</f>
        <v>0.1087</v>
      </c>
    </row>
    <row r="119" spans="1:5">
      <c r="A119" t="s">
        <v>1707</v>
      </c>
      <c r="B119" t="str">
        <f ca="1">OFFSET(INDIRECT(A119),-1,0)</f>
        <v>Account Type*</v>
      </c>
      <c r="C119">
        <f t="shared" ca="1" si="7"/>
        <v>0</v>
      </c>
      <c r="D119">
        <f ca="1">IF(INDIRECT($A119)="",0,1)</f>
        <v>0</v>
      </c>
      <c r="E119">
        <f ca="1">INDIRECT(A119)</f>
        <v>0</v>
      </c>
    </row>
    <row r="120" spans="1:5">
      <c r="A120" t="s">
        <v>285</v>
      </c>
      <c r="B120" t="str">
        <f t="shared" ca="1" si="6"/>
        <v>Account Number 1*</v>
      </c>
      <c r="C120">
        <f t="shared" ca="1" si="7"/>
        <v>0</v>
      </c>
      <c r="D120">
        <f ca="1">IF(OR(INDIRECT(A120)&lt;&gt;"",INDIRECT(A121)&lt;&gt;""),1,0)</f>
        <v>0</v>
      </c>
      <c r="E120">
        <f t="shared" ca="1" si="5"/>
        <v>0</v>
      </c>
    </row>
    <row r="121" spans="1:5">
      <c r="A121" t="s">
        <v>286</v>
      </c>
      <c r="B121" t="str">
        <f t="shared" ca="1" si="6"/>
        <v>Account Number 2</v>
      </c>
      <c r="C121">
        <f t="shared" ca="1" si="7"/>
        <v>0</v>
      </c>
      <c r="E121">
        <f t="shared" ca="1" si="5"/>
        <v>0</v>
      </c>
    </row>
    <row r="122" spans="1:5">
      <c r="A122" t="s">
        <v>287</v>
      </c>
      <c r="B122" t="str">
        <f t="shared" ca="1" si="6"/>
        <v>Meter Number 1*</v>
      </c>
      <c r="C122">
        <f t="shared" ca="1" si="7"/>
        <v>0</v>
      </c>
      <c r="D122">
        <f ca="1">IF(OR(INDIRECT($A122)&lt;&gt;"",INDIRECT($A123)&lt;&gt;""),1,0)</f>
        <v>0</v>
      </c>
      <c r="E122">
        <f t="shared" ca="1" si="5"/>
        <v>0</v>
      </c>
    </row>
    <row r="123" spans="1:5">
      <c r="A123" t="s">
        <v>288</v>
      </c>
      <c r="B123" t="str">
        <f t="shared" ca="1" si="6"/>
        <v>Meter Number 2</v>
      </c>
      <c r="C123">
        <f t="shared" ca="1" si="7"/>
        <v>0</v>
      </c>
      <c r="E123">
        <f t="shared" ca="1" si="5"/>
        <v>0</v>
      </c>
    </row>
    <row r="124" spans="1:5">
      <c r="A124" t="s">
        <v>289</v>
      </c>
      <c r="B124" t="str">
        <f t="shared" ca="1" si="6"/>
        <v>Project Description*</v>
      </c>
      <c r="C124">
        <f t="shared" ca="1" si="7"/>
        <v>0</v>
      </c>
      <c r="D124">
        <f ca="1">IF(INDIRECT($A124)="",0,1)</f>
        <v>0</v>
      </c>
      <c r="E124">
        <f t="shared" ca="1" si="5"/>
        <v>0</v>
      </c>
    </row>
    <row r="125" spans="1:5">
      <c r="A125" t="s">
        <v>2086</v>
      </c>
      <c r="B125" t="str">
        <f t="shared" ref="B125:B130" ca="1" si="9">OFFSET(INDIRECT(A125),-1,0)</f>
        <v>Diverse Business Type*</v>
      </c>
      <c r="C125">
        <f t="shared" ca="1" si="7"/>
        <v>0</v>
      </c>
      <c r="D125">
        <f t="shared" ca="1" si="7"/>
        <v>0</v>
      </c>
      <c r="E125">
        <f t="shared" ref="E125:E130" ca="1" si="10">INDIRECT(A125)</f>
        <v>0</v>
      </c>
    </row>
    <row r="126" spans="1:5">
      <c r="A126" t="s">
        <v>2370</v>
      </c>
      <c r="B126" t="str">
        <f t="shared" ca="1" si="9"/>
        <v>Building Type*</v>
      </c>
      <c r="C126">
        <f t="shared" ca="1" si="7"/>
        <v>0</v>
      </c>
      <c r="E126">
        <f t="shared" ca="1" si="10"/>
        <v>0</v>
      </c>
    </row>
    <row r="127" spans="1:5">
      <c r="A127" t="s">
        <v>2087</v>
      </c>
      <c r="B127" t="str">
        <f t="shared" ca="1" si="9"/>
        <v>Issued Organization Type</v>
      </c>
      <c r="C127">
        <f t="shared" ref="C127:C130" ca="1" si="11">IF(INDIRECT($A127)="",0,1)</f>
        <v>0</v>
      </c>
      <c r="D127">
        <f ca="1">IF(M02S02F47="Not Applicable",1,IF(INDIRECT($A127)="",0,1))</f>
        <v>0</v>
      </c>
      <c r="E127">
        <f t="shared" ca="1" si="10"/>
        <v>0</v>
      </c>
    </row>
    <row r="128" spans="1:5">
      <c r="A128" t="s">
        <v>2088</v>
      </c>
      <c r="B128" t="str">
        <f t="shared" ca="1" si="9"/>
        <v>Certificate Number</v>
      </c>
      <c r="C128">
        <f t="shared" ca="1" si="11"/>
        <v>0</v>
      </c>
      <c r="D128">
        <f ca="1">IF(M02S02F47="Not Applicable",1,IF(INDIRECT($A128)="",0,1))</f>
        <v>0</v>
      </c>
      <c r="E128">
        <f t="shared" ca="1" si="10"/>
        <v>0</v>
      </c>
    </row>
    <row r="129" spans="1:5">
      <c r="A129" t="s">
        <v>2089</v>
      </c>
      <c r="B129" t="str">
        <f t="shared" ca="1" si="9"/>
        <v>Certificate Issued Date</v>
      </c>
      <c r="C129">
        <f t="shared" ca="1" si="11"/>
        <v>0</v>
      </c>
      <c r="D129">
        <f ca="1">IF(M02S02F47="Not Applicable",1,IF(INDIRECT($A129)="",0,1))</f>
        <v>0</v>
      </c>
      <c r="E129">
        <f t="shared" ca="1" si="10"/>
        <v>0</v>
      </c>
    </row>
    <row r="130" spans="1:5">
      <c r="A130" t="s">
        <v>2090</v>
      </c>
      <c r="B130" t="str">
        <f t="shared" ca="1" si="9"/>
        <v>Certificate Expiration Date</v>
      </c>
      <c r="C130">
        <f t="shared" ca="1" si="11"/>
        <v>0</v>
      </c>
      <c r="D130">
        <f ca="1">IF(M02S02F47="Not Applicable",1,IF(INDIRECT($A130)="",0,1))</f>
        <v>0</v>
      </c>
      <c r="E130">
        <f t="shared" ca="1" si="10"/>
        <v>0</v>
      </c>
    </row>
    <row r="133" spans="1:5">
      <c r="C133" t="s">
        <v>137</v>
      </c>
      <c r="D133" t="s">
        <v>475</v>
      </c>
    </row>
    <row r="134" spans="1:5">
      <c r="A134">
        <f ca="1">SUM(D135:D147)</f>
        <v>0</v>
      </c>
      <c r="B134" t="str">
        <f>M2S3</f>
        <v>Trade Ally / Vendor Information</v>
      </c>
      <c r="C134">
        <f ca="1">COUNT(C135:C151)</f>
        <v>17</v>
      </c>
      <c r="D134">
        <f ca="1">COUNT(D135:D147)</f>
        <v>12</v>
      </c>
    </row>
    <row r="135" spans="1:5">
      <c r="A135" t="s">
        <v>250</v>
      </c>
      <c r="B135" t="str">
        <f t="shared" ca="1" si="6"/>
        <v>Is there a Trade Ally or vendor for this project?</v>
      </c>
      <c r="C135">
        <f ca="1">IF(INDIRECT($A135)="",0,1)</f>
        <v>0</v>
      </c>
      <c r="D135">
        <f ca="1">IF(INDIRECT($A135)="",0,1)</f>
        <v>0</v>
      </c>
      <c r="E135">
        <f t="shared" ref="E135:E146" ca="1" si="12">INDIRECT(A135)</f>
        <v>0</v>
      </c>
    </row>
    <row r="136" spans="1:5">
      <c r="A136" t="s">
        <v>290</v>
      </c>
      <c r="B136" t="str">
        <f t="shared" ca="1" si="6"/>
        <v>Trade Ally / Vendor Company*</v>
      </c>
      <c r="C136">
        <f t="shared" ref="C136:C151" ca="1" si="13">IF(INDIRECT($A136)="",0,1)</f>
        <v>0</v>
      </c>
      <c r="D136">
        <f ca="1">IF(M02S03F01="No",1,IF(INDIRECT($A136)="",0,1))</f>
        <v>0</v>
      </c>
      <c r="E136">
        <f t="shared" ca="1" si="12"/>
        <v>0</v>
      </c>
    </row>
    <row r="137" spans="1:5">
      <c r="A137" t="s">
        <v>291</v>
      </c>
      <c r="B137" t="str">
        <f t="shared" ca="1" si="6"/>
        <v>First Name*</v>
      </c>
      <c r="C137">
        <f t="shared" ca="1" si="13"/>
        <v>0</v>
      </c>
      <c r="D137">
        <f ca="1">IF(M02S03F01="No",1,IF(INDIRECT($A137)="",0,1))</f>
        <v>0</v>
      </c>
      <c r="E137">
        <f t="shared" ca="1" si="12"/>
        <v>0</v>
      </c>
    </row>
    <row r="138" spans="1:5">
      <c r="A138" t="s">
        <v>292</v>
      </c>
      <c r="B138" t="str">
        <f t="shared" ca="1" si="6"/>
        <v>Last Name*</v>
      </c>
      <c r="C138">
        <f t="shared" ca="1" si="13"/>
        <v>0</v>
      </c>
      <c r="D138">
        <f ca="1">IF(M02S03F01="No",1,IF(INDIRECT($A138)="",0,1))</f>
        <v>0</v>
      </c>
      <c r="E138">
        <f t="shared" ca="1" si="12"/>
        <v>0</v>
      </c>
    </row>
    <row r="139" spans="1:5">
      <c r="A139" t="s">
        <v>293</v>
      </c>
      <c r="B139" t="str">
        <f t="shared" ca="1" si="6"/>
        <v>Title*</v>
      </c>
      <c r="C139">
        <f t="shared" ca="1" si="13"/>
        <v>0</v>
      </c>
      <c r="D139">
        <f ca="1">IF(M02S03F01="No",1,IF(INDIRECT($A139)="",0,1))</f>
        <v>0</v>
      </c>
      <c r="E139">
        <f t="shared" ca="1" si="12"/>
        <v>0</v>
      </c>
    </row>
    <row r="140" spans="1:5">
      <c r="A140" t="s">
        <v>294</v>
      </c>
      <c r="B140" t="str">
        <f t="shared" ca="1" si="6"/>
        <v>Primary Phone*</v>
      </c>
      <c r="C140">
        <f t="shared" ca="1" si="13"/>
        <v>0</v>
      </c>
      <c r="D140">
        <f ca="1">IF(M02S03F01="No",1,IF(INDIRECT($A140)="",0,1))</f>
        <v>0</v>
      </c>
      <c r="E140">
        <f t="shared" ca="1" si="12"/>
        <v>0</v>
      </c>
    </row>
    <row r="141" spans="1:5">
      <c r="A141" t="s">
        <v>295</v>
      </c>
      <c r="B141" t="str">
        <f t="shared" ca="1" si="6"/>
        <v>Secondary Phone</v>
      </c>
      <c r="C141">
        <f t="shared" ca="1" si="13"/>
        <v>0</v>
      </c>
      <c r="E141">
        <f t="shared" ca="1" si="12"/>
        <v>0</v>
      </c>
    </row>
    <row r="142" spans="1:5">
      <c r="A142" t="s">
        <v>296</v>
      </c>
      <c r="B142" t="str">
        <f t="shared" ca="1" si="6"/>
        <v>Email*</v>
      </c>
      <c r="C142">
        <f t="shared" ca="1" si="13"/>
        <v>0</v>
      </c>
      <c r="D142">
        <f t="shared" ref="D142:D147" ca="1" si="14">IF(M02S03F01="No",1,IF(INDIRECT($A142)="",0,1))</f>
        <v>0</v>
      </c>
      <c r="E142">
        <f t="shared" ca="1" si="12"/>
        <v>0</v>
      </c>
    </row>
    <row r="143" spans="1:5">
      <c r="A143" t="s">
        <v>297</v>
      </c>
      <c r="B143" t="str">
        <f t="shared" ca="1" si="6"/>
        <v>Mailing Address*</v>
      </c>
      <c r="C143">
        <f t="shared" ca="1" si="13"/>
        <v>0</v>
      </c>
      <c r="D143">
        <f t="shared" ca="1" si="14"/>
        <v>0</v>
      </c>
      <c r="E143">
        <f t="shared" ca="1" si="12"/>
        <v>0</v>
      </c>
    </row>
    <row r="144" spans="1:5">
      <c r="A144" t="s">
        <v>298</v>
      </c>
      <c r="B144" t="str">
        <f t="shared" ca="1" si="6"/>
        <v>City*</v>
      </c>
      <c r="C144">
        <f t="shared" ca="1" si="13"/>
        <v>0</v>
      </c>
      <c r="D144">
        <f t="shared" ca="1" si="14"/>
        <v>0</v>
      </c>
      <c r="E144">
        <f t="shared" ca="1" si="12"/>
        <v>0</v>
      </c>
    </row>
    <row r="145" spans="1:5">
      <c r="A145" t="s">
        <v>299</v>
      </c>
      <c r="B145" t="str">
        <f t="shared" ca="1" si="6"/>
        <v>State*</v>
      </c>
      <c r="C145">
        <f t="shared" ca="1" si="13"/>
        <v>0</v>
      </c>
      <c r="D145">
        <f t="shared" ca="1" si="14"/>
        <v>0</v>
      </c>
      <c r="E145">
        <f t="shared" ca="1" si="12"/>
        <v>0</v>
      </c>
    </row>
    <row r="146" spans="1:5">
      <c r="A146" t="s">
        <v>300</v>
      </c>
      <c r="B146" t="str">
        <f t="shared" ca="1" si="6"/>
        <v>Zip Code*</v>
      </c>
      <c r="C146">
        <f t="shared" ca="1" si="13"/>
        <v>0</v>
      </c>
      <c r="D146">
        <f t="shared" ca="1" si="14"/>
        <v>0</v>
      </c>
      <c r="E146">
        <f t="shared" ca="1" si="12"/>
        <v>0</v>
      </c>
    </row>
    <row r="147" spans="1:5">
      <c r="A147" t="s">
        <v>2092</v>
      </c>
      <c r="B147" t="str">
        <f t="shared" ref="B147:B151" ca="1" si="15">OFFSET(INDIRECT(A147),-1,0)</f>
        <v>Diverse Business Type*</v>
      </c>
      <c r="C147">
        <f t="shared" ca="1" si="13"/>
        <v>0</v>
      </c>
      <c r="D147">
        <f t="shared" ca="1" si="14"/>
        <v>0</v>
      </c>
      <c r="E147">
        <f t="shared" ref="E147:E151" ca="1" si="16">INDIRECT(A147)</f>
        <v>0</v>
      </c>
    </row>
    <row r="148" spans="1:5">
      <c r="A148" t="s">
        <v>2093</v>
      </c>
      <c r="B148" t="str">
        <f t="shared" ca="1" si="15"/>
        <v>Issued Organization Type</v>
      </c>
      <c r="C148">
        <f t="shared" ca="1" si="13"/>
        <v>0</v>
      </c>
      <c r="D148">
        <f ca="1">IF(M02S03F01="No",1,IF(M02S03F13="Not Applicable",1,IF(INDIRECT($A148)="",0,1)))</f>
        <v>0</v>
      </c>
      <c r="E148">
        <f t="shared" ca="1" si="16"/>
        <v>0</v>
      </c>
    </row>
    <row r="149" spans="1:5">
      <c r="A149" t="s">
        <v>2094</v>
      </c>
      <c r="B149" t="str">
        <f t="shared" ca="1" si="15"/>
        <v>Certificate Number</v>
      </c>
      <c r="C149">
        <f t="shared" ca="1" si="13"/>
        <v>0</v>
      </c>
      <c r="D149">
        <f ca="1">IF(M02S03F01="No",1,IF(M02S03F13="Not Applicable",1,IF(INDIRECT($A149)="",0,1)))</f>
        <v>0</v>
      </c>
      <c r="E149">
        <f t="shared" ca="1" si="16"/>
        <v>0</v>
      </c>
    </row>
    <row r="150" spans="1:5">
      <c r="A150" t="s">
        <v>2095</v>
      </c>
      <c r="B150" t="str">
        <f t="shared" ca="1" si="15"/>
        <v>Certificate Issued Date</v>
      </c>
      <c r="C150">
        <f t="shared" ca="1" si="13"/>
        <v>0</v>
      </c>
      <c r="D150">
        <f ca="1">IF(M02S03F01="No",1,IF(M02S03F13="Not Applicable",1,IF(INDIRECT($A150)="",0,1)))</f>
        <v>0</v>
      </c>
      <c r="E150">
        <f t="shared" ca="1" si="16"/>
        <v>0</v>
      </c>
    </row>
    <row r="151" spans="1:5">
      <c r="A151" t="s">
        <v>2096</v>
      </c>
      <c r="B151" t="str">
        <f t="shared" ca="1" si="15"/>
        <v>Certificate Expiration Date</v>
      </c>
      <c r="C151">
        <f t="shared" ca="1" si="13"/>
        <v>0</v>
      </c>
      <c r="D151">
        <f ca="1">IF(M02S03F01="No",1,IF(M02S03F13="Not Applicable",1,IF(INDIRECT($A151)="",0,1)))</f>
        <v>0</v>
      </c>
      <c r="E151">
        <f t="shared" ca="1" si="16"/>
        <v>0</v>
      </c>
    </row>
    <row r="153" spans="1:5">
      <c r="C153" t="s">
        <v>137</v>
      </c>
      <c r="D153" t="s">
        <v>475</v>
      </c>
    </row>
    <row r="154" spans="1:5">
      <c r="A154">
        <f ca="1">SUM(D155:D169)</f>
        <v>0</v>
      </c>
      <c r="B154" t="str">
        <f>M2S4</f>
        <v>Payment Information</v>
      </c>
      <c r="C154">
        <f ca="1">COUNT(C155:C169)</f>
        <v>14</v>
      </c>
      <c r="D154">
        <f ca="1">COUNT(D155:D169)</f>
        <v>15</v>
      </c>
    </row>
    <row r="155" spans="1:5">
      <c r="A155" t="s">
        <v>301</v>
      </c>
      <c r="B155" t="str">
        <f ca="1">OFFSET(INDIRECT(A155),0,-7)</f>
        <v>Payment Type*</v>
      </c>
      <c r="C155">
        <f t="shared" ref="C155:D160" ca="1" si="17">IF(INDIRECT($A155)="",0,1)</f>
        <v>0</v>
      </c>
      <c r="D155">
        <f t="shared" ca="1" si="17"/>
        <v>0</v>
      </c>
      <c r="E155">
        <f t="shared" ref="E155:E168" ca="1" si="18">INDIRECT(A155)</f>
        <v>0</v>
      </c>
    </row>
    <row r="156" spans="1:5">
      <c r="A156" t="s">
        <v>302</v>
      </c>
      <c r="B156" t="str">
        <f t="shared" ca="1" si="6"/>
        <v>Payee Company Name*</v>
      </c>
      <c r="C156">
        <f t="shared" ca="1" si="17"/>
        <v>0</v>
      </c>
      <c r="D156">
        <f t="shared" ca="1" si="17"/>
        <v>0</v>
      </c>
      <c r="E156" t="str">
        <f t="shared" ca="1" si="18"/>
        <v/>
      </c>
    </row>
    <row r="157" spans="1:5">
      <c r="A157" t="s">
        <v>303</v>
      </c>
      <c r="B157" t="str">
        <f t="shared" ca="1" si="6"/>
        <v>Payee First Name*</v>
      </c>
      <c r="C157">
        <f t="shared" ca="1" si="17"/>
        <v>0</v>
      </c>
      <c r="D157">
        <f t="shared" ca="1" si="17"/>
        <v>0</v>
      </c>
      <c r="E157" t="str">
        <f t="shared" ca="1" si="18"/>
        <v/>
      </c>
    </row>
    <row r="158" spans="1:5">
      <c r="A158" t="s">
        <v>304</v>
      </c>
      <c r="B158" t="str">
        <f t="shared" ca="1" si="6"/>
        <v>Payee Last Name*</v>
      </c>
      <c r="C158">
        <f t="shared" ca="1" si="17"/>
        <v>0</v>
      </c>
      <c r="D158">
        <f t="shared" ca="1" si="17"/>
        <v>0</v>
      </c>
      <c r="E158" t="str">
        <f t="shared" ca="1" si="18"/>
        <v/>
      </c>
    </row>
    <row r="159" spans="1:5">
      <c r="A159" t="s">
        <v>305</v>
      </c>
      <c r="B159" t="str">
        <f t="shared" ref="B159:B167" ca="1" si="19">OFFSET(INDIRECT(A159),-1,0)</f>
        <v>Phone Number*</v>
      </c>
      <c r="C159">
        <f t="shared" ca="1" si="17"/>
        <v>0</v>
      </c>
      <c r="D159">
        <f t="shared" ca="1" si="17"/>
        <v>0</v>
      </c>
      <c r="E159" t="str">
        <f t="shared" ca="1" si="18"/>
        <v/>
      </c>
    </row>
    <row r="160" spans="1:5">
      <c r="A160" t="s">
        <v>306</v>
      </c>
      <c r="B160" t="str">
        <f t="shared" ca="1" si="19"/>
        <v>Email*</v>
      </c>
      <c r="C160">
        <f t="shared" ca="1" si="17"/>
        <v>0</v>
      </c>
      <c r="D160">
        <f t="shared" ca="1" si="17"/>
        <v>0</v>
      </c>
      <c r="E160" t="str">
        <f t="shared" ca="1" si="18"/>
        <v/>
      </c>
    </row>
    <row r="161" spans="1:5">
      <c r="A161" t="s">
        <v>895</v>
      </c>
      <c r="B161">
        <f t="shared" ca="1" si="19"/>
        <v>0</v>
      </c>
      <c r="C161">
        <f t="shared" ref="C161:C168" ca="1" si="20">IF(INDIRECT($A161)="",0,1)</f>
        <v>0</v>
      </c>
      <c r="D161">
        <f ca="1">IF(M02S04F01="",0,IF(M02S04F01&lt;&gt;"Site (Bill Credit)",1,IF(INDIRECT($A161)="",0,1)))</f>
        <v>0</v>
      </c>
      <c r="E161">
        <f t="shared" ca="1" si="18"/>
        <v>0</v>
      </c>
    </row>
    <row r="162" spans="1:5">
      <c r="A162" t="s">
        <v>307</v>
      </c>
      <c r="B162" t="str">
        <f t="shared" ca="1" si="19"/>
        <v>Mailing Address*</v>
      </c>
      <c r="C162">
        <f t="shared" ca="1" si="20"/>
        <v>0</v>
      </c>
      <c r="D162">
        <f t="shared" ref="D162:D168" ca="1" si="21">IF(INDIRECT($A162)="",0,1)</f>
        <v>0</v>
      </c>
      <c r="E162" t="str">
        <f t="shared" ca="1" si="18"/>
        <v/>
      </c>
    </row>
    <row r="163" spans="1:5">
      <c r="A163" t="s">
        <v>308</v>
      </c>
      <c r="B163" t="str">
        <f t="shared" ca="1" si="19"/>
        <v>City*</v>
      </c>
      <c r="C163">
        <f t="shared" ca="1" si="20"/>
        <v>0</v>
      </c>
      <c r="D163">
        <f t="shared" ca="1" si="21"/>
        <v>0</v>
      </c>
      <c r="E163" t="str">
        <f t="shared" ca="1" si="18"/>
        <v/>
      </c>
    </row>
    <row r="164" spans="1:5">
      <c r="A164" t="s">
        <v>309</v>
      </c>
      <c r="B164" t="str">
        <f t="shared" ca="1" si="19"/>
        <v>State*</v>
      </c>
      <c r="C164">
        <f t="shared" ca="1" si="20"/>
        <v>0</v>
      </c>
      <c r="D164">
        <f t="shared" ca="1" si="21"/>
        <v>0</v>
      </c>
      <c r="E164" t="str">
        <f t="shared" ca="1" si="18"/>
        <v/>
      </c>
    </row>
    <row r="165" spans="1:5">
      <c r="A165" t="s">
        <v>310</v>
      </c>
      <c r="B165" t="str">
        <f t="shared" ca="1" si="19"/>
        <v>Zip Code*</v>
      </c>
      <c r="C165">
        <f t="shared" ca="1" si="20"/>
        <v>0</v>
      </c>
      <c r="D165">
        <f t="shared" ca="1" si="21"/>
        <v>0</v>
      </c>
      <c r="E165" t="str">
        <f t="shared" ca="1" si="18"/>
        <v/>
      </c>
    </row>
    <row r="166" spans="1:5">
      <c r="A166" t="s">
        <v>311</v>
      </c>
      <c r="B166" t="str">
        <f t="shared" ca="1" si="19"/>
        <v>Tax Entity*</v>
      </c>
      <c r="C166">
        <f t="shared" ca="1" si="20"/>
        <v>0</v>
      </c>
      <c r="D166">
        <f t="shared" ca="1" si="21"/>
        <v>0</v>
      </c>
      <c r="E166">
        <f t="shared" ca="1" si="18"/>
        <v>0</v>
      </c>
    </row>
    <row r="167" spans="1:5">
      <c r="A167" t="s">
        <v>312</v>
      </c>
      <c r="B167" t="str">
        <f t="shared" ca="1" si="19"/>
        <v>Federal Tax ID Number*</v>
      </c>
      <c r="C167">
        <f t="shared" ca="1" si="20"/>
        <v>0</v>
      </c>
      <c r="D167">
        <f t="shared" ca="1" si="21"/>
        <v>0</v>
      </c>
      <c r="E167">
        <f t="shared" ca="1" si="18"/>
        <v>0</v>
      </c>
    </row>
    <row r="168" spans="1:5">
      <c r="A168" t="s">
        <v>449</v>
      </c>
      <c r="B168" t="str">
        <f ca="1">OFFSET(INDIRECT(A167),-1,0)</f>
        <v>Federal Tax ID Number*</v>
      </c>
      <c r="C168">
        <f t="shared" ca="1" si="20"/>
        <v>0</v>
      </c>
      <c r="D168">
        <f t="shared" ca="1" si="21"/>
        <v>0</v>
      </c>
      <c r="E168">
        <f t="shared" ca="1" si="18"/>
        <v>0</v>
      </c>
    </row>
    <row r="169" spans="1:5">
      <c r="A169" t="s">
        <v>484</v>
      </c>
      <c r="B169" t="s">
        <v>485</v>
      </c>
      <c r="C169" s="30" t="b">
        <v>0</v>
      </c>
      <c r="D169">
        <f>IF(C169=FALSE,0,1)</f>
        <v>0</v>
      </c>
    </row>
    <row r="172" spans="1:5">
      <c r="C172" t="s">
        <v>137</v>
      </c>
      <c r="D172" t="s">
        <v>475</v>
      </c>
    </row>
    <row r="173" spans="1:5">
      <c r="A173">
        <f ca="1">IF(SUM(D174:D177)&gt;= 1,1,0)</f>
        <v>0</v>
      </c>
      <c r="B173" t="s">
        <v>476</v>
      </c>
      <c r="C173">
        <f ca="1">COUNT(C174:C177)</f>
        <v>4</v>
      </c>
      <c r="D173">
        <v>1</v>
      </c>
    </row>
    <row r="174" spans="1:5">
      <c r="A174" t="s">
        <v>477</v>
      </c>
      <c r="B174" t="s">
        <v>243</v>
      </c>
      <c r="C174">
        <f ca="1">IF(INCENTOTALPRESE&gt;0,1,0)</f>
        <v>0</v>
      </c>
      <c r="D174">
        <f ca="1">IF(INCENTOTALPRESE&gt;0,1,0)</f>
        <v>0</v>
      </c>
    </row>
    <row r="175" spans="1:5">
      <c r="A175" t="s">
        <v>478</v>
      </c>
      <c r="B175" t="s">
        <v>242</v>
      </c>
      <c r="C175">
        <f ca="1">IF(INCENTOTALPRESG&gt;0,1,0)</f>
        <v>0</v>
      </c>
      <c r="D175">
        <f ca="1">IF(INCENTOTALPRESG&gt;0,1,0)</f>
        <v>0</v>
      </c>
    </row>
    <row r="176" spans="1:5">
      <c r="A176" t="s">
        <v>479</v>
      </c>
      <c r="B176" t="s">
        <v>244</v>
      </c>
      <c r="C176">
        <f>IF(INCENTOTALCUSE&gt;0,1,0)</f>
        <v>0</v>
      </c>
      <c r="D176">
        <f>IF(INCENTOTALCUSE&gt;0,1,0)</f>
        <v>0</v>
      </c>
    </row>
    <row r="177" spans="1:5">
      <c r="A177" t="s">
        <v>480</v>
      </c>
      <c r="B177" t="s">
        <v>245</v>
      </c>
      <c r="C177">
        <f>IF(INCENTOTALCUSG&gt;0,1,0)</f>
        <v>0</v>
      </c>
      <c r="D177">
        <f>IF(INCENTOTALCUSG&gt;0,1,0)</f>
        <v>0</v>
      </c>
    </row>
    <row r="180" spans="1:5">
      <c r="C180" t="s">
        <v>137</v>
      </c>
      <c r="D180" t="s">
        <v>475</v>
      </c>
    </row>
    <row r="181" spans="1:5">
      <c r="A181">
        <f ca="1">IF(AND(SUM(J44:J45)&gt;0,SUM(J44:J45)&lt;10000,SUM(J46:J47)=0),SUM(D182:D183),0)</f>
        <v>0</v>
      </c>
      <c r="B181" t="str">
        <f>M5S2</f>
        <v>Submit Application</v>
      </c>
      <c r="C181">
        <f ca="1">COUNT(C182:C183)</f>
        <v>2</v>
      </c>
      <c r="D181">
        <f ca="1">IF(AND(SUM(J44:J45)&gt;0,SUM(J44:J45)&lt;10000,SUM(J46:J47)=0),COUNT(D182:D183),0)</f>
        <v>0</v>
      </c>
    </row>
    <row r="182" spans="1:5">
      <c r="A182" t="s">
        <v>1324</v>
      </c>
      <c r="B182" t="str">
        <f ca="1">OFFSET(INDIRECT(A182),-1,0)</f>
        <v>Installed Date*</v>
      </c>
      <c r="C182">
        <f ca="1">IF(INDIRECT($A182)="",0,1)</f>
        <v>0</v>
      </c>
      <c r="D182">
        <f ca="1">IF(INDIRECT($A182)="",0,1)</f>
        <v>0</v>
      </c>
      <c r="E182">
        <f ca="1">INDIRECT(A182)</f>
        <v>0</v>
      </c>
    </row>
    <row r="183" spans="1:5">
      <c r="A183" t="s">
        <v>1325</v>
      </c>
      <c r="B183" t="str">
        <f ca="1">OFFSET(INDIRECT(A183),-1,0)</f>
        <v>Invoice Date*</v>
      </c>
      <c r="C183">
        <f ca="1">IF(INDIRECT($A183)="",0,1)</f>
        <v>0</v>
      </c>
      <c r="D183">
        <f ca="1">IF(INDIRECT($A183)="",0,1)</f>
        <v>0</v>
      </c>
      <c r="E183">
        <f ca="1">INDIRECT(A183)</f>
        <v>0</v>
      </c>
    </row>
  </sheetData>
  <sheetProtection algorithmName="SHA-512" hashValue="KQn9ctV1x3Jo/fVM0DBszay9EJeyzSH0lSSEOi1slFkbPPXIC/5y+HgBsUO42LB9WJinEvJWIndE2qIc2qUfCg==" saltValue="//2qKTjAWwio33fGlIHNyw==" spinCount="100000" sheet="1" objects="1" scenarios="1" selectLockedCells="1"/>
  <mergeCells count="1">
    <mergeCell ref="P2:V4"/>
  </mergeCells>
  <phoneticPr fontId="150" type="noConversion"/>
  <conditionalFormatting sqref="B7:B70">
    <cfRule type="containsBlanks" dxfId="310" priority="2">
      <formula>LEN(TRIM(B7))=0</formula>
    </cfRule>
  </conditionalFormatting>
  <conditionalFormatting sqref="F26:J34">
    <cfRule type="containsBlanks" dxfId="309" priority="1">
      <formula>LEN(TRIM(F26))=0</formula>
    </cfRule>
  </conditionalFormatting>
  <conditionalFormatting sqref="F36:J48">
    <cfRule type="containsBlanks" dxfId="308" priority="15">
      <formula>LEN(TRIM(F36))=0</formula>
    </cfRule>
  </conditionalFormatting>
  <conditionalFormatting sqref="K48:L48">
    <cfRule type="containsBlanks" dxfId="307" priority="13">
      <formula>LEN(TRIM(K48))=0</formula>
    </cfRule>
  </conditionalFormatting>
  <conditionalFormatting sqref="P26:P34">
    <cfRule type="containsBlanks" dxfId="306" priority="6">
      <formula>LEN(TRIM(P26))=0</formula>
    </cfRule>
  </conditionalFormatting>
  <conditionalFormatting sqref="P36:P48">
    <cfRule type="containsBlanks" dxfId="305" priority="4">
      <formula>LEN(TRIM(P36))=0</formula>
    </cfRule>
  </conditionalFormatting>
  <hyperlinks>
    <hyperlink ref="E26" location="'M03-S01'!A1" display="'M03-S01'!A1" xr:uid="{00000000-0004-0000-0300-000000000000}"/>
    <hyperlink ref="E27" location="'M03-S02'!A1" display="'M03-S02'!A1" xr:uid="{00000000-0004-0000-0300-000001000000}"/>
    <hyperlink ref="E28" location="'M03-S03'!A1" display="'M03-S03'!A1" xr:uid="{00000000-0004-0000-0300-000002000000}"/>
    <hyperlink ref="E29" location="'M03-S04'!A1" display="'M03-S04'!A1" xr:uid="{00000000-0004-0000-0300-000003000000}"/>
    <hyperlink ref="E30" location="'M03-S05'!A1" display="'M03-S05'!A1" xr:uid="{00000000-0004-0000-0300-000004000000}"/>
    <hyperlink ref="E31" location="'M03-S06'!A1" display="'M03-S06'!A1" xr:uid="{00000000-0004-0000-0300-000005000000}"/>
    <hyperlink ref="E32" location="'M03-S07'!A1" display="'M03-S07'!A1" xr:uid="{00000000-0004-0000-0300-000006000000}"/>
    <hyperlink ref="E33" location="'M03-S08'!A1" display="'M03-S08'!A1" xr:uid="{00000000-0004-0000-0300-000007000000}"/>
    <hyperlink ref="E36" location="'M04-S01'!A1" display="'M04-S01'!A1" xr:uid="{00000000-0004-0000-0300-000008000000}"/>
    <hyperlink ref="E37" location="'M04-S02'!A1" display="'M04-S02'!A1" xr:uid="{00000000-0004-0000-0300-000009000000}"/>
    <hyperlink ref="E38" location="'M04-S03'!A1" display="'M04-S03'!A1" xr:uid="{00000000-0004-0000-0300-00000A000000}"/>
    <hyperlink ref="E39" location="'M04-S04'!A1" display="'M04-S04'!A1" xr:uid="{00000000-0004-0000-0300-00000B000000}"/>
    <hyperlink ref="E40" location="'M04-S05'!A1" display="'M04-S05'!A1" xr:uid="{00000000-0004-0000-0300-00000C000000}"/>
    <hyperlink ref="E41" location="'M04-S06'!A1" display="'M04-S06'!A1" xr:uid="{00000000-0004-0000-0300-00000D000000}"/>
    <hyperlink ref="E42" location="'M04-S07'!A1" display="'M04-S07'!A1" xr:uid="{00000000-0004-0000-0300-00000E000000}"/>
    <hyperlink ref="E43" location="'M04-S08'!A1" display="'M04-S08'!A1" xr:uid="{00000000-0004-0000-0300-00000F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pageSetUpPr fitToPage="1"/>
  </sheetPr>
  <dimension ref="A1:BS203"/>
  <sheetViews>
    <sheetView showGridLines="0" showRowColHeaders="0" zoomScale="85" zoomScaleNormal="85" workbookViewId="0">
      <selection activeCell="C16" sqref="C16:E17"/>
    </sheetView>
  </sheetViews>
  <sheetFormatPr defaultColWidth="0" defaultRowHeight="0" customHeight="1" zeroHeight="1"/>
  <cols>
    <col min="1" max="44" width="4.7109375" customWidth="1"/>
    <col min="45" max="45" width="4.7109375" style="59" customWidth="1"/>
    <col min="46" max="46" width="4.7109375" style="59" hidden="1" customWidth="1"/>
    <col min="47" max="71" width="9.140625" style="59" hidden="1" customWidth="1"/>
    <col min="72" max="16384" width="9.140625" hidden="1"/>
  </cols>
  <sheetData>
    <row r="1" spans="2:61" ht="15.95" customHeight="1">
      <c r="AH1" s="681" t="s">
        <v>471</v>
      </c>
      <c r="AI1" s="681"/>
      <c r="AJ1" s="681"/>
      <c r="AK1" s="681"/>
      <c r="AL1" s="682" t="s">
        <v>736</v>
      </c>
      <c r="AM1" s="682"/>
      <c r="AN1" s="682"/>
      <c r="AO1" s="682"/>
      <c r="AP1" s="682"/>
      <c r="AQ1" s="678" t="s">
        <v>474</v>
      </c>
      <c r="AR1" s="678"/>
    </row>
    <row r="2" spans="2:61" ht="15.95" customHeight="1">
      <c r="AH2" s="683" t="str">
        <f ca="1">INCENSTATUS</f>
        <v>---</v>
      </c>
      <c r="AI2" s="684"/>
      <c r="AJ2" s="684"/>
      <c r="AK2" s="684"/>
      <c r="AL2" s="685" t="str">
        <f ca="1">PROJSTATUS</f>
        <v>Enter Measures</v>
      </c>
      <c r="AM2" s="685"/>
      <c r="AN2" s="685"/>
      <c r="AO2" s="685"/>
      <c r="AP2" s="685"/>
      <c r="AQ2" s="679">
        <f ca="1">PROGRESSSTATUS</f>
        <v>2.8985507246376812E-2</v>
      </c>
      <c r="AR2" s="680"/>
    </row>
    <row r="3" spans="2:61" ht="15.95" customHeight="1">
      <c r="AH3" s="675"/>
      <c r="AI3" s="676"/>
      <c r="AJ3" s="676"/>
      <c r="AK3" s="676"/>
      <c r="AL3" s="668"/>
      <c r="AM3" s="668"/>
      <c r="AN3" s="668"/>
      <c r="AO3" s="668"/>
      <c r="AP3" s="668"/>
      <c r="AQ3" s="662"/>
      <c r="AR3" s="663"/>
    </row>
    <row r="4" spans="2:61" ht="15.95" customHeight="1">
      <c r="AR4" s="171"/>
    </row>
    <row r="5" spans="2:61" ht="15.95" customHeight="1"/>
    <row r="6" spans="2:61" ht="15.95" customHeight="1">
      <c r="AU6" s="59" t="s">
        <v>907</v>
      </c>
      <c r="AW6" s="59">
        <f>PROJID</f>
        <v>0</v>
      </c>
      <c r="AZ6"/>
    </row>
    <row r="7" spans="2:61" ht="15.95" customHeight="1">
      <c r="AU7" s="87"/>
      <c r="AV7" s="87"/>
      <c r="AW7" s="87" t="s">
        <v>866</v>
      </c>
      <c r="AX7" s="87" t="s">
        <v>231</v>
      </c>
      <c r="AY7" s="87" t="s">
        <v>892</v>
      </c>
      <c r="AZ7"/>
    </row>
    <row r="8" spans="2:61" ht="15.95" customHeight="1">
      <c r="AU8" s="87" t="s">
        <v>219</v>
      </c>
      <c r="AV8" s="87"/>
      <c r="AW8" s="87" t="str">
        <f ca="1">CBPRESE</f>
        <v>NA</v>
      </c>
      <c r="AX8" s="87" t="str">
        <f ca="1">CBCUSE</f>
        <v>NA</v>
      </c>
      <c r="AY8" s="87" t="str">
        <f ca="1">CBALL</f>
        <v>NA</v>
      </c>
      <c r="AZ8"/>
    </row>
    <row r="9" spans="2:61" ht="15.95" customHeight="1">
      <c r="B9" s="59"/>
      <c r="C9" s="59"/>
      <c r="D9" s="59"/>
      <c r="E9" s="59"/>
      <c r="F9" s="59"/>
      <c r="G9" s="59"/>
      <c r="H9" s="59"/>
      <c r="I9" s="59"/>
      <c r="J9" s="59"/>
      <c r="K9" s="59"/>
      <c r="L9" s="59"/>
      <c r="M9" s="59"/>
      <c r="N9" s="730" t="str">
        <f>CONCATENATE(M4S3," ","Summary")</f>
        <v>Custom / RCx / New Construction
 Non-Lighting (Electric) Summary</v>
      </c>
      <c r="O9" s="730"/>
      <c r="P9" s="730"/>
      <c r="Q9" s="730"/>
      <c r="R9" s="730"/>
      <c r="S9" s="730"/>
      <c r="T9" s="730"/>
      <c r="U9" s="730"/>
      <c r="V9" s="730"/>
      <c r="W9" s="730"/>
      <c r="X9" s="730"/>
      <c r="Y9" s="730"/>
      <c r="Z9" s="730"/>
      <c r="AA9" s="730"/>
      <c r="AB9" s="730"/>
      <c r="AC9" s="730"/>
      <c r="AD9" s="730"/>
      <c r="AE9" s="730"/>
      <c r="AF9" s="730"/>
      <c r="AG9" s="730"/>
      <c r="AH9" s="59"/>
      <c r="AI9" s="59"/>
      <c r="AJ9" s="59"/>
      <c r="AK9" s="59"/>
      <c r="AL9" s="59"/>
      <c r="AM9" s="59"/>
      <c r="AN9" s="59"/>
      <c r="AO9" s="59"/>
      <c r="AP9" s="59"/>
      <c r="AQ9" s="59"/>
      <c r="AR9" s="59"/>
      <c r="AU9" s="87"/>
      <c r="AV9" s="87"/>
      <c r="AW9" s="87"/>
      <c r="AX9" s="87"/>
      <c r="AY9" s="87"/>
      <c r="AZ9"/>
    </row>
    <row r="10" spans="2:61" ht="15.95" customHeight="1">
      <c r="B10" s="59"/>
      <c r="C10" s="59"/>
      <c r="D10" s="59"/>
      <c r="E10" s="59"/>
      <c r="N10" s="730"/>
      <c r="O10" s="730"/>
      <c r="P10" s="730"/>
      <c r="Q10" s="730"/>
      <c r="R10" s="730"/>
      <c r="S10" s="730"/>
      <c r="T10" s="730"/>
      <c r="U10" s="730"/>
      <c r="V10" s="730"/>
      <c r="W10" s="730"/>
      <c r="X10" s="730"/>
      <c r="Y10" s="730"/>
      <c r="Z10" s="730"/>
      <c r="AA10" s="730"/>
      <c r="AB10" s="730"/>
      <c r="AC10" s="730"/>
      <c r="AD10" s="730"/>
      <c r="AE10" s="730"/>
      <c r="AF10" s="730"/>
      <c r="AG10" s="730"/>
      <c r="AH10" s="59"/>
      <c r="AI10" s="59"/>
      <c r="AJ10" s="59"/>
      <c r="AK10" s="59"/>
      <c r="AL10" s="59"/>
      <c r="AM10" s="59"/>
      <c r="AN10" s="59"/>
      <c r="AO10" s="59"/>
      <c r="AP10" s="59"/>
      <c r="AQ10" s="59"/>
      <c r="AR10" s="59"/>
      <c r="AU10" s="87" t="s">
        <v>581</v>
      </c>
      <c r="AV10" s="87"/>
      <c r="AW10" s="87" t="str">
        <f ca="1">PAYPRESE</f>
        <v>NA</v>
      </c>
      <c r="AX10" s="87" t="str">
        <f ca="1">PAYCUSE</f>
        <v>NA</v>
      </c>
      <c r="AY10" s="367" t="str">
        <f ca="1">PAYALL</f>
        <v>NA</v>
      </c>
      <c r="AZ10"/>
    </row>
    <row r="11" spans="2:61" ht="15.95" customHeight="1">
      <c r="B11" s="59"/>
      <c r="C11" s="59"/>
      <c r="D11" s="59"/>
      <c r="E11" s="59"/>
      <c r="F11" s="896" t="s">
        <v>1630</v>
      </c>
      <c r="G11" s="896"/>
      <c r="H11" s="896"/>
      <c r="I11" s="896"/>
      <c r="J11" s="576"/>
      <c r="K11" s="1201" t="s">
        <v>1631</v>
      </c>
      <c r="L11" s="1201"/>
      <c r="M11" s="1201"/>
      <c r="N11" s="1201"/>
      <c r="Q11" s="59"/>
      <c r="R11" s="831" t="s">
        <v>68</v>
      </c>
      <c r="S11" s="831"/>
      <c r="T11" s="831"/>
      <c r="U11" s="831"/>
      <c r="V11" s="831" t="s">
        <v>69</v>
      </c>
      <c r="W11" s="831"/>
      <c r="X11" s="831"/>
      <c r="Y11" s="831"/>
      <c r="Z11" s="831" t="s">
        <v>70</v>
      </c>
      <c r="AA11" s="831"/>
      <c r="AB11" s="831"/>
      <c r="AC11" s="831"/>
      <c r="AE11" s="1192" t="s">
        <v>1407</v>
      </c>
      <c r="AF11" s="1192"/>
      <c r="AG11" s="1192"/>
      <c r="AH11" s="1192"/>
      <c r="AI11" s="1192"/>
      <c r="AJ11" s="1192"/>
      <c r="AK11" s="1192"/>
      <c r="AL11" s="1192"/>
      <c r="AM11" s="1192"/>
      <c r="AN11" s="1192"/>
      <c r="AO11" s="59"/>
      <c r="AP11" s="59"/>
      <c r="AQ11" s="59"/>
      <c r="AR11" s="59"/>
      <c r="AU11" s="88"/>
      <c r="AV11" s="88"/>
      <c r="AZ11"/>
    </row>
    <row r="12" spans="2:61" ht="15.95" customHeight="1">
      <c r="B12" s="59"/>
      <c r="C12" s="66"/>
      <c r="D12" s="59"/>
      <c r="E12" s="59"/>
      <c r="F12" s="875">
        <f>IFERROR(IF(AN112="",0,AN112),0)</f>
        <v>0</v>
      </c>
      <c r="G12" s="875"/>
      <c r="H12" s="875"/>
      <c r="I12" s="875"/>
      <c r="J12" s="576"/>
      <c r="K12" s="1202">
        <f>IFERROR(IF(AN114="",0,AN114),0)</f>
        <v>0</v>
      </c>
      <c r="L12" s="1202"/>
      <c r="M12" s="1202"/>
      <c r="N12" s="1202"/>
      <c r="Q12" s="59"/>
      <c r="R12" s="875">
        <f>SUM(AN16:AQ111)</f>
        <v>0</v>
      </c>
      <c r="S12" s="875"/>
      <c r="T12" s="875"/>
      <c r="U12" s="875"/>
      <c r="V12" s="875">
        <f ca="1">SUMIF(AN16:AQ198,"&gt;0",AH16:AJ198)</f>
        <v>0</v>
      </c>
      <c r="W12" s="875"/>
      <c r="X12" s="875"/>
      <c r="Y12" s="875"/>
      <c r="Z12" s="876">
        <f ca="1">SUMIF(AN16:AQ111,"&gt;0",AK16:AM111)</f>
        <v>0</v>
      </c>
      <c r="AA12" s="876"/>
      <c r="AB12" s="876"/>
      <c r="AC12" s="876"/>
      <c r="AD12" s="394"/>
      <c r="AE12" s="1192"/>
      <c r="AF12" s="1192"/>
      <c r="AG12" s="1192"/>
      <c r="AH12" s="1192"/>
      <c r="AI12" s="1192"/>
      <c r="AJ12" s="1192"/>
      <c r="AK12" s="1192"/>
      <c r="AL12" s="1192"/>
      <c r="AM12" s="1192"/>
      <c r="AN12" s="1192"/>
      <c r="AO12" s="59"/>
      <c r="AP12" s="59"/>
      <c r="AQ12" s="59"/>
      <c r="AR12" s="59"/>
    </row>
    <row r="13" spans="2:61" ht="15.95" customHeight="1">
      <c r="B13" s="59"/>
      <c r="C13" s="66"/>
      <c r="D13" s="59"/>
      <c r="E13" s="59"/>
      <c r="F13" s="875"/>
      <c r="G13" s="875"/>
      <c r="H13" s="875"/>
      <c r="I13" s="875"/>
      <c r="J13" s="577"/>
      <c r="K13" s="1202"/>
      <c r="L13" s="1202"/>
      <c r="M13" s="1202"/>
      <c r="N13" s="1202"/>
      <c r="O13" s="82"/>
      <c r="P13" s="82"/>
      <c r="Q13" s="59"/>
      <c r="R13" s="875"/>
      <c r="S13" s="875"/>
      <c r="T13" s="875"/>
      <c r="U13" s="875"/>
      <c r="V13" s="875"/>
      <c r="W13" s="875"/>
      <c r="X13" s="875"/>
      <c r="Y13" s="875"/>
      <c r="Z13" s="876"/>
      <c r="AA13" s="876"/>
      <c r="AB13" s="876"/>
      <c r="AC13" s="876"/>
      <c r="AD13" s="388"/>
      <c r="AE13" s="1192"/>
      <c r="AF13" s="1192"/>
      <c r="AG13" s="1192"/>
      <c r="AH13" s="1192"/>
      <c r="AI13" s="1192"/>
      <c r="AJ13" s="1192"/>
      <c r="AK13" s="1192"/>
      <c r="AL13" s="1192"/>
      <c r="AM13" s="1192"/>
      <c r="AN13" s="1192"/>
      <c r="AO13" s="59"/>
      <c r="AP13" s="59"/>
      <c r="AQ13" s="59"/>
      <c r="AR13" s="59"/>
    </row>
    <row r="14" spans="2:61" ht="15.95" customHeight="1">
      <c r="B14" s="59"/>
      <c r="C14" s="804" t="s">
        <v>808</v>
      </c>
      <c r="D14" s="804"/>
      <c r="E14" s="804"/>
      <c r="F14" s="804" t="s">
        <v>737</v>
      </c>
      <c r="G14" s="804"/>
      <c r="H14" s="804"/>
      <c r="I14" s="804"/>
      <c r="J14" s="804"/>
      <c r="K14" s="804"/>
      <c r="L14" s="804" t="s">
        <v>734</v>
      </c>
      <c r="M14" s="804"/>
      <c r="N14" s="804"/>
      <c r="O14" s="804"/>
      <c r="P14" s="804" t="s">
        <v>91</v>
      </c>
      <c r="Q14" s="804"/>
      <c r="R14" s="804" t="s">
        <v>112</v>
      </c>
      <c r="S14" s="804"/>
      <c r="T14" s="804" t="s">
        <v>233</v>
      </c>
      <c r="U14" s="804"/>
      <c r="V14" s="804"/>
      <c r="W14" s="804"/>
      <c r="X14" s="804" t="s">
        <v>91</v>
      </c>
      <c r="Y14" s="804"/>
      <c r="Z14" s="804" t="s">
        <v>112</v>
      </c>
      <c r="AA14" s="804"/>
      <c r="AB14" s="804" t="s">
        <v>1390</v>
      </c>
      <c r="AC14" s="804"/>
      <c r="AD14" s="1189" t="s">
        <v>196</v>
      </c>
      <c r="AE14" s="1189"/>
      <c r="AF14" s="1189"/>
      <c r="AG14" s="1189"/>
      <c r="AH14" s="804" t="s">
        <v>109</v>
      </c>
      <c r="AI14" s="804"/>
      <c r="AJ14" s="804"/>
      <c r="AK14" s="804" t="s">
        <v>116</v>
      </c>
      <c r="AL14" s="804"/>
      <c r="AM14" s="804"/>
      <c r="AN14" s="804" t="s">
        <v>108</v>
      </c>
      <c r="AO14" s="804"/>
      <c r="AP14" s="804"/>
      <c r="AQ14" s="804"/>
      <c r="AR14" s="59"/>
      <c r="AU14" s="804" t="s">
        <v>100</v>
      </c>
      <c r="AV14" s="804" t="s">
        <v>219</v>
      </c>
      <c r="AW14" s="387"/>
      <c r="AX14" s="804" t="s">
        <v>1388</v>
      </c>
      <c r="AY14" s="804" t="s">
        <v>1364</v>
      </c>
      <c r="AZ14" s="804" t="s">
        <v>1363</v>
      </c>
      <c r="BA14" s="804" t="s">
        <v>1365</v>
      </c>
      <c r="BB14" s="804" t="s">
        <v>149</v>
      </c>
      <c r="BC14" s="804" t="s">
        <v>581</v>
      </c>
      <c r="BD14" s="804" t="s">
        <v>141</v>
      </c>
      <c r="BE14" s="804" t="s">
        <v>489</v>
      </c>
      <c r="BF14" s="804" t="s">
        <v>1604</v>
      </c>
      <c r="BG14" s="804" t="s">
        <v>2405</v>
      </c>
      <c r="BH14" s="804" t="s">
        <v>2025</v>
      </c>
      <c r="BI14" s="804"/>
    </row>
    <row r="15" spans="2:61" ht="15.95" customHeight="1" thickBot="1">
      <c r="B15" s="59"/>
      <c r="C15" s="805"/>
      <c r="D15" s="805"/>
      <c r="E15" s="805"/>
      <c r="F15" s="805"/>
      <c r="G15" s="805"/>
      <c r="H15" s="805"/>
      <c r="I15" s="805"/>
      <c r="J15" s="805"/>
      <c r="K15" s="805"/>
      <c r="L15" s="805"/>
      <c r="M15" s="805"/>
      <c r="N15" s="805"/>
      <c r="O15" s="805"/>
      <c r="P15" s="805"/>
      <c r="Q15" s="805"/>
      <c r="R15" s="805"/>
      <c r="S15" s="805"/>
      <c r="T15" s="805"/>
      <c r="U15" s="805"/>
      <c r="V15" s="805"/>
      <c r="W15" s="805"/>
      <c r="X15" s="805"/>
      <c r="Y15" s="805"/>
      <c r="Z15" s="805"/>
      <c r="AA15" s="805"/>
      <c r="AB15" s="805"/>
      <c r="AC15" s="805"/>
      <c r="AD15" s="805" t="s">
        <v>110</v>
      </c>
      <c r="AE15" s="805"/>
      <c r="AF15" s="805" t="s">
        <v>111</v>
      </c>
      <c r="AG15" s="805"/>
      <c r="AH15" s="805"/>
      <c r="AI15" s="805"/>
      <c r="AJ15" s="805"/>
      <c r="AK15" s="805"/>
      <c r="AL15" s="805"/>
      <c r="AM15" s="805"/>
      <c r="AN15" s="805"/>
      <c r="AO15" s="805"/>
      <c r="AP15" s="805"/>
      <c r="AQ15" s="805"/>
      <c r="AR15" s="59"/>
      <c r="AU15" s="805"/>
      <c r="AV15" s="805"/>
      <c r="AW15" s="389" t="s">
        <v>1389</v>
      </c>
      <c r="AX15" s="805"/>
      <c r="AY15" s="805"/>
      <c r="AZ15" s="805"/>
      <c r="BA15" s="805"/>
      <c r="BB15" s="805"/>
      <c r="BC15" s="805"/>
      <c r="BD15" s="805"/>
      <c r="BE15" s="805"/>
      <c r="BF15" s="805"/>
      <c r="BG15" s="805"/>
      <c r="BH15" s="805"/>
      <c r="BI15" s="805"/>
    </row>
    <row r="16" spans="2:61" ht="15.95" customHeight="1">
      <c r="B16" s="830">
        <v>1</v>
      </c>
      <c r="C16" s="1087"/>
      <c r="D16" s="1087"/>
      <c r="E16" s="1087"/>
      <c r="F16" s="1087"/>
      <c r="G16" s="1087"/>
      <c r="H16" s="1087"/>
      <c r="I16" s="1087"/>
      <c r="J16" s="1087"/>
      <c r="K16" s="1087"/>
      <c r="L16" s="1181" t="str">
        <f t="shared" ref="L16" si="0">IFERROR(IF(F16="RCx - Study","No Study",""),"")</f>
        <v/>
      </c>
      <c r="M16" s="1168"/>
      <c r="N16" s="1168"/>
      <c r="O16" s="1169"/>
      <c r="P16" s="961" t="str">
        <f t="shared" ref="P16" si="1">IFERROR(IF(F16="RCx - Study",1,""),"")</f>
        <v/>
      </c>
      <c r="Q16" s="962"/>
      <c r="R16" s="1173" t="str">
        <f t="shared" ref="R16" si="2">IFERROR(IF(F16="RCx - Study",0,""),"")</f>
        <v/>
      </c>
      <c r="S16" s="1174"/>
      <c r="T16" s="1167" t="str">
        <f t="shared" ref="T16" si="3">IFERROR(IF(F16="RCx - Study","Study Completed",""),"")</f>
        <v/>
      </c>
      <c r="U16" s="1168"/>
      <c r="V16" s="1168"/>
      <c r="W16" s="1169"/>
      <c r="X16" s="1165" t="str">
        <f t="shared" ref="X16" si="4">IFERROR(IF(F16="RCx - Study",1,""),"")</f>
        <v/>
      </c>
      <c r="Y16" s="1165"/>
      <c r="Z16" s="1161" t="str">
        <f t="shared" ref="Z16" si="5">IFERROR(IF(F16="RCx - Study",0,""),"")</f>
        <v/>
      </c>
      <c r="AA16" s="1161"/>
      <c r="AB16" s="1165" t="str">
        <f t="shared" ref="AB16" si="6">IF(C16="New Construction","Incremental","")</f>
        <v/>
      </c>
      <c r="AC16" s="1165"/>
      <c r="AD16" s="869"/>
      <c r="AE16" s="1091"/>
      <c r="AF16" s="887" t="str">
        <f t="shared" ref="AF16" si="7">IF(AB16="Incremental",0,"")</f>
        <v/>
      </c>
      <c r="AG16" s="1163"/>
      <c r="AH16" s="865" t="str">
        <f>IF(OR(C16="",F16="",L16="",P16="",R16="",T16="",X16="",Z16="",AD16="",AF16=""),"",ROUND(AD16+AF16,2))</f>
        <v/>
      </c>
      <c r="AI16" s="1096"/>
      <c r="AJ16" s="1096"/>
      <c r="AK16" s="1105" t="str">
        <f>IF(OR(C16="",F16="",F16="",L16="",P16="",R16="",T16="",X16="",Z16="",AB16="",AD16="",AF16=""),"",IF(F16="RCx - Study",0,IF((P16*R16)-(X16*Z16)&lt;=0,0,ROUND((P16*R16)-(X16*Z16),2))))</f>
        <v/>
      </c>
      <c r="AL16" s="1105"/>
      <c r="AM16" s="1105"/>
      <c r="AN16" s="1132" t="str">
        <f>IF(OR(C16="",F16="",F16="",L16="",P16="",R16="",T16="",X16="",Z16="",AB16="",AD16="",AF16=""),"",IF(BE16&lt;&gt;"",BE16,IF(C16="Custom",AY16,IF(C16="New Construction",AZ16,IF(C16="RCx",BA16)))))</f>
        <v/>
      </c>
      <c r="AO16" s="1132"/>
      <c r="AP16" s="1132"/>
      <c r="AQ16" s="1132"/>
      <c r="AR16" s="59"/>
      <c r="AU16" s="1103" t="str">
        <f>IF(F16="","",INDEX(CUSTNONLIGHTEUNIT,MATCH(F16,PROGRAMECAT[Category 1],0)))</f>
        <v/>
      </c>
      <c r="AV16" s="1103" t="str">
        <f>IF(OR(C16="",F16="",L16="",P16="",R16="",T16="",X16="",Z16="",AB16="",AD16="",AF16=""),"",IF(F16="RCx - Study",1,((1+ELOSS)*((AK16*INDEX(ELECCB[NPV AEC $/kWh],MATCH(BB16,ELECCB[Year Number],1)))+(AX16*INDEX(ELECCB[NPV ACC+T&amp;D $/kW],MATCH(BB16,ELECCB[Year Number],1)))))/AH16))</f>
        <v/>
      </c>
      <c r="AW16" s="1188"/>
      <c r="AX16" s="1187" t="str">
        <f>IF(OR(C16="",F16="",L16="",P16="",R16="",T16="",X16="",Z16="",AB16="",AD16="",AF16=""),"",ROUND(AW16*(INDEX(PROGRAMECAT[Lighting Coincidence Factor],MATCH(F16,PROGRAMECAT[Category 1],0))),3))</f>
        <v/>
      </c>
      <c r="AY16" s="1180" t="str">
        <f>IF(OR(C16="",F16="",F16="",L16="",P16="",R16="",T16="",X16="",Z16="",AB16="",AD16="",AF16=""),"",IF(AB16="Total",ROUND(MIN(AH16*0.75,AK16*INDEX(INCRATE[Electric],MATCH("CMNONLIGHT",INCRATE[Incentive Type]))),2),IF(AB16="Incremental",ROUND(MIN(AH16,AK16*INDEX(INCRATE[Electric],MATCH("CMNONLIGHT",INCRATE[Incentive Type]))),2))))</f>
        <v/>
      </c>
      <c r="AZ16" s="1180" t="str">
        <f>IF(OR(C16="",F16="",F16="",L16="",P16="",R16="",T16="",X16="",Z16="",AB16="",AD16="",AF16=""),"",IF(AB16="Total",ROUND(MIN(AH16*0.75,AK16*INDEX(INCRATE[Electric],MATCH("NCNONLIGHT",INCRATE[Incentive Type]))),2),IF(AB16="Incremental",ROUND(MIN(AH16,AK16*INDEX(INCRATE[Electric],MATCH("NCNONLIGHT",INCRATE[Incentive Type]))),2))))</f>
        <v/>
      </c>
      <c r="BA16" s="1180" t="str">
        <f>IF(OR(C16="",F16="",F16="",L16="",P16="",R16="",T16="",X16="",Z16="",AB16="",AD16="",AF16=""),"",IF(F16="RCx - Study",MIN(AH16,SUM($AK$16:$AM$35)*INDEX(INCRATE[Electric],MATCH("RCxStudy",INCRATE[Incentive Type]))),
IF(AB16="Total",ROUND(MIN(AH16*0.75,AK16*INDEX(INCRATE[Electric],MATCH("RCX",INCRATE[Incentive Type]))),2),IF(AB16="Incremental",ROUND(MIN(AH16,AK16*INDEX(INCRATE[Electric],MATCH("RCX",INCRATE[Incentive Type]))),2)))))</f>
        <v/>
      </c>
      <c r="BB16" s="1097" t="str">
        <f>IF(F16="","",INDEX(PROGRAMECAT[EUL],MATCH(F16,PROGRAMECAT[Category 1],0)))</f>
        <v/>
      </c>
      <c r="BC16" s="1097" t="str">
        <f>IFERROR(IF(F16="RCx - Study",1,AH16/M02S02F35/AK16),"")</f>
        <v/>
      </c>
      <c r="BD16" s="1190" t="str">
        <f>IF(OR(C16="",F16="",L16="",P16="",R16="",T16="",X16="",Z16="",AB16="",AD16="",AF16=""),"",IF(ISNUMBER(AN16),INDEX(PROGRAMECAT[Measure Number],MATCH(F16,PROGRAMECAT[Category 1],0)),IF(AK16=0,"","000001")))</f>
        <v/>
      </c>
      <c r="BE16" s="1097" t="str" cm="1">
        <f t="array" ref="BE16">IFERROR(IF(F16="RCx - Study","",_xlfn.SINGLE(IF((P16*R16)-(X16*Z16)&lt;=0,MEASURESAV,IF(M02S02F35="",MEASURERATE,IF(AND(OR(F16="Others (Incremental)",F16="Others"),M05S07F03=""),MEASURESUBMIT, IF(AND(OR(ISNUMBER(SEARCH({"Custom","New Construction"},C16))),BC16&lt;1),MEASUREPAY,IF(AV16&lt;1,MEASURECB,""))))))),MEASURESUBMIT)</f>
        <v>Submit for Review</v>
      </c>
      <c r="BF16" s="1190" t="str">
        <f>IF(OR(C16="",F16="",L16="",P16="",R16="",T16="",X16="",Z16="",AB16="",AD16="",AF16=""),"",IF(AB16="Incremental",AH16,""))</f>
        <v/>
      </c>
      <c r="BG16" s="1190" t="str">
        <f>IF(OR(C16="",F16="",L16="",P16="",R16="",T16="",X16="",Z16="",AB16="",AD16="",AF16=""),"",IF(OR(C16="RCx",C16="Custom"),"Custom",IF(C16="New Construction","New Construction")))</f>
        <v/>
      </c>
      <c r="BH16" s="1058" t="str">
        <f ca="1">IF(OR(C16="",F16="",F16="",L16="",P16="",R16="",T16="",X16="",Z16="",AB16="",AD16="",AF16=""),"",IF('M01-S01'!$V$82&lt;TODAY(),0,IF(M02S02F46="Gas Only",0,IF(C16="New Construction",0,IF(OR(AK16="",AK16&lt;0,AH16&lt;=AN16),0,MIN(AH16-AN16,ROUND(AN16*0.2,2)))))))</f>
        <v/>
      </c>
      <c r="BI16" s="1058"/>
    </row>
    <row r="17" spans="2:61" ht="15.95" customHeight="1">
      <c r="B17" s="830"/>
      <c r="C17" s="1088"/>
      <c r="D17" s="1088"/>
      <c r="E17" s="1088"/>
      <c r="F17" s="1088"/>
      <c r="G17" s="1088"/>
      <c r="H17" s="1088"/>
      <c r="I17" s="1088"/>
      <c r="J17" s="1088"/>
      <c r="K17" s="1088"/>
      <c r="L17" s="1182"/>
      <c r="M17" s="1171"/>
      <c r="N17" s="1171"/>
      <c r="O17" s="1172"/>
      <c r="P17" s="963"/>
      <c r="Q17" s="964"/>
      <c r="R17" s="1175"/>
      <c r="S17" s="1176"/>
      <c r="T17" s="1170"/>
      <c r="U17" s="1171"/>
      <c r="V17" s="1171"/>
      <c r="W17" s="1172"/>
      <c r="X17" s="1166"/>
      <c r="Y17" s="1166"/>
      <c r="Z17" s="1162"/>
      <c r="AA17" s="1162"/>
      <c r="AB17" s="1166"/>
      <c r="AC17" s="1166"/>
      <c r="AD17" s="870"/>
      <c r="AE17" s="1092"/>
      <c r="AF17" s="856"/>
      <c r="AG17" s="1164"/>
      <c r="AH17" s="1130"/>
      <c r="AI17" s="1131"/>
      <c r="AJ17" s="1131"/>
      <c r="AK17" s="1143"/>
      <c r="AL17" s="1143"/>
      <c r="AM17" s="1143"/>
      <c r="AN17" s="1133"/>
      <c r="AO17" s="1133"/>
      <c r="AP17" s="1133"/>
      <c r="AQ17" s="1133"/>
      <c r="AR17" s="59"/>
      <c r="AU17" s="1102"/>
      <c r="AV17" s="1102"/>
      <c r="AW17" s="1186"/>
      <c r="AX17" s="1069"/>
      <c r="AY17" s="1098"/>
      <c r="AZ17" s="1098"/>
      <c r="BA17" s="1098"/>
      <c r="BB17" s="1098"/>
      <c r="BC17" s="1098"/>
      <c r="BD17" s="1184"/>
      <c r="BE17" s="1098"/>
      <c r="BF17" s="1184"/>
      <c r="BG17" s="1184"/>
      <c r="BH17" s="996"/>
      <c r="BI17" s="996"/>
    </row>
    <row r="18" spans="2:61" ht="15.95" customHeight="1">
      <c r="B18" s="829">
        <v>2</v>
      </c>
      <c r="C18" s="1087"/>
      <c r="D18" s="1087"/>
      <c r="E18" s="1087"/>
      <c r="F18" s="1087"/>
      <c r="G18" s="1087"/>
      <c r="H18" s="1087"/>
      <c r="I18" s="1087"/>
      <c r="J18" s="1087"/>
      <c r="K18" s="1087"/>
      <c r="L18" s="1181" t="str">
        <f t="shared" ref="L18" si="8">IFERROR(IF(F18="RCx - Study","No Study",""),"")</f>
        <v/>
      </c>
      <c r="M18" s="1168"/>
      <c r="N18" s="1168"/>
      <c r="O18" s="1169"/>
      <c r="P18" s="961" t="str">
        <f t="shared" ref="P18" si="9">IFERROR(IF(F18="RCx - Study",1,""),"")</f>
        <v/>
      </c>
      <c r="Q18" s="962"/>
      <c r="R18" s="1173" t="str">
        <f t="shared" ref="R18" si="10">IFERROR(IF(F18="RCx - Study",0,""),"")</f>
        <v/>
      </c>
      <c r="S18" s="1174"/>
      <c r="T18" s="1167" t="str">
        <f t="shared" ref="T18" si="11">IFERROR(IF(F18="RCx - Study","Study Completed",""),"")</f>
        <v/>
      </c>
      <c r="U18" s="1168"/>
      <c r="V18" s="1168"/>
      <c r="W18" s="1169"/>
      <c r="X18" s="1165" t="str">
        <f t="shared" ref="X18" si="12">IFERROR(IF(F18="RCx - Study",1,""),"")</f>
        <v/>
      </c>
      <c r="Y18" s="1165"/>
      <c r="Z18" s="1161" t="str">
        <f t="shared" ref="Z18" si="13">IFERROR(IF(F18="RCx - Study",0,""),"")</f>
        <v/>
      </c>
      <c r="AA18" s="1161"/>
      <c r="AB18" s="1165" t="str">
        <f t="shared" ref="AB18" si="14">IF(C18="New Construction","Incremental","")</f>
        <v/>
      </c>
      <c r="AC18" s="1165"/>
      <c r="AD18" s="869"/>
      <c r="AE18" s="1091"/>
      <c r="AF18" s="887" t="str">
        <f t="shared" ref="AF18" si="15">IF(AB18="Incremental",0,"")</f>
        <v/>
      </c>
      <c r="AG18" s="1163"/>
      <c r="AH18" s="865" t="str">
        <f>IF(OR(C18="",F18="",L18="",P18="",R18="",T18="",X18="",Z18="",AD18="",AF18=""),"",ROUND(AD18+AF18,2))</f>
        <v/>
      </c>
      <c r="AI18" s="1096"/>
      <c r="AJ18" s="1096"/>
      <c r="AK18" s="904" t="str">
        <f t="shared" ref="AK18" si="16">IF(OR(C18="",F18="",F18="",L18="",P18="",R18="",T18="",X18="",Z18="",AB18="",AD18="",AF18=""),"",IF(F18="RCx - Study",0,IF((P18*R18)-(X18*Z18)&lt;=0,0,ROUND((P18*R18)-(X18*Z18),2))))</f>
        <v/>
      </c>
      <c r="AL18" s="905"/>
      <c r="AM18" s="969"/>
      <c r="AN18" s="1132" t="str">
        <f>IF(OR(C18="",F18="",F18="",L18="",P18="",R18="",T18="",X18="",Z18="",AB18="",AD18="",AF18=""),"",IF(BE18&lt;&gt;"",BE18,IF(C18="Custom",AY18,IF(C18="New Construction",AZ18,IF(C18="RCx",BA18)))))</f>
        <v/>
      </c>
      <c r="AO18" s="1132"/>
      <c r="AP18" s="1132"/>
      <c r="AQ18" s="1132"/>
      <c r="AR18" s="59"/>
      <c r="AU18" s="1101" t="str">
        <f>IF(F18="","",INDEX(CUSTNONLIGHTEUNIT,MATCH(F18,PROGRAMECAT[Category 1],0)))</f>
        <v/>
      </c>
      <c r="AV18" s="1101" t="str">
        <f>IF(OR(C18="",F18="",L18="",P18="",R18="",T18="",X18="",Z18="",AB18="",AD18="",AF18=""),"",IF(F18="RCx - Study",1,((1+ELOSS)*((AK18*INDEX(ELECCB[NPV AEC $/kWh],MATCH(BB18,ELECCB[Year Number],1)))+(AX18*INDEX(ELECCB[NPV ACC+T&amp;D $/kW],MATCH(BB18,ELECCB[Year Number],1)))))/AH18))</f>
        <v/>
      </c>
      <c r="AW18" s="1185"/>
      <c r="AX18" s="1068" t="str">
        <f>IF(OR(C18="",F18="",L18="",P18="",R18="",T18="",X18="",Z18="",AB18="",AD18="",AF18=""),"",ROUND(AW18*(INDEX(PROGRAMECAT[Lighting Coincidence Factor],MATCH(F18,PROGRAMECAT[Category 1],0))),3))</f>
        <v/>
      </c>
      <c r="AY18" s="1180" t="str">
        <f>IF(OR(C18="",F18="",F18="",L18="",P18="",R18="",T18="",X18="",Z18="",AB18="",AD18="",AF18=""),"",IF(AB18="Total",ROUND(MIN(AH18*0.75,AK18*INDEX(INCRATE[Electric],MATCH("CMNONLIGHT",INCRATE[Incentive Type]))),2),IF(AB18="Incremental",ROUND(MIN(AH18,AK18*INDEX(INCRATE[Electric],MATCH("CMNONLIGHT",INCRATE[Incentive Type]))),2))))</f>
        <v/>
      </c>
      <c r="AZ18" s="1180" t="str">
        <f>IF(OR(C18="",F18="",F18="",L18="",P18="",R18="",T18="",X18="",Z18="",AB18="",AD18="",AF18=""),"",IF(AB18="Total",ROUND(MIN(AH18*0.75,AK18*INDEX(INCRATE[Electric],MATCH("NCNONLIGHT",INCRATE[Incentive Type]))),2),IF(AB18="Incremental",ROUND(MIN(AH18,AK18*INDEX(INCRATE[Electric],MATCH("NCNONLIGHT",INCRATE[Incentive Type]))),2))))</f>
        <v/>
      </c>
      <c r="BA18" s="1180" t="str">
        <f>IF(OR(C18="",F18="",F18="",L18="",P18="",R18="",T18="",X18="",Z18="",AB18="",AD18="",AF18=""),"",IF(F18="RCx - Study",MIN(AH18,SUM($AK$16:$AM$35)*INDEX(INCRATE[Electric],MATCH("RCxStudy",INCRATE[Incentive Type]))),
IF(AB18="Total",ROUND(MIN(AH18*0.75,AK18*INDEX(INCRATE[Electric],MATCH("RCX",INCRATE[Incentive Type]))),2),IF(AB18="Incremental",ROUND(MIN(AH18,AK18*INDEX(INCRATE[Electric],MATCH("RCX",INCRATE[Incentive Type]))),2)))))</f>
        <v/>
      </c>
      <c r="BB18" s="1180" t="str">
        <f>IF(F18="","",INDEX(PROGRAMECAT[EUL],MATCH(F18,PROGRAMECAT[Category 1],0)))</f>
        <v/>
      </c>
      <c r="BC18" s="1180" t="str">
        <f>IFERROR(IF(F18="RCx - Study",1,AH18/M02S02F35/AK18),"")</f>
        <v/>
      </c>
      <c r="BD18" s="1183" t="str">
        <f>IF(OR(C18="",F18="",L18="",P18="",R18="",T18="",X18="",Z18="",AB18="",AD18="",AF18=""),"",IF(ISNUMBER(AN18),INDEX(PROGRAMECAT[Measure Number],MATCH(F18,PROGRAMECAT[Category 1],0)),IF(AK18=0,"","000001")))</f>
        <v/>
      </c>
      <c r="BE18" s="1180" t="str" cm="1">
        <f t="array" ref="BE18">IFERROR(IF(F18="RCx - Study","",_xlfn.SINGLE(IF((P18*R18)-(X18*Z18)&lt;=0,MEASURESAV,IF(M02S02F35="",MEASURERATE,IF(AND(OR(F18="Others (Incremental)",F18="Others"),M05S07F03=""),MEASURESUBMIT, IF(AND(OR(ISNUMBER(SEARCH({"Custom","New Construction"},C18))),BC18&lt;1),MEASUREPAY,IF(AV18&lt;1,MEASURECB,""))))))),MEASURESUBMIT)</f>
        <v>Submit for Review</v>
      </c>
      <c r="BF18" s="1190" t="str">
        <f t="shared" ref="BF18" si="17">IF(OR(C18="",F18="",L18="",P18="",R18="",T18="",X18="",Z18="",AB18="",AD18="",AF18=""),"",IF(AB18="Incremental",AH18,""))</f>
        <v/>
      </c>
      <c r="BG18" s="1190"/>
      <c r="BH18" s="995" t="str">
        <f ca="1">IF(OR(C18="",F18="",F18="",L18="",P18="",R18="",T18="",X18="",Z18="",AB18="",AD18="",AF18=""),"",IF('M01-S01'!$V$82&lt;TODAY(),0,IF(M02S02F46="Gas Only",0,IF(C18="New Construction",0,IF(OR(AK18="",AK18&lt;0,AH18&lt;=AN18),0,MIN(AH18-AN18,ROUND(AN18*0.2,2)))))))</f>
        <v/>
      </c>
      <c r="BI18" s="1058"/>
    </row>
    <row r="19" spans="2:61" ht="15.95" customHeight="1">
      <c r="B19" s="829"/>
      <c r="C19" s="1088"/>
      <c r="D19" s="1088"/>
      <c r="E19" s="1088"/>
      <c r="F19" s="1088"/>
      <c r="G19" s="1088"/>
      <c r="H19" s="1088"/>
      <c r="I19" s="1088"/>
      <c r="J19" s="1088"/>
      <c r="K19" s="1088"/>
      <c r="L19" s="1182"/>
      <c r="M19" s="1171"/>
      <c r="N19" s="1171"/>
      <c r="O19" s="1172"/>
      <c r="P19" s="963"/>
      <c r="Q19" s="964"/>
      <c r="R19" s="1175"/>
      <c r="S19" s="1176"/>
      <c r="T19" s="1170"/>
      <c r="U19" s="1171"/>
      <c r="V19" s="1171"/>
      <c r="W19" s="1172"/>
      <c r="X19" s="1166"/>
      <c r="Y19" s="1166"/>
      <c r="Z19" s="1162"/>
      <c r="AA19" s="1162"/>
      <c r="AB19" s="1166"/>
      <c r="AC19" s="1166"/>
      <c r="AD19" s="870"/>
      <c r="AE19" s="1092"/>
      <c r="AF19" s="856"/>
      <c r="AG19" s="1164"/>
      <c r="AH19" s="1130"/>
      <c r="AI19" s="1131"/>
      <c r="AJ19" s="1131"/>
      <c r="AK19" s="906"/>
      <c r="AL19" s="907"/>
      <c r="AM19" s="936"/>
      <c r="AN19" s="1133"/>
      <c r="AO19" s="1133"/>
      <c r="AP19" s="1133"/>
      <c r="AQ19" s="1133"/>
      <c r="AR19" s="59"/>
      <c r="AU19" s="1102"/>
      <c r="AV19" s="1102"/>
      <c r="AW19" s="1186"/>
      <c r="AX19" s="1069"/>
      <c r="AY19" s="1098"/>
      <c r="AZ19" s="1098"/>
      <c r="BA19" s="1098"/>
      <c r="BB19" s="1098"/>
      <c r="BC19" s="1098"/>
      <c r="BD19" s="1184"/>
      <c r="BE19" s="1098"/>
      <c r="BF19" s="1184"/>
      <c r="BG19" s="1184"/>
      <c r="BH19" s="996"/>
      <c r="BI19" s="996"/>
    </row>
    <row r="20" spans="2:61" ht="15.95" customHeight="1">
      <c r="B20" s="829">
        <v>3</v>
      </c>
      <c r="C20" s="1087"/>
      <c r="D20" s="1087"/>
      <c r="E20" s="1087"/>
      <c r="F20" s="1087"/>
      <c r="G20" s="1087"/>
      <c r="H20" s="1087"/>
      <c r="I20" s="1087"/>
      <c r="J20" s="1087"/>
      <c r="K20" s="1087"/>
      <c r="L20" s="1181" t="str">
        <f t="shared" ref="L20" si="18">IFERROR(IF(F20="RCx - Study","No Study",""),"")</f>
        <v/>
      </c>
      <c r="M20" s="1168"/>
      <c r="N20" s="1168"/>
      <c r="O20" s="1169"/>
      <c r="P20" s="961" t="str">
        <f t="shared" ref="P20" si="19">IFERROR(IF(F20="RCx - Study",1,""),"")</f>
        <v/>
      </c>
      <c r="Q20" s="962"/>
      <c r="R20" s="1173" t="str">
        <f t="shared" ref="R20" si="20">IFERROR(IF(F20="RCx - Study",0,""),"")</f>
        <v/>
      </c>
      <c r="S20" s="1174"/>
      <c r="T20" s="1167" t="str">
        <f t="shared" ref="T20" si="21">IFERROR(IF(F20="RCx - Study","Study Completed",""),"")</f>
        <v/>
      </c>
      <c r="U20" s="1168"/>
      <c r="V20" s="1168"/>
      <c r="W20" s="1169"/>
      <c r="X20" s="1165" t="str">
        <f t="shared" ref="X20" si="22">IFERROR(IF(F20="RCx - Study",1,""),"")</f>
        <v/>
      </c>
      <c r="Y20" s="1165"/>
      <c r="Z20" s="1161" t="str">
        <f t="shared" ref="Z20" si="23">IFERROR(IF(F20="RCx - Study",0,""),"")</f>
        <v/>
      </c>
      <c r="AA20" s="1161"/>
      <c r="AB20" s="1165" t="str">
        <f t="shared" ref="AB20" si="24">IF(C20="New Construction","Incremental","")</f>
        <v/>
      </c>
      <c r="AC20" s="1165"/>
      <c r="AD20" s="869"/>
      <c r="AE20" s="1091"/>
      <c r="AF20" s="887" t="str">
        <f t="shared" ref="AF20" si="25">IF(AB20="Incremental",0,"")</f>
        <v/>
      </c>
      <c r="AG20" s="1163"/>
      <c r="AH20" s="865" t="str">
        <f>IF(OR(C20="",F20="",L20="",P20="",R20="",T20="",X20="",Z20="",AD20="",AF20=""),"",ROUND(AD20+AF20,2))</f>
        <v/>
      </c>
      <c r="AI20" s="1096"/>
      <c r="AJ20" s="1096"/>
      <c r="AK20" s="904" t="str">
        <f t="shared" ref="AK20" si="26">IF(OR(C20="",F20="",F20="",L20="",P20="",R20="",T20="",X20="",Z20="",AB20="",AD20="",AF20=""),"",IF(F20="RCx - Study",0,IF((P20*R20)-(X20*Z20)&lt;=0,0,ROUND((P20*R20)-(X20*Z20),2))))</f>
        <v/>
      </c>
      <c r="AL20" s="905"/>
      <c r="AM20" s="969"/>
      <c r="AN20" s="1132" t="str">
        <f>IF(OR(C20="",F20="",F20="",L20="",P20="",R20="",T20="",X20="",Z20="",AB20="",AD20="",AF20=""),"",IF(BE20&lt;&gt;"",BE20,IF(C20="Custom",AY20,IF(C20="New Construction",AZ20,IF(C20="RCx",BA20)))))</f>
        <v/>
      </c>
      <c r="AO20" s="1132"/>
      <c r="AP20" s="1132"/>
      <c r="AQ20" s="1132"/>
      <c r="AR20" s="59"/>
      <c r="AU20" s="1101" t="str">
        <f>IF(F20="","",INDEX(CUSTNONLIGHTEUNIT,MATCH(F20,PROGRAMECAT[Category 1],0)))</f>
        <v/>
      </c>
      <c r="AV20" s="1101" t="str">
        <f>IF(OR(C20="",F20="",L20="",P20="",R20="",T20="",X20="",Z20="",AB20="",AD20="",AF20=""),"",IF(F20="RCx - Study",1,((1+ELOSS)*((AK20*INDEX(ELECCB[NPV AEC $/kWh],MATCH(BB20,ELECCB[Year Number],1)))+(AX20*INDEX(ELECCB[NPV ACC+T&amp;D $/kW],MATCH(BB20,ELECCB[Year Number],1)))))/AH20))</f>
        <v/>
      </c>
      <c r="AW20" s="1185"/>
      <c r="AX20" s="1068" t="str">
        <f>IF(OR(C20="",F20="",L20="",P20="",R20="",T20="",X20="",Z20="",AB20="",AD20="",AF20=""),"",ROUND(AW20*(INDEX(PROGRAMECAT[Lighting Coincidence Factor],MATCH(F20,PROGRAMECAT[Category 1],0))),3))</f>
        <v/>
      </c>
      <c r="AY20" s="1180" t="str">
        <f>IF(OR(C20="",F20="",F20="",L20="",P20="",R20="",T20="",X20="",Z20="",AB20="",AD20="",AF20=""),"",IF(AB20="Total",ROUND(MIN(AH20*0.75,AK20*INDEX(INCRATE[Electric],MATCH("CMNONLIGHT",INCRATE[Incentive Type]))),2),IF(AB20="Incremental",ROUND(MIN(AH20,AK20*INDEX(INCRATE[Electric],MATCH("CMNONLIGHT",INCRATE[Incentive Type]))),2))))</f>
        <v/>
      </c>
      <c r="AZ20" s="1180" t="str">
        <f>IF(OR(C20="",F20="",F20="",L20="",P20="",R20="",T20="",X20="",Z20="",AB20="",AD20="",AF20=""),"",IF(AB20="Total",ROUND(MIN(AH20*0.75,AK20*INDEX(INCRATE[Electric],MATCH("NCNONLIGHT",INCRATE[Incentive Type]))),2),IF(AB20="Incremental",ROUND(MIN(AH20,AK20*INDEX(INCRATE[Electric],MATCH("NCNONLIGHT",INCRATE[Incentive Type]))),2))))</f>
        <v/>
      </c>
      <c r="BA20" s="1180" t="str">
        <f>IF(OR(C20="",F20="",F20="",L20="",P20="",R20="",T20="",X20="",Z20="",AB20="",AD20="",AF20=""),"",IF(F20="RCx - Study",MIN(AH20,SUM($AK$16:$AM$35)*INDEX(INCRATE[Electric],MATCH("RCxStudy",INCRATE[Incentive Type]))),
IF(AB20="Total",ROUND(MIN(AH20*0.75,AK20*INDEX(INCRATE[Electric],MATCH("RCX",INCRATE[Incentive Type]))),2),IF(AB20="Incremental",ROUND(MIN(AH20,AK20*INDEX(INCRATE[Electric],MATCH("RCX",INCRATE[Incentive Type]))),2)))))</f>
        <v/>
      </c>
      <c r="BB20" s="1180" t="str">
        <f>IF(F20="","",INDEX(PROGRAMECAT[EUL],MATCH(F20,PROGRAMECAT[Category 1],0)))</f>
        <v/>
      </c>
      <c r="BC20" s="1180" t="str">
        <f>IFERROR(IF(F20="RCx - Study",1,AH20/M02S02F35/AK20),"")</f>
        <v/>
      </c>
      <c r="BD20" s="1183" t="str">
        <f>IF(OR(C20="",F20="",L20="",P20="",R20="",T20="",X20="",Z20="",AB20="",AD20="",AF20=""),"",IF(ISNUMBER(AN20),INDEX(PROGRAMECAT[Measure Number],MATCH(F20,PROGRAMECAT[Category 1],0)),IF(AK20=0,"","000001")))</f>
        <v/>
      </c>
      <c r="BE20" s="1180" t="str" cm="1">
        <f t="array" ref="BE20">IFERROR(IF(F20="RCx - Study","",_xlfn.SINGLE(IF((P20*R20)-(X20*Z20)&lt;=0,MEASURESAV,IF(M02S02F35="",MEASURERATE,IF(AND(OR(F20="Others (Incremental)",F20="Others"),M05S07F03=""),MEASURESUBMIT, IF(AND(OR(ISNUMBER(SEARCH({"Custom","New Construction"},C20))),BC20&lt;1),MEASUREPAY,IF(AV20&lt;1,MEASURECB,""))))))),MEASURESUBMIT)</f>
        <v>Submit for Review</v>
      </c>
      <c r="BF20" s="1190" t="str">
        <f t="shared" ref="BF20" si="27">IF(OR(C20="",F20="",L20="",P20="",R20="",T20="",X20="",Z20="",AB20="",AD20="",AF20=""),"",IF(AB20="Incremental",AH20,""))</f>
        <v/>
      </c>
      <c r="BG20" s="1190"/>
      <c r="BH20" s="995" t="str">
        <f ca="1">IF(OR(C20="",F20="",F20="",L20="",P20="",R20="",T20="",X20="",Z20="",AB20="",AD20="",AF20=""),"",IF('M01-S01'!$V$82&lt;TODAY(),0,IF(M02S02F46="Gas Only",0,IF(C20="New Construction",0,IF(OR(AK20="",AK20&lt;0,AH20&lt;=AN20),0,MIN(AH20-AN20,ROUND(AN20*0.2,2)))))))</f>
        <v/>
      </c>
      <c r="BI20" s="1058"/>
    </row>
    <row r="21" spans="2:61" ht="15.95" customHeight="1">
      <c r="B21" s="829"/>
      <c r="C21" s="1088"/>
      <c r="D21" s="1088"/>
      <c r="E21" s="1088"/>
      <c r="F21" s="1088"/>
      <c r="G21" s="1088"/>
      <c r="H21" s="1088"/>
      <c r="I21" s="1088"/>
      <c r="J21" s="1088"/>
      <c r="K21" s="1088"/>
      <c r="L21" s="1182"/>
      <c r="M21" s="1171"/>
      <c r="N21" s="1171"/>
      <c r="O21" s="1172"/>
      <c r="P21" s="963"/>
      <c r="Q21" s="964"/>
      <c r="R21" s="1175"/>
      <c r="S21" s="1176"/>
      <c r="T21" s="1170"/>
      <c r="U21" s="1171"/>
      <c r="V21" s="1171"/>
      <c r="W21" s="1172"/>
      <c r="X21" s="1166"/>
      <c r="Y21" s="1166"/>
      <c r="Z21" s="1162"/>
      <c r="AA21" s="1162"/>
      <c r="AB21" s="1166"/>
      <c r="AC21" s="1166"/>
      <c r="AD21" s="870"/>
      <c r="AE21" s="1092"/>
      <c r="AF21" s="856"/>
      <c r="AG21" s="1164"/>
      <c r="AH21" s="1130"/>
      <c r="AI21" s="1131"/>
      <c r="AJ21" s="1131"/>
      <c r="AK21" s="906"/>
      <c r="AL21" s="907"/>
      <c r="AM21" s="936"/>
      <c r="AN21" s="1133"/>
      <c r="AO21" s="1133"/>
      <c r="AP21" s="1133"/>
      <c r="AQ21" s="1133"/>
      <c r="AR21" s="59"/>
      <c r="AU21" s="1102"/>
      <c r="AV21" s="1102"/>
      <c r="AW21" s="1186"/>
      <c r="AX21" s="1069"/>
      <c r="AY21" s="1098"/>
      <c r="AZ21" s="1098"/>
      <c r="BA21" s="1098"/>
      <c r="BB21" s="1098"/>
      <c r="BC21" s="1098"/>
      <c r="BD21" s="1184"/>
      <c r="BE21" s="1098"/>
      <c r="BF21" s="1184"/>
      <c r="BG21" s="1184"/>
      <c r="BH21" s="996"/>
      <c r="BI21" s="996"/>
    </row>
    <row r="22" spans="2:61" ht="15.95" customHeight="1">
      <c r="B22" s="829">
        <v>4</v>
      </c>
      <c r="C22" s="1087"/>
      <c r="D22" s="1087"/>
      <c r="E22" s="1087"/>
      <c r="F22" s="1087"/>
      <c r="G22" s="1087"/>
      <c r="H22" s="1087"/>
      <c r="I22" s="1087"/>
      <c r="J22" s="1087"/>
      <c r="K22" s="1087"/>
      <c r="L22" s="1181" t="str">
        <f t="shared" ref="L22" si="28">IFERROR(IF(F22="RCx - Study","No Study",""),"")</f>
        <v/>
      </c>
      <c r="M22" s="1168"/>
      <c r="N22" s="1168"/>
      <c r="O22" s="1169"/>
      <c r="P22" s="961" t="str">
        <f t="shared" ref="P22" si="29">IFERROR(IF(F22="RCx - Study",1,""),"")</f>
        <v/>
      </c>
      <c r="Q22" s="962"/>
      <c r="R22" s="1173" t="str">
        <f t="shared" ref="R22" si="30">IFERROR(IF(F22="RCx - Study",0,""),"")</f>
        <v/>
      </c>
      <c r="S22" s="1174"/>
      <c r="T22" s="1167" t="str">
        <f t="shared" ref="T22" si="31">IFERROR(IF(F22="RCx - Study","Study Completed",""),"")</f>
        <v/>
      </c>
      <c r="U22" s="1168"/>
      <c r="V22" s="1168"/>
      <c r="W22" s="1169"/>
      <c r="X22" s="1165" t="str">
        <f t="shared" ref="X22" si="32">IFERROR(IF(F22="RCx - Study",1,""),"")</f>
        <v/>
      </c>
      <c r="Y22" s="1165"/>
      <c r="Z22" s="1161" t="str">
        <f t="shared" ref="Z22" si="33">IFERROR(IF(F22="RCx - Study",0,""),"")</f>
        <v/>
      </c>
      <c r="AA22" s="1161"/>
      <c r="AB22" s="1165" t="str">
        <f t="shared" ref="AB22" si="34">IF(C22="New Construction","Incremental","")</f>
        <v/>
      </c>
      <c r="AC22" s="1165"/>
      <c r="AD22" s="869"/>
      <c r="AE22" s="1091"/>
      <c r="AF22" s="887" t="str">
        <f t="shared" ref="AF22" si="35">IF(AB22="Incremental",0,"")</f>
        <v/>
      </c>
      <c r="AG22" s="1163"/>
      <c r="AH22" s="865" t="str">
        <f>IF(OR(C22="",F22="",L22="",P22="",R22="",T22="",X22="",Z22="",AD22="",AF22=""),"",ROUND(AD22+AF22,2))</f>
        <v/>
      </c>
      <c r="AI22" s="1096"/>
      <c r="AJ22" s="1096"/>
      <c r="AK22" s="904" t="str">
        <f t="shared" ref="AK22" si="36">IF(OR(C22="",F22="",F22="",L22="",P22="",R22="",T22="",X22="",Z22="",AB22="",AD22="",AF22=""),"",IF(F22="RCx - Study",0,IF((P22*R22)-(X22*Z22)&lt;=0,0,ROUND((P22*R22)-(X22*Z22),2))))</f>
        <v/>
      </c>
      <c r="AL22" s="905"/>
      <c r="AM22" s="969"/>
      <c r="AN22" s="1132" t="str">
        <f>IF(OR(C22="",F22="",F22="",L22="",P22="",R22="",T22="",X22="",Z22="",AB22="",AD22="",AF22=""),"",IF(BE22&lt;&gt;"",BE22,IF(C22="Custom",AY22,IF(C22="New Construction",AZ22,IF(C22="RCx",BA22)))))</f>
        <v/>
      </c>
      <c r="AO22" s="1132"/>
      <c r="AP22" s="1132"/>
      <c r="AQ22" s="1132"/>
      <c r="AR22" s="59"/>
      <c r="AU22" s="1101" t="str">
        <f>IF(F22="","",INDEX(CUSTNONLIGHTEUNIT,MATCH(F22,PROGRAMECAT[Category 1],0)))</f>
        <v/>
      </c>
      <c r="AV22" s="1101" t="str">
        <f>IF(OR(C22="",F22="",L22="",P22="",R22="",T22="",X22="",Z22="",AB22="",AD22="",AF22=""),"",IF(F22="RCx - Study",1,((1+ELOSS)*((AK22*INDEX(ELECCB[NPV AEC $/kWh],MATCH(BB22,ELECCB[Year Number],1)))+(AX22*INDEX(ELECCB[NPV ACC+T&amp;D $/kW],MATCH(BB22,ELECCB[Year Number],1)))))/AH22))</f>
        <v/>
      </c>
      <c r="AW22" s="1185"/>
      <c r="AX22" s="1068" t="str">
        <f>IF(OR(C22="",F22="",L22="",P22="",R22="",T22="",X22="",Z22="",AB22="",AD22="",AF22=""),"",ROUND(AW22*(INDEX(PROGRAMECAT[Lighting Coincidence Factor],MATCH(F22,PROGRAMECAT[Category 1],0))),3))</f>
        <v/>
      </c>
      <c r="AY22" s="1180" t="str">
        <f>IF(OR(C22="",F22="",F22="",L22="",P22="",R22="",T22="",X22="",Z22="",AB22="",AD22="",AF22=""),"",IF(AB22="Total",ROUND(MIN(AH22*0.75,AK22*INDEX(INCRATE[Electric],MATCH("CMNONLIGHT",INCRATE[Incentive Type]))),2),IF(AB22="Incremental",ROUND(MIN(AH22,AK22*INDEX(INCRATE[Electric],MATCH("CMNONLIGHT",INCRATE[Incentive Type]))),2))))</f>
        <v/>
      </c>
      <c r="AZ22" s="1180" t="str">
        <f>IF(OR(C22="",F22="",F22="",L22="",P22="",R22="",T22="",X22="",Z22="",AB22="",AD22="",AF22=""),"",IF(AB22="Total",ROUND(MIN(AH22*0.75,AK22*INDEX(INCRATE[Electric],MATCH("NCNONLIGHT",INCRATE[Incentive Type]))),2),IF(AB22="Incremental",ROUND(MIN(AH22,AK22*INDEX(INCRATE[Electric],MATCH("NCNONLIGHT",INCRATE[Incentive Type]))),2))))</f>
        <v/>
      </c>
      <c r="BA22" s="1180" t="str">
        <f>IF(OR(C22="",F22="",F22="",L22="",P22="",R22="",T22="",X22="",Z22="",AB22="",AD22="",AF22=""),"",IF(F22="RCx - Study",MIN(AH22,SUM($AK$16:$AM$35)*INDEX(INCRATE[Electric],MATCH("RCxStudy",INCRATE[Incentive Type]))),
IF(AB22="Total",ROUND(MIN(AH22*0.75,AK22*INDEX(INCRATE[Electric],MATCH("RCX",INCRATE[Incentive Type]))),2),IF(AB22="Incremental",ROUND(MIN(AH22,AK22*INDEX(INCRATE[Electric],MATCH("RCX",INCRATE[Incentive Type]))),2)))))</f>
        <v/>
      </c>
      <c r="BB22" s="1180" t="str">
        <f>IF(F22="","",INDEX(PROGRAMECAT[EUL],MATCH(F22,PROGRAMECAT[Category 1],0)))</f>
        <v/>
      </c>
      <c r="BC22" s="1180" t="str">
        <f>IFERROR(IF(F22="RCx - Study",1,AH22/M02S02F35/AK22),"")</f>
        <v/>
      </c>
      <c r="BD22" s="1183" t="str">
        <f>IF(OR(C22="",F22="",L22="",P22="",R22="",T22="",X22="",Z22="",AB22="",AD22="",AF22=""),"",IF(ISNUMBER(AN22),INDEX(PROGRAMECAT[Measure Number],MATCH(F22,PROGRAMECAT[Category 1],0)),IF(AK22=0,"","000001")))</f>
        <v/>
      </c>
      <c r="BE22" s="1180" t="str" cm="1">
        <f t="array" ref="BE22">IFERROR(IF(F22="RCx - Study","",_xlfn.SINGLE(IF((P22*R22)-(X22*Z22)&lt;=0,MEASURESAV,IF(M02S02F35="",MEASURERATE,IF(AND(OR(F22="Others (Incremental)",F22="Others"),M05S07F03=""),MEASURESUBMIT, IF(AND(OR(ISNUMBER(SEARCH({"Custom","New Construction"},C22))),BC22&lt;1),MEASUREPAY,IF(AV22&lt;1,MEASURECB,""))))))),MEASURESUBMIT)</f>
        <v>Submit for Review</v>
      </c>
      <c r="BF22" s="1190" t="str">
        <f t="shared" ref="BF22" si="37">IF(OR(C22="",F22="",L22="",P22="",R22="",T22="",X22="",Z22="",AB22="",AD22="",AF22=""),"",IF(AB22="Incremental",AH22,""))</f>
        <v/>
      </c>
      <c r="BG22" s="1190"/>
      <c r="BH22" s="995" t="str">
        <f ca="1">IF(OR(C22="",F22="",F22="",L22="",P22="",R22="",T22="",X22="",Z22="",AB22="",AD22="",AF22=""),"",IF('M01-S01'!$V$82&lt;TODAY(),0,IF(M02S02F46="Gas Only",0,IF(C22="New Construction",0,IF(OR(AK22="",AK22&lt;0,AH22&lt;=AN22),0,MIN(AH22-AN22,ROUND(AN22*0.2,2)))))))</f>
        <v/>
      </c>
      <c r="BI22" s="1058"/>
    </row>
    <row r="23" spans="2:61" ht="15.95" customHeight="1">
      <c r="B23" s="829"/>
      <c r="C23" s="1088"/>
      <c r="D23" s="1088"/>
      <c r="E23" s="1088"/>
      <c r="F23" s="1088"/>
      <c r="G23" s="1088"/>
      <c r="H23" s="1088"/>
      <c r="I23" s="1088"/>
      <c r="J23" s="1088"/>
      <c r="K23" s="1088"/>
      <c r="L23" s="1182"/>
      <c r="M23" s="1171"/>
      <c r="N23" s="1171"/>
      <c r="O23" s="1172"/>
      <c r="P23" s="963"/>
      <c r="Q23" s="964"/>
      <c r="R23" s="1175"/>
      <c r="S23" s="1176"/>
      <c r="T23" s="1170"/>
      <c r="U23" s="1171"/>
      <c r="V23" s="1171"/>
      <c r="W23" s="1172"/>
      <c r="X23" s="1166"/>
      <c r="Y23" s="1166"/>
      <c r="Z23" s="1162"/>
      <c r="AA23" s="1162"/>
      <c r="AB23" s="1166"/>
      <c r="AC23" s="1166"/>
      <c r="AD23" s="870"/>
      <c r="AE23" s="1092"/>
      <c r="AF23" s="856"/>
      <c r="AG23" s="1164"/>
      <c r="AH23" s="1130"/>
      <c r="AI23" s="1131"/>
      <c r="AJ23" s="1131"/>
      <c r="AK23" s="906"/>
      <c r="AL23" s="907"/>
      <c r="AM23" s="936"/>
      <c r="AN23" s="1133"/>
      <c r="AO23" s="1133"/>
      <c r="AP23" s="1133"/>
      <c r="AQ23" s="1133"/>
      <c r="AR23" s="59"/>
      <c r="AU23" s="1102"/>
      <c r="AV23" s="1102"/>
      <c r="AW23" s="1186"/>
      <c r="AX23" s="1069"/>
      <c r="AY23" s="1098"/>
      <c r="AZ23" s="1098"/>
      <c r="BA23" s="1098"/>
      <c r="BB23" s="1098"/>
      <c r="BC23" s="1098"/>
      <c r="BD23" s="1184"/>
      <c r="BE23" s="1098"/>
      <c r="BF23" s="1184"/>
      <c r="BG23" s="1184"/>
      <c r="BH23" s="996"/>
      <c r="BI23" s="996"/>
    </row>
    <row r="24" spans="2:61" ht="15.95" customHeight="1">
      <c r="B24" s="829">
        <v>5</v>
      </c>
      <c r="C24" s="1087"/>
      <c r="D24" s="1087"/>
      <c r="E24" s="1087"/>
      <c r="F24" s="1087"/>
      <c r="G24" s="1087"/>
      <c r="H24" s="1087"/>
      <c r="I24" s="1087"/>
      <c r="J24" s="1087"/>
      <c r="K24" s="1087"/>
      <c r="L24" s="1181" t="str">
        <f t="shared" ref="L24" si="38">IFERROR(IF(F24="RCx - Study","No Study",""),"")</f>
        <v/>
      </c>
      <c r="M24" s="1168"/>
      <c r="N24" s="1168"/>
      <c r="O24" s="1169"/>
      <c r="P24" s="961" t="str">
        <f t="shared" ref="P24" si="39">IFERROR(IF(F24="RCx - Study",1,""),"")</f>
        <v/>
      </c>
      <c r="Q24" s="962"/>
      <c r="R24" s="1173" t="str">
        <f t="shared" ref="R24" si="40">IFERROR(IF(F24="RCx - Study",0,""),"")</f>
        <v/>
      </c>
      <c r="S24" s="1174"/>
      <c r="T24" s="1167" t="str">
        <f t="shared" ref="T24" si="41">IFERROR(IF(F24="RCx - Study","Study Completed",""),"")</f>
        <v/>
      </c>
      <c r="U24" s="1168"/>
      <c r="V24" s="1168"/>
      <c r="W24" s="1169"/>
      <c r="X24" s="1165" t="str">
        <f t="shared" ref="X24" si="42">IFERROR(IF(F24="RCx - Study",1,""),"")</f>
        <v/>
      </c>
      <c r="Y24" s="1165"/>
      <c r="Z24" s="1161" t="str">
        <f t="shared" ref="Z24" si="43">IFERROR(IF(F24="RCx - Study",0,""),"")</f>
        <v/>
      </c>
      <c r="AA24" s="1161"/>
      <c r="AB24" s="1165" t="str">
        <f t="shared" ref="AB24" si="44">IF(C24="New Construction","Incremental","")</f>
        <v/>
      </c>
      <c r="AC24" s="1165"/>
      <c r="AD24" s="869"/>
      <c r="AE24" s="1091"/>
      <c r="AF24" s="887" t="str">
        <f t="shared" ref="AF24" si="45">IF(AB24="Incremental",0,"")</f>
        <v/>
      </c>
      <c r="AG24" s="1163"/>
      <c r="AH24" s="865" t="str">
        <f>IF(OR(C24="",F24="",L24="",P24="",R24="",T24="",X24="",Z24="",AD24="",AF24=""),"",ROUND(AD24+AF24,2))</f>
        <v/>
      </c>
      <c r="AI24" s="1096"/>
      <c r="AJ24" s="1096"/>
      <c r="AK24" s="904" t="str">
        <f t="shared" ref="AK24" si="46">IF(OR(C24="",F24="",F24="",L24="",P24="",R24="",T24="",X24="",Z24="",AB24="",AD24="",AF24=""),"",IF(F24="RCx - Study",0,IF((P24*R24)-(X24*Z24)&lt;=0,0,ROUND((P24*R24)-(X24*Z24),2))))</f>
        <v/>
      </c>
      <c r="AL24" s="905"/>
      <c r="AM24" s="969"/>
      <c r="AN24" s="1132" t="str">
        <f>IF(OR(C24="",F24="",F24="",L24="",P24="",R24="",T24="",X24="",Z24="",AB24="",AD24="",AF24=""),"",IF(BE24&lt;&gt;"",BE24,IF(C24="Custom",AY24,IF(C24="New Construction",AZ24,IF(C24="RCx",BA24)))))</f>
        <v/>
      </c>
      <c r="AO24" s="1132"/>
      <c r="AP24" s="1132"/>
      <c r="AQ24" s="1132"/>
      <c r="AR24" s="59"/>
      <c r="AU24" s="1101" t="str">
        <f>IF(F24="","",INDEX(CUSTNONLIGHTEUNIT,MATCH(F24,PROGRAMECAT[Category 1],0)))</f>
        <v/>
      </c>
      <c r="AV24" s="1101" t="str">
        <f>IF(OR(C24="",F24="",L24="",P24="",R24="",T24="",X24="",Z24="",AB24="",AD24="",AF24=""),"",IF(F24="RCx - Study",1,((1+ELOSS)*((AK24*INDEX(ELECCB[NPV AEC $/kWh],MATCH(BB24,ELECCB[Year Number],1)))+(AX24*INDEX(ELECCB[NPV ACC+T&amp;D $/kW],MATCH(BB24,ELECCB[Year Number],1)))))/AH24))</f>
        <v/>
      </c>
      <c r="AW24" s="1185"/>
      <c r="AX24" s="1068" t="str">
        <f>IF(OR(C24="",F24="",L24="",P24="",R24="",T24="",X24="",Z24="",AB24="",AD24="",AF24=""),"",ROUND(AW24*(INDEX(PROGRAMECAT[Lighting Coincidence Factor],MATCH(F24,PROGRAMECAT[Category 1],0))),3))</f>
        <v/>
      </c>
      <c r="AY24" s="1180" t="str">
        <f>IF(OR(C24="",F24="",F24="",L24="",P24="",R24="",T24="",X24="",Z24="",AB24="",AD24="",AF24=""),"",IF(AB24="Total",ROUND(MIN(AH24*0.75,AK24*INDEX(INCRATE[Electric],MATCH("CMNONLIGHT",INCRATE[Incentive Type]))),2),IF(AB24="Incremental",ROUND(MIN(AH24,AK24*INDEX(INCRATE[Electric],MATCH("CMNONLIGHT",INCRATE[Incentive Type]))),2))))</f>
        <v/>
      </c>
      <c r="AZ24" s="1180" t="str">
        <f>IF(OR(C24="",F24="",F24="",L24="",P24="",R24="",T24="",X24="",Z24="",AB24="",AD24="",AF24=""),"",IF(AB24="Total",ROUND(MIN(AH24*0.75,AK24*INDEX(INCRATE[Electric],MATCH("NCNONLIGHT",INCRATE[Incentive Type]))),2),IF(AB24="Incremental",ROUND(MIN(AH24,AK24*INDEX(INCRATE[Electric],MATCH("NCNONLIGHT",INCRATE[Incentive Type]))),2))))</f>
        <v/>
      </c>
      <c r="BA24" s="1180" t="str">
        <f>IF(OR(C24="",F24="",F24="",L24="",P24="",R24="",T24="",X24="",Z24="",AB24="",AD24="",AF24=""),"",IF(F24="RCx - Study",MIN(AH24,SUM($AK$16:$AM$35)*INDEX(INCRATE[Electric],MATCH("RCxStudy",INCRATE[Incentive Type]))),
IF(AB24="Total",ROUND(MIN(AH24*0.75,AK24*INDEX(INCRATE[Electric],MATCH("RCX",INCRATE[Incentive Type]))),2),IF(AB24="Incremental",ROUND(MIN(AH24,AK24*INDEX(INCRATE[Electric],MATCH("RCX",INCRATE[Incentive Type]))),2)))))</f>
        <v/>
      </c>
      <c r="BB24" s="1180" t="str">
        <f>IF(F24="","",INDEX(PROGRAMECAT[EUL],MATCH(F24,PROGRAMECAT[Category 1],0)))</f>
        <v/>
      </c>
      <c r="BC24" s="1180" t="str">
        <f>IFERROR(IF(F24="RCx - Study",1,AH24/M02S02F35/AK24),"")</f>
        <v/>
      </c>
      <c r="BD24" s="1183" t="str">
        <f>IF(OR(C24="",F24="",L24="",P24="",R24="",T24="",X24="",Z24="",AB24="",AD24="",AF24=""),"",IF(ISNUMBER(AN24),INDEX(PROGRAMECAT[Measure Number],MATCH(F24,PROGRAMECAT[Category 1],0)),IF(AK24=0,"","000001")))</f>
        <v/>
      </c>
      <c r="BE24" s="1180" t="str" cm="1">
        <f t="array" ref="BE24">IFERROR(IF(F24="RCx - Study","",_xlfn.SINGLE(IF((P24*R24)-(X24*Z24)&lt;=0,MEASURESAV,IF(M02S02F35="",MEASURERATE,IF(AND(OR(F24="Others (Incremental)",F24="Others"),M05S07F03=""),MEASURESUBMIT, IF(AND(OR(ISNUMBER(SEARCH({"Custom","New Construction"},C24))),BC24&lt;1),MEASUREPAY,IF(AV24&lt;1,MEASURECB,""))))))),MEASURESUBMIT)</f>
        <v>Submit for Review</v>
      </c>
      <c r="BF24" s="1190" t="str">
        <f t="shared" ref="BF24" si="47">IF(OR(C24="",F24="",L24="",P24="",R24="",T24="",X24="",Z24="",AB24="",AD24="",AF24=""),"",IF(AB24="Incremental",AH24,""))</f>
        <v/>
      </c>
      <c r="BG24" s="1190"/>
      <c r="BH24" s="995" t="str">
        <f ca="1">IF(OR(C24="",F24="",F24="",L24="",P24="",R24="",T24="",X24="",Z24="",AB24="",AD24="",AF24=""),"",IF('M01-S01'!$V$82&lt;TODAY(),0,IF(M02S02F46="Gas Only",0,IF(C24="New Construction",0,IF(OR(AK24="",AK24&lt;0,AH24&lt;=AN24),0,MIN(AH24-AN24,ROUND(AN24*0.2,2)))))))</f>
        <v/>
      </c>
      <c r="BI24" s="1058"/>
    </row>
    <row r="25" spans="2:61" ht="15.95" customHeight="1">
      <c r="B25" s="829"/>
      <c r="C25" s="1088"/>
      <c r="D25" s="1088"/>
      <c r="E25" s="1088"/>
      <c r="F25" s="1088"/>
      <c r="G25" s="1088"/>
      <c r="H25" s="1088"/>
      <c r="I25" s="1088"/>
      <c r="J25" s="1088"/>
      <c r="K25" s="1088"/>
      <c r="L25" s="1182"/>
      <c r="M25" s="1171"/>
      <c r="N25" s="1171"/>
      <c r="O25" s="1172"/>
      <c r="P25" s="963"/>
      <c r="Q25" s="964"/>
      <c r="R25" s="1175"/>
      <c r="S25" s="1176"/>
      <c r="T25" s="1170"/>
      <c r="U25" s="1171"/>
      <c r="V25" s="1171"/>
      <c r="W25" s="1172"/>
      <c r="X25" s="1166"/>
      <c r="Y25" s="1166"/>
      <c r="Z25" s="1162"/>
      <c r="AA25" s="1162"/>
      <c r="AB25" s="1166"/>
      <c r="AC25" s="1166"/>
      <c r="AD25" s="870"/>
      <c r="AE25" s="1092"/>
      <c r="AF25" s="856"/>
      <c r="AG25" s="1164"/>
      <c r="AH25" s="1130"/>
      <c r="AI25" s="1131"/>
      <c r="AJ25" s="1131"/>
      <c r="AK25" s="906"/>
      <c r="AL25" s="907"/>
      <c r="AM25" s="936"/>
      <c r="AN25" s="1133"/>
      <c r="AO25" s="1133"/>
      <c r="AP25" s="1133"/>
      <c r="AQ25" s="1133"/>
      <c r="AR25" s="59"/>
      <c r="AU25" s="1102"/>
      <c r="AV25" s="1102"/>
      <c r="AW25" s="1186"/>
      <c r="AX25" s="1069"/>
      <c r="AY25" s="1098"/>
      <c r="AZ25" s="1098"/>
      <c r="BA25" s="1098"/>
      <c r="BB25" s="1098"/>
      <c r="BC25" s="1098"/>
      <c r="BD25" s="1184"/>
      <c r="BE25" s="1098"/>
      <c r="BF25" s="1184"/>
      <c r="BG25" s="1184"/>
      <c r="BH25" s="996"/>
      <c r="BI25" s="996"/>
    </row>
    <row r="26" spans="2:61" ht="15.95" customHeight="1">
      <c r="B26" s="829">
        <v>6</v>
      </c>
      <c r="C26" s="1087"/>
      <c r="D26" s="1087"/>
      <c r="E26" s="1087"/>
      <c r="F26" s="1087"/>
      <c r="G26" s="1087"/>
      <c r="H26" s="1087"/>
      <c r="I26" s="1087"/>
      <c r="J26" s="1087"/>
      <c r="K26" s="1087"/>
      <c r="L26" s="1181" t="str">
        <f t="shared" ref="L26" si="48">IFERROR(IF(F26="RCx - Study","No Study",""),"")</f>
        <v/>
      </c>
      <c r="M26" s="1168"/>
      <c r="N26" s="1168"/>
      <c r="O26" s="1169"/>
      <c r="P26" s="961" t="str">
        <f t="shared" ref="P26" si="49">IFERROR(IF(F26="RCx - Study",1,""),"")</f>
        <v/>
      </c>
      <c r="Q26" s="962"/>
      <c r="R26" s="1173" t="str">
        <f t="shared" ref="R26" si="50">IFERROR(IF(F26="RCx - Study",0,""),"")</f>
        <v/>
      </c>
      <c r="S26" s="1174"/>
      <c r="T26" s="1167" t="str">
        <f t="shared" ref="T26" si="51">IFERROR(IF(F26="RCx - Study","Study Completed",""),"")</f>
        <v/>
      </c>
      <c r="U26" s="1168"/>
      <c r="V26" s="1168"/>
      <c r="W26" s="1169"/>
      <c r="X26" s="1165" t="str">
        <f t="shared" ref="X26" si="52">IFERROR(IF(F26="RCx - Study",1,""),"")</f>
        <v/>
      </c>
      <c r="Y26" s="1165"/>
      <c r="Z26" s="1161" t="str">
        <f t="shared" ref="Z26" si="53">IFERROR(IF(F26="RCx - Study",0,""),"")</f>
        <v/>
      </c>
      <c r="AA26" s="1161"/>
      <c r="AB26" s="1165" t="str">
        <f t="shared" ref="AB26" si="54">IF(C26="New Construction","Incremental","")</f>
        <v/>
      </c>
      <c r="AC26" s="1165"/>
      <c r="AD26" s="869"/>
      <c r="AE26" s="1091"/>
      <c r="AF26" s="887" t="str">
        <f t="shared" ref="AF26" si="55">IF(AB26="Incremental",0,"")</f>
        <v/>
      </c>
      <c r="AG26" s="1163"/>
      <c r="AH26" s="865" t="str">
        <f>IF(OR(C26="",F26="",L26="",P26="",R26="",T26="",X26="",Z26="",AD26="",AF26=""),"",ROUND(AD26+AF26,2))</f>
        <v/>
      </c>
      <c r="AI26" s="1096"/>
      <c r="AJ26" s="1096"/>
      <c r="AK26" s="904" t="str">
        <f t="shared" ref="AK26" si="56">IF(OR(C26="",F26="",F26="",L26="",P26="",R26="",T26="",X26="",Z26="",AB26="",AD26="",AF26=""),"",IF(F26="RCx - Study",0,IF((P26*R26)-(X26*Z26)&lt;=0,0,ROUND((P26*R26)-(X26*Z26),2))))</f>
        <v/>
      </c>
      <c r="AL26" s="905"/>
      <c r="AM26" s="969"/>
      <c r="AN26" s="1132" t="str">
        <f>IF(OR(C26="",F26="",F26="",L26="",P26="",R26="",T26="",X26="",Z26="",AB26="",AD26="",AF26=""),"",IF(BE26&lt;&gt;"",BE26,IF(C26="Custom",AY26,IF(C26="New Construction",AZ26,IF(C26="RCx",BA26)))))</f>
        <v/>
      </c>
      <c r="AO26" s="1132"/>
      <c r="AP26" s="1132"/>
      <c r="AQ26" s="1132"/>
      <c r="AR26" s="59"/>
      <c r="AU26" s="1101" t="str">
        <f>IF(F26="","",INDEX(CUSTNONLIGHTEUNIT,MATCH(F26,PROGRAMECAT[Category 1],0)))</f>
        <v/>
      </c>
      <c r="AV26" s="1101" t="str">
        <f>IF(OR(C26="",F26="",L26="",P26="",R26="",T26="",X26="",Z26="",AB26="",AD26="",AF26=""),"",IF(F26="RCx - Study",1,((1+ELOSS)*((AK26*INDEX(ELECCB[NPV AEC $/kWh],MATCH(BB26,ELECCB[Year Number],1)))+(AX26*INDEX(ELECCB[NPV ACC+T&amp;D $/kW],MATCH(BB26,ELECCB[Year Number],1)))))/AH26))</f>
        <v/>
      </c>
      <c r="AW26" s="1185"/>
      <c r="AX26" s="1068" t="str">
        <f>IF(OR(C26="",F26="",L26="",P26="",R26="",T26="",X26="",Z26="",AB26="",AD26="",AF26=""),"",ROUND(AW26*(INDEX(PROGRAMECAT[Lighting Coincidence Factor],MATCH(F26,PROGRAMECAT[Category 1],0))),3))</f>
        <v/>
      </c>
      <c r="AY26" s="1180" t="str">
        <f>IF(OR(C26="",F26="",F26="",L26="",P26="",R26="",T26="",X26="",Z26="",AB26="",AD26="",AF26=""),"",IF(AB26="Total",ROUND(MIN(AH26*0.75,AK26*INDEX(INCRATE[Electric],MATCH("CMNONLIGHT",INCRATE[Incentive Type]))),2),IF(AB26="Incremental",ROUND(MIN(AH26,AK26*INDEX(INCRATE[Electric],MATCH("CMNONLIGHT",INCRATE[Incentive Type]))),2))))</f>
        <v/>
      </c>
      <c r="AZ26" s="1180" t="str">
        <f>IF(OR(C26="",F26="",F26="",L26="",P26="",R26="",T26="",X26="",Z26="",AB26="",AD26="",AF26=""),"",IF(AB26="Total",ROUND(MIN(AH26*0.75,AK26*INDEX(INCRATE[Electric],MATCH("NCNONLIGHT",INCRATE[Incentive Type]))),2),IF(AB26="Incremental",ROUND(MIN(AH26,AK26*INDEX(INCRATE[Electric],MATCH("NCNONLIGHT",INCRATE[Incentive Type]))),2))))</f>
        <v/>
      </c>
      <c r="BA26" s="1180" t="str">
        <f>IF(OR(C26="",F26="",F26="",L26="",P26="",R26="",T26="",X26="",Z26="",AB26="",AD26="",AF26=""),"",IF(F26="RCx - Study",MIN(AH26,SUM($AK$16:$AM$35)*INDEX(INCRATE[Electric],MATCH("RCxStudy",INCRATE[Incentive Type]))),
IF(AB26="Total",ROUND(MIN(AH26*0.75,AK26*INDEX(INCRATE[Electric],MATCH("RCX",INCRATE[Incentive Type]))),2),IF(AB26="Incremental",ROUND(MIN(AH26,AK26*INDEX(INCRATE[Electric],MATCH("RCX",INCRATE[Incentive Type]))),2)))))</f>
        <v/>
      </c>
      <c r="BB26" s="1180" t="str">
        <f>IF(F26="","",INDEX(PROGRAMECAT[EUL],MATCH(F26,PROGRAMECAT[Category 1],0)))</f>
        <v/>
      </c>
      <c r="BC26" s="1180" t="str">
        <f>IFERROR(IF(F26="RCx - Study",1,AH26/M02S02F35/AK26),"")</f>
        <v/>
      </c>
      <c r="BD26" s="1183" t="str">
        <f>IF(OR(C26="",F26="",L26="",P26="",R26="",T26="",X26="",Z26="",AB26="",AD26="",AF26=""),"",IF(ISNUMBER(AN26),INDEX(PROGRAMECAT[Measure Number],MATCH(F26,PROGRAMECAT[Category 1],0)),IF(AK26=0,"","000001")))</f>
        <v/>
      </c>
      <c r="BE26" s="1180" t="str" cm="1">
        <f t="array" ref="BE26">IFERROR(IF(F26="RCx - Study","",_xlfn.SINGLE(IF((P26*R26)-(X26*Z26)&lt;=0,MEASURESAV,IF(M02S02F35="",MEASURERATE,IF(AND(OR(F26="Others (Incremental)",F26="Others"),M05S07F03=""),MEASURESUBMIT, IF(AND(OR(ISNUMBER(SEARCH({"Custom","New Construction"},C26))),BC26&lt;1),MEASUREPAY,IF(AV26&lt;1,MEASURECB,""))))))),MEASURESUBMIT)</f>
        <v>Submit for Review</v>
      </c>
      <c r="BF26" s="1190" t="str">
        <f t="shared" ref="BF26" si="57">IF(OR(C26="",F26="",L26="",P26="",R26="",T26="",X26="",Z26="",AB26="",AD26="",AF26=""),"",IF(AB26="Incremental",AH26,""))</f>
        <v/>
      </c>
      <c r="BG26" s="1190"/>
      <c r="BH26" s="995" t="str">
        <f ca="1">IF(OR(C26="",F26="",F26="",L26="",P26="",R26="",T26="",X26="",Z26="",AB26="",AD26="",AF26=""),"",IF('M01-S01'!$V$82&lt;TODAY(),0,IF(M02S02F46="Gas Only",0,IF(C26="New Construction",0,IF(OR(AK26="",AK26&lt;0,AH26&lt;=AN26),0,MIN(AH26-AN26,ROUND(AN26*0.2,2)))))))</f>
        <v/>
      </c>
      <c r="BI26" s="1058"/>
    </row>
    <row r="27" spans="2:61" ht="15.95" customHeight="1">
      <c r="B27" s="829"/>
      <c r="C27" s="1088"/>
      <c r="D27" s="1088"/>
      <c r="E27" s="1088"/>
      <c r="F27" s="1088"/>
      <c r="G27" s="1088"/>
      <c r="H27" s="1088"/>
      <c r="I27" s="1088"/>
      <c r="J27" s="1088"/>
      <c r="K27" s="1088"/>
      <c r="L27" s="1182"/>
      <c r="M27" s="1171"/>
      <c r="N27" s="1171"/>
      <c r="O27" s="1172"/>
      <c r="P27" s="963"/>
      <c r="Q27" s="964"/>
      <c r="R27" s="1175"/>
      <c r="S27" s="1176"/>
      <c r="T27" s="1170"/>
      <c r="U27" s="1171"/>
      <c r="V27" s="1171"/>
      <c r="W27" s="1172"/>
      <c r="X27" s="1166"/>
      <c r="Y27" s="1166"/>
      <c r="Z27" s="1162"/>
      <c r="AA27" s="1162"/>
      <c r="AB27" s="1166"/>
      <c r="AC27" s="1166"/>
      <c r="AD27" s="870"/>
      <c r="AE27" s="1092"/>
      <c r="AF27" s="856"/>
      <c r="AG27" s="1164"/>
      <c r="AH27" s="1130"/>
      <c r="AI27" s="1131"/>
      <c r="AJ27" s="1131"/>
      <c r="AK27" s="906"/>
      <c r="AL27" s="907"/>
      <c r="AM27" s="936"/>
      <c r="AN27" s="1133"/>
      <c r="AO27" s="1133"/>
      <c r="AP27" s="1133"/>
      <c r="AQ27" s="1133"/>
      <c r="AR27" s="59"/>
      <c r="AU27" s="1102"/>
      <c r="AV27" s="1102"/>
      <c r="AW27" s="1186"/>
      <c r="AX27" s="1069"/>
      <c r="AY27" s="1098"/>
      <c r="AZ27" s="1098"/>
      <c r="BA27" s="1098"/>
      <c r="BB27" s="1098"/>
      <c r="BC27" s="1098"/>
      <c r="BD27" s="1184"/>
      <c r="BE27" s="1098"/>
      <c r="BF27" s="1184"/>
      <c r="BG27" s="1184"/>
      <c r="BH27" s="996"/>
      <c r="BI27" s="996"/>
    </row>
    <row r="28" spans="2:61" ht="15.95" customHeight="1">
      <c r="B28" s="829">
        <v>7</v>
      </c>
      <c r="C28" s="1087"/>
      <c r="D28" s="1087"/>
      <c r="E28" s="1087"/>
      <c r="F28" s="1087"/>
      <c r="G28" s="1087"/>
      <c r="H28" s="1087"/>
      <c r="I28" s="1087"/>
      <c r="J28" s="1087"/>
      <c r="K28" s="1087"/>
      <c r="L28" s="1181" t="str">
        <f t="shared" ref="L28" si="58">IFERROR(IF(F28="RCx - Study","No Study",""),"")</f>
        <v/>
      </c>
      <c r="M28" s="1168"/>
      <c r="N28" s="1168"/>
      <c r="O28" s="1169"/>
      <c r="P28" s="961" t="str">
        <f t="shared" ref="P28" si="59">IFERROR(IF(F28="RCx - Study",1,""),"")</f>
        <v/>
      </c>
      <c r="Q28" s="962"/>
      <c r="R28" s="1173" t="str">
        <f t="shared" ref="R28" si="60">IFERROR(IF(F28="RCx - Study",0,""),"")</f>
        <v/>
      </c>
      <c r="S28" s="1174"/>
      <c r="T28" s="1167" t="str">
        <f t="shared" ref="T28" si="61">IFERROR(IF(F28="RCx - Study","Study Completed",""),"")</f>
        <v/>
      </c>
      <c r="U28" s="1168"/>
      <c r="V28" s="1168"/>
      <c r="W28" s="1169"/>
      <c r="X28" s="1165" t="str">
        <f t="shared" ref="X28" si="62">IFERROR(IF(F28="RCx - Study",1,""),"")</f>
        <v/>
      </c>
      <c r="Y28" s="1165"/>
      <c r="Z28" s="1161" t="str">
        <f t="shared" ref="Z28" si="63">IFERROR(IF(F28="RCx - Study",0,""),"")</f>
        <v/>
      </c>
      <c r="AA28" s="1161"/>
      <c r="AB28" s="1165" t="str">
        <f t="shared" ref="AB28" si="64">IF(C28="New Construction","Incremental","")</f>
        <v/>
      </c>
      <c r="AC28" s="1165"/>
      <c r="AD28" s="869"/>
      <c r="AE28" s="1091"/>
      <c r="AF28" s="887" t="str">
        <f t="shared" ref="AF28" si="65">IF(AB28="Incremental",0,"")</f>
        <v/>
      </c>
      <c r="AG28" s="1163"/>
      <c r="AH28" s="865" t="str">
        <f>IF(OR(C28="",F28="",L28="",P28="",R28="",T28="",X28="",Z28="",AD28="",AF28=""),"",ROUND(AD28+AF28,2))</f>
        <v/>
      </c>
      <c r="AI28" s="1096"/>
      <c r="AJ28" s="1096"/>
      <c r="AK28" s="904" t="str">
        <f t="shared" ref="AK28" si="66">IF(OR(C28="",F28="",F28="",L28="",P28="",R28="",T28="",X28="",Z28="",AB28="",AD28="",AF28=""),"",IF(F28="RCx - Study",0,IF((P28*R28)-(X28*Z28)&lt;=0,0,ROUND((P28*R28)-(X28*Z28),2))))</f>
        <v/>
      </c>
      <c r="AL28" s="905"/>
      <c r="AM28" s="969"/>
      <c r="AN28" s="1132" t="str">
        <f>IF(OR(C28="",F28="",F28="",L28="",P28="",R28="",T28="",X28="",Z28="",AB28="",AD28="",AF28=""),"",IF(BE28&lt;&gt;"",BE28,IF(C28="Custom",AY28,IF(C28="New Construction",AZ28,IF(C28="RCx",BA28)))))</f>
        <v/>
      </c>
      <c r="AO28" s="1132"/>
      <c r="AP28" s="1132"/>
      <c r="AQ28" s="1132"/>
      <c r="AR28" s="59"/>
      <c r="AU28" s="1101" t="str">
        <f>IF(F28="","",INDEX(CUSTNONLIGHTEUNIT,MATCH(F28,PROGRAMECAT[Category 1],0)))</f>
        <v/>
      </c>
      <c r="AV28" s="1101" t="str">
        <f>IF(OR(C28="",F28="",L28="",P28="",R28="",T28="",X28="",Z28="",AB28="",AD28="",AF28=""),"",IF(F28="RCx - Study",1,((1+ELOSS)*((AK28*INDEX(ELECCB[NPV AEC $/kWh],MATCH(BB28,ELECCB[Year Number],1)))+(AX28*INDEX(ELECCB[NPV ACC+T&amp;D $/kW],MATCH(BB28,ELECCB[Year Number],1)))))/AH28))</f>
        <v/>
      </c>
      <c r="AW28" s="1185"/>
      <c r="AX28" s="1068" t="str">
        <f>IF(OR(C28="",F28="",L28="",P28="",R28="",T28="",X28="",Z28="",AB28="",AD28="",AF28=""),"",ROUND(AW28*(INDEX(PROGRAMECAT[Lighting Coincidence Factor],MATCH(F28,PROGRAMECAT[Category 1],0))),3))</f>
        <v/>
      </c>
      <c r="AY28" s="1180" t="str">
        <f>IF(OR(C28="",F28="",F28="",L28="",P28="",R28="",T28="",X28="",Z28="",AB28="",AD28="",AF28=""),"",IF(AB28="Total",ROUND(MIN(AH28*0.75,AK28*INDEX(INCRATE[Electric],MATCH("CMNONLIGHT",INCRATE[Incentive Type]))),2),IF(AB28="Incremental",ROUND(MIN(AH28,AK28*INDEX(INCRATE[Electric],MATCH("CMNONLIGHT",INCRATE[Incentive Type]))),2))))</f>
        <v/>
      </c>
      <c r="AZ28" s="1180" t="str">
        <f>IF(OR(C28="",F28="",F28="",L28="",P28="",R28="",T28="",X28="",Z28="",AB28="",AD28="",AF28=""),"",IF(AB28="Total",ROUND(MIN(AH28*0.75,AK28*INDEX(INCRATE[Electric],MATCH("NCNONLIGHT",INCRATE[Incentive Type]))),2),IF(AB28="Incremental",ROUND(MIN(AH28,AK28*INDEX(INCRATE[Electric],MATCH("NCNONLIGHT",INCRATE[Incentive Type]))),2))))</f>
        <v/>
      </c>
      <c r="BA28" s="1180" t="str">
        <f>IF(OR(C28="",F28="",F28="",L28="",P28="",R28="",T28="",X28="",Z28="",AB28="",AD28="",AF28=""),"",IF(F28="RCx - Study",MIN(AH28,SUM($AK$16:$AM$35)*INDEX(INCRATE[Electric],MATCH("RCxStudy",INCRATE[Incentive Type]))),
IF(AB28="Total",ROUND(MIN(AH28*0.75,AK28*INDEX(INCRATE[Electric],MATCH("RCX",INCRATE[Incentive Type]))),2),IF(AB28="Incremental",ROUND(MIN(AH28,AK28*INDEX(INCRATE[Electric],MATCH("RCX",INCRATE[Incentive Type]))),2)))))</f>
        <v/>
      </c>
      <c r="BB28" s="1180" t="str">
        <f>IF(F28="","",INDEX(PROGRAMECAT[EUL],MATCH(F28,PROGRAMECAT[Category 1],0)))</f>
        <v/>
      </c>
      <c r="BC28" s="1180" t="str">
        <f>IFERROR(IF(F28="RCx - Study",1,AH28/M02S02F35/AK28),"")</f>
        <v/>
      </c>
      <c r="BD28" s="1183" t="str">
        <f>IF(OR(C28="",F28="",L28="",P28="",R28="",T28="",X28="",Z28="",AB28="",AD28="",AF28=""),"",IF(ISNUMBER(AN28),INDEX(PROGRAMECAT[Measure Number],MATCH(F28,PROGRAMECAT[Category 1],0)),IF(AK28=0,"","000001")))</f>
        <v/>
      </c>
      <c r="BE28" s="1180" t="str" cm="1">
        <f t="array" ref="BE28">IFERROR(IF(F28="RCx - Study","",_xlfn.SINGLE(IF((P28*R28)-(X28*Z28)&lt;=0,MEASURESAV,IF(M02S02F35="",MEASURERATE,IF(AND(OR(F28="Others (Incremental)",F28="Others"),M05S07F03=""),MEASURESUBMIT, IF(AND(OR(ISNUMBER(SEARCH({"Custom","New Construction"},C28))),BC28&lt;1),MEASUREPAY,IF(AV28&lt;1,MEASURECB,""))))))),MEASURESUBMIT)</f>
        <v>Submit for Review</v>
      </c>
      <c r="BF28" s="1190" t="str">
        <f t="shared" ref="BF28" si="67">IF(OR(C28="",F28="",L28="",P28="",R28="",T28="",X28="",Z28="",AB28="",AD28="",AF28=""),"",IF(AB28="Incremental",AH28,""))</f>
        <v/>
      </c>
      <c r="BG28" s="1190"/>
      <c r="BH28" s="995" t="str">
        <f ca="1">IF(OR(C28="",F28="",F28="",L28="",P28="",R28="",T28="",X28="",Z28="",AB28="",AD28="",AF28=""),"",IF('M01-S01'!$V$82&lt;TODAY(),0,IF(M02S02F46="Gas Only",0,IF(C28="New Construction",0,IF(OR(AK28="",AK28&lt;0,AH28&lt;=AN28),0,MIN(AH28-AN28,ROUND(AN28*0.2,2)))))))</f>
        <v/>
      </c>
      <c r="BI28" s="1058"/>
    </row>
    <row r="29" spans="2:61" ht="15.95" customHeight="1">
      <c r="B29" s="829"/>
      <c r="C29" s="1088"/>
      <c r="D29" s="1088"/>
      <c r="E29" s="1088"/>
      <c r="F29" s="1088"/>
      <c r="G29" s="1088"/>
      <c r="H29" s="1088"/>
      <c r="I29" s="1088"/>
      <c r="J29" s="1088"/>
      <c r="K29" s="1088"/>
      <c r="L29" s="1182"/>
      <c r="M29" s="1171"/>
      <c r="N29" s="1171"/>
      <c r="O29" s="1172"/>
      <c r="P29" s="963"/>
      <c r="Q29" s="964"/>
      <c r="R29" s="1175"/>
      <c r="S29" s="1176"/>
      <c r="T29" s="1170"/>
      <c r="U29" s="1171"/>
      <c r="V29" s="1171"/>
      <c r="W29" s="1172"/>
      <c r="X29" s="1166"/>
      <c r="Y29" s="1166"/>
      <c r="Z29" s="1162"/>
      <c r="AA29" s="1162"/>
      <c r="AB29" s="1166"/>
      <c r="AC29" s="1166"/>
      <c r="AD29" s="870"/>
      <c r="AE29" s="1092"/>
      <c r="AF29" s="856"/>
      <c r="AG29" s="1164"/>
      <c r="AH29" s="1130"/>
      <c r="AI29" s="1131"/>
      <c r="AJ29" s="1131"/>
      <c r="AK29" s="906"/>
      <c r="AL29" s="907"/>
      <c r="AM29" s="936"/>
      <c r="AN29" s="1133"/>
      <c r="AO29" s="1133"/>
      <c r="AP29" s="1133"/>
      <c r="AQ29" s="1133"/>
      <c r="AR29" s="59"/>
      <c r="AU29" s="1102"/>
      <c r="AV29" s="1102"/>
      <c r="AW29" s="1186"/>
      <c r="AX29" s="1069"/>
      <c r="AY29" s="1098"/>
      <c r="AZ29" s="1098"/>
      <c r="BA29" s="1098"/>
      <c r="BB29" s="1098"/>
      <c r="BC29" s="1098"/>
      <c r="BD29" s="1184"/>
      <c r="BE29" s="1098"/>
      <c r="BF29" s="1184"/>
      <c r="BG29" s="1184"/>
      <c r="BH29" s="996"/>
      <c r="BI29" s="996"/>
    </row>
    <row r="30" spans="2:61" ht="15.95" customHeight="1">
      <c r="B30" s="829">
        <v>8</v>
      </c>
      <c r="C30" s="1087"/>
      <c r="D30" s="1087"/>
      <c r="E30" s="1087"/>
      <c r="F30" s="1087"/>
      <c r="G30" s="1087"/>
      <c r="H30" s="1087"/>
      <c r="I30" s="1087"/>
      <c r="J30" s="1087"/>
      <c r="K30" s="1087"/>
      <c r="L30" s="1181" t="str">
        <f t="shared" ref="L30" si="68">IFERROR(IF(F30="RCx - Study","No Study",""),"")</f>
        <v/>
      </c>
      <c r="M30" s="1168"/>
      <c r="N30" s="1168"/>
      <c r="O30" s="1169"/>
      <c r="P30" s="961" t="str">
        <f t="shared" ref="P30" si="69">IFERROR(IF(F30="RCx - Study",1,""),"")</f>
        <v/>
      </c>
      <c r="Q30" s="962"/>
      <c r="R30" s="1173" t="str">
        <f t="shared" ref="R30" si="70">IFERROR(IF(F30="RCx - Study",0,""),"")</f>
        <v/>
      </c>
      <c r="S30" s="1174"/>
      <c r="T30" s="1167" t="str">
        <f t="shared" ref="T30" si="71">IFERROR(IF(F30="RCx - Study","Study Completed",""),"")</f>
        <v/>
      </c>
      <c r="U30" s="1168"/>
      <c r="V30" s="1168"/>
      <c r="W30" s="1169"/>
      <c r="X30" s="1165" t="str">
        <f t="shared" ref="X30" si="72">IFERROR(IF(F30="RCx - Study",1,""),"")</f>
        <v/>
      </c>
      <c r="Y30" s="1165"/>
      <c r="Z30" s="1161" t="str">
        <f t="shared" ref="Z30" si="73">IFERROR(IF(F30="RCx - Study",0,""),"")</f>
        <v/>
      </c>
      <c r="AA30" s="1161"/>
      <c r="AB30" s="1165" t="str">
        <f t="shared" ref="AB30" si="74">IF(C30="New Construction","Incremental","")</f>
        <v/>
      </c>
      <c r="AC30" s="1165"/>
      <c r="AD30" s="869"/>
      <c r="AE30" s="1091"/>
      <c r="AF30" s="887" t="str">
        <f t="shared" ref="AF30" si="75">IF(AB30="Incremental",0,"")</f>
        <v/>
      </c>
      <c r="AG30" s="1163"/>
      <c r="AH30" s="865" t="str">
        <f>IF(OR(C30="",F30="",L30="",P30="",R30="",T30="",X30="",Z30="",AD30="",AF30=""),"",ROUND(AD30+AF30,2))</f>
        <v/>
      </c>
      <c r="AI30" s="1096"/>
      <c r="AJ30" s="1096"/>
      <c r="AK30" s="904" t="str">
        <f t="shared" ref="AK30" si="76">IF(OR(C30="",F30="",F30="",L30="",P30="",R30="",T30="",X30="",Z30="",AB30="",AD30="",AF30=""),"",IF(F30="RCx - Study",0,IF((P30*R30)-(X30*Z30)&lt;=0,0,ROUND((P30*R30)-(X30*Z30),2))))</f>
        <v/>
      </c>
      <c r="AL30" s="905"/>
      <c r="AM30" s="969"/>
      <c r="AN30" s="1132" t="str">
        <f>IF(OR(C30="",F30="",F30="",L30="",P30="",R30="",T30="",X30="",Z30="",AB30="",AD30="",AF30=""),"",IF(BE30&lt;&gt;"",BE30,IF(C30="Custom",AY30,IF(C30="New Construction",AZ30,IF(C30="RCx",BA30)))))</f>
        <v/>
      </c>
      <c r="AO30" s="1132"/>
      <c r="AP30" s="1132"/>
      <c r="AQ30" s="1132"/>
      <c r="AR30" s="59"/>
      <c r="AU30" s="1101" t="str">
        <f>IF(F30="","",INDEX(CUSTNONLIGHTEUNIT,MATCH(F30,PROGRAMECAT[Category 1],0)))</f>
        <v/>
      </c>
      <c r="AV30" s="1101" t="str">
        <f>IF(OR(C30="",F30="",L30="",P30="",R30="",T30="",X30="",Z30="",AB30="",AD30="",AF30=""),"",IF(F30="RCx - Study",1,((1+ELOSS)*((AK30*INDEX(ELECCB[NPV AEC $/kWh],MATCH(BB30,ELECCB[Year Number],1)))+(AX30*INDEX(ELECCB[NPV ACC+T&amp;D $/kW],MATCH(BB30,ELECCB[Year Number],1)))))/AH30))</f>
        <v/>
      </c>
      <c r="AW30" s="1185"/>
      <c r="AX30" s="1068" t="str">
        <f>IF(OR(C30="",F30="",L30="",P30="",R30="",T30="",X30="",Z30="",AB30="",AD30="",AF30=""),"",ROUND(AW30*(INDEX(PROGRAMECAT[Lighting Coincidence Factor],MATCH(F30,PROGRAMECAT[Category 1],0))),3))</f>
        <v/>
      </c>
      <c r="AY30" s="1180" t="str">
        <f>IF(OR(C30="",F30="",F30="",L30="",P30="",R30="",T30="",X30="",Z30="",AB30="",AD30="",AF30=""),"",IF(AB30="Total",ROUND(MIN(AH30*0.75,AK30*INDEX(INCRATE[Electric],MATCH("CMNONLIGHT",INCRATE[Incentive Type]))),2),IF(AB30="Incremental",ROUND(MIN(AH30,AK30*INDEX(INCRATE[Electric],MATCH("CMNONLIGHT",INCRATE[Incentive Type]))),2))))</f>
        <v/>
      </c>
      <c r="AZ30" s="1180" t="str">
        <f>IF(OR(C30="",F30="",F30="",L30="",P30="",R30="",T30="",X30="",Z30="",AB30="",AD30="",AF30=""),"",IF(AB30="Total",ROUND(MIN(AH30*0.75,AK30*INDEX(INCRATE[Electric],MATCH("NCNONLIGHT",INCRATE[Incentive Type]))),2),IF(AB30="Incremental",ROUND(MIN(AH30,AK30*INDEX(INCRATE[Electric],MATCH("NCNONLIGHT",INCRATE[Incentive Type]))),2))))</f>
        <v/>
      </c>
      <c r="BA30" s="1180" t="str">
        <f>IF(OR(C30="",F30="",F30="",L30="",P30="",R30="",T30="",X30="",Z30="",AB30="",AD30="",AF30=""),"",IF(F30="RCx - Study",MIN(AH30,SUM($AK$16:$AM$35)*INDEX(INCRATE[Electric],MATCH("RCxStudy",INCRATE[Incentive Type]))),
IF(AB30="Total",ROUND(MIN(AH30*0.75,AK30*INDEX(INCRATE[Electric],MATCH("RCX",INCRATE[Incentive Type]))),2),IF(AB30="Incremental",ROUND(MIN(AH30,AK30*INDEX(INCRATE[Electric],MATCH("RCX",INCRATE[Incentive Type]))),2)))))</f>
        <v/>
      </c>
      <c r="BB30" s="1180" t="str">
        <f>IF(F30="","",INDEX(PROGRAMECAT[EUL],MATCH(F30,PROGRAMECAT[Category 1],0)))</f>
        <v/>
      </c>
      <c r="BC30" s="1180" t="str">
        <f>IFERROR(IF(F30="RCx - Study",1,AH30/M02S02F35/AK30),"")</f>
        <v/>
      </c>
      <c r="BD30" s="1183" t="str">
        <f>IF(OR(C30="",F30="",L30="",P30="",R30="",T30="",X30="",Z30="",AB30="",AD30="",AF30=""),"",IF(ISNUMBER(AN30),INDEX(PROGRAMECAT[Measure Number],MATCH(F30,PROGRAMECAT[Category 1],0)),IF(AK30=0,"","000001")))</f>
        <v/>
      </c>
      <c r="BE30" s="1180" t="str" cm="1">
        <f t="array" ref="BE30">IFERROR(IF(F30="RCx - Study","",_xlfn.SINGLE(IF((P30*R30)-(X30*Z30)&lt;=0,MEASURESAV,IF(M02S02F35="",MEASURERATE,IF(AND(OR(F30="Others (Incremental)",F30="Others"),M05S07F03=""),MEASURESUBMIT, IF(AND(OR(ISNUMBER(SEARCH({"Custom","New Construction"},C30))),BC30&lt;1),MEASUREPAY,IF(AV30&lt;1,MEASURECB,""))))))),MEASURESUBMIT)</f>
        <v>Submit for Review</v>
      </c>
      <c r="BF30" s="1190" t="str">
        <f t="shared" ref="BF30" si="77">IF(OR(C30="",F30="",L30="",P30="",R30="",T30="",X30="",Z30="",AB30="",AD30="",AF30=""),"",IF(AB30="Incremental",AH30,""))</f>
        <v/>
      </c>
      <c r="BG30" s="1190"/>
      <c r="BH30" s="995" t="str">
        <f ca="1">IF(OR(C30="",F30="",F30="",L30="",P30="",R30="",T30="",X30="",Z30="",AB30="",AD30="",AF30=""),"",IF('M01-S01'!$V$82&lt;TODAY(),0,IF(M02S02F46="Gas Only",0,IF(C30="New Construction",0,IF(OR(AK30="",AK30&lt;0,AH30&lt;=AN30),0,MIN(AH30-AN30,ROUND(AN30*0.2,2)))))))</f>
        <v/>
      </c>
      <c r="BI30" s="1058"/>
    </row>
    <row r="31" spans="2:61" ht="15.95" customHeight="1">
      <c r="B31" s="829"/>
      <c r="C31" s="1088"/>
      <c r="D31" s="1088"/>
      <c r="E31" s="1088"/>
      <c r="F31" s="1088"/>
      <c r="G31" s="1088"/>
      <c r="H31" s="1088"/>
      <c r="I31" s="1088"/>
      <c r="J31" s="1088"/>
      <c r="K31" s="1088"/>
      <c r="L31" s="1182"/>
      <c r="M31" s="1171"/>
      <c r="N31" s="1171"/>
      <c r="O31" s="1172"/>
      <c r="P31" s="963"/>
      <c r="Q31" s="964"/>
      <c r="R31" s="1175"/>
      <c r="S31" s="1176"/>
      <c r="T31" s="1170"/>
      <c r="U31" s="1171"/>
      <c r="V31" s="1171"/>
      <c r="W31" s="1172"/>
      <c r="X31" s="1166"/>
      <c r="Y31" s="1166"/>
      <c r="Z31" s="1162"/>
      <c r="AA31" s="1162"/>
      <c r="AB31" s="1166"/>
      <c r="AC31" s="1166"/>
      <c r="AD31" s="870"/>
      <c r="AE31" s="1092"/>
      <c r="AF31" s="856"/>
      <c r="AG31" s="1164"/>
      <c r="AH31" s="1130"/>
      <c r="AI31" s="1131"/>
      <c r="AJ31" s="1131"/>
      <c r="AK31" s="906"/>
      <c r="AL31" s="907"/>
      <c r="AM31" s="936"/>
      <c r="AN31" s="1133"/>
      <c r="AO31" s="1133"/>
      <c r="AP31" s="1133"/>
      <c r="AQ31" s="1133"/>
      <c r="AR31" s="59"/>
      <c r="AU31" s="1102"/>
      <c r="AV31" s="1102"/>
      <c r="AW31" s="1186"/>
      <c r="AX31" s="1069"/>
      <c r="AY31" s="1098"/>
      <c r="AZ31" s="1098"/>
      <c r="BA31" s="1098"/>
      <c r="BB31" s="1098"/>
      <c r="BC31" s="1098"/>
      <c r="BD31" s="1184"/>
      <c r="BE31" s="1098"/>
      <c r="BF31" s="1184"/>
      <c r="BG31" s="1184"/>
      <c r="BH31" s="996"/>
      <c r="BI31" s="996"/>
    </row>
    <row r="32" spans="2:61" ht="15.95" customHeight="1">
      <c r="B32" s="829">
        <v>9</v>
      </c>
      <c r="C32" s="1087"/>
      <c r="D32" s="1087"/>
      <c r="E32" s="1087"/>
      <c r="F32" s="1087"/>
      <c r="G32" s="1087"/>
      <c r="H32" s="1087"/>
      <c r="I32" s="1087"/>
      <c r="J32" s="1087"/>
      <c r="K32" s="1087"/>
      <c r="L32" s="1181" t="str">
        <f t="shared" ref="L32" si="78">IFERROR(IF(F32="RCx - Study","No Study",""),"")</f>
        <v/>
      </c>
      <c r="M32" s="1168"/>
      <c r="N32" s="1168"/>
      <c r="O32" s="1169"/>
      <c r="P32" s="961" t="str">
        <f t="shared" ref="P32" si="79">IFERROR(IF(F32="RCx - Study",1,""),"")</f>
        <v/>
      </c>
      <c r="Q32" s="962"/>
      <c r="R32" s="1173" t="str">
        <f t="shared" ref="R32" si="80">IFERROR(IF(F32="RCx - Study",0,""),"")</f>
        <v/>
      </c>
      <c r="S32" s="1174"/>
      <c r="T32" s="1167" t="str">
        <f t="shared" ref="T32" si="81">IFERROR(IF(F32="RCx - Study","Study Completed",""),"")</f>
        <v/>
      </c>
      <c r="U32" s="1168"/>
      <c r="V32" s="1168"/>
      <c r="W32" s="1169"/>
      <c r="X32" s="1165" t="str">
        <f t="shared" ref="X32" si="82">IFERROR(IF(F32="RCx - Study",1,""),"")</f>
        <v/>
      </c>
      <c r="Y32" s="1165"/>
      <c r="Z32" s="1161" t="str">
        <f t="shared" ref="Z32" si="83">IFERROR(IF(F32="RCx - Study",0,""),"")</f>
        <v/>
      </c>
      <c r="AA32" s="1161"/>
      <c r="AB32" s="1165" t="str">
        <f t="shared" ref="AB32" si="84">IF(C32="New Construction","Incremental","")</f>
        <v/>
      </c>
      <c r="AC32" s="1165"/>
      <c r="AD32" s="869"/>
      <c r="AE32" s="1091"/>
      <c r="AF32" s="887" t="str">
        <f t="shared" ref="AF32" si="85">IF(AB32="Incremental",0,"")</f>
        <v/>
      </c>
      <c r="AG32" s="1163"/>
      <c r="AH32" s="865" t="str">
        <f>IF(OR(C32="",F32="",L32="",P32="",R32="",T32="",X32="",Z32="",AD32="",AF32=""),"",ROUND(AD32+AF32,2))</f>
        <v/>
      </c>
      <c r="AI32" s="1096"/>
      <c r="AJ32" s="1096"/>
      <c r="AK32" s="904" t="str">
        <f t="shared" ref="AK32" si="86">IF(OR(C32="",F32="",F32="",L32="",P32="",R32="",T32="",X32="",Z32="",AB32="",AD32="",AF32=""),"",IF(F32="RCx - Study",0,IF((P32*R32)-(X32*Z32)&lt;=0,0,ROUND((P32*R32)-(X32*Z32),2))))</f>
        <v/>
      </c>
      <c r="AL32" s="905"/>
      <c r="AM32" s="969"/>
      <c r="AN32" s="1132" t="str">
        <f>IF(OR(C32="",F32="",F32="",L32="",P32="",R32="",T32="",X32="",Z32="",AB32="",AD32="",AF32=""),"",IF(BE32&lt;&gt;"",BE32,IF(C32="Custom",AY32,IF(C32="New Construction",AZ32,IF(C32="RCx",BA32)))))</f>
        <v/>
      </c>
      <c r="AO32" s="1132"/>
      <c r="AP32" s="1132"/>
      <c r="AQ32" s="1132"/>
      <c r="AR32" s="59"/>
      <c r="AU32" s="1101" t="str">
        <f>IF(F32="","",INDEX(CUSTNONLIGHTEUNIT,MATCH(F32,PROGRAMECAT[Category 1],0)))</f>
        <v/>
      </c>
      <c r="AV32" s="1101" t="str">
        <f>IF(OR(C32="",F32="",L32="",P32="",R32="",T32="",X32="",Z32="",AB32="",AD32="",AF32=""),"",IF(F32="RCx - Study",1,((1+ELOSS)*((AK32*INDEX(ELECCB[NPV AEC $/kWh],MATCH(BB32,ELECCB[Year Number],1)))+(AX32*INDEX(ELECCB[NPV ACC+T&amp;D $/kW],MATCH(BB32,ELECCB[Year Number],1)))))/AH32))</f>
        <v/>
      </c>
      <c r="AW32" s="1185"/>
      <c r="AX32" s="1068" t="str">
        <f>IF(OR(C32="",F32="",L32="",P32="",R32="",T32="",X32="",Z32="",AB32="",AD32="",AF32=""),"",ROUND(AW32*(INDEX(PROGRAMECAT[Lighting Coincidence Factor],MATCH(F32,PROGRAMECAT[Category 1],0))),3))</f>
        <v/>
      </c>
      <c r="AY32" s="1180" t="str">
        <f>IF(OR(C32="",F32="",F32="",L32="",P32="",R32="",T32="",X32="",Z32="",AB32="",AD32="",AF32=""),"",IF(AB32="Total",ROUND(MIN(AH32*0.75,AK32*INDEX(INCRATE[Electric],MATCH("CMNONLIGHT",INCRATE[Incentive Type]))),2),IF(AB32="Incremental",ROUND(MIN(AH32,AK32*INDEX(INCRATE[Electric],MATCH("CMNONLIGHT",INCRATE[Incentive Type]))),2))))</f>
        <v/>
      </c>
      <c r="AZ32" s="1180" t="str">
        <f>IF(OR(C32="",F32="",F32="",L32="",P32="",R32="",T32="",X32="",Z32="",AB32="",AD32="",AF32=""),"",IF(AB32="Total",ROUND(MIN(AH32*0.75,AK32*INDEX(INCRATE[Electric],MATCH("NCNONLIGHT",INCRATE[Incentive Type]))),2),IF(AB32="Incremental",ROUND(MIN(AH32,AK32*INDEX(INCRATE[Electric],MATCH("NCNONLIGHT",INCRATE[Incentive Type]))),2))))</f>
        <v/>
      </c>
      <c r="BA32" s="1180" t="str">
        <f>IF(OR(C32="",F32="",F32="",L32="",P32="",R32="",T32="",X32="",Z32="",AB32="",AD32="",AF32=""),"",IF(F32="RCx - Study",MIN(AH32,SUM($AK$16:$AM$35)*INDEX(INCRATE[Electric],MATCH("RCxStudy",INCRATE[Incentive Type]))),
IF(AB32="Total",ROUND(MIN(AH32*0.75,AK32*INDEX(INCRATE[Electric],MATCH("RCX",INCRATE[Incentive Type]))),2),IF(AB32="Incremental",ROUND(MIN(AH32,AK32*INDEX(INCRATE[Electric],MATCH("RCX",INCRATE[Incentive Type]))),2)))))</f>
        <v/>
      </c>
      <c r="BB32" s="1180" t="str">
        <f>IF(F32="","",INDEX(PROGRAMECAT[EUL],MATCH(F32,PROGRAMECAT[Category 1],0)))</f>
        <v/>
      </c>
      <c r="BC32" s="1180" t="str">
        <f>IFERROR(IF(F32="RCx - Study",1,AH32/M02S02F35/AK32),"")</f>
        <v/>
      </c>
      <c r="BD32" s="1183" t="str">
        <f>IF(OR(C32="",F32="",L32="",P32="",R32="",T32="",X32="",Z32="",AB32="",AD32="",AF32=""),"",IF(ISNUMBER(AN32),INDEX(PROGRAMECAT[Measure Number],MATCH(F32,PROGRAMECAT[Category 1],0)),IF(AK32=0,"","000001")))</f>
        <v/>
      </c>
      <c r="BE32" s="1180" t="str" cm="1">
        <f t="array" ref="BE32">IFERROR(IF(F32="RCx - Study","",_xlfn.SINGLE(IF((P32*R32)-(X32*Z32)&lt;=0,MEASURESAV,IF(M02S02F35="",MEASURERATE,IF(AND(OR(F32="Others (Incremental)",F32="Others"),M05S07F03=""),MEASURESUBMIT, IF(AND(OR(ISNUMBER(SEARCH({"Custom","New Construction"},C32))),BC32&lt;1),MEASUREPAY,IF(AV32&lt;1,MEASURECB,""))))))),MEASURESUBMIT)</f>
        <v>Submit for Review</v>
      </c>
      <c r="BF32" s="1190" t="str">
        <f t="shared" ref="BF32" si="87">IF(OR(C32="",F32="",L32="",P32="",R32="",T32="",X32="",Z32="",AB32="",AD32="",AF32=""),"",IF(AB32="Incremental",AH32,""))</f>
        <v/>
      </c>
      <c r="BG32" s="1190"/>
      <c r="BH32" s="995" t="str">
        <f ca="1">IF(OR(C32="",F32="",F32="",L32="",P32="",R32="",T32="",X32="",Z32="",AB32="",AD32="",AF32=""),"",IF('M01-S01'!$V$82&lt;TODAY(),0,IF(M02S02F46="Gas Only",0,IF(C32="New Construction",0,IF(OR(AK32="",AK32&lt;0,AH32&lt;=AN32),0,MIN(AH32-AN32,ROUND(AN32*0.2,2)))))))</f>
        <v/>
      </c>
      <c r="BI32" s="1058"/>
    </row>
    <row r="33" spans="2:61" ht="15.95" customHeight="1">
      <c r="B33" s="829"/>
      <c r="C33" s="1088"/>
      <c r="D33" s="1088"/>
      <c r="E33" s="1088"/>
      <c r="F33" s="1088"/>
      <c r="G33" s="1088"/>
      <c r="H33" s="1088"/>
      <c r="I33" s="1088"/>
      <c r="J33" s="1088"/>
      <c r="K33" s="1088"/>
      <c r="L33" s="1182"/>
      <c r="M33" s="1171"/>
      <c r="N33" s="1171"/>
      <c r="O33" s="1172"/>
      <c r="P33" s="963"/>
      <c r="Q33" s="964"/>
      <c r="R33" s="1175"/>
      <c r="S33" s="1176"/>
      <c r="T33" s="1170"/>
      <c r="U33" s="1171"/>
      <c r="V33" s="1171"/>
      <c r="W33" s="1172"/>
      <c r="X33" s="1166"/>
      <c r="Y33" s="1166"/>
      <c r="Z33" s="1162"/>
      <c r="AA33" s="1162"/>
      <c r="AB33" s="1166"/>
      <c r="AC33" s="1166"/>
      <c r="AD33" s="870"/>
      <c r="AE33" s="1092"/>
      <c r="AF33" s="856"/>
      <c r="AG33" s="1164"/>
      <c r="AH33" s="1130"/>
      <c r="AI33" s="1131"/>
      <c r="AJ33" s="1131"/>
      <c r="AK33" s="906"/>
      <c r="AL33" s="907"/>
      <c r="AM33" s="936"/>
      <c r="AN33" s="1133"/>
      <c r="AO33" s="1133"/>
      <c r="AP33" s="1133"/>
      <c r="AQ33" s="1133"/>
      <c r="AR33" s="59"/>
      <c r="AU33" s="1102"/>
      <c r="AV33" s="1102"/>
      <c r="AW33" s="1186"/>
      <c r="AX33" s="1069"/>
      <c r="AY33" s="1098"/>
      <c r="AZ33" s="1098"/>
      <c r="BA33" s="1098"/>
      <c r="BB33" s="1098"/>
      <c r="BC33" s="1098"/>
      <c r="BD33" s="1184"/>
      <c r="BE33" s="1098"/>
      <c r="BF33" s="1184"/>
      <c r="BG33" s="1184"/>
      <c r="BH33" s="996"/>
      <c r="BI33" s="996"/>
    </row>
    <row r="34" spans="2:61" ht="15.95" customHeight="1">
      <c r="B34" s="829">
        <v>10</v>
      </c>
      <c r="C34" s="1087"/>
      <c r="D34" s="1087"/>
      <c r="E34" s="1087"/>
      <c r="F34" s="1087"/>
      <c r="G34" s="1087"/>
      <c r="H34" s="1087"/>
      <c r="I34" s="1087"/>
      <c r="J34" s="1087"/>
      <c r="K34" s="1087"/>
      <c r="L34" s="1181" t="str">
        <f t="shared" ref="L34" si="88">IFERROR(IF(F34="RCx - Study","No Study",""),"")</f>
        <v/>
      </c>
      <c r="M34" s="1168"/>
      <c r="N34" s="1168"/>
      <c r="O34" s="1169"/>
      <c r="P34" s="961" t="str">
        <f t="shared" ref="P34" si="89">IFERROR(IF(F34="RCx - Study",1,""),"")</f>
        <v/>
      </c>
      <c r="Q34" s="962"/>
      <c r="R34" s="1173" t="str">
        <f t="shared" ref="R34" si="90">IFERROR(IF(F34="RCx - Study",0,""),"")</f>
        <v/>
      </c>
      <c r="S34" s="1174"/>
      <c r="T34" s="1167" t="str">
        <f t="shared" ref="T34" si="91">IFERROR(IF(F34="RCx - Study","Study Completed",""),"")</f>
        <v/>
      </c>
      <c r="U34" s="1168"/>
      <c r="V34" s="1168"/>
      <c r="W34" s="1169"/>
      <c r="X34" s="1165" t="str">
        <f t="shared" ref="X34" si="92">IFERROR(IF(F34="RCx - Study",1,""),"")</f>
        <v/>
      </c>
      <c r="Y34" s="1165"/>
      <c r="Z34" s="1161" t="str">
        <f t="shared" ref="Z34" si="93">IFERROR(IF(F34="RCx - Study",0,""),"")</f>
        <v/>
      </c>
      <c r="AA34" s="1161"/>
      <c r="AB34" s="1165" t="str">
        <f t="shared" ref="AB34" si="94">IF(C34="New Construction","Incremental","")</f>
        <v/>
      </c>
      <c r="AC34" s="1165"/>
      <c r="AD34" s="869"/>
      <c r="AE34" s="1091"/>
      <c r="AF34" s="887" t="str">
        <f t="shared" ref="AF34" si="95">IF(AB34="Incremental",0,"")</f>
        <v/>
      </c>
      <c r="AG34" s="1163"/>
      <c r="AH34" s="865" t="str">
        <f t="shared" ref="AH34" si="96">IF(OR(C34="",F34="",L34="",P34="",R34="",T34="",X34="",Z34="",AD34="",AF34=""),"",ROUND(AD34+AF34,2))</f>
        <v/>
      </c>
      <c r="AI34" s="1096"/>
      <c r="AJ34" s="1096"/>
      <c r="AK34" s="904" t="str">
        <f t="shared" ref="AK34" si="97">IF(OR(C34="",F34="",F34="",L34="",P34="",R34="",T34="",X34="",Z34="",AB34="",AD34="",AF34=""),"",IF(F34="RCx - Study",0,IF((P34*R34)-(X34*Z34)&lt;=0,0,ROUND((P34*R34)-(X34*Z34),2))))</f>
        <v/>
      </c>
      <c r="AL34" s="905"/>
      <c r="AM34" s="969"/>
      <c r="AN34" s="1132" t="str">
        <f t="shared" ref="AN34" si="98">IF(OR(C34="",F34="",F34="",L34="",P34="",R34="",T34="",X34="",Z34="",AB34="",AD34="",AF34=""),"",IF(BE34&lt;&gt;"",BE34,IF(C34="Custom",AY34,IF(C34="New Construction",AZ34,IF(C34="RCx",BA34)))))</f>
        <v/>
      </c>
      <c r="AO34" s="1132"/>
      <c r="AP34" s="1132"/>
      <c r="AQ34" s="1132"/>
      <c r="AR34" s="59"/>
      <c r="AU34" s="1101" t="str">
        <f>IF(F34="","",INDEX(CUSTNONLIGHTEUNIT,MATCH(F34,PROGRAMECAT[Category 1],0)))</f>
        <v/>
      </c>
      <c r="AV34" s="1101" t="str">
        <f>IF(OR(C34="",F34="",L34="",P34="",R34="",T34="",X34="",Z34="",AB34="",AD34="",AF34=""),"",IF(F34="RCx - Study",1,((1+ELOSS)*((AK34*INDEX(ELECCB[NPV AEC $/kWh],MATCH(BB34,ELECCB[Year Number],1)))+(AX34*INDEX(ELECCB[NPV ACC+T&amp;D $/kW],MATCH(BB34,ELECCB[Year Number],1)))))/AH34))</f>
        <v/>
      </c>
      <c r="AW34" s="1185"/>
      <c r="AX34" s="1068" t="str">
        <f>IF(OR(C34="",F34="",L34="",P34="",R34="",T34="",X34="",Z34="",AB34="",AD34="",AF34=""),"",ROUND(AW34*(INDEX(PROGRAMECAT[Lighting Coincidence Factor],MATCH(F34,PROGRAMECAT[Category 1],0))),3))</f>
        <v/>
      </c>
      <c r="AY34" s="1180" t="str">
        <f>IF(OR(C34="",F34="",F34="",L34="",P34="",R34="",T34="",X34="",Z34="",AB34="",AD34="",AF34=""),"",IF(AB34="Total",ROUND(MIN(AH34*0.75,AK34*INDEX(INCRATE[Electric],MATCH("CMNONLIGHT",INCRATE[Incentive Type]))),2),IF(AB34="Incremental",ROUND(MIN(AH34,AK34*INDEX(INCRATE[Electric],MATCH("CMNONLIGHT",INCRATE[Incentive Type]))),2))))</f>
        <v/>
      </c>
      <c r="AZ34" s="1180" t="str">
        <f>IF(OR(C34="",F34="",F34="",L34="",P34="",R34="",T34="",X34="",Z34="",AB34="",AD34="",AF34=""),"",IF(AB34="Total",ROUND(MIN(AH34*0.75,AK34*INDEX(INCRATE[Electric],MATCH("NCNONLIGHT",INCRATE[Incentive Type]))),2),IF(AB34="Incremental",ROUND(MIN(AH34,AK34*INDEX(INCRATE[Electric],MATCH("NCNONLIGHT",INCRATE[Incentive Type]))),2))))</f>
        <v/>
      </c>
      <c r="BA34" s="1180" t="str">
        <f>IF(OR(C34="",F34="",F34="",L34="",P34="",R34="",T34="",X34="",Z34="",AB34="",AD34="",AF34=""),"",IF(F34="RCx - Study",MIN(AH34,SUM($AK$16:$AM$35)*INDEX(INCRATE[Electric],MATCH("RCxStudy",INCRATE[Incentive Type]))),
IF(AB34="Total",ROUND(MIN(AH34*0.75,AK34*INDEX(INCRATE[Electric],MATCH("RCX",INCRATE[Incentive Type]))),2),IF(AB34="Incremental",ROUND(MIN(AH34,AK34*INDEX(INCRATE[Electric],MATCH("RCX",INCRATE[Incentive Type]))),2)))))</f>
        <v/>
      </c>
      <c r="BB34" s="1180" t="str">
        <f>IF(F34="","",INDEX(PROGRAMECAT[EUL],MATCH(F34,PROGRAMECAT[Category 1],0)))</f>
        <v/>
      </c>
      <c r="BC34" s="1180" t="str">
        <f>IFERROR(IF(F34="RCx - Study",1,AH34/M02S02F35/AK34),"")</f>
        <v/>
      </c>
      <c r="BD34" s="1183" t="str">
        <f>IF(OR(C34="",F34="",L34="",P34="",R34="",T34="",X34="",Z34="",AB34="",AD34="",AF34=""),"",IF(ISNUMBER(AN34),INDEX(PROGRAMECAT[Measure Number],MATCH(F34,PROGRAMECAT[Category 1],0)),IF(AK34=0,"","000001")))</f>
        <v/>
      </c>
      <c r="BE34" s="1180" t="str" cm="1">
        <f t="array" ref="BE34">IFERROR(IF(F34="RCx - Study","",_xlfn.SINGLE(IF((P34*R34)-(X34*Z34)&lt;=0,MEASURESAV,IF(M02S02F35="",MEASURERATE,IF(AND(OR(F34="Others (Incremental)",F34="Others"),M05S07F03=""),MEASURESUBMIT, IF(AND(OR(ISNUMBER(SEARCH({"Custom","New Construction"},C34))),BC34&lt;1),MEASUREPAY,IF(AV34&lt;1,MEASURECB,""))))))),MEASURESUBMIT)</f>
        <v>Submit for Review</v>
      </c>
      <c r="BF34" s="1190" t="str">
        <f t="shared" ref="BF34" si="99">IF(OR(C34="",F34="",L34="",P34="",R34="",T34="",X34="",Z34="",AB34="",AD34="",AF34=""),"",IF(AB34="Incremental",AH34,""))</f>
        <v/>
      </c>
      <c r="BG34" s="1190"/>
      <c r="BH34" s="995" t="str">
        <f ca="1">IF(OR(C34="",F34="",F34="",L34="",P34="",R34="",T34="",X34="",Z34="",AB34="",AD34="",AF34=""),"",IF('M01-S01'!$V$82&lt;TODAY(),0,IF(M02S02F46="Gas Only",0,IF(C34="New Construction",0,IF(OR(AK34="",AK34&lt;0,AH34&lt;=AN34),0,MIN(AH34-AN34,ROUND(AN34*0.2,2)))))))</f>
        <v/>
      </c>
      <c r="BI34" s="1058"/>
    </row>
    <row r="35" spans="2:61" ht="15.75" customHeight="1">
      <c r="B35" s="829"/>
      <c r="C35" s="1088"/>
      <c r="D35" s="1088"/>
      <c r="E35" s="1088"/>
      <c r="F35" s="1088"/>
      <c r="G35" s="1088"/>
      <c r="H35" s="1088"/>
      <c r="I35" s="1088"/>
      <c r="J35" s="1088"/>
      <c r="K35" s="1088"/>
      <c r="L35" s="1182"/>
      <c r="M35" s="1171"/>
      <c r="N35" s="1171"/>
      <c r="O35" s="1172"/>
      <c r="P35" s="963"/>
      <c r="Q35" s="964"/>
      <c r="R35" s="1175"/>
      <c r="S35" s="1176"/>
      <c r="T35" s="1170"/>
      <c r="U35" s="1171"/>
      <c r="V35" s="1171"/>
      <c r="W35" s="1172"/>
      <c r="X35" s="1166"/>
      <c r="Y35" s="1166"/>
      <c r="Z35" s="1162"/>
      <c r="AA35" s="1162"/>
      <c r="AB35" s="1166"/>
      <c r="AC35" s="1166"/>
      <c r="AD35" s="870"/>
      <c r="AE35" s="1092"/>
      <c r="AF35" s="856"/>
      <c r="AG35" s="1164"/>
      <c r="AH35" s="1130"/>
      <c r="AI35" s="1131"/>
      <c r="AJ35" s="1131"/>
      <c r="AK35" s="906"/>
      <c r="AL35" s="907"/>
      <c r="AM35" s="936"/>
      <c r="AN35" s="1133"/>
      <c r="AO35" s="1133"/>
      <c r="AP35" s="1133"/>
      <c r="AQ35" s="1133"/>
      <c r="AR35" s="59"/>
      <c r="AU35" s="1102"/>
      <c r="AV35" s="1102"/>
      <c r="AW35" s="1186"/>
      <c r="AX35" s="1069"/>
      <c r="AY35" s="1098"/>
      <c r="AZ35" s="1098"/>
      <c r="BA35" s="1098"/>
      <c r="BB35" s="1098"/>
      <c r="BC35" s="1098"/>
      <c r="BD35" s="1184"/>
      <c r="BE35" s="1098"/>
      <c r="BF35" s="1184"/>
      <c r="BG35" s="1184"/>
      <c r="BH35" s="996"/>
      <c r="BI35" s="996"/>
    </row>
    <row r="36" spans="2:61" ht="15.95" hidden="1" customHeight="1">
      <c r="B36" s="923">
        <v>11</v>
      </c>
      <c r="C36" s="1087"/>
      <c r="D36" s="1087"/>
      <c r="E36" s="1087"/>
      <c r="F36" s="1087"/>
      <c r="G36" s="1087"/>
      <c r="H36" s="1087"/>
      <c r="I36" s="1087"/>
      <c r="J36" s="1087"/>
      <c r="K36" s="1087"/>
      <c r="L36" s="866"/>
      <c r="M36" s="867"/>
      <c r="N36" s="867"/>
      <c r="O36" s="868"/>
      <c r="P36" s="846"/>
      <c r="Q36" s="847"/>
      <c r="R36" s="1108"/>
      <c r="S36" s="1197"/>
      <c r="T36" s="1177"/>
      <c r="U36" s="867"/>
      <c r="V36" s="867"/>
      <c r="W36" s="868"/>
      <c r="X36" s="1077"/>
      <c r="Y36" s="1077"/>
      <c r="Z36" s="1178"/>
      <c r="AA36" s="1178"/>
      <c r="AB36" s="1165" t="str">
        <f t="shared" ref="AB36" si="100">IF(C36="New Construction","Incremental","")</f>
        <v/>
      </c>
      <c r="AC36" s="1165"/>
      <c r="AD36" s="869"/>
      <c r="AE36" s="1091"/>
      <c r="AF36" s="1193" t="str">
        <f t="shared" ref="AF36" si="101">IF(AB36="Incremental",0,"")</f>
        <v/>
      </c>
      <c r="AG36" s="1194"/>
      <c r="AH36" s="865" t="str">
        <f t="shared" ref="AH36" si="102">IF(OR(C36="",F36="",L36="",P36="",R36="",T36="",X36="",Z36="",AD36="",AF36=""),"",ROUND(AD36+AF36,2))</f>
        <v/>
      </c>
      <c r="AI36" s="1096"/>
      <c r="AJ36" s="1096"/>
      <c r="AK36" s="1105" t="str">
        <f t="shared" ref="AK36" si="103">IF(OR(C36="",F36="",F36="",L36="",P36="",R36="",T36="",X36="",Z36="",AB36="",AD36="",AF36=""),"",IF((P36*R36)-(X36*Z36)&lt;=0,0,ROUND((P36*R36)-(X36*Z36),2)))</f>
        <v/>
      </c>
      <c r="AL36" s="1105"/>
      <c r="AM36" s="1105"/>
      <c r="AN36" s="1132" t="str">
        <f t="shared" ref="AN36" si="104">IF(OR(C36="",F36="",F36="",L36="",P36="",R36="",T36="",X36="",Z36="",AB36="",AD36="",AF36=""),"",IF(BE36&lt;&gt;"",BE36,IF(C36="Custom",AY36,IF(C36="New Construction",AZ36,IF(C36="RCx",BA36)))))</f>
        <v/>
      </c>
      <c r="AO36" s="1132"/>
      <c r="AP36" s="1132"/>
      <c r="AQ36" s="1132"/>
      <c r="AR36" s="59"/>
      <c r="AU36" s="1103" t="str">
        <f>IF(F36="","",INDEX(CUSTNONLIGHTEUNIT,MATCH(F36,PROGRAMECAT[Category 1],0)))</f>
        <v/>
      </c>
      <c r="AV36" s="1103" t="str">
        <f>IF(OR(C36="",F36="",L36="",P36="",R36="",T36="",X36="",Z36="",AB36="",AD36="",AF36=""),"",((1+ELOSS)*((AK36*INDEX(ELECCB[NPV AEC $/kWh],MATCH(BB36,ELECCB[Year Number],1)))+(AX36*INDEX(ELECCB[NPV ACC+T&amp;D $/kW],MATCH(BB36,ELECCB[Year Number],1)))))/AH36)</f>
        <v/>
      </c>
      <c r="AW36" s="1185"/>
      <c r="AX36" s="1187" t="str">
        <f>IF(OR(C36="",F36="",L36="",P36="",R36="",T36="",X36="",Z36="",AB36="",AD36="",AF36=""),"",ROUND(AW36*(INDEX(PROGRAMECAT[Lighting Coincidence Factor],MATCH(F36,PROGRAMECAT[Category 1],0))),3))</f>
        <v/>
      </c>
      <c r="AY36" s="1180" t="str">
        <f>IF(OR(C36="",F36="",F36="",L36="",P36="",R36="",T36="",X36="",Z36="",AB36="",AD36="",AF36=""),"",IF(AB36="Total",ROUND(MIN(AH36*0.75,AK36*INDEX(INCRATE[Electric],MATCH("CMNONLIGHT",INCRATE[Incentive Type]))),2),IF(AB36="Incremental",ROUND(MIN(AH36,AK36*INDEX(INCRATE[Electric],MATCH("CMNONLIGHT",INCRATE[Incentive Type]))),2))))</f>
        <v/>
      </c>
      <c r="AZ36" s="1180" t="str">
        <f>IF(OR(C36="",F36="",F36="",L36="",P36="",R36="",T36="",X36="",Z36="",AB36="",AD36="",AF36=""),"",IF(AB36="Total",ROUND(MIN(AH36*0.75,AK36*INDEX(INCRATE[Electric],MATCH("NCNONLIGHT",INCRATE[Incentive Type]))),2),IF(AB36="Incremental",ROUND(MIN(AH36,AK36*INDEX(INCRATE[Electric],MATCH("NCNONLIGHT",INCRATE[Incentive Type]))),2))))</f>
        <v/>
      </c>
      <c r="BA36" s="1180" t="str">
        <f>IF(OR(C36="",F36="",F36="",L36="",P36="",R36="",T36="",X36="",Z36="",AB36="",AD36="",AF36=""),"",IF(AB36="Total",ROUND(MIN(AH36*0.75,AK36*INDEX(INCRATE[Electric],MATCH("RCX",INCRATE[Incentive Type]))),2),IF(AB36="Incremental",ROUND(MIN(AH36,AK36*INDEX(INCRATE[Electric],MATCH("RCX",INCRATE[Incentive Type]))),2))))</f>
        <v/>
      </c>
      <c r="BB36" s="1097" t="str">
        <f>IF(F36="","",INDEX(PROGRAMECAT[EUL],MATCH(F36,PROGRAMECAT[Category 1],0)))</f>
        <v/>
      </c>
      <c r="BC36" s="1097" t="str">
        <f>IFERROR(AH36/M02S02F35/AK36,"")</f>
        <v/>
      </c>
      <c r="BD36" s="1190" t="str">
        <f>IF(OR(C36="",F36="",L36="",P36="",R36="",T36="",X36="",Z36="",AB36="",AD36="",AF36=""),"",IF(ISNUMBER(AN36),INDEX(PROGRAMECAT[Measure Number],MATCH(F36,PROGRAMECAT[Category 1],0)),IF(AK36=0,"","000001")))</f>
        <v/>
      </c>
      <c r="BE36" s="1097" t="str">
        <f>IFERROR(IF((P36*R36)-(X36*Z36)&lt;=0,MEASURESAV,IF(M02S02F35="",MEASURERATE,IF(OR(F36="Others (Incremental)",F36="Others"),MEASURESUBMIT, IF(BC36&lt;1,MEASUREPAY,IF(AV36&lt;1,MEASURECB,""))))),MEASURESUBMIT)</f>
        <v>Submit for Review</v>
      </c>
      <c r="BH36" s="995" t="str">
        <f ca="1">IF(OR(C36="",F36="",F36="",L36="",P36="",R36="",T36="",X36="",Z36="",AB36="",AD36="",AF36=""),"",IF('M01-S01'!$V$82&lt;TODAY(),0,IF(M02S02F46="Gas Only",0,IF(OR(AK36="",AK36&lt;0,AH36&lt;=AN36),0,MIN(AH36-AN36,ROUND(IF(OR(ISNUMBER(SEARCH("Compressed Air",F36)),ISNUMBER(SEARCH("T8",F36)),ISNUMBER(SEARCH("T5",F36)),ISNUMBER(SEARCH("MH",F36)),ISNUMBER(SEARCH("HPS",F36)),ISNUMBER(SEARCH("MV",F36))),AN36*0.2),2))))))</f>
        <v/>
      </c>
    </row>
    <row r="37" spans="2:61" ht="15.95" hidden="1" customHeight="1">
      <c r="B37" s="923"/>
      <c r="C37" s="1088"/>
      <c r="D37" s="1088"/>
      <c r="E37" s="1088"/>
      <c r="F37" s="1088"/>
      <c r="G37" s="1088"/>
      <c r="H37" s="1088"/>
      <c r="I37" s="1088"/>
      <c r="J37" s="1088"/>
      <c r="K37" s="1088"/>
      <c r="L37" s="835"/>
      <c r="M37" s="836"/>
      <c r="N37" s="836"/>
      <c r="O37" s="837"/>
      <c r="P37" s="848"/>
      <c r="Q37" s="849"/>
      <c r="R37" s="1110"/>
      <c r="S37" s="1198"/>
      <c r="T37" s="843"/>
      <c r="U37" s="836"/>
      <c r="V37" s="836"/>
      <c r="W37" s="837"/>
      <c r="X37" s="1078"/>
      <c r="Y37" s="1078"/>
      <c r="Z37" s="1179"/>
      <c r="AA37" s="1179"/>
      <c r="AB37" s="1166"/>
      <c r="AC37" s="1166"/>
      <c r="AD37" s="870"/>
      <c r="AE37" s="1092"/>
      <c r="AF37" s="1195"/>
      <c r="AG37" s="1196"/>
      <c r="AH37" s="1130"/>
      <c r="AI37" s="1131"/>
      <c r="AJ37" s="1131"/>
      <c r="AK37" s="1143"/>
      <c r="AL37" s="1143"/>
      <c r="AM37" s="1143"/>
      <c r="AN37" s="1133"/>
      <c r="AO37" s="1133"/>
      <c r="AP37" s="1133"/>
      <c r="AQ37" s="1133"/>
      <c r="AR37" s="59"/>
      <c r="AU37" s="1102"/>
      <c r="AV37" s="1102"/>
      <c r="AW37" s="1186"/>
      <c r="AX37" s="1069"/>
      <c r="AY37" s="1098"/>
      <c r="AZ37" s="1098"/>
      <c r="BA37" s="1098"/>
      <c r="BB37" s="1098"/>
      <c r="BC37" s="1098"/>
      <c r="BD37" s="1184"/>
      <c r="BE37" s="1098"/>
      <c r="BH37" s="996"/>
    </row>
    <row r="38" spans="2:61" ht="15.95" hidden="1" customHeight="1">
      <c r="B38" s="923">
        <v>12</v>
      </c>
      <c r="C38" s="1087"/>
      <c r="D38" s="1087"/>
      <c r="E38" s="1087"/>
      <c r="F38" s="1087"/>
      <c r="G38" s="1087"/>
      <c r="H38" s="1087"/>
      <c r="I38" s="1087"/>
      <c r="J38" s="1087"/>
      <c r="K38" s="1087"/>
      <c r="L38" s="866"/>
      <c r="M38" s="867"/>
      <c r="N38" s="867"/>
      <c r="O38" s="868"/>
      <c r="P38" s="846"/>
      <c r="Q38" s="847"/>
      <c r="R38" s="1108"/>
      <c r="S38" s="1197"/>
      <c r="T38" s="1177"/>
      <c r="U38" s="867"/>
      <c r="V38" s="867"/>
      <c r="W38" s="868"/>
      <c r="X38" s="1077"/>
      <c r="Y38" s="1077"/>
      <c r="Z38" s="1178"/>
      <c r="AA38" s="1178"/>
      <c r="AB38" s="1165" t="str">
        <f t="shared" ref="AB38" si="105">IF(C38="New Construction","Incremental","")</f>
        <v/>
      </c>
      <c r="AC38" s="1165"/>
      <c r="AD38" s="869"/>
      <c r="AE38" s="1091"/>
      <c r="AF38" s="1193" t="str">
        <f t="shared" ref="AF38" si="106">IF(AB38="Incremental",0,"")</f>
        <v/>
      </c>
      <c r="AG38" s="1194"/>
      <c r="AH38" s="865" t="str">
        <f t="shared" ref="AH38" si="107">IF(OR(C38="",F38="",L38="",P38="",R38="",T38="",X38="",Z38="",AD38="",AF38=""),"",ROUND(AD38+AF38,2))</f>
        <v/>
      </c>
      <c r="AI38" s="1096"/>
      <c r="AJ38" s="1096"/>
      <c r="AK38" s="1105" t="str">
        <f t="shared" ref="AK38" si="108">IF(OR(C38="",F38="",F38="",L38="",P38="",R38="",T38="",X38="",Z38="",AB38="",AD38="",AF38=""),"",IF((P38*R38)-(X38*Z38)&lt;=0,0,ROUND((P38*R38)-(X38*Z38),2)))</f>
        <v/>
      </c>
      <c r="AL38" s="1105"/>
      <c r="AM38" s="1105"/>
      <c r="AN38" s="1132" t="str">
        <f t="shared" ref="AN38" si="109">IF(OR(C38="",F38="",F38="",L38="",P38="",R38="",T38="",X38="",Z38="",AB38="",AD38="",AF38=""),"",IF(BE38&lt;&gt;"",BE38,IF(C38="Custom",AY38,IF(C38="New Construction",AZ38,IF(C38="RCx",BA38)))))</f>
        <v/>
      </c>
      <c r="AO38" s="1132"/>
      <c r="AP38" s="1132"/>
      <c r="AQ38" s="1132"/>
      <c r="AR38" s="59"/>
      <c r="AU38" s="1103" t="str">
        <f>IF(F38="","",INDEX(CUSTNONLIGHTEUNIT,MATCH(F38,PROGRAMECAT[Category 1],0)))</f>
        <v/>
      </c>
      <c r="AV38" s="1103" t="str">
        <f>IF(OR(C38="",F38="",L38="",P38="",R38="",T38="",X38="",Z38="",AB38="",AD38="",AF38=""),"",((1+ELOSS)*((AK38*INDEX(ELECCB[NPV AEC $/kWh],MATCH(BB38,ELECCB[Year Number],1)))+(AX38*INDEX(ELECCB[NPV ACC+T&amp;D $/kW],MATCH(BB38,ELECCB[Year Number],1)))))/AH38)</f>
        <v/>
      </c>
      <c r="AW38" s="1185"/>
      <c r="AX38" s="1187" t="str">
        <f>IF(OR(C38="",F38="",L38="",P38="",R38="",T38="",X38="",Z38="",AB38="",AD38="",AF38=""),"",ROUND(AW38*(INDEX(PROGRAMECAT[Lighting Coincidence Factor],MATCH(F38,PROGRAMECAT[Category 1],0))),3))</f>
        <v/>
      </c>
      <c r="AY38" s="1180" t="str">
        <f>IF(OR(C38="",F38="",F38="",L38="",P38="",R38="",T38="",X38="",Z38="",AB38="",AD38="",AF38=""),"",IF(AB38="Total",ROUND(MIN(AH38*0.75,AK38*INDEX(INCRATE[Electric],MATCH("CMNONLIGHT",INCRATE[Incentive Type]))),2),IF(AB38="Incremental",ROUND(MIN(AH38,AK38*INDEX(INCRATE[Electric],MATCH("CMNONLIGHT",INCRATE[Incentive Type]))),2))))</f>
        <v/>
      </c>
      <c r="AZ38" s="1180" t="str">
        <f>IF(OR(C38="",F38="",F38="",L38="",P38="",R38="",T38="",X38="",Z38="",AB38="",AD38="",AF38=""),"",IF(AB38="Total",ROUND(MIN(AH38*0.75,AK38*INDEX(INCRATE[Electric],MATCH("NCNONLIGHT",INCRATE[Incentive Type]))),2),IF(AB38="Incremental",ROUND(MIN(AH38,AK38*INDEX(INCRATE[Electric],MATCH("NCNONLIGHT",INCRATE[Incentive Type]))),2))))</f>
        <v/>
      </c>
      <c r="BA38" s="1180" t="str">
        <f>IF(OR(C38="",F38="",F38="",L38="",P38="",R38="",T38="",X38="",Z38="",AB38="",AD38="",AF38=""),"",IF(AB38="Total",ROUND(MIN(AH38*0.75,AK38*INDEX(INCRATE[Electric],MATCH("RCX",INCRATE[Incentive Type]))),2),IF(AB38="Incremental",ROUND(MIN(AH38,AK38*INDEX(INCRATE[Electric],MATCH("RCX",INCRATE[Incentive Type]))),2))))</f>
        <v/>
      </c>
      <c r="BB38" s="1097" t="str">
        <f>IF(F38="","",INDEX(PROGRAMECAT[EUL],MATCH(F38,PROGRAMECAT[Category 1],0)))</f>
        <v/>
      </c>
      <c r="BC38" s="1097" t="str">
        <f>IFERROR(AH38/M02S02F35/AK38,"")</f>
        <v/>
      </c>
      <c r="BD38" s="1190" t="str">
        <f>IF(OR(C38="",F38="",L38="",P38="",R38="",T38="",X38="",Z38="",AB38="",AD38="",AF38=""),"",IF(ISNUMBER(AN38),INDEX(PROGRAMECAT[Measure Number],MATCH(F38,PROGRAMECAT[Category 1],0)),IF(AK38=0,"","000001")))</f>
        <v/>
      </c>
      <c r="BE38" s="1097" t="str">
        <f>IFERROR(IF((P38*R38)-(X38*Z38)&lt;=0,MEASURESAV,IF(M02S02F35="",MEASURERATE,IF(OR(F38="Others (Incremental)",F38="Others"),MEASURESUBMIT, IF(BC38&lt;1,MEASUREPAY,IF(AV38&lt;1,MEASURECB,""))))),MEASURESUBMIT)</f>
        <v>Submit for Review</v>
      </c>
      <c r="BH38" s="995" t="str">
        <f ca="1">IF(OR(C38="",F38="",F38="",L38="",P38="",R38="",T38="",X38="",Z38="",AB38="",AD38="",AF38=""),"",IF('M01-S01'!$V$82&lt;TODAY(),0,IF(M02S02F46="Gas Only",0,IF(OR(AK38="",AK38&lt;0,AH38&lt;=AN38),0,MIN(AH38-AN38,ROUND(IF(OR(ISNUMBER(SEARCH("Compressed Air",F38)),ISNUMBER(SEARCH("T8",F38)),ISNUMBER(SEARCH("T5",F38)),ISNUMBER(SEARCH("MH",F38)),ISNUMBER(SEARCH("HPS",F38)),ISNUMBER(SEARCH("MV",F38))),AN38*0.2),2))))))</f>
        <v/>
      </c>
    </row>
    <row r="39" spans="2:61" ht="15.95" hidden="1" customHeight="1">
      <c r="B39" s="923"/>
      <c r="C39" s="1088"/>
      <c r="D39" s="1088"/>
      <c r="E39" s="1088"/>
      <c r="F39" s="1088"/>
      <c r="G39" s="1088"/>
      <c r="H39" s="1088"/>
      <c r="I39" s="1088"/>
      <c r="J39" s="1088"/>
      <c r="K39" s="1088"/>
      <c r="L39" s="835"/>
      <c r="M39" s="836"/>
      <c r="N39" s="836"/>
      <c r="O39" s="837"/>
      <c r="P39" s="848"/>
      <c r="Q39" s="849"/>
      <c r="R39" s="1110"/>
      <c r="S39" s="1198"/>
      <c r="T39" s="843"/>
      <c r="U39" s="836"/>
      <c r="V39" s="836"/>
      <c r="W39" s="837"/>
      <c r="X39" s="1078"/>
      <c r="Y39" s="1078"/>
      <c r="Z39" s="1179"/>
      <c r="AA39" s="1179"/>
      <c r="AB39" s="1166"/>
      <c r="AC39" s="1166"/>
      <c r="AD39" s="870"/>
      <c r="AE39" s="1092"/>
      <c r="AF39" s="1195"/>
      <c r="AG39" s="1196"/>
      <c r="AH39" s="1130"/>
      <c r="AI39" s="1131"/>
      <c r="AJ39" s="1131"/>
      <c r="AK39" s="1143"/>
      <c r="AL39" s="1143"/>
      <c r="AM39" s="1143"/>
      <c r="AN39" s="1133"/>
      <c r="AO39" s="1133"/>
      <c r="AP39" s="1133"/>
      <c r="AQ39" s="1133"/>
      <c r="AR39" s="59"/>
      <c r="AU39" s="1102"/>
      <c r="AV39" s="1102"/>
      <c r="AW39" s="1186"/>
      <c r="AX39" s="1069"/>
      <c r="AY39" s="1098"/>
      <c r="AZ39" s="1098"/>
      <c r="BA39" s="1098"/>
      <c r="BB39" s="1098"/>
      <c r="BC39" s="1098"/>
      <c r="BD39" s="1184"/>
      <c r="BE39" s="1098"/>
      <c r="BH39" s="996"/>
    </row>
    <row r="40" spans="2:61" ht="15.95" hidden="1" customHeight="1">
      <c r="B40" s="923">
        <v>13</v>
      </c>
      <c r="C40" s="1087"/>
      <c r="D40" s="1087"/>
      <c r="E40" s="1087"/>
      <c r="F40" s="1087"/>
      <c r="G40" s="1087"/>
      <c r="H40" s="1087"/>
      <c r="I40" s="1087"/>
      <c r="J40" s="1087"/>
      <c r="K40" s="1087"/>
      <c r="L40" s="866"/>
      <c r="M40" s="867"/>
      <c r="N40" s="867"/>
      <c r="O40" s="868"/>
      <c r="P40" s="846"/>
      <c r="Q40" s="847"/>
      <c r="R40" s="1108"/>
      <c r="S40" s="1197"/>
      <c r="T40" s="1177"/>
      <c r="U40" s="867"/>
      <c r="V40" s="867"/>
      <c r="W40" s="868"/>
      <c r="X40" s="1077"/>
      <c r="Y40" s="1077"/>
      <c r="Z40" s="1178"/>
      <c r="AA40" s="1178"/>
      <c r="AB40" s="1165" t="str">
        <f t="shared" ref="AB40" si="110">IF(C40="New Construction","Incremental","")</f>
        <v/>
      </c>
      <c r="AC40" s="1165"/>
      <c r="AD40" s="869"/>
      <c r="AE40" s="1091"/>
      <c r="AF40" s="1193" t="str">
        <f t="shared" ref="AF40" si="111">IF(AB40="Incremental",0,"")</f>
        <v/>
      </c>
      <c r="AG40" s="1194"/>
      <c r="AH40" s="865" t="str">
        <f t="shared" ref="AH40" si="112">IF(OR(C40="",F40="",L40="",P40="",R40="",T40="",X40="",Z40="",AD40="",AF40=""),"",ROUND(AD40+AF40,2))</f>
        <v/>
      </c>
      <c r="AI40" s="1096"/>
      <c r="AJ40" s="1096"/>
      <c r="AK40" s="1105" t="str">
        <f t="shared" ref="AK40" si="113">IF(OR(C40="",F40="",F40="",L40="",P40="",R40="",T40="",X40="",Z40="",AB40="",AD40="",AF40=""),"",IF((P40*R40)-(X40*Z40)&lt;=0,0,ROUND((P40*R40)-(X40*Z40),2)))</f>
        <v/>
      </c>
      <c r="AL40" s="1105"/>
      <c r="AM40" s="1105"/>
      <c r="AN40" s="1132" t="str">
        <f t="shared" ref="AN40" si="114">IF(OR(C40="",F40="",F40="",L40="",P40="",R40="",T40="",X40="",Z40="",AB40="",AD40="",AF40=""),"",IF(BE40&lt;&gt;"",BE40,IF(C40="Custom",AY40,IF(C40="New Construction",AZ40,IF(C40="RCx",BA40)))))</f>
        <v/>
      </c>
      <c r="AO40" s="1132"/>
      <c r="AP40" s="1132"/>
      <c r="AQ40" s="1132"/>
      <c r="AR40" s="59"/>
      <c r="AU40" s="1103" t="str">
        <f>IF(F40="","",INDEX(CUSTNONLIGHTEUNIT,MATCH(F40,PROGRAMECAT[Category 1],0)))</f>
        <v/>
      </c>
      <c r="AV40" s="1103" t="str">
        <f>IF(OR(C40="",F40="",L40="",P40="",R40="",T40="",X40="",Z40="",AB40="",AD40="",AF40=""),"",((1+ELOSS)*((AK40*INDEX(ELECCB[NPV AEC $/kWh],MATCH(BB40,ELECCB[Year Number],1)))+(AX40*INDEX(ELECCB[NPV ACC+T&amp;D $/kW],MATCH(BB40,ELECCB[Year Number],1)))))/AH40)</f>
        <v/>
      </c>
      <c r="AW40" s="1185"/>
      <c r="AX40" s="1187" t="str">
        <f>IF(OR(C40="",F40="",L40="",P40="",R40="",T40="",X40="",Z40="",AB40="",AD40="",AF40=""),"",ROUND(AW40*(INDEX(PROGRAMECAT[Lighting Coincidence Factor],MATCH(F40,PROGRAMECAT[Category 1],0))),3))</f>
        <v/>
      </c>
      <c r="AY40" s="1180" t="str">
        <f>IF(OR(C40="",F40="",F40="",L40="",P40="",R40="",T40="",X40="",Z40="",AB40="",AD40="",AF40=""),"",IF(AB40="Total",ROUND(MIN(AH40*0.75,AK40*INDEX(INCRATE[Electric],MATCH("CMNONLIGHT",INCRATE[Incentive Type]))),2),IF(AB40="Incremental",ROUND(MIN(AH40,AK40*INDEX(INCRATE[Electric],MATCH("CMNONLIGHT",INCRATE[Incentive Type]))),2))))</f>
        <v/>
      </c>
      <c r="AZ40" s="1180" t="str">
        <f>IF(OR(C40="",F40="",F40="",L40="",P40="",R40="",T40="",X40="",Z40="",AB40="",AD40="",AF40=""),"",IF(AB40="Total",ROUND(MIN(AH40*0.75,AK40*INDEX(INCRATE[Electric],MATCH("NCNONLIGHT",INCRATE[Incentive Type]))),2),IF(AB40="Incremental",ROUND(MIN(AH40,AK40*INDEX(INCRATE[Electric],MATCH("NCNONLIGHT",INCRATE[Incentive Type]))),2))))</f>
        <v/>
      </c>
      <c r="BA40" s="1180" t="str">
        <f>IF(OR(C40="",F40="",F40="",L40="",P40="",R40="",T40="",X40="",Z40="",AB40="",AD40="",AF40=""),"",IF(AB40="Total",ROUND(MIN(AH40*0.75,AK40*INDEX(INCRATE[Electric],MATCH("RCX",INCRATE[Incentive Type]))),2),IF(AB40="Incremental",ROUND(MIN(AH40,AK40*INDEX(INCRATE[Electric],MATCH("RCX",INCRATE[Incentive Type]))),2))))</f>
        <v/>
      </c>
      <c r="BB40" s="1097" t="str">
        <f>IF(F40="","",INDEX(PROGRAMECAT[EUL],MATCH(F40,PROGRAMECAT[Category 1],0)))</f>
        <v/>
      </c>
      <c r="BC40" s="1097" t="str">
        <f>IFERROR(AH40/M02S02F35/AK40,"")</f>
        <v/>
      </c>
      <c r="BD40" s="1190" t="str">
        <f>IF(OR(C40="",F40="",L40="",P40="",R40="",T40="",X40="",Z40="",AB40="",AD40="",AF40=""),"",IF(ISNUMBER(AN40),INDEX(PROGRAMECAT[Measure Number],MATCH(F40,PROGRAMECAT[Category 1],0)),IF(AK40=0,"","000001")))</f>
        <v/>
      </c>
      <c r="BE40" s="1097" t="str">
        <f>IFERROR(IF((P40*R40)-(X40*Z40)&lt;=0,MEASURESAV,IF(M02S02F35="",MEASURERATE,IF(OR(F40="Others (Incremental)",F40="Others"),MEASURESUBMIT, IF(BC40&lt;1,MEASUREPAY,IF(AV40&lt;1,MEASURECB,""))))),MEASURESUBMIT)</f>
        <v>Submit for Review</v>
      </c>
      <c r="BH40" s="995" t="str">
        <f ca="1">IF(OR(C40="",F40="",F40="",L40="",P40="",R40="",T40="",X40="",Z40="",AB40="",AD40="",AF40=""),"",IF('M01-S01'!$V$82&lt;TODAY(),0,IF(M02S02F46="Gas Only",0,IF(OR(AK40="",AK40&lt;0,AH40&lt;=AN40),0,MIN(AH40-AN40,ROUND(IF(OR(ISNUMBER(SEARCH("Compressed Air",F40)),ISNUMBER(SEARCH("T8",F40)),ISNUMBER(SEARCH("T5",F40)),ISNUMBER(SEARCH("MH",F40)),ISNUMBER(SEARCH("HPS",F40)),ISNUMBER(SEARCH("MV",F40))),AN40*0.2),2))))))</f>
        <v/>
      </c>
    </row>
    <row r="41" spans="2:61" ht="15.95" hidden="1" customHeight="1">
      <c r="B41" s="923"/>
      <c r="C41" s="1088"/>
      <c r="D41" s="1088"/>
      <c r="E41" s="1088"/>
      <c r="F41" s="1088"/>
      <c r="G41" s="1088"/>
      <c r="H41" s="1088"/>
      <c r="I41" s="1088"/>
      <c r="J41" s="1088"/>
      <c r="K41" s="1088"/>
      <c r="L41" s="835"/>
      <c r="M41" s="836"/>
      <c r="N41" s="836"/>
      <c r="O41" s="837"/>
      <c r="P41" s="848"/>
      <c r="Q41" s="849"/>
      <c r="R41" s="1110"/>
      <c r="S41" s="1198"/>
      <c r="T41" s="843"/>
      <c r="U41" s="836"/>
      <c r="V41" s="836"/>
      <c r="W41" s="837"/>
      <c r="X41" s="1078"/>
      <c r="Y41" s="1078"/>
      <c r="Z41" s="1179"/>
      <c r="AA41" s="1179"/>
      <c r="AB41" s="1166"/>
      <c r="AC41" s="1166"/>
      <c r="AD41" s="870"/>
      <c r="AE41" s="1092"/>
      <c r="AF41" s="1195"/>
      <c r="AG41" s="1196"/>
      <c r="AH41" s="1130"/>
      <c r="AI41" s="1131"/>
      <c r="AJ41" s="1131"/>
      <c r="AK41" s="1143"/>
      <c r="AL41" s="1143"/>
      <c r="AM41" s="1143"/>
      <c r="AN41" s="1133"/>
      <c r="AO41" s="1133"/>
      <c r="AP41" s="1133"/>
      <c r="AQ41" s="1133"/>
      <c r="AR41" s="59"/>
      <c r="AU41" s="1102"/>
      <c r="AV41" s="1102"/>
      <c r="AW41" s="1186"/>
      <c r="AX41" s="1069"/>
      <c r="AY41" s="1098"/>
      <c r="AZ41" s="1098"/>
      <c r="BA41" s="1098"/>
      <c r="BB41" s="1098"/>
      <c r="BC41" s="1098"/>
      <c r="BD41" s="1184"/>
      <c r="BE41" s="1098"/>
      <c r="BH41" s="996"/>
    </row>
    <row r="42" spans="2:61" ht="15.95" hidden="1" customHeight="1">
      <c r="B42" s="923">
        <v>14</v>
      </c>
      <c r="C42" s="1087"/>
      <c r="D42" s="1087"/>
      <c r="E42" s="1087"/>
      <c r="F42" s="1087"/>
      <c r="G42" s="1087"/>
      <c r="H42" s="1087"/>
      <c r="I42" s="1087"/>
      <c r="J42" s="1087"/>
      <c r="K42" s="1087"/>
      <c r="L42" s="866"/>
      <c r="M42" s="867"/>
      <c r="N42" s="867"/>
      <c r="O42" s="868"/>
      <c r="P42" s="846"/>
      <c r="Q42" s="847"/>
      <c r="R42" s="1108"/>
      <c r="S42" s="1197"/>
      <c r="T42" s="1177"/>
      <c r="U42" s="867"/>
      <c r="V42" s="867"/>
      <c r="W42" s="868"/>
      <c r="X42" s="1077"/>
      <c r="Y42" s="1077"/>
      <c r="Z42" s="1178"/>
      <c r="AA42" s="1178"/>
      <c r="AB42" s="1165" t="str">
        <f t="shared" ref="AB42" si="115">IF(C42="New Construction","Incremental","")</f>
        <v/>
      </c>
      <c r="AC42" s="1165"/>
      <c r="AD42" s="869"/>
      <c r="AE42" s="1091"/>
      <c r="AF42" s="1193" t="str">
        <f t="shared" ref="AF42" si="116">IF(AB42="Incremental",0,"")</f>
        <v/>
      </c>
      <c r="AG42" s="1194"/>
      <c r="AH42" s="865" t="str">
        <f t="shared" ref="AH42" si="117">IF(OR(C42="",F42="",L42="",P42="",R42="",T42="",X42="",Z42="",AD42="",AF42=""),"",ROUND(AD42+AF42,2))</f>
        <v/>
      </c>
      <c r="AI42" s="1096"/>
      <c r="AJ42" s="1096"/>
      <c r="AK42" s="1105" t="str">
        <f t="shared" ref="AK42" si="118">IF(OR(C42="",F42="",F42="",L42="",P42="",R42="",T42="",X42="",Z42="",AB42="",AD42="",AF42=""),"",IF((P42*R42)-(X42*Z42)&lt;=0,0,ROUND((P42*R42)-(X42*Z42),2)))</f>
        <v/>
      </c>
      <c r="AL42" s="1105"/>
      <c r="AM42" s="1105"/>
      <c r="AN42" s="1132" t="str">
        <f t="shared" ref="AN42" si="119">IF(OR(C42="",F42="",F42="",L42="",P42="",R42="",T42="",X42="",Z42="",AB42="",AD42="",AF42=""),"",IF(BE42&lt;&gt;"",BE42,IF(C42="Custom",AY42,IF(C42="New Construction",AZ42,IF(C42="RCx",BA42)))))</f>
        <v/>
      </c>
      <c r="AO42" s="1132"/>
      <c r="AP42" s="1132"/>
      <c r="AQ42" s="1132"/>
      <c r="AR42" s="59"/>
      <c r="AU42" s="1103" t="str">
        <f>IF(F42="","",INDEX(CUSTNONLIGHTEUNIT,MATCH(F42,PROGRAMECAT[Category 1],0)))</f>
        <v/>
      </c>
      <c r="AV42" s="1103" t="str">
        <f>IF(OR(C42="",F42="",L42="",P42="",R42="",T42="",X42="",Z42="",AB42="",AD42="",AF42=""),"",((1+ELOSS)*((AK42*INDEX(ELECCB[NPV AEC $/kWh],MATCH(BB42,ELECCB[Year Number],1)))+(AX42*INDEX(ELECCB[NPV ACC+T&amp;D $/kW],MATCH(BB42,ELECCB[Year Number],1)))))/AH42)</f>
        <v/>
      </c>
      <c r="AW42" s="1185"/>
      <c r="AX42" s="1187" t="str">
        <f>IF(OR(C42="",F42="",L42="",P42="",R42="",T42="",X42="",Z42="",AB42="",AD42="",AF42=""),"",ROUND(AW42*(INDEX(PROGRAMECAT[Lighting Coincidence Factor],MATCH(F42,PROGRAMECAT[Category 1],0))),3))</f>
        <v/>
      </c>
      <c r="AY42" s="1180" t="str">
        <f>IF(OR(C42="",F42="",F42="",L42="",P42="",R42="",T42="",X42="",Z42="",AB42="",AD42="",AF42=""),"",IF(AB42="Total",ROUND(MIN(AH42*0.75,AK42*INDEX(INCRATE[Electric],MATCH("CMNONLIGHT",INCRATE[Incentive Type]))),2),IF(AB42="Incremental",ROUND(MIN(AH42,AK42*INDEX(INCRATE[Electric],MATCH("CMNONLIGHT",INCRATE[Incentive Type]))),2))))</f>
        <v/>
      </c>
      <c r="AZ42" s="1180" t="str">
        <f>IF(OR(C42="",F42="",F42="",L42="",P42="",R42="",T42="",X42="",Z42="",AB42="",AD42="",AF42=""),"",IF(AB42="Total",ROUND(MIN(AH42*0.75,AK42*INDEX(INCRATE[Electric],MATCH("NCNONLIGHT",INCRATE[Incentive Type]))),2),IF(AB42="Incremental",ROUND(MIN(AH42,AK42*INDEX(INCRATE[Electric],MATCH("NCNONLIGHT",INCRATE[Incentive Type]))),2))))</f>
        <v/>
      </c>
      <c r="BA42" s="1180" t="str">
        <f>IF(OR(C42="",F42="",F42="",L42="",P42="",R42="",T42="",X42="",Z42="",AB42="",AD42="",AF42=""),"",IF(AB42="Total",ROUND(MIN(AH42*0.75,AK42*INDEX(INCRATE[Electric],MATCH("RCX",INCRATE[Incentive Type]))),2),IF(AB42="Incremental",ROUND(MIN(AH42,AK42*INDEX(INCRATE[Electric],MATCH("RCX",INCRATE[Incentive Type]))),2))))</f>
        <v/>
      </c>
      <c r="BB42" s="1097" t="str">
        <f>IF(F42="","",INDEX(PROGRAMECAT[EUL],MATCH(F42,PROGRAMECAT[Category 1],0)))</f>
        <v/>
      </c>
      <c r="BC42" s="1097" t="str">
        <f>IFERROR(AH42/M02S02F35/AK42,"")</f>
        <v/>
      </c>
      <c r="BD42" s="1190" t="str">
        <f>IF(OR(C42="",F42="",L42="",P42="",R42="",T42="",X42="",Z42="",AB42="",AD42="",AF42=""),"",IF(ISNUMBER(AN42),INDEX(PROGRAMECAT[Measure Number],MATCH(F42,PROGRAMECAT[Category 1],0)),IF(AK42=0,"","000001")))</f>
        <v/>
      </c>
      <c r="BE42" s="1097" t="str">
        <f>IFERROR(IF((P42*R42)-(X42*Z42)&lt;=0,MEASURESAV,IF(M02S02F35="",MEASURERATE,IF(OR(F42="Others (Incremental)",F42="Others"),MEASURESUBMIT, IF(BC42&lt;1,MEASUREPAY,IF(AV42&lt;1,MEASURECB,""))))),MEASURESUBMIT)</f>
        <v>Submit for Review</v>
      </c>
      <c r="BH42" s="995" t="str">
        <f ca="1">IF(OR(C42="",F42="",F42="",L42="",P42="",R42="",T42="",X42="",Z42="",AB42="",AD42="",AF42=""),"",IF('M01-S01'!$V$82&lt;TODAY(),0,IF(M02S02F46="Gas Only",0,IF(OR(AK42="",AK42&lt;0,AH42&lt;=AN42),0,MIN(AH42-AN42,ROUND(IF(OR(ISNUMBER(SEARCH("Compressed Air",F42)),ISNUMBER(SEARCH("T8",F42)),ISNUMBER(SEARCH("T5",F42)),ISNUMBER(SEARCH("MH",F42)),ISNUMBER(SEARCH("HPS",F42)),ISNUMBER(SEARCH("MV",F42))),AN42*0.2),2))))))</f>
        <v/>
      </c>
    </row>
    <row r="43" spans="2:61" ht="15.95" hidden="1" customHeight="1">
      <c r="B43" s="923"/>
      <c r="C43" s="1088"/>
      <c r="D43" s="1088"/>
      <c r="E43" s="1088"/>
      <c r="F43" s="1088"/>
      <c r="G43" s="1088"/>
      <c r="H43" s="1088"/>
      <c r="I43" s="1088"/>
      <c r="J43" s="1088"/>
      <c r="K43" s="1088"/>
      <c r="L43" s="835"/>
      <c r="M43" s="836"/>
      <c r="N43" s="836"/>
      <c r="O43" s="837"/>
      <c r="P43" s="848"/>
      <c r="Q43" s="849"/>
      <c r="R43" s="1110"/>
      <c r="S43" s="1198"/>
      <c r="T43" s="843"/>
      <c r="U43" s="836"/>
      <c r="V43" s="836"/>
      <c r="W43" s="837"/>
      <c r="X43" s="1078"/>
      <c r="Y43" s="1078"/>
      <c r="Z43" s="1179"/>
      <c r="AA43" s="1179"/>
      <c r="AB43" s="1166"/>
      <c r="AC43" s="1166"/>
      <c r="AD43" s="870"/>
      <c r="AE43" s="1092"/>
      <c r="AF43" s="1195"/>
      <c r="AG43" s="1196"/>
      <c r="AH43" s="1130"/>
      <c r="AI43" s="1131"/>
      <c r="AJ43" s="1131"/>
      <c r="AK43" s="1143"/>
      <c r="AL43" s="1143"/>
      <c r="AM43" s="1143"/>
      <c r="AN43" s="1133"/>
      <c r="AO43" s="1133"/>
      <c r="AP43" s="1133"/>
      <c r="AQ43" s="1133"/>
      <c r="AR43" s="59"/>
      <c r="AU43" s="1102"/>
      <c r="AV43" s="1102"/>
      <c r="AW43" s="1186"/>
      <c r="AX43" s="1069"/>
      <c r="AY43" s="1098"/>
      <c r="AZ43" s="1098"/>
      <c r="BA43" s="1098"/>
      <c r="BB43" s="1098"/>
      <c r="BC43" s="1098"/>
      <c r="BD43" s="1184"/>
      <c r="BE43" s="1098"/>
      <c r="BH43" s="996"/>
    </row>
    <row r="44" spans="2:61" ht="15.95" hidden="1" customHeight="1">
      <c r="B44" s="923">
        <v>15</v>
      </c>
      <c r="C44" s="1087"/>
      <c r="D44" s="1087"/>
      <c r="E44" s="1087"/>
      <c r="F44" s="1087"/>
      <c r="G44" s="1087"/>
      <c r="H44" s="1087"/>
      <c r="I44" s="1087"/>
      <c r="J44" s="1087"/>
      <c r="K44" s="1087"/>
      <c r="L44" s="866"/>
      <c r="M44" s="867"/>
      <c r="N44" s="867"/>
      <c r="O44" s="868"/>
      <c r="P44" s="846"/>
      <c r="Q44" s="847"/>
      <c r="R44" s="1108"/>
      <c r="S44" s="1197"/>
      <c r="T44" s="1177"/>
      <c r="U44" s="867"/>
      <c r="V44" s="867"/>
      <c r="W44" s="868"/>
      <c r="X44" s="1077"/>
      <c r="Y44" s="1077"/>
      <c r="Z44" s="1178"/>
      <c r="AA44" s="1178"/>
      <c r="AB44" s="1165" t="str">
        <f t="shared" ref="AB44" si="120">IF(C44="New Construction","Incremental","")</f>
        <v/>
      </c>
      <c r="AC44" s="1165"/>
      <c r="AD44" s="869"/>
      <c r="AE44" s="1091"/>
      <c r="AF44" s="1193" t="str">
        <f t="shared" ref="AF44" si="121">IF(AB44="Incremental",0,"")</f>
        <v/>
      </c>
      <c r="AG44" s="1194"/>
      <c r="AH44" s="865" t="str">
        <f t="shared" ref="AH44" si="122">IF(OR(C44="",F44="",L44="",P44="",R44="",T44="",X44="",Z44="",AD44="",AF44=""),"",ROUND(AD44+AF44,2))</f>
        <v/>
      </c>
      <c r="AI44" s="1096"/>
      <c r="AJ44" s="1096"/>
      <c r="AK44" s="1105" t="str">
        <f t="shared" ref="AK44" si="123">IF(OR(C44="",F44="",F44="",L44="",P44="",R44="",T44="",X44="",Z44="",AB44="",AD44="",AF44=""),"",IF((P44*R44)-(X44*Z44)&lt;=0,0,ROUND((P44*R44)-(X44*Z44),2)))</f>
        <v/>
      </c>
      <c r="AL44" s="1105"/>
      <c r="AM44" s="1105"/>
      <c r="AN44" s="1132" t="str">
        <f t="shared" ref="AN44" si="124">IF(OR(C44="",F44="",F44="",L44="",P44="",R44="",T44="",X44="",Z44="",AB44="",AD44="",AF44=""),"",IF(BE44&lt;&gt;"",BE44,IF(C44="Custom",AY44,IF(C44="New Construction",AZ44,IF(C44="RCx",BA44)))))</f>
        <v/>
      </c>
      <c r="AO44" s="1132"/>
      <c r="AP44" s="1132"/>
      <c r="AQ44" s="1132"/>
      <c r="AR44" s="59"/>
      <c r="AU44" s="1103" t="str">
        <f>IF(F44="","",INDEX(CUSTNONLIGHTEUNIT,MATCH(F44,PROGRAMECAT[Category 1],0)))</f>
        <v/>
      </c>
      <c r="AV44" s="1103" t="str">
        <f>IF(OR(C44="",F44="",L44="",P44="",R44="",T44="",X44="",Z44="",AB44="",AD44="",AF44=""),"",((1+ELOSS)*((AK44*INDEX(ELECCB[NPV AEC $/kWh],MATCH(BB44,ELECCB[Year Number],1)))+(AX44*INDEX(ELECCB[NPV ACC+T&amp;D $/kW],MATCH(BB44,ELECCB[Year Number],1)))))/AH44)</f>
        <v/>
      </c>
      <c r="AW44" s="1185"/>
      <c r="AX44" s="1187" t="str">
        <f>IF(OR(C44="",F44="",L44="",P44="",R44="",T44="",X44="",Z44="",AB44="",AD44="",AF44=""),"",ROUND(AW44*(INDEX(PROGRAMECAT[Lighting Coincidence Factor],MATCH(F44,PROGRAMECAT[Category 1],0))),3))</f>
        <v/>
      </c>
      <c r="AY44" s="1180" t="str">
        <f>IF(OR(C44="",F44="",F44="",L44="",P44="",R44="",T44="",X44="",Z44="",AB44="",AD44="",AF44=""),"",IF(AB44="Total",ROUND(MIN(AH44*0.75,AK44*INDEX(INCRATE[Electric],MATCH("CMNONLIGHT",INCRATE[Incentive Type]))),2),IF(AB44="Incremental",ROUND(MIN(AH44,AK44*INDEX(INCRATE[Electric],MATCH("CMNONLIGHT",INCRATE[Incentive Type]))),2))))</f>
        <v/>
      </c>
      <c r="AZ44" s="1180" t="str">
        <f>IF(OR(C44="",F44="",F44="",L44="",P44="",R44="",T44="",X44="",Z44="",AB44="",AD44="",AF44=""),"",IF(AB44="Total",ROUND(MIN(AH44*0.75,AK44*INDEX(INCRATE[Electric],MATCH("NCNONLIGHT",INCRATE[Incentive Type]))),2),IF(AB44="Incremental",ROUND(MIN(AH44,AK44*INDEX(INCRATE[Electric],MATCH("NCNONLIGHT",INCRATE[Incentive Type]))),2))))</f>
        <v/>
      </c>
      <c r="BA44" s="1180" t="str">
        <f>IF(OR(C44="",F44="",F44="",L44="",P44="",R44="",T44="",X44="",Z44="",AB44="",AD44="",AF44=""),"",IF(AB44="Total",ROUND(MIN(AH44*0.75,AK44*INDEX(INCRATE[Electric],MATCH("RCX",INCRATE[Incentive Type]))),2),IF(AB44="Incremental",ROUND(MIN(AH44,AK44*INDEX(INCRATE[Electric],MATCH("RCX",INCRATE[Incentive Type]))),2))))</f>
        <v/>
      </c>
      <c r="BB44" s="1097" t="str">
        <f>IF(F44="","",INDEX(PROGRAMECAT[EUL],MATCH(F44,PROGRAMECAT[Category 1],0)))</f>
        <v/>
      </c>
      <c r="BC44" s="1097" t="str">
        <f>IFERROR(AH44/M02S02F35/AK44,"")</f>
        <v/>
      </c>
      <c r="BD44" s="1190" t="str">
        <f>IF(OR(C44="",F44="",L44="",P44="",R44="",T44="",X44="",Z44="",AB44="",AD44="",AF44=""),"",IF(ISNUMBER(AN44),INDEX(PROGRAMECAT[Measure Number],MATCH(F44,PROGRAMECAT[Category 1],0)),IF(AK44=0,"","000001")))</f>
        <v/>
      </c>
      <c r="BE44" s="1097" t="str">
        <f>IFERROR(IF((P44*R44)-(X44*Z44)&lt;=0,MEASURESAV,IF(M02S02F35="",MEASURERATE,IF(OR(F44="Others (Incremental)",F44="Others"),MEASURESUBMIT, IF(BC44&lt;1,MEASUREPAY,IF(AV44&lt;1,MEASURECB,""))))),MEASURESUBMIT)</f>
        <v>Submit for Review</v>
      </c>
      <c r="BH44" s="995" t="str">
        <f ca="1">IF(OR(C44="",F44="",F44="",L44="",P44="",R44="",T44="",X44="",Z44="",AB44="",AD44="",AF44=""),"",IF('M01-S01'!$V$82&lt;TODAY(),0,IF(M02S02F46="Gas Only",0,IF(OR(AK44="",AK44&lt;0,AH44&lt;=AN44),0,MIN(AH44-AN44,ROUND(IF(OR(ISNUMBER(SEARCH("Compressed Air",F44)),ISNUMBER(SEARCH("T8",F44)),ISNUMBER(SEARCH("T5",F44)),ISNUMBER(SEARCH("MH",F44)),ISNUMBER(SEARCH("HPS",F44)),ISNUMBER(SEARCH("MV",F44))),AN44*0.2),2))))))</f>
        <v/>
      </c>
    </row>
    <row r="45" spans="2:61" ht="15.95" hidden="1" customHeight="1">
      <c r="B45" s="923"/>
      <c r="C45" s="1088"/>
      <c r="D45" s="1088"/>
      <c r="E45" s="1088"/>
      <c r="F45" s="1088"/>
      <c r="G45" s="1088"/>
      <c r="H45" s="1088"/>
      <c r="I45" s="1088"/>
      <c r="J45" s="1088"/>
      <c r="K45" s="1088"/>
      <c r="L45" s="835"/>
      <c r="M45" s="836"/>
      <c r="N45" s="836"/>
      <c r="O45" s="837"/>
      <c r="P45" s="848"/>
      <c r="Q45" s="849"/>
      <c r="R45" s="1110"/>
      <c r="S45" s="1198"/>
      <c r="T45" s="843"/>
      <c r="U45" s="836"/>
      <c r="V45" s="836"/>
      <c r="W45" s="837"/>
      <c r="X45" s="1078"/>
      <c r="Y45" s="1078"/>
      <c r="Z45" s="1179"/>
      <c r="AA45" s="1179"/>
      <c r="AB45" s="1166"/>
      <c r="AC45" s="1166"/>
      <c r="AD45" s="870"/>
      <c r="AE45" s="1092"/>
      <c r="AF45" s="1195"/>
      <c r="AG45" s="1196"/>
      <c r="AH45" s="1130"/>
      <c r="AI45" s="1131"/>
      <c r="AJ45" s="1131"/>
      <c r="AK45" s="1143"/>
      <c r="AL45" s="1143"/>
      <c r="AM45" s="1143"/>
      <c r="AN45" s="1133"/>
      <c r="AO45" s="1133"/>
      <c r="AP45" s="1133"/>
      <c r="AQ45" s="1133"/>
      <c r="AR45" s="59"/>
      <c r="AU45" s="1102"/>
      <c r="AV45" s="1102"/>
      <c r="AW45" s="1186"/>
      <c r="AX45" s="1069"/>
      <c r="AY45" s="1098"/>
      <c r="AZ45" s="1098"/>
      <c r="BA45" s="1098"/>
      <c r="BB45" s="1098"/>
      <c r="BC45" s="1098"/>
      <c r="BD45" s="1184"/>
      <c r="BE45" s="1098"/>
      <c r="BH45" s="996"/>
    </row>
    <row r="46" spans="2:61" ht="15.95" hidden="1" customHeight="1">
      <c r="B46" s="923">
        <v>16</v>
      </c>
      <c r="C46" s="1087"/>
      <c r="D46" s="1087"/>
      <c r="E46" s="1087"/>
      <c r="F46" s="1087"/>
      <c r="G46" s="1087"/>
      <c r="H46" s="1087"/>
      <c r="I46" s="1087"/>
      <c r="J46" s="1087"/>
      <c r="K46" s="1087"/>
      <c r="L46" s="866"/>
      <c r="M46" s="867"/>
      <c r="N46" s="867"/>
      <c r="O46" s="868"/>
      <c r="P46" s="846"/>
      <c r="Q46" s="847"/>
      <c r="R46" s="1108"/>
      <c r="S46" s="1197"/>
      <c r="T46" s="1177"/>
      <c r="U46" s="867"/>
      <c r="V46" s="867"/>
      <c r="W46" s="868"/>
      <c r="X46" s="1077"/>
      <c r="Y46" s="1077"/>
      <c r="Z46" s="1178"/>
      <c r="AA46" s="1178"/>
      <c r="AB46" s="1165" t="str">
        <f t="shared" ref="AB46" si="125">IF(C46="New Construction","Incremental","")</f>
        <v/>
      </c>
      <c r="AC46" s="1165"/>
      <c r="AD46" s="869"/>
      <c r="AE46" s="1091"/>
      <c r="AF46" s="1193" t="str">
        <f t="shared" ref="AF46" si="126">IF(AB46="Incremental",0,"")</f>
        <v/>
      </c>
      <c r="AG46" s="1194"/>
      <c r="AH46" s="865" t="str">
        <f t="shared" ref="AH46" si="127">IF(OR(C46="",F46="",L46="",P46="",R46="",T46="",X46="",Z46="",AD46="",AF46=""),"",ROUND(AD46+AF46,2))</f>
        <v/>
      </c>
      <c r="AI46" s="1096"/>
      <c r="AJ46" s="1096"/>
      <c r="AK46" s="1105" t="str">
        <f t="shared" ref="AK46" si="128">IF(OR(C46="",F46="",F46="",L46="",P46="",R46="",T46="",X46="",Z46="",AB46="",AD46="",AF46=""),"",IF((P46*R46)-(X46*Z46)&lt;=0,0,ROUND((P46*R46)-(X46*Z46),2)))</f>
        <v/>
      </c>
      <c r="AL46" s="1105"/>
      <c r="AM46" s="1105"/>
      <c r="AN46" s="1132" t="str">
        <f t="shared" ref="AN46" si="129">IF(OR(C46="",F46="",F46="",L46="",P46="",R46="",T46="",X46="",Z46="",AB46="",AD46="",AF46=""),"",IF(BE46&lt;&gt;"",BE46,IF(C46="Custom",AY46,IF(C46="New Construction",AZ46,IF(C46="RCx",BA46)))))</f>
        <v/>
      </c>
      <c r="AO46" s="1132"/>
      <c r="AP46" s="1132"/>
      <c r="AQ46" s="1132"/>
      <c r="AR46" s="59"/>
      <c r="AU46" s="1103" t="str">
        <f>IF(F46="","",INDEX(CUSTNONLIGHTEUNIT,MATCH(F46,PROGRAMECAT[Category 1],0)))</f>
        <v/>
      </c>
      <c r="AV46" s="1103" t="str">
        <f>IF(OR(C46="",F46="",L46="",P46="",R46="",T46="",X46="",Z46="",AB46="",AD46="",AF46=""),"",((1+ELOSS)*((AK46*INDEX(ELECCB[NPV AEC $/kWh],MATCH(BB46,ELECCB[Year Number],1)))+(AX46*INDEX(ELECCB[NPV ACC+T&amp;D $/kW],MATCH(BB46,ELECCB[Year Number],1)))))/AH46)</f>
        <v/>
      </c>
      <c r="AW46" s="1185"/>
      <c r="AX46" s="1187" t="str">
        <f>IF(OR(C46="",F46="",L46="",P46="",R46="",T46="",X46="",Z46="",AB46="",AD46="",AF46=""),"",ROUND(AW46*(INDEX(PROGRAMECAT[Lighting Coincidence Factor],MATCH(F46,PROGRAMECAT[Category 1],0))),3))</f>
        <v/>
      </c>
      <c r="AY46" s="1180" t="str">
        <f>IF(OR(C46="",F46="",F46="",L46="",P46="",R46="",T46="",X46="",Z46="",AB46="",AD46="",AF46=""),"",IF(AB46="Total",ROUND(MIN(AH46*0.75,AK46*INDEX(INCRATE[Electric],MATCH("CMNONLIGHT",INCRATE[Incentive Type]))),2),IF(AB46="Incremental",ROUND(MIN(AH46,AK46*INDEX(INCRATE[Electric],MATCH("CMNONLIGHT",INCRATE[Incentive Type]))),2))))</f>
        <v/>
      </c>
      <c r="AZ46" s="1180" t="str">
        <f>IF(OR(C46="",F46="",F46="",L46="",P46="",R46="",T46="",X46="",Z46="",AB46="",AD46="",AF46=""),"",IF(AB46="Total",ROUND(MIN(AH46*0.75,AK46*INDEX(INCRATE[Electric],MATCH("NCNONLIGHT",INCRATE[Incentive Type]))),2),IF(AB46="Incremental",ROUND(MIN(AH46,AK46*INDEX(INCRATE[Electric],MATCH("NCNONLIGHT",INCRATE[Incentive Type]))),2))))</f>
        <v/>
      </c>
      <c r="BA46" s="1180" t="str">
        <f>IF(OR(C46="",F46="",F46="",L46="",P46="",R46="",T46="",X46="",Z46="",AB46="",AD46="",AF46=""),"",IF(AB46="Total",ROUND(MIN(AH46*0.75,AK46*INDEX(INCRATE[Electric],MATCH("RCX",INCRATE[Incentive Type]))),2),IF(AB46="Incremental",ROUND(MIN(AH46,AK46*INDEX(INCRATE[Electric],MATCH("RCX",INCRATE[Incentive Type]))),2))))</f>
        <v/>
      </c>
      <c r="BB46" s="1097" t="str">
        <f>IF(F46="","",INDEX(PROGRAMECAT[EUL],MATCH(F46,PROGRAMECAT[Category 1],0)))</f>
        <v/>
      </c>
      <c r="BC46" s="1097" t="str">
        <f>IFERROR(AH46/M02S02F35/AK46,"")</f>
        <v/>
      </c>
      <c r="BD46" s="1190" t="str">
        <f>IF(OR(C46="",F46="",L46="",P46="",R46="",T46="",X46="",Z46="",AB46="",AD46="",AF46=""),"",IF(ISNUMBER(AN46),INDEX(PROGRAMECAT[Measure Number],MATCH(F46,PROGRAMECAT[Category 1],0)),IF(AK46=0,"","000001")))</f>
        <v/>
      </c>
      <c r="BE46" s="1097" t="str">
        <f>IFERROR(IF((P46*R46)-(X46*Z46)&lt;=0,MEASURESAV,IF(M02S02F35="",MEASURERATE,IF(OR(F46="Others (Incremental)",F46="Others"),MEASURESUBMIT, IF(BC46&lt;1,MEASUREPAY,IF(AV46&lt;1,MEASURECB,""))))),MEASURESUBMIT)</f>
        <v>Submit for Review</v>
      </c>
      <c r="BH46" s="995" t="str">
        <f ca="1">IF(OR(C46="",F46="",F46="",L46="",P46="",R46="",T46="",X46="",Z46="",AB46="",AD46="",AF46=""),"",IF('M01-S01'!$V$82&lt;TODAY(),0,IF(M02S02F46="Gas Only",0,IF(OR(AK46="",AK46&lt;0,AH46&lt;=AN46),0,MIN(AH46-AN46,ROUND(IF(OR(ISNUMBER(SEARCH("Compressed Air",F46)),ISNUMBER(SEARCH("T8",F46)),ISNUMBER(SEARCH("T5",F46)),ISNUMBER(SEARCH("MH",F46)),ISNUMBER(SEARCH("HPS",F46)),ISNUMBER(SEARCH("MV",F46))),AN46*0.2),2))))))</f>
        <v/>
      </c>
    </row>
    <row r="47" spans="2:61" ht="15.95" hidden="1" customHeight="1">
      <c r="B47" s="923"/>
      <c r="C47" s="1088"/>
      <c r="D47" s="1088"/>
      <c r="E47" s="1088"/>
      <c r="F47" s="1088"/>
      <c r="G47" s="1088"/>
      <c r="H47" s="1088"/>
      <c r="I47" s="1088"/>
      <c r="J47" s="1088"/>
      <c r="K47" s="1088"/>
      <c r="L47" s="835"/>
      <c r="M47" s="836"/>
      <c r="N47" s="836"/>
      <c r="O47" s="837"/>
      <c r="P47" s="848"/>
      <c r="Q47" s="849"/>
      <c r="R47" s="1110"/>
      <c r="S47" s="1198"/>
      <c r="T47" s="843"/>
      <c r="U47" s="836"/>
      <c r="V47" s="836"/>
      <c r="W47" s="837"/>
      <c r="X47" s="1078"/>
      <c r="Y47" s="1078"/>
      <c r="Z47" s="1179"/>
      <c r="AA47" s="1179"/>
      <c r="AB47" s="1166"/>
      <c r="AC47" s="1166"/>
      <c r="AD47" s="870"/>
      <c r="AE47" s="1092"/>
      <c r="AF47" s="1195"/>
      <c r="AG47" s="1196"/>
      <c r="AH47" s="1130"/>
      <c r="AI47" s="1131"/>
      <c r="AJ47" s="1131"/>
      <c r="AK47" s="1143"/>
      <c r="AL47" s="1143"/>
      <c r="AM47" s="1143"/>
      <c r="AN47" s="1133"/>
      <c r="AO47" s="1133"/>
      <c r="AP47" s="1133"/>
      <c r="AQ47" s="1133"/>
      <c r="AR47" s="59"/>
      <c r="AU47" s="1102"/>
      <c r="AV47" s="1102"/>
      <c r="AW47" s="1186"/>
      <c r="AX47" s="1069"/>
      <c r="AY47" s="1098"/>
      <c r="AZ47" s="1098"/>
      <c r="BA47" s="1098"/>
      <c r="BB47" s="1098"/>
      <c r="BC47" s="1098"/>
      <c r="BD47" s="1184"/>
      <c r="BE47" s="1098"/>
      <c r="BH47" s="996"/>
    </row>
    <row r="48" spans="2:61" ht="15.95" hidden="1" customHeight="1">
      <c r="B48" s="923">
        <v>17</v>
      </c>
      <c r="C48" s="1087"/>
      <c r="D48" s="1087"/>
      <c r="E48" s="1087"/>
      <c r="F48" s="1087"/>
      <c r="G48" s="1087"/>
      <c r="H48" s="1087"/>
      <c r="I48" s="1087"/>
      <c r="J48" s="1087"/>
      <c r="K48" s="1087"/>
      <c r="L48" s="866"/>
      <c r="M48" s="867"/>
      <c r="N48" s="867"/>
      <c r="O48" s="868"/>
      <c r="P48" s="846"/>
      <c r="Q48" s="847"/>
      <c r="R48" s="1108"/>
      <c r="S48" s="1197"/>
      <c r="T48" s="1177"/>
      <c r="U48" s="867"/>
      <c r="V48" s="867"/>
      <c r="W48" s="868"/>
      <c r="X48" s="1077"/>
      <c r="Y48" s="1077"/>
      <c r="Z48" s="1178"/>
      <c r="AA48" s="1178"/>
      <c r="AB48" s="1165" t="str">
        <f t="shared" ref="AB48" si="130">IF(C48="New Construction","Incremental","")</f>
        <v/>
      </c>
      <c r="AC48" s="1165"/>
      <c r="AD48" s="869"/>
      <c r="AE48" s="1091"/>
      <c r="AF48" s="1193" t="str">
        <f t="shared" ref="AF48" si="131">IF(AB48="Incremental",0,"")</f>
        <v/>
      </c>
      <c r="AG48" s="1194"/>
      <c r="AH48" s="865" t="str">
        <f t="shared" ref="AH48" si="132">IF(OR(C48="",F48="",L48="",P48="",R48="",T48="",X48="",Z48="",AD48="",AF48=""),"",ROUND(AD48+AF48,2))</f>
        <v/>
      </c>
      <c r="AI48" s="1096"/>
      <c r="AJ48" s="1096"/>
      <c r="AK48" s="1105" t="str">
        <f t="shared" ref="AK48" si="133">IF(OR(C48="",F48="",F48="",L48="",P48="",R48="",T48="",X48="",Z48="",AB48="",AD48="",AF48=""),"",IF((P48*R48)-(X48*Z48)&lt;=0,0,ROUND((P48*R48)-(X48*Z48),2)))</f>
        <v/>
      </c>
      <c r="AL48" s="1105"/>
      <c r="AM48" s="1105"/>
      <c r="AN48" s="1132" t="str">
        <f t="shared" ref="AN48" si="134">IF(OR(C48="",F48="",F48="",L48="",P48="",R48="",T48="",X48="",Z48="",AB48="",AD48="",AF48=""),"",IF(BE48&lt;&gt;"",BE48,IF(C48="Custom",AY48,IF(C48="New Construction",AZ48,IF(C48="RCx",BA48)))))</f>
        <v/>
      </c>
      <c r="AO48" s="1132"/>
      <c r="AP48" s="1132"/>
      <c r="AQ48" s="1132"/>
      <c r="AR48" s="59"/>
      <c r="AU48" s="1103" t="str">
        <f>IF(F48="","",INDEX(CUSTNONLIGHTEUNIT,MATCH(F48,PROGRAMECAT[Category 1],0)))</f>
        <v/>
      </c>
      <c r="AV48" s="1103" t="str">
        <f>IF(OR(C48="",F48="",L48="",P48="",R48="",T48="",X48="",Z48="",AB48="",AD48="",AF48=""),"",((1+ELOSS)*((AK48*INDEX(ELECCB[NPV AEC $/kWh],MATCH(BB48,ELECCB[Year Number],1)))+(AX48*INDEX(ELECCB[NPV ACC+T&amp;D $/kW],MATCH(BB48,ELECCB[Year Number],1)))))/AH48)</f>
        <v/>
      </c>
      <c r="AW48" s="1185"/>
      <c r="AX48" s="1187" t="str">
        <f>IF(OR(C48="",F48="",L48="",P48="",R48="",T48="",X48="",Z48="",AB48="",AD48="",AF48=""),"",ROUND(AW48*(INDEX(PROGRAMECAT[Lighting Coincidence Factor],MATCH(F48,PROGRAMECAT[Category 1],0))),3))</f>
        <v/>
      </c>
      <c r="AY48" s="1180" t="str">
        <f>IF(OR(C48="",F48="",F48="",L48="",P48="",R48="",T48="",X48="",Z48="",AB48="",AD48="",AF48=""),"",IF(AB48="Total",ROUND(MIN(AH48*0.75,AK48*INDEX(INCRATE[Electric],MATCH("CMNONLIGHT",INCRATE[Incentive Type]))),2),IF(AB48="Incremental",ROUND(MIN(AH48,AK48*INDEX(INCRATE[Electric],MATCH("CMNONLIGHT",INCRATE[Incentive Type]))),2))))</f>
        <v/>
      </c>
      <c r="AZ48" s="1180" t="str">
        <f>IF(OR(C48="",F48="",F48="",L48="",P48="",R48="",T48="",X48="",Z48="",AB48="",AD48="",AF48=""),"",IF(AB48="Total",ROUND(MIN(AH48*0.75,AK48*INDEX(INCRATE[Electric],MATCH("NCNONLIGHT",INCRATE[Incentive Type]))),2),IF(AB48="Incremental",ROUND(MIN(AH48,AK48*INDEX(INCRATE[Electric],MATCH("NCNONLIGHT",INCRATE[Incentive Type]))),2))))</f>
        <v/>
      </c>
      <c r="BA48" s="1180" t="str">
        <f>IF(OR(C48="",F48="",F48="",L48="",P48="",R48="",T48="",X48="",Z48="",AB48="",AD48="",AF48=""),"",IF(AB48="Total",ROUND(MIN(AH48*0.75,AK48*INDEX(INCRATE[Electric],MATCH("RCX",INCRATE[Incentive Type]))),2),IF(AB48="Incremental",ROUND(MIN(AH48,AK48*INDEX(INCRATE[Electric],MATCH("RCX",INCRATE[Incentive Type]))),2))))</f>
        <v/>
      </c>
      <c r="BB48" s="1097" t="str">
        <f>IF(F48="","",INDEX(PROGRAMECAT[EUL],MATCH(F48,PROGRAMECAT[Category 1],0)))</f>
        <v/>
      </c>
      <c r="BC48" s="1097" t="str">
        <f>IFERROR(AH48/M02S02F35/AK48,"")</f>
        <v/>
      </c>
      <c r="BD48" s="1190" t="str">
        <f>IF(OR(C48="",F48="",L48="",P48="",R48="",T48="",X48="",Z48="",AB48="",AD48="",AF48=""),"",IF(ISNUMBER(AN48),INDEX(PROGRAMECAT[Measure Number],MATCH(F48,PROGRAMECAT[Category 1],0)),IF(AK48=0,"","000001")))</f>
        <v/>
      </c>
      <c r="BE48" s="1097" t="str">
        <f>IFERROR(IF((P48*R48)-(X48*Z48)&lt;=0,MEASURESAV,IF(M02S02F35="",MEASURERATE,IF(OR(F48="Others (Incremental)",F48="Others"),MEASURESUBMIT, IF(BC48&lt;1,MEASUREPAY,IF(AV48&lt;1,MEASURECB,""))))),MEASURESUBMIT)</f>
        <v>Submit for Review</v>
      </c>
      <c r="BH48" s="995" t="str">
        <f ca="1">IF(OR(C48="",F48="",F48="",L48="",P48="",R48="",T48="",X48="",Z48="",AB48="",AD48="",AF48=""),"",IF('M01-S01'!$V$82&lt;TODAY(),0,IF(M02S02F46="Gas Only",0,IF(OR(AK48="",AK48&lt;0,AH48&lt;=AN48),0,MIN(AH48-AN48,ROUND(IF(OR(ISNUMBER(SEARCH("Compressed Air",F48)),ISNUMBER(SEARCH("T8",F48)),ISNUMBER(SEARCH("T5",F48)),ISNUMBER(SEARCH("MH",F48)),ISNUMBER(SEARCH("HPS",F48)),ISNUMBER(SEARCH("MV",F48))),AN48*0.2),2))))))</f>
        <v/>
      </c>
    </row>
    <row r="49" spans="2:60" ht="15.95" hidden="1" customHeight="1">
      <c r="B49" s="923"/>
      <c r="C49" s="1088"/>
      <c r="D49" s="1088"/>
      <c r="E49" s="1088"/>
      <c r="F49" s="1088"/>
      <c r="G49" s="1088"/>
      <c r="H49" s="1088"/>
      <c r="I49" s="1088"/>
      <c r="J49" s="1088"/>
      <c r="K49" s="1088"/>
      <c r="L49" s="835"/>
      <c r="M49" s="836"/>
      <c r="N49" s="836"/>
      <c r="O49" s="837"/>
      <c r="P49" s="848"/>
      <c r="Q49" s="849"/>
      <c r="R49" s="1110"/>
      <c r="S49" s="1198"/>
      <c r="T49" s="843"/>
      <c r="U49" s="836"/>
      <c r="V49" s="836"/>
      <c r="W49" s="837"/>
      <c r="X49" s="1078"/>
      <c r="Y49" s="1078"/>
      <c r="Z49" s="1179"/>
      <c r="AA49" s="1179"/>
      <c r="AB49" s="1166"/>
      <c r="AC49" s="1166"/>
      <c r="AD49" s="870"/>
      <c r="AE49" s="1092"/>
      <c r="AF49" s="1195"/>
      <c r="AG49" s="1196"/>
      <c r="AH49" s="1130"/>
      <c r="AI49" s="1131"/>
      <c r="AJ49" s="1131"/>
      <c r="AK49" s="1143"/>
      <c r="AL49" s="1143"/>
      <c r="AM49" s="1143"/>
      <c r="AN49" s="1133"/>
      <c r="AO49" s="1133"/>
      <c r="AP49" s="1133"/>
      <c r="AQ49" s="1133"/>
      <c r="AR49" s="59"/>
      <c r="AU49" s="1102"/>
      <c r="AV49" s="1102"/>
      <c r="AW49" s="1186"/>
      <c r="AX49" s="1069"/>
      <c r="AY49" s="1098"/>
      <c r="AZ49" s="1098"/>
      <c r="BA49" s="1098"/>
      <c r="BB49" s="1098"/>
      <c r="BC49" s="1098"/>
      <c r="BD49" s="1184"/>
      <c r="BE49" s="1098"/>
      <c r="BH49" s="996"/>
    </row>
    <row r="50" spans="2:60" ht="15.95" hidden="1" customHeight="1">
      <c r="B50" s="923">
        <v>18</v>
      </c>
      <c r="C50" s="1087"/>
      <c r="D50" s="1087"/>
      <c r="E50" s="1087"/>
      <c r="F50" s="1087"/>
      <c r="G50" s="1087"/>
      <c r="H50" s="1087"/>
      <c r="I50" s="1087"/>
      <c r="J50" s="1087"/>
      <c r="K50" s="1087"/>
      <c r="L50" s="866"/>
      <c r="M50" s="867"/>
      <c r="N50" s="867"/>
      <c r="O50" s="868"/>
      <c r="P50" s="846"/>
      <c r="Q50" s="847"/>
      <c r="R50" s="1108"/>
      <c r="S50" s="1197"/>
      <c r="T50" s="1177"/>
      <c r="U50" s="867"/>
      <c r="V50" s="867"/>
      <c r="W50" s="868"/>
      <c r="X50" s="1077"/>
      <c r="Y50" s="1077"/>
      <c r="Z50" s="1178"/>
      <c r="AA50" s="1178"/>
      <c r="AB50" s="1165" t="str">
        <f t="shared" ref="AB50" si="135">IF(C50="New Construction","Incremental","")</f>
        <v/>
      </c>
      <c r="AC50" s="1165"/>
      <c r="AD50" s="869"/>
      <c r="AE50" s="1091"/>
      <c r="AF50" s="1193" t="str">
        <f t="shared" ref="AF50" si="136">IF(AB50="Incremental",0,"")</f>
        <v/>
      </c>
      <c r="AG50" s="1194"/>
      <c r="AH50" s="865" t="str">
        <f t="shared" ref="AH50" si="137">IF(OR(C50="",F50="",L50="",P50="",R50="",T50="",X50="",Z50="",AD50="",AF50=""),"",ROUND(AD50+AF50,2))</f>
        <v/>
      </c>
      <c r="AI50" s="1096"/>
      <c r="AJ50" s="1096"/>
      <c r="AK50" s="1105" t="str">
        <f t="shared" ref="AK50" si="138">IF(OR(C50="",F50="",F50="",L50="",P50="",R50="",T50="",X50="",Z50="",AB50="",AD50="",AF50=""),"",IF((P50*R50)-(X50*Z50)&lt;=0,0,ROUND((P50*R50)-(X50*Z50),2)))</f>
        <v/>
      </c>
      <c r="AL50" s="1105"/>
      <c r="AM50" s="1105"/>
      <c r="AN50" s="1132" t="str">
        <f t="shared" ref="AN50" si="139">IF(OR(C50="",F50="",F50="",L50="",P50="",R50="",T50="",X50="",Z50="",AB50="",AD50="",AF50=""),"",IF(BE50&lt;&gt;"",BE50,IF(C50="Custom",AY50,IF(C50="New Construction",AZ50,IF(C50="RCx",BA50)))))</f>
        <v/>
      </c>
      <c r="AO50" s="1132"/>
      <c r="AP50" s="1132"/>
      <c r="AQ50" s="1132"/>
      <c r="AR50" s="59"/>
      <c r="AU50" s="1103" t="str">
        <f>IF(F50="","",INDEX(CUSTNONLIGHTEUNIT,MATCH(F50,PROGRAMECAT[Category 1],0)))</f>
        <v/>
      </c>
      <c r="AV50" s="1103" t="str">
        <f>IF(OR(C50="",F50="",L50="",P50="",R50="",T50="",X50="",Z50="",AB50="",AD50="",AF50=""),"",((1+ELOSS)*((AK50*INDEX(ELECCB[NPV AEC $/kWh],MATCH(BB50,ELECCB[Year Number],1)))+(AX50*INDEX(ELECCB[NPV ACC+T&amp;D $/kW],MATCH(BB50,ELECCB[Year Number],1)))))/AH50)</f>
        <v/>
      </c>
      <c r="AW50" s="1185"/>
      <c r="AX50" s="1187" t="str">
        <f>IF(OR(C50="",F50="",L50="",P50="",R50="",T50="",X50="",Z50="",AB50="",AD50="",AF50=""),"",ROUND(AW50*(INDEX(PROGRAMECAT[Lighting Coincidence Factor],MATCH(F50,PROGRAMECAT[Category 1],0))),3))</f>
        <v/>
      </c>
      <c r="AY50" s="1180" t="str">
        <f>IF(OR(C50="",F50="",F50="",L50="",P50="",R50="",T50="",X50="",Z50="",AB50="",AD50="",AF50=""),"",IF(AB50="Total",ROUND(MIN(AH50*0.75,AK50*INDEX(INCRATE[Electric],MATCH("CMNONLIGHT",INCRATE[Incentive Type]))),2),IF(AB50="Incremental",ROUND(MIN(AH50,AK50*INDEX(INCRATE[Electric],MATCH("CMNONLIGHT",INCRATE[Incentive Type]))),2))))</f>
        <v/>
      </c>
      <c r="AZ50" s="1180" t="str">
        <f>IF(OR(C50="",F50="",F50="",L50="",P50="",R50="",T50="",X50="",Z50="",AB50="",AD50="",AF50=""),"",IF(AB50="Total",ROUND(MIN(AH50*0.75,AK50*INDEX(INCRATE[Electric],MATCH("NCNONLIGHT",INCRATE[Incentive Type]))),2),IF(AB50="Incremental",ROUND(MIN(AH50,AK50*INDEX(INCRATE[Electric],MATCH("NCNONLIGHT",INCRATE[Incentive Type]))),2))))</f>
        <v/>
      </c>
      <c r="BA50" s="1180" t="str">
        <f>IF(OR(C50="",F50="",F50="",L50="",P50="",R50="",T50="",X50="",Z50="",AB50="",AD50="",AF50=""),"",IF(AB50="Total",ROUND(MIN(AH50*0.75,AK50*INDEX(INCRATE[Electric],MATCH("RCX",INCRATE[Incentive Type]))),2),IF(AB50="Incremental",ROUND(MIN(AH50,AK50*INDEX(INCRATE[Electric],MATCH("RCX",INCRATE[Incentive Type]))),2))))</f>
        <v/>
      </c>
      <c r="BB50" s="1097" t="str">
        <f>IF(F50="","",INDEX(PROGRAMECAT[EUL],MATCH(F50,PROGRAMECAT[Category 1],0)))</f>
        <v/>
      </c>
      <c r="BC50" s="1097" t="str">
        <f>IFERROR(AH50/M02S02F35/AK50,"")</f>
        <v/>
      </c>
      <c r="BD50" s="1190" t="str">
        <f>IF(OR(C50="",F50="",L50="",P50="",R50="",T50="",X50="",Z50="",AB50="",AD50="",AF50=""),"",IF(ISNUMBER(AN50),INDEX(PROGRAMECAT[Measure Number],MATCH(F50,PROGRAMECAT[Category 1],0)),IF(AK50=0,"","000001")))</f>
        <v/>
      </c>
      <c r="BE50" s="1097" t="str">
        <f>IFERROR(IF((P50*R50)-(X50*Z50)&lt;=0,MEASURESAV,IF(M02S02F35="",MEASURERATE,IF(OR(F50="Others (Incremental)",F50="Others"),MEASURESUBMIT, IF(BC50&lt;1,MEASUREPAY,IF(AV50&lt;1,MEASURECB,""))))),MEASURESUBMIT)</f>
        <v>Submit for Review</v>
      </c>
      <c r="BH50" s="995" t="str">
        <f ca="1">IF(OR(C50="",F50="",F50="",L50="",P50="",R50="",T50="",X50="",Z50="",AB50="",AD50="",AF50=""),"",IF('M01-S01'!$V$82&lt;TODAY(),0,IF(M02S02F46="Gas Only",0,IF(OR(AK50="",AK50&lt;0,AH50&lt;=AN50),0,MIN(AH50-AN50,ROUND(IF(OR(ISNUMBER(SEARCH("Compressed Air",F50)),ISNUMBER(SEARCH("T8",F50)),ISNUMBER(SEARCH("T5",F50)),ISNUMBER(SEARCH("MH",F50)),ISNUMBER(SEARCH("HPS",F50)),ISNUMBER(SEARCH("MV",F50))),AN50*0.2),2))))))</f>
        <v/>
      </c>
    </row>
    <row r="51" spans="2:60" ht="15.95" hidden="1" customHeight="1">
      <c r="B51" s="923"/>
      <c r="C51" s="1088"/>
      <c r="D51" s="1088"/>
      <c r="E51" s="1088"/>
      <c r="F51" s="1088"/>
      <c r="G51" s="1088"/>
      <c r="H51" s="1088"/>
      <c r="I51" s="1088"/>
      <c r="J51" s="1088"/>
      <c r="K51" s="1088"/>
      <c r="L51" s="835"/>
      <c r="M51" s="836"/>
      <c r="N51" s="836"/>
      <c r="O51" s="837"/>
      <c r="P51" s="848"/>
      <c r="Q51" s="849"/>
      <c r="R51" s="1110"/>
      <c r="S51" s="1198"/>
      <c r="T51" s="843"/>
      <c r="U51" s="836"/>
      <c r="V51" s="836"/>
      <c r="W51" s="837"/>
      <c r="X51" s="1078"/>
      <c r="Y51" s="1078"/>
      <c r="Z51" s="1179"/>
      <c r="AA51" s="1179"/>
      <c r="AB51" s="1166"/>
      <c r="AC51" s="1166"/>
      <c r="AD51" s="870"/>
      <c r="AE51" s="1092"/>
      <c r="AF51" s="1195"/>
      <c r="AG51" s="1196"/>
      <c r="AH51" s="1130"/>
      <c r="AI51" s="1131"/>
      <c r="AJ51" s="1131"/>
      <c r="AK51" s="1143"/>
      <c r="AL51" s="1143"/>
      <c r="AM51" s="1143"/>
      <c r="AN51" s="1133"/>
      <c r="AO51" s="1133"/>
      <c r="AP51" s="1133"/>
      <c r="AQ51" s="1133"/>
      <c r="AR51" s="59"/>
      <c r="AU51" s="1102"/>
      <c r="AV51" s="1102"/>
      <c r="AW51" s="1186"/>
      <c r="AX51" s="1069"/>
      <c r="AY51" s="1098"/>
      <c r="AZ51" s="1098"/>
      <c r="BA51" s="1098"/>
      <c r="BB51" s="1098"/>
      <c r="BC51" s="1098"/>
      <c r="BD51" s="1184"/>
      <c r="BE51" s="1098"/>
      <c r="BH51" s="996"/>
    </row>
    <row r="52" spans="2:60" ht="15.95" hidden="1" customHeight="1">
      <c r="B52" s="923">
        <v>19</v>
      </c>
      <c r="C52" s="1087"/>
      <c r="D52" s="1087"/>
      <c r="E52" s="1087"/>
      <c r="F52" s="1087"/>
      <c r="G52" s="1087"/>
      <c r="H52" s="1087"/>
      <c r="I52" s="1087"/>
      <c r="J52" s="1087"/>
      <c r="K52" s="1087"/>
      <c r="L52" s="866"/>
      <c r="M52" s="867"/>
      <c r="N52" s="867"/>
      <c r="O52" s="868"/>
      <c r="P52" s="846"/>
      <c r="Q52" s="847"/>
      <c r="R52" s="1108"/>
      <c r="S52" s="1197"/>
      <c r="T52" s="1177"/>
      <c r="U52" s="867"/>
      <c r="V52" s="867"/>
      <c r="W52" s="868"/>
      <c r="X52" s="1077"/>
      <c r="Y52" s="1077"/>
      <c r="Z52" s="1178"/>
      <c r="AA52" s="1178"/>
      <c r="AB52" s="1165" t="str">
        <f t="shared" ref="AB52" si="140">IF(C52="New Construction","Incremental","")</f>
        <v/>
      </c>
      <c r="AC52" s="1165"/>
      <c r="AD52" s="869"/>
      <c r="AE52" s="1091"/>
      <c r="AF52" s="1193" t="str">
        <f t="shared" ref="AF52" si="141">IF(AB52="Incremental",0,"")</f>
        <v/>
      </c>
      <c r="AG52" s="1194"/>
      <c r="AH52" s="865" t="str">
        <f t="shared" ref="AH52" si="142">IF(OR(C52="",F52="",L52="",P52="",R52="",T52="",X52="",Z52="",AD52="",AF52=""),"",ROUND(AD52+AF52,2))</f>
        <v/>
      </c>
      <c r="AI52" s="1096"/>
      <c r="AJ52" s="1096"/>
      <c r="AK52" s="1105" t="str">
        <f t="shared" ref="AK52" si="143">IF(OR(C52="",F52="",F52="",L52="",P52="",R52="",T52="",X52="",Z52="",AB52="",AD52="",AF52=""),"",IF((P52*R52)-(X52*Z52)&lt;=0,0,ROUND((P52*R52)-(X52*Z52),2)))</f>
        <v/>
      </c>
      <c r="AL52" s="1105"/>
      <c r="AM52" s="1105"/>
      <c r="AN52" s="1132" t="str">
        <f t="shared" ref="AN52" si="144">IF(OR(C52="",F52="",F52="",L52="",P52="",R52="",T52="",X52="",Z52="",AB52="",AD52="",AF52=""),"",IF(BE52&lt;&gt;"",BE52,IF(C52="Custom",AY52,IF(C52="New Construction",AZ52,IF(C52="RCx",BA52)))))</f>
        <v/>
      </c>
      <c r="AO52" s="1132"/>
      <c r="AP52" s="1132"/>
      <c r="AQ52" s="1132"/>
      <c r="AR52" s="59"/>
      <c r="AU52" s="1103" t="str">
        <f>IF(F52="","",INDEX(CUSTNONLIGHTEUNIT,MATCH(F52,PROGRAMECAT[Category 1],0)))</f>
        <v/>
      </c>
      <c r="AV52" s="1103" t="str">
        <f>IF(OR(C52="",F52="",L52="",P52="",R52="",T52="",X52="",Z52="",AB52="",AD52="",AF52=""),"",((1+ELOSS)*((AK52*INDEX(ELECCB[NPV AEC $/kWh],MATCH(BB52,ELECCB[Year Number],1)))+(AX52*INDEX(ELECCB[NPV ACC+T&amp;D $/kW],MATCH(BB52,ELECCB[Year Number],1)))))/AH52)</f>
        <v/>
      </c>
      <c r="AW52" s="1185"/>
      <c r="AX52" s="1187" t="str">
        <f>IF(OR(C52="",F52="",L52="",P52="",R52="",T52="",X52="",Z52="",AB52="",AD52="",AF52=""),"",ROUND(AW52*(INDEX(PROGRAMECAT[Lighting Coincidence Factor],MATCH(F52,PROGRAMECAT[Category 1],0))),3))</f>
        <v/>
      </c>
      <c r="AY52" s="1180" t="str">
        <f>IF(OR(C52="",F52="",F52="",L52="",P52="",R52="",T52="",X52="",Z52="",AB52="",AD52="",AF52=""),"",IF(AB52="Total",ROUND(MIN(AH52*0.75,AK52*INDEX(INCRATE[Electric],MATCH("CMNONLIGHT",INCRATE[Incentive Type]))),2),IF(AB52="Incremental",ROUND(MIN(AH52,AK52*INDEX(INCRATE[Electric],MATCH("CMNONLIGHT",INCRATE[Incentive Type]))),2))))</f>
        <v/>
      </c>
      <c r="AZ52" s="1180" t="str">
        <f>IF(OR(C52="",F52="",F52="",L52="",P52="",R52="",T52="",X52="",Z52="",AB52="",AD52="",AF52=""),"",IF(AB52="Total",ROUND(MIN(AH52*0.75,AK52*INDEX(INCRATE[Electric],MATCH("NCNONLIGHT",INCRATE[Incentive Type]))),2),IF(AB52="Incremental",ROUND(MIN(AH52,AK52*INDEX(INCRATE[Electric],MATCH("NCNONLIGHT",INCRATE[Incentive Type]))),2))))</f>
        <v/>
      </c>
      <c r="BA52" s="1180" t="str">
        <f>IF(OR(C52="",F52="",F52="",L52="",P52="",R52="",T52="",X52="",Z52="",AB52="",AD52="",AF52=""),"",IF(AB52="Total",ROUND(MIN(AH52*0.75,AK52*INDEX(INCRATE[Electric],MATCH("RCX",INCRATE[Incentive Type]))),2),IF(AB52="Incremental",ROUND(MIN(AH52,AK52*INDEX(INCRATE[Electric],MATCH("RCX",INCRATE[Incentive Type]))),2))))</f>
        <v/>
      </c>
      <c r="BB52" s="1097" t="str">
        <f>IF(F52="","",INDEX(PROGRAMECAT[EUL],MATCH(F52,PROGRAMECAT[Category 1],0)))</f>
        <v/>
      </c>
      <c r="BC52" s="1097" t="str">
        <f>IFERROR(AH52/M02S02F35/AK52,"")</f>
        <v/>
      </c>
      <c r="BD52" s="1190" t="str">
        <f>IF(OR(C52="",F52="",L52="",P52="",R52="",T52="",X52="",Z52="",AB52="",AD52="",AF52=""),"",IF(ISNUMBER(AN52),INDEX(PROGRAMECAT[Measure Number],MATCH(F52,PROGRAMECAT[Category 1],0)),IF(AK52=0,"","000001")))</f>
        <v/>
      </c>
      <c r="BE52" s="1097" t="str">
        <f>IFERROR(IF((P52*R52)-(X52*Z52)&lt;=0,MEASURESAV,IF(M02S02F35="",MEASURERATE,IF(OR(F52="Others (Incremental)",F52="Others"),MEASURESUBMIT, IF(BC52&lt;1,MEASUREPAY,IF(AV52&lt;1,MEASURECB,""))))),MEASURESUBMIT)</f>
        <v>Submit for Review</v>
      </c>
      <c r="BH52" s="995" t="str">
        <f ca="1">IF(OR(C52="",F52="",F52="",L52="",P52="",R52="",T52="",X52="",Z52="",AB52="",AD52="",AF52=""),"",IF('M01-S01'!$V$82&lt;TODAY(),0,IF(M02S02F46="Gas Only",0,IF(OR(AK52="",AK52&lt;0,AH52&lt;=AN52),0,MIN(AH52-AN52,ROUND(IF(OR(ISNUMBER(SEARCH("Compressed Air",F52)),ISNUMBER(SEARCH("T8",F52)),ISNUMBER(SEARCH("T5",F52)),ISNUMBER(SEARCH("MH",F52)),ISNUMBER(SEARCH("HPS",F52)),ISNUMBER(SEARCH("MV",F52))),AN52*0.2),2))))))</f>
        <v/>
      </c>
    </row>
    <row r="53" spans="2:60" ht="15.95" hidden="1" customHeight="1">
      <c r="B53" s="923"/>
      <c r="C53" s="1088"/>
      <c r="D53" s="1088"/>
      <c r="E53" s="1088"/>
      <c r="F53" s="1088"/>
      <c r="G53" s="1088"/>
      <c r="H53" s="1088"/>
      <c r="I53" s="1088"/>
      <c r="J53" s="1088"/>
      <c r="K53" s="1088"/>
      <c r="L53" s="835"/>
      <c r="M53" s="836"/>
      <c r="N53" s="836"/>
      <c r="O53" s="837"/>
      <c r="P53" s="848"/>
      <c r="Q53" s="849"/>
      <c r="R53" s="1110"/>
      <c r="S53" s="1198"/>
      <c r="T53" s="843"/>
      <c r="U53" s="836"/>
      <c r="V53" s="836"/>
      <c r="W53" s="837"/>
      <c r="X53" s="1078"/>
      <c r="Y53" s="1078"/>
      <c r="Z53" s="1179"/>
      <c r="AA53" s="1179"/>
      <c r="AB53" s="1166"/>
      <c r="AC53" s="1166"/>
      <c r="AD53" s="870"/>
      <c r="AE53" s="1092"/>
      <c r="AF53" s="1195"/>
      <c r="AG53" s="1196"/>
      <c r="AH53" s="1130"/>
      <c r="AI53" s="1131"/>
      <c r="AJ53" s="1131"/>
      <c r="AK53" s="1143"/>
      <c r="AL53" s="1143"/>
      <c r="AM53" s="1143"/>
      <c r="AN53" s="1133"/>
      <c r="AO53" s="1133"/>
      <c r="AP53" s="1133"/>
      <c r="AQ53" s="1133"/>
      <c r="AR53" s="59"/>
      <c r="AU53" s="1102"/>
      <c r="AV53" s="1102"/>
      <c r="AW53" s="1186"/>
      <c r="AX53" s="1069"/>
      <c r="AY53" s="1098"/>
      <c r="AZ53" s="1098"/>
      <c r="BA53" s="1098"/>
      <c r="BB53" s="1098"/>
      <c r="BC53" s="1098"/>
      <c r="BD53" s="1184"/>
      <c r="BE53" s="1098"/>
      <c r="BH53" s="996"/>
    </row>
    <row r="54" spans="2:60" ht="15.95" hidden="1" customHeight="1">
      <c r="B54" s="923">
        <v>20</v>
      </c>
      <c r="C54" s="1087"/>
      <c r="D54" s="1087"/>
      <c r="E54" s="1087"/>
      <c r="F54" s="1087"/>
      <c r="G54" s="1087"/>
      <c r="H54" s="1087"/>
      <c r="I54" s="1087"/>
      <c r="J54" s="1087"/>
      <c r="K54" s="1087"/>
      <c r="L54" s="866"/>
      <c r="M54" s="867"/>
      <c r="N54" s="867"/>
      <c r="O54" s="868"/>
      <c r="P54" s="846"/>
      <c r="Q54" s="847"/>
      <c r="R54" s="1108"/>
      <c r="S54" s="1197"/>
      <c r="T54" s="1177"/>
      <c r="U54" s="867"/>
      <c r="V54" s="867"/>
      <c r="W54" s="868"/>
      <c r="X54" s="1077"/>
      <c r="Y54" s="1077"/>
      <c r="Z54" s="1178"/>
      <c r="AA54" s="1178"/>
      <c r="AB54" s="1165" t="str">
        <f t="shared" ref="AB54" si="145">IF(C54="New Construction","Incremental","")</f>
        <v/>
      </c>
      <c r="AC54" s="1165"/>
      <c r="AD54" s="869"/>
      <c r="AE54" s="1091"/>
      <c r="AF54" s="1193" t="str">
        <f t="shared" ref="AF54" si="146">IF(AB54="Incremental",0,"")</f>
        <v/>
      </c>
      <c r="AG54" s="1194"/>
      <c r="AH54" s="865" t="str">
        <f t="shared" ref="AH54" si="147">IF(OR(C54="",F54="",L54="",P54="",R54="",T54="",X54="",Z54="",AD54="",AF54=""),"",ROUND(AD54+AF54,2))</f>
        <v/>
      </c>
      <c r="AI54" s="1096"/>
      <c r="AJ54" s="1096"/>
      <c r="AK54" s="1105" t="str">
        <f t="shared" ref="AK54" si="148">IF(OR(C54="",F54="",F54="",L54="",P54="",R54="",T54="",X54="",Z54="",AB54="",AD54="",AF54=""),"",IF((P54*R54)-(X54*Z54)&lt;=0,0,ROUND((P54*R54)-(X54*Z54),2)))</f>
        <v/>
      </c>
      <c r="AL54" s="1105"/>
      <c r="AM54" s="1105"/>
      <c r="AN54" s="1132" t="str">
        <f t="shared" ref="AN54" si="149">IF(OR(C54="",F54="",F54="",L54="",P54="",R54="",T54="",X54="",Z54="",AB54="",AD54="",AF54=""),"",IF(BE54&lt;&gt;"",BE54,IF(C54="Custom",AY54,IF(C54="New Construction",AZ54,IF(C54="RCx",BA54)))))</f>
        <v/>
      </c>
      <c r="AO54" s="1132"/>
      <c r="AP54" s="1132"/>
      <c r="AQ54" s="1132"/>
      <c r="AR54" s="59"/>
      <c r="AU54" s="1103" t="str">
        <f>IF(F54="","",INDEX(CUSTNONLIGHTEUNIT,MATCH(F54,PROGRAMECAT[Category 1],0)))</f>
        <v/>
      </c>
      <c r="AV54" s="1103" t="str">
        <f>IF(OR(C54="",F54="",L54="",P54="",R54="",T54="",X54="",Z54="",AB54="",AD54="",AF54=""),"",((1+ELOSS)*((AK54*INDEX(ELECCB[NPV AEC $/kWh],MATCH(BB54,ELECCB[Year Number],1)))+(AX54*INDEX(ELECCB[NPV ACC+T&amp;D $/kW],MATCH(BB54,ELECCB[Year Number],1)))))/AH54)</f>
        <v/>
      </c>
      <c r="AW54" s="1185"/>
      <c r="AX54" s="1187" t="str">
        <f>IF(OR(C54="",F54="",L54="",P54="",R54="",T54="",X54="",Z54="",AB54="",AD54="",AF54=""),"",ROUND(AW54*(INDEX(PROGRAMECAT[Lighting Coincidence Factor],MATCH(F54,PROGRAMECAT[Category 1],0))),3))</f>
        <v/>
      </c>
      <c r="AY54" s="1180" t="str">
        <f>IF(OR(C54="",F54="",F54="",L54="",P54="",R54="",T54="",X54="",Z54="",AB54="",AD54="",AF54=""),"",IF(AB54="Total",ROUND(MIN(AH54*0.75,AK54*INDEX(INCRATE[Electric],MATCH("CMNONLIGHT",INCRATE[Incentive Type]))),2),IF(AB54="Incremental",ROUND(MIN(AH54,AK54*INDEX(INCRATE[Electric],MATCH("CMNONLIGHT",INCRATE[Incentive Type]))),2))))</f>
        <v/>
      </c>
      <c r="AZ54" s="1180" t="str">
        <f>IF(OR(C54="",F54="",F54="",L54="",P54="",R54="",T54="",X54="",Z54="",AB54="",AD54="",AF54=""),"",IF(AB54="Total",ROUND(MIN(AH54*0.75,AK54*INDEX(INCRATE[Electric],MATCH("NCNONLIGHT",INCRATE[Incentive Type]))),2),IF(AB54="Incremental",ROUND(MIN(AH54,AK54*INDEX(INCRATE[Electric],MATCH("NCNONLIGHT",INCRATE[Incentive Type]))),2))))</f>
        <v/>
      </c>
      <c r="BA54" s="1180" t="str">
        <f>IF(OR(C54="",F54="",F54="",L54="",P54="",R54="",T54="",X54="",Z54="",AB54="",AD54="",AF54=""),"",IF(AB54="Total",ROUND(MIN(AH54*0.75,AK54*INDEX(INCRATE[Electric],MATCH("RCX",INCRATE[Incentive Type]))),2),IF(AB54="Incremental",ROUND(MIN(AH54,AK54*INDEX(INCRATE[Electric],MATCH("RCX",INCRATE[Incentive Type]))),2))))</f>
        <v/>
      </c>
      <c r="BB54" s="1097" t="str">
        <f>IF(F54="","",INDEX(PROGRAMECAT[EUL],MATCH(F54,PROGRAMECAT[Category 1],0)))</f>
        <v/>
      </c>
      <c r="BC54" s="1097" t="str">
        <f>IFERROR(AH54/M02S02F35/AK54,"")</f>
        <v/>
      </c>
      <c r="BD54" s="1190" t="str">
        <f>IF(OR(C54="",F54="",L54="",P54="",R54="",T54="",X54="",Z54="",AB54="",AD54="",AF54=""),"",IF(ISNUMBER(AN54),INDEX(PROGRAMECAT[Measure Number],MATCH(F54,PROGRAMECAT[Category 1],0)),IF(AK54=0,"","000001")))</f>
        <v/>
      </c>
      <c r="BE54" s="1097" t="str">
        <f>IFERROR(IF((P54*R54)-(X54*Z54)&lt;=0,MEASURESAV,IF(M02S02F35="",MEASURERATE,IF(OR(F54="Others (Incremental)",F54="Others"),MEASURESUBMIT, IF(BC54&lt;1,MEASUREPAY,IF(AV54&lt;1,MEASURECB,""))))),MEASURESUBMIT)</f>
        <v>Submit for Review</v>
      </c>
      <c r="BH54" s="995" t="str">
        <f ca="1">IF(OR(C54="",F54="",F54="",L54="",P54="",R54="",T54="",X54="",Z54="",AB54="",AD54="",AF54=""),"",IF('M01-S01'!$V$82&lt;TODAY(),0,IF(M02S02F46="Gas Only",0,IF(OR(AK54="",AK54&lt;0,AH54&lt;=AN54),0,MIN(AH54-AN54,ROUND(IF(OR(ISNUMBER(SEARCH("Compressed Air",F54)),ISNUMBER(SEARCH("T8",F54)),ISNUMBER(SEARCH("T5",F54)),ISNUMBER(SEARCH("MH",F54)),ISNUMBER(SEARCH("HPS",F54)),ISNUMBER(SEARCH("MV",F54))),AN54*0.2),2))))))</f>
        <v/>
      </c>
    </row>
    <row r="55" spans="2:60" ht="15.95" hidden="1" customHeight="1">
      <c r="B55" s="923"/>
      <c r="C55" s="1088"/>
      <c r="D55" s="1088"/>
      <c r="E55" s="1088"/>
      <c r="F55" s="1088"/>
      <c r="G55" s="1088"/>
      <c r="H55" s="1088"/>
      <c r="I55" s="1088"/>
      <c r="J55" s="1088"/>
      <c r="K55" s="1088"/>
      <c r="L55" s="835"/>
      <c r="M55" s="836"/>
      <c r="N55" s="836"/>
      <c r="O55" s="837"/>
      <c r="P55" s="848"/>
      <c r="Q55" s="849"/>
      <c r="R55" s="1110"/>
      <c r="S55" s="1198"/>
      <c r="T55" s="843"/>
      <c r="U55" s="836"/>
      <c r="V55" s="836"/>
      <c r="W55" s="837"/>
      <c r="X55" s="1078"/>
      <c r="Y55" s="1078"/>
      <c r="Z55" s="1179"/>
      <c r="AA55" s="1179"/>
      <c r="AB55" s="1166"/>
      <c r="AC55" s="1166"/>
      <c r="AD55" s="870"/>
      <c r="AE55" s="1092"/>
      <c r="AF55" s="1195"/>
      <c r="AG55" s="1196"/>
      <c r="AH55" s="1130"/>
      <c r="AI55" s="1131"/>
      <c r="AJ55" s="1131"/>
      <c r="AK55" s="1143"/>
      <c r="AL55" s="1143"/>
      <c r="AM55" s="1143"/>
      <c r="AN55" s="1133"/>
      <c r="AO55" s="1133"/>
      <c r="AP55" s="1133"/>
      <c r="AQ55" s="1133"/>
      <c r="AR55" s="59"/>
      <c r="AU55" s="1102"/>
      <c r="AV55" s="1102"/>
      <c r="AW55" s="1186"/>
      <c r="AX55" s="1069"/>
      <c r="AY55" s="1098"/>
      <c r="AZ55" s="1098"/>
      <c r="BA55" s="1098"/>
      <c r="BB55" s="1098"/>
      <c r="BC55" s="1098"/>
      <c r="BD55" s="1184"/>
      <c r="BE55" s="1098"/>
      <c r="BH55" s="996"/>
    </row>
    <row r="56" spans="2:60" ht="15.95" hidden="1" customHeight="1">
      <c r="B56" s="923">
        <v>21</v>
      </c>
      <c r="C56" s="1087"/>
      <c r="D56" s="1087"/>
      <c r="E56" s="1087"/>
      <c r="F56" s="1087"/>
      <c r="G56" s="1087"/>
      <c r="H56" s="1087"/>
      <c r="I56" s="1087"/>
      <c r="J56" s="1087"/>
      <c r="K56" s="1087"/>
      <c r="L56" s="866"/>
      <c r="M56" s="867"/>
      <c r="N56" s="867"/>
      <c r="O56" s="868"/>
      <c r="P56" s="846"/>
      <c r="Q56" s="847"/>
      <c r="R56" s="1108"/>
      <c r="S56" s="1197"/>
      <c r="T56" s="1177"/>
      <c r="U56" s="867"/>
      <c r="V56" s="867"/>
      <c r="W56" s="868"/>
      <c r="X56" s="1077"/>
      <c r="Y56" s="1077"/>
      <c r="Z56" s="1178"/>
      <c r="AA56" s="1178"/>
      <c r="AB56" s="1165" t="str">
        <f t="shared" ref="AB56" si="150">IF(C56="New Construction","Incremental","")</f>
        <v/>
      </c>
      <c r="AC56" s="1165"/>
      <c r="AD56" s="869"/>
      <c r="AE56" s="1091"/>
      <c r="AF56" s="1193" t="str">
        <f t="shared" ref="AF56" si="151">IF(AB56="Incremental",0,"")</f>
        <v/>
      </c>
      <c r="AG56" s="1194"/>
      <c r="AH56" s="865" t="str">
        <f t="shared" ref="AH56" si="152">IF(OR(C56="",F56="",L56="",P56="",R56="",T56="",X56="",Z56="",AD56="",AF56=""),"",ROUND(AD56+AF56,2))</f>
        <v/>
      </c>
      <c r="AI56" s="1096"/>
      <c r="AJ56" s="1096"/>
      <c r="AK56" s="1105" t="str">
        <f t="shared" ref="AK56" si="153">IF(OR(C56="",F56="",F56="",L56="",P56="",R56="",T56="",X56="",Z56="",AB56="",AD56="",AF56=""),"",IF((P56*R56)-(X56*Z56)&lt;=0,0,ROUND((P56*R56)-(X56*Z56),2)))</f>
        <v/>
      </c>
      <c r="AL56" s="1105"/>
      <c r="AM56" s="1105"/>
      <c r="AN56" s="1132" t="str">
        <f t="shared" ref="AN56" si="154">IF(OR(C56="",F56="",F56="",L56="",P56="",R56="",T56="",X56="",Z56="",AB56="",AD56="",AF56=""),"",IF(BE56&lt;&gt;"",BE56,IF(C56="Custom",AY56,IF(C56="New Construction",AZ56,IF(C56="RCx",BA56)))))</f>
        <v/>
      </c>
      <c r="AO56" s="1132"/>
      <c r="AP56" s="1132"/>
      <c r="AQ56" s="1132"/>
      <c r="AR56" s="59"/>
      <c r="AU56" s="1103" t="str">
        <f>IF(F56="","",INDEX(CUSTNONLIGHTEUNIT,MATCH(F56,PROGRAMECAT[Category 1],0)))</f>
        <v/>
      </c>
      <c r="AV56" s="1103" t="str">
        <f>IF(OR(C56="",F56="",L56="",P56="",R56="",T56="",X56="",Z56="",AB56="",AD56="",AF56=""),"",((1+ELOSS)*((AK56*INDEX(ELECCB[NPV AEC $/kWh],MATCH(BB56,ELECCB[Year Number],1)))+(AX56*INDEX(ELECCB[NPV ACC+T&amp;D $/kW],MATCH(BB56,ELECCB[Year Number],1)))))/AH56)</f>
        <v/>
      </c>
      <c r="AW56" s="1185"/>
      <c r="AX56" s="1187" t="str">
        <f>IF(OR(C56="",F56="",L56="",P56="",R56="",T56="",X56="",Z56="",AB56="",AD56="",AF56=""),"",ROUND(AW56*(INDEX(PROGRAMECAT[Lighting Coincidence Factor],MATCH(F56,PROGRAMECAT[Category 1],0))),3))</f>
        <v/>
      </c>
      <c r="AY56" s="1180" t="str">
        <f>IF(OR(C56="",F56="",F56="",L56="",P56="",R56="",T56="",X56="",Z56="",AB56="",AD56="",AF56=""),"",IF(AB56="Total",ROUND(MIN(AH56*0.75,AK56*INDEX(INCRATE[Electric],MATCH("CMNONLIGHT",INCRATE[Incentive Type]))),2),IF(AB56="Incremental",ROUND(MIN(AH56,AK56*INDEX(INCRATE[Electric],MATCH("CMNONLIGHT",INCRATE[Incentive Type]))),2))))</f>
        <v/>
      </c>
      <c r="AZ56" s="1180" t="str">
        <f>IF(OR(C56="",F56="",F56="",L56="",P56="",R56="",T56="",X56="",Z56="",AB56="",AD56="",AF56=""),"",IF(AB56="Total",ROUND(MIN(AH56*0.75,AK56*INDEX(INCRATE[Electric],MATCH("NCNONLIGHT",INCRATE[Incentive Type]))),2),IF(AB56="Incremental",ROUND(MIN(AH56,AK56*INDEX(INCRATE[Electric],MATCH("NCNONLIGHT",INCRATE[Incentive Type]))),2))))</f>
        <v/>
      </c>
      <c r="BA56" s="1180" t="str">
        <f>IF(OR(C56="",F56="",F56="",L56="",P56="",R56="",T56="",X56="",Z56="",AB56="",AD56="",AF56=""),"",IF(AB56="Total",ROUND(MIN(AH56*0.75,AK56*INDEX(INCRATE[Electric],MATCH("RCX",INCRATE[Incentive Type]))),2),IF(AB56="Incremental",ROUND(MIN(AH56,AK56*INDEX(INCRATE[Electric],MATCH("RCX",INCRATE[Incentive Type]))),2))))</f>
        <v/>
      </c>
      <c r="BB56" s="1097" t="str">
        <f>IF(F56="","",INDEX(PROGRAMECAT[EUL],MATCH(F56,PROGRAMECAT[Category 1],0)))</f>
        <v/>
      </c>
      <c r="BC56" s="1097" t="str">
        <f>IFERROR(AH56/M02S02F35/AK56,"")</f>
        <v/>
      </c>
      <c r="BD56" s="1190" t="str">
        <f>IF(OR(C56="",F56="",L56="",P56="",R56="",T56="",X56="",Z56="",AB56="",AD56="",AF56=""),"",IF(ISNUMBER(AN56),INDEX(PROGRAMECAT[Measure Number],MATCH(F56,PROGRAMECAT[Category 1],0)),IF(AK56=0,"","000001")))</f>
        <v/>
      </c>
      <c r="BE56" s="1097" t="str">
        <f>IFERROR(IF((P56*R56)-(X56*Z56)&lt;=0,MEASURESAV,IF(M02S02F35="",MEASURERATE,IF(OR(F56="Others (Incremental)",F56="Others"),MEASURESUBMIT, IF(BC56&lt;1,MEASUREPAY,IF(AV56&lt;1,MEASURECB,""))))),MEASURESUBMIT)</f>
        <v>Submit for Review</v>
      </c>
      <c r="BH56" s="995" t="str">
        <f ca="1">IF(OR(C56="",F56="",F56="",L56="",P56="",R56="",T56="",X56="",Z56="",AB56="",AD56="",AF56=""),"",IF('M01-S01'!$V$82&lt;TODAY(),0,IF(M02S02F46="Gas Only",0,IF(OR(AK56="",AK56&lt;0,AH56&lt;=AN56),0,MIN(AH56-AN56,ROUND(IF(OR(ISNUMBER(SEARCH("Compressed Air",F56)),ISNUMBER(SEARCH("T8",F56)),ISNUMBER(SEARCH("T5",F56)),ISNUMBER(SEARCH("MH",F56)),ISNUMBER(SEARCH("HPS",F56)),ISNUMBER(SEARCH("MV",F56))),AN56*0.2),2))))))</f>
        <v/>
      </c>
    </row>
    <row r="57" spans="2:60" ht="15.95" hidden="1" customHeight="1">
      <c r="B57" s="923"/>
      <c r="C57" s="1088"/>
      <c r="D57" s="1088"/>
      <c r="E57" s="1088"/>
      <c r="F57" s="1088"/>
      <c r="G57" s="1088"/>
      <c r="H57" s="1088"/>
      <c r="I57" s="1088"/>
      <c r="J57" s="1088"/>
      <c r="K57" s="1088"/>
      <c r="L57" s="835"/>
      <c r="M57" s="836"/>
      <c r="N57" s="836"/>
      <c r="O57" s="837"/>
      <c r="P57" s="848"/>
      <c r="Q57" s="849"/>
      <c r="R57" s="1110"/>
      <c r="S57" s="1198"/>
      <c r="T57" s="843"/>
      <c r="U57" s="836"/>
      <c r="V57" s="836"/>
      <c r="W57" s="837"/>
      <c r="X57" s="1078"/>
      <c r="Y57" s="1078"/>
      <c r="Z57" s="1179"/>
      <c r="AA57" s="1179"/>
      <c r="AB57" s="1166"/>
      <c r="AC57" s="1166"/>
      <c r="AD57" s="870"/>
      <c r="AE57" s="1092"/>
      <c r="AF57" s="1195"/>
      <c r="AG57" s="1196"/>
      <c r="AH57" s="1130"/>
      <c r="AI57" s="1131"/>
      <c r="AJ57" s="1131"/>
      <c r="AK57" s="1143"/>
      <c r="AL57" s="1143"/>
      <c r="AM57" s="1143"/>
      <c r="AN57" s="1133"/>
      <c r="AO57" s="1133"/>
      <c r="AP57" s="1133"/>
      <c r="AQ57" s="1133"/>
      <c r="AR57" s="59"/>
      <c r="AU57" s="1102"/>
      <c r="AV57" s="1102"/>
      <c r="AW57" s="1186"/>
      <c r="AX57" s="1069"/>
      <c r="AY57" s="1098"/>
      <c r="AZ57" s="1098"/>
      <c r="BA57" s="1098"/>
      <c r="BB57" s="1098"/>
      <c r="BC57" s="1098"/>
      <c r="BD57" s="1184"/>
      <c r="BE57" s="1098"/>
      <c r="BH57" s="996"/>
    </row>
    <row r="58" spans="2:60" ht="15.95" hidden="1" customHeight="1">
      <c r="B58" s="923">
        <v>22</v>
      </c>
      <c r="C58" s="1087"/>
      <c r="D58" s="1087"/>
      <c r="E58" s="1087"/>
      <c r="F58" s="1087"/>
      <c r="G58" s="1087"/>
      <c r="H58" s="1087"/>
      <c r="I58" s="1087"/>
      <c r="J58" s="1087"/>
      <c r="K58" s="1087"/>
      <c r="L58" s="866"/>
      <c r="M58" s="867"/>
      <c r="N58" s="867"/>
      <c r="O58" s="868"/>
      <c r="P58" s="846"/>
      <c r="Q58" s="847"/>
      <c r="R58" s="1108"/>
      <c r="S58" s="1197"/>
      <c r="T58" s="1177"/>
      <c r="U58" s="867"/>
      <c r="V58" s="867"/>
      <c r="W58" s="868"/>
      <c r="X58" s="1077"/>
      <c r="Y58" s="1077"/>
      <c r="Z58" s="1178"/>
      <c r="AA58" s="1178"/>
      <c r="AB58" s="1165" t="str">
        <f t="shared" ref="AB58" si="155">IF(C58="New Construction","Incremental","")</f>
        <v/>
      </c>
      <c r="AC58" s="1165"/>
      <c r="AD58" s="869"/>
      <c r="AE58" s="1091"/>
      <c r="AF58" s="1193" t="str">
        <f t="shared" ref="AF58" si="156">IF(AB58="Incremental",0,"")</f>
        <v/>
      </c>
      <c r="AG58" s="1194"/>
      <c r="AH58" s="865" t="str">
        <f t="shared" ref="AH58" si="157">IF(OR(C58="",F58="",L58="",P58="",R58="",T58="",X58="",Z58="",AD58="",AF58=""),"",ROUND(AD58+AF58,2))</f>
        <v/>
      </c>
      <c r="AI58" s="1096"/>
      <c r="AJ58" s="1096"/>
      <c r="AK58" s="1105" t="str">
        <f t="shared" ref="AK58" si="158">IF(OR(C58="",F58="",F58="",L58="",P58="",R58="",T58="",X58="",Z58="",AB58="",AD58="",AF58=""),"",IF((P58*R58)-(X58*Z58)&lt;=0,0,ROUND((P58*R58)-(X58*Z58),2)))</f>
        <v/>
      </c>
      <c r="AL58" s="1105"/>
      <c r="AM58" s="1105"/>
      <c r="AN58" s="1132" t="str">
        <f t="shared" ref="AN58" si="159">IF(OR(C58="",F58="",F58="",L58="",P58="",R58="",T58="",X58="",Z58="",AB58="",AD58="",AF58=""),"",IF(BE58&lt;&gt;"",BE58,IF(C58="Custom",AY58,IF(C58="New Construction",AZ58,IF(C58="RCx",BA58)))))</f>
        <v/>
      </c>
      <c r="AO58" s="1132"/>
      <c r="AP58" s="1132"/>
      <c r="AQ58" s="1132"/>
      <c r="AR58" s="59"/>
      <c r="AU58" s="1103" t="str">
        <f>IF(F58="","",INDEX(CUSTNONLIGHTEUNIT,MATCH(F58,PROGRAMECAT[Category 1],0)))</f>
        <v/>
      </c>
      <c r="AV58" s="1103" t="str">
        <f>IF(OR(C58="",F58="",L58="",P58="",R58="",T58="",X58="",Z58="",AB58="",AD58="",AF58=""),"",((1+ELOSS)*((AK58*INDEX(ELECCB[NPV AEC $/kWh],MATCH(BB58,ELECCB[Year Number],1)))+(AX58*INDEX(ELECCB[NPV ACC+T&amp;D $/kW],MATCH(BB58,ELECCB[Year Number],1)))))/AH58)</f>
        <v/>
      </c>
      <c r="AW58" s="1185"/>
      <c r="AX58" s="1187" t="str">
        <f>IF(OR(C58="",F58="",L58="",P58="",R58="",T58="",X58="",Z58="",AB58="",AD58="",AF58=""),"",ROUND(AW58*(INDEX(PROGRAMECAT[Lighting Coincidence Factor],MATCH(F58,PROGRAMECAT[Category 1],0))),3))</f>
        <v/>
      </c>
      <c r="AY58" s="1180" t="str">
        <f>IF(OR(C58="",F58="",F58="",L58="",P58="",R58="",T58="",X58="",Z58="",AB58="",AD58="",AF58=""),"",IF(AB58="Total",ROUND(MIN(AH58*0.75,AK58*INDEX(INCRATE[Electric],MATCH("CMNONLIGHT",INCRATE[Incentive Type]))),2),IF(AB58="Incremental",ROUND(MIN(AH58,AK58*INDEX(INCRATE[Electric],MATCH("CMNONLIGHT",INCRATE[Incentive Type]))),2))))</f>
        <v/>
      </c>
      <c r="AZ58" s="1180" t="str">
        <f>IF(OR(C58="",F58="",F58="",L58="",P58="",R58="",T58="",X58="",Z58="",AB58="",AD58="",AF58=""),"",IF(AB58="Total",ROUND(MIN(AH58*0.75,AK58*INDEX(INCRATE[Electric],MATCH("NCNONLIGHT",INCRATE[Incentive Type]))),2),IF(AB58="Incremental",ROUND(MIN(AH58,AK58*INDEX(INCRATE[Electric],MATCH("NCNONLIGHT",INCRATE[Incentive Type]))),2))))</f>
        <v/>
      </c>
      <c r="BA58" s="1180" t="str">
        <f>IF(OR(C58="",F58="",F58="",L58="",P58="",R58="",T58="",X58="",Z58="",AB58="",AD58="",AF58=""),"",IF(AB58="Total",ROUND(MIN(AH58*0.75,AK58*INDEX(INCRATE[Electric],MATCH("RCX",INCRATE[Incentive Type]))),2),IF(AB58="Incremental",ROUND(MIN(AH58,AK58*INDEX(INCRATE[Electric],MATCH("RCX",INCRATE[Incentive Type]))),2))))</f>
        <v/>
      </c>
      <c r="BB58" s="1097" t="str">
        <f>IF(F58="","",INDEX(PROGRAMECAT[EUL],MATCH(F58,PROGRAMECAT[Category 1],0)))</f>
        <v/>
      </c>
      <c r="BC58" s="1097" t="str">
        <f>IFERROR(AH58/M02S02F35/AK58,"")</f>
        <v/>
      </c>
      <c r="BD58" s="1190" t="str">
        <f>IF(OR(C58="",F58="",L58="",P58="",R58="",T58="",X58="",Z58="",AB58="",AD58="",AF58=""),"",IF(ISNUMBER(AN58),INDEX(PROGRAMECAT[Measure Number],MATCH(F58,PROGRAMECAT[Category 1],0)),IF(AK58=0,"","000001")))</f>
        <v/>
      </c>
      <c r="BE58" s="1097" t="str">
        <f>IFERROR(IF((P58*R58)-(X58*Z58)&lt;=0,MEASURESAV,IF(M02S02F35="",MEASURERATE,IF(OR(F58="Others (Incremental)",F58="Others"),MEASURESUBMIT, IF(BC58&lt;1,MEASUREPAY,IF(AV58&lt;1,MEASURECB,""))))),MEASURESUBMIT)</f>
        <v>Submit for Review</v>
      </c>
      <c r="BH58" s="995" t="str">
        <f ca="1">IF(OR(C58="",F58="",F58="",L58="",P58="",R58="",T58="",X58="",Z58="",AB58="",AD58="",AF58=""),"",IF('M01-S01'!$V$82&lt;TODAY(),0,IF(M02S02F46="Gas Only",0,IF(OR(AK58="",AK58&lt;0,AH58&lt;=AN58),0,MIN(AH58-AN58,ROUND(IF(OR(ISNUMBER(SEARCH("Compressed Air",F58)),ISNUMBER(SEARCH("T8",F58)),ISNUMBER(SEARCH("T5",F58)),ISNUMBER(SEARCH("MH",F58)),ISNUMBER(SEARCH("HPS",F58)),ISNUMBER(SEARCH("MV",F58))),AN58*0.2),2))))))</f>
        <v/>
      </c>
    </row>
    <row r="59" spans="2:60" ht="15.95" hidden="1" customHeight="1">
      <c r="B59" s="923"/>
      <c r="C59" s="1088"/>
      <c r="D59" s="1088"/>
      <c r="E59" s="1088"/>
      <c r="F59" s="1088"/>
      <c r="G59" s="1088"/>
      <c r="H59" s="1088"/>
      <c r="I59" s="1088"/>
      <c r="J59" s="1088"/>
      <c r="K59" s="1088"/>
      <c r="L59" s="835"/>
      <c r="M59" s="836"/>
      <c r="N59" s="836"/>
      <c r="O59" s="837"/>
      <c r="P59" s="848"/>
      <c r="Q59" s="849"/>
      <c r="R59" s="1110"/>
      <c r="S59" s="1198"/>
      <c r="T59" s="843"/>
      <c r="U59" s="836"/>
      <c r="V59" s="836"/>
      <c r="W59" s="837"/>
      <c r="X59" s="1078"/>
      <c r="Y59" s="1078"/>
      <c r="Z59" s="1179"/>
      <c r="AA59" s="1179"/>
      <c r="AB59" s="1166"/>
      <c r="AC59" s="1166"/>
      <c r="AD59" s="870"/>
      <c r="AE59" s="1092"/>
      <c r="AF59" s="1195"/>
      <c r="AG59" s="1196"/>
      <c r="AH59" s="1130"/>
      <c r="AI59" s="1131"/>
      <c r="AJ59" s="1131"/>
      <c r="AK59" s="1143"/>
      <c r="AL59" s="1143"/>
      <c r="AM59" s="1143"/>
      <c r="AN59" s="1133"/>
      <c r="AO59" s="1133"/>
      <c r="AP59" s="1133"/>
      <c r="AQ59" s="1133"/>
      <c r="AR59" s="59"/>
      <c r="AU59" s="1102"/>
      <c r="AV59" s="1102"/>
      <c r="AW59" s="1186"/>
      <c r="AX59" s="1069"/>
      <c r="AY59" s="1098"/>
      <c r="AZ59" s="1098"/>
      <c r="BA59" s="1098"/>
      <c r="BB59" s="1098"/>
      <c r="BC59" s="1098"/>
      <c r="BD59" s="1184"/>
      <c r="BE59" s="1098"/>
      <c r="BH59" s="996"/>
    </row>
    <row r="60" spans="2:60" ht="15.95" hidden="1" customHeight="1">
      <c r="B60" s="923">
        <v>23</v>
      </c>
      <c r="C60" s="1087"/>
      <c r="D60" s="1087"/>
      <c r="E60" s="1087"/>
      <c r="F60" s="1087"/>
      <c r="G60" s="1087"/>
      <c r="H60" s="1087"/>
      <c r="I60" s="1087"/>
      <c r="J60" s="1087"/>
      <c r="K60" s="1087"/>
      <c r="L60" s="866"/>
      <c r="M60" s="867"/>
      <c r="N60" s="867"/>
      <c r="O60" s="868"/>
      <c r="P60" s="846"/>
      <c r="Q60" s="847"/>
      <c r="R60" s="1108"/>
      <c r="S60" s="1197"/>
      <c r="T60" s="1177"/>
      <c r="U60" s="867"/>
      <c r="V60" s="867"/>
      <c r="W60" s="868"/>
      <c r="X60" s="1077"/>
      <c r="Y60" s="1077"/>
      <c r="Z60" s="1178"/>
      <c r="AA60" s="1178"/>
      <c r="AB60" s="1165" t="str">
        <f t="shared" ref="AB60" si="160">IF(C60="New Construction","Incremental","")</f>
        <v/>
      </c>
      <c r="AC60" s="1165"/>
      <c r="AD60" s="869"/>
      <c r="AE60" s="1091"/>
      <c r="AF60" s="1193" t="str">
        <f t="shared" ref="AF60" si="161">IF(AB60="Incremental",0,"")</f>
        <v/>
      </c>
      <c r="AG60" s="1194"/>
      <c r="AH60" s="865" t="str">
        <f t="shared" ref="AH60" si="162">IF(OR(C60="",F60="",L60="",P60="",R60="",T60="",X60="",Z60="",AD60="",AF60=""),"",ROUND(AD60+AF60,2))</f>
        <v/>
      </c>
      <c r="AI60" s="1096"/>
      <c r="AJ60" s="1096"/>
      <c r="AK60" s="1105" t="str">
        <f t="shared" ref="AK60" si="163">IF(OR(C60="",F60="",F60="",L60="",P60="",R60="",T60="",X60="",Z60="",AB60="",AD60="",AF60=""),"",IF((P60*R60)-(X60*Z60)&lt;=0,0,ROUND((P60*R60)-(X60*Z60),2)))</f>
        <v/>
      </c>
      <c r="AL60" s="1105"/>
      <c r="AM60" s="1105"/>
      <c r="AN60" s="1132" t="str">
        <f t="shared" ref="AN60" si="164">IF(OR(C60="",F60="",F60="",L60="",P60="",R60="",T60="",X60="",Z60="",AB60="",AD60="",AF60=""),"",IF(BE60&lt;&gt;"",BE60,IF(C60="Custom",AY60,IF(C60="New Construction",AZ60,IF(C60="RCx",BA60)))))</f>
        <v/>
      </c>
      <c r="AO60" s="1132"/>
      <c r="AP60" s="1132"/>
      <c r="AQ60" s="1132"/>
      <c r="AR60" s="59"/>
      <c r="AU60" s="1103" t="str">
        <f>IF(F60="","",INDEX(CUSTNONLIGHTEUNIT,MATCH(F60,PROGRAMECAT[Category 1],0)))</f>
        <v/>
      </c>
      <c r="AV60" s="1103" t="str">
        <f>IF(OR(C60="",F60="",L60="",P60="",R60="",T60="",X60="",Z60="",AB60="",AD60="",AF60=""),"",((1+ELOSS)*((AK60*INDEX(ELECCB[NPV AEC $/kWh],MATCH(BB60,ELECCB[Year Number],1)))+(AX60*INDEX(ELECCB[NPV ACC+T&amp;D $/kW],MATCH(BB60,ELECCB[Year Number],1)))))/AH60)</f>
        <v/>
      </c>
      <c r="AW60" s="1185"/>
      <c r="AX60" s="1187" t="str">
        <f>IF(OR(C60="",F60="",L60="",P60="",R60="",T60="",X60="",Z60="",AB60="",AD60="",AF60=""),"",ROUND(AW60*(INDEX(PROGRAMECAT[Lighting Coincidence Factor],MATCH(F60,PROGRAMECAT[Category 1],0))),3))</f>
        <v/>
      </c>
      <c r="AY60" s="1180" t="str">
        <f>IF(OR(C60="",F60="",F60="",L60="",P60="",R60="",T60="",X60="",Z60="",AB60="",AD60="",AF60=""),"",IF(AB60="Total",ROUND(MIN(AH60*0.75,AK60*INDEX(INCRATE[Electric],MATCH("CMNONLIGHT",INCRATE[Incentive Type]))),2),IF(AB60="Incremental",ROUND(MIN(AH60,AK60*INDEX(INCRATE[Electric],MATCH("CMNONLIGHT",INCRATE[Incentive Type]))),2))))</f>
        <v/>
      </c>
      <c r="AZ60" s="1180" t="str">
        <f>IF(OR(C60="",F60="",F60="",L60="",P60="",R60="",T60="",X60="",Z60="",AB60="",AD60="",AF60=""),"",IF(AB60="Total",ROUND(MIN(AH60*0.75,AK60*INDEX(INCRATE[Electric],MATCH("NCNONLIGHT",INCRATE[Incentive Type]))),2),IF(AB60="Incremental",ROUND(MIN(AH60,AK60*INDEX(INCRATE[Electric],MATCH("NCNONLIGHT",INCRATE[Incentive Type]))),2))))</f>
        <v/>
      </c>
      <c r="BA60" s="1180" t="str">
        <f>IF(OR(C60="",F60="",F60="",L60="",P60="",R60="",T60="",X60="",Z60="",AB60="",AD60="",AF60=""),"",IF(AB60="Total",ROUND(MIN(AH60*0.75,AK60*INDEX(INCRATE[Electric],MATCH("RCX",INCRATE[Incentive Type]))),2),IF(AB60="Incremental",ROUND(MIN(AH60,AK60*INDEX(INCRATE[Electric],MATCH("RCX",INCRATE[Incentive Type]))),2))))</f>
        <v/>
      </c>
      <c r="BB60" s="1097" t="str">
        <f>IF(F60="","",INDEX(PROGRAMECAT[EUL],MATCH(F60,PROGRAMECAT[Category 1],0)))</f>
        <v/>
      </c>
      <c r="BC60" s="1097" t="str">
        <f>IFERROR(AH60/M02S02F35/AK60,"")</f>
        <v/>
      </c>
      <c r="BD60" s="1190" t="str">
        <f>IF(OR(C60="",F60="",L60="",P60="",R60="",T60="",X60="",Z60="",AB60="",AD60="",AF60=""),"",IF(ISNUMBER(AN60),INDEX(PROGRAMECAT[Measure Number],MATCH(F60,PROGRAMECAT[Category 1],0)),IF(AK60=0,"","000001")))</f>
        <v/>
      </c>
      <c r="BE60" s="1097" t="str">
        <f>IFERROR(IF((P60*R60)-(X60*Z60)&lt;=0,MEASURESAV,IF(M02S02F35="",MEASURERATE,IF(OR(F60="Others (Incremental)",F60="Others"),MEASURESUBMIT, IF(BC60&lt;1,MEASUREPAY,IF(AV60&lt;1,MEASURECB,""))))),MEASURESUBMIT)</f>
        <v>Submit for Review</v>
      </c>
      <c r="BH60" s="995" t="str">
        <f ca="1">IF(OR(C60="",F60="",F60="",L60="",P60="",R60="",T60="",X60="",Z60="",AB60="",AD60="",AF60=""),"",IF('M01-S01'!$V$82&lt;TODAY(),0,IF(M02S02F46="Gas Only",0,IF(OR(AK60="",AK60&lt;0,AH60&lt;=AN60),0,MIN(AH60-AN60,ROUND(IF(OR(ISNUMBER(SEARCH("Compressed Air",F60)),ISNUMBER(SEARCH("T8",F60)),ISNUMBER(SEARCH("T5",F60)),ISNUMBER(SEARCH("MH",F60)),ISNUMBER(SEARCH("HPS",F60)),ISNUMBER(SEARCH("MV",F60))),AN60*0.2),2))))))</f>
        <v/>
      </c>
    </row>
    <row r="61" spans="2:60" ht="15.95" hidden="1" customHeight="1">
      <c r="B61" s="923"/>
      <c r="C61" s="1088"/>
      <c r="D61" s="1088"/>
      <c r="E61" s="1088"/>
      <c r="F61" s="1088"/>
      <c r="G61" s="1088"/>
      <c r="H61" s="1088"/>
      <c r="I61" s="1088"/>
      <c r="J61" s="1088"/>
      <c r="K61" s="1088"/>
      <c r="L61" s="835"/>
      <c r="M61" s="836"/>
      <c r="N61" s="836"/>
      <c r="O61" s="837"/>
      <c r="P61" s="848"/>
      <c r="Q61" s="849"/>
      <c r="R61" s="1110"/>
      <c r="S61" s="1198"/>
      <c r="T61" s="843"/>
      <c r="U61" s="836"/>
      <c r="V61" s="836"/>
      <c r="W61" s="837"/>
      <c r="X61" s="1078"/>
      <c r="Y61" s="1078"/>
      <c r="Z61" s="1179"/>
      <c r="AA61" s="1179"/>
      <c r="AB61" s="1166"/>
      <c r="AC61" s="1166"/>
      <c r="AD61" s="870"/>
      <c r="AE61" s="1092"/>
      <c r="AF61" s="1195"/>
      <c r="AG61" s="1196"/>
      <c r="AH61" s="1130"/>
      <c r="AI61" s="1131"/>
      <c r="AJ61" s="1131"/>
      <c r="AK61" s="1143"/>
      <c r="AL61" s="1143"/>
      <c r="AM61" s="1143"/>
      <c r="AN61" s="1133"/>
      <c r="AO61" s="1133"/>
      <c r="AP61" s="1133"/>
      <c r="AQ61" s="1133"/>
      <c r="AR61" s="59"/>
      <c r="AU61" s="1102"/>
      <c r="AV61" s="1102"/>
      <c r="AW61" s="1186"/>
      <c r="AX61" s="1069"/>
      <c r="AY61" s="1098"/>
      <c r="AZ61" s="1098"/>
      <c r="BA61" s="1098"/>
      <c r="BB61" s="1098"/>
      <c r="BC61" s="1098"/>
      <c r="BD61" s="1184"/>
      <c r="BE61" s="1098"/>
      <c r="BH61" s="996"/>
    </row>
    <row r="62" spans="2:60" ht="15.95" hidden="1" customHeight="1">
      <c r="B62" s="923">
        <v>24</v>
      </c>
      <c r="C62" s="1087"/>
      <c r="D62" s="1087"/>
      <c r="E62" s="1087"/>
      <c r="F62" s="1087"/>
      <c r="G62" s="1087"/>
      <c r="H62" s="1087"/>
      <c r="I62" s="1087"/>
      <c r="J62" s="1087"/>
      <c r="K62" s="1087"/>
      <c r="L62" s="866"/>
      <c r="M62" s="867"/>
      <c r="N62" s="867"/>
      <c r="O62" s="868"/>
      <c r="P62" s="846"/>
      <c r="Q62" s="847"/>
      <c r="R62" s="1108"/>
      <c r="S62" s="1197"/>
      <c r="T62" s="1177"/>
      <c r="U62" s="867"/>
      <c r="V62" s="867"/>
      <c r="W62" s="868"/>
      <c r="X62" s="1077"/>
      <c r="Y62" s="1077"/>
      <c r="Z62" s="1178"/>
      <c r="AA62" s="1178"/>
      <c r="AB62" s="1165" t="str">
        <f t="shared" ref="AB62" si="165">IF(C62="New Construction","Incremental","")</f>
        <v/>
      </c>
      <c r="AC62" s="1165"/>
      <c r="AD62" s="869"/>
      <c r="AE62" s="1091"/>
      <c r="AF62" s="1193" t="str">
        <f t="shared" ref="AF62" si="166">IF(AB62="Incremental",0,"")</f>
        <v/>
      </c>
      <c r="AG62" s="1194"/>
      <c r="AH62" s="865" t="str">
        <f t="shared" ref="AH62" si="167">IF(OR(C62="",F62="",L62="",P62="",R62="",T62="",X62="",Z62="",AD62="",AF62=""),"",ROUND(AD62+AF62,2))</f>
        <v/>
      </c>
      <c r="AI62" s="1096"/>
      <c r="AJ62" s="1096"/>
      <c r="AK62" s="1105" t="str">
        <f t="shared" ref="AK62" si="168">IF(OR(C62="",F62="",F62="",L62="",P62="",R62="",T62="",X62="",Z62="",AB62="",AD62="",AF62=""),"",IF((P62*R62)-(X62*Z62)&lt;=0,0,ROUND((P62*R62)-(X62*Z62),2)))</f>
        <v/>
      </c>
      <c r="AL62" s="1105"/>
      <c r="AM62" s="1105"/>
      <c r="AN62" s="1132" t="str">
        <f t="shared" ref="AN62" si="169">IF(OR(C62="",F62="",F62="",L62="",P62="",R62="",T62="",X62="",Z62="",AB62="",AD62="",AF62=""),"",IF(BE62&lt;&gt;"",BE62,IF(C62="Custom",AY62,IF(C62="New Construction",AZ62,IF(C62="RCx",BA62)))))</f>
        <v/>
      </c>
      <c r="AO62" s="1132"/>
      <c r="AP62" s="1132"/>
      <c r="AQ62" s="1132"/>
      <c r="AR62" s="59"/>
      <c r="AU62" s="1103" t="str">
        <f>IF(F62="","",INDEX(CUSTNONLIGHTEUNIT,MATCH(F62,PROGRAMECAT[Category 1],0)))</f>
        <v/>
      </c>
      <c r="AV62" s="1103" t="str">
        <f>IF(OR(C62="",F62="",L62="",P62="",R62="",T62="",X62="",Z62="",AB62="",AD62="",AF62=""),"",((1+ELOSS)*((AK62*INDEX(ELECCB[NPV AEC $/kWh],MATCH(BB62,ELECCB[Year Number],1)))+(AX62*INDEX(ELECCB[NPV ACC+T&amp;D $/kW],MATCH(BB62,ELECCB[Year Number],1)))))/AH62)</f>
        <v/>
      </c>
      <c r="AW62" s="1185"/>
      <c r="AX62" s="1187" t="str">
        <f>IF(OR(C62="",F62="",L62="",P62="",R62="",T62="",X62="",Z62="",AB62="",AD62="",AF62=""),"",ROUND(AW62*(INDEX(PROGRAMECAT[Lighting Coincidence Factor],MATCH(F62,PROGRAMECAT[Category 1],0))),3))</f>
        <v/>
      </c>
      <c r="AY62" s="1180" t="str">
        <f>IF(OR(C62="",F62="",F62="",L62="",P62="",R62="",T62="",X62="",Z62="",AB62="",AD62="",AF62=""),"",IF(AB62="Total",ROUND(MIN(AH62*0.75,AK62*INDEX(INCRATE[Electric],MATCH("CMNONLIGHT",INCRATE[Incentive Type]))),2),IF(AB62="Incremental",ROUND(MIN(AH62,AK62*INDEX(INCRATE[Electric],MATCH("CMNONLIGHT",INCRATE[Incentive Type]))),2))))</f>
        <v/>
      </c>
      <c r="AZ62" s="1180" t="str">
        <f>IF(OR(C62="",F62="",F62="",L62="",P62="",R62="",T62="",X62="",Z62="",AB62="",AD62="",AF62=""),"",IF(AB62="Total",ROUND(MIN(AH62*0.75,AK62*INDEX(INCRATE[Electric],MATCH("NCNONLIGHT",INCRATE[Incentive Type]))),2),IF(AB62="Incremental",ROUND(MIN(AH62,AK62*INDEX(INCRATE[Electric],MATCH("NCNONLIGHT",INCRATE[Incentive Type]))),2))))</f>
        <v/>
      </c>
      <c r="BA62" s="1180" t="str">
        <f>IF(OR(C62="",F62="",F62="",L62="",P62="",R62="",T62="",X62="",Z62="",AB62="",AD62="",AF62=""),"",IF(AB62="Total",ROUND(MIN(AH62*0.75,AK62*INDEX(INCRATE[Electric],MATCH("RCX",INCRATE[Incentive Type]))),2),IF(AB62="Incremental",ROUND(MIN(AH62,AK62*INDEX(INCRATE[Electric],MATCH("RCX",INCRATE[Incentive Type]))),2))))</f>
        <v/>
      </c>
      <c r="BB62" s="1097" t="str">
        <f>IF(F62="","",INDEX(PROGRAMECAT[EUL],MATCH(F62,PROGRAMECAT[Category 1],0)))</f>
        <v/>
      </c>
      <c r="BC62" s="1097" t="str">
        <f>IFERROR(AH62/M02S02F35/AK62,"")</f>
        <v/>
      </c>
      <c r="BD62" s="1190" t="str">
        <f>IF(OR(C62="",F62="",L62="",P62="",R62="",T62="",X62="",Z62="",AB62="",AD62="",AF62=""),"",IF(ISNUMBER(AN62),INDEX(PROGRAMECAT[Measure Number],MATCH(F62,PROGRAMECAT[Category 1],0)),IF(AK62=0,"","000001")))</f>
        <v/>
      </c>
      <c r="BE62" s="1097" t="str">
        <f>IFERROR(IF((P62*R62)-(X62*Z62)&lt;=0,MEASURESAV,IF(M02S02F35="",MEASURERATE,IF(OR(F62="Others (Incremental)",F62="Others"),MEASURESUBMIT, IF(BC62&lt;1,MEASUREPAY,IF(AV62&lt;1,MEASURECB,""))))),MEASURESUBMIT)</f>
        <v>Submit for Review</v>
      </c>
      <c r="BH62" s="995" t="str">
        <f ca="1">IF(OR(C62="",F62="",F62="",L62="",P62="",R62="",T62="",X62="",Z62="",AB62="",AD62="",AF62=""),"",IF('M01-S01'!$V$82&lt;TODAY(),0,IF(M02S02F46="Gas Only",0,IF(OR(AK62="",AK62&lt;0,AH62&lt;=AN62),0,MIN(AH62-AN62,ROUND(IF(OR(ISNUMBER(SEARCH("Compressed Air",F62)),ISNUMBER(SEARCH("T8",F62)),ISNUMBER(SEARCH("T5",F62)),ISNUMBER(SEARCH("MH",F62)),ISNUMBER(SEARCH("HPS",F62)),ISNUMBER(SEARCH("MV",F62))),AN62*0.2),2))))))</f>
        <v/>
      </c>
    </row>
    <row r="63" spans="2:60" ht="15.95" hidden="1" customHeight="1">
      <c r="B63" s="923"/>
      <c r="C63" s="1088"/>
      <c r="D63" s="1088"/>
      <c r="E63" s="1088"/>
      <c r="F63" s="1088"/>
      <c r="G63" s="1088"/>
      <c r="H63" s="1088"/>
      <c r="I63" s="1088"/>
      <c r="J63" s="1088"/>
      <c r="K63" s="1088"/>
      <c r="L63" s="835"/>
      <c r="M63" s="836"/>
      <c r="N63" s="836"/>
      <c r="O63" s="837"/>
      <c r="P63" s="848"/>
      <c r="Q63" s="849"/>
      <c r="R63" s="1110"/>
      <c r="S63" s="1198"/>
      <c r="T63" s="843"/>
      <c r="U63" s="836"/>
      <c r="V63" s="836"/>
      <c r="W63" s="837"/>
      <c r="X63" s="1078"/>
      <c r="Y63" s="1078"/>
      <c r="Z63" s="1179"/>
      <c r="AA63" s="1179"/>
      <c r="AB63" s="1166"/>
      <c r="AC63" s="1166"/>
      <c r="AD63" s="870"/>
      <c r="AE63" s="1092"/>
      <c r="AF63" s="1195"/>
      <c r="AG63" s="1196"/>
      <c r="AH63" s="1130"/>
      <c r="AI63" s="1131"/>
      <c r="AJ63" s="1131"/>
      <c r="AK63" s="1143"/>
      <c r="AL63" s="1143"/>
      <c r="AM63" s="1143"/>
      <c r="AN63" s="1133"/>
      <c r="AO63" s="1133"/>
      <c r="AP63" s="1133"/>
      <c r="AQ63" s="1133"/>
      <c r="AR63" s="59"/>
      <c r="AU63" s="1102"/>
      <c r="AV63" s="1102"/>
      <c r="AW63" s="1186"/>
      <c r="AX63" s="1069"/>
      <c r="AY63" s="1098"/>
      <c r="AZ63" s="1098"/>
      <c r="BA63" s="1098"/>
      <c r="BB63" s="1098"/>
      <c r="BC63" s="1098"/>
      <c r="BD63" s="1184"/>
      <c r="BE63" s="1098"/>
      <c r="BH63" s="996"/>
    </row>
    <row r="64" spans="2:60" ht="15.95" hidden="1" customHeight="1">
      <c r="B64" s="923">
        <v>25</v>
      </c>
      <c r="C64" s="1087"/>
      <c r="D64" s="1087"/>
      <c r="E64" s="1087"/>
      <c r="F64" s="1087"/>
      <c r="G64" s="1087"/>
      <c r="H64" s="1087"/>
      <c r="I64" s="1087"/>
      <c r="J64" s="1087"/>
      <c r="K64" s="1087"/>
      <c r="L64" s="866"/>
      <c r="M64" s="867"/>
      <c r="N64" s="867"/>
      <c r="O64" s="868"/>
      <c r="P64" s="846"/>
      <c r="Q64" s="847"/>
      <c r="R64" s="1108"/>
      <c r="S64" s="1197"/>
      <c r="T64" s="1177"/>
      <c r="U64" s="867"/>
      <c r="V64" s="867"/>
      <c r="W64" s="868"/>
      <c r="X64" s="1077"/>
      <c r="Y64" s="1077"/>
      <c r="Z64" s="1178"/>
      <c r="AA64" s="1178"/>
      <c r="AB64" s="1165" t="str">
        <f t="shared" ref="AB64" si="170">IF(C64="New Construction","Incremental","")</f>
        <v/>
      </c>
      <c r="AC64" s="1165"/>
      <c r="AD64" s="869"/>
      <c r="AE64" s="1091"/>
      <c r="AF64" s="1193" t="str">
        <f t="shared" ref="AF64" si="171">IF(AB64="Incremental",0,"")</f>
        <v/>
      </c>
      <c r="AG64" s="1194"/>
      <c r="AH64" s="865" t="str">
        <f t="shared" ref="AH64" si="172">IF(OR(C64="",F64="",L64="",P64="",R64="",T64="",X64="",Z64="",AD64="",AF64=""),"",ROUND(AD64+AF64,2))</f>
        <v/>
      </c>
      <c r="AI64" s="1096"/>
      <c r="AJ64" s="1096"/>
      <c r="AK64" s="1105" t="str">
        <f t="shared" ref="AK64" si="173">IF(OR(C64="",F64="",F64="",L64="",P64="",R64="",T64="",X64="",Z64="",AB64="",AD64="",AF64=""),"",IF((P64*R64)-(X64*Z64)&lt;=0,0,ROUND((P64*R64)-(X64*Z64),2)))</f>
        <v/>
      </c>
      <c r="AL64" s="1105"/>
      <c r="AM64" s="1105"/>
      <c r="AN64" s="1132" t="str">
        <f t="shared" ref="AN64" si="174">IF(OR(C64="",F64="",F64="",L64="",P64="",R64="",T64="",X64="",Z64="",AB64="",AD64="",AF64=""),"",IF(BE64&lt;&gt;"",BE64,IF(C64="Custom",AY64,IF(C64="New Construction",AZ64,IF(C64="RCx",BA64)))))</f>
        <v/>
      </c>
      <c r="AO64" s="1132"/>
      <c r="AP64" s="1132"/>
      <c r="AQ64" s="1132"/>
      <c r="AR64" s="59"/>
      <c r="AU64" s="1103" t="str">
        <f>IF(F64="","",INDEX(CUSTNONLIGHTEUNIT,MATCH(F64,PROGRAMECAT[Category 1],0)))</f>
        <v/>
      </c>
      <c r="AV64" s="1103" t="str">
        <f>IF(OR(C64="",F64="",L64="",P64="",R64="",T64="",X64="",Z64="",AB64="",AD64="",AF64=""),"",((1+ELOSS)*((AK64*INDEX(ELECCB[NPV AEC $/kWh],MATCH(BB64,ELECCB[Year Number],1)))+(AX64*INDEX(ELECCB[NPV ACC+T&amp;D $/kW],MATCH(BB64,ELECCB[Year Number],1)))))/AH64)</f>
        <v/>
      </c>
      <c r="AW64" s="1185"/>
      <c r="AX64" s="1187" t="str">
        <f>IF(OR(C64="",F64="",L64="",P64="",R64="",T64="",X64="",Z64="",AB64="",AD64="",AF64=""),"",ROUND(AW64*(INDEX(PROGRAMECAT[Lighting Coincidence Factor],MATCH(F64,PROGRAMECAT[Category 1],0))),3))</f>
        <v/>
      </c>
      <c r="AY64" s="1180" t="str">
        <f>IF(OR(C64="",F64="",F64="",L64="",P64="",R64="",T64="",X64="",Z64="",AB64="",AD64="",AF64=""),"",IF(AB64="Total",ROUND(MIN(AH64*0.75,AK64*INDEX(INCRATE[Electric],MATCH("CMNONLIGHT",INCRATE[Incentive Type]))),2),IF(AB64="Incremental",ROUND(MIN(AH64,AK64*INDEX(INCRATE[Electric],MATCH("CMNONLIGHT",INCRATE[Incentive Type]))),2))))</f>
        <v/>
      </c>
      <c r="AZ64" s="1180" t="str">
        <f>IF(OR(C64="",F64="",F64="",L64="",P64="",R64="",T64="",X64="",Z64="",AB64="",AD64="",AF64=""),"",IF(AB64="Total",ROUND(MIN(AH64*0.75,AK64*INDEX(INCRATE[Electric],MATCH("NCNONLIGHT",INCRATE[Incentive Type]))),2),IF(AB64="Incremental",ROUND(MIN(AH64,AK64*INDEX(INCRATE[Electric],MATCH("NCNONLIGHT",INCRATE[Incentive Type]))),2))))</f>
        <v/>
      </c>
      <c r="BA64" s="1180" t="str">
        <f>IF(OR(C64="",F64="",F64="",L64="",P64="",R64="",T64="",X64="",Z64="",AB64="",AD64="",AF64=""),"",IF(AB64="Total",ROUND(MIN(AH64*0.75,AK64*INDEX(INCRATE[Electric],MATCH("RCX",INCRATE[Incentive Type]))),2),IF(AB64="Incremental",ROUND(MIN(AH64,AK64*INDEX(INCRATE[Electric],MATCH("RCX",INCRATE[Incentive Type]))),2))))</f>
        <v/>
      </c>
      <c r="BB64" s="1097" t="str">
        <f>IF(F64="","",INDEX(PROGRAMECAT[EUL],MATCH(F64,PROGRAMECAT[Category 1],0)))</f>
        <v/>
      </c>
      <c r="BC64" s="1097" t="str">
        <f>IFERROR(AH64/M02S02F35/AK64,"")</f>
        <v/>
      </c>
      <c r="BD64" s="1190" t="str">
        <f>IF(OR(C64="",F64="",L64="",P64="",R64="",T64="",X64="",Z64="",AB64="",AD64="",AF64=""),"",IF(ISNUMBER(AN64),INDEX(PROGRAMECAT[Measure Number],MATCH(F64,PROGRAMECAT[Category 1],0)),IF(AK64=0,"","000001")))</f>
        <v/>
      </c>
      <c r="BE64" s="1097" t="str">
        <f>IFERROR(IF((P64*R64)-(X64*Z64)&lt;=0,MEASURESAV,IF(M02S02F35="",MEASURERATE,IF(OR(F64="Others (Incremental)",F64="Others"),MEASURESUBMIT, IF(BC64&lt;1,MEASUREPAY,IF(AV64&lt;1,MEASURECB,""))))),MEASURESUBMIT)</f>
        <v>Submit for Review</v>
      </c>
      <c r="BH64" s="995" t="str">
        <f ca="1">IF(OR(C64="",F64="",F64="",L64="",P64="",R64="",T64="",X64="",Z64="",AB64="",AD64="",AF64=""),"",IF('M01-S01'!$V$82&lt;TODAY(),0,IF(M02S02F46="Gas Only",0,IF(OR(AK64="",AK64&lt;0,AH64&lt;=AN64),0,MIN(AH64-AN64,ROUND(IF(OR(ISNUMBER(SEARCH("Compressed Air",F64)),ISNUMBER(SEARCH("T8",F64)),ISNUMBER(SEARCH("T5",F64)),ISNUMBER(SEARCH("MH",F64)),ISNUMBER(SEARCH("HPS",F64)),ISNUMBER(SEARCH("MV",F64))),AN64*0.2),2))))))</f>
        <v/>
      </c>
    </row>
    <row r="65" spans="2:60" ht="15.95" hidden="1" customHeight="1">
      <c r="B65" s="923"/>
      <c r="C65" s="1088"/>
      <c r="D65" s="1088"/>
      <c r="E65" s="1088"/>
      <c r="F65" s="1088"/>
      <c r="G65" s="1088"/>
      <c r="H65" s="1088"/>
      <c r="I65" s="1088"/>
      <c r="J65" s="1088"/>
      <c r="K65" s="1088"/>
      <c r="L65" s="835"/>
      <c r="M65" s="836"/>
      <c r="N65" s="836"/>
      <c r="O65" s="837"/>
      <c r="P65" s="848"/>
      <c r="Q65" s="849"/>
      <c r="R65" s="1110"/>
      <c r="S65" s="1198"/>
      <c r="T65" s="843"/>
      <c r="U65" s="836"/>
      <c r="V65" s="836"/>
      <c r="W65" s="837"/>
      <c r="X65" s="1078"/>
      <c r="Y65" s="1078"/>
      <c r="Z65" s="1179"/>
      <c r="AA65" s="1179"/>
      <c r="AB65" s="1166"/>
      <c r="AC65" s="1166"/>
      <c r="AD65" s="870"/>
      <c r="AE65" s="1092"/>
      <c r="AF65" s="1195"/>
      <c r="AG65" s="1196"/>
      <c r="AH65" s="1130"/>
      <c r="AI65" s="1131"/>
      <c r="AJ65" s="1131"/>
      <c r="AK65" s="1143"/>
      <c r="AL65" s="1143"/>
      <c r="AM65" s="1143"/>
      <c r="AN65" s="1133"/>
      <c r="AO65" s="1133"/>
      <c r="AP65" s="1133"/>
      <c r="AQ65" s="1133"/>
      <c r="AR65" s="59"/>
      <c r="AU65" s="1102"/>
      <c r="AV65" s="1102"/>
      <c r="AW65" s="1186"/>
      <c r="AX65" s="1069"/>
      <c r="AY65" s="1098"/>
      <c r="AZ65" s="1098"/>
      <c r="BA65" s="1098"/>
      <c r="BB65" s="1098"/>
      <c r="BC65" s="1098"/>
      <c r="BD65" s="1184"/>
      <c r="BE65" s="1098"/>
      <c r="BH65" s="996"/>
    </row>
    <row r="66" spans="2:60" ht="15.95" hidden="1" customHeight="1">
      <c r="B66" s="923">
        <v>26</v>
      </c>
      <c r="C66" s="1087"/>
      <c r="D66" s="1087"/>
      <c r="E66" s="1087"/>
      <c r="F66" s="1087"/>
      <c r="G66" s="1087"/>
      <c r="H66" s="1087"/>
      <c r="I66" s="1087"/>
      <c r="J66" s="1087"/>
      <c r="K66" s="1087"/>
      <c r="L66" s="866"/>
      <c r="M66" s="867"/>
      <c r="N66" s="867"/>
      <c r="O66" s="868"/>
      <c r="P66" s="846"/>
      <c r="Q66" s="847"/>
      <c r="R66" s="1108"/>
      <c r="S66" s="1197"/>
      <c r="T66" s="1177"/>
      <c r="U66" s="867"/>
      <c r="V66" s="867"/>
      <c r="W66" s="868"/>
      <c r="X66" s="1077"/>
      <c r="Y66" s="1077"/>
      <c r="Z66" s="1178"/>
      <c r="AA66" s="1178"/>
      <c r="AB66" s="1165" t="str">
        <f t="shared" ref="AB66" si="175">IF(C66="New Construction","Incremental","")</f>
        <v/>
      </c>
      <c r="AC66" s="1165"/>
      <c r="AD66" s="869"/>
      <c r="AE66" s="1091"/>
      <c r="AF66" s="1193" t="str">
        <f t="shared" ref="AF66" si="176">IF(AB66="Incremental",0,"")</f>
        <v/>
      </c>
      <c r="AG66" s="1194"/>
      <c r="AH66" s="865" t="str">
        <f t="shared" ref="AH66" si="177">IF(OR(C66="",F66="",L66="",P66="",R66="",T66="",X66="",Z66="",AD66="",AF66=""),"",ROUND(AD66+AF66,2))</f>
        <v/>
      </c>
      <c r="AI66" s="1096"/>
      <c r="AJ66" s="1096"/>
      <c r="AK66" s="1105" t="str">
        <f t="shared" ref="AK66" si="178">IF(OR(C66="",F66="",F66="",L66="",P66="",R66="",T66="",X66="",Z66="",AB66="",AD66="",AF66=""),"",IF((P66*R66)-(X66*Z66)&lt;=0,0,ROUND((P66*R66)-(X66*Z66),2)))</f>
        <v/>
      </c>
      <c r="AL66" s="1105"/>
      <c r="AM66" s="1105"/>
      <c r="AN66" s="1132" t="str">
        <f t="shared" ref="AN66" si="179">IF(OR(C66="",F66="",F66="",L66="",P66="",R66="",T66="",X66="",Z66="",AB66="",AD66="",AF66=""),"",IF(BE66&lt;&gt;"",BE66,IF(C66="Custom",AY66,IF(C66="New Construction",AZ66,IF(C66="RCx",BA66)))))</f>
        <v/>
      </c>
      <c r="AO66" s="1132"/>
      <c r="AP66" s="1132"/>
      <c r="AQ66" s="1132"/>
      <c r="AR66" s="59"/>
      <c r="AU66" s="1103" t="str">
        <f>IF(F66="","",INDEX(CUSTNONLIGHTEUNIT,MATCH(F66,PROGRAMECAT[Category 1],0)))</f>
        <v/>
      </c>
      <c r="AV66" s="1103" t="str">
        <f>IF(OR(C66="",F66="",L66="",P66="",R66="",T66="",X66="",Z66="",AB66="",AD66="",AF66=""),"",((1+ELOSS)*((AK66*INDEX(ELECCB[NPV AEC $/kWh],MATCH(BB66,ELECCB[Year Number],1)))+(AX66*INDEX(ELECCB[NPV ACC+T&amp;D $/kW],MATCH(BB66,ELECCB[Year Number],1)))))/AH66)</f>
        <v/>
      </c>
      <c r="AW66" s="1185"/>
      <c r="AX66" s="1187" t="str">
        <f>IF(OR(C66="",F66="",L66="",P66="",R66="",T66="",X66="",Z66="",AB66="",AD66="",AF66=""),"",ROUND(AW66*(INDEX(PROGRAMECAT[Lighting Coincidence Factor],MATCH(F66,PROGRAMECAT[Category 1],0))),3))</f>
        <v/>
      </c>
      <c r="AY66" s="1180" t="str">
        <f>IF(OR(C66="",F66="",F66="",L66="",P66="",R66="",T66="",X66="",Z66="",AB66="",AD66="",AF66=""),"",IF(AB66="Total",ROUND(MIN(AH66*0.75,AK66*INDEX(INCRATE[Electric],MATCH("CMNONLIGHT",INCRATE[Incentive Type]))),2),IF(AB66="Incremental",ROUND(MIN(AH66,AK66*INDEX(INCRATE[Electric],MATCH("CMNONLIGHT",INCRATE[Incentive Type]))),2))))</f>
        <v/>
      </c>
      <c r="AZ66" s="1180" t="str">
        <f>IF(OR(C66="",F66="",F66="",L66="",P66="",R66="",T66="",X66="",Z66="",AB66="",AD66="",AF66=""),"",IF(AB66="Total",ROUND(MIN(AH66*0.75,AK66*INDEX(INCRATE[Electric],MATCH("NCNONLIGHT",INCRATE[Incentive Type]))),2),IF(AB66="Incremental",ROUND(MIN(AH66,AK66*INDEX(INCRATE[Electric],MATCH("NCNONLIGHT",INCRATE[Incentive Type]))),2))))</f>
        <v/>
      </c>
      <c r="BA66" s="1180" t="str">
        <f>IF(OR(C66="",F66="",F66="",L66="",P66="",R66="",T66="",X66="",Z66="",AB66="",AD66="",AF66=""),"",IF(AB66="Total",ROUND(MIN(AH66*0.75,AK66*INDEX(INCRATE[Electric],MATCH("RCX",INCRATE[Incentive Type]))),2),IF(AB66="Incremental",ROUND(MIN(AH66,AK66*INDEX(INCRATE[Electric],MATCH("RCX",INCRATE[Incentive Type]))),2))))</f>
        <v/>
      </c>
      <c r="BB66" s="1097" t="str">
        <f>IF(F66="","",INDEX(PROGRAMECAT[EUL],MATCH(F66,PROGRAMECAT[Category 1],0)))</f>
        <v/>
      </c>
      <c r="BC66" s="1097" t="str">
        <f>IFERROR(AH66/M02S02F35/AK66,"")</f>
        <v/>
      </c>
      <c r="BD66" s="1190" t="str">
        <f>IF(OR(C66="",F66="",L66="",P66="",R66="",T66="",X66="",Z66="",AB66="",AD66="",AF66=""),"",IF(ISNUMBER(AN66),INDEX(PROGRAMECAT[Measure Number],MATCH(F66,PROGRAMECAT[Category 1],0)),IF(AK66=0,"","000001")))</f>
        <v/>
      </c>
      <c r="BE66" s="1097" t="str">
        <f>IFERROR(IF((P66*R66)-(X66*Z66)&lt;=0,MEASURESAV,IF(M02S02F35="",MEASURERATE,IF(OR(F66="Others (Incremental)",F66="Others"),MEASURESUBMIT, IF(BC66&lt;1,MEASUREPAY,IF(AV66&lt;1,MEASURECB,""))))),MEASURESUBMIT)</f>
        <v>Submit for Review</v>
      </c>
      <c r="BH66" s="995" t="str">
        <f ca="1">IF(OR(C66="",F66="",F66="",L66="",P66="",R66="",T66="",X66="",Z66="",AB66="",AD66="",AF66=""),"",IF('M01-S01'!$V$82&lt;TODAY(),0,IF(M02S02F46="Gas Only",0,IF(OR(AK66="",AK66&lt;0,AH66&lt;=AN66),0,MIN(AH66-AN66,ROUND(IF(OR(ISNUMBER(SEARCH("Compressed Air",F66)),ISNUMBER(SEARCH("T8",F66)),ISNUMBER(SEARCH("T5",F66)),ISNUMBER(SEARCH("MH",F66)),ISNUMBER(SEARCH("HPS",F66)),ISNUMBER(SEARCH("MV",F66))),AN66*0.2),2))))))</f>
        <v/>
      </c>
    </row>
    <row r="67" spans="2:60" ht="15.95" hidden="1" customHeight="1">
      <c r="B67" s="923"/>
      <c r="C67" s="1088"/>
      <c r="D67" s="1088"/>
      <c r="E67" s="1088"/>
      <c r="F67" s="1088"/>
      <c r="G67" s="1088"/>
      <c r="H67" s="1088"/>
      <c r="I67" s="1088"/>
      <c r="J67" s="1088"/>
      <c r="K67" s="1088"/>
      <c r="L67" s="835"/>
      <c r="M67" s="836"/>
      <c r="N67" s="836"/>
      <c r="O67" s="837"/>
      <c r="P67" s="848"/>
      <c r="Q67" s="849"/>
      <c r="R67" s="1110"/>
      <c r="S67" s="1198"/>
      <c r="T67" s="843"/>
      <c r="U67" s="836"/>
      <c r="V67" s="836"/>
      <c r="W67" s="837"/>
      <c r="X67" s="1078"/>
      <c r="Y67" s="1078"/>
      <c r="Z67" s="1179"/>
      <c r="AA67" s="1179"/>
      <c r="AB67" s="1166"/>
      <c r="AC67" s="1166"/>
      <c r="AD67" s="870"/>
      <c r="AE67" s="1092"/>
      <c r="AF67" s="1195"/>
      <c r="AG67" s="1196"/>
      <c r="AH67" s="1130"/>
      <c r="AI67" s="1131"/>
      <c r="AJ67" s="1131"/>
      <c r="AK67" s="1143"/>
      <c r="AL67" s="1143"/>
      <c r="AM67" s="1143"/>
      <c r="AN67" s="1133"/>
      <c r="AO67" s="1133"/>
      <c r="AP67" s="1133"/>
      <c r="AQ67" s="1133"/>
      <c r="AR67" s="59"/>
      <c r="AU67" s="1102"/>
      <c r="AV67" s="1102"/>
      <c r="AW67" s="1186"/>
      <c r="AX67" s="1069"/>
      <c r="AY67" s="1098"/>
      <c r="AZ67" s="1098"/>
      <c r="BA67" s="1098"/>
      <c r="BB67" s="1098"/>
      <c r="BC67" s="1098"/>
      <c r="BD67" s="1184"/>
      <c r="BE67" s="1098"/>
      <c r="BH67" s="996"/>
    </row>
    <row r="68" spans="2:60" ht="15.95" hidden="1" customHeight="1">
      <c r="B68" s="923">
        <v>27</v>
      </c>
      <c r="C68" s="1087"/>
      <c r="D68" s="1087"/>
      <c r="E68" s="1087"/>
      <c r="F68" s="1087"/>
      <c r="G68" s="1087"/>
      <c r="H68" s="1087"/>
      <c r="I68" s="1087"/>
      <c r="J68" s="1087"/>
      <c r="K68" s="1087"/>
      <c r="L68" s="866"/>
      <c r="M68" s="867"/>
      <c r="N68" s="867"/>
      <c r="O68" s="868"/>
      <c r="P68" s="846"/>
      <c r="Q68" s="847"/>
      <c r="R68" s="1108"/>
      <c r="S68" s="1197"/>
      <c r="T68" s="1177"/>
      <c r="U68" s="867"/>
      <c r="V68" s="867"/>
      <c r="W68" s="868"/>
      <c r="X68" s="1077"/>
      <c r="Y68" s="1077"/>
      <c r="Z68" s="1178"/>
      <c r="AA68" s="1178"/>
      <c r="AB68" s="1165" t="str">
        <f t="shared" ref="AB68" si="180">IF(C68="New Construction","Incremental","")</f>
        <v/>
      </c>
      <c r="AC68" s="1165"/>
      <c r="AD68" s="869"/>
      <c r="AE68" s="1091"/>
      <c r="AF68" s="1193" t="str">
        <f t="shared" ref="AF68" si="181">IF(AB68="Incremental",0,"")</f>
        <v/>
      </c>
      <c r="AG68" s="1194"/>
      <c r="AH68" s="865" t="str">
        <f t="shared" ref="AH68" si="182">IF(OR(C68="",F68="",L68="",P68="",R68="",T68="",X68="",Z68="",AD68="",AF68=""),"",ROUND(AD68+AF68,2))</f>
        <v/>
      </c>
      <c r="AI68" s="1096"/>
      <c r="AJ68" s="1096"/>
      <c r="AK68" s="1105" t="str">
        <f t="shared" ref="AK68" si="183">IF(OR(C68="",F68="",F68="",L68="",P68="",R68="",T68="",X68="",Z68="",AB68="",AD68="",AF68=""),"",IF((P68*R68)-(X68*Z68)&lt;=0,0,ROUND((P68*R68)-(X68*Z68),2)))</f>
        <v/>
      </c>
      <c r="AL68" s="1105"/>
      <c r="AM68" s="1105"/>
      <c r="AN68" s="1132" t="str">
        <f t="shared" ref="AN68" si="184">IF(OR(C68="",F68="",F68="",L68="",P68="",R68="",T68="",X68="",Z68="",AB68="",AD68="",AF68=""),"",IF(BE68&lt;&gt;"",BE68,IF(C68="Custom",AY68,IF(C68="New Construction",AZ68,IF(C68="RCx",BA68)))))</f>
        <v/>
      </c>
      <c r="AO68" s="1132"/>
      <c r="AP68" s="1132"/>
      <c r="AQ68" s="1132"/>
      <c r="AR68" s="59"/>
      <c r="AU68" s="1103" t="str">
        <f>IF(F68="","",INDEX(CUSTNONLIGHTEUNIT,MATCH(F68,PROGRAMECAT[Category 1],0)))</f>
        <v/>
      </c>
      <c r="AV68" s="1103" t="str">
        <f>IF(OR(C68="",F68="",L68="",P68="",R68="",T68="",X68="",Z68="",AB68="",AD68="",AF68=""),"",((1+ELOSS)*((AK68*INDEX(ELECCB[NPV AEC $/kWh],MATCH(BB68,ELECCB[Year Number],1)))+(AX68*INDEX(ELECCB[NPV ACC+T&amp;D $/kW],MATCH(BB68,ELECCB[Year Number],1)))))/AH68)</f>
        <v/>
      </c>
      <c r="AW68" s="1185"/>
      <c r="AX68" s="1187" t="str">
        <f>IF(OR(C68="",F68="",L68="",P68="",R68="",T68="",X68="",Z68="",AB68="",AD68="",AF68=""),"",ROUND(AW68*(INDEX(PROGRAMECAT[Lighting Coincidence Factor],MATCH(F68,PROGRAMECAT[Category 1],0))),3))</f>
        <v/>
      </c>
      <c r="AY68" s="1180" t="str">
        <f>IF(OR(C68="",F68="",F68="",L68="",P68="",R68="",T68="",X68="",Z68="",AB68="",AD68="",AF68=""),"",IF(AB68="Total",ROUND(MIN(AH68*0.75,AK68*INDEX(INCRATE[Electric],MATCH("CMNONLIGHT",INCRATE[Incentive Type]))),2),IF(AB68="Incremental",ROUND(MIN(AH68,AK68*INDEX(INCRATE[Electric],MATCH("CMNONLIGHT",INCRATE[Incentive Type]))),2))))</f>
        <v/>
      </c>
      <c r="AZ68" s="1180" t="str">
        <f>IF(OR(C68="",F68="",F68="",L68="",P68="",R68="",T68="",X68="",Z68="",AB68="",AD68="",AF68=""),"",IF(AB68="Total",ROUND(MIN(AH68*0.75,AK68*INDEX(INCRATE[Electric],MATCH("NCNONLIGHT",INCRATE[Incentive Type]))),2),IF(AB68="Incremental",ROUND(MIN(AH68,AK68*INDEX(INCRATE[Electric],MATCH("NCNONLIGHT",INCRATE[Incentive Type]))),2))))</f>
        <v/>
      </c>
      <c r="BA68" s="1180" t="str">
        <f>IF(OR(C68="",F68="",F68="",L68="",P68="",R68="",T68="",X68="",Z68="",AB68="",AD68="",AF68=""),"",IF(AB68="Total",ROUND(MIN(AH68*0.75,AK68*INDEX(INCRATE[Electric],MATCH("RCX",INCRATE[Incentive Type]))),2),IF(AB68="Incremental",ROUND(MIN(AH68,AK68*INDEX(INCRATE[Electric],MATCH("RCX",INCRATE[Incentive Type]))),2))))</f>
        <v/>
      </c>
      <c r="BB68" s="1097" t="str">
        <f>IF(F68="","",INDEX(PROGRAMECAT[EUL],MATCH(F68,PROGRAMECAT[Category 1],0)))</f>
        <v/>
      </c>
      <c r="BC68" s="1097" t="str">
        <f>IFERROR(AH68/M02S02F35/AK68,"")</f>
        <v/>
      </c>
      <c r="BD68" s="1190" t="str">
        <f>IF(OR(C68="",F68="",L68="",P68="",R68="",T68="",X68="",Z68="",AB68="",AD68="",AF68=""),"",IF(ISNUMBER(AN68),INDEX(PROGRAMECAT[Measure Number],MATCH(F68,PROGRAMECAT[Category 1],0)),IF(AK68=0,"","000001")))</f>
        <v/>
      </c>
      <c r="BE68" s="1097" t="str">
        <f>IFERROR(IF((P68*R68)-(X68*Z68)&lt;=0,MEASURESAV,IF(M02S02F35="",MEASURERATE,IF(OR(F68="Others (Incremental)",F68="Others"),MEASURESUBMIT, IF(BC68&lt;1,MEASUREPAY,IF(AV68&lt;1,MEASURECB,""))))),MEASURESUBMIT)</f>
        <v>Submit for Review</v>
      </c>
      <c r="BH68" s="995" t="str">
        <f ca="1">IF(OR(C68="",F68="",F68="",L68="",P68="",R68="",T68="",X68="",Z68="",AB68="",AD68="",AF68=""),"",IF('M01-S01'!$V$82&lt;TODAY(),0,IF(M02S02F46="Gas Only",0,IF(OR(AK68="",AK68&lt;0,AH68&lt;=AN68),0,MIN(AH68-AN68,ROUND(IF(OR(ISNUMBER(SEARCH("Compressed Air",F68)),ISNUMBER(SEARCH("T8",F68)),ISNUMBER(SEARCH("T5",F68)),ISNUMBER(SEARCH("MH",F68)),ISNUMBER(SEARCH("HPS",F68)),ISNUMBER(SEARCH("MV",F68))),AN68*0.2),2))))))</f>
        <v/>
      </c>
    </row>
    <row r="69" spans="2:60" ht="15.95" hidden="1" customHeight="1">
      <c r="B69" s="923"/>
      <c r="C69" s="1088"/>
      <c r="D69" s="1088"/>
      <c r="E69" s="1088"/>
      <c r="F69" s="1088"/>
      <c r="G69" s="1088"/>
      <c r="H69" s="1088"/>
      <c r="I69" s="1088"/>
      <c r="J69" s="1088"/>
      <c r="K69" s="1088"/>
      <c r="L69" s="835"/>
      <c r="M69" s="836"/>
      <c r="N69" s="836"/>
      <c r="O69" s="837"/>
      <c r="P69" s="848"/>
      <c r="Q69" s="849"/>
      <c r="R69" s="1110"/>
      <c r="S69" s="1198"/>
      <c r="T69" s="843"/>
      <c r="U69" s="836"/>
      <c r="V69" s="836"/>
      <c r="W69" s="837"/>
      <c r="X69" s="1078"/>
      <c r="Y69" s="1078"/>
      <c r="Z69" s="1179"/>
      <c r="AA69" s="1179"/>
      <c r="AB69" s="1166"/>
      <c r="AC69" s="1166"/>
      <c r="AD69" s="870"/>
      <c r="AE69" s="1092"/>
      <c r="AF69" s="1195"/>
      <c r="AG69" s="1196"/>
      <c r="AH69" s="1130"/>
      <c r="AI69" s="1131"/>
      <c r="AJ69" s="1131"/>
      <c r="AK69" s="1143"/>
      <c r="AL69" s="1143"/>
      <c r="AM69" s="1143"/>
      <c r="AN69" s="1133"/>
      <c r="AO69" s="1133"/>
      <c r="AP69" s="1133"/>
      <c r="AQ69" s="1133"/>
      <c r="AR69" s="59"/>
      <c r="AU69" s="1102"/>
      <c r="AV69" s="1102"/>
      <c r="AW69" s="1186"/>
      <c r="AX69" s="1069"/>
      <c r="AY69" s="1098"/>
      <c r="AZ69" s="1098"/>
      <c r="BA69" s="1098"/>
      <c r="BB69" s="1098"/>
      <c r="BC69" s="1098"/>
      <c r="BD69" s="1184"/>
      <c r="BE69" s="1098"/>
      <c r="BH69" s="996"/>
    </row>
    <row r="70" spans="2:60" ht="15.95" hidden="1" customHeight="1">
      <c r="B70" s="923">
        <v>28</v>
      </c>
      <c r="C70" s="1087"/>
      <c r="D70" s="1087"/>
      <c r="E70" s="1087"/>
      <c r="F70" s="1087"/>
      <c r="G70" s="1087"/>
      <c r="H70" s="1087"/>
      <c r="I70" s="1087"/>
      <c r="J70" s="1087"/>
      <c r="K70" s="1087"/>
      <c r="L70" s="866"/>
      <c r="M70" s="867"/>
      <c r="N70" s="867"/>
      <c r="O70" s="868"/>
      <c r="P70" s="846"/>
      <c r="Q70" s="847"/>
      <c r="R70" s="1108"/>
      <c r="S70" s="1197"/>
      <c r="T70" s="1177"/>
      <c r="U70" s="867"/>
      <c r="V70" s="867"/>
      <c r="W70" s="868"/>
      <c r="X70" s="1077"/>
      <c r="Y70" s="1077"/>
      <c r="Z70" s="1178"/>
      <c r="AA70" s="1178"/>
      <c r="AB70" s="1165" t="str">
        <f t="shared" ref="AB70" si="185">IF(C70="New Construction","Incremental","")</f>
        <v/>
      </c>
      <c r="AC70" s="1165"/>
      <c r="AD70" s="869"/>
      <c r="AE70" s="1091"/>
      <c r="AF70" s="1193" t="str">
        <f t="shared" ref="AF70" si="186">IF(AB70="Incremental",0,"")</f>
        <v/>
      </c>
      <c r="AG70" s="1194"/>
      <c r="AH70" s="865" t="str">
        <f t="shared" ref="AH70" si="187">IF(OR(C70="",F70="",L70="",P70="",R70="",T70="",X70="",Z70="",AD70="",AF70=""),"",ROUND(AD70+AF70,2))</f>
        <v/>
      </c>
      <c r="AI70" s="1096"/>
      <c r="AJ70" s="1096"/>
      <c r="AK70" s="1105" t="str">
        <f t="shared" ref="AK70" si="188">IF(OR(C70="",F70="",F70="",L70="",P70="",R70="",T70="",X70="",Z70="",AB70="",AD70="",AF70=""),"",IF((P70*R70)-(X70*Z70)&lt;=0,0,ROUND((P70*R70)-(X70*Z70),2)))</f>
        <v/>
      </c>
      <c r="AL70" s="1105"/>
      <c r="AM70" s="1105"/>
      <c r="AN70" s="1132" t="str">
        <f t="shared" ref="AN70" si="189">IF(OR(C70="",F70="",F70="",L70="",P70="",R70="",T70="",X70="",Z70="",AB70="",AD70="",AF70=""),"",IF(BE70&lt;&gt;"",BE70,IF(C70="Custom",AY70,IF(C70="New Construction",AZ70,IF(C70="RCx",BA70)))))</f>
        <v/>
      </c>
      <c r="AO70" s="1132"/>
      <c r="AP70" s="1132"/>
      <c r="AQ70" s="1132"/>
      <c r="AR70" s="59"/>
      <c r="AU70" s="1103" t="str">
        <f>IF(F70="","",INDEX(CUSTNONLIGHTEUNIT,MATCH(F70,PROGRAMECAT[Category 1],0)))</f>
        <v/>
      </c>
      <c r="AV70" s="1103" t="str">
        <f>IF(OR(C70="",F70="",L70="",P70="",R70="",T70="",X70="",Z70="",AB70="",AD70="",AF70=""),"",((1+ELOSS)*((AK70*INDEX(ELECCB[NPV AEC $/kWh],MATCH(BB70,ELECCB[Year Number],1)))+(AX70*INDEX(ELECCB[NPV ACC+T&amp;D $/kW],MATCH(BB70,ELECCB[Year Number],1)))))/AH70)</f>
        <v/>
      </c>
      <c r="AW70" s="1185"/>
      <c r="AX70" s="1187" t="str">
        <f>IF(OR(C70="",F70="",L70="",P70="",R70="",T70="",X70="",Z70="",AB70="",AD70="",AF70=""),"",ROUND(AW70*(INDEX(PROGRAMECAT[Lighting Coincidence Factor],MATCH(F70,PROGRAMECAT[Category 1],0))),3))</f>
        <v/>
      </c>
      <c r="AY70" s="1180" t="str">
        <f>IF(OR(C70="",F70="",F70="",L70="",P70="",R70="",T70="",X70="",Z70="",AB70="",AD70="",AF70=""),"",IF(AB70="Total",ROUND(MIN(AH70*0.75,AK70*INDEX(INCRATE[Electric],MATCH("CMNONLIGHT",INCRATE[Incentive Type]))),2),IF(AB70="Incremental",ROUND(MIN(AH70,AK70*INDEX(INCRATE[Electric],MATCH("CMNONLIGHT",INCRATE[Incentive Type]))),2))))</f>
        <v/>
      </c>
      <c r="AZ70" s="1180" t="str">
        <f>IF(OR(C70="",F70="",F70="",L70="",P70="",R70="",T70="",X70="",Z70="",AB70="",AD70="",AF70=""),"",IF(AB70="Total",ROUND(MIN(AH70*0.75,AK70*INDEX(INCRATE[Electric],MATCH("NCNONLIGHT",INCRATE[Incentive Type]))),2),IF(AB70="Incremental",ROUND(MIN(AH70,AK70*INDEX(INCRATE[Electric],MATCH("NCNONLIGHT",INCRATE[Incentive Type]))),2))))</f>
        <v/>
      </c>
      <c r="BA70" s="1180" t="str">
        <f>IF(OR(C70="",F70="",F70="",L70="",P70="",R70="",T70="",X70="",Z70="",AB70="",AD70="",AF70=""),"",IF(AB70="Total",ROUND(MIN(AH70*0.75,AK70*INDEX(INCRATE[Electric],MATCH("RCX",INCRATE[Incentive Type]))),2),IF(AB70="Incremental",ROUND(MIN(AH70,AK70*INDEX(INCRATE[Electric],MATCH("RCX",INCRATE[Incentive Type]))),2))))</f>
        <v/>
      </c>
      <c r="BB70" s="1097" t="str">
        <f>IF(F70="","",INDEX(PROGRAMECAT[EUL],MATCH(F70,PROGRAMECAT[Category 1],0)))</f>
        <v/>
      </c>
      <c r="BC70" s="1097" t="str">
        <f>IFERROR(AH70/M02S02F35/AK70,"")</f>
        <v/>
      </c>
      <c r="BD70" s="1190" t="str">
        <f>IF(OR(C70="",F70="",L70="",P70="",R70="",T70="",X70="",Z70="",AB70="",AD70="",AF70=""),"",IF(ISNUMBER(AN70),INDEX(PROGRAMECAT[Measure Number],MATCH(F70,PROGRAMECAT[Category 1],0)),IF(AK70=0,"","000001")))</f>
        <v/>
      </c>
      <c r="BE70" s="1097" t="str">
        <f>IFERROR(IF((P70*R70)-(X70*Z70)&lt;=0,MEASURESAV,IF(M02S02F35="",MEASURERATE,IF(OR(F70="Others (Incremental)",F70="Others"),MEASURESUBMIT, IF(BC70&lt;1,MEASUREPAY,IF(AV70&lt;1,MEASURECB,""))))),MEASURESUBMIT)</f>
        <v>Submit for Review</v>
      </c>
      <c r="BH70" s="995" t="str">
        <f ca="1">IF(OR(C70="",F70="",F70="",L70="",P70="",R70="",T70="",X70="",Z70="",AB70="",AD70="",AF70=""),"",IF('M01-S01'!$V$82&lt;TODAY(),0,IF(M02S02F46="Gas Only",0,IF(OR(AK70="",AK70&lt;0,AH70&lt;=AN70),0,MIN(AH70-AN70,ROUND(IF(OR(ISNUMBER(SEARCH("Compressed Air",F70)),ISNUMBER(SEARCH("T8",F70)),ISNUMBER(SEARCH("T5",F70)),ISNUMBER(SEARCH("MH",F70)),ISNUMBER(SEARCH("HPS",F70)),ISNUMBER(SEARCH("MV",F70))),AN70*0.2),2))))))</f>
        <v/>
      </c>
    </row>
    <row r="71" spans="2:60" ht="15.95" hidden="1" customHeight="1">
      <c r="B71" s="923"/>
      <c r="C71" s="1088"/>
      <c r="D71" s="1088"/>
      <c r="E71" s="1088"/>
      <c r="F71" s="1088"/>
      <c r="G71" s="1088"/>
      <c r="H71" s="1088"/>
      <c r="I71" s="1088"/>
      <c r="J71" s="1088"/>
      <c r="K71" s="1088"/>
      <c r="L71" s="835"/>
      <c r="M71" s="836"/>
      <c r="N71" s="836"/>
      <c r="O71" s="837"/>
      <c r="P71" s="848"/>
      <c r="Q71" s="849"/>
      <c r="R71" s="1110"/>
      <c r="S71" s="1198"/>
      <c r="T71" s="843"/>
      <c r="U71" s="836"/>
      <c r="V71" s="836"/>
      <c r="W71" s="837"/>
      <c r="X71" s="1078"/>
      <c r="Y71" s="1078"/>
      <c r="Z71" s="1179"/>
      <c r="AA71" s="1179"/>
      <c r="AB71" s="1166"/>
      <c r="AC71" s="1166"/>
      <c r="AD71" s="870"/>
      <c r="AE71" s="1092"/>
      <c r="AF71" s="1195"/>
      <c r="AG71" s="1196"/>
      <c r="AH71" s="1130"/>
      <c r="AI71" s="1131"/>
      <c r="AJ71" s="1131"/>
      <c r="AK71" s="1143"/>
      <c r="AL71" s="1143"/>
      <c r="AM71" s="1143"/>
      <c r="AN71" s="1133"/>
      <c r="AO71" s="1133"/>
      <c r="AP71" s="1133"/>
      <c r="AQ71" s="1133"/>
      <c r="AR71" s="59"/>
      <c r="AU71" s="1102"/>
      <c r="AV71" s="1102"/>
      <c r="AW71" s="1186"/>
      <c r="AX71" s="1069"/>
      <c r="AY71" s="1098"/>
      <c r="AZ71" s="1098"/>
      <c r="BA71" s="1098"/>
      <c r="BB71" s="1098"/>
      <c r="BC71" s="1098"/>
      <c r="BD71" s="1184"/>
      <c r="BE71" s="1098"/>
      <c r="BH71" s="996"/>
    </row>
    <row r="72" spans="2:60" ht="15.95" hidden="1" customHeight="1">
      <c r="B72" s="923">
        <v>29</v>
      </c>
      <c r="C72" s="1087"/>
      <c r="D72" s="1087"/>
      <c r="E72" s="1087"/>
      <c r="F72" s="1087"/>
      <c r="G72" s="1087"/>
      <c r="H72" s="1087"/>
      <c r="I72" s="1087"/>
      <c r="J72" s="1087"/>
      <c r="K72" s="1087"/>
      <c r="L72" s="866"/>
      <c r="M72" s="867"/>
      <c r="N72" s="867"/>
      <c r="O72" s="868"/>
      <c r="P72" s="846"/>
      <c r="Q72" s="847"/>
      <c r="R72" s="1108"/>
      <c r="S72" s="1197"/>
      <c r="T72" s="1177"/>
      <c r="U72" s="867"/>
      <c r="V72" s="867"/>
      <c r="W72" s="868"/>
      <c r="X72" s="1077"/>
      <c r="Y72" s="1077"/>
      <c r="Z72" s="1178"/>
      <c r="AA72" s="1178"/>
      <c r="AB72" s="1165" t="str">
        <f t="shared" ref="AB72" si="190">IF(C72="New Construction","Incremental","")</f>
        <v/>
      </c>
      <c r="AC72" s="1165"/>
      <c r="AD72" s="869"/>
      <c r="AE72" s="1091"/>
      <c r="AF72" s="1193" t="str">
        <f t="shared" ref="AF72" si="191">IF(AB72="Incremental",0,"")</f>
        <v/>
      </c>
      <c r="AG72" s="1194"/>
      <c r="AH72" s="865" t="str">
        <f t="shared" ref="AH72" si="192">IF(OR(C72="",F72="",L72="",P72="",R72="",T72="",X72="",Z72="",AD72="",AF72=""),"",ROUND(AD72+AF72,2))</f>
        <v/>
      </c>
      <c r="AI72" s="1096"/>
      <c r="AJ72" s="1096"/>
      <c r="AK72" s="1105" t="str">
        <f t="shared" ref="AK72" si="193">IF(OR(C72="",F72="",F72="",L72="",P72="",R72="",T72="",X72="",Z72="",AB72="",AD72="",AF72=""),"",IF((P72*R72)-(X72*Z72)&lt;=0,0,ROUND((P72*R72)-(X72*Z72),2)))</f>
        <v/>
      </c>
      <c r="AL72" s="1105"/>
      <c r="AM72" s="1105"/>
      <c r="AN72" s="1132" t="str">
        <f t="shared" ref="AN72" si="194">IF(OR(C72="",F72="",F72="",L72="",P72="",R72="",T72="",X72="",Z72="",AB72="",AD72="",AF72=""),"",IF(BE72&lt;&gt;"",BE72,IF(C72="Custom",AY72,IF(C72="New Construction",AZ72,IF(C72="RCx",BA72)))))</f>
        <v/>
      </c>
      <c r="AO72" s="1132"/>
      <c r="AP72" s="1132"/>
      <c r="AQ72" s="1132"/>
      <c r="AR72" s="59"/>
      <c r="AU72" s="1103" t="str">
        <f>IF(F72="","",INDEX(CUSTNONLIGHTEUNIT,MATCH(F72,PROGRAMECAT[Category 1],0)))</f>
        <v/>
      </c>
      <c r="AV72" s="1103" t="str">
        <f>IF(OR(C72="",F72="",L72="",P72="",R72="",T72="",X72="",Z72="",AB72="",AD72="",AF72=""),"",((1+ELOSS)*((AK72*INDEX(ELECCB[NPV AEC $/kWh],MATCH(BB72,ELECCB[Year Number],1)))+(AX72*INDEX(ELECCB[NPV ACC+T&amp;D $/kW],MATCH(BB72,ELECCB[Year Number],1)))))/AH72)</f>
        <v/>
      </c>
      <c r="AW72" s="1185"/>
      <c r="AX72" s="1187" t="str">
        <f>IF(OR(C72="",F72="",L72="",P72="",R72="",T72="",X72="",Z72="",AB72="",AD72="",AF72=""),"",ROUND(AW72*(INDEX(PROGRAMECAT[Lighting Coincidence Factor],MATCH(F72,PROGRAMECAT[Category 1],0))),3))</f>
        <v/>
      </c>
      <c r="AY72" s="1180" t="str">
        <f>IF(OR(C72="",F72="",F72="",L72="",P72="",R72="",T72="",X72="",Z72="",AB72="",AD72="",AF72=""),"",IF(AB72="Total",ROUND(MIN(AH72*0.75,AK72*INDEX(INCRATE[Electric],MATCH("CMNONLIGHT",INCRATE[Incentive Type]))),2),IF(AB72="Incremental",ROUND(MIN(AH72,AK72*INDEX(INCRATE[Electric],MATCH("CMNONLIGHT",INCRATE[Incentive Type]))),2))))</f>
        <v/>
      </c>
      <c r="AZ72" s="1180" t="str">
        <f>IF(OR(C72="",F72="",F72="",L72="",P72="",R72="",T72="",X72="",Z72="",AB72="",AD72="",AF72=""),"",IF(AB72="Total",ROUND(MIN(AH72*0.75,AK72*INDEX(INCRATE[Electric],MATCH("NCNONLIGHT",INCRATE[Incentive Type]))),2),IF(AB72="Incremental",ROUND(MIN(AH72,AK72*INDEX(INCRATE[Electric],MATCH("NCNONLIGHT",INCRATE[Incentive Type]))),2))))</f>
        <v/>
      </c>
      <c r="BA72" s="1180" t="str">
        <f>IF(OR(C72="",F72="",F72="",L72="",P72="",R72="",T72="",X72="",Z72="",AB72="",AD72="",AF72=""),"",IF(AB72="Total",ROUND(MIN(AH72*0.75,AK72*INDEX(INCRATE[Electric],MATCH("RCX",INCRATE[Incentive Type]))),2),IF(AB72="Incremental",ROUND(MIN(AH72,AK72*INDEX(INCRATE[Electric],MATCH("RCX",INCRATE[Incentive Type]))),2))))</f>
        <v/>
      </c>
      <c r="BB72" s="1097" t="str">
        <f>IF(F72="","",INDEX(PROGRAMECAT[EUL],MATCH(F72,PROGRAMECAT[Category 1],0)))</f>
        <v/>
      </c>
      <c r="BC72" s="1097" t="str">
        <f>IFERROR(AH72/M02S02F35/AK72,"")</f>
        <v/>
      </c>
      <c r="BD72" s="1190" t="str">
        <f>IF(OR(C72="",F72="",L72="",P72="",R72="",T72="",X72="",Z72="",AB72="",AD72="",AF72=""),"",IF(ISNUMBER(AN72),INDEX(PROGRAMECAT[Measure Number],MATCH(F72,PROGRAMECAT[Category 1],0)),IF(AK72=0,"","000001")))</f>
        <v/>
      </c>
      <c r="BE72" s="1097" t="str">
        <f>IFERROR(IF((P72*R72)-(X72*Z72)&lt;=0,MEASURESAV,IF(M02S02F35="",MEASURERATE,IF(OR(F72="Others (Incremental)",F72="Others"),MEASURESUBMIT, IF(BC72&lt;1,MEASUREPAY,IF(AV72&lt;1,MEASURECB,""))))),MEASURESUBMIT)</f>
        <v>Submit for Review</v>
      </c>
      <c r="BH72" s="995" t="str">
        <f ca="1">IF(OR(C72="",F72="",F72="",L72="",P72="",R72="",T72="",X72="",Z72="",AB72="",AD72="",AF72=""),"",IF('M01-S01'!$V$82&lt;TODAY(),0,IF(M02S02F46="Gas Only",0,IF(OR(AK72="",AK72&lt;0,AH72&lt;=AN72),0,MIN(AH72-AN72,ROUND(IF(OR(ISNUMBER(SEARCH("Compressed Air",F72)),ISNUMBER(SEARCH("T8",F72)),ISNUMBER(SEARCH("T5",F72)),ISNUMBER(SEARCH("MH",F72)),ISNUMBER(SEARCH("HPS",F72)),ISNUMBER(SEARCH("MV",F72))),AN72*0.2),2))))))</f>
        <v/>
      </c>
    </row>
    <row r="73" spans="2:60" ht="15.95" hidden="1" customHeight="1">
      <c r="B73" s="923"/>
      <c r="C73" s="1088"/>
      <c r="D73" s="1088"/>
      <c r="E73" s="1088"/>
      <c r="F73" s="1088"/>
      <c r="G73" s="1088"/>
      <c r="H73" s="1088"/>
      <c r="I73" s="1088"/>
      <c r="J73" s="1088"/>
      <c r="K73" s="1088"/>
      <c r="L73" s="835"/>
      <c r="M73" s="836"/>
      <c r="N73" s="836"/>
      <c r="O73" s="837"/>
      <c r="P73" s="848"/>
      <c r="Q73" s="849"/>
      <c r="R73" s="1110"/>
      <c r="S73" s="1198"/>
      <c r="T73" s="843"/>
      <c r="U73" s="836"/>
      <c r="V73" s="836"/>
      <c r="W73" s="837"/>
      <c r="X73" s="1078"/>
      <c r="Y73" s="1078"/>
      <c r="Z73" s="1179"/>
      <c r="AA73" s="1179"/>
      <c r="AB73" s="1166"/>
      <c r="AC73" s="1166"/>
      <c r="AD73" s="870"/>
      <c r="AE73" s="1092"/>
      <c r="AF73" s="1195"/>
      <c r="AG73" s="1196"/>
      <c r="AH73" s="1130"/>
      <c r="AI73" s="1131"/>
      <c r="AJ73" s="1131"/>
      <c r="AK73" s="1143"/>
      <c r="AL73" s="1143"/>
      <c r="AM73" s="1143"/>
      <c r="AN73" s="1133"/>
      <c r="AO73" s="1133"/>
      <c r="AP73" s="1133"/>
      <c r="AQ73" s="1133"/>
      <c r="AR73" s="59"/>
      <c r="AU73" s="1102"/>
      <c r="AV73" s="1102"/>
      <c r="AW73" s="1186"/>
      <c r="AX73" s="1069"/>
      <c r="AY73" s="1098"/>
      <c r="AZ73" s="1098"/>
      <c r="BA73" s="1098"/>
      <c r="BB73" s="1098"/>
      <c r="BC73" s="1098"/>
      <c r="BD73" s="1184"/>
      <c r="BE73" s="1098"/>
      <c r="BH73" s="996"/>
    </row>
    <row r="74" spans="2:60" ht="15.95" hidden="1" customHeight="1">
      <c r="B74" s="923">
        <v>30</v>
      </c>
      <c r="C74" s="1087"/>
      <c r="D74" s="1087"/>
      <c r="E74" s="1087"/>
      <c r="F74" s="1087"/>
      <c r="G74" s="1087"/>
      <c r="H74" s="1087"/>
      <c r="I74" s="1087"/>
      <c r="J74" s="1087"/>
      <c r="K74" s="1087"/>
      <c r="L74" s="866"/>
      <c r="M74" s="867"/>
      <c r="N74" s="867"/>
      <c r="O74" s="868"/>
      <c r="P74" s="846"/>
      <c r="Q74" s="847"/>
      <c r="R74" s="1108"/>
      <c r="S74" s="1197"/>
      <c r="T74" s="1177"/>
      <c r="U74" s="867"/>
      <c r="V74" s="867"/>
      <c r="W74" s="868"/>
      <c r="X74" s="1077"/>
      <c r="Y74" s="1077"/>
      <c r="Z74" s="1178"/>
      <c r="AA74" s="1178"/>
      <c r="AB74" s="1165" t="str">
        <f t="shared" ref="AB74" si="195">IF(C74="New Construction","Incremental","")</f>
        <v/>
      </c>
      <c r="AC74" s="1165"/>
      <c r="AD74" s="869"/>
      <c r="AE74" s="1091"/>
      <c r="AF74" s="1193" t="str">
        <f t="shared" ref="AF74" si="196">IF(AB74="Incremental",0,"")</f>
        <v/>
      </c>
      <c r="AG74" s="1194"/>
      <c r="AH74" s="865" t="str">
        <f t="shared" ref="AH74" si="197">IF(OR(C74="",F74="",L74="",P74="",R74="",T74="",X74="",Z74="",AD74="",AF74=""),"",ROUND(AD74+AF74,2))</f>
        <v/>
      </c>
      <c r="AI74" s="1096"/>
      <c r="AJ74" s="1096"/>
      <c r="AK74" s="1105" t="str">
        <f t="shared" ref="AK74" si="198">IF(OR(C74="",F74="",F74="",L74="",P74="",R74="",T74="",X74="",Z74="",AB74="",AD74="",AF74=""),"",IF((P74*R74)-(X74*Z74)&lt;=0,0,ROUND((P74*R74)-(X74*Z74),2)))</f>
        <v/>
      </c>
      <c r="AL74" s="1105"/>
      <c r="AM74" s="1105"/>
      <c r="AN74" s="1132" t="str">
        <f t="shared" ref="AN74" si="199">IF(OR(C74="",F74="",F74="",L74="",P74="",R74="",T74="",X74="",Z74="",AB74="",AD74="",AF74=""),"",IF(BE74&lt;&gt;"",BE74,IF(C74="Custom",AY74,IF(C74="New Construction",AZ74,IF(C74="RCx",BA74)))))</f>
        <v/>
      </c>
      <c r="AO74" s="1132"/>
      <c r="AP74" s="1132"/>
      <c r="AQ74" s="1132"/>
      <c r="AR74" s="59"/>
      <c r="AU74" s="1103" t="str">
        <f>IF(F74="","",INDEX(CUSTNONLIGHTEUNIT,MATCH(F74,PROGRAMECAT[Category 1],0)))</f>
        <v/>
      </c>
      <c r="AV74" s="1103" t="str">
        <f>IF(OR(C74="",F74="",L74="",P74="",R74="",T74="",X74="",Z74="",AB74="",AD74="",AF74=""),"",((1+ELOSS)*((AK74*INDEX(ELECCB[NPV AEC $/kWh],MATCH(BB74,ELECCB[Year Number],1)))+(AX74*INDEX(ELECCB[NPV ACC+T&amp;D $/kW],MATCH(BB74,ELECCB[Year Number],1)))))/AH74)</f>
        <v/>
      </c>
      <c r="AW74" s="1185"/>
      <c r="AX74" s="1187" t="str">
        <f>IF(OR(C74="",F74="",L74="",P74="",R74="",T74="",X74="",Z74="",AB74="",AD74="",AF74=""),"",ROUND(AW74*(INDEX(PROGRAMECAT[Lighting Coincidence Factor],MATCH(F74,PROGRAMECAT[Category 1],0))),3))</f>
        <v/>
      </c>
      <c r="AY74" s="1180" t="str">
        <f>IF(OR(C74="",F74="",F74="",L74="",P74="",R74="",T74="",X74="",Z74="",AB74="",AD74="",AF74=""),"",IF(AB74="Total",ROUND(MIN(AH74*0.75,AK74*INDEX(INCRATE[Electric],MATCH("CMNONLIGHT",INCRATE[Incentive Type]))),2),IF(AB74="Incremental",ROUND(MIN(AH74,AK74*INDEX(INCRATE[Electric],MATCH("CMNONLIGHT",INCRATE[Incentive Type]))),2))))</f>
        <v/>
      </c>
      <c r="AZ74" s="1180" t="str">
        <f>IF(OR(C74="",F74="",F74="",L74="",P74="",R74="",T74="",X74="",Z74="",AB74="",AD74="",AF74=""),"",IF(AB74="Total",ROUND(MIN(AH74*0.75,AK74*INDEX(INCRATE[Electric],MATCH("NCNONLIGHT",INCRATE[Incentive Type]))),2),IF(AB74="Incremental",ROUND(MIN(AH74,AK74*INDEX(INCRATE[Electric],MATCH("NCNONLIGHT",INCRATE[Incentive Type]))),2))))</f>
        <v/>
      </c>
      <c r="BA74" s="1180" t="str">
        <f>IF(OR(C74="",F74="",F74="",L74="",P74="",R74="",T74="",X74="",Z74="",AB74="",AD74="",AF74=""),"",IF(AB74="Total",ROUND(MIN(AH74*0.75,AK74*INDEX(INCRATE[Electric],MATCH("RCX",INCRATE[Incentive Type]))),2),IF(AB74="Incremental",ROUND(MIN(AH74,AK74*INDEX(INCRATE[Electric],MATCH("RCX",INCRATE[Incentive Type]))),2))))</f>
        <v/>
      </c>
      <c r="BB74" s="1097" t="str">
        <f>IF(F74="","",INDEX(PROGRAMECAT[EUL],MATCH(F74,PROGRAMECAT[Category 1],0)))</f>
        <v/>
      </c>
      <c r="BC74" s="1097" t="str">
        <f>IFERROR(AH74/M02S02F35/AK74,"")</f>
        <v/>
      </c>
      <c r="BD74" s="1190" t="str">
        <f>IF(OR(C74="",F74="",L74="",P74="",R74="",T74="",X74="",Z74="",AB74="",AD74="",AF74=""),"",IF(ISNUMBER(AN74),INDEX(PROGRAMECAT[Measure Number],MATCH(F74,PROGRAMECAT[Category 1],0)),IF(AK74=0,"","000001")))</f>
        <v/>
      </c>
      <c r="BE74" s="1097" t="str">
        <f>IFERROR(IF((P74*R74)-(X74*Z74)&lt;=0,MEASURESAV,IF(M02S02F35="",MEASURERATE,IF(OR(F74="Others (Incremental)",F74="Others"),MEASURESUBMIT, IF(BC74&lt;1,MEASUREPAY,IF(AV74&lt;1,MEASURECB,""))))),MEASURESUBMIT)</f>
        <v>Submit for Review</v>
      </c>
      <c r="BH74" s="995" t="str">
        <f ca="1">IF(OR(C74="",F74="",F74="",L74="",P74="",R74="",T74="",X74="",Z74="",AB74="",AD74="",AF74=""),"",IF('M01-S01'!$V$82&lt;TODAY(),0,IF(M02S02F46="Gas Only",0,IF(OR(AK74="",AK74&lt;0,AH74&lt;=AN74),0,MIN(AH74-AN74,ROUND(IF(OR(ISNUMBER(SEARCH("Compressed Air",F74)),ISNUMBER(SEARCH("T8",F74)),ISNUMBER(SEARCH("T5",F74)),ISNUMBER(SEARCH("MH",F74)),ISNUMBER(SEARCH("HPS",F74)),ISNUMBER(SEARCH("MV",F74))),AN74*0.2),2))))))</f>
        <v/>
      </c>
    </row>
    <row r="75" spans="2:60" ht="15.95" hidden="1" customHeight="1">
      <c r="B75" s="923"/>
      <c r="C75" s="1088"/>
      <c r="D75" s="1088"/>
      <c r="E75" s="1088"/>
      <c r="F75" s="1088"/>
      <c r="G75" s="1088"/>
      <c r="H75" s="1088"/>
      <c r="I75" s="1088"/>
      <c r="J75" s="1088"/>
      <c r="K75" s="1088"/>
      <c r="L75" s="835"/>
      <c r="M75" s="836"/>
      <c r="N75" s="836"/>
      <c r="O75" s="837"/>
      <c r="P75" s="848"/>
      <c r="Q75" s="849"/>
      <c r="R75" s="1110"/>
      <c r="S75" s="1198"/>
      <c r="T75" s="843"/>
      <c r="U75" s="836"/>
      <c r="V75" s="836"/>
      <c r="W75" s="837"/>
      <c r="X75" s="1078"/>
      <c r="Y75" s="1078"/>
      <c r="Z75" s="1179"/>
      <c r="AA75" s="1179"/>
      <c r="AB75" s="1166"/>
      <c r="AC75" s="1166"/>
      <c r="AD75" s="870"/>
      <c r="AE75" s="1092"/>
      <c r="AF75" s="1195"/>
      <c r="AG75" s="1196"/>
      <c r="AH75" s="1130"/>
      <c r="AI75" s="1131"/>
      <c r="AJ75" s="1131"/>
      <c r="AK75" s="1143"/>
      <c r="AL75" s="1143"/>
      <c r="AM75" s="1143"/>
      <c r="AN75" s="1133"/>
      <c r="AO75" s="1133"/>
      <c r="AP75" s="1133"/>
      <c r="AQ75" s="1133"/>
      <c r="AR75" s="59"/>
      <c r="AU75" s="1102"/>
      <c r="AV75" s="1102"/>
      <c r="AW75" s="1186"/>
      <c r="AX75" s="1069"/>
      <c r="AY75" s="1098"/>
      <c r="AZ75" s="1098"/>
      <c r="BA75" s="1098"/>
      <c r="BB75" s="1098"/>
      <c r="BC75" s="1098"/>
      <c r="BD75" s="1184"/>
      <c r="BE75" s="1098"/>
      <c r="BH75" s="996"/>
    </row>
    <row r="76" spans="2:60" ht="15.95" hidden="1" customHeight="1">
      <c r="B76" s="923">
        <v>31</v>
      </c>
      <c r="C76" s="1087"/>
      <c r="D76" s="1087"/>
      <c r="E76" s="1087"/>
      <c r="F76" s="1087"/>
      <c r="G76" s="1087"/>
      <c r="H76" s="1087"/>
      <c r="I76" s="1087"/>
      <c r="J76" s="1087"/>
      <c r="K76" s="1087"/>
      <c r="L76" s="866"/>
      <c r="M76" s="867"/>
      <c r="N76" s="867"/>
      <c r="O76" s="868"/>
      <c r="P76" s="846"/>
      <c r="Q76" s="847"/>
      <c r="R76" s="1108"/>
      <c r="S76" s="1197"/>
      <c r="T76" s="1177"/>
      <c r="U76" s="867"/>
      <c r="V76" s="867"/>
      <c r="W76" s="868"/>
      <c r="X76" s="1077"/>
      <c r="Y76" s="1077"/>
      <c r="Z76" s="1178"/>
      <c r="AA76" s="1178"/>
      <c r="AB76" s="1165" t="str">
        <f t="shared" ref="AB76" si="200">IF(C76="New Construction","Incremental","")</f>
        <v/>
      </c>
      <c r="AC76" s="1165"/>
      <c r="AD76" s="869"/>
      <c r="AE76" s="1091"/>
      <c r="AF76" s="1193" t="str">
        <f t="shared" ref="AF76" si="201">IF(AB76="Incremental",0,"")</f>
        <v/>
      </c>
      <c r="AG76" s="1194"/>
      <c r="AH76" s="865" t="str">
        <f t="shared" ref="AH76" si="202">IF(OR(C76="",F76="",L76="",P76="",R76="",T76="",X76="",Z76="",AD76="",AF76=""),"",ROUND(AD76+AF76,2))</f>
        <v/>
      </c>
      <c r="AI76" s="1096"/>
      <c r="AJ76" s="1096"/>
      <c r="AK76" s="1105" t="str">
        <f t="shared" ref="AK76" si="203">IF(OR(C76="",F76="",F76="",L76="",P76="",R76="",T76="",X76="",Z76="",AB76="",AD76="",AF76=""),"",IF((P76*R76)-(X76*Z76)&lt;=0,0,ROUND((P76*R76)-(X76*Z76),2)))</f>
        <v/>
      </c>
      <c r="AL76" s="1105"/>
      <c r="AM76" s="1105"/>
      <c r="AN76" s="1132" t="str">
        <f t="shared" ref="AN76" si="204">IF(OR(C76="",F76="",F76="",L76="",P76="",R76="",T76="",X76="",Z76="",AB76="",AD76="",AF76=""),"",IF(BE76&lt;&gt;"",BE76,IF(C76="Custom",AY76,IF(C76="New Construction",AZ76,IF(C76="RCx",BA76)))))</f>
        <v/>
      </c>
      <c r="AO76" s="1132"/>
      <c r="AP76" s="1132"/>
      <c r="AQ76" s="1132"/>
      <c r="AR76" s="59"/>
      <c r="AU76" s="1103" t="str">
        <f>IF(F76="","",INDEX(CUSTNONLIGHTEUNIT,MATCH(F76,PROGRAMECAT[Category 1],0)))</f>
        <v/>
      </c>
      <c r="AV76" s="1103" t="str">
        <f>IF(OR(C76="",F76="",L76="",P76="",R76="",T76="",X76="",Z76="",AB76="",AD76="",AF76=""),"",((1+ELOSS)*((AK76*INDEX(ELECCB[NPV AEC $/kWh],MATCH(BB76,ELECCB[Year Number],1)))+(AX76*INDEX(ELECCB[NPV ACC+T&amp;D $/kW],MATCH(BB76,ELECCB[Year Number],1)))))/AH76)</f>
        <v/>
      </c>
      <c r="AW76" s="1185"/>
      <c r="AX76" s="1187" t="str">
        <f>IF(OR(C76="",F76="",L76="",P76="",R76="",T76="",X76="",Z76="",AB76="",AD76="",AF76=""),"",ROUND(AW76*(INDEX(PROGRAMECAT[Lighting Coincidence Factor],MATCH(F76,PROGRAMECAT[Category 1],0))),3))</f>
        <v/>
      </c>
      <c r="AY76" s="1180" t="str">
        <f>IF(OR(C76="",F76="",F76="",L76="",P76="",R76="",T76="",X76="",Z76="",AB76="",AD76="",AF76=""),"",IF(AB76="Total",ROUND(MIN(AH76*0.75,AK76*INDEX(INCRATE[Electric],MATCH("CMNONLIGHT",INCRATE[Incentive Type]))),2),IF(AB76="Incremental",ROUND(MIN(AH76,AK76*INDEX(INCRATE[Electric],MATCH("CMNONLIGHT",INCRATE[Incentive Type]))),2))))</f>
        <v/>
      </c>
      <c r="AZ76" s="1180" t="str">
        <f>IF(OR(C76="",F76="",F76="",L76="",P76="",R76="",T76="",X76="",Z76="",AB76="",AD76="",AF76=""),"",IF(AB76="Total",ROUND(MIN(AH76*0.75,AK76*INDEX(INCRATE[Electric],MATCH("NCNONLIGHT",INCRATE[Incentive Type]))),2),IF(AB76="Incremental",ROUND(MIN(AH76,AK76*INDEX(INCRATE[Electric],MATCH("NCNONLIGHT",INCRATE[Incentive Type]))),2))))</f>
        <v/>
      </c>
      <c r="BA76" s="1180" t="str">
        <f>IF(OR(C76="",F76="",F76="",L76="",P76="",R76="",T76="",X76="",Z76="",AB76="",AD76="",AF76=""),"",IF(AB76="Total",ROUND(MIN(AH76*0.75,AK76*INDEX(INCRATE[Electric],MATCH("RCX",INCRATE[Incentive Type]))),2),IF(AB76="Incremental",ROUND(MIN(AH76,AK76*INDEX(INCRATE[Electric],MATCH("RCX",INCRATE[Incentive Type]))),2))))</f>
        <v/>
      </c>
      <c r="BB76" s="1097" t="str">
        <f>IF(F76="","",INDEX(PROGRAMECAT[EUL],MATCH(F76,PROGRAMECAT[Category 1],0)))</f>
        <v/>
      </c>
      <c r="BC76" s="1097" t="str">
        <f>IFERROR(AH76/M02S02F35/AK76,"")</f>
        <v/>
      </c>
      <c r="BD76" s="1190" t="str">
        <f>IF(OR(C76="",F76="",L76="",P76="",R76="",T76="",X76="",Z76="",AB76="",AD76="",AF76=""),"",IF(ISNUMBER(AN76),INDEX(PROGRAMECAT[Measure Number],MATCH(F76,PROGRAMECAT[Category 1],0)),IF(AK76=0,"","000001")))</f>
        <v/>
      </c>
      <c r="BE76" s="1097" t="str">
        <f>IFERROR(IF((P76*R76)-(X76*Z76)&lt;=0,MEASURESAV,IF(M02S02F35="",MEASURERATE,IF(OR(F76="Others (Incremental)",F76="Others"),MEASURESUBMIT, IF(BC76&lt;1,MEASUREPAY,IF(AV76&lt;1,MEASURECB,""))))),MEASURESUBMIT)</f>
        <v>Submit for Review</v>
      </c>
      <c r="BH76" s="995" t="str">
        <f ca="1">IF(OR(C76="",F76="",F76="",L76="",P76="",R76="",T76="",X76="",Z76="",AB76="",AD76="",AF76=""),"",IF('M01-S01'!$V$82&lt;TODAY(),0,IF(M02S02F46="Gas Only",0,IF(OR(AK76="",AK76&lt;0,AH76&lt;=AN76),0,MIN(AH76-AN76,ROUND(IF(OR(ISNUMBER(SEARCH("Compressed Air",F76)),ISNUMBER(SEARCH("T8",F76)),ISNUMBER(SEARCH("T5",F76)),ISNUMBER(SEARCH("MH",F76)),ISNUMBER(SEARCH("HPS",F76)),ISNUMBER(SEARCH("MV",F76))),AN76*0.2),2))))))</f>
        <v/>
      </c>
    </row>
    <row r="77" spans="2:60" ht="15.95" hidden="1" customHeight="1">
      <c r="B77" s="923"/>
      <c r="C77" s="1088"/>
      <c r="D77" s="1088"/>
      <c r="E77" s="1088"/>
      <c r="F77" s="1088"/>
      <c r="G77" s="1088"/>
      <c r="H77" s="1088"/>
      <c r="I77" s="1088"/>
      <c r="J77" s="1088"/>
      <c r="K77" s="1088"/>
      <c r="L77" s="835"/>
      <c r="M77" s="836"/>
      <c r="N77" s="836"/>
      <c r="O77" s="837"/>
      <c r="P77" s="848"/>
      <c r="Q77" s="849"/>
      <c r="R77" s="1110"/>
      <c r="S77" s="1198"/>
      <c r="T77" s="843"/>
      <c r="U77" s="836"/>
      <c r="V77" s="836"/>
      <c r="W77" s="837"/>
      <c r="X77" s="1078"/>
      <c r="Y77" s="1078"/>
      <c r="Z77" s="1179"/>
      <c r="AA77" s="1179"/>
      <c r="AB77" s="1166"/>
      <c r="AC77" s="1166"/>
      <c r="AD77" s="870"/>
      <c r="AE77" s="1092"/>
      <c r="AF77" s="1195"/>
      <c r="AG77" s="1196"/>
      <c r="AH77" s="1130"/>
      <c r="AI77" s="1131"/>
      <c r="AJ77" s="1131"/>
      <c r="AK77" s="1143"/>
      <c r="AL77" s="1143"/>
      <c r="AM77" s="1143"/>
      <c r="AN77" s="1133"/>
      <c r="AO77" s="1133"/>
      <c r="AP77" s="1133"/>
      <c r="AQ77" s="1133"/>
      <c r="AR77" s="59"/>
      <c r="AU77" s="1102"/>
      <c r="AV77" s="1102"/>
      <c r="AW77" s="1186"/>
      <c r="AX77" s="1069"/>
      <c r="AY77" s="1098"/>
      <c r="AZ77" s="1098"/>
      <c r="BA77" s="1098"/>
      <c r="BB77" s="1098"/>
      <c r="BC77" s="1098"/>
      <c r="BD77" s="1184"/>
      <c r="BE77" s="1098"/>
      <c r="BH77" s="996"/>
    </row>
    <row r="78" spans="2:60" ht="15.95" hidden="1" customHeight="1">
      <c r="B78" s="923">
        <v>32</v>
      </c>
      <c r="C78" s="1087"/>
      <c r="D78" s="1087"/>
      <c r="E78" s="1087"/>
      <c r="F78" s="1087"/>
      <c r="G78" s="1087"/>
      <c r="H78" s="1087"/>
      <c r="I78" s="1087"/>
      <c r="J78" s="1087"/>
      <c r="K78" s="1087"/>
      <c r="L78" s="866"/>
      <c r="M78" s="867"/>
      <c r="N78" s="867"/>
      <c r="O78" s="868"/>
      <c r="P78" s="846"/>
      <c r="Q78" s="847"/>
      <c r="R78" s="1108"/>
      <c r="S78" s="1197"/>
      <c r="T78" s="1177"/>
      <c r="U78" s="867"/>
      <c r="V78" s="867"/>
      <c r="W78" s="868"/>
      <c r="X78" s="1077"/>
      <c r="Y78" s="1077"/>
      <c r="Z78" s="1178"/>
      <c r="AA78" s="1178"/>
      <c r="AB78" s="1165" t="str">
        <f t="shared" ref="AB78" si="205">IF(C78="New Construction","Incremental","")</f>
        <v/>
      </c>
      <c r="AC78" s="1165"/>
      <c r="AD78" s="869"/>
      <c r="AE78" s="1091"/>
      <c r="AF78" s="1193" t="str">
        <f t="shared" ref="AF78" si="206">IF(AB78="Incremental",0,"")</f>
        <v/>
      </c>
      <c r="AG78" s="1194"/>
      <c r="AH78" s="865" t="str">
        <f t="shared" ref="AH78" si="207">IF(OR(C78="",F78="",L78="",P78="",R78="",T78="",X78="",Z78="",AD78="",AF78=""),"",ROUND(AD78+AF78,2))</f>
        <v/>
      </c>
      <c r="AI78" s="1096"/>
      <c r="AJ78" s="1096"/>
      <c r="AK78" s="1105" t="str">
        <f t="shared" ref="AK78" si="208">IF(OR(C78="",F78="",F78="",L78="",P78="",R78="",T78="",X78="",Z78="",AB78="",AD78="",AF78=""),"",IF((P78*R78)-(X78*Z78)&lt;=0,0,ROUND((P78*R78)-(X78*Z78),2)))</f>
        <v/>
      </c>
      <c r="AL78" s="1105"/>
      <c r="AM78" s="1105"/>
      <c r="AN78" s="1132" t="str">
        <f t="shared" ref="AN78" si="209">IF(OR(C78="",F78="",F78="",L78="",P78="",R78="",T78="",X78="",Z78="",AB78="",AD78="",AF78=""),"",IF(BE78&lt;&gt;"",BE78,IF(C78="Custom",AY78,IF(C78="New Construction",AZ78,IF(C78="RCx",BA78)))))</f>
        <v/>
      </c>
      <c r="AO78" s="1132"/>
      <c r="AP78" s="1132"/>
      <c r="AQ78" s="1132"/>
      <c r="AR78" s="59"/>
      <c r="AU78" s="1103" t="str">
        <f>IF(F78="","",INDEX(CUSTNONLIGHTEUNIT,MATCH(F78,PROGRAMECAT[Category 1],0)))</f>
        <v/>
      </c>
      <c r="AV78" s="1103" t="str">
        <f>IF(OR(C78="",F78="",L78="",P78="",R78="",T78="",X78="",Z78="",AB78="",AD78="",AF78=""),"",((1+ELOSS)*((AK78*INDEX(ELECCB[NPV AEC $/kWh],MATCH(BB78,ELECCB[Year Number],1)))+(AX78*INDEX(ELECCB[NPV ACC+T&amp;D $/kW],MATCH(BB78,ELECCB[Year Number],1)))))/AH78)</f>
        <v/>
      </c>
      <c r="AW78" s="1185"/>
      <c r="AX78" s="1187" t="str">
        <f>IF(OR(C78="",F78="",L78="",P78="",R78="",T78="",X78="",Z78="",AB78="",AD78="",AF78=""),"",ROUND(AW78*(INDEX(PROGRAMECAT[Lighting Coincidence Factor],MATCH(F78,PROGRAMECAT[Category 1],0))),3))</f>
        <v/>
      </c>
      <c r="AY78" s="1180" t="str">
        <f>IF(OR(C78="",F78="",F78="",L78="",P78="",R78="",T78="",X78="",Z78="",AB78="",AD78="",AF78=""),"",IF(AB78="Total",ROUND(MIN(AH78*0.75,AK78*INDEX(INCRATE[Electric],MATCH("CMNONLIGHT",INCRATE[Incentive Type]))),2),IF(AB78="Incremental",ROUND(MIN(AH78,AK78*INDEX(INCRATE[Electric],MATCH("CMNONLIGHT",INCRATE[Incentive Type]))),2))))</f>
        <v/>
      </c>
      <c r="AZ78" s="1180" t="str">
        <f>IF(OR(C78="",F78="",F78="",L78="",P78="",R78="",T78="",X78="",Z78="",AB78="",AD78="",AF78=""),"",IF(AB78="Total",ROUND(MIN(AH78*0.75,AK78*INDEX(INCRATE[Electric],MATCH("NCNONLIGHT",INCRATE[Incentive Type]))),2),IF(AB78="Incremental",ROUND(MIN(AH78,AK78*INDEX(INCRATE[Electric],MATCH("NCNONLIGHT",INCRATE[Incentive Type]))),2))))</f>
        <v/>
      </c>
      <c r="BA78" s="1180" t="str">
        <f>IF(OR(C78="",F78="",F78="",L78="",P78="",R78="",T78="",X78="",Z78="",AB78="",AD78="",AF78=""),"",IF(AB78="Total",ROUND(MIN(AH78*0.75,AK78*INDEX(INCRATE[Electric],MATCH("RCX",INCRATE[Incentive Type]))),2),IF(AB78="Incremental",ROUND(MIN(AH78,AK78*INDEX(INCRATE[Electric],MATCH("RCX",INCRATE[Incentive Type]))),2))))</f>
        <v/>
      </c>
      <c r="BB78" s="1097" t="str">
        <f>IF(F78="","",INDEX(PROGRAMECAT[EUL],MATCH(F78,PROGRAMECAT[Category 1],0)))</f>
        <v/>
      </c>
      <c r="BC78" s="1097" t="str">
        <f>IFERROR(AH78/M02S02F35/AK78,"")</f>
        <v/>
      </c>
      <c r="BD78" s="1190" t="str">
        <f>IF(OR(C78="",F78="",L78="",P78="",R78="",T78="",X78="",Z78="",AB78="",AD78="",AF78=""),"",IF(ISNUMBER(AN78),INDEX(PROGRAMECAT[Measure Number],MATCH(F78,PROGRAMECAT[Category 1],0)),IF(AK78=0,"","000001")))</f>
        <v/>
      </c>
      <c r="BE78" s="1097" t="str">
        <f>IFERROR(IF((P78*R78)-(X78*Z78)&lt;=0,MEASURESAV,IF(M02S02F35="",MEASURERATE,IF(OR(F78="Others (Incremental)",F78="Others"),MEASURESUBMIT, IF(BC78&lt;1,MEASUREPAY,IF(AV78&lt;1,MEASURECB,""))))),MEASURESUBMIT)</f>
        <v>Submit for Review</v>
      </c>
      <c r="BH78" s="995" t="str">
        <f ca="1">IF(OR(C78="",F78="",F78="",L78="",P78="",R78="",T78="",X78="",Z78="",AB78="",AD78="",AF78=""),"",IF('M01-S01'!$V$82&lt;TODAY(),0,IF(M02S02F46="Gas Only",0,IF(OR(AK78="",AK78&lt;0,AH78&lt;=AN78),0,MIN(AH78-AN78,ROUND(IF(OR(ISNUMBER(SEARCH("Compressed Air",F78)),ISNUMBER(SEARCH("T8",F78)),ISNUMBER(SEARCH("T5",F78)),ISNUMBER(SEARCH("MH",F78)),ISNUMBER(SEARCH("HPS",F78)),ISNUMBER(SEARCH("MV",F78))),AN78*0.2),2))))))</f>
        <v/>
      </c>
    </row>
    <row r="79" spans="2:60" ht="15.95" hidden="1" customHeight="1">
      <c r="B79" s="923"/>
      <c r="C79" s="1088"/>
      <c r="D79" s="1088"/>
      <c r="E79" s="1088"/>
      <c r="F79" s="1088"/>
      <c r="G79" s="1088"/>
      <c r="H79" s="1088"/>
      <c r="I79" s="1088"/>
      <c r="J79" s="1088"/>
      <c r="K79" s="1088"/>
      <c r="L79" s="835"/>
      <c r="M79" s="836"/>
      <c r="N79" s="836"/>
      <c r="O79" s="837"/>
      <c r="P79" s="848"/>
      <c r="Q79" s="849"/>
      <c r="R79" s="1110"/>
      <c r="S79" s="1198"/>
      <c r="T79" s="843"/>
      <c r="U79" s="836"/>
      <c r="V79" s="836"/>
      <c r="W79" s="837"/>
      <c r="X79" s="1078"/>
      <c r="Y79" s="1078"/>
      <c r="Z79" s="1179"/>
      <c r="AA79" s="1179"/>
      <c r="AB79" s="1166"/>
      <c r="AC79" s="1166"/>
      <c r="AD79" s="870"/>
      <c r="AE79" s="1092"/>
      <c r="AF79" s="1195"/>
      <c r="AG79" s="1196"/>
      <c r="AH79" s="1130"/>
      <c r="AI79" s="1131"/>
      <c r="AJ79" s="1131"/>
      <c r="AK79" s="1143"/>
      <c r="AL79" s="1143"/>
      <c r="AM79" s="1143"/>
      <c r="AN79" s="1133"/>
      <c r="AO79" s="1133"/>
      <c r="AP79" s="1133"/>
      <c r="AQ79" s="1133"/>
      <c r="AR79" s="59"/>
      <c r="AU79" s="1102"/>
      <c r="AV79" s="1102"/>
      <c r="AW79" s="1186"/>
      <c r="AX79" s="1069"/>
      <c r="AY79" s="1098"/>
      <c r="AZ79" s="1098"/>
      <c r="BA79" s="1098"/>
      <c r="BB79" s="1098"/>
      <c r="BC79" s="1098"/>
      <c r="BD79" s="1184"/>
      <c r="BE79" s="1098"/>
      <c r="BH79" s="996"/>
    </row>
    <row r="80" spans="2:60" ht="15.95" hidden="1" customHeight="1">
      <c r="B80" s="923">
        <v>33</v>
      </c>
      <c r="C80" s="1087"/>
      <c r="D80" s="1087"/>
      <c r="E80" s="1087"/>
      <c r="F80" s="1087"/>
      <c r="G80" s="1087"/>
      <c r="H80" s="1087"/>
      <c r="I80" s="1087"/>
      <c r="J80" s="1087"/>
      <c r="K80" s="1087"/>
      <c r="L80" s="866"/>
      <c r="M80" s="867"/>
      <c r="N80" s="867"/>
      <c r="O80" s="868"/>
      <c r="P80" s="846"/>
      <c r="Q80" s="847"/>
      <c r="R80" s="1108"/>
      <c r="S80" s="1197"/>
      <c r="T80" s="1177"/>
      <c r="U80" s="867"/>
      <c r="V80" s="867"/>
      <c r="W80" s="868"/>
      <c r="X80" s="1077"/>
      <c r="Y80" s="1077"/>
      <c r="Z80" s="1178"/>
      <c r="AA80" s="1178"/>
      <c r="AB80" s="1165" t="str">
        <f t="shared" ref="AB80" si="210">IF(C80="New Construction","Incremental","")</f>
        <v/>
      </c>
      <c r="AC80" s="1165"/>
      <c r="AD80" s="869"/>
      <c r="AE80" s="1091"/>
      <c r="AF80" s="1193" t="str">
        <f t="shared" ref="AF80" si="211">IF(AB80="Incremental",0,"")</f>
        <v/>
      </c>
      <c r="AG80" s="1194"/>
      <c r="AH80" s="865" t="str">
        <f t="shared" ref="AH80" si="212">IF(OR(C80="",F80="",L80="",P80="",R80="",T80="",X80="",Z80="",AD80="",AF80=""),"",ROUND(AD80+AF80,2))</f>
        <v/>
      </c>
      <c r="AI80" s="1096"/>
      <c r="AJ80" s="1096"/>
      <c r="AK80" s="1105" t="str">
        <f t="shared" ref="AK80" si="213">IF(OR(C80="",F80="",F80="",L80="",P80="",R80="",T80="",X80="",Z80="",AB80="",AD80="",AF80=""),"",IF((P80*R80)-(X80*Z80)&lt;=0,0,ROUND((P80*R80)-(X80*Z80),2)))</f>
        <v/>
      </c>
      <c r="AL80" s="1105"/>
      <c r="AM80" s="1105"/>
      <c r="AN80" s="1132" t="str">
        <f t="shared" ref="AN80" si="214">IF(OR(C80="",F80="",F80="",L80="",P80="",R80="",T80="",X80="",Z80="",AB80="",AD80="",AF80=""),"",IF(BE80&lt;&gt;"",BE80,IF(C80="Custom",AY80,IF(C80="New Construction",AZ80,IF(C80="RCx",BA80)))))</f>
        <v/>
      </c>
      <c r="AO80" s="1132"/>
      <c r="AP80" s="1132"/>
      <c r="AQ80" s="1132"/>
      <c r="AR80" s="59"/>
      <c r="AU80" s="1103" t="str">
        <f>IF(F80="","",INDEX(CUSTNONLIGHTEUNIT,MATCH(F80,PROGRAMECAT[Category 1],0)))</f>
        <v/>
      </c>
      <c r="AV80" s="1103" t="str">
        <f>IF(OR(C80="",F80="",L80="",P80="",R80="",T80="",X80="",Z80="",AB80="",AD80="",AF80=""),"",((1+ELOSS)*((AK80*INDEX(ELECCB[NPV AEC $/kWh],MATCH(BB80,ELECCB[Year Number],1)))+(AX80*INDEX(ELECCB[NPV ACC+T&amp;D $/kW],MATCH(BB80,ELECCB[Year Number],1)))))/AH80)</f>
        <v/>
      </c>
      <c r="AW80" s="1185"/>
      <c r="AX80" s="1187" t="str">
        <f>IF(OR(C80="",F80="",L80="",P80="",R80="",T80="",X80="",Z80="",AB80="",AD80="",AF80=""),"",ROUND(AW80*(INDEX(PROGRAMECAT[Lighting Coincidence Factor],MATCH(F80,PROGRAMECAT[Category 1],0))),3))</f>
        <v/>
      </c>
      <c r="AY80" s="1180" t="str">
        <f>IF(OR(C80="",F80="",F80="",L80="",P80="",R80="",T80="",X80="",Z80="",AB80="",AD80="",AF80=""),"",IF(AB80="Total",ROUND(MIN(AH80*0.75,AK80*INDEX(INCRATE[Electric],MATCH("CMNONLIGHT",INCRATE[Incentive Type]))),2),IF(AB80="Incremental",ROUND(MIN(AH80,AK80*INDEX(INCRATE[Electric],MATCH("CMNONLIGHT",INCRATE[Incentive Type]))),2))))</f>
        <v/>
      </c>
      <c r="AZ80" s="1180" t="str">
        <f>IF(OR(C80="",F80="",F80="",L80="",P80="",R80="",T80="",X80="",Z80="",AB80="",AD80="",AF80=""),"",IF(AB80="Total",ROUND(MIN(AH80*0.75,AK80*INDEX(INCRATE[Electric],MATCH("NCNONLIGHT",INCRATE[Incentive Type]))),2),IF(AB80="Incremental",ROUND(MIN(AH80,AK80*INDEX(INCRATE[Electric],MATCH("NCNONLIGHT",INCRATE[Incentive Type]))),2))))</f>
        <v/>
      </c>
      <c r="BA80" s="1180" t="str">
        <f>IF(OR(C80="",F80="",F80="",L80="",P80="",R80="",T80="",X80="",Z80="",AB80="",AD80="",AF80=""),"",IF(AB80="Total",ROUND(MIN(AH80*0.75,AK80*INDEX(INCRATE[Electric],MATCH("RCX",INCRATE[Incentive Type]))),2),IF(AB80="Incremental",ROUND(MIN(AH80,AK80*INDEX(INCRATE[Electric],MATCH("RCX",INCRATE[Incentive Type]))),2))))</f>
        <v/>
      </c>
      <c r="BB80" s="1097" t="str">
        <f>IF(F80="","",INDEX(PROGRAMECAT[EUL],MATCH(F80,PROGRAMECAT[Category 1],0)))</f>
        <v/>
      </c>
      <c r="BC80" s="1097" t="str">
        <f>IFERROR(AH80/M02S02F35/AK80,"")</f>
        <v/>
      </c>
      <c r="BD80" s="1190" t="str">
        <f>IF(OR(C80="",F80="",L80="",P80="",R80="",T80="",X80="",Z80="",AB80="",AD80="",AF80=""),"",IF(ISNUMBER(AN80),INDEX(PROGRAMECAT[Measure Number],MATCH(F80,PROGRAMECAT[Category 1],0)),IF(AK80=0,"","000001")))</f>
        <v/>
      </c>
      <c r="BE80" s="1097" t="str">
        <f>IFERROR(IF((P80*R80)-(X80*Z80)&lt;=0,MEASURESAV,IF(M02S02F35="",MEASURERATE,IF(OR(F80="Others (Incremental)",F80="Others"),MEASURESUBMIT, IF(BC80&lt;1,MEASUREPAY,IF(AV80&lt;1,MEASURECB,""))))),MEASURESUBMIT)</f>
        <v>Submit for Review</v>
      </c>
      <c r="BH80" s="995" t="str">
        <f ca="1">IF(OR(C80="",F80="",F80="",L80="",P80="",R80="",T80="",X80="",Z80="",AB80="",AD80="",AF80=""),"",IF('M01-S01'!$V$82&lt;TODAY(),0,IF(M02S02F46="Gas Only",0,IF(OR(AK80="",AK80&lt;0,AH80&lt;=AN80),0,MIN(AH80-AN80,ROUND(IF(OR(ISNUMBER(SEARCH("Compressed Air",F80)),ISNUMBER(SEARCH("T8",F80)),ISNUMBER(SEARCH("T5",F80)),ISNUMBER(SEARCH("MH",F80)),ISNUMBER(SEARCH("HPS",F80)),ISNUMBER(SEARCH("MV",F80))),AN80*0.2),2))))))</f>
        <v/>
      </c>
    </row>
    <row r="81" spans="2:60" ht="15.95" hidden="1" customHeight="1">
      <c r="B81" s="923"/>
      <c r="C81" s="1088"/>
      <c r="D81" s="1088"/>
      <c r="E81" s="1088"/>
      <c r="F81" s="1088"/>
      <c r="G81" s="1088"/>
      <c r="H81" s="1088"/>
      <c r="I81" s="1088"/>
      <c r="J81" s="1088"/>
      <c r="K81" s="1088"/>
      <c r="L81" s="835"/>
      <c r="M81" s="836"/>
      <c r="N81" s="836"/>
      <c r="O81" s="837"/>
      <c r="P81" s="848"/>
      <c r="Q81" s="849"/>
      <c r="R81" s="1110"/>
      <c r="S81" s="1198"/>
      <c r="T81" s="843"/>
      <c r="U81" s="836"/>
      <c r="V81" s="836"/>
      <c r="W81" s="837"/>
      <c r="X81" s="1078"/>
      <c r="Y81" s="1078"/>
      <c r="Z81" s="1179"/>
      <c r="AA81" s="1179"/>
      <c r="AB81" s="1166"/>
      <c r="AC81" s="1166"/>
      <c r="AD81" s="870"/>
      <c r="AE81" s="1092"/>
      <c r="AF81" s="1195"/>
      <c r="AG81" s="1196"/>
      <c r="AH81" s="1130"/>
      <c r="AI81" s="1131"/>
      <c r="AJ81" s="1131"/>
      <c r="AK81" s="1143"/>
      <c r="AL81" s="1143"/>
      <c r="AM81" s="1143"/>
      <c r="AN81" s="1133"/>
      <c r="AO81" s="1133"/>
      <c r="AP81" s="1133"/>
      <c r="AQ81" s="1133"/>
      <c r="AR81" s="59"/>
      <c r="AU81" s="1102"/>
      <c r="AV81" s="1102"/>
      <c r="AW81" s="1186"/>
      <c r="AX81" s="1069"/>
      <c r="AY81" s="1098"/>
      <c r="AZ81" s="1098"/>
      <c r="BA81" s="1098"/>
      <c r="BB81" s="1098"/>
      <c r="BC81" s="1098"/>
      <c r="BD81" s="1184"/>
      <c r="BE81" s="1098"/>
      <c r="BH81" s="996"/>
    </row>
    <row r="82" spans="2:60" ht="15.95" hidden="1" customHeight="1">
      <c r="B82" s="923">
        <v>34</v>
      </c>
      <c r="C82" s="1087"/>
      <c r="D82" s="1087"/>
      <c r="E82" s="1087"/>
      <c r="F82" s="1087"/>
      <c r="G82" s="1087"/>
      <c r="H82" s="1087"/>
      <c r="I82" s="1087"/>
      <c r="J82" s="1087"/>
      <c r="K82" s="1087"/>
      <c r="L82" s="866"/>
      <c r="M82" s="867"/>
      <c r="N82" s="867"/>
      <c r="O82" s="868"/>
      <c r="P82" s="846"/>
      <c r="Q82" s="847"/>
      <c r="R82" s="1108"/>
      <c r="S82" s="1197"/>
      <c r="T82" s="1177"/>
      <c r="U82" s="867"/>
      <c r="V82" s="867"/>
      <c r="W82" s="868"/>
      <c r="X82" s="1077"/>
      <c r="Y82" s="1077"/>
      <c r="Z82" s="1178"/>
      <c r="AA82" s="1178"/>
      <c r="AB82" s="1165" t="str">
        <f t="shared" ref="AB82" si="215">IF(C82="New Construction","Incremental","")</f>
        <v/>
      </c>
      <c r="AC82" s="1165"/>
      <c r="AD82" s="869"/>
      <c r="AE82" s="1091"/>
      <c r="AF82" s="1193" t="str">
        <f t="shared" ref="AF82" si="216">IF(AB82="Incremental",0,"")</f>
        <v/>
      </c>
      <c r="AG82" s="1194"/>
      <c r="AH82" s="865" t="str">
        <f t="shared" ref="AH82" si="217">IF(OR(C82="",F82="",L82="",P82="",R82="",T82="",X82="",Z82="",AD82="",AF82=""),"",ROUND(AD82+AF82,2))</f>
        <v/>
      </c>
      <c r="AI82" s="1096"/>
      <c r="AJ82" s="1096"/>
      <c r="AK82" s="1105" t="str">
        <f t="shared" ref="AK82" si="218">IF(OR(C82="",F82="",F82="",L82="",P82="",R82="",T82="",X82="",Z82="",AB82="",AD82="",AF82=""),"",IF((P82*R82)-(X82*Z82)&lt;=0,0,ROUND((P82*R82)-(X82*Z82),2)))</f>
        <v/>
      </c>
      <c r="AL82" s="1105"/>
      <c r="AM82" s="1105"/>
      <c r="AN82" s="1132" t="str">
        <f t="shared" ref="AN82" si="219">IF(OR(C82="",F82="",F82="",L82="",P82="",R82="",T82="",X82="",Z82="",AB82="",AD82="",AF82=""),"",IF(BE82&lt;&gt;"",BE82,IF(C82="Custom",AY82,IF(C82="New Construction",AZ82,IF(C82="RCx",BA82)))))</f>
        <v/>
      </c>
      <c r="AO82" s="1132"/>
      <c r="AP82" s="1132"/>
      <c r="AQ82" s="1132"/>
      <c r="AR82" s="59"/>
      <c r="AU82" s="1103" t="str">
        <f>IF(F82="","",INDEX(CUSTNONLIGHTEUNIT,MATCH(F82,PROGRAMECAT[Category 1],0)))</f>
        <v/>
      </c>
      <c r="AV82" s="1103" t="str">
        <f>IF(OR(C82="",F82="",L82="",P82="",R82="",T82="",X82="",Z82="",AB82="",AD82="",AF82=""),"",((1+ELOSS)*((AK82*INDEX(ELECCB[NPV AEC $/kWh],MATCH(BB82,ELECCB[Year Number],1)))+(AX82*INDEX(ELECCB[NPV ACC+T&amp;D $/kW],MATCH(BB82,ELECCB[Year Number],1)))))/AH82)</f>
        <v/>
      </c>
      <c r="AW82" s="1185"/>
      <c r="AX82" s="1187" t="str">
        <f>IF(OR(C82="",F82="",L82="",P82="",R82="",T82="",X82="",Z82="",AB82="",AD82="",AF82=""),"",ROUND(AW82*(INDEX(PROGRAMECAT[Lighting Coincidence Factor],MATCH(F82,PROGRAMECAT[Category 1],0))),3))</f>
        <v/>
      </c>
      <c r="AY82" s="1180" t="str">
        <f>IF(OR(C82="",F82="",F82="",L82="",P82="",R82="",T82="",X82="",Z82="",AB82="",AD82="",AF82=""),"",IF(AB82="Total",ROUND(MIN(AH82*0.75,AK82*INDEX(INCRATE[Electric],MATCH("CMNONLIGHT",INCRATE[Incentive Type]))),2),IF(AB82="Incremental",ROUND(MIN(AH82,AK82*INDEX(INCRATE[Electric],MATCH("CMNONLIGHT",INCRATE[Incentive Type]))),2))))</f>
        <v/>
      </c>
      <c r="AZ82" s="1180" t="str">
        <f>IF(OR(C82="",F82="",F82="",L82="",P82="",R82="",T82="",X82="",Z82="",AB82="",AD82="",AF82=""),"",IF(AB82="Total",ROUND(MIN(AH82*0.75,AK82*INDEX(INCRATE[Electric],MATCH("NCNONLIGHT",INCRATE[Incentive Type]))),2),IF(AB82="Incremental",ROUND(MIN(AH82,AK82*INDEX(INCRATE[Electric],MATCH("NCNONLIGHT",INCRATE[Incentive Type]))),2))))</f>
        <v/>
      </c>
      <c r="BA82" s="1180" t="str">
        <f>IF(OR(C82="",F82="",F82="",L82="",P82="",R82="",T82="",X82="",Z82="",AB82="",AD82="",AF82=""),"",IF(AB82="Total",ROUND(MIN(AH82*0.75,AK82*INDEX(INCRATE[Electric],MATCH("RCX",INCRATE[Incentive Type]))),2),IF(AB82="Incremental",ROUND(MIN(AH82,AK82*INDEX(INCRATE[Electric],MATCH("RCX",INCRATE[Incentive Type]))),2))))</f>
        <v/>
      </c>
      <c r="BB82" s="1097" t="str">
        <f>IF(F82="","",INDEX(PROGRAMECAT[EUL],MATCH(F82,PROGRAMECAT[Category 1],0)))</f>
        <v/>
      </c>
      <c r="BC82" s="1097" t="str">
        <f>IFERROR(AH82/M02S02F35/AK82,"")</f>
        <v/>
      </c>
      <c r="BD82" s="1190" t="str">
        <f>IF(OR(C82="",F82="",L82="",P82="",R82="",T82="",X82="",Z82="",AB82="",AD82="",AF82=""),"",IF(ISNUMBER(AN82),INDEX(PROGRAMECAT[Measure Number],MATCH(F82,PROGRAMECAT[Category 1],0)),IF(AK82=0,"","000001")))</f>
        <v/>
      </c>
      <c r="BE82" s="1097" t="str">
        <f>IFERROR(IF((P82*R82)-(X82*Z82)&lt;=0,MEASURESAV,IF(M02S02F35="",MEASURERATE,IF(OR(F82="Others (Incremental)",F82="Others"),MEASURESUBMIT, IF(BC82&lt;1,MEASUREPAY,IF(AV82&lt;1,MEASURECB,""))))),MEASURESUBMIT)</f>
        <v>Submit for Review</v>
      </c>
      <c r="BH82" s="995" t="str">
        <f ca="1">IF(OR(C82="",F82="",F82="",L82="",P82="",R82="",T82="",X82="",Z82="",AB82="",AD82="",AF82=""),"",IF('M01-S01'!$V$82&lt;TODAY(),0,IF(M02S02F46="Gas Only",0,IF(OR(AK82="",AK82&lt;0,AH82&lt;=AN82),0,MIN(AH82-AN82,ROUND(IF(OR(ISNUMBER(SEARCH("Compressed Air",F82)),ISNUMBER(SEARCH("T8",F82)),ISNUMBER(SEARCH("T5",F82)),ISNUMBER(SEARCH("MH",F82)),ISNUMBER(SEARCH("HPS",F82)),ISNUMBER(SEARCH("MV",F82))),AN82*0.2),2))))))</f>
        <v/>
      </c>
    </row>
    <row r="83" spans="2:60" ht="15.95" hidden="1" customHeight="1">
      <c r="B83" s="923"/>
      <c r="C83" s="1088"/>
      <c r="D83" s="1088"/>
      <c r="E83" s="1088"/>
      <c r="F83" s="1088"/>
      <c r="G83" s="1088"/>
      <c r="H83" s="1088"/>
      <c r="I83" s="1088"/>
      <c r="J83" s="1088"/>
      <c r="K83" s="1088"/>
      <c r="L83" s="835"/>
      <c r="M83" s="836"/>
      <c r="N83" s="836"/>
      <c r="O83" s="837"/>
      <c r="P83" s="848"/>
      <c r="Q83" s="849"/>
      <c r="R83" s="1110"/>
      <c r="S83" s="1198"/>
      <c r="T83" s="843"/>
      <c r="U83" s="836"/>
      <c r="V83" s="836"/>
      <c r="W83" s="837"/>
      <c r="X83" s="1078"/>
      <c r="Y83" s="1078"/>
      <c r="Z83" s="1179"/>
      <c r="AA83" s="1179"/>
      <c r="AB83" s="1166"/>
      <c r="AC83" s="1166"/>
      <c r="AD83" s="870"/>
      <c r="AE83" s="1092"/>
      <c r="AF83" s="1195"/>
      <c r="AG83" s="1196"/>
      <c r="AH83" s="1130"/>
      <c r="AI83" s="1131"/>
      <c r="AJ83" s="1131"/>
      <c r="AK83" s="1143"/>
      <c r="AL83" s="1143"/>
      <c r="AM83" s="1143"/>
      <c r="AN83" s="1133"/>
      <c r="AO83" s="1133"/>
      <c r="AP83" s="1133"/>
      <c r="AQ83" s="1133"/>
      <c r="AR83" s="59"/>
      <c r="AU83" s="1102"/>
      <c r="AV83" s="1102"/>
      <c r="AW83" s="1186"/>
      <c r="AX83" s="1069"/>
      <c r="AY83" s="1098"/>
      <c r="AZ83" s="1098"/>
      <c r="BA83" s="1098"/>
      <c r="BB83" s="1098"/>
      <c r="BC83" s="1098"/>
      <c r="BD83" s="1184"/>
      <c r="BE83" s="1098"/>
      <c r="BH83" s="996"/>
    </row>
    <row r="84" spans="2:60" ht="15.95" hidden="1" customHeight="1">
      <c r="B84" s="923">
        <v>35</v>
      </c>
      <c r="C84" s="1087"/>
      <c r="D84" s="1087"/>
      <c r="E84" s="1087"/>
      <c r="F84" s="1087"/>
      <c r="G84" s="1087"/>
      <c r="H84" s="1087"/>
      <c r="I84" s="1087"/>
      <c r="J84" s="1087"/>
      <c r="K84" s="1087"/>
      <c r="L84" s="866"/>
      <c r="M84" s="867"/>
      <c r="N84" s="867"/>
      <c r="O84" s="868"/>
      <c r="P84" s="846"/>
      <c r="Q84" s="847"/>
      <c r="R84" s="1108"/>
      <c r="S84" s="1197"/>
      <c r="T84" s="1177"/>
      <c r="U84" s="867"/>
      <c r="V84" s="867"/>
      <c r="W84" s="868"/>
      <c r="X84" s="1077"/>
      <c r="Y84" s="1077"/>
      <c r="Z84" s="1178"/>
      <c r="AA84" s="1178"/>
      <c r="AB84" s="1165" t="str">
        <f t="shared" ref="AB84" si="220">IF(C84="New Construction","Incremental","")</f>
        <v/>
      </c>
      <c r="AC84" s="1165"/>
      <c r="AD84" s="869"/>
      <c r="AE84" s="1091"/>
      <c r="AF84" s="1193" t="str">
        <f t="shared" ref="AF84" si="221">IF(AB84="Incremental",0,"")</f>
        <v/>
      </c>
      <c r="AG84" s="1194"/>
      <c r="AH84" s="865" t="str">
        <f t="shared" ref="AH84" si="222">IF(OR(C84="",F84="",L84="",P84="",R84="",T84="",X84="",Z84="",AD84="",AF84=""),"",ROUND(AD84+AF84,2))</f>
        <v/>
      </c>
      <c r="AI84" s="1096"/>
      <c r="AJ84" s="1096"/>
      <c r="AK84" s="1105" t="str">
        <f t="shared" ref="AK84" si="223">IF(OR(C84="",F84="",F84="",L84="",P84="",R84="",T84="",X84="",Z84="",AB84="",AD84="",AF84=""),"",IF((P84*R84)-(X84*Z84)&lt;=0,0,ROUND((P84*R84)-(X84*Z84),2)))</f>
        <v/>
      </c>
      <c r="AL84" s="1105"/>
      <c r="AM84" s="1105"/>
      <c r="AN84" s="1132" t="str">
        <f t="shared" ref="AN84" si="224">IF(OR(C84="",F84="",F84="",L84="",P84="",R84="",T84="",X84="",Z84="",AB84="",AD84="",AF84=""),"",IF(BE84&lt;&gt;"",BE84,IF(C84="Custom",AY84,IF(C84="New Construction",AZ84,IF(C84="RCx",BA84)))))</f>
        <v/>
      </c>
      <c r="AO84" s="1132"/>
      <c r="AP84" s="1132"/>
      <c r="AQ84" s="1132"/>
      <c r="AR84" s="59"/>
      <c r="AU84" s="1103" t="str">
        <f>IF(F84="","",INDEX(CUSTNONLIGHTEUNIT,MATCH(F84,PROGRAMECAT[Category 1],0)))</f>
        <v/>
      </c>
      <c r="AV84" s="1103" t="str">
        <f>IF(OR(C84="",F84="",L84="",P84="",R84="",T84="",X84="",Z84="",AB84="",AD84="",AF84=""),"",((1+ELOSS)*((AK84*INDEX(ELECCB[NPV AEC $/kWh],MATCH(BB84,ELECCB[Year Number],1)))+(AX84*INDEX(ELECCB[NPV ACC+T&amp;D $/kW],MATCH(BB84,ELECCB[Year Number],1)))))/AH84)</f>
        <v/>
      </c>
      <c r="AW84" s="1185"/>
      <c r="AX84" s="1187" t="str">
        <f>IF(OR(C84="",F84="",L84="",P84="",R84="",T84="",X84="",Z84="",AB84="",AD84="",AF84=""),"",ROUND(AW84*(INDEX(PROGRAMECAT[Lighting Coincidence Factor],MATCH(F84,PROGRAMECAT[Category 1],0))),3))</f>
        <v/>
      </c>
      <c r="AY84" s="1180" t="str">
        <f>IF(OR(C84="",F84="",F84="",L84="",P84="",R84="",T84="",X84="",Z84="",AB84="",AD84="",AF84=""),"",IF(AB84="Total",ROUND(MIN(AH84*0.75,AK84*INDEX(INCRATE[Electric],MATCH("CMNONLIGHT",INCRATE[Incentive Type]))),2),IF(AB84="Incremental",ROUND(MIN(AH84,AK84*INDEX(INCRATE[Electric],MATCH("CMNONLIGHT",INCRATE[Incentive Type]))),2))))</f>
        <v/>
      </c>
      <c r="AZ84" s="1180" t="str">
        <f>IF(OR(C84="",F84="",F84="",L84="",P84="",R84="",T84="",X84="",Z84="",AB84="",AD84="",AF84=""),"",IF(AB84="Total",ROUND(MIN(AH84*0.75,AK84*INDEX(INCRATE[Electric],MATCH("NCNONLIGHT",INCRATE[Incentive Type]))),2),IF(AB84="Incremental",ROUND(MIN(AH84,AK84*INDEX(INCRATE[Electric],MATCH("NCNONLIGHT",INCRATE[Incentive Type]))),2))))</f>
        <v/>
      </c>
      <c r="BA84" s="1180" t="str">
        <f>IF(OR(C84="",F84="",F84="",L84="",P84="",R84="",T84="",X84="",Z84="",AB84="",AD84="",AF84=""),"",IF(AB84="Total",ROUND(MIN(AH84*0.75,AK84*INDEX(INCRATE[Electric],MATCH("RCX",INCRATE[Incentive Type]))),2),IF(AB84="Incremental",ROUND(MIN(AH84,AK84*INDEX(INCRATE[Electric],MATCH("RCX",INCRATE[Incentive Type]))),2))))</f>
        <v/>
      </c>
      <c r="BB84" s="1097" t="str">
        <f>IF(F84="","",INDEX(PROGRAMECAT[EUL],MATCH(F84,PROGRAMECAT[Category 1],0)))</f>
        <v/>
      </c>
      <c r="BC84" s="1097" t="str">
        <f>IFERROR(AH84/M02S02F35/AK84,"")</f>
        <v/>
      </c>
      <c r="BD84" s="1190" t="str">
        <f>IF(OR(C84="",F84="",L84="",P84="",R84="",T84="",X84="",Z84="",AB84="",AD84="",AF84=""),"",IF(ISNUMBER(AN84),INDEX(PROGRAMECAT[Measure Number],MATCH(F84,PROGRAMECAT[Category 1],0)),IF(AK84=0,"","000001")))</f>
        <v/>
      </c>
      <c r="BE84" s="1097" t="str">
        <f>IFERROR(IF((P84*R84)-(X84*Z84)&lt;=0,MEASURESAV,IF(M02S02F35="",MEASURERATE,IF(OR(F84="Others (Incremental)",F84="Others"),MEASURESUBMIT, IF(BC84&lt;1,MEASUREPAY,IF(AV84&lt;1,MEASURECB,""))))),MEASURESUBMIT)</f>
        <v>Submit for Review</v>
      </c>
      <c r="BH84" s="995" t="str">
        <f ca="1">IF(OR(C84="",F84="",F84="",L84="",P84="",R84="",T84="",X84="",Z84="",AB84="",AD84="",AF84=""),"",IF('M01-S01'!$V$82&lt;TODAY(),0,IF(M02S02F46="Gas Only",0,IF(OR(AK84="",AK84&lt;0,AH84&lt;=AN84),0,MIN(AH84-AN84,ROUND(IF(OR(ISNUMBER(SEARCH("Compressed Air",F84)),ISNUMBER(SEARCH("T8",F84)),ISNUMBER(SEARCH("T5",F84)),ISNUMBER(SEARCH("MH",F84)),ISNUMBER(SEARCH("HPS",F84)),ISNUMBER(SEARCH("MV",F84))),AN84*0.2),2))))))</f>
        <v/>
      </c>
    </row>
    <row r="85" spans="2:60" ht="15.95" hidden="1" customHeight="1">
      <c r="B85" s="923"/>
      <c r="C85" s="1088"/>
      <c r="D85" s="1088"/>
      <c r="E85" s="1088"/>
      <c r="F85" s="1088"/>
      <c r="G85" s="1088"/>
      <c r="H85" s="1088"/>
      <c r="I85" s="1088"/>
      <c r="J85" s="1088"/>
      <c r="K85" s="1088"/>
      <c r="L85" s="835"/>
      <c r="M85" s="836"/>
      <c r="N85" s="836"/>
      <c r="O85" s="837"/>
      <c r="P85" s="848"/>
      <c r="Q85" s="849"/>
      <c r="R85" s="1110"/>
      <c r="S85" s="1198"/>
      <c r="T85" s="843"/>
      <c r="U85" s="836"/>
      <c r="V85" s="836"/>
      <c r="W85" s="837"/>
      <c r="X85" s="1078"/>
      <c r="Y85" s="1078"/>
      <c r="Z85" s="1179"/>
      <c r="AA85" s="1179"/>
      <c r="AB85" s="1166"/>
      <c r="AC85" s="1166"/>
      <c r="AD85" s="870"/>
      <c r="AE85" s="1092"/>
      <c r="AF85" s="1195"/>
      <c r="AG85" s="1196"/>
      <c r="AH85" s="1130"/>
      <c r="AI85" s="1131"/>
      <c r="AJ85" s="1131"/>
      <c r="AK85" s="1143"/>
      <c r="AL85" s="1143"/>
      <c r="AM85" s="1143"/>
      <c r="AN85" s="1133"/>
      <c r="AO85" s="1133"/>
      <c r="AP85" s="1133"/>
      <c r="AQ85" s="1133"/>
      <c r="AR85" s="59"/>
      <c r="AU85" s="1102"/>
      <c r="AV85" s="1102"/>
      <c r="AW85" s="1186"/>
      <c r="AX85" s="1069"/>
      <c r="AY85" s="1098"/>
      <c r="AZ85" s="1098"/>
      <c r="BA85" s="1098"/>
      <c r="BB85" s="1098"/>
      <c r="BC85" s="1098"/>
      <c r="BD85" s="1184"/>
      <c r="BE85" s="1098"/>
      <c r="BH85" s="996"/>
    </row>
    <row r="86" spans="2:60" ht="15.95" hidden="1" customHeight="1">
      <c r="B86" s="923">
        <v>36</v>
      </c>
      <c r="C86" s="1087"/>
      <c r="D86" s="1087"/>
      <c r="E86" s="1087"/>
      <c r="F86" s="1087"/>
      <c r="G86" s="1087"/>
      <c r="H86" s="1087"/>
      <c r="I86" s="1087"/>
      <c r="J86" s="1087"/>
      <c r="K86" s="1087"/>
      <c r="L86" s="866"/>
      <c r="M86" s="867"/>
      <c r="N86" s="867"/>
      <c r="O86" s="868"/>
      <c r="P86" s="846"/>
      <c r="Q86" s="847"/>
      <c r="R86" s="1108"/>
      <c r="S86" s="1197"/>
      <c r="T86" s="1177"/>
      <c r="U86" s="867"/>
      <c r="V86" s="867"/>
      <c r="W86" s="868"/>
      <c r="X86" s="1077"/>
      <c r="Y86" s="1077"/>
      <c r="Z86" s="1178"/>
      <c r="AA86" s="1178"/>
      <c r="AB86" s="1165" t="str">
        <f t="shared" ref="AB86" si="225">IF(C86="New Construction","Incremental","")</f>
        <v/>
      </c>
      <c r="AC86" s="1165"/>
      <c r="AD86" s="869"/>
      <c r="AE86" s="1091"/>
      <c r="AF86" s="1193" t="str">
        <f t="shared" ref="AF86" si="226">IF(AB86="Incremental",0,"")</f>
        <v/>
      </c>
      <c r="AG86" s="1194"/>
      <c r="AH86" s="865" t="str">
        <f t="shared" ref="AH86" si="227">IF(OR(C86="",F86="",L86="",P86="",R86="",T86="",X86="",Z86="",AD86="",AF86=""),"",ROUND(AD86+AF86,2))</f>
        <v/>
      </c>
      <c r="AI86" s="1096"/>
      <c r="AJ86" s="1096"/>
      <c r="AK86" s="1105" t="str">
        <f t="shared" ref="AK86" si="228">IF(OR(C86="",F86="",F86="",L86="",P86="",R86="",T86="",X86="",Z86="",AB86="",AD86="",AF86=""),"",IF((P86*R86)-(X86*Z86)&lt;=0,0,ROUND((P86*R86)-(X86*Z86),2)))</f>
        <v/>
      </c>
      <c r="AL86" s="1105"/>
      <c r="AM86" s="1105"/>
      <c r="AN86" s="1132" t="str">
        <f t="shared" ref="AN86" si="229">IF(OR(C86="",F86="",F86="",L86="",P86="",R86="",T86="",X86="",Z86="",AB86="",AD86="",AF86=""),"",IF(BE86&lt;&gt;"",BE86,IF(C86="Custom",AY86,IF(C86="New Construction",AZ86,IF(C86="RCx",BA86)))))</f>
        <v/>
      </c>
      <c r="AO86" s="1132"/>
      <c r="AP86" s="1132"/>
      <c r="AQ86" s="1132"/>
      <c r="AR86" s="59"/>
      <c r="AU86" s="1103" t="str">
        <f>IF(F86="","",INDEX(CUSTNONLIGHTEUNIT,MATCH(F86,PROGRAMECAT[Category 1],0)))</f>
        <v/>
      </c>
      <c r="AV86" s="1103" t="str">
        <f>IF(OR(C86="",F86="",L86="",P86="",R86="",T86="",X86="",Z86="",AB86="",AD86="",AF86=""),"",((1+ELOSS)*((AK86*INDEX(ELECCB[NPV AEC $/kWh],MATCH(BB86,ELECCB[Year Number],1)))+(AX86*INDEX(ELECCB[NPV ACC+T&amp;D $/kW],MATCH(BB86,ELECCB[Year Number],1)))))/AH86)</f>
        <v/>
      </c>
      <c r="AW86" s="1185"/>
      <c r="AX86" s="1187" t="str">
        <f>IF(OR(C86="",F86="",L86="",P86="",R86="",T86="",X86="",Z86="",AB86="",AD86="",AF86=""),"",ROUND(AW86*(INDEX(PROGRAMECAT[Lighting Coincidence Factor],MATCH(F86,PROGRAMECAT[Category 1],0))),3))</f>
        <v/>
      </c>
      <c r="AY86" s="1180" t="str">
        <f>IF(OR(C86="",F86="",F86="",L86="",P86="",R86="",T86="",X86="",Z86="",AB86="",AD86="",AF86=""),"",IF(AB86="Total",ROUND(MIN(AH86*0.75,AK86*INDEX(INCRATE[Electric],MATCH("CMNONLIGHT",INCRATE[Incentive Type]))),2),IF(AB86="Incremental",ROUND(MIN(AH86,AK86*INDEX(INCRATE[Electric],MATCH("CMNONLIGHT",INCRATE[Incentive Type]))),2))))</f>
        <v/>
      </c>
      <c r="AZ86" s="1180" t="str">
        <f>IF(OR(C86="",F86="",F86="",L86="",P86="",R86="",T86="",X86="",Z86="",AB86="",AD86="",AF86=""),"",IF(AB86="Total",ROUND(MIN(AH86*0.75,AK86*INDEX(INCRATE[Electric],MATCH("NCNONLIGHT",INCRATE[Incentive Type]))),2),IF(AB86="Incremental",ROUND(MIN(AH86,AK86*INDEX(INCRATE[Electric],MATCH("NCNONLIGHT",INCRATE[Incentive Type]))),2))))</f>
        <v/>
      </c>
      <c r="BA86" s="1180" t="str">
        <f>IF(OR(C86="",F86="",F86="",L86="",P86="",R86="",T86="",X86="",Z86="",AB86="",AD86="",AF86=""),"",IF(AB86="Total",ROUND(MIN(AH86*0.75,AK86*INDEX(INCRATE[Electric],MATCH("RCX",INCRATE[Incentive Type]))),2),IF(AB86="Incremental",ROUND(MIN(AH86,AK86*INDEX(INCRATE[Electric],MATCH("RCX",INCRATE[Incentive Type]))),2))))</f>
        <v/>
      </c>
      <c r="BB86" s="1097" t="str">
        <f>IF(F86="","",INDEX(PROGRAMECAT[EUL],MATCH(F86,PROGRAMECAT[Category 1],0)))</f>
        <v/>
      </c>
      <c r="BC86" s="1097" t="str">
        <f>IFERROR(AH86/M02S02F35/AK86,"")</f>
        <v/>
      </c>
      <c r="BD86" s="1190" t="str">
        <f>IF(OR(C86="",F86="",L86="",P86="",R86="",T86="",X86="",Z86="",AB86="",AD86="",AF86=""),"",IF(ISNUMBER(AN86),INDEX(PROGRAMECAT[Measure Number],MATCH(F86,PROGRAMECAT[Category 1],0)),IF(AK86=0,"","000001")))</f>
        <v/>
      </c>
      <c r="BE86" s="1097" t="str">
        <f>IFERROR(IF((P86*R86)-(X86*Z86)&lt;=0,MEASURESAV,IF(M02S02F35="",MEASURERATE,IF(OR(F86="Others (Incremental)",F86="Others"),MEASURESUBMIT, IF(BC86&lt;1,MEASUREPAY,IF(AV86&lt;1,MEASURECB,""))))),MEASURESUBMIT)</f>
        <v>Submit for Review</v>
      </c>
      <c r="BH86" s="995" t="str">
        <f ca="1">IF(OR(C86="",F86="",F86="",L86="",P86="",R86="",T86="",X86="",Z86="",AB86="",AD86="",AF86=""),"",IF('M01-S01'!$V$82&lt;TODAY(),0,IF(M02S02F46="Gas Only",0,IF(OR(AK86="",AK86&lt;0,AH86&lt;=AN86),0,MIN(AH86-AN86,ROUND(IF(OR(ISNUMBER(SEARCH("Compressed Air",F86)),ISNUMBER(SEARCH("T8",F86)),ISNUMBER(SEARCH("T5",F86)),ISNUMBER(SEARCH("MH",F86)),ISNUMBER(SEARCH("HPS",F86)),ISNUMBER(SEARCH("MV",F86))),AN86*0.2),2))))))</f>
        <v/>
      </c>
    </row>
    <row r="87" spans="2:60" ht="15.95" hidden="1" customHeight="1">
      <c r="B87" s="923"/>
      <c r="C87" s="1088"/>
      <c r="D87" s="1088"/>
      <c r="E87" s="1088"/>
      <c r="F87" s="1088"/>
      <c r="G87" s="1088"/>
      <c r="H87" s="1088"/>
      <c r="I87" s="1088"/>
      <c r="J87" s="1088"/>
      <c r="K87" s="1088"/>
      <c r="L87" s="835"/>
      <c r="M87" s="836"/>
      <c r="N87" s="836"/>
      <c r="O87" s="837"/>
      <c r="P87" s="848"/>
      <c r="Q87" s="849"/>
      <c r="R87" s="1110"/>
      <c r="S87" s="1198"/>
      <c r="T87" s="843"/>
      <c r="U87" s="836"/>
      <c r="V87" s="836"/>
      <c r="W87" s="837"/>
      <c r="X87" s="1078"/>
      <c r="Y87" s="1078"/>
      <c r="Z87" s="1179"/>
      <c r="AA87" s="1179"/>
      <c r="AB87" s="1166"/>
      <c r="AC87" s="1166"/>
      <c r="AD87" s="870"/>
      <c r="AE87" s="1092"/>
      <c r="AF87" s="1195"/>
      <c r="AG87" s="1196"/>
      <c r="AH87" s="1130"/>
      <c r="AI87" s="1131"/>
      <c r="AJ87" s="1131"/>
      <c r="AK87" s="1143"/>
      <c r="AL87" s="1143"/>
      <c r="AM87" s="1143"/>
      <c r="AN87" s="1133"/>
      <c r="AO87" s="1133"/>
      <c r="AP87" s="1133"/>
      <c r="AQ87" s="1133"/>
      <c r="AR87" s="59"/>
      <c r="AU87" s="1102"/>
      <c r="AV87" s="1102"/>
      <c r="AW87" s="1186"/>
      <c r="AX87" s="1069"/>
      <c r="AY87" s="1098"/>
      <c r="AZ87" s="1098"/>
      <c r="BA87" s="1098"/>
      <c r="BB87" s="1098"/>
      <c r="BC87" s="1098"/>
      <c r="BD87" s="1184"/>
      <c r="BE87" s="1098"/>
      <c r="BH87" s="996"/>
    </row>
    <row r="88" spans="2:60" ht="15.95" hidden="1" customHeight="1">
      <c r="B88" s="923">
        <v>37</v>
      </c>
      <c r="C88" s="1087"/>
      <c r="D88" s="1087"/>
      <c r="E88" s="1087"/>
      <c r="F88" s="1087"/>
      <c r="G88" s="1087"/>
      <c r="H88" s="1087"/>
      <c r="I88" s="1087"/>
      <c r="J88" s="1087"/>
      <c r="K88" s="1087"/>
      <c r="L88" s="866"/>
      <c r="M88" s="867"/>
      <c r="N88" s="867"/>
      <c r="O88" s="868"/>
      <c r="P88" s="846"/>
      <c r="Q88" s="847"/>
      <c r="R88" s="1108"/>
      <c r="S88" s="1197"/>
      <c r="T88" s="1177"/>
      <c r="U88" s="867"/>
      <c r="V88" s="867"/>
      <c r="W88" s="868"/>
      <c r="X88" s="1077"/>
      <c r="Y88" s="1077"/>
      <c r="Z88" s="1178"/>
      <c r="AA88" s="1178"/>
      <c r="AB88" s="1165" t="str">
        <f t="shared" ref="AB88" si="230">IF(C88="New Construction","Incremental","")</f>
        <v/>
      </c>
      <c r="AC88" s="1165"/>
      <c r="AD88" s="869"/>
      <c r="AE88" s="1091"/>
      <c r="AF88" s="1193" t="str">
        <f t="shared" ref="AF88" si="231">IF(AB88="Incremental",0,"")</f>
        <v/>
      </c>
      <c r="AG88" s="1194"/>
      <c r="AH88" s="865" t="str">
        <f t="shared" ref="AH88" si="232">IF(OR(C88="",F88="",L88="",P88="",R88="",T88="",X88="",Z88="",AD88="",AF88=""),"",ROUND(AD88+AF88,2))</f>
        <v/>
      </c>
      <c r="AI88" s="1096"/>
      <c r="AJ88" s="1096"/>
      <c r="AK88" s="1105" t="str">
        <f t="shared" ref="AK88" si="233">IF(OR(C88="",F88="",F88="",L88="",P88="",R88="",T88="",X88="",Z88="",AB88="",AD88="",AF88=""),"",IF((P88*R88)-(X88*Z88)&lt;=0,0,ROUND((P88*R88)-(X88*Z88),2)))</f>
        <v/>
      </c>
      <c r="AL88" s="1105"/>
      <c r="AM88" s="1105"/>
      <c r="AN88" s="1132" t="str">
        <f t="shared" ref="AN88" si="234">IF(OR(C88="",F88="",F88="",L88="",P88="",R88="",T88="",X88="",Z88="",AB88="",AD88="",AF88=""),"",IF(BE88&lt;&gt;"",BE88,IF(C88="Custom",AY88,IF(C88="New Construction",AZ88,IF(C88="RCx",BA88)))))</f>
        <v/>
      </c>
      <c r="AO88" s="1132"/>
      <c r="AP88" s="1132"/>
      <c r="AQ88" s="1132"/>
      <c r="AR88" s="59"/>
      <c r="AU88" s="1103" t="str">
        <f>IF(F88="","",INDEX(CUSTNONLIGHTEUNIT,MATCH(F88,PROGRAMECAT[Category 1],0)))</f>
        <v/>
      </c>
      <c r="AV88" s="1103" t="str">
        <f>IF(OR(C88="",F88="",L88="",P88="",R88="",T88="",X88="",Z88="",AB88="",AD88="",AF88=""),"",((1+ELOSS)*((AK88*INDEX(ELECCB[NPV AEC $/kWh],MATCH(BB88,ELECCB[Year Number],1)))+(AX88*INDEX(ELECCB[NPV ACC+T&amp;D $/kW],MATCH(BB88,ELECCB[Year Number],1)))))/AH88)</f>
        <v/>
      </c>
      <c r="AW88" s="1185"/>
      <c r="AX88" s="1187" t="str">
        <f>IF(OR(C88="",F88="",L88="",P88="",R88="",T88="",X88="",Z88="",AB88="",AD88="",AF88=""),"",ROUND(AW88*(INDEX(PROGRAMECAT[Lighting Coincidence Factor],MATCH(F88,PROGRAMECAT[Category 1],0))),3))</f>
        <v/>
      </c>
      <c r="AY88" s="1180" t="str">
        <f>IF(OR(C88="",F88="",F88="",L88="",P88="",R88="",T88="",X88="",Z88="",AB88="",AD88="",AF88=""),"",IF(AB88="Total",ROUND(MIN(AH88*0.75,AK88*INDEX(INCRATE[Electric],MATCH("CMNONLIGHT",INCRATE[Incentive Type]))),2),IF(AB88="Incremental",ROUND(MIN(AH88,AK88*INDEX(INCRATE[Electric],MATCH("CMNONLIGHT",INCRATE[Incentive Type]))),2))))</f>
        <v/>
      </c>
      <c r="AZ88" s="1180" t="str">
        <f>IF(OR(C88="",F88="",F88="",L88="",P88="",R88="",T88="",X88="",Z88="",AB88="",AD88="",AF88=""),"",IF(AB88="Total",ROUND(MIN(AH88*0.75,AK88*INDEX(INCRATE[Electric],MATCH("NCNONLIGHT",INCRATE[Incentive Type]))),2),IF(AB88="Incremental",ROUND(MIN(AH88,AK88*INDEX(INCRATE[Electric],MATCH("NCNONLIGHT",INCRATE[Incentive Type]))),2))))</f>
        <v/>
      </c>
      <c r="BA88" s="1180" t="str">
        <f>IF(OR(C88="",F88="",F88="",L88="",P88="",R88="",T88="",X88="",Z88="",AB88="",AD88="",AF88=""),"",IF(AB88="Total",ROUND(MIN(AH88*0.75,AK88*INDEX(INCRATE[Electric],MATCH("RCX",INCRATE[Incentive Type]))),2),IF(AB88="Incremental",ROUND(MIN(AH88,AK88*INDEX(INCRATE[Electric],MATCH("RCX",INCRATE[Incentive Type]))),2))))</f>
        <v/>
      </c>
      <c r="BB88" s="1097" t="str">
        <f>IF(F88="","",INDEX(PROGRAMECAT[EUL],MATCH(F88,PROGRAMECAT[Category 1],0)))</f>
        <v/>
      </c>
      <c r="BC88" s="1097" t="str">
        <f>IFERROR(AH88/M02S02F35/AK88,"")</f>
        <v/>
      </c>
      <c r="BD88" s="1190" t="str">
        <f>IF(OR(C88="",F88="",L88="",P88="",R88="",T88="",X88="",Z88="",AB88="",AD88="",AF88=""),"",IF(ISNUMBER(AN88),INDEX(PROGRAMECAT[Measure Number],MATCH(F88,PROGRAMECAT[Category 1],0)),IF(AK88=0,"","000001")))</f>
        <v/>
      </c>
      <c r="BE88" s="1097" t="str">
        <f>IFERROR(IF((P88*R88)-(X88*Z88)&lt;=0,MEASURESAV,IF(M02S02F35="",MEASURERATE,IF(OR(F88="Others (Incremental)",F88="Others"),MEASURESUBMIT, IF(BC88&lt;1,MEASUREPAY,IF(AV88&lt;1,MEASURECB,""))))),MEASURESUBMIT)</f>
        <v>Submit for Review</v>
      </c>
      <c r="BH88" s="995" t="str">
        <f ca="1">IF(OR(C88="",F88="",F88="",L88="",P88="",R88="",T88="",X88="",Z88="",AB88="",AD88="",AF88=""),"",IF('M01-S01'!$V$82&lt;TODAY(),0,IF(M02S02F46="Gas Only",0,IF(OR(AK88="",AK88&lt;0,AH88&lt;=AN88),0,MIN(AH88-AN88,ROUND(IF(OR(ISNUMBER(SEARCH("Compressed Air",F88)),ISNUMBER(SEARCH("T8",F88)),ISNUMBER(SEARCH("T5",F88)),ISNUMBER(SEARCH("MH",F88)),ISNUMBER(SEARCH("HPS",F88)),ISNUMBER(SEARCH("MV",F88))),AN88*0.2),2))))))</f>
        <v/>
      </c>
    </row>
    <row r="89" spans="2:60" ht="15.95" hidden="1" customHeight="1">
      <c r="B89" s="923"/>
      <c r="C89" s="1088"/>
      <c r="D89" s="1088"/>
      <c r="E89" s="1088"/>
      <c r="F89" s="1088"/>
      <c r="G89" s="1088"/>
      <c r="H89" s="1088"/>
      <c r="I89" s="1088"/>
      <c r="J89" s="1088"/>
      <c r="K89" s="1088"/>
      <c r="L89" s="835"/>
      <c r="M89" s="836"/>
      <c r="N89" s="836"/>
      <c r="O89" s="837"/>
      <c r="P89" s="848"/>
      <c r="Q89" s="849"/>
      <c r="R89" s="1110"/>
      <c r="S89" s="1198"/>
      <c r="T89" s="843"/>
      <c r="U89" s="836"/>
      <c r="V89" s="836"/>
      <c r="W89" s="837"/>
      <c r="X89" s="1078"/>
      <c r="Y89" s="1078"/>
      <c r="Z89" s="1179"/>
      <c r="AA89" s="1179"/>
      <c r="AB89" s="1166"/>
      <c r="AC89" s="1166"/>
      <c r="AD89" s="870"/>
      <c r="AE89" s="1092"/>
      <c r="AF89" s="1195"/>
      <c r="AG89" s="1196"/>
      <c r="AH89" s="1130"/>
      <c r="AI89" s="1131"/>
      <c r="AJ89" s="1131"/>
      <c r="AK89" s="1143"/>
      <c r="AL89" s="1143"/>
      <c r="AM89" s="1143"/>
      <c r="AN89" s="1133"/>
      <c r="AO89" s="1133"/>
      <c r="AP89" s="1133"/>
      <c r="AQ89" s="1133"/>
      <c r="AR89" s="59"/>
      <c r="AU89" s="1102"/>
      <c r="AV89" s="1102"/>
      <c r="AW89" s="1186"/>
      <c r="AX89" s="1069"/>
      <c r="AY89" s="1098"/>
      <c r="AZ89" s="1098"/>
      <c r="BA89" s="1098"/>
      <c r="BB89" s="1098"/>
      <c r="BC89" s="1098"/>
      <c r="BD89" s="1184"/>
      <c r="BE89" s="1098"/>
      <c r="BH89" s="996"/>
    </row>
    <row r="90" spans="2:60" ht="15.95" hidden="1" customHeight="1">
      <c r="B90" s="923">
        <v>38</v>
      </c>
      <c r="C90" s="1087"/>
      <c r="D90" s="1087"/>
      <c r="E90" s="1087"/>
      <c r="F90" s="1087"/>
      <c r="G90" s="1087"/>
      <c r="H90" s="1087"/>
      <c r="I90" s="1087"/>
      <c r="J90" s="1087"/>
      <c r="K90" s="1087"/>
      <c r="L90" s="866"/>
      <c r="M90" s="867"/>
      <c r="N90" s="867"/>
      <c r="O90" s="868"/>
      <c r="P90" s="846"/>
      <c r="Q90" s="847"/>
      <c r="R90" s="1108"/>
      <c r="S90" s="1197"/>
      <c r="T90" s="1177"/>
      <c r="U90" s="867"/>
      <c r="V90" s="867"/>
      <c r="W90" s="868"/>
      <c r="X90" s="1077"/>
      <c r="Y90" s="1077"/>
      <c r="Z90" s="1178"/>
      <c r="AA90" s="1178"/>
      <c r="AB90" s="1165" t="str">
        <f t="shared" ref="AB90" si="235">IF(C90="New Construction","Incremental","")</f>
        <v/>
      </c>
      <c r="AC90" s="1165"/>
      <c r="AD90" s="869"/>
      <c r="AE90" s="1091"/>
      <c r="AF90" s="1193" t="str">
        <f t="shared" ref="AF90" si="236">IF(AB90="Incremental",0,"")</f>
        <v/>
      </c>
      <c r="AG90" s="1194"/>
      <c r="AH90" s="865" t="str">
        <f t="shared" ref="AH90" si="237">IF(OR(C90="",F90="",L90="",P90="",R90="",T90="",X90="",Z90="",AD90="",AF90=""),"",ROUND(AD90+AF90,2))</f>
        <v/>
      </c>
      <c r="AI90" s="1096"/>
      <c r="AJ90" s="1096"/>
      <c r="AK90" s="1105" t="str">
        <f t="shared" ref="AK90" si="238">IF(OR(C90="",F90="",F90="",L90="",P90="",R90="",T90="",X90="",Z90="",AB90="",AD90="",AF90=""),"",IF((P90*R90)-(X90*Z90)&lt;=0,0,ROUND((P90*R90)-(X90*Z90),2)))</f>
        <v/>
      </c>
      <c r="AL90" s="1105"/>
      <c r="AM90" s="1105"/>
      <c r="AN90" s="1132" t="str">
        <f t="shared" ref="AN90" si="239">IF(OR(C90="",F90="",F90="",L90="",P90="",R90="",T90="",X90="",Z90="",AB90="",AD90="",AF90=""),"",IF(BE90&lt;&gt;"",BE90,IF(C90="Custom",AY90,IF(C90="New Construction",AZ90,IF(C90="RCx",BA90)))))</f>
        <v/>
      </c>
      <c r="AO90" s="1132"/>
      <c r="AP90" s="1132"/>
      <c r="AQ90" s="1132"/>
      <c r="AR90" s="59"/>
      <c r="AU90" s="1103" t="str">
        <f>IF(F90="","",INDEX(CUSTNONLIGHTEUNIT,MATCH(F90,PROGRAMECAT[Category 1],0)))</f>
        <v/>
      </c>
      <c r="AV90" s="1103" t="str">
        <f>IF(OR(C90="",F90="",L90="",P90="",R90="",T90="",X90="",Z90="",AB90="",AD90="",AF90=""),"",((1+ELOSS)*((AK90*INDEX(ELECCB[NPV AEC $/kWh],MATCH(BB90,ELECCB[Year Number],1)))+(AX90*INDEX(ELECCB[NPV ACC+T&amp;D $/kW],MATCH(BB90,ELECCB[Year Number],1)))))/AH90)</f>
        <v/>
      </c>
      <c r="AW90" s="1185"/>
      <c r="AX90" s="1187" t="str">
        <f>IF(OR(C90="",F90="",L90="",P90="",R90="",T90="",X90="",Z90="",AB90="",AD90="",AF90=""),"",ROUND(AW90*(INDEX(PROGRAMECAT[Lighting Coincidence Factor],MATCH(F90,PROGRAMECAT[Category 1],0))),3))</f>
        <v/>
      </c>
      <c r="AY90" s="1180" t="str">
        <f>IF(OR(C90="",F90="",F90="",L90="",P90="",R90="",T90="",X90="",Z90="",AB90="",AD90="",AF90=""),"",IF(AB90="Total",ROUND(MIN(AH90*0.75,AK90*INDEX(INCRATE[Electric],MATCH("CMNONLIGHT",INCRATE[Incentive Type]))),2),IF(AB90="Incremental",ROUND(MIN(AH90,AK90*INDEX(INCRATE[Electric],MATCH("CMNONLIGHT",INCRATE[Incentive Type]))),2))))</f>
        <v/>
      </c>
      <c r="AZ90" s="1180" t="str">
        <f>IF(OR(C90="",F90="",F90="",L90="",P90="",R90="",T90="",X90="",Z90="",AB90="",AD90="",AF90=""),"",IF(AB90="Total",ROUND(MIN(AH90*0.75,AK90*INDEX(INCRATE[Electric],MATCH("NCNONLIGHT",INCRATE[Incentive Type]))),2),IF(AB90="Incremental",ROUND(MIN(AH90,AK90*INDEX(INCRATE[Electric],MATCH("NCNONLIGHT",INCRATE[Incentive Type]))),2))))</f>
        <v/>
      </c>
      <c r="BA90" s="1180" t="str">
        <f>IF(OR(C90="",F90="",F90="",L90="",P90="",R90="",T90="",X90="",Z90="",AB90="",AD90="",AF90=""),"",IF(AB90="Total",ROUND(MIN(AH90*0.75,AK90*INDEX(INCRATE[Electric],MATCH("RCX",INCRATE[Incentive Type]))),2),IF(AB90="Incremental",ROUND(MIN(AH90,AK90*INDEX(INCRATE[Electric],MATCH("RCX",INCRATE[Incentive Type]))),2))))</f>
        <v/>
      </c>
      <c r="BB90" s="1097" t="str">
        <f>IF(F90="","",INDEX(PROGRAMECAT[EUL],MATCH(F90,PROGRAMECAT[Category 1],0)))</f>
        <v/>
      </c>
      <c r="BC90" s="1097" t="str">
        <f>IFERROR(AH90/M02S02F35/AK90,"")</f>
        <v/>
      </c>
      <c r="BD90" s="1190" t="str">
        <f>IF(OR(C90="",F90="",L90="",P90="",R90="",T90="",X90="",Z90="",AB90="",AD90="",AF90=""),"",IF(ISNUMBER(AN90),INDEX(PROGRAMECAT[Measure Number],MATCH(F90,PROGRAMECAT[Category 1],0)),IF(AK90=0,"","000001")))</f>
        <v/>
      </c>
      <c r="BE90" s="1097" t="str">
        <f>IFERROR(IF((P90*R90)-(X90*Z90)&lt;=0,MEASURESAV,IF(M02S02F35="",MEASURERATE,IF(OR(F90="Others (Incremental)",F90="Others"),MEASURESUBMIT, IF(BC90&lt;1,MEASUREPAY,IF(AV90&lt;1,MEASURECB,""))))),MEASURESUBMIT)</f>
        <v>Submit for Review</v>
      </c>
      <c r="BH90" s="995" t="str">
        <f ca="1">IF(OR(C90="",F90="",F90="",L90="",P90="",R90="",T90="",X90="",Z90="",AB90="",AD90="",AF90=""),"",IF('M01-S01'!$V$82&lt;TODAY(),0,IF(M02S02F46="Gas Only",0,IF(OR(AK90="",AK90&lt;0,AH90&lt;=AN90),0,MIN(AH90-AN90,ROUND(IF(OR(ISNUMBER(SEARCH("Compressed Air",F90)),ISNUMBER(SEARCH("T8",F90)),ISNUMBER(SEARCH("T5",F90)),ISNUMBER(SEARCH("MH",F90)),ISNUMBER(SEARCH("HPS",F90)),ISNUMBER(SEARCH("MV",F90))),AN90*0.2),2))))))</f>
        <v/>
      </c>
    </row>
    <row r="91" spans="2:60" ht="15.95" hidden="1" customHeight="1">
      <c r="B91" s="923"/>
      <c r="C91" s="1088"/>
      <c r="D91" s="1088"/>
      <c r="E91" s="1088"/>
      <c r="F91" s="1088"/>
      <c r="G91" s="1088"/>
      <c r="H91" s="1088"/>
      <c r="I91" s="1088"/>
      <c r="J91" s="1088"/>
      <c r="K91" s="1088"/>
      <c r="L91" s="835"/>
      <c r="M91" s="836"/>
      <c r="N91" s="836"/>
      <c r="O91" s="837"/>
      <c r="P91" s="848"/>
      <c r="Q91" s="849"/>
      <c r="R91" s="1110"/>
      <c r="S91" s="1198"/>
      <c r="T91" s="843"/>
      <c r="U91" s="836"/>
      <c r="V91" s="836"/>
      <c r="W91" s="837"/>
      <c r="X91" s="1078"/>
      <c r="Y91" s="1078"/>
      <c r="Z91" s="1179"/>
      <c r="AA91" s="1179"/>
      <c r="AB91" s="1166"/>
      <c r="AC91" s="1166"/>
      <c r="AD91" s="870"/>
      <c r="AE91" s="1092"/>
      <c r="AF91" s="1195"/>
      <c r="AG91" s="1196"/>
      <c r="AH91" s="1130"/>
      <c r="AI91" s="1131"/>
      <c r="AJ91" s="1131"/>
      <c r="AK91" s="1143"/>
      <c r="AL91" s="1143"/>
      <c r="AM91" s="1143"/>
      <c r="AN91" s="1133"/>
      <c r="AO91" s="1133"/>
      <c r="AP91" s="1133"/>
      <c r="AQ91" s="1133"/>
      <c r="AR91" s="59"/>
      <c r="AU91" s="1102"/>
      <c r="AV91" s="1102"/>
      <c r="AW91" s="1186"/>
      <c r="AX91" s="1069"/>
      <c r="AY91" s="1098"/>
      <c r="AZ91" s="1098"/>
      <c r="BA91" s="1098"/>
      <c r="BB91" s="1098"/>
      <c r="BC91" s="1098"/>
      <c r="BD91" s="1184"/>
      <c r="BE91" s="1098"/>
      <c r="BH91" s="996"/>
    </row>
    <row r="92" spans="2:60" ht="15.95" hidden="1" customHeight="1">
      <c r="B92" s="923">
        <v>39</v>
      </c>
      <c r="C92" s="1087"/>
      <c r="D92" s="1087"/>
      <c r="E92" s="1087"/>
      <c r="F92" s="1087"/>
      <c r="G92" s="1087"/>
      <c r="H92" s="1087"/>
      <c r="I92" s="1087"/>
      <c r="J92" s="1087"/>
      <c r="K92" s="1087"/>
      <c r="L92" s="866"/>
      <c r="M92" s="867"/>
      <c r="N92" s="867"/>
      <c r="O92" s="868"/>
      <c r="P92" s="846"/>
      <c r="Q92" s="847"/>
      <c r="R92" s="1108"/>
      <c r="S92" s="1197"/>
      <c r="T92" s="1177"/>
      <c r="U92" s="867"/>
      <c r="V92" s="867"/>
      <c r="W92" s="868"/>
      <c r="X92" s="1077"/>
      <c r="Y92" s="1077"/>
      <c r="Z92" s="1178"/>
      <c r="AA92" s="1178"/>
      <c r="AB92" s="1165" t="str">
        <f t="shared" ref="AB92" si="240">IF(C92="New Construction","Incremental","")</f>
        <v/>
      </c>
      <c r="AC92" s="1165"/>
      <c r="AD92" s="869"/>
      <c r="AE92" s="1091"/>
      <c r="AF92" s="1193" t="str">
        <f t="shared" ref="AF92" si="241">IF(AB92="Incremental",0,"")</f>
        <v/>
      </c>
      <c r="AG92" s="1194"/>
      <c r="AH92" s="865" t="str">
        <f t="shared" ref="AH92" si="242">IF(OR(C92="",F92="",L92="",P92="",R92="",T92="",X92="",Z92="",AD92="",AF92=""),"",ROUND(AD92+AF92,2))</f>
        <v/>
      </c>
      <c r="AI92" s="1096"/>
      <c r="AJ92" s="1096"/>
      <c r="AK92" s="1105" t="str">
        <f t="shared" ref="AK92" si="243">IF(OR(C92="",F92="",F92="",L92="",P92="",R92="",T92="",X92="",Z92="",AB92="",AD92="",AF92=""),"",IF((P92*R92)-(X92*Z92)&lt;=0,0,ROUND((P92*R92)-(X92*Z92),2)))</f>
        <v/>
      </c>
      <c r="AL92" s="1105"/>
      <c r="AM92" s="1105"/>
      <c r="AN92" s="1132" t="str">
        <f t="shared" ref="AN92" si="244">IF(OR(C92="",F92="",F92="",L92="",P92="",R92="",T92="",X92="",Z92="",AB92="",AD92="",AF92=""),"",IF(BE92&lt;&gt;"",BE92,IF(C92="Custom",AY92,IF(C92="New Construction",AZ92,IF(C92="RCx",BA92)))))</f>
        <v/>
      </c>
      <c r="AO92" s="1132"/>
      <c r="AP92" s="1132"/>
      <c r="AQ92" s="1132"/>
      <c r="AR92" s="59"/>
      <c r="AU92" s="1103" t="str">
        <f>IF(F92="","",INDEX(CUSTNONLIGHTEUNIT,MATCH(F92,PROGRAMECAT[Category 1],0)))</f>
        <v/>
      </c>
      <c r="AV92" s="1103" t="str">
        <f>IF(OR(C92="",F92="",L92="",P92="",R92="",T92="",X92="",Z92="",AB92="",AD92="",AF92=""),"",((1+ELOSS)*((AK92*INDEX(ELECCB[NPV AEC $/kWh],MATCH(BB92,ELECCB[Year Number],1)))+(AX92*INDEX(ELECCB[NPV ACC+T&amp;D $/kW],MATCH(BB92,ELECCB[Year Number],1)))))/AH92)</f>
        <v/>
      </c>
      <c r="AW92" s="1185"/>
      <c r="AX92" s="1187" t="str">
        <f>IF(OR(C92="",F92="",L92="",P92="",R92="",T92="",X92="",Z92="",AB92="",AD92="",AF92=""),"",ROUND(AW92*(INDEX(PROGRAMECAT[Lighting Coincidence Factor],MATCH(F92,PROGRAMECAT[Category 1],0))),3))</f>
        <v/>
      </c>
      <c r="AY92" s="1180" t="str">
        <f>IF(OR(C92="",F92="",F92="",L92="",P92="",R92="",T92="",X92="",Z92="",AB92="",AD92="",AF92=""),"",IF(AB92="Total",ROUND(MIN(AH92*0.75,AK92*INDEX(INCRATE[Electric],MATCH("CMNONLIGHT",INCRATE[Incentive Type]))),2),IF(AB92="Incremental",ROUND(MIN(AH92,AK92*INDEX(INCRATE[Electric],MATCH("CMNONLIGHT",INCRATE[Incentive Type]))),2))))</f>
        <v/>
      </c>
      <c r="AZ92" s="1180" t="str">
        <f>IF(OR(C92="",F92="",F92="",L92="",P92="",R92="",T92="",X92="",Z92="",AB92="",AD92="",AF92=""),"",IF(AB92="Total",ROUND(MIN(AH92*0.75,AK92*INDEX(INCRATE[Electric],MATCH("NCNONLIGHT",INCRATE[Incentive Type]))),2),IF(AB92="Incremental",ROUND(MIN(AH92,AK92*INDEX(INCRATE[Electric],MATCH("NCNONLIGHT",INCRATE[Incentive Type]))),2))))</f>
        <v/>
      </c>
      <c r="BA92" s="1180" t="str">
        <f>IF(OR(C92="",F92="",F92="",L92="",P92="",R92="",T92="",X92="",Z92="",AB92="",AD92="",AF92=""),"",IF(AB92="Total",ROUND(MIN(AH92*0.75,AK92*INDEX(INCRATE[Electric],MATCH("RCX",INCRATE[Incentive Type]))),2),IF(AB92="Incremental",ROUND(MIN(AH92,AK92*INDEX(INCRATE[Electric],MATCH("RCX",INCRATE[Incentive Type]))),2))))</f>
        <v/>
      </c>
      <c r="BB92" s="1097" t="str">
        <f>IF(F92="","",INDEX(PROGRAMECAT[EUL],MATCH(F92,PROGRAMECAT[Category 1],0)))</f>
        <v/>
      </c>
      <c r="BC92" s="1097" t="str">
        <f>IFERROR(AH92/M02S02F35/AK92,"")</f>
        <v/>
      </c>
      <c r="BD92" s="1190" t="str">
        <f>IF(OR(C92="",F92="",L92="",P92="",R92="",T92="",X92="",Z92="",AB92="",AD92="",AF92=""),"",IF(ISNUMBER(AN92),INDEX(PROGRAMECAT[Measure Number],MATCH(F92,PROGRAMECAT[Category 1],0)),IF(AK92=0,"","000001")))</f>
        <v/>
      </c>
      <c r="BE92" s="1097" t="str">
        <f>IFERROR(IF((P92*R92)-(X92*Z92)&lt;=0,MEASURESAV,IF(M02S02F35="",MEASURERATE,IF(OR(F92="Others (Incremental)",F92="Others"),MEASURESUBMIT, IF(BC92&lt;1,MEASUREPAY,IF(AV92&lt;1,MEASURECB,""))))),MEASURESUBMIT)</f>
        <v>Submit for Review</v>
      </c>
      <c r="BH92" s="995" t="str">
        <f ca="1">IF(OR(C92="",F92="",F92="",L92="",P92="",R92="",T92="",X92="",Z92="",AB92="",AD92="",AF92=""),"",IF('M01-S01'!$V$82&lt;TODAY(),0,IF(M02S02F46="Gas Only",0,IF(OR(AK92="",AK92&lt;0,AH92&lt;=AN92),0,MIN(AH92-AN92,ROUND(IF(OR(ISNUMBER(SEARCH("Compressed Air",F92)),ISNUMBER(SEARCH("T8",F92)),ISNUMBER(SEARCH("T5",F92)),ISNUMBER(SEARCH("MH",F92)),ISNUMBER(SEARCH("HPS",F92)),ISNUMBER(SEARCH("MV",F92))),AN92*0.2),2))))))</f>
        <v/>
      </c>
    </row>
    <row r="93" spans="2:60" ht="15.95" hidden="1" customHeight="1">
      <c r="B93" s="923"/>
      <c r="C93" s="1088"/>
      <c r="D93" s="1088"/>
      <c r="E93" s="1088"/>
      <c r="F93" s="1088"/>
      <c r="G93" s="1088"/>
      <c r="H93" s="1088"/>
      <c r="I93" s="1088"/>
      <c r="J93" s="1088"/>
      <c r="K93" s="1088"/>
      <c r="L93" s="835"/>
      <c r="M93" s="836"/>
      <c r="N93" s="836"/>
      <c r="O93" s="837"/>
      <c r="P93" s="848"/>
      <c r="Q93" s="849"/>
      <c r="R93" s="1110"/>
      <c r="S93" s="1198"/>
      <c r="T93" s="843"/>
      <c r="U93" s="836"/>
      <c r="V93" s="836"/>
      <c r="W93" s="837"/>
      <c r="X93" s="1078"/>
      <c r="Y93" s="1078"/>
      <c r="Z93" s="1179"/>
      <c r="AA93" s="1179"/>
      <c r="AB93" s="1166"/>
      <c r="AC93" s="1166"/>
      <c r="AD93" s="870"/>
      <c r="AE93" s="1092"/>
      <c r="AF93" s="1195"/>
      <c r="AG93" s="1196"/>
      <c r="AH93" s="1130"/>
      <c r="AI93" s="1131"/>
      <c r="AJ93" s="1131"/>
      <c r="AK93" s="1143"/>
      <c r="AL93" s="1143"/>
      <c r="AM93" s="1143"/>
      <c r="AN93" s="1133"/>
      <c r="AO93" s="1133"/>
      <c r="AP93" s="1133"/>
      <c r="AQ93" s="1133"/>
      <c r="AR93" s="59"/>
      <c r="AU93" s="1102"/>
      <c r="AV93" s="1102"/>
      <c r="AW93" s="1186"/>
      <c r="AX93" s="1069"/>
      <c r="AY93" s="1098"/>
      <c r="AZ93" s="1098"/>
      <c r="BA93" s="1098"/>
      <c r="BB93" s="1098"/>
      <c r="BC93" s="1098"/>
      <c r="BD93" s="1184"/>
      <c r="BE93" s="1098"/>
      <c r="BH93" s="996"/>
    </row>
    <row r="94" spans="2:60" ht="15.95" hidden="1" customHeight="1">
      <c r="B94" s="923">
        <v>40</v>
      </c>
      <c r="C94" s="1087"/>
      <c r="D94" s="1087"/>
      <c r="E94" s="1087"/>
      <c r="F94" s="1087"/>
      <c r="G94" s="1087"/>
      <c r="H94" s="1087"/>
      <c r="I94" s="1087"/>
      <c r="J94" s="1087"/>
      <c r="K94" s="1087"/>
      <c r="L94" s="866"/>
      <c r="M94" s="867"/>
      <c r="N94" s="867"/>
      <c r="O94" s="868"/>
      <c r="P94" s="846"/>
      <c r="Q94" s="847"/>
      <c r="R94" s="1108"/>
      <c r="S94" s="1197"/>
      <c r="T94" s="1177"/>
      <c r="U94" s="867"/>
      <c r="V94" s="867"/>
      <c r="W94" s="868"/>
      <c r="X94" s="1077"/>
      <c r="Y94" s="1077"/>
      <c r="Z94" s="1178"/>
      <c r="AA94" s="1178"/>
      <c r="AB94" s="1165" t="str">
        <f t="shared" ref="AB94" si="245">IF(C94="New Construction","Incremental","")</f>
        <v/>
      </c>
      <c r="AC94" s="1165"/>
      <c r="AD94" s="869"/>
      <c r="AE94" s="1091"/>
      <c r="AF94" s="1193" t="str">
        <f t="shared" ref="AF94" si="246">IF(AB94="Incremental",0,"")</f>
        <v/>
      </c>
      <c r="AG94" s="1194"/>
      <c r="AH94" s="865" t="str">
        <f t="shared" ref="AH94" si="247">IF(OR(C94="",F94="",L94="",P94="",R94="",T94="",X94="",Z94="",AD94="",AF94=""),"",ROUND(AD94+AF94,2))</f>
        <v/>
      </c>
      <c r="AI94" s="1096"/>
      <c r="AJ94" s="1096"/>
      <c r="AK94" s="1105" t="str">
        <f t="shared" ref="AK94" si="248">IF(OR(C94="",F94="",F94="",L94="",P94="",R94="",T94="",X94="",Z94="",AB94="",AD94="",AF94=""),"",IF((P94*R94)-(X94*Z94)&lt;=0,0,ROUND((P94*R94)-(X94*Z94),2)))</f>
        <v/>
      </c>
      <c r="AL94" s="1105"/>
      <c r="AM94" s="1105"/>
      <c r="AN94" s="1132" t="str">
        <f t="shared" ref="AN94" si="249">IF(OR(C94="",F94="",F94="",L94="",P94="",R94="",T94="",X94="",Z94="",AB94="",AD94="",AF94=""),"",IF(BE94&lt;&gt;"",BE94,IF(C94="Custom",AY94,IF(C94="New Construction",AZ94,IF(C94="RCx",BA94)))))</f>
        <v/>
      </c>
      <c r="AO94" s="1132"/>
      <c r="AP94" s="1132"/>
      <c r="AQ94" s="1132"/>
      <c r="AR94" s="59"/>
      <c r="AU94" s="1103" t="str">
        <f>IF(F94="","",INDEX(CUSTNONLIGHTEUNIT,MATCH(F94,PROGRAMECAT[Category 1],0)))</f>
        <v/>
      </c>
      <c r="AV94" s="1103" t="str">
        <f>IF(OR(C94="",F94="",L94="",P94="",R94="",T94="",X94="",Z94="",AB94="",AD94="",AF94=""),"",((1+ELOSS)*((AK94*INDEX(ELECCB[NPV AEC $/kWh],MATCH(BB94,ELECCB[Year Number],1)))+(AX94*INDEX(ELECCB[NPV ACC+T&amp;D $/kW],MATCH(BB94,ELECCB[Year Number],1)))))/AH94)</f>
        <v/>
      </c>
      <c r="AW94" s="1185"/>
      <c r="AX94" s="1187" t="str">
        <f>IF(OR(C94="",F94="",L94="",P94="",R94="",T94="",X94="",Z94="",AB94="",AD94="",AF94=""),"",ROUND(AW94*(INDEX(PROGRAMECAT[Lighting Coincidence Factor],MATCH(F94,PROGRAMECAT[Category 1],0))),3))</f>
        <v/>
      </c>
      <c r="AY94" s="1180" t="str">
        <f>IF(OR(C94="",F94="",F94="",L94="",P94="",R94="",T94="",X94="",Z94="",AB94="",AD94="",AF94=""),"",IF(AB94="Total",ROUND(MIN(AH94*0.75,AK94*INDEX(INCRATE[Electric],MATCH("CMNONLIGHT",INCRATE[Incentive Type]))),2),IF(AB94="Incremental",ROUND(MIN(AH94,AK94*INDEX(INCRATE[Electric],MATCH("CMNONLIGHT",INCRATE[Incentive Type]))),2))))</f>
        <v/>
      </c>
      <c r="AZ94" s="1180" t="str">
        <f>IF(OR(C94="",F94="",F94="",L94="",P94="",R94="",T94="",X94="",Z94="",AB94="",AD94="",AF94=""),"",IF(AB94="Total",ROUND(MIN(AH94*0.75,AK94*INDEX(INCRATE[Electric],MATCH("NCNONLIGHT",INCRATE[Incentive Type]))),2),IF(AB94="Incremental",ROUND(MIN(AH94,AK94*INDEX(INCRATE[Electric],MATCH("NCNONLIGHT",INCRATE[Incentive Type]))),2))))</f>
        <v/>
      </c>
      <c r="BA94" s="1180" t="str">
        <f>IF(OR(C94="",F94="",F94="",L94="",P94="",R94="",T94="",X94="",Z94="",AB94="",AD94="",AF94=""),"",IF(AB94="Total",ROUND(MIN(AH94*0.75,AK94*INDEX(INCRATE[Electric],MATCH("RCX",INCRATE[Incentive Type]))),2),IF(AB94="Incremental",ROUND(MIN(AH94,AK94*INDEX(INCRATE[Electric],MATCH("RCX",INCRATE[Incentive Type]))),2))))</f>
        <v/>
      </c>
      <c r="BB94" s="1097" t="str">
        <f>IF(F94="","",INDEX(PROGRAMECAT[EUL],MATCH(F94,PROGRAMECAT[Category 1],0)))</f>
        <v/>
      </c>
      <c r="BC94" s="1097" t="str">
        <f>IFERROR(AH94/M02S02F35/AK94,"")</f>
        <v/>
      </c>
      <c r="BD94" s="1190" t="str">
        <f>IF(OR(C94="",F94="",L94="",P94="",R94="",T94="",X94="",Z94="",AB94="",AD94="",AF94=""),"",IF(ISNUMBER(AN94),INDEX(PROGRAMECAT[Measure Number],MATCH(F94,PROGRAMECAT[Category 1],0)),IF(AK94=0,"","000001")))</f>
        <v/>
      </c>
      <c r="BE94" s="1097" t="str">
        <f>IFERROR(IF((P94*R94)-(X94*Z94)&lt;=0,MEASURESAV,IF(M02S02F35="",MEASURERATE,IF(OR(F94="Others (Incremental)",F94="Others"),MEASURESUBMIT, IF(BC94&lt;1,MEASUREPAY,IF(AV94&lt;1,MEASURECB,""))))),MEASURESUBMIT)</f>
        <v>Submit for Review</v>
      </c>
      <c r="BH94" s="995" t="str">
        <f ca="1">IF(OR(C94="",F94="",F94="",L94="",P94="",R94="",T94="",X94="",Z94="",AB94="",AD94="",AF94=""),"",IF('M01-S01'!$V$82&lt;TODAY(),0,IF(M02S02F46="Gas Only",0,IF(OR(AK94="",AK94&lt;0,AH94&lt;=AN94),0,MIN(AH94-AN94,ROUND(IF(OR(ISNUMBER(SEARCH("Compressed Air",F94)),ISNUMBER(SEARCH("T8",F94)),ISNUMBER(SEARCH("T5",F94)),ISNUMBER(SEARCH("MH",F94)),ISNUMBER(SEARCH("HPS",F94)),ISNUMBER(SEARCH("MV",F94))),AN94*0.2),2))))))</f>
        <v/>
      </c>
    </row>
    <row r="95" spans="2:60" ht="15.95" hidden="1" customHeight="1">
      <c r="B95" s="923"/>
      <c r="C95" s="1088"/>
      <c r="D95" s="1088"/>
      <c r="E95" s="1088"/>
      <c r="F95" s="1088"/>
      <c r="G95" s="1088"/>
      <c r="H95" s="1088"/>
      <c r="I95" s="1088"/>
      <c r="J95" s="1088"/>
      <c r="K95" s="1088"/>
      <c r="L95" s="835"/>
      <c r="M95" s="836"/>
      <c r="N95" s="836"/>
      <c r="O95" s="837"/>
      <c r="P95" s="848"/>
      <c r="Q95" s="849"/>
      <c r="R95" s="1110"/>
      <c r="S95" s="1198"/>
      <c r="T95" s="843"/>
      <c r="U95" s="836"/>
      <c r="V95" s="836"/>
      <c r="W95" s="837"/>
      <c r="X95" s="1078"/>
      <c r="Y95" s="1078"/>
      <c r="Z95" s="1179"/>
      <c r="AA95" s="1179"/>
      <c r="AB95" s="1166"/>
      <c r="AC95" s="1166"/>
      <c r="AD95" s="870"/>
      <c r="AE95" s="1092"/>
      <c r="AF95" s="1195"/>
      <c r="AG95" s="1196"/>
      <c r="AH95" s="1130"/>
      <c r="AI95" s="1131"/>
      <c r="AJ95" s="1131"/>
      <c r="AK95" s="1143"/>
      <c r="AL95" s="1143"/>
      <c r="AM95" s="1143"/>
      <c r="AN95" s="1133"/>
      <c r="AO95" s="1133"/>
      <c r="AP95" s="1133"/>
      <c r="AQ95" s="1133"/>
      <c r="AR95" s="59"/>
      <c r="AU95" s="1102"/>
      <c r="AV95" s="1102"/>
      <c r="AW95" s="1186"/>
      <c r="AX95" s="1069"/>
      <c r="AY95" s="1098"/>
      <c r="AZ95" s="1098"/>
      <c r="BA95" s="1098"/>
      <c r="BB95" s="1098"/>
      <c r="BC95" s="1098"/>
      <c r="BD95" s="1184"/>
      <c r="BE95" s="1098"/>
      <c r="BH95" s="996"/>
    </row>
    <row r="96" spans="2:60" ht="15.95" hidden="1" customHeight="1">
      <c r="B96" s="923">
        <v>41</v>
      </c>
      <c r="C96" s="1087"/>
      <c r="D96" s="1087"/>
      <c r="E96" s="1087"/>
      <c r="F96" s="1087"/>
      <c r="G96" s="1087"/>
      <c r="H96" s="1087"/>
      <c r="I96" s="1087"/>
      <c r="J96" s="1087"/>
      <c r="K96" s="1087"/>
      <c r="L96" s="866"/>
      <c r="M96" s="867"/>
      <c r="N96" s="867"/>
      <c r="O96" s="868"/>
      <c r="P96" s="846"/>
      <c r="Q96" s="847"/>
      <c r="R96" s="1108"/>
      <c r="S96" s="1197"/>
      <c r="T96" s="1177"/>
      <c r="U96" s="867"/>
      <c r="V96" s="867"/>
      <c r="W96" s="868"/>
      <c r="X96" s="1077"/>
      <c r="Y96" s="1077"/>
      <c r="Z96" s="1178"/>
      <c r="AA96" s="1178"/>
      <c r="AB96" s="1165" t="str">
        <f t="shared" ref="AB96" si="250">IF(C96="New Construction","Incremental","")</f>
        <v/>
      </c>
      <c r="AC96" s="1165"/>
      <c r="AD96" s="869"/>
      <c r="AE96" s="1091"/>
      <c r="AF96" s="1193" t="str">
        <f t="shared" ref="AF96" si="251">IF(AB96="Incremental",0,"")</f>
        <v/>
      </c>
      <c r="AG96" s="1194"/>
      <c r="AH96" s="865" t="str">
        <f t="shared" ref="AH96" si="252">IF(OR(C96="",F96="",L96="",P96="",R96="",T96="",X96="",Z96="",AD96="",AF96=""),"",ROUND(AD96+AF96,2))</f>
        <v/>
      </c>
      <c r="AI96" s="1096"/>
      <c r="AJ96" s="1096"/>
      <c r="AK96" s="1105" t="str">
        <f t="shared" ref="AK96" si="253">IF(OR(C96="",F96="",F96="",L96="",P96="",R96="",T96="",X96="",Z96="",AB96="",AD96="",AF96=""),"",IF((P96*R96)-(X96*Z96)&lt;=0,0,ROUND((P96*R96)-(X96*Z96),2)))</f>
        <v/>
      </c>
      <c r="AL96" s="1105"/>
      <c r="AM96" s="1105"/>
      <c r="AN96" s="1132" t="str">
        <f t="shared" ref="AN96" si="254">IF(OR(C96="",F96="",F96="",L96="",P96="",R96="",T96="",X96="",Z96="",AB96="",AD96="",AF96=""),"",IF(BE96&lt;&gt;"",BE96,IF(C96="Custom",AY96,IF(C96="New Construction",AZ96,IF(C96="RCx",BA96)))))</f>
        <v/>
      </c>
      <c r="AO96" s="1132"/>
      <c r="AP96" s="1132"/>
      <c r="AQ96" s="1132"/>
      <c r="AR96" s="59"/>
      <c r="AU96" s="1103" t="str">
        <f>IF(F96="","",INDEX(CUSTNONLIGHTEUNIT,MATCH(F96,PROGRAMECAT[Category 1],0)))</f>
        <v/>
      </c>
      <c r="AV96" s="1103" t="str">
        <f>IF(OR(C96="",F96="",L96="",P96="",R96="",T96="",X96="",Z96="",AB96="",AD96="",AF96=""),"",((1+ELOSS)*((AK96*INDEX(ELECCB[NPV AEC $/kWh],MATCH(BB96,ELECCB[Year Number],1)))+(AX96*INDEX(ELECCB[NPV ACC+T&amp;D $/kW],MATCH(BB96,ELECCB[Year Number],1)))))/AH96)</f>
        <v/>
      </c>
      <c r="AW96" s="1185"/>
      <c r="AX96" s="1187" t="str">
        <f>IF(OR(C96="",F96="",L96="",P96="",R96="",T96="",X96="",Z96="",AB96="",AD96="",AF96=""),"",ROUND(AW96*(INDEX(PROGRAMECAT[Lighting Coincidence Factor],MATCH(F96,PROGRAMECAT[Category 1],0))),3))</f>
        <v/>
      </c>
      <c r="AY96" s="1180" t="str">
        <f>IF(OR(C96="",F96="",F96="",L96="",P96="",R96="",T96="",X96="",Z96="",AB96="",AD96="",AF96=""),"",IF(AB96="Total",ROUND(MIN(AH96*0.75,AK96*INDEX(INCRATE[Electric],MATCH("CMNONLIGHT",INCRATE[Incentive Type]))),2),IF(AB96="Incremental",ROUND(MIN(AH96,AK96*INDEX(INCRATE[Electric],MATCH("CMNONLIGHT",INCRATE[Incentive Type]))),2))))</f>
        <v/>
      </c>
      <c r="AZ96" s="1180" t="str">
        <f>IF(OR(C96="",F96="",F96="",L96="",P96="",R96="",T96="",X96="",Z96="",AB96="",AD96="",AF96=""),"",IF(AB96="Total",ROUND(MIN(AH96*0.75,AK96*INDEX(INCRATE[Electric],MATCH("NCNONLIGHT",INCRATE[Incentive Type]))),2),IF(AB96="Incremental",ROUND(MIN(AH96,AK96*INDEX(INCRATE[Electric],MATCH("NCNONLIGHT",INCRATE[Incentive Type]))),2))))</f>
        <v/>
      </c>
      <c r="BA96" s="1180" t="str">
        <f>IF(OR(C96="",F96="",F96="",L96="",P96="",R96="",T96="",X96="",Z96="",AB96="",AD96="",AF96=""),"",IF(AB96="Total",ROUND(MIN(AH96*0.75,AK96*INDEX(INCRATE[Electric],MATCH("RCX",INCRATE[Incentive Type]))),2),IF(AB96="Incremental",ROUND(MIN(AH96,AK96*INDEX(INCRATE[Electric],MATCH("RCX",INCRATE[Incentive Type]))),2))))</f>
        <v/>
      </c>
      <c r="BB96" s="1097" t="str">
        <f>IF(F96="","",INDEX(PROGRAMECAT[EUL],MATCH(F96,PROGRAMECAT[Category 1],0)))</f>
        <v/>
      </c>
      <c r="BC96" s="1097" t="str">
        <f>IFERROR(AH96/M02S02F35/AK96,"")</f>
        <v/>
      </c>
      <c r="BD96" s="1190" t="str">
        <f>IF(OR(C96="",F96="",L96="",P96="",R96="",T96="",X96="",Z96="",AB96="",AD96="",AF96=""),"",IF(ISNUMBER(AN96),INDEX(PROGRAMECAT[Measure Number],MATCH(F96,PROGRAMECAT[Category 1],0)),IF(AK96=0,"","000001")))</f>
        <v/>
      </c>
      <c r="BE96" s="1097" t="str">
        <f>IFERROR(IF((P96*R96)-(X96*Z96)&lt;=0,MEASURESAV,IF(M02S02F35="",MEASURERATE,IF(OR(F96="Others (Incremental)",F96="Others"),MEASURESUBMIT, IF(BC96&lt;1,MEASUREPAY,IF(AV96&lt;1,MEASURECB,""))))),MEASURESUBMIT)</f>
        <v>Submit for Review</v>
      </c>
      <c r="BH96" s="995" t="str">
        <f ca="1">IF(OR(C96="",F96="",F96="",L96="",P96="",R96="",T96="",X96="",Z96="",AB96="",AD96="",AF96=""),"",IF('M01-S01'!$V$82&lt;TODAY(),0,IF(M02S02F46="Gas Only",0,IF(OR(AK96="",AK96&lt;0,AH96&lt;=AN96),0,MIN(AH96-AN96,ROUND(IF(OR(ISNUMBER(SEARCH("Compressed Air",F96)),ISNUMBER(SEARCH("T8",F96)),ISNUMBER(SEARCH("T5",F96)),ISNUMBER(SEARCH("MH",F96)),ISNUMBER(SEARCH("HPS",F96)),ISNUMBER(SEARCH("MV",F96))),AN96*0.2),2))))))</f>
        <v/>
      </c>
    </row>
    <row r="97" spans="2:60" ht="15.95" hidden="1" customHeight="1">
      <c r="B97" s="923"/>
      <c r="C97" s="1088"/>
      <c r="D97" s="1088"/>
      <c r="E97" s="1088"/>
      <c r="F97" s="1088"/>
      <c r="G97" s="1088"/>
      <c r="H97" s="1088"/>
      <c r="I97" s="1088"/>
      <c r="J97" s="1088"/>
      <c r="K97" s="1088"/>
      <c r="L97" s="835"/>
      <c r="M97" s="836"/>
      <c r="N97" s="836"/>
      <c r="O97" s="837"/>
      <c r="P97" s="848"/>
      <c r="Q97" s="849"/>
      <c r="R97" s="1110"/>
      <c r="S97" s="1198"/>
      <c r="T97" s="843"/>
      <c r="U97" s="836"/>
      <c r="V97" s="836"/>
      <c r="W97" s="837"/>
      <c r="X97" s="1078"/>
      <c r="Y97" s="1078"/>
      <c r="Z97" s="1179"/>
      <c r="AA97" s="1179"/>
      <c r="AB97" s="1166"/>
      <c r="AC97" s="1166"/>
      <c r="AD97" s="870"/>
      <c r="AE97" s="1092"/>
      <c r="AF97" s="1195"/>
      <c r="AG97" s="1196"/>
      <c r="AH97" s="1130"/>
      <c r="AI97" s="1131"/>
      <c r="AJ97" s="1131"/>
      <c r="AK97" s="1143"/>
      <c r="AL97" s="1143"/>
      <c r="AM97" s="1143"/>
      <c r="AN97" s="1133"/>
      <c r="AO97" s="1133"/>
      <c r="AP97" s="1133"/>
      <c r="AQ97" s="1133"/>
      <c r="AR97" s="59"/>
      <c r="AU97" s="1102"/>
      <c r="AV97" s="1102"/>
      <c r="AW97" s="1186"/>
      <c r="AX97" s="1069"/>
      <c r="AY97" s="1098"/>
      <c r="AZ97" s="1098"/>
      <c r="BA97" s="1098"/>
      <c r="BB97" s="1098"/>
      <c r="BC97" s="1098"/>
      <c r="BD97" s="1184"/>
      <c r="BE97" s="1098"/>
      <c r="BH97" s="996"/>
    </row>
    <row r="98" spans="2:60" ht="15.95" hidden="1" customHeight="1">
      <c r="B98" s="923">
        <v>42</v>
      </c>
      <c r="C98" s="1087"/>
      <c r="D98" s="1087"/>
      <c r="E98" s="1087"/>
      <c r="F98" s="1087"/>
      <c r="G98" s="1087"/>
      <c r="H98" s="1087"/>
      <c r="I98" s="1087"/>
      <c r="J98" s="1087"/>
      <c r="K98" s="1087"/>
      <c r="L98" s="866"/>
      <c r="M98" s="867"/>
      <c r="N98" s="867"/>
      <c r="O98" s="868"/>
      <c r="P98" s="846"/>
      <c r="Q98" s="847"/>
      <c r="R98" s="1108"/>
      <c r="S98" s="1197"/>
      <c r="T98" s="1177"/>
      <c r="U98" s="867"/>
      <c r="V98" s="867"/>
      <c r="W98" s="868"/>
      <c r="X98" s="1077"/>
      <c r="Y98" s="1077"/>
      <c r="Z98" s="1178"/>
      <c r="AA98" s="1178"/>
      <c r="AB98" s="1165" t="str">
        <f t="shared" ref="AB98" si="255">IF(C98="New Construction","Incremental","")</f>
        <v/>
      </c>
      <c r="AC98" s="1165"/>
      <c r="AD98" s="869"/>
      <c r="AE98" s="1091"/>
      <c r="AF98" s="1193" t="str">
        <f t="shared" ref="AF98" si="256">IF(AB98="Incremental",0,"")</f>
        <v/>
      </c>
      <c r="AG98" s="1194"/>
      <c r="AH98" s="865" t="str">
        <f t="shared" ref="AH98" si="257">IF(OR(C98="",F98="",L98="",P98="",R98="",T98="",X98="",Z98="",AD98="",AF98=""),"",ROUND(AD98+AF98,2))</f>
        <v/>
      </c>
      <c r="AI98" s="1096"/>
      <c r="AJ98" s="1096"/>
      <c r="AK98" s="1105" t="str">
        <f t="shared" ref="AK98" si="258">IF(OR(C98="",F98="",F98="",L98="",P98="",R98="",T98="",X98="",Z98="",AB98="",AD98="",AF98=""),"",IF((P98*R98)-(X98*Z98)&lt;=0,0,ROUND((P98*R98)-(X98*Z98),2)))</f>
        <v/>
      </c>
      <c r="AL98" s="1105"/>
      <c r="AM98" s="1105"/>
      <c r="AN98" s="1132" t="str">
        <f t="shared" ref="AN98" si="259">IF(OR(C98="",F98="",F98="",L98="",P98="",R98="",T98="",X98="",Z98="",AB98="",AD98="",AF98=""),"",IF(BE98&lt;&gt;"",BE98,IF(C98="Custom",AY98,IF(C98="New Construction",AZ98,IF(C98="RCx",BA98)))))</f>
        <v/>
      </c>
      <c r="AO98" s="1132"/>
      <c r="AP98" s="1132"/>
      <c r="AQ98" s="1132"/>
      <c r="AR98" s="59"/>
      <c r="AU98" s="1103" t="str">
        <f>IF(F98="","",INDEX(CUSTNONLIGHTEUNIT,MATCH(F98,PROGRAMECAT[Category 1],0)))</f>
        <v/>
      </c>
      <c r="AV98" s="1103" t="str">
        <f>IF(OR(C98="",F98="",L98="",P98="",R98="",T98="",X98="",Z98="",AB98="",AD98="",AF98=""),"",((1+ELOSS)*((AK98*INDEX(ELECCB[NPV AEC $/kWh],MATCH(BB98,ELECCB[Year Number],1)))+(AX98*INDEX(ELECCB[NPV ACC+T&amp;D $/kW],MATCH(BB98,ELECCB[Year Number],1)))))/AH98)</f>
        <v/>
      </c>
      <c r="AW98" s="1185"/>
      <c r="AX98" s="1187" t="str">
        <f>IF(OR(C98="",F98="",L98="",P98="",R98="",T98="",X98="",Z98="",AB98="",AD98="",AF98=""),"",ROUND(AW98*(INDEX(PROGRAMECAT[Lighting Coincidence Factor],MATCH(F98,PROGRAMECAT[Category 1],0))),3))</f>
        <v/>
      </c>
      <c r="AY98" s="1180" t="str">
        <f>IF(OR(C98="",F98="",F98="",L98="",P98="",R98="",T98="",X98="",Z98="",AB98="",AD98="",AF98=""),"",IF(AB98="Total",ROUND(MIN(AH98*0.75,AK98*INDEX(INCRATE[Electric],MATCH("CMNONLIGHT",INCRATE[Incentive Type]))),2),IF(AB98="Incremental",ROUND(MIN(AH98,AK98*INDEX(INCRATE[Electric],MATCH("CMNONLIGHT",INCRATE[Incentive Type]))),2))))</f>
        <v/>
      </c>
      <c r="AZ98" s="1180" t="str">
        <f>IF(OR(C98="",F98="",F98="",L98="",P98="",R98="",T98="",X98="",Z98="",AB98="",AD98="",AF98=""),"",IF(AB98="Total",ROUND(MIN(AH98*0.75,AK98*INDEX(INCRATE[Electric],MATCH("NCNONLIGHT",INCRATE[Incentive Type]))),2),IF(AB98="Incremental",ROUND(MIN(AH98,AK98*INDEX(INCRATE[Electric],MATCH("NCNONLIGHT",INCRATE[Incentive Type]))),2))))</f>
        <v/>
      </c>
      <c r="BA98" s="1180" t="str">
        <f>IF(OR(C98="",F98="",F98="",L98="",P98="",R98="",T98="",X98="",Z98="",AB98="",AD98="",AF98=""),"",IF(AB98="Total",ROUND(MIN(AH98*0.75,AK98*INDEX(INCRATE[Electric],MATCH("RCX",INCRATE[Incentive Type]))),2),IF(AB98="Incremental",ROUND(MIN(AH98,AK98*INDEX(INCRATE[Electric],MATCH("RCX",INCRATE[Incentive Type]))),2))))</f>
        <v/>
      </c>
      <c r="BB98" s="1097" t="str">
        <f>IF(F98="","",INDEX(PROGRAMECAT[EUL],MATCH(F98,PROGRAMECAT[Category 1],0)))</f>
        <v/>
      </c>
      <c r="BC98" s="1097" t="str">
        <f>IFERROR(AH98/M02S02F35/AK98,"")</f>
        <v/>
      </c>
      <c r="BD98" s="1190" t="str">
        <f>IF(OR(C98="",F98="",L98="",P98="",R98="",T98="",X98="",Z98="",AB98="",AD98="",AF98=""),"",IF(ISNUMBER(AN98),INDEX(PROGRAMECAT[Measure Number],MATCH(F98,PROGRAMECAT[Category 1],0)),IF(AK98=0,"","000001")))</f>
        <v/>
      </c>
      <c r="BE98" s="1097" t="str">
        <f>IFERROR(IF((P98*R98)-(X98*Z98)&lt;=0,MEASURESAV,IF(M02S02F35="",MEASURERATE,IF(OR(F98="Others (Incremental)",F98="Others"),MEASURESUBMIT, IF(BC98&lt;1,MEASUREPAY,IF(AV98&lt;1,MEASURECB,""))))),MEASURESUBMIT)</f>
        <v>Submit for Review</v>
      </c>
      <c r="BH98" s="995" t="str">
        <f ca="1">IF(OR(C98="",F98="",F98="",L98="",P98="",R98="",T98="",X98="",Z98="",AB98="",AD98="",AF98=""),"",IF('M01-S01'!$V$82&lt;TODAY(),0,IF(M02S02F46="Gas Only",0,IF(OR(AK98="",AK98&lt;0,AH98&lt;=AN98),0,MIN(AH98-AN98,ROUND(IF(OR(ISNUMBER(SEARCH("Compressed Air",F98)),ISNUMBER(SEARCH("T8",F98)),ISNUMBER(SEARCH("T5",F98)),ISNUMBER(SEARCH("MH",F98)),ISNUMBER(SEARCH("HPS",F98)),ISNUMBER(SEARCH("MV",F98))),AN98*0.2),2))))))</f>
        <v/>
      </c>
    </row>
    <row r="99" spans="2:60" ht="15.95" hidden="1" customHeight="1">
      <c r="B99" s="923"/>
      <c r="C99" s="1088"/>
      <c r="D99" s="1088"/>
      <c r="E99" s="1088"/>
      <c r="F99" s="1088"/>
      <c r="G99" s="1088"/>
      <c r="H99" s="1088"/>
      <c r="I99" s="1088"/>
      <c r="J99" s="1088"/>
      <c r="K99" s="1088"/>
      <c r="L99" s="835"/>
      <c r="M99" s="836"/>
      <c r="N99" s="836"/>
      <c r="O99" s="837"/>
      <c r="P99" s="848"/>
      <c r="Q99" s="849"/>
      <c r="R99" s="1110"/>
      <c r="S99" s="1198"/>
      <c r="T99" s="843"/>
      <c r="U99" s="836"/>
      <c r="V99" s="836"/>
      <c r="W99" s="837"/>
      <c r="X99" s="1078"/>
      <c r="Y99" s="1078"/>
      <c r="Z99" s="1179"/>
      <c r="AA99" s="1179"/>
      <c r="AB99" s="1166"/>
      <c r="AC99" s="1166"/>
      <c r="AD99" s="870"/>
      <c r="AE99" s="1092"/>
      <c r="AF99" s="1195"/>
      <c r="AG99" s="1196"/>
      <c r="AH99" s="1130"/>
      <c r="AI99" s="1131"/>
      <c r="AJ99" s="1131"/>
      <c r="AK99" s="1143"/>
      <c r="AL99" s="1143"/>
      <c r="AM99" s="1143"/>
      <c r="AN99" s="1133"/>
      <c r="AO99" s="1133"/>
      <c r="AP99" s="1133"/>
      <c r="AQ99" s="1133"/>
      <c r="AR99" s="59"/>
      <c r="AU99" s="1102"/>
      <c r="AV99" s="1102"/>
      <c r="AW99" s="1186"/>
      <c r="AX99" s="1069"/>
      <c r="AY99" s="1098"/>
      <c r="AZ99" s="1098"/>
      <c r="BA99" s="1098"/>
      <c r="BB99" s="1098"/>
      <c r="BC99" s="1098"/>
      <c r="BD99" s="1184"/>
      <c r="BE99" s="1098"/>
      <c r="BH99" s="996"/>
    </row>
    <row r="100" spans="2:60" ht="15.95" hidden="1" customHeight="1">
      <c r="B100" s="923">
        <v>43</v>
      </c>
      <c r="C100" s="1087"/>
      <c r="D100" s="1087"/>
      <c r="E100" s="1087"/>
      <c r="F100" s="1087"/>
      <c r="G100" s="1087"/>
      <c r="H100" s="1087"/>
      <c r="I100" s="1087"/>
      <c r="J100" s="1087"/>
      <c r="K100" s="1087"/>
      <c r="L100" s="866"/>
      <c r="M100" s="867"/>
      <c r="N100" s="867"/>
      <c r="O100" s="868"/>
      <c r="P100" s="846"/>
      <c r="Q100" s="847"/>
      <c r="R100" s="1108"/>
      <c r="S100" s="1197"/>
      <c r="T100" s="1177"/>
      <c r="U100" s="867"/>
      <c r="V100" s="867"/>
      <c r="W100" s="868"/>
      <c r="X100" s="1077"/>
      <c r="Y100" s="1077"/>
      <c r="Z100" s="1178"/>
      <c r="AA100" s="1178"/>
      <c r="AB100" s="1165" t="str">
        <f t="shared" ref="AB100" si="260">IF(C100="New Construction","Incremental","")</f>
        <v/>
      </c>
      <c r="AC100" s="1165"/>
      <c r="AD100" s="869"/>
      <c r="AE100" s="1091"/>
      <c r="AF100" s="1193" t="str">
        <f t="shared" ref="AF100" si="261">IF(AB100="Incremental",0,"")</f>
        <v/>
      </c>
      <c r="AG100" s="1194"/>
      <c r="AH100" s="865" t="str">
        <f t="shared" ref="AH100" si="262">IF(OR(C100="",F100="",L100="",P100="",R100="",T100="",X100="",Z100="",AD100="",AF100=""),"",ROUND(AD100+AF100,2))</f>
        <v/>
      </c>
      <c r="AI100" s="1096"/>
      <c r="AJ100" s="1096"/>
      <c r="AK100" s="1105" t="str">
        <f t="shared" ref="AK100" si="263">IF(OR(C100="",F100="",F100="",L100="",P100="",R100="",T100="",X100="",Z100="",AB100="",AD100="",AF100=""),"",IF((P100*R100)-(X100*Z100)&lt;=0,0,ROUND((P100*R100)-(X100*Z100),2)))</f>
        <v/>
      </c>
      <c r="AL100" s="1105"/>
      <c r="AM100" s="1105"/>
      <c r="AN100" s="1132" t="str">
        <f t="shared" ref="AN100" si="264">IF(OR(C100="",F100="",F100="",L100="",P100="",R100="",T100="",X100="",Z100="",AB100="",AD100="",AF100=""),"",IF(BE100&lt;&gt;"",BE100,IF(C100="Custom",AY100,IF(C100="New Construction",AZ100,IF(C100="RCx",BA100)))))</f>
        <v/>
      </c>
      <c r="AO100" s="1132"/>
      <c r="AP100" s="1132"/>
      <c r="AQ100" s="1132"/>
      <c r="AR100" s="59"/>
      <c r="AU100" s="1103" t="str">
        <f>IF(F100="","",INDEX(CUSTNONLIGHTEUNIT,MATCH(F100,PROGRAMECAT[Category 1],0)))</f>
        <v/>
      </c>
      <c r="AV100" s="1103" t="str">
        <f>IF(OR(C100="",F100="",L100="",P100="",R100="",T100="",X100="",Z100="",AB100="",AD100="",AF100=""),"",((1+ELOSS)*((AK100*INDEX(ELECCB[NPV AEC $/kWh],MATCH(BB100,ELECCB[Year Number],1)))+(AX100*INDEX(ELECCB[NPV ACC+T&amp;D $/kW],MATCH(BB100,ELECCB[Year Number],1)))))/AH100)</f>
        <v/>
      </c>
      <c r="AW100" s="1185"/>
      <c r="AX100" s="1187" t="str">
        <f>IF(OR(C100="",F100="",L100="",P100="",R100="",T100="",X100="",Z100="",AB100="",AD100="",AF100=""),"",ROUND(AW100*(INDEX(PROGRAMECAT[Lighting Coincidence Factor],MATCH(F100,PROGRAMECAT[Category 1],0))),3))</f>
        <v/>
      </c>
      <c r="AY100" s="1180" t="str">
        <f>IF(OR(C100="",F100="",F100="",L100="",P100="",R100="",T100="",X100="",Z100="",AB100="",AD100="",AF100=""),"",IF(AB100="Total",ROUND(MIN(AH100*0.75,AK100*INDEX(INCRATE[Electric],MATCH("CMNONLIGHT",INCRATE[Incentive Type]))),2),IF(AB100="Incremental",ROUND(MIN(AH100,AK100*INDEX(INCRATE[Electric],MATCH("CMNONLIGHT",INCRATE[Incentive Type]))),2))))</f>
        <v/>
      </c>
      <c r="AZ100" s="1180" t="str">
        <f>IF(OR(C100="",F100="",F100="",L100="",P100="",R100="",T100="",X100="",Z100="",AB100="",AD100="",AF100=""),"",IF(AB100="Total",ROUND(MIN(AH100*0.75,AK100*INDEX(INCRATE[Electric],MATCH("NCNONLIGHT",INCRATE[Incentive Type]))),2),IF(AB100="Incremental",ROUND(MIN(AH100,AK100*INDEX(INCRATE[Electric],MATCH("NCNONLIGHT",INCRATE[Incentive Type]))),2))))</f>
        <v/>
      </c>
      <c r="BA100" s="1180" t="str">
        <f>IF(OR(C100="",F100="",F100="",L100="",P100="",R100="",T100="",X100="",Z100="",AB100="",AD100="",AF100=""),"",IF(AB100="Total",ROUND(MIN(AH100*0.75,AK100*INDEX(INCRATE[Electric],MATCH("RCX",INCRATE[Incentive Type]))),2),IF(AB100="Incremental",ROUND(MIN(AH100,AK100*INDEX(INCRATE[Electric],MATCH("RCX",INCRATE[Incentive Type]))),2))))</f>
        <v/>
      </c>
      <c r="BB100" s="1097" t="str">
        <f>IF(F100="","",INDEX(PROGRAMECAT[EUL],MATCH(F100,PROGRAMECAT[Category 1],0)))</f>
        <v/>
      </c>
      <c r="BC100" s="1097" t="str">
        <f>IFERROR(AH100/M02S02F35/AK100,"")</f>
        <v/>
      </c>
      <c r="BD100" s="1190" t="str">
        <f>IF(OR(C100="",F100="",L100="",P100="",R100="",T100="",X100="",Z100="",AB100="",AD100="",AF100=""),"",IF(ISNUMBER(AN100),INDEX(PROGRAMECAT[Measure Number],MATCH(F100,PROGRAMECAT[Category 1],0)),IF(AK100=0,"","000001")))</f>
        <v/>
      </c>
      <c r="BE100" s="1097" t="str">
        <f>IFERROR(IF((P100*R100)-(X100*Z100)&lt;=0,MEASURESAV,IF(M02S02F35="",MEASURERATE,IF(OR(F100="Others (Incremental)",F100="Others"),MEASURESUBMIT, IF(BC100&lt;1,MEASUREPAY,IF(AV100&lt;1,MEASURECB,""))))),MEASURESUBMIT)</f>
        <v>Submit for Review</v>
      </c>
      <c r="BH100" s="995" t="str">
        <f ca="1">IF(OR(C100="",F100="",F100="",L100="",P100="",R100="",T100="",X100="",Z100="",AB100="",AD100="",AF100=""),"",IF('M01-S01'!$V$82&lt;TODAY(),0,IF(M02S02F46="Gas Only",0,IF(OR(AK100="",AK100&lt;0,AH100&lt;=AN100),0,MIN(AH100-AN100,ROUND(IF(OR(ISNUMBER(SEARCH("Compressed Air",F100)),ISNUMBER(SEARCH("T8",F100)),ISNUMBER(SEARCH("T5",F100)),ISNUMBER(SEARCH("MH",F100)),ISNUMBER(SEARCH("HPS",F100)),ISNUMBER(SEARCH("MV",F100))),AN100*0.2),2))))))</f>
        <v/>
      </c>
    </row>
    <row r="101" spans="2:60" ht="15.95" hidden="1" customHeight="1">
      <c r="B101" s="923"/>
      <c r="C101" s="1088"/>
      <c r="D101" s="1088"/>
      <c r="E101" s="1088"/>
      <c r="F101" s="1088"/>
      <c r="G101" s="1088"/>
      <c r="H101" s="1088"/>
      <c r="I101" s="1088"/>
      <c r="J101" s="1088"/>
      <c r="K101" s="1088"/>
      <c r="L101" s="835"/>
      <c r="M101" s="836"/>
      <c r="N101" s="836"/>
      <c r="O101" s="837"/>
      <c r="P101" s="848"/>
      <c r="Q101" s="849"/>
      <c r="R101" s="1110"/>
      <c r="S101" s="1198"/>
      <c r="T101" s="843"/>
      <c r="U101" s="836"/>
      <c r="V101" s="836"/>
      <c r="W101" s="837"/>
      <c r="X101" s="1078"/>
      <c r="Y101" s="1078"/>
      <c r="Z101" s="1179"/>
      <c r="AA101" s="1179"/>
      <c r="AB101" s="1166"/>
      <c r="AC101" s="1166"/>
      <c r="AD101" s="870"/>
      <c r="AE101" s="1092"/>
      <c r="AF101" s="1195"/>
      <c r="AG101" s="1196"/>
      <c r="AH101" s="1130"/>
      <c r="AI101" s="1131"/>
      <c r="AJ101" s="1131"/>
      <c r="AK101" s="1143"/>
      <c r="AL101" s="1143"/>
      <c r="AM101" s="1143"/>
      <c r="AN101" s="1133"/>
      <c r="AO101" s="1133"/>
      <c r="AP101" s="1133"/>
      <c r="AQ101" s="1133"/>
      <c r="AR101" s="59"/>
      <c r="AU101" s="1102"/>
      <c r="AV101" s="1102"/>
      <c r="AW101" s="1186"/>
      <c r="AX101" s="1069"/>
      <c r="AY101" s="1098"/>
      <c r="AZ101" s="1098"/>
      <c r="BA101" s="1098"/>
      <c r="BB101" s="1098"/>
      <c r="BC101" s="1098"/>
      <c r="BD101" s="1184"/>
      <c r="BE101" s="1098"/>
      <c r="BH101" s="996"/>
    </row>
    <row r="102" spans="2:60" ht="15.95" hidden="1" customHeight="1">
      <c r="B102" s="923">
        <v>44</v>
      </c>
      <c r="C102" s="1087"/>
      <c r="D102" s="1087"/>
      <c r="E102" s="1087"/>
      <c r="F102" s="1087"/>
      <c r="G102" s="1087"/>
      <c r="H102" s="1087"/>
      <c r="I102" s="1087"/>
      <c r="J102" s="1087"/>
      <c r="K102" s="1087"/>
      <c r="L102" s="866"/>
      <c r="M102" s="867"/>
      <c r="N102" s="867"/>
      <c r="O102" s="868"/>
      <c r="P102" s="846"/>
      <c r="Q102" s="847"/>
      <c r="R102" s="1108"/>
      <c r="S102" s="1197"/>
      <c r="T102" s="1177"/>
      <c r="U102" s="867"/>
      <c r="V102" s="867"/>
      <c r="W102" s="868"/>
      <c r="X102" s="1077"/>
      <c r="Y102" s="1077"/>
      <c r="Z102" s="1178"/>
      <c r="AA102" s="1178"/>
      <c r="AB102" s="1165" t="str">
        <f t="shared" ref="AB102" si="265">IF(C102="New Construction","Incremental","")</f>
        <v/>
      </c>
      <c r="AC102" s="1165"/>
      <c r="AD102" s="869"/>
      <c r="AE102" s="1091"/>
      <c r="AF102" s="1193" t="str">
        <f t="shared" ref="AF102" si="266">IF(AB102="Incremental",0,"")</f>
        <v/>
      </c>
      <c r="AG102" s="1194"/>
      <c r="AH102" s="865" t="str">
        <f t="shared" ref="AH102" si="267">IF(OR(C102="",F102="",L102="",P102="",R102="",T102="",X102="",Z102="",AD102="",AF102=""),"",ROUND(AD102+AF102,2))</f>
        <v/>
      </c>
      <c r="AI102" s="1096"/>
      <c r="AJ102" s="1096"/>
      <c r="AK102" s="1105" t="str">
        <f t="shared" ref="AK102" si="268">IF(OR(C102="",F102="",F102="",L102="",P102="",R102="",T102="",X102="",Z102="",AB102="",AD102="",AF102=""),"",IF((P102*R102)-(X102*Z102)&lt;=0,0,ROUND((P102*R102)-(X102*Z102),2)))</f>
        <v/>
      </c>
      <c r="AL102" s="1105"/>
      <c r="AM102" s="1105"/>
      <c r="AN102" s="1132" t="str">
        <f t="shared" ref="AN102" si="269">IF(OR(C102="",F102="",F102="",L102="",P102="",R102="",T102="",X102="",Z102="",AB102="",AD102="",AF102=""),"",IF(BE102&lt;&gt;"",BE102,IF(C102="Custom",AY102,IF(C102="New Construction",AZ102,IF(C102="RCx",BA102)))))</f>
        <v/>
      </c>
      <c r="AO102" s="1132"/>
      <c r="AP102" s="1132"/>
      <c r="AQ102" s="1132"/>
      <c r="AR102" s="59"/>
      <c r="AU102" s="1103" t="str">
        <f>IF(F102="","",INDEX(CUSTNONLIGHTEUNIT,MATCH(F102,PROGRAMECAT[Category 1],0)))</f>
        <v/>
      </c>
      <c r="AV102" s="1103" t="str">
        <f>IF(OR(C102="",F102="",L102="",P102="",R102="",T102="",X102="",Z102="",AB102="",AD102="",AF102=""),"",((1+ELOSS)*((AK102*INDEX(ELECCB[NPV AEC $/kWh],MATCH(BB102,ELECCB[Year Number],1)))+(AX102*INDEX(ELECCB[NPV ACC+T&amp;D $/kW],MATCH(BB102,ELECCB[Year Number],1)))))/AH102)</f>
        <v/>
      </c>
      <c r="AW102" s="1185"/>
      <c r="AX102" s="1187" t="str">
        <f>IF(OR(C102="",F102="",L102="",P102="",R102="",T102="",X102="",Z102="",AB102="",AD102="",AF102=""),"",ROUND(AW102*(INDEX(PROGRAMECAT[Lighting Coincidence Factor],MATCH(F102,PROGRAMECAT[Category 1],0))),3))</f>
        <v/>
      </c>
      <c r="AY102" s="1180" t="str">
        <f>IF(OR(C102="",F102="",F102="",L102="",P102="",R102="",T102="",X102="",Z102="",AB102="",AD102="",AF102=""),"",IF(AB102="Total",ROUND(MIN(AH102*0.75,AK102*INDEX(INCRATE[Electric],MATCH("CMNONLIGHT",INCRATE[Incentive Type]))),2),IF(AB102="Incremental",ROUND(MIN(AH102,AK102*INDEX(INCRATE[Electric],MATCH("CMNONLIGHT",INCRATE[Incentive Type]))),2))))</f>
        <v/>
      </c>
      <c r="AZ102" s="1180" t="str">
        <f>IF(OR(C102="",F102="",F102="",L102="",P102="",R102="",T102="",X102="",Z102="",AB102="",AD102="",AF102=""),"",IF(AB102="Total",ROUND(MIN(AH102*0.75,AK102*INDEX(INCRATE[Electric],MATCH("NCNONLIGHT",INCRATE[Incentive Type]))),2),IF(AB102="Incremental",ROUND(MIN(AH102,AK102*INDEX(INCRATE[Electric],MATCH("NCNONLIGHT",INCRATE[Incentive Type]))),2))))</f>
        <v/>
      </c>
      <c r="BA102" s="1180" t="str">
        <f>IF(OR(C102="",F102="",F102="",L102="",P102="",R102="",T102="",X102="",Z102="",AB102="",AD102="",AF102=""),"",IF(AB102="Total",ROUND(MIN(AH102*0.75,AK102*INDEX(INCRATE[Electric],MATCH("RCX",INCRATE[Incentive Type]))),2),IF(AB102="Incremental",ROUND(MIN(AH102,AK102*INDEX(INCRATE[Electric],MATCH("RCX",INCRATE[Incentive Type]))),2))))</f>
        <v/>
      </c>
      <c r="BB102" s="1097" t="str">
        <f>IF(F102="","",INDEX(PROGRAMECAT[EUL],MATCH(F102,PROGRAMECAT[Category 1],0)))</f>
        <v/>
      </c>
      <c r="BC102" s="1097" t="str">
        <f>IFERROR(AH102/M02S02F35/AK102,"")</f>
        <v/>
      </c>
      <c r="BD102" s="1190" t="str">
        <f>IF(OR(C102="",F102="",L102="",P102="",R102="",T102="",X102="",Z102="",AB102="",AD102="",AF102=""),"",IF(ISNUMBER(AN102),INDEX(PROGRAMECAT[Measure Number],MATCH(F102,PROGRAMECAT[Category 1],0)),IF(AK102=0,"","000001")))</f>
        <v/>
      </c>
      <c r="BE102" s="1097" t="str">
        <f>IFERROR(IF((P102*R102)-(X102*Z102)&lt;=0,MEASURESAV,IF(M02S02F35="",MEASURERATE,IF(OR(F102="Others (Incremental)",F102="Others"),MEASURESUBMIT, IF(BC102&lt;1,MEASUREPAY,IF(AV102&lt;1,MEASURECB,""))))),MEASURESUBMIT)</f>
        <v>Submit for Review</v>
      </c>
      <c r="BH102" s="995" t="str">
        <f ca="1">IF(OR(C102="",F102="",F102="",L102="",P102="",R102="",T102="",X102="",Z102="",AB102="",AD102="",AF102=""),"",IF('M01-S01'!$V$82&lt;TODAY(),0,IF(M02S02F46="Gas Only",0,IF(OR(AK102="",AK102&lt;0,AH102&lt;=AN102),0,MIN(AH102-AN102,ROUND(IF(OR(ISNUMBER(SEARCH("Compressed Air",F102)),ISNUMBER(SEARCH("T8",F102)),ISNUMBER(SEARCH("T5",F102)),ISNUMBER(SEARCH("MH",F102)),ISNUMBER(SEARCH("HPS",F102)),ISNUMBER(SEARCH("MV",F102))),AN102*0.2),2))))))</f>
        <v/>
      </c>
    </row>
    <row r="103" spans="2:60" ht="15.95" hidden="1" customHeight="1">
      <c r="B103" s="923"/>
      <c r="C103" s="1088"/>
      <c r="D103" s="1088"/>
      <c r="E103" s="1088"/>
      <c r="F103" s="1088"/>
      <c r="G103" s="1088"/>
      <c r="H103" s="1088"/>
      <c r="I103" s="1088"/>
      <c r="J103" s="1088"/>
      <c r="K103" s="1088"/>
      <c r="L103" s="835"/>
      <c r="M103" s="836"/>
      <c r="N103" s="836"/>
      <c r="O103" s="837"/>
      <c r="P103" s="848"/>
      <c r="Q103" s="849"/>
      <c r="R103" s="1110"/>
      <c r="S103" s="1198"/>
      <c r="T103" s="843"/>
      <c r="U103" s="836"/>
      <c r="V103" s="836"/>
      <c r="W103" s="837"/>
      <c r="X103" s="1078"/>
      <c r="Y103" s="1078"/>
      <c r="Z103" s="1179"/>
      <c r="AA103" s="1179"/>
      <c r="AB103" s="1166"/>
      <c r="AC103" s="1166"/>
      <c r="AD103" s="870"/>
      <c r="AE103" s="1092"/>
      <c r="AF103" s="1195"/>
      <c r="AG103" s="1196"/>
      <c r="AH103" s="1130"/>
      <c r="AI103" s="1131"/>
      <c r="AJ103" s="1131"/>
      <c r="AK103" s="1143"/>
      <c r="AL103" s="1143"/>
      <c r="AM103" s="1143"/>
      <c r="AN103" s="1133"/>
      <c r="AO103" s="1133"/>
      <c r="AP103" s="1133"/>
      <c r="AQ103" s="1133"/>
      <c r="AR103" s="59"/>
      <c r="AU103" s="1102"/>
      <c r="AV103" s="1102"/>
      <c r="AW103" s="1186"/>
      <c r="AX103" s="1069"/>
      <c r="AY103" s="1098"/>
      <c r="AZ103" s="1098"/>
      <c r="BA103" s="1098"/>
      <c r="BB103" s="1098"/>
      <c r="BC103" s="1098"/>
      <c r="BD103" s="1184"/>
      <c r="BE103" s="1098"/>
      <c r="BH103" s="996"/>
    </row>
    <row r="104" spans="2:60" ht="15.95" hidden="1" customHeight="1">
      <c r="B104" s="923">
        <v>45</v>
      </c>
      <c r="C104" s="1087"/>
      <c r="D104" s="1087"/>
      <c r="E104" s="1087"/>
      <c r="F104" s="1087"/>
      <c r="G104" s="1087"/>
      <c r="H104" s="1087"/>
      <c r="I104" s="1087"/>
      <c r="J104" s="1087"/>
      <c r="K104" s="1087"/>
      <c r="L104" s="866"/>
      <c r="M104" s="867"/>
      <c r="N104" s="867"/>
      <c r="O104" s="868"/>
      <c r="P104" s="846"/>
      <c r="Q104" s="847"/>
      <c r="R104" s="1108"/>
      <c r="S104" s="1197"/>
      <c r="T104" s="1177"/>
      <c r="U104" s="867"/>
      <c r="V104" s="867"/>
      <c r="W104" s="868"/>
      <c r="X104" s="1077"/>
      <c r="Y104" s="1077"/>
      <c r="Z104" s="1178"/>
      <c r="AA104" s="1178"/>
      <c r="AB104" s="1165" t="str">
        <f t="shared" ref="AB104" si="270">IF(C104="New Construction","Incremental","")</f>
        <v/>
      </c>
      <c r="AC104" s="1165"/>
      <c r="AD104" s="869"/>
      <c r="AE104" s="1091"/>
      <c r="AF104" s="1193" t="str">
        <f t="shared" ref="AF104" si="271">IF(AB104="Incremental",0,"")</f>
        <v/>
      </c>
      <c r="AG104" s="1194"/>
      <c r="AH104" s="865" t="str">
        <f t="shared" ref="AH104" si="272">IF(OR(C104="",F104="",L104="",P104="",R104="",T104="",X104="",Z104="",AD104="",AF104=""),"",ROUND(AD104+AF104,2))</f>
        <v/>
      </c>
      <c r="AI104" s="1096"/>
      <c r="AJ104" s="1096"/>
      <c r="AK104" s="1105" t="str">
        <f t="shared" ref="AK104" si="273">IF(OR(C104="",F104="",F104="",L104="",P104="",R104="",T104="",X104="",Z104="",AB104="",AD104="",AF104=""),"",IF((P104*R104)-(X104*Z104)&lt;=0,0,ROUND((P104*R104)-(X104*Z104),2)))</f>
        <v/>
      </c>
      <c r="AL104" s="1105"/>
      <c r="AM104" s="1105"/>
      <c r="AN104" s="1132" t="str">
        <f t="shared" ref="AN104" si="274">IF(OR(C104="",F104="",F104="",L104="",P104="",R104="",T104="",X104="",Z104="",AB104="",AD104="",AF104=""),"",IF(BE104&lt;&gt;"",BE104,IF(C104="Custom",AY104,IF(C104="New Construction",AZ104,IF(C104="RCx",BA104)))))</f>
        <v/>
      </c>
      <c r="AO104" s="1132"/>
      <c r="AP104" s="1132"/>
      <c r="AQ104" s="1132"/>
      <c r="AR104" s="59"/>
      <c r="AU104" s="1103" t="str">
        <f>IF(F104="","",INDEX(CUSTNONLIGHTEUNIT,MATCH(F104,PROGRAMECAT[Category 1],0)))</f>
        <v/>
      </c>
      <c r="AV104" s="1103" t="str">
        <f>IF(OR(C104="",F104="",L104="",P104="",R104="",T104="",X104="",Z104="",AB104="",AD104="",AF104=""),"",((1+ELOSS)*((AK104*INDEX(ELECCB[NPV AEC $/kWh],MATCH(BB104,ELECCB[Year Number],1)))+(AX104*INDEX(ELECCB[NPV ACC+T&amp;D $/kW],MATCH(BB104,ELECCB[Year Number],1)))))/AH104)</f>
        <v/>
      </c>
      <c r="AW104" s="1185"/>
      <c r="AX104" s="1187" t="str">
        <f>IF(OR(C104="",F104="",L104="",P104="",R104="",T104="",X104="",Z104="",AB104="",AD104="",AF104=""),"",ROUND(AW104*(INDEX(PROGRAMECAT[Lighting Coincidence Factor],MATCH(F104,PROGRAMECAT[Category 1],0))),3))</f>
        <v/>
      </c>
      <c r="AY104" s="1180" t="str">
        <f>IF(OR(C104="",F104="",F104="",L104="",P104="",R104="",T104="",X104="",Z104="",AB104="",AD104="",AF104=""),"",IF(AB104="Total",ROUND(MIN(AH104*0.75,AK104*INDEX(INCRATE[Electric],MATCH("CMNONLIGHT",INCRATE[Incentive Type]))),2),IF(AB104="Incremental",ROUND(MIN(AH104,AK104*INDEX(INCRATE[Electric],MATCH("CMNONLIGHT",INCRATE[Incentive Type]))),2))))</f>
        <v/>
      </c>
      <c r="AZ104" s="1180" t="str">
        <f>IF(OR(C104="",F104="",F104="",L104="",P104="",R104="",T104="",X104="",Z104="",AB104="",AD104="",AF104=""),"",IF(AB104="Total",ROUND(MIN(AH104*0.75,AK104*INDEX(INCRATE[Electric],MATCH("NCNONLIGHT",INCRATE[Incentive Type]))),2),IF(AB104="Incremental",ROUND(MIN(AH104,AK104*INDEX(INCRATE[Electric],MATCH("NCNONLIGHT",INCRATE[Incentive Type]))),2))))</f>
        <v/>
      </c>
      <c r="BA104" s="1180" t="str">
        <f>IF(OR(C104="",F104="",F104="",L104="",P104="",R104="",T104="",X104="",Z104="",AB104="",AD104="",AF104=""),"",IF(AB104="Total",ROUND(MIN(AH104*0.75,AK104*INDEX(INCRATE[Electric],MATCH("RCX",INCRATE[Incentive Type]))),2),IF(AB104="Incremental",ROUND(MIN(AH104,AK104*INDEX(INCRATE[Electric],MATCH("RCX",INCRATE[Incentive Type]))),2))))</f>
        <v/>
      </c>
      <c r="BB104" s="1097" t="str">
        <f>IF(F104="","",INDEX(PROGRAMECAT[EUL],MATCH(F104,PROGRAMECAT[Category 1],0)))</f>
        <v/>
      </c>
      <c r="BC104" s="1097" t="str">
        <f>IFERROR(AH104/M02S02F35/AK104,"")</f>
        <v/>
      </c>
      <c r="BD104" s="1190" t="str">
        <f>IF(OR(C104="",F104="",L104="",P104="",R104="",T104="",X104="",Z104="",AB104="",AD104="",AF104=""),"",IF(ISNUMBER(AN104),INDEX(PROGRAMECAT[Measure Number],MATCH(F104,PROGRAMECAT[Category 1],0)),IF(AK104=0,"","000001")))</f>
        <v/>
      </c>
      <c r="BE104" s="1097" t="str">
        <f>IFERROR(IF((P104*R104)-(X104*Z104)&lt;=0,MEASURESAV,IF(M02S02F35="",MEASURERATE,IF(OR(F104="Others (Incremental)",F104="Others"),MEASURESUBMIT, IF(BC104&lt;1,MEASUREPAY,IF(AV104&lt;1,MEASURECB,""))))),MEASURESUBMIT)</f>
        <v>Submit for Review</v>
      </c>
      <c r="BH104" s="995" t="str">
        <f ca="1">IF(OR(C104="",F104="",F104="",L104="",P104="",R104="",T104="",X104="",Z104="",AB104="",AD104="",AF104=""),"",IF('M01-S01'!$V$82&lt;TODAY(),0,IF(M02S02F46="Gas Only",0,IF(OR(AK104="",AK104&lt;0,AH104&lt;=AN104),0,MIN(AH104-AN104,ROUND(IF(OR(ISNUMBER(SEARCH("Compressed Air",F104)),ISNUMBER(SEARCH("T8",F104)),ISNUMBER(SEARCH("T5",F104)),ISNUMBER(SEARCH("MH",F104)),ISNUMBER(SEARCH("HPS",F104)),ISNUMBER(SEARCH("MV",F104))),AN104*0.2),2))))))</f>
        <v/>
      </c>
    </row>
    <row r="105" spans="2:60" ht="15.95" hidden="1" customHeight="1">
      <c r="B105" s="923"/>
      <c r="C105" s="1088"/>
      <c r="D105" s="1088"/>
      <c r="E105" s="1088"/>
      <c r="F105" s="1088"/>
      <c r="G105" s="1088"/>
      <c r="H105" s="1088"/>
      <c r="I105" s="1088"/>
      <c r="J105" s="1088"/>
      <c r="K105" s="1088"/>
      <c r="L105" s="835"/>
      <c r="M105" s="836"/>
      <c r="N105" s="836"/>
      <c r="O105" s="837"/>
      <c r="P105" s="848"/>
      <c r="Q105" s="849"/>
      <c r="R105" s="1110"/>
      <c r="S105" s="1198"/>
      <c r="T105" s="843"/>
      <c r="U105" s="836"/>
      <c r="V105" s="836"/>
      <c r="W105" s="837"/>
      <c r="X105" s="1078"/>
      <c r="Y105" s="1078"/>
      <c r="Z105" s="1179"/>
      <c r="AA105" s="1179"/>
      <c r="AB105" s="1166"/>
      <c r="AC105" s="1166"/>
      <c r="AD105" s="870"/>
      <c r="AE105" s="1092"/>
      <c r="AF105" s="1195"/>
      <c r="AG105" s="1196"/>
      <c r="AH105" s="1130"/>
      <c r="AI105" s="1131"/>
      <c r="AJ105" s="1131"/>
      <c r="AK105" s="1143"/>
      <c r="AL105" s="1143"/>
      <c r="AM105" s="1143"/>
      <c r="AN105" s="1133"/>
      <c r="AO105" s="1133"/>
      <c r="AP105" s="1133"/>
      <c r="AQ105" s="1133"/>
      <c r="AR105" s="59"/>
      <c r="AU105" s="1102"/>
      <c r="AV105" s="1102"/>
      <c r="AW105" s="1186"/>
      <c r="AX105" s="1069"/>
      <c r="AY105" s="1098"/>
      <c r="AZ105" s="1098"/>
      <c r="BA105" s="1098"/>
      <c r="BB105" s="1098"/>
      <c r="BC105" s="1098"/>
      <c r="BD105" s="1184"/>
      <c r="BE105" s="1098"/>
      <c r="BH105" s="996"/>
    </row>
    <row r="106" spans="2:60" ht="15.95" hidden="1" customHeight="1">
      <c r="B106" s="923">
        <v>46</v>
      </c>
      <c r="C106" s="1087"/>
      <c r="D106" s="1087"/>
      <c r="E106" s="1087"/>
      <c r="F106" s="1087"/>
      <c r="G106" s="1087"/>
      <c r="H106" s="1087"/>
      <c r="I106" s="1087"/>
      <c r="J106" s="1087"/>
      <c r="K106" s="1087"/>
      <c r="L106" s="866"/>
      <c r="M106" s="867"/>
      <c r="N106" s="867"/>
      <c r="O106" s="868"/>
      <c r="P106" s="846"/>
      <c r="Q106" s="847"/>
      <c r="R106" s="1108"/>
      <c r="S106" s="1197"/>
      <c r="T106" s="1177"/>
      <c r="U106" s="867"/>
      <c r="V106" s="867"/>
      <c r="W106" s="868"/>
      <c r="X106" s="1077"/>
      <c r="Y106" s="1077"/>
      <c r="Z106" s="1178"/>
      <c r="AA106" s="1178"/>
      <c r="AB106" s="1165" t="str">
        <f t="shared" ref="AB106" si="275">IF(C106="New Construction","Incremental","")</f>
        <v/>
      </c>
      <c r="AC106" s="1165"/>
      <c r="AD106" s="869"/>
      <c r="AE106" s="1091"/>
      <c r="AF106" s="1193" t="str">
        <f t="shared" ref="AF106" si="276">IF(AB106="Incremental",0,"")</f>
        <v/>
      </c>
      <c r="AG106" s="1194"/>
      <c r="AH106" s="865" t="str">
        <f t="shared" ref="AH106" si="277">IF(OR(C106="",F106="",L106="",P106="",R106="",T106="",X106="",Z106="",AD106="",AF106=""),"",ROUND(AD106+AF106,2))</f>
        <v/>
      </c>
      <c r="AI106" s="1096"/>
      <c r="AJ106" s="1096"/>
      <c r="AK106" s="1105" t="str">
        <f t="shared" ref="AK106" si="278">IF(OR(C106="",F106="",F106="",L106="",P106="",R106="",T106="",X106="",Z106="",AB106="",AD106="",AF106=""),"",IF((P106*R106)-(X106*Z106)&lt;=0,0,ROUND((P106*R106)-(X106*Z106),2)))</f>
        <v/>
      </c>
      <c r="AL106" s="1105"/>
      <c r="AM106" s="1105"/>
      <c r="AN106" s="1132" t="str">
        <f t="shared" ref="AN106" si="279">IF(OR(C106="",F106="",F106="",L106="",P106="",R106="",T106="",X106="",Z106="",AB106="",AD106="",AF106=""),"",IF(BE106&lt;&gt;"",BE106,IF(C106="Custom",AY106,IF(C106="New Construction",AZ106,IF(C106="RCx",BA106)))))</f>
        <v/>
      </c>
      <c r="AO106" s="1132"/>
      <c r="AP106" s="1132"/>
      <c r="AQ106" s="1132"/>
      <c r="AR106" s="59"/>
      <c r="AU106" s="1103" t="str">
        <f>IF(F106="","",INDEX(CUSTNONLIGHTEUNIT,MATCH(F106,PROGRAMECAT[Category 1],0)))</f>
        <v/>
      </c>
      <c r="AV106" s="1103" t="str">
        <f>IF(OR(C106="",F106="",L106="",P106="",R106="",T106="",X106="",Z106="",AB106="",AD106="",AF106=""),"",((1+ELOSS)*((AK106*INDEX(ELECCB[NPV AEC $/kWh],MATCH(BB106,ELECCB[Year Number],1)))+(AX106*INDEX(ELECCB[NPV ACC+T&amp;D $/kW],MATCH(BB106,ELECCB[Year Number],1)))))/AH106)</f>
        <v/>
      </c>
      <c r="AW106" s="1185"/>
      <c r="AX106" s="1187" t="str">
        <f>IF(OR(C106="",F106="",L106="",P106="",R106="",T106="",X106="",Z106="",AB106="",AD106="",AF106=""),"",ROUND(AW106*(INDEX(PROGRAMECAT[Lighting Coincidence Factor],MATCH(F106,PROGRAMECAT[Category 1],0))),3))</f>
        <v/>
      </c>
      <c r="AY106" s="1180" t="str">
        <f>IF(OR(C106="",F106="",F106="",L106="",P106="",R106="",T106="",X106="",Z106="",AB106="",AD106="",AF106=""),"",IF(AB106="Total",ROUND(MIN(AH106*0.75,AK106*INDEX(INCRATE[Electric],MATCH("CMNONLIGHT",INCRATE[Incentive Type]))),2),IF(AB106="Incremental",ROUND(MIN(AH106,AK106*INDEX(INCRATE[Electric],MATCH("CMNONLIGHT",INCRATE[Incentive Type]))),2))))</f>
        <v/>
      </c>
      <c r="AZ106" s="1180" t="str">
        <f>IF(OR(C106="",F106="",F106="",L106="",P106="",R106="",T106="",X106="",Z106="",AB106="",AD106="",AF106=""),"",IF(AB106="Total",ROUND(MIN(AH106*0.75,AK106*INDEX(INCRATE[Electric],MATCH("NCNONLIGHT",INCRATE[Incentive Type]))),2),IF(AB106="Incremental",ROUND(MIN(AH106,AK106*INDEX(INCRATE[Electric],MATCH("NCNONLIGHT",INCRATE[Incentive Type]))),2))))</f>
        <v/>
      </c>
      <c r="BA106" s="1180" t="str">
        <f>IF(OR(C106="",F106="",F106="",L106="",P106="",R106="",T106="",X106="",Z106="",AB106="",AD106="",AF106=""),"",IF(AB106="Total",ROUND(MIN(AH106*0.75,AK106*INDEX(INCRATE[Electric],MATCH("RCX",INCRATE[Incentive Type]))),2),IF(AB106="Incremental",ROUND(MIN(AH106,AK106*INDEX(INCRATE[Electric],MATCH("RCX",INCRATE[Incentive Type]))),2))))</f>
        <v/>
      </c>
      <c r="BB106" s="1097" t="str">
        <f>IF(F106="","",INDEX(PROGRAMECAT[EUL],MATCH(F106,PROGRAMECAT[Category 1],0)))</f>
        <v/>
      </c>
      <c r="BC106" s="1097" t="str">
        <f>IFERROR(AH106/M02S02F35/AK106,"")</f>
        <v/>
      </c>
      <c r="BD106" s="1190" t="str">
        <f>IF(OR(C106="",F106="",L106="",P106="",R106="",T106="",X106="",Z106="",AB106="",AD106="",AF106=""),"",IF(ISNUMBER(AN106),INDEX(PROGRAMECAT[Measure Number],MATCH(F106,PROGRAMECAT[Category 1],0)),IF(AK106=0,"","000001")))</f>
        <v/>
      </c>
      <c r="BE106" s="1097" t="str">
        <f>IFERROR(IF((P106*R106)-(X106*Z106)&lt;=0,MEASURESAV,IF(M02S02F35="",MEASURERATE,IF(OR(F106="Others (Incremental)",F106="Others"),MEASURESUBMIT, IF(BC106&lt;1,MEASUREPAY,IF(AV106&lt;1,MEASURECB,""))))),MEASURESUBMIT)</f>
        <v>Submit for Review</v>
      </c>
      <c r="BH106" s="995" t="str">
        <f ca="1">IF(OR(C106="",F106="",F106="",L106="",P106="",R106="",T106="",X106="",Z106="",AB106="",AD106="",AF106=""),"",IF('M01-S01'!$V$82&lt;TODAY(),0,IF(M02S02F46="Gas Only",0,IF(OR(AK106="",AK106&lt;0,AH106&lt;=AN106),0,MIN(AH106-AN106,ROUND(IF(OR(ISNUMBER(SEARCH("Compressed Air",F106)),ISNUMBER(SEARCH("T8",F106)),ISNUMBER(SEARCH("T5",F106)),ISNUMBER(SEARCH("MH",F106)),ISNUMBER(SEARCH("HPS",F106)),ISNUMBER(SEARCH("MV",F106))),AN106*0.2),2))))))</f>
        <v/>
      </c>
    </row>
    <row r="107" spans="2:60" ht="15.95" hidden="1" customHeight="1">
      <c r="B107" s="923"/>
      <c r="C107" s="1088"/>
      <c r="D107" s="1088"/>
      <c r="E107" s="1088"/>
      <c r="F107" s="1088"/>
      <c r="G107" s="1088"/>
      <c r="H107" s="1088"/>
      <c r="I107" s="1088"/>
      <c r="J107" s="1088"/>
      <c r="K107" s="1088"/>
      <c r="L107" s="835"/>
      <c r="M107" s="836"/>
      <c r="N107" s="836"/>
      <c r="O107" s="837"/>
      <c r="P107" s="848"/>
      <c r="Q107" s="849"/>
      <c r="R107" s="1110"/>
      <c r="S107" s="1198"/>
      <c r="T107" s="843"/>
      <c r="U107" s="836"/>
      <c r="V107" s="836"/>
      <c r="W107" s="837"/>
      <c r="X107" s="1078"/>
      <c r="Y107" s="1078"/>
      <c r="Z107" s="1179"/>
      <c r="AA107" s="1179"/>
      <c r="AB107" s="1166"/>
      <c r="AC107" s="1166"/>
      <c r="AD107" s="870"/>
      <c r="AE107" s="1092"/>
      <c r="AF107" s="1195"/>
      <c r="AG107" s="1196"/>
      <c r="AH107" s="1130"/>
      <c r="AI107" s="1131"/>
      <c r="AJ107" s="1131"/>
      <c r="AK107" s="1143"/>
      <c r="AL107" s="1143"/>
      <c r="AM107" s="1143"/>
      <c r="AN107" s="1133"/>
      <c r="AO107" s="1133"/>
      <c r="AP107" s="1133"/>
      <c r="AQ107" s="1133"/>
      <c r="AR107" s="59"/>
      <c r="AU107" s="1102"/>
      <c r="AV107" s="1102"/>
      <c r="AW107" s="1186"/>
      <c r="AX107" s="1069"/>
      <c r="AY107" s="1098"/>
      <c r="AZ107" s="1098"/>
      <c r="BA107" s="1098"/>
      <c r="BB107" s="1098"/>
      <c r="BC107" s="1098"/>
      <c r="BD107" s="1184"/>
      <c r="BE107" s="1098"/>
      <c r="BH107" s="996"/>
    </row>
    <row r="108" spans="2:60" ht="15.95" hidden="1" customHeight="1">
      <c r="B108" s="923">
        <v>47</v>
      </c>
      <c r="C108" s="1087"/>
      <c r="D108" s="1087"/>
      <c r="E108" s="1087"/>
      <c r="F108" s="1087"/>
      <c r="G108" s="1087"/>
      <c r="H108" s="1087"/>
      <c r="I108" s="1087"/>
      <c r="J108" s="1087"/>
      <c r="K108" s="1087"/>
      <c r="L108" s="866"/>
      <c r="M108" s="867"/>
      <c r="N108" s="867"/>
      <c r="O108" s="868"/>
      <c r="P108" s="846"/>
      <c r="Q108" s="847"/>
      <c r="R108" s="1108"/>
      <c r="S108" s="1197"/>
      <c r="T108" s="1177"/>
      <c r="U108" s="867"/>
      <c r="V108" s="867"/>
      <c r="W108" s="868"/>
      <c r="X108" s="1077"/>
      <c r="Y108" s="1077"/>
      <c r="Z108" s="1178"/>
      <c r="AA108" s="1178"/>
      <c r="AB108" s="1165" t="str">
        <f t="shared" ref="AB108" si="280">IF(C108="New Construction","Incremental","")</f>
        <v/>
      </c>
      <c r="AC108" s="1165"/>
      <c r="AD108" s="869"/>
      <c r="AE108" s="1091"/>
      <c r="AF108" s="1193" t="str">
        <f t="shared" ref="AF108" si="281">IF(AB108="Incremental",0,"")</f>
        <v/>
      </c>
      <c r="AG108" s="1194"/>
      <c r="AH108" s="865" t="str">
        <f t="shared" ref="AH108" si="282">IF(OR(C108="",F108="",L108="",P108="",R108="",T108="",X108="",Z108="",AD108="",AF108=""),"",ROUND(AD108+AF108,2))</f>
        <v/>
      </c>
      <c r="AI108" s="1096"/>
      <c r="AJ108" s="1096"/>
      <c r="AK108" s="1105" t="str">
        <f t="shared" ref="AK108" si="283">IF(OR(C108="",F108="",F108="",L108="",P108="",R108="",T108="",X108="",Z108="",AB108="",AD108="",AF108=""),"",IF((P108*R108)-(X108*Z108)&lt;=0,0,ROUND((P108*R108)-(X108*Z108),2)))</f>
        <v/>
      </c>
      <c r="AL108" s="1105"/>
      <c r="AM108" s="1105"/>
      <c r="AN108" s="1132" t="str">
        <f t="shared" ref="AN108" si="284">IF(OR(C108="",F108="",F108="",L108="",P108="",R108="",T108="",X108="",Z108="",AB108="",AD108="",AF108=""),"",IF(BE108&lt;&gt;"",BE108,IF(C108="Custom",AY108,IF(C108="New Construction",AZ108,IF(C108="RCx",BA108)))))</f>
        <v/>
      </c>
      <c r="AO108" s="1132"/>
      <c r="AP108" s="1132"/>
      <c r="AQ108" s="1132"/>
      <c r="AR108" s="59"/>
      <c r="AU108" s="1103" t="str">
        <f>IF(F108="","",INDEX(CUSTNONLIGHTEUNIT,MATCH(F108,PROGRAMECAT[Category 1],0)))</f>
        <v/>
      </c>
      <c r="AV108" s="1103" t="str">
        <f>IF(OR(C108="",F108="",L108="",P108="",R108="",T108="",X108="",Z108="",AB108="",AD108="",AF108=""),"",((1+ELOSS)*((AK108*INDEX(ELECCB[NPV AEC $/kWh],MATCH(BB108,ELECCB[Year Number],1)))+(AX108*INDEX(ELECCB[NPV ACC+T&amp;D $/kW],MATCH(BB108,ELECCB[Year Number],1)))))/AH108)</f>
        <v/>
      </c>
      <c r="AW108" s="1185"/>
      <c r="AX108" s="1187" t="str">
        <f>IF(OR(C108="",F108="",L108="",P108="",R108="",T108="",X108="",Z108="",AB108="",AD108="",AF108=""),"",ROUND(AW108*(INDEX(PROGRAMECAT[Lighting Coincidence Factor],MATCH(F108,PROGRAMECAT[Category 1],0))),3))</f>
        <v/>
      </c>
      <c r="AY108" s="1180" t="str">
        <f>IF(OR(C108="",F108="",F108="",L108="",P108="",R108="",T108="",X108="",Z108="",AB108="",AD108="",AF108=""),"",IF(AB108="Total",ROUND(MIN(AH108*0.75,AK108*INDEX(INCRATE[Electric],MATCH("CMNONLIGHT",INCRATE[Incentive Type]))),2),IF(AB108="Incremental",ROUND(MIN(AH108,AK108*INDEX(INCRATE[Electric],MATCH("CMNONLIGHT",INCRATE[Incentive Type]))),2))))</f>
        <v/>
      </c>
      <c r="AZ108" s="1180" t="str">
        <f>IF(OR(C108="",F108="",F108="",L108="",P108="",R108="",T108="",X108="",Z108="",AB108="",AD108="",AF108=""),"",IF(AB108="Total",ROUND(MIN(AH108*0.75,AK108*INDEX(INCRATE[Electric],MATCH("NCNONLIGHT",INCRATE[Incentive Type]))),2),IF(AB108="Incremental",ROUND(MIN(AH108,AK108*INDEX(INCRATE[Electric],MATCH("NCNONLIGHT",INCRATE[Incentive Type]))),2))))</f>
        <v/>
      </c>
      <c r="BA108" s="1180" t="str">
        <f>IF(OR(C108="",F108="",F108="",L108="",P108="",R108="",T108="",X108="",Z108="",AB108="",AD108="",AF108=""),"",IF(AB108="Total",ROUND(MIN(AH108*0.75,AK108*INDEX(INCRATE[Electric],MATCH("RCX",INCRATE[Incentive Type]))),2),IF(AB108="Incremental",ROUND(MIN(AH108,AK108*INDEX(INCRATE[Electric],MATCH("RCX",INCRATE[Incentive Type]))),2))))</f>
        <v/>
      </c>
      <c r="BB108" s="1097" t="str">
        <f>IF(F108="","",INDEX(PROGRAMECAT[EUL],MATCH(F108,PROGRAMECAT[Category 1],0)))</f>
        <v/>
      </c>
      <c r="BC108" s="1097" t="str">
        <f>IFERROR(AH108/M02S02F35/AK108,"")</f>
        <v/>
      </c>
      <c r="BD108" s="1190" t="str">
        <f>IF(OR(C108="",F108="",L108="",P108="",R108="",T108="",X108="",Z108="",AB108="",AD108="",AF108=""),"",IF(ISNUMBER(AN108),INDEX(PROGRAMECAT[Measure Number],MATCH(F108,PROGRAMECAT[Category 1],0)),IF(AK108=0,"","000001")))</f>
        <v/>
      </c>
      <c r="BE108" s="1097" t="str">
        <f>IFERROR(IF((P108*R108)-(X108*Z108)&lt;=0,MEASURESAV,IF(M02S02F35="",MEASURERATE,IF(OR(F108="Others (Incremental)",F108="Others"),MEASURESUBMIT, IF(BC108&lt;1,MEASUREPAY,IF(AV108&lt;1,MEASURECB,""))))),MEASURESUBMIT)</f>
        <v>Submit for Review</v>
      </c>
      <c r="BH108" s="995" t="str">
        <f ca="1">IF(OR(C108="",F108="",F108="",L108="",P108="",R108="",T108="",X108="",Z108="",AB108="",AD108="",AF108=""),"",IF('M01-S01'!$V$82&lt;TODAY(),0,IF(M02S02F46="Gas Only",0,IF(OR(AK108="",AK108&lt;0,AH108&lt;=AN108),0,MIN(AH108-AN108,ROUND(IF(OR(ISNUMBER(SEARCH("Compressed Air",F108)),ISNUMBER(SEARCH("T8",F108)),ISNUMBER(SEARCH("T5",F108)),ISNUMBER(SEARCH("MH",F108)),ISNUMBER(SEARCH("HPS",F108)),ISNUMBER(SEARCH("MV",F108))),AN108*0.2),2))))))</f>
        <v/>
      </c>
    </row>
    <row r="109" spans="2:60" ht="15.95" hidden="1" customHeight="1">
      <c r="B109" s="923"/>
      <c r="C109" s="1088"/>
      <c r="D109" s="1088"/>
      <c r="E109" s="1088"/>
      <c r="F109" s="1088"/>
      <c r="G109" s="1088"/>
      <c r="H109" s="1088"/>
      <c r="I109" s="1088"/>
      <c r="J109" s="1088"/>
      <c r="K109" s="1088"/>
      <c r="L109" s="835"/>
      <c r="M109" s="836"/>
      <c r="N109" s="836"/>
      <c r="O109" s="837"/>
      <c r="P109" s="848"/>
      <c r="Q109" s="849"/>
      <c r="R109" s="1110"/>
      <c r="S109" s="1198"/>
      <c r="T109" s="843"/>
      <c r="U109" s="836"/>
      <c r="V109" s="836"/>
      <c r="W109" s="837"/>
      <c r="X109" s="1078"/>
      <c r="Y109" s="1078"/>
      <c r="Z109" s="1179"/>
      <c r="AA109" s="1179"/>
      <c r="AB109" s="1166"/>
      <c r="AC109" s="1166"/>
      <c r="AD109" s="870"/>
      <c r="AE109" s="1092"/>
      <c r="AF109" s="1195"/>
      <c r="AG109" s="1196"/>
      <c r="AH109" s="1130"/>
      <c r="AI109" s="1131"/>
      <c r="AJ109" s="1131"/>
      <c r="AK109" s="1143"/>
      <c r="AL109" s="1143"/>
      <c r="AM109" s="1143"/>
      <c r="AN109" s="1133"/>
      <c r="AO109" s="1133"/>
      <c r="AP109" s="1133"/>
      <c r="AQ109" s="1133"/>
      <c r="AR109" s="59"/>
      <c r="AU109" s="1102"/>
      <c r="AV109" s="1102"/>
      <c r="AW109" s="1186"/>
      <c r="AX109" s="1069"/>
      <c r="AY109" s="1098"/>
      <c r="AZ109" s="1098"/>
      <c r="BA109" s="1098"/>
      <c r="BB109" s="1098"/>
      <c r="BC109" s="1098"/>
      <c r="BD109" s="1184"/>
      <c r="BE109" s="1098"/>
      <c r="BH109" s="996"/>
    </row>
    <row r="110" spans="2:60" ht="15.95" hidden="1" customHeight="1">
      <c r="B110" s="923">
        <v>48</v>
      </c>
      <c r="C110" s="1087"/>
      <c r="D110" s="1087"/>
      <c r="E110" s="1087"/>
      <c r="F110" s="1087"/>
      <c r="G110" s="1087"/>
      <c r="H110" s="1087"/>
      <c r="I110" s="1087"/>
      <c r="J110" s="1087"/>
      <c r="K110" s="1087"/>
      <c r="L110" s="866"/>
      <c r="M110" s="867"/>
      <c r="N110" s="867"/>
      <c r="O110" s="868"/>
      <c r="P110" s="846"/>
      <c r="Q110" s="847"/>
      <c r="R110" s="1108"/>
      <c r="S110" s="1197"/>
      <c r="T110" s="1177"/>
      <c r="U110" s="867"/>
      <c r="V110" s="867"/>
      <c r="W110" s="868"/>
      <c r="X110" s="1077"/>
      <c r="Y110" s="1077"/>
      <c r="Z110" s="1178"/>
      <c r="AA110" s="1178"/>
      <c r="AB110" s="1165"/>
      <c r="AC110" s="1165"/>
      <c r="AD110" s="869"/>
      <c r="AE110" s="1091"/>
      <c r="AF110" s="1193"/>
      <c r="AG110" s="1194"/>
      <c r="AH110" s="865" t="str">
        <f t="shared" ref="AH110" si="285">IF(OR(C110="",F110="",L110="",P110="",R110="",T110="",X110="",Z110="",AD110="",AF110=""),"",ROUND(AD110+AF110,2))</f>
        <v/>
      </c>
      <c r="AI110" s="1096"/>
      <c r="AJ110" s="1096"/>
      <c r="AK110" s="1105" t="str">
        <f t="shared" ref="AK110" si="286">IF(OR(C110="",F110="",F110="",L110="",P110="",R110="",T110="",X110="",Z110="",AB110="",AD110="",AF110=""),"",IF((P110*R110)-(X110*Z110)&lt;=0,0,ROUND((P110*R110)-(X110*Z110),2)))</f>
        <v/>
      </c>
      <c r="AL110" s="1105"/>
      <c r="AM110" s="1105"/>
      <c r="AN110" s="1132" t="str">
        <f t="shared" ref="AN110" si="287">IF(OR(C110="",F110="",F110="",L110="",P110="",R110="",T110="",X110="",Z110="",AB110="",AD110="",AF110=""),"",IF(BE110&lt;&gt;"",BE110,IF(C110="Custom",AY110,IF(C110="New Construction",AZ110,IF(C110="RCx",BA110)))))</f>
        <v/>
      </c>
      <c r="AO110" s="1132"/>
      <c r="AP110" s="1132"/>
      <c r="AQ110" s="1132"/>
      <c r="AR110" s="59"/>
      <c r="AU110" s="1103" t="str">
        <f>IF(F110="","",INDEX(CUSTNONLIGHTEUNIT,MATCH(F110,PROGRAMECAT[Category 1],0)))</f>
        <v/>
      </c>
      <c r="AV110" s="1103" t="str">
        <f>IF(OR(C110="",F110="",L110="",P110="",R110="",T110="",X110="",Z110="",AB110="",AD110="",AF110=""),"",((1+ELOSS)*((AK110*INDEX(ELECCB[NPV AEC $/kWh],MATCH(BB110,ELECCB[Year Number],1)))+(AX110*INDEX(ELECCB[NPV ACC+T&amp;D $/kW],MATCH(BB110,ELECCB[Year Number],1)))))/AH110)</f>
        <v/>
      </c>
      <c r="AW110" s="1185"/>
      <c r="AX110" s="1187" t="str">
        <f>IF(OR(C110="",F110="",L110="",P110="",R110="",T110="",X110="",Z110="",AB110="",AD110="",AF110=""),"",ROUND(AW110*(INDEX(PROGRAMECAT[Lighting Coincidence Factor],MATCH(F110,PROGRAMECAT[Category 1],0))),3))</f>
        <v/>
      </c>
      <c r="AY110" s="1180" t="str">
        <f>IFERROR(IF(SUM(AK16:AM35)=0,"",SUMIF(C16:E35,"*Custom*",BH16:BH35)+SUMIF(C16:E35,"*RCx*",BH16:BH35)),"")</f>
        <v/>
      </c>
      <c r="AZ110" s="1180"/>
      <c r="BA110" s="1180"/>
      <c r="BB110" s="1097" t="str">
        <f>IF(F110="","",INDEX(PROGRAMECAT[EUL],MATCH(F110,PROGRAMECAT[Category 1],0)))</f>
        <v/>
      </c>
      <c r="BC110" s="1097" t="str">
        <f>IFERROR(AH110/M02S02F35/AK110,"")</f>
        <v/>
      </c>
      <c r="BD110" s="1190" t="str">
        <f>IF(OR(C110="",F110="",L110="",P110="",R110="",T110="",X110="",Z110="",AB110="",AD110="",AF110=""),"",IF(ISNUMBER(AN110),INDEX(PROGRAMECAT[Measure Number],MATCH(F110,PROGRAMECAT[Category 1],0)),IF(AK110=0,"","000001")))</f>
        <v/>
      </c>
      <c r="BE110" s="1097" t="str">
        <f>IFERROR(IF((P110*R110)-(X110*Z110)&lt;=0,MEASURESAV,IF(M02S02F35="",MEASURERATE,IF(OR(F110="Others (Incremental)",F110="Others"),MEASURESUBMIT, IF(BC110&lt;1,MEASUREPAY,IF(AV110&lt;1,MEASURECB,""))))),MEASURESUBMIT)</f>
        <v>Submit for Review</v>
      </c>
    </row>
    <row r="111" spans="2:60" ht="15.95" hidden="1" customHeight="1">
      <c r="B111" s="923"/>
      <c r="C111" s="1088"/>
      <c r="D111" s="1088"/>
      <c r="E111" s="1088"/>
      <c r="F111" s="1088"/>
      <c r="G111" s="1088"/>
      <c r="H111" s="1088"/>
      <c r="I111" s="1088"/>
      <c r="J111" s="1088"/>
      <c r="K111" s="1088"/>
      <c r="L111" s="835"/>
      <c r="M111" s="836"/>
      <c r="N111" s="836"/>
      <c r="O111" s="837"/>
      <c r="P111" s="848"/>
      <c r="Q111" s="849"/>
      <c r="R111" s="1110"/>
      <c r="S111" s="1198"/>
      <c r="T111" s="843"/>
      <c r="U111" s="836"/>
      <c r="V111" s="836"/>
      <c r="W111" s="837"/>
      <c r="X111" s="1078"/>
      <c r="Y111" s="1078"/>
      <c r="Z111" s="1179"/>
      <c r="AA111" s="1179"/>
      <c r="AB111" s="1166"/>
      <c r="AC111" s="1166"/>
      <c r="AD111" s="870"/>
      <c r="AE111" s="1092"/>
      <c r="AF111" s="1195"/>
      <c r="AG111" s="1196"/>
      <c r="AH111" s="1130"/>
      <c r="AI111" s="1131"/>
      <c r="AJ111" s="1131"/>
      <c r="AK111" s="1143"/>
      <c r="AL111" s="1143"/>
      <c r="AM111" s="1143"/>
      <c r="AN111" s="1133"/>
      <c r="AO111" s="1133"/>
      <c r="AP111" s="1133"/>
      <c r="AQ111" s="1133"/>
      <c r="AR111" s="59"/>
      <c r="AU111" s="1102"/>
      <c r="AV111" s="1102"/>
      <c r="AW111" s="1186"/>
      <c r="AX111" s="1069"/>
      <c r="AY111" s="1098"/>
      <c r="AZ111" s="1098"/>
      <c r="BA111" s="1098"/>
      <c r="BB111" s="1098"/>
      <c r="BC111" s="1098"/>
      <c r="BD111" s="1184"/>
      <c r="BE111" s="1098"/>
    </row>
    <row r="112" spans="2:60" ht="15.95" hidden="1" customHeight="1">
      <c r="B112" s="923">
        <v>49</v>
      </c>
      <c r="C112" s="1087" t="str">
        <f>IF(AY110&lt;=0,"",IF(AY110="","",INDEX(PMEBONUS[],4,3)))</f>
        <v/>
      </c>
      <c r="D112" s="1087"/>
      <c r="E112" s="1087"/>
      <c r="F112" s="1087">
        <f>IF(C112="",0,C112)</f>
        <v>0</v>
      </c>
      <c r="G112" s="1087"/>
      <c r="H112" s="1087"/>
      <c r="I112" s="1087"/>
      <c r="J112" s="1087"/>
      <c r="K112" s="1087"/>
      <c r="L112" s="866">
        <f>IF(OR(T112="",T112=0),0,_xlfn.XLOOKUP(T112,PMEBONUS[Eff Desc 1],PMEBONUS[Base Desc 1]))</f>
        <v>0</v>
      </c>
      <c r="M112" s="867"/>
      <c r="N112" s="867"/>
      <c r="O112" s="868"/>
      <c r="P112" s="846" t="str">
        <f>IF(OR(F112="",F112=0),"",1)</f>
        <v/>
      </c>
      <c r="Q112" s="847"/>
      <c r="R112" s="1108"/>
      <c r="S112" s="1197"/>
      <c r="T112" s="1177">
        <f>IF(C112="",0,C112)</f>
        <v>0</v>
      </c>
      <c r="U112" s="867"/>
      <c r="V112" s="867"/>
      <c r="W112" s="868"/>
      <c r="X112" s="1077" t="str">
        <f>IF(OR(F112="",F112=0),"",1)</f>
        <v/>
      </c>
      <c r="Y112" s="1077"/>
      <c r="Z112" s="1178"/>
      <c r="AA112" s="1178"/>
      <c r="AB112" s="1165" t="str">
        <f t="shared" ref="AB112" si="288">IF(C112="New Construction","Incremental","")</f>
        <v/>
      </c>
      <c r="AC112" s="1165"/>
      <c r="AD112" s="869"/>
      <c r="AE112" s="1091"/>
      <c r="AF112" s="1193" t="str">
        <f t="shared" ref="AF112" si="289">IF(AB112="Incremental",0,"")</f>
        <v/>
      </c>
      <c r="AG112" s="1194"/>
      <c r="AH112" s="865" t="str">
        <f t="shared" ref="AH112" si="290">IF(OR(C112="",F112="",L112="",P112="",R112="",T112="",X112="",Z112="",AD112="",AF112=""),"",ROUND(AD112+AF112,2))</f>
        <v/>
      </c>
      <c r="AI112" s="1096"/>
      <c r="AJ112" s="1096"/>
      <c r="AK112" s="1105" t="str">
        <f t="shared" ref="AK112" si="291">IF(OR(C112="",F112="",F112="",L112="",P112="",R112="",T112="",X112="",Z112="",AB112="",AD112="",AF112=""),"",IF((P112*R112)-(X112*Z112)&lt;=0,0,ROUND((P112*R112)-(X112*Z112),2)))</f>
        <v/>
      </c>
      <c r="AL112" s="1105"/>
      <c r="AM112" s="1105"/>
      <c r="AN112" s="1132" t="str">
        <f>IF(AY112="","",AY112)</f>
        <v/>
      </c>
      <c r="AO112" s="1132"/>
      <c r="AP112" s="1132"/>
      <c r="AQ112" s="1132"/>
      <c r="AR112" s="59"/>
      <c r="AU112" s="1103"/>
      <c r="AV112" s="1103" t="str">
        <f>IF(OR(C112="",F112="",L112="",P112="",R112="",T112="",X112="",Z112="",AB112="",AD112="",AF112=""),"",((1+ELOSS)*((AK112*INDEX(ELECCB[NPV AEC $/kWh],MATCH(BB112,ELECCB[Year Number],1)))+(AX112*INDEX(ELECCB[NPV ACC+T&amp;D $/kW],MATCH(BB112,ELECCB[Year Number],1)))))/AH112)</f>
        <v/>
      </c>
      <c r="AW112" s="1185"/>
      <c r="AX112" s="1187" t="str">
        <f>IF(OR(C112="",F112="",L112="",P112="",R112="",T112="",X112="",Z112="",AB112="",AD112="",AF112=""),"",ROUND(AW112*(INDEX(PROGRAMECAT[Lighting Coincidence Factor],MATCH(F112,PROGRAMECAT[Category 1],0))),3))</f>
        <v/>
      </c>
      <c r="AY112" s="1180" t="str">
        <f>AY110</f>
        <v/>
      </c>
      <c r="AZ112" s="1180"/>
      <c r="BA112" s="1180"/>
      <c r="BB112" s="1097"/>
      <c r="BC112" s="1097"/>
      <c r="BD112" s="1199" t="str">
        <f>IF(C112="","",INDEX(PMEBONUS[Measure '#],MATCH(C112,PMEBONUS[Equipment Description],0)))</f>
        <v/>
      </c>
      <c r="BE112" s="1097" t="str">
        <f>IFERROR(IF((P112*R112)-(X112*Z112)&lt;=0,MEASURESAV,IF(M02S02F35="",MEASURERATE,IF(OR(F112="Others (Incremental)",F112="Others"),MEASURESUBMIT, IF(BC112&lt;1,MEASUREPAY,IF(AV112&lt;1,MEASURECB,""))))),MEASURESUBMIT)</f>
        <v>Submit for Review</v>
      </c>
      <c r="BF112" s="1180"/>
      <c r="BG112" s="1180"/>
      <c r="BH112" s="1180"/>
    </row>
    <row r="113" spans="2:60" ht="15.95" hidden="1" customHeight="1">
      <c r="B113" s="923"/>
      <c r="C113" s="1088"/>
      <c r="D113" s="1088"/>
      <c r="E113" s="1088"/>
      <c r="F113" s="1088"/>
      <c r="G113" s="1088"/>
      <c r="H113" s="1088"/>
      <c r="I113" s="1088"/>
      <c r="J113" s="1088"/>
      <c r="K113" s="1088"/>
      <c r="L113" s="835"/>
      <c r="M113" s="836"/>
      <c r="N113" s="836"/>
      <c r="O113" s="837"/>
      <c r="P113" s="848"/>
      <c r="Q113" s="849"/>
      <c r="R113" s="1110"/>
      <c r="S113" s="1198"/>
      <c r="T113" s="843"/>
      <c r="U113" s="836"/>
      <c r="V113" s="836"/>
      <c r="W113" s="837"/>
      <c r="X113" s="1078"/>
      <c r="Y113" s="1078"/>
      <c r="Z113" s="1179"/>
      <c r="AA113" s="1179"/>
      <c r="AB113" s="1166"/>
      <c r="AC113" s="1166"/>
      <c r="AD113" s="870"/>
      <c r="AE113" s="1092"/>
      <c r="AF113" s="1195"/>
      <c r="AG113" s="1196"/>
      <c r="AH113" s="1130"/>
      <c r="AI113" s="1131"/>
      <c r="AJ113" s="1131"/>
      <c r="AK113" s="1143"/>
      <c r="AL113" s="1143"/>
      <c r="AM113" s="1143"/>
      <c r="AN113" s="1133"/>
      <c r="AO113" s="1133"/>
      <c r="AP113" s="1133"/>
      <c r="AQ113" s="1133"/>
      <c r="AR113" s="59"/>
      <c r="AU113" s="1102"/>
      <c r="AV113" s="1102"/>
      <c r="AW113" s="1186"/>
      <c r="AX113" s="1069"/>
      <c r="AY113" s="1098"/>
      <c r="AZ113" s="1098"/>
      <c r="BA113" s="1098"/>
      <c r="BB113" s="1098"/>
      <c r="BC113" s="1098"/>
      <c r="BD113" s="1200"/>
      <c r="BE113" s="1098"/>
      <c r="BF113" s="1098"/>
      <c r="BG113" s="1098"/>
      <c r="BH113" s="1098"/>
    </row>
    <row r="114" spans="2:60" ht="15.95" hidden="1" customHeight="1">
      <c r="B114" s="923">
        <v>50</v>
      </c>
      <c r="C114" s="1087" t="str">
        <f>IF(AZ110&lt;=0,"",IF(AZ110="","",INDEX(PMEBONUS[],7,3)))</f>
        <v/>
      </c>
      <c r="D114" s="1087"/>
      <c r="E114" s="1087"/>
      <c r="F114" s="1087">
        <f>IF(C114="",0,C114)</f>
        <v>0</v>
      </c>
      <c r="G114" s="1087"/>
      <c r="H114" s="1087"/>
      <c r="I114" s="1087"/>
      <c r="J114" s="1087"/>
      <c r="K114" s="1087"/>
      <c r="L114" s="866">
        <f>IF(OR(T114="",T114=0),0,_xlfn.XLOOKUP(T114,PMEBONUS[Eff Desc 1],PMEBONUS[Base Desc 1]))</f>
        <v>0</v>
      </c>
      <c r="M114" s="867"/>
      <c r="N114" s="867"/>
      <c r="O114" s="868"/>
      <c r="P114" s="846" t="str">
        <f>IF(OR(F114="",F114=0),"",1)</f>
        <v/>
      </c>
      <c r="Q114" s="847"/>
      <c r="R114" s="1108"/>
      <c r="S114" s="1197"/>
      <c r="T114" s="1177">
        <f>IF(C114="",0,C114)</f>
        <v>0</v>
      </c>
      <c r="U114" s="867"/>
      <c r="V114" s="867"/>
      <c r="W114" s="868"/>
      <c r="X114" s="1077" t="str">
        <f>IF(OR(F114="",F114=0),"",1)</f>
        <v/>
      </c>
      <c r="Y114" s="1077"/>
      <c r="Z114" s="1178"/>
      <c r="AA114" s="1178"/>
      <c r="AB114" s="1165" t="str">
        <f t="shared" ref="AB114" si="292">IF(C114="New Construction","Incremental","")</f>
        <v/>
      </c>
      <c r="AC114" s="1165"/>
      <c r="AD114" s="869"/>
      <c r="AE114" s="1091"/>
      <c r="AF114" s="1193" t="str">
        <f t="shared" ref="AF114" si="293">IF(AB114="Incremental",0,"")</f>
        <v/>
      </c>
      <c r="AG114" s="1194"/>
      <c r="AH114" s="865" t="str">
        <f t="shared" ref="AH114" si="294">IF(OR(C114="",F114="",L114="",P114="",R114="",T114="",X114="",Z114="",AD114="",AF114=""),"",ROUND(AD114+AF114,2))</f>
        <v/>
      </c>
      <c r="AI114" s="1096"/>
      <c r="AJ114" s="1096"/>
      <c r="AK114" s="1105" t="str">
        <f t="shared" ref="AK114" si="295">IF(OR(C114="",F114="",F114="",L114="",P114="",R114="",T114="",X114="",Z114="",AB114="",AD114="",AF114=""),"",IF((P114*R114)-(X114*Z114)&lt;=0,0,ROUND((P114*R114)-(X114*Z114),2)))</f>
        <v/>
      </c>
      <c r="AL114" s="1105"/>
      <c r="AM114" s="1105"/>
      <c r="AN114" s="1132">
        <f>IF(AZ114="","",AZ114)</f>
        <v>0</v>
      </c>
      <c r="AO114" s="1132"/>
      <c r="AP114" s="1132"/>
      <c r="AQ114" s="1132"/>
      <c r="AR114" s="59"/>
      <c r="AU114" s="1103"/>
      <c r="AV114" s="1103" t="str">
        <f>IF(OR(C114="",F114="",L114="",P114="",R114="",T114="",X114="",Z114="",AB114="",AD114="",AF114=""),"",((1+ELOSS)*((AK114*INDEX(ELECCB[NPV AEC $/kWh],MATCH(BB114,ELECCB[Year Number],1)))+(AX114*INDEX(ELECCB[NPV ACC+T&amp;D $/kW],MATCH(BB114,ELECCB[Year Number],1)))))/AH114)</f>
        <v/>
      </c>
      <c r="AW114" s="1185"/>
      <c r="AX114" s="1187" t="str">
        <f>IF(OR(C114="",F114="",L114="",P114="",R114="",T114="",X114="",Z114="",AB114="",AD114="",AF114=""),"",ROUND(AW114*(INDEX(PROGRAMECAT[Lighting Coincidence Factor],MATCH(F114,PROGRAMECAT[Category 1],0))),3))</f>
        <v/>
      </c>
      <c r="AY114" s="1180" t="str">
        <f>IF(OR(C114="",F114="",F114="",L114="",P114="",R114="",T114="",X114="",Z114="",AB114="",AD114="",AF114=""),"",IF(AB114="Total",ROUND(MIN(AH114*0.75,AK114*INDEX(INCRATE[Electric],MATCH("CMNONLIGHT",INCRATE[Incentive Type]))),2),IF(AB114="Incremental",ROUND(MIN(AH114,AK114*INDEX(INCRATE[Electric],MATCH("CMNONLIGHT",INCRATE[Incentive Type]))),2))))</f>
        <v/>
      </c>
      <c r="AZ114" s="1180">
        <f>AZ110</f>
        <v>0</v>
      </c>
      <c r="BA114" s="1180"/>
      <c r="BB114" s="1097"/>
      <c r="BC114" s="1097"/>
      <c r="BD114" s="1199" t="str">
        <f>IF(C114="","",INDEX(PMEBONUS[Measure '#],MATCH(C114,PMEBONUS[Equipment Description],0)))</f>
        <v/>
      </c>
      <c r="BE114" s="1097" t="str">
        <f>IFERROR(IF((P114*R114)-(X114*Z114)&lt;=0,MEASURESAV,IF(M02S02F35="",MEASURERATE,IF(OR(F114="Others (Incremental)",F114="Others"),MEASURESUBMIT, IF(BC114&lt;1,MEASUREPAY,IF(AV114&lt;1,MEASURECB,""))))),MEASURESUBMIT)</f>
        <v>Submit for Review</v>
      </c>
      <c r="BF114" s="1180"/>
      <c r="BG114" s="1180"/>
      <c r="BH114" s="1180"/>
    </row>
    <row r="115" spans="2:60" ht="15.95" hidden="1" customHeight="1">
      <c r="B115" s="923"/>
      <c r="C115" s="1088"/>
      <c r="D115" s="1088"/>
      <c r="E115" s="1088"/>
      <c r="F115" s="1088"/>
      <c r="G115" s="1088"/>
      <c r="H115" s="1088"/>
      <c r="I115" s="1088"/>
      <c r="J115" s="1088"/>
      <c r="K115" s="1088"/>
      <c r="L115" s="835"/>
      <c r="M115" s="836"/>
      <c r="N115" s="836"/>
      <c r="O115" s="837"/>
      <c r="P115" s="848"/>
      <c r="Q115" s="849"/>
      <c r="R115" s="1110"/>
      <c r="S115" s="1198"/>
      <c r="T115" s="843"/>
      <c r="U115" s="836"/>
      <c r="V115" s="836"/>
      <c r="W115" s="837"/>
      <c r="X115" s="1078"/>
      <c r="Y115" s="1078"/>
      <c r="Z115" s="1179"/>
      <c r="AA115" s="1179"/>
      <c r="AB115" s="1166"/>
      <c r="AC115" s="1166"/>
      <c r="AD115" s="870"/>
      <c r="AE115" s="1092"/>
      <c r="AF115" s="1195"/>
      <c r="AG115" s="1196"/>
      <c r="AH115" s="1130"/>
      <c r="AI115" s="1131"/>
      <c r="AJ115" s="1131"/>
      <c r="AK115" s="1143"/>
      <c r="AL115" s="1143"/>
      <c r="AM115" s="1143"/>
      <c r="AN115" s="1133"/>
      <c r="AO115" s="1133"/>
      <c r="AP115" s="1133"/>
      <c r="AQ115" s="1133"/>
      <c r="AR115" s="59"/>
      <c r="AU115" s="1102"/>
      <c r="AV115" s="1102"/>
      <c r="AW115" s="1186"/>
      <c r="AX115" s="1069"/>
      <c r="AY115" s="1098"/>
      <c r="AZ115" s="1098"/>
      <c r="BA115" s="1098"/>
      <c r="BB115" s="1098"/>
      <c r="BC115" s="1098"/>
      <c r="BD115" s="1200"/>
      <c r="BE115" s="1098"/>
      <c r="BF115" s="1098"/>
      <c r="BG115" s="1098"/>
      <c r="BH115" s="1098"/>
    </row>
    <row r="116" spans="2:60" ht="15.95" hidden="1" customHeight="1">
      <c r="B116" s="923">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60" ht="15.95" hidden="1" customHeight="1">
      <c r="B117" s="923"/>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60" ht="15.95" hidden="1" customHeight="1">
      <c r="B118" s="923">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60" ht="15.95" hidden="1" customHeight="1">
      <c r="B119" s="923"/>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60" ht="15.95" hidden="1" customHeight="1">
      <c r="B120" s="923">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60" ht="15.95" hidden="1" customHeight="1">
      <c r="B121" s="923"/>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60" ht="15.95" hidden="1" customHeight="1">
      <c r="B122" s="923">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60" ht="15.95" hidden="1" customHeight="1">
      <c r="B123" s="923"/>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60" ht="15.95" hidden="1" customHeight="1">
      <c r="B124" s="923">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60" ht="15.95" hidden="1" customHeight="1">
      <c r="B125" s="923"/>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60" ht="15.95" hidden="1" customHeight="1">
      <c r="B126" s="923">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60" ht="15.95" hidden="1" customHeight="1">
      <c r="B127" s="923"/>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60" ht="15.95" hidden="1" customHeight="1">
      <c r="B128" s="923">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23"/>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23">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23"/>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23">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23"/>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23">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23"/>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23">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23"/>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23">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23"/>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23">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23"/>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23">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23"/>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923">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23"/>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23">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23"/>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23">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23"/>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23">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23"/>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23">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23"/>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23">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23"/>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23">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23"/>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23">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23"/>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23">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23"/>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23">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23"/>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23">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23"/>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23">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23"/>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23">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23"/>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23">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23"/>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23">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23"/>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23">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23"/>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23">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23"/>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23">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23"/>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23">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23"/>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23">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23"/>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23">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23"/>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23">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23"/>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23">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23"/>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23">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23"/>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23">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50" ht="15.95" hidden="1" customHeight="1">
      <c r="B193" s="923"/>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50" ht="15.95" hidden="1" customHeight="1">
      <c r="B194" s="923">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50" ht="15.95" hidden="1" customHeight="1">
      <c r="B195" s="923"/>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50" ht="15.95" hidden="1" customHeight="1">
      <c r="B196" s="923">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50" ht="15.95" hidden="1" customHeight="1">
      <c r="B197" s="923"/>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50" ht="15.95" hidden="1" customHeight="1">
      <c r="B198" s="567">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50" ht="15.95" customHeight="1">
      <c r="B199" s="1191" t="s">
        <v>2116</v>
      </c>
      <c r="C199" s="1191"/>
      <c r="D199" s="1191"/>
      <c r="E199" s="1191"/>
      <c r="F199" s="1191"/>
      <c r="G199" s="1191"/>
      <c r="H199" s="1191"/>
      <c r="I199" s="1191"/>
      <c r="J199" s="1191"/>
      <c r="K199" s="1191"/>
      <c r="L199" s="1191"/>
      <c r="M199" s="1191"/>
      <c r="N199" s="1191"/>
      <c r="O199" s="1191"/>
      <c r="P199" s="1191"/>
      <c r="Q199" s="1191"/>
      <c r="R199" s="1191"/>
      <c r="S199" s="1191"/>
      <c r="T199" s="1191"/>
      <c r="U199" s="1191"/>
      <c r="V199" s="1191"/>
      <c r="W199" s="1191"/>
      <c r="X199" s="1191"/>
      <c r="Y199" s="1191"/>
      <c r="Z199" s="1191"/>
      <c r="AA199" s="1191"/>
      <c r="AB199" s="1191"/>
      <c r="AC199" s="1191"/>
      <c r="AD199" s="1191"/>
      <c r="AE199" s="1191"/>
      <c r="AF199" s="1191"/>
      <c r="AG199" s="1191"/>
      <c r="AH199" s="1191"/>
      <c r="AI199" s="1191"/>
      <c r="AJ199" s="1191"/>
      <c r="AK199" s="1191"/>
      <c r="AL199" s="1191"/>
      <c r="AM199" s="1191"/>
      <c r="AN199" s="1191"/>
      <c r="AO199" s="1191"/>
      <c r="AP199" s="1191"/>
      <c r="AQ199" s="1191"/>
      <c r="AR199" s="1191"/>
    </row>
    <row r="200" spans="2:50" ht="15.95" customHeight="1">
      <c r="B200" s="272" t="str">
        <f>FOOT1</f>
        <v>NIPSCO Energy Efficiency Program</v>
      </c>
      <c r="C200" s="272"/>
      <c r="D200" s="272"/>
      <c r="E200" s="272"/>
      <c r="F200" s="272"/>
      <c r="G200" s="272"/>
      <c r="H200" s="272"/>
      <c r="I200" s="272"/>
      <c r="J200" s="272"/>
      <c r="K200" s="272"/>
      <c r="L200" s="272"/>
      <c r="M200" s="656" t="str">
        <f>FOOT4</f>
        <v>NIPSCO’s energy efficiency programs are administered by TRC, a third‐party implementation specialist that helps homes and businesses save energy.</v>
      </c>
      <c r="N200" s="656"/>
      <c r="O200" s="656"/>
      <c r="P200" s="656"/>
      <c r="Q200" s="656"/>
      <c r="R200" s="656"/>
      <c r="S200" s="656"/>
      <c r="T200" s="656"/>
      <c r="U200" s="656"/>
      <c r="V200" s="656"/>
      <c r="W200" s="656"/>
      <c r="X200" s="656"/>
      <c r="Y200" s="656"/>
      <c r="Z200" s="656"/>
      <c r="AA200" s="656"/>
      <c r="AB200" s="656"/>
      <c r="AC200" s="656"/>
      <c r="AD200" s="656"/>
      <c r="AE200" s="656"/>
      <c r="AF200" s="656"/>
      <c r="AG200" s="656"/>
      <c r="AH200" s="272"/>
      <c r="AI200" s="272"/>
      <c r="AJ200" s="272"/>
      <c r="AK200" s="272"/>
      <c r="AL200" s="272"/>
      <c r="AM200" s="272"/>
      <c r="AN200" s="272"/>
      <c r="AO200" s="272"/>
      <c r="AP200" s="272"/>
      <c r="AQ200" s="272"/>
      <c r="AR200" s="273" t="str">
        <f>FOOTDISCLAIM</f>
        <v/>
      </c>
      <c r="AX200" s="1142">
        <f ca="1">SUMIF(AN16:AQ199,"&gt;0",AX16:AX199)</f>
        <v>0</v>
      </c>
    </row>
    <row r="201" spans="2:50" ht="15.95" customHeight="1">
      <c r="B201" s="272" t="str">
        <f>FOOT2</f>
        <v>Toll-Free 800-299-2501</v>
      </c>
      <c r="C201" s="272"/>
      <c r="D201" s="272"/>
      <c r="E201" s="272"/>
      <c r="F201" s="272"/>
      <c r="G201" s="272"/>
      <c r="H201" s="272"/>
      <c r="I201" s="272"/>
      <c r="J201" s="272"/>
      <c r="K201" s="272"/>
      <c r="L201" s="272"/>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272"/>
      <c r="AI201" s="272"/>
      <c r="AJ201" s="272"/>
      <c r="AK201" s="272"/>
      <c r="AL201" s="272"/>
      <c r="AM201" s="272"/>
      <c r="AN201" s="272"/>
      <c r="AO201" s="272"/>
      <c r="AP201" s="272"/>
      <c r="AQ201" s="272"/>
      <c r="AR201" s="273" t="str">
        <f>FOOT5</f>
        <v/>
      </c>
      <c r="AX201" s="1142"/>
    </row>
    <row r="202" spans="2:50" ht="15.95" customHeight="1">
      <c r="B202" s="281" t="s">
        <v>1551</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v3.7.0</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50" ht="15"/>
  </sheetData>
  <sheetProtection algorithmName="SHA-512" hashValue="2WqcufoN8bQur0OdNA22BgTvrMPjWagRGMcSr/1tWLFULQ44mOpCMNuiTL20wkWVL6Ltug58q1cwIPlNQ+5cfQ==" saltValue="yDw9T3YH74KOPDAcd3nQZA==" spinCount="100000" sheet="1" objects="1" scenarios="1" selectLockedCells="1"/>
  <mergeCells count="1474">
    <mergeCell ref="BG16:BG17"/>
    <mergeCell ref="BG18:BG19"/>
    <mergeCell ref="BG20:BG21"/>
    <mergeCell ref="BG22:BG23"/>
    <mergeCell ref="BG24:BG25"/>
    <mergeCell ref="BG26:BG27"/>
    <mergeCell ref="BG28:BG29"/>
    <mergeCell ref="BG30:BG31"/>
    <mergeCell ref="BG32:BG33"/>
    <mergeCell ref="BG34:BG35"/>
    <mergeCell ref="BF14:BF15"/>
    <mergeCell ref="BF16:BF17"/>
    <mergeCell ref="BF18:BF19"/>
    <mergeCell ref="BF20:BF21"/>
    <mergeCell ref="BF22:BF23"/>
    <mergeCell ref="BF24:BF25"/>
    <mergeCell ref="BF26:BF27"/>
    <mergeCell ref="BF28:BF29"/>
    <mergeCell ref="BF30:BF31"/>
    <mergeCell ref="BF32:BF33"/>
    <mergeCell ref="BF34:BF35"/>
    <mergeCell ref="BG14:BG15"/>
    <mergeCell ref="BH82:BH83"/>
    <mergeCell ref="BH84:BH85"/>
    <mergeCell ref="BH86:BH87"/>
    <mergeCell ref="BH88:BH89"/>
    <mergeCell ref="BH90:BH91"/>
    <mergeCell ref="BH92:BH93"/>
    <mergeCell ref="BH20:BH21"/>
    <mergeCell ref="BH22:BH23"/>
    <mergeCell ref="BH24:BH25"/>
    <mergeCell ref="BH26:BH27"/>
    <mergeCell ref="BH28:BH29"/>
    <mergeCell ref="BH30:BH31"/>
    <mergeCell ref="BH32:BH33"/>
    <mergeCell ref="BH34:BH35"/>
    <mergeCell ref="BH36:BH37"/>
    <mergeCell ref="BH38:BH39"/>
    <mergeCell ref="BH40:BH41"/>
    <mergeCell ref="BH42:BH43"/>
    <mergeCell ref="BH44:BH45"/>
    <mergeCell ref="BH46:BH47"/>
    <mergeCell ref="BH94:BH95"/>
    <mergeCell ref="BH96:BH97"/>
    <mergeCell ref="BH98:BH99"/>
    <mergeCell ref="BH100:BH101"/>
    <mergeCell ref="BH102:BH103"/>
    <mergeCell ref="BH104:BH105"/>
    <mergeCell ref="BH106:BH107"/>
    <mergeCell ref="BH108:BH109"/>
    <mergeCell ref="F11:I11"/>
    <mergeCell ref="K11:N11"/>
    <mergeCell ref="F12:I13"/>
    <mergeCell ref="K12:N13"/>
    <mergeCell ref="BH48:BH49"/>
    <mergeCell ref="BH50:BH51"/>
    <mergeCell ref="BH52:BH53"/>
    <mergeCell ref="BH54:BH55"/>
    <mergeCell ref="BH56:BH57"/>
    <mergeCell ref="BH58:BH59"/>
    <mergeCell ref="BH60:BH61"/>
    <mergeCell ref="BH62:BH63"/>
    <mergeCell ref="BH64:BH65"/>
    <mergeCell ref="BH66:BH67"/>
    <mergeCell ref="BH68:BH69"/>
    <mergeCell ref="BH70:BH71"/>
    <mergeCell ref="BH72:BH73"/>
    <mergeCell ref="BH74:BH75"/>
    <mergeCell ref="BH76:BH77"/>
    <mergeCell ref="BH78:BH79"/>
    <mergeCell ref="BH80:BH81"/>
    <mergeCell ref="BH14:BH15"/>
    <mergeCell ref="BH16:BH17"/>
    <mergeCell ref="BH18:BH19"/>
    <mergeCell ref="BF114:BF115"/>
    <mergeCell ref="BG114:BG115"/>
    <mergeCell ref="BH114:BH115"/>
    <mergeCell ref="BF112:BF113"/>
    <mergeCell ref="BG112:BG113"/>
    <mergeCell ref="BH112:BH113"/>
    <mergeCell ref="AY114:AY115"/>
    <mergeCell ref="AZ114:AZ115"/>
    <mergeCell ref="BA114:BA115"/>
    <mergeCell ref="BB114:BB115"/>
    <mergeCell ref="BC114:BC115"/>
    <mergeCell ref="BD114:BD115"/>
    <mergeCell ref="BE114:BE115"/>
    <mergeCell ref="AD114:AE115"/>
    <mergeCell ref="AF114:AG115"/>
    <mergeCell ref="AH114:AJ115"/>
    <mergeCell ref="AK114:AM115"/>
    <mergeCell ref="AN114:AQ115"/>
    <mergeCell ref="AU114:AU115"/>
    <mergeCell ref="AV114:AV115"/>
    <mergeCell ref="AW114:AW115"/>
    <mergeCell ref="AX114:AX115"/>
    <mergeCell ref="C114:E115"/>
    <mergeCell ref="F114:K115"/>
    <mergeCell ref="L114:O115"/>
    <mergeCell ref="P114:Q115"/>
    <mergeCell ref="R114:S115"/>
    <mergeCell ref="T114:W115"/>
    <mergeCell ref="X114:Y115"/>
    <mergeCell ref="Z114:AA115"/>
    <mergeCell ref="AB114:AC115"/>
    <mergeCell ref="C112:E113"/>
    <mergeCell ref="F112:K113"/>
    <mergeCell ref="L112:O113"/>
    <mergeCell ref="P112:Q113"/>
    <mergeCell ref="R112:S113"/>
    <mergeCell ref="T112:W113"/>
    <mergeCell ref="X112:Y113"/>
    <mergeCell ref="Z112:AA113"/>
    <mergeCell ref="AB112:AC113"/>
    <mergeCell ref="C110:E111"/>
    <mergeCell ref="F110:K111"/>
    <mergeCell ref="L110:O111"/>
    <mergeCell ref="P110:Q111"/>
    <mergeCell ref="R110:S111"/>
    <mergeCell ref="T110:W111"/>
    <mergeCell ref="X110:Y111"/>
    <mergeCell ref="Z110:AA111"/>
    <mergeCell ref="AB110:AC111"/>
    <mergeCell ref="AW110:AW111"/>
    <mergeCell ref="AZ106:AZ107"/>
    <mergeCell ref="BA106:BA107"/>
    <mergeCell ref="BB106:BB107"/>
    <mergeCell ref="BC106:BC107"/>
    <mergeCell ref="BD106:BD107"/>
    <mergeCell ref="BC112:BC113"/>
    <mergeCell ref="BD112:BD113"/>
    <mergeCell ref="BC110:BC111"/>
    <mergeCell ref="BD110:BD111"/>
    <mergeCell ref="C108:E109"/>
    <mergeCell ref="F108:K109"/>
    <mergeCell ref="L108:O109"/>
    <mergeCell ref="P108:Q109"/>
    <mergeCell ref="R108:S109"/>
    <mergeCell ref="T108:W109"/>
    <mergeCell ref="AD110:AE111"/>
    <mergeCell ref="AD112:AE113"/>
    <mergeCell ref="AF112:AG113"/>
    <mergeCell ref="AH112:AJ113"/>
    <mergeCell ref="AK112:AM113"/>
    <mergeCell ref="AN112:AQ113"/>
    <mergeCell ref="AU112:AU113"/>
    <mergeCell ref="BE106:BE107"/>
    <mergeCell ref="AW112:AW113"/>
    <mergeCell ref="AX112:AX113"/>
    <mergeCell ref="AY112:AY113"/>
    <mergeCell ref="AZ112:AZ113"/>
    <mergeCell ref="BA112:BA113"/>
    <mergeCell ref="BB112:BB113"/>
    <mergeCell ref="AX110:AX111"/>
    <mergeCell ref="AY110:AY111"/>
    <mergeCell ref="AZ110:AZ111"/>
    <mergeCell ref="BA110:BA111"/>
    <mergeCell ref="BB110:BB111"/>
    <mergeCell ref="AD108:AE109"/>
    <mergeCell ref="AF108:AG109"/>
    <mergeCell ref="AH108:AJ109"/>
    <mergeCell ref="AK108:AM109"/>
    <mergeCell ref="AN108:AQ109"/>
    <mergeCell ref="BE112:BE113"/>
    <mergeCell ref="BE110:BE111"/>
    <mergeCell ref="AV112:AV113"/>
    <mergeCell ref="AF110:AG111"/>
    <mergeCell ref="AH110:AJ111"/>
    <mergeCell ref="AK110:AM111"/>
    <mergeCell ref="AN110:AQ111"/>
    <mergeCell ref="AU110:AU111"/>
    <mergeCell ref="AV110:AV111"/>
    <mergeCell ref="BD104:BD105"/>
    <mergeCell ref="BE104:BE105"/>
    <mergeCell ref="AZ108:AZ109"/>
    <mergeCell ref="BA108:BA109"/>
    <mergeCell ref="BB108:BB109"/>
    <mergeCell ref="BC108:BC109"/>
    <mergeCell ref="BD108:BD109"/>
    <mergeCell ref="BE108:BE109"/>
    <mergeCell ref="AY108:AY109"/>
    <mergeCell ref="C106:E107"/>
    <mergeCell ref="F106:K107"/>
    <mergeCell ref="L106:O107"/>
    <mergeCell ref="P106:Q107"/>
    <mergeCell ref="R106:S107"/>
    <mergeCell ref="T106:W107"/>
    <mergeCell ref="X106:Y107"/>
    <mergeCell ref="Z106:AA107"/>
    <mergeCell ref="AB106:AC107"/>
    <mergeCell ref="AD106:AE107"/>
    <mergeCell ref="AF106:AG107"/>
    <mergeCell ref="AH106:AJ107"/>
    <mergeCell ref="AK106:AM107"/>
    <mergeCell ref="AN106:AQ107"/>
    <mergeCell ref="AU106:AU107"/>
    <mergeCell ref="AV106:AV107"/>
    <mergeCell ref="X108:Y109"/>
    <mergeCell ref="AU108:AU109"/>
    <mergeCell ref="AV108:AV109"/>
    <mergeCell ref="AW108:AW109"/>
    <mergeCell ref="AX108:AX109"/>
    <mergeCell ref="Z108:AA109"/>
    <mergeCell ref="AB108:AC109"/>
    <mergeCell ref="P102:Q103"/>
    <mergeCell ref="R102:S103"/>
    <mergeCell ref="T102:W103"/>
    <mergeCell ref="X102:Y103"/>
    <mergeCell ref="Z102:AA103"/>
    <mergeCell ref="AB102:AC103"/>
    <mergeCell ref="AW106:AW107"/>
    <mergeCell ref="AX106:AX107"/>
    <mergeCell ref="AY106:AY107"/>
    <mergeCell ref="AZ102:AZ103"/>
    <mergeCell ref="BA102:BA103"/>
    <mergeCell ref="BB102:BB103"/>
    <mergeCell ref="BC102:BC103"/>
    <mergeCell ref="AX104:AX105"/>
    <mergeCell ref="AY104:AY105"/>
    <mergeCell ref="AZ104:AZ105"/>
    <mergeCell ref="BA104:BA105"/>
    <mergeCell ref="BB104:BB105"/>
    <mergeCell ref="BC104:BC105"/>
    <mergeCell ref="BD102:BD103"/>
    <mergeCell ref="BE102:BE103"/>
    <mergeCell ref="C104:E105"/>
    <mergeCell ref="F104:K105"/>
    <mergeCell ref="L104:O105"/>
    <mergeCell ref="P104:Q105"/>
    <mergeCell ref="R104:S105"/>
    <mergeCell ref="T104:W105"/>
    <mergeCell ref="X104:Y105"/>
    <mergeCell ref="Z104:AA105"/>
    <mergeCell ref="AB104:AC105"/>
    <mergeCell ref="AD104:AE105"/>
    <mergeCell ref="AF104:AG105"/>
    <mergeCell ref="AH104:AJ105"/>
    <mergeCell ref="AK104:AM105"/>
    <mergeCell ref="AN104:AQ105"/>
    <mergeCell ref="AU104:AU105"/>
    <mergeCell ref="AV104:AV105"/>
    <mergeCell ref="AW104:AW105"/>
    <mergeCell ref="AD102:AE103"/>
    <mergeCell ref="AF102:AG103"/>
    <mergeCell ref="AH102:AJ103"/>
    <mergeCell ref="AK102:AM103"/>
    <mergeCell ref="AN102:AQ103"/>
    <mergeCell ref="AU102:AU103"/>
    <mergeCell ref="AV102:AV103"/>
    <mergeCell ref="AW102:AW103"/>
    <mergeCell ref="AX102:AX103"/>
    <mergeCell ref="AY102:AY103"/>
    <mergeCell ref="C102:E103"/>
    <mergeCell ref="F102:K103"/>
    <mergeCell ref="L102:O103"/>
    <mergeCell ref="Z96:AA97"/>
    <mergeCell ref="AB96:AC97"/>
    <mergeCell ref="AW100:AW101"/>
    <mergeCell ref="AX100:AX101"/>
    <mergeCell ref="AY100:AY101"/>
    <mergeCell ref="AZ100:AZ101"/>
    <mergeCell ref="BA100:BA101"/>
    <mergeCell ref="BB100:BB101"/>
    <mergeCell ref="BC100:BC101"/>
    <mergeCell ref="BD100:BD101"/>
    <mergeCell ref="BE100:BE101"/>
    <mergeCell ref="AX98:AX99"/>
    <mergeCell ref="AY98:AY99"/>
    <mergeCell ref="AZ98:AZ99"/>
    <mergeCell ref="BA98:BA99"/>
    <mergeCell ref="BB98:BB99"/>
    <mergeCell ref="BC98:BC99"/>
    <mergeCell ref="BD98:BD99"/>
    <mergeCell ref="BE98:BE99"/>
    <mergeCell ref="AD96:AE97"/>
    <mergeCell ref="AF96:AG97"/>
    <mergeCell ref="AH96:AJ97"/>
    <mergeCell ref="AK96:AM97"/>
    <mergeCell ref="AN96:AQ97"/>
    <mergeCell ref="AU96:AU97"/>
    <mergeCell ref="AV96:AV97"/>
    <mergeCell ref="AW96:AW97"/>
    <mergeCell ref="AX96:AX97"/>
    <mergeCell ref="AD98:AE99"/>
    <mergeCell ref="AF98:AG99"/>
    <mergeCell ref="AH98:AJ99"/>
    <mergeCell ref="AK98:AM99"/>
    <mergeCell ref="C100:E101"/>
    <mergeCell ref="F100:K101"/>
    <mergeCell ref="L100:O101"/>
    <mergeCell ref="P100:Q101"/>
    <mergeCell ref="R100:S101"/>
    <mergeCell ref="T100:W101"/>
    <mergeCell ref="X100:Y101"/>
    <mergeCell ref="Z100:AA101"/>
    <mergeCell ref="AB100:AC101"/>
    <mergeCell ref="AD100:AE101"/>
    <mergeCell ref="AF100:AG101"/>
    <mergeCell ref="AH100:AJ101"/>
    <mergeCell ref="AK100:AM101"/>
    <mergeCell ref="AN100:AQ101"/>
    <mergeCell ref="AU100:AU101"/>
    <mergeCell ref="AV100:AV101"/>
    <mergeCell ref="C96:E97"/>
    <mergeCell ref="F96:K97"/>
    <mergeCell ref="L96:O97"/>
    <mergeCell ref="P96:Q97"/>
    <mergeCell ref="R96:S97"/>
    <mergeCell ref="T96:W97"/>
    <mergeCell ref="X96:Y97"/>
    <mergeCell ref="C98:E99"/>
    <mergeCell ref="F98:K99"/>
    <mergeCell ref="L98:O99"/>
    <mergeCell ref="P98:Q99"/>
    <mergeCell ref="R98:S99"/>
    <mergeCell ref="T98:W99"/>
    <mergeCell ref="X98:Y99"/>
    <mergeCell ref="Z98:AA99"/>
    <mergeCell ref="AB98:AC99"/>
    <mergeCell ref="AN98:AQ99"/>
    <mergeCell ref="AU98:AU99"/>
    <mergeCell ref="AV98:AV99"/>
    <mergeCell ref="AW98:AW99"/>
    <mergeCell ref="AZ94:AZ95"/>
    <mergeCell ref="BA94:BA95"/>
    <mergeCell ref="BB94:BB95"/>
    <mergeCell ref="BC94:BC95"/>
    <mergeCell ref="BD94:BD95"/>
    <mergeCell ref="BE94:BE95"/>
    <mergeCell ref="AX92:AX93"/>
    <mergeCell ref="AY92:AY93"/>
    <mergeCell ref="AZ92:AZ93"/>
    <mergeCell ref="BA92:BA93"/>
    <mergeCell ref="BB92:BB93"/>
    <mergeCell ref="BC92:BC93"/>
    <mergeCell ref="BD92:BD93"/>
    <mergeCell ref="BE92:BE93"/>
    <mergeCell ref="AZ96:AZ97"/>
    <mergeCell ref="BA96:BA97"/>
    <mergeCell ref="BB96:BB97"/>
    <mergeCell ref="BC96:BC97"/>
    <mergeCell ref="BD96:BD97"/>
    <mergeCell ref="BE96:BE97"/>
    <mergeCell ref="AY96:AY97"/>
    <mergeCell ref="C94:E95"/>
    <mergeCell ref="F94:K95"/>
    <mergeCell ref="L94:O95"/>
    <mergeCell ref="P94:Q95"/>
    <mergeCell ref="R94:S95"/>
    <mergeCell ref="T94:W95"/>
    <mergeCell ref="X94:Y95"/>
    <mergeCell ref="Z94:AA95"/>
    <mergeCell ref="AB94:AC95"/>
    <mergeCell ref="AD94:AE95"/>
    <mergeCell ref="AF94:AG95"/>
    <mergeCell ref="AH94:AJ95"/>
    <mergeCell ref="AK94:AM95"/>
    <mergeCell ref="AN94:AQ95"/>
    <mergeCell ref="AU94:AU95"/>
    <mergeCell ref="AV94:AV95"/>
    <mergeCell ref="AY90:AY91"/>
    <mergeCell ref="C90:E91"/>
    <mergeCell ref="F90:K91"/>
    <mergeCell ref="L90:O91"/>
    <mergeCell ref="P90:Q91"/>
    <mergeCell ref="R90:S91"/>
    <mergeCell ref="T90:W91"/>
    <mergeCell ref="X90:Y91"/>
    <mergeCell ref="Z90:AA91"/>
    <mergeCell ref="AB90:AC91"/>
    <mergeCell ref="AW94:AW95"/>
    <mergeCell ref="AX94:AX95"/>
    <mergeCell ref="AY94:AY95"/>
    <mergeCell ref="AZ90:AZ91"/>
    <mergeCell ref="BA90:BA91"/>
    <mergeCell ref="BB90:BB91"/>
    <mergeCell ref="BC90:BC91"/>
    <mergeCell ref="BD90:BD91"/>
    <mergeCell ref="BE90:BE91"/>
    <mergeCell ref="C92:E93"/>
    <mergeCell ref="F92:K93"/>
    <mergeCell ref="L92:O93"/>
    <mergeCell ref="P92:Q93"/>
    <mergeCell ref="R92:S93"/>
    <mergeCell ref="T92:W93"/>
    <mergeCell ref="X92:Y93"/>
    <mergeCell ref="Z92:AA93"/>
    <mergeCell ref="AB92:AC93"/>
    <mergeCell ref="AD92:AE93"/>
    <mergeCell ref="AF92:AG93"/>
    <mergeCell ref="AH92:AJ93"/>
    <mergeCell ref="AK92:AM93"/>
    <mergeCell ref="AN92:AQ93"/>
    <mergeCell ref="AU92:AU93"/>
    <mergeCell ref="AV92:AV93"/>
    <mergeCell ref="AW92:AW93"/>
    <mergeCell ref="AD90:AE91"/>
    <mergeCell ref="AF90:AG91"/>
    <mergeCell ref="AH90:AJ91"/>
    <mergeCell ref="AK90:AM91"/>
    <mergeCell ref="AN90:AQ91"/>
    <mergeCell ref="AU90:AU91"/>
    <mergeCell ref="AV90:AV91"/>
    <mergeCell ref="AW90:AW91"/>
    <mergeCell ref="AX90:AX91"/>
    <mergeCell ref="Z84:AA85"/>
    <mergeCell ref="AB84:AC85"/>
    <mergeCell ref="AW88:AW89"/>
    <mergeCell ref="AX88:AX89"/>
    <mergeCell ref="AY88:AY89"/>
    <mergeCell ref="AZ88:AZ89"/>
    <mergeCell ref="BA88:BA89"/>
    <mergeCell ref="BB88:BB89"/>
    <mergeCell ref="BC88:BC89"/>
    <mergeCell ref="BD88:BD89"/>
    <mergeCell ref="BE88:BE89"/>
    <mergeCell ref="AX86:AX87"/>
    <mergeCell ref="AY86:AY87"/>
    <mergeCell ref="AZ86:AZ87"/>
    <mergeCell ref="BA86:BA87"/>
    <mergeCell ref="BB86:BB87"/>
    <mergeCell ref="BC86:BC87"/>
    <mergeCell ref="BD86:BD87"/>
    <mergeCell ref="BE86:BE87"/>
    <mergeCell ref="AD84:AE85"/>
    <mergeCell ref="AF84:AG85"/>
    <mergeCell ref="AH84:AJ85"/>
    <mergeCell ref="AK84:AM85"/>
    <mergeCell ref="AN84:AQ85"/>
    <mergeCell ref="AU84:AU85"/>
    <mergeCell ref="AV84:AV85"/>
    <mergeCell ref="AW84:AW85"/>
    <mergeCell ref="AX84:AX85"/>
    <mergeCell ref="AD86:AE87"/>
    <mergeCell ref="AF86:AG87"/>
    <mergeCell ref="AH86:AJ87"/>
    <mergeCell ref="AK86:AM87"/>
    <mergeCell ref="C88:E89"/>
    <mergeCell ref="F88:K89"/>
    <mergeCell ref="L88:O89"/>
    <mergeCell ref="P88:Q89"/>
    <mergeCell ref="R88:S89"/>
    <mergeCell ref="T88:W89"/>
    <mergeCell ref="X88:Y89"/>
    <mergeCell ref="Z88:AA89"/>
    <mergeCell ref="AB88:AC89"/>
    <mergeCell ref="AD88:AE89"/>
    <mergeCell ref="AF88:AG89"/>
    <mergeCell ref="AH88:AJ89"/>
    <mergeCell ref="AK88:AM89"/>
    <mergeCell ref="AN88:AQ89"/>
    <mergeCell ref="AU88:AU89"/>
    <mergeCell ref="AV88:AV89"/>
    <mergeCell ref="C84:E85"/>
    <mergeCell ref="F84:K85"/>
    <mergeCell ref="L84:O85"/>
    <mergeCell ref="P84:Q85"/>
    <mergeCell ref="R84:S85"/>
    <mergeCell ref="T84:W85"/>
    <mergeCell ref="X84:Y85"/>
    <mergeCell ref="C86:E87"/>
    <mergeCell ref="F86:K87"/>
    <mergeCell ref="L86:O87"/>
    <mergeCell ref="P86:Q87"/>
    <mergeCell ref="R86:S87"/>
    <mergeCell ref="T86:W87"/>
    <mergeCell ref="X86:Y87"/>
    <mergeCell ref="Z86:AA87"/>
    <mergeCell ref="AB86:AC87"/>
    <mergeCell ref="AN86:AQ87"/>
    <mergeCell ref="AU86:AU87"/>
    <mergeCell ref="AV86:AV87"/>
    <mergeCell ref="AW86:AW87"/>
    <mergeCell ref="AZ82:AZ83"/>
    <mergeCell ref="BA82:BA83"/>
    <mergeCell ref="BB82:BB83"/>
    <mergeCell ref="BC82:BC83"/>
    <mergeCell ref="BD82:BD83"/>
    <mergeCell ref="BE82:BE83"/>
    <mergeCell ref="AX80:AX81"/>
    <mergeCell ref="AY80:AY81"/>
    <mergeCell ref="AZ80:AZ81"/>
    <mergeCell ref="BA80:BA81"/>
    <mergeCell ref="BB80:BB81"/>
    <mergeCell ref="BC80:BC81"/>
    <mergeCell ref="BD80:BD81"/>
    <mergeCell ref="BE80:BE81"/>
    <mergeCell ref="AZ84:AZ85"/>
    <mergeCell ref="BA84:BA85"/>
    <mergeCell ref="BB84:BB85"/>
    <mergeCell ref="BC84:BC85"/>
    <mergeCell ref="BD84:BD85"/>
    <mergeCell ref="BE84:BE85"/>
    <mergeCell ref="AY84:AY85"/>
    <mergeCell ref="F82:K83"/>
    <mergeCell ref="L82:O83"/>
    <mergeCell ref="P82:Q83"/>
    <mergeCell ref="R82:S83"/>
    <mergeCell ref="T82:W83"/>
    <mergeCell ref="X82:Y83"/>
    <mergeCell ref="Z82:AA83"/>
    <mergeCell ref="AB82:AC83"/>
    <mergeCell ref="AD82:AE83"/>
    <mergeCell ref="AF82:AG83"/>
    <mergeCell ref="AH82:AJ83"/>
    <mergeCell ref="AK82:AM83"/>
    <mergeCell ref="AN82:AQ83"/>
    <mergeCell ref="AU82:AU83"/>
    <mergeCell ref="AV82:AV83"/>
    <mergeCell ref="AY78:AY79"/>
    <mergeCell ref="C78:E79"/>
    <mergeCell ref="F78:K79"/>
    <mergeCell ref="L78:O79"/>
    <mergeCell ref="P78:Q79"/>
    <mergeCell ref="R78:S79"/>
    <mergeCell ref="T78:W79"/>
    <mergeCell ref="X78:Y79"/>
    <mergeCell ref="Z78:AA79"/>
    <mergeCell ref="AB78:AC79"/>
    <mergeCell ref="AW82:AW83"/>
    <mergeCell ref="AX82:AX83"/>
    <mergeCell ref="AY82:AY83"/>
    <mergeCell ref="F80:K81"/>
    <mergeCell ref="L80:O81"/>
    <mergeCell ref="P80:Q81"/>
    <mergeCell ref="R80:S81"/>
    <mergeCell ref="T80:W81"/>
    <mergeCell ref="X80:Y81"/>
    <mergeCell ref="Z80:AA81"/>
    <mergeCell ref="AB80:AC81"/>
    <mergeCell ref="AD80:AE81"/>
    <mergeCell ref="AF80:AG81"/>
    <mergeCell ref="AH80:AJ81"/>
    <mergeCell ref="AK80:AM81"/>
    <mergeCell ref="AN80:AQ81"/>
    <mergeCell ref="AU80:AU81"/>
    <mergeCell ref="AV80:AV81"/>
    <mergeCell ref="AW80:AW81"/>
    <mergeCell ref="AD78:AE79"/>
    <mergeCell ref="AF78:AG79"/>
    <mergeCell ref="AH78:AJ79"/>
    <mergeCell ref="AK78:AM79"/>
    <mergeCell ref="AN78:AQ79"/>
    <mergeCell ref="AU78:AU79"/>
    <mergeCell ref="AV78:AV79"/>
    <mergeCell ref="AW78:AW79"/>
    <mergeCell ref="AZ76:AZ77"/>
    <mergeCell ref="BA76:BA77"/>
    <mergeCell ref="BB76:BB77"/>
    <mergeCell ref="BC76:BC77"/>
    <mergeCell ref="BD76:BD77"/>
    <mergeCell ref="BE76:BE77"/>
    <mergeCell ref="AX74:AX75"/>
    <mergeCell ref="AY74:AY75"/>
    <mergeCell ref="AZ74:AZ75"/>
    <mergeCell ref="BA74:BA75"/>
    <mergeCell ref="BB74:BB75"/>
    <mergeCell ref="BC74:BC75"/>
    <mergeCell ref="BD74:BD75"/>
    <mergeCell ref="BE74:BE75"/>
    <mergeCell ref="AZ78:AZ79"/>
    <mergeCell ref="BA78:BA79"/>
    <mergeCell ref="BB78:BB79"/>
    <mergeCell ref="BC78:BC79"/>
    <mergeCell ref="BD78:BD79"/>
    <mergeCell ref="BE78:BE79"/>
    <mergeCell ref="AX78:AX79"/>
    <mergeCell ref="F76:K77"/>
    <mergeCell ref="L76:O77"/>
    <mergeCell ref="P76:Q77"/>
    <mergeCell ref="R76:S77"/>
    <mergeCell ref="T76:W77"/>
    <mergeCell ref="X76:Y77"/>
    <mergeCell ref="Z76:AA77"/>
    <mergeCell ref="AB76:AC77"/>
    <mergeCell ref="AD76:AE77"/>
    <mergeCell ref="AF76:AG77"/>
    <mergeCell ref="AH76:AJ77"/>
    <mergeCell ref="AK76:AM77"/>
    <mergeCell ref="AN76:AQ77"/>
    <mergeCell ref="AU76:AU77"/>
    <mergeCell ref="AV76:AV77"/>
    <mergeCell ref="AY72:AY73"/>
    <mergeCell ref="C72:E73"/>
    <mergeCell ref="F72:K73"/>
    <mergeCell ref="L72:O73"/>
    <mergeCell ref="P72:Q73"/>
    <mergeCell ref="R72:S73"/>
    <mergeCell ref="T72:W73"/>
    <mergeCell ref="X72:Y73"/>
    <mergeCell ref="Z72:AA73"/>
    <mergeCell ref="AB72:AC73"/>
    <mergeCell ref="AW76:AW77"/>
    <mergeCell ref="AX76:AX77"/>
    <mergeCell ref="AY76:AY77"/>
    <mergeCell ref="F74:K75"/>
    <mergeCell ref="L74:O75"/>
    <mergeCell ref="P74:Q75"/>
    <mergeCell ref="R74:S75"/>
    <mergeCell ref="T74:W75"/>
    <mergeCell ref="X74:Y75"/>
    <mergeCell ref="Z74:AA75"/>
    <mergeCell ref="AB74:AC75"/>
    <mergeCell ref="AD74:AE75"/>
    <mergeCell ref="AF74:AG75"/>
    <mergeCell ref="AH74:AJ75"/>
    <mergeCell ref="AK74:AM75"/>
    <mergeCell ref="AN74:AQ75"/>
    <mergeCell ref="AU74:AU75"/>
    <mergeCell ref="AV74:AV75"/>
    <mergeCell ref="AW74:AW75"/>
    <mergeCell ref="AD72:AE73"/>
    <mergeCell ref="AF72:AG73"/>
    <mergeCell ref="AH72:AJ73"/>
    <mergeCell ref="AK72:AM73"/>
    <mergeCell ref="AN72:AQ73"/>
    <mergeCell ref="AU72:AU73"/>
    <mergeCell ref="AV72:AV73"/>
    <mergeCell ref="AW72:AW73"/>
    <mergeCell ref="AZ70:AZ71"/>
    <mergeCell ref="BA70:BA71"/>
    <mergeCell ref="BB70:BB71"/>
    <mergeCell ref="BC70:BC71"/>
    <mergeCell ref="BD70:BD71"/>
    <mergeCell ref="BE70:BE71"/>
    <mergeCell ref="AX68:AX69"/>
    <mergeCell ref="AY68:AY69"/>
    <mergeCell ref="AZ68:AZ69"/>
    <mergeCell ref="BA68:BA69"/>
    <mergeCell ref="BB68:BB69"/>
    <mergeCell ref="BC68:BC69"/>
    <mergeCell ref="BD68:BD69"/>
    <mergeCell ref="BE68:BE69"/>
    <mergeCell ref="AZ72:AZ73"/>
    <mergeCell ref="BA72:BA73"/>
    <mergeCell ref="BB72:BB73"/>
    <mergeCell ref="BC72:BC73"/>
    <mergeCell ref="BD72:BD73"/>
    <mergeCell ref="BE72:BE73"/>
    <mergeCell ref="AX72:AX73"/>
    <mergeCell ref="F70:K71"/>
    <mergeCell ref="L70:O71"/>
    <mergeCell ref="P70:Q71"/>
    <mergeCell ref="R70:S71"/>
    <mergeCell ref="T70:W71"/>
    <mergeCell ref="X70:Y71"/>
    <mergeCell ref="Z70:AA71"/>
    <mergeCell ref="AB70:AC71"/>
    <mergeCell ref="AD70:AE71"/>
    <mergeCell ref="AF70:AG71"/>
    <mergeCell ref="AH70:AJ71"/>
    <mergeCell ref="AK70:AM71"/>
    <mergeCell ref="AN70:AQ71"/>
    <mergeCell ref="AU70:AU71"/>
    <mergeCell ref="AV70:AV71"/>
    <mergeCell ref="AY66:AY67"/>
    <mergeCell ref="C66:E67"/>
    <mergeCell ref="F66:K67"/>
    <mergeCell ref="L66:O67"/>
    <mergeCell ref="P66:Q67"/>
    <mergeCell ref="R66:S67"/>
    <mergeCell ref="T66:W67"/>
    <mergeCell ref="X66:Y67"/>
    <mergeCell ref="Z66:AA67"/>
    <mergeCell ref="AB66:AC67"/>
    <mergeCell ref="AW70:AW71"/>
    <mergeCell ref="AX70:AX71"/>
    <mergeCell ref="AY70:AY71"/>
    <mergeCell ref="F68:K69"/>
    <mergeCell ref="L68:O69"/>
    <mergeCell ref="P68:Q69"/>
    <mergeCell ref="R68:S69"/>
    <mergeCell ref="T68:W69"/>
    <mergeCell ref="X68:Y69"/>
    <mergeCell ref="Z68:AA69"/>
    <mergeCell ref="AB68:AC69"/>
    <mergeCell ref="AD68:AE69"/>
    <mergeCell ref="AF68:AG69"/>
    <mergeCell ref="AH68:AJ69"/>
    <mergeCell ref="AK68:AM69"/>
    <mergeCell ref="AN68:AQ69"/>
    <mergeCell ref="AU68:AU69"/>
    <mergeCell ref="AV68:AV69"/>
    <mergeCell ref="AW68:AW69"/>
    <mergeCell ref="AD66:AE67"/>
    <mergeCell ref="AF66:AG67"/>
    <mergeCell ref="AH66:AJ67"/>
    <mergeCell ref="AK66:AM67"/>
    <mergeCell ref="AN66:AQ67"/>
    <mergeCell ref="AU66:AU67"/>
    <mergeCell ref="AV66:AV67"/>
    <mergeCell ref="AW66:AW67"/>
    <mergeCell ref="AZ64:AZ65"/>
    <mergeCell ref="BA64:BA65"/>
    <mergeCell ref="BB64:BB65"/>
    <mergeCell ref="BC64:BC65"/>
    <mergeCell ref="BD64:BD65"/>
    <mergeCell ref="BE64:BE65"/>
    <mergeCell ref="AX62:AX63"/>
    <mergeCell ref="AY62:AY63"/>
    <mergeCell ref="AZ62:AZ63"/>
    <mergeCell ref="BA62:BA63"/>
    <mergeCell ref="BB62:BB63"/>
    <mergeCell ref="BC62:BC63"/>
    <mergeCell ref="BD62:BD63"/>
    <mergeCell ref="BE62:BE63"/>
    <mergeCell ref="AZ66:AZ67"/>
    <mergeCell ref="BA66:BA67"/>
    <mergeCell ref="BB66:BB67"/>
    <mergeCell ref="BC66:BC67"/>
    <mergeCell ref="BD66:BD67"/>
    <mergeCell ref="BE66:BE67"/>
    <mergeCell ref="AX66:AX67"/>
    <mergeCell ref="F64:K65"/>
    <mergeCell ref="L64:O65"/>
    <mergeCell ref="P64:Q65"/>
    <mergeCell ref="R64:S65"/>
    <mergeCell ref="T64:W65"/>
    <mergeCell ref="X64:Y65"/>
    <mergeCell ref="Z64:AA65"/>
    <mergeCell ref="AB64:AC65"/>
    <mergeCell ref="AD64:AE65"/>
    <mergeCell ref="AF64:AG65"/>
    <mergeCell ref="AH64:AJ65"/>
    <mergeCell ref="AK64:AM65"/>
    <mergeCell ref="AN64:AQ65"/>
    <mergeCell ref="AU64:AU65"/>
    <mergeCell ref="AV64:AV65"/>
    <mergeCell ref="AY60:AY61"/>
    <mergeCell ref="C60:E61"/>
    <mergeCell ref="F60:K61"/>
    <mergeCell ref="L60:O61"/>
    <mergeCell ref="P60:Q61"/>
    <mergeCell ref="R60:S61"/>
    <mergeCell ref="T60:W61"/>
    <mergeCell ref="X60:Y61"/>
    <mergeCell ref="Z60:AA61"/>
    <mergeCell ref="AB60:AC61"/>
    <mergeCell ref="AW64:AW65"/>
    <mergeCell ref="AX64:AX65"/>
    <mergeCell ref="AY64:AY65"/>
    <mergeCell ref="F62:K63"/>
    <mergeCell ref="L62:O63"/>
    <mergeCell ref="P62:Q63"/>
    <mergeCell ref="R62:S63"/>
    <mergeCell ref="T62:W63"/>
    <mergeCell ref="X62:Y63"/>
    <mergeCell ref="Z62:AA63"/>
    <mergeCell ref="AB62:AC63"/>
    <mergeCell ref="AD62:AE63"/>
    <mergeCell ref="AF62:AG63"/>
    <mergeCell ref="AH62:AJ63"/>
    <mergeCell ref="AK62:AM63"/>
    <mergeCell ref="AN62:AQ63"/>
    <mergeCell ref="AU62:AU63"/>
    <mergeCell ref="AV62:AV63"/>
    <mergeCell ref="AW62:AW63"/>
    <mergeCell ref="AD60:AE61"/>
    <mergeCell ref="AF60:AG61"/>
    <mergeCell ref="AH60:AJ61"/>
    <mergeCell ref="AK60:AM61"/>
    <mergeCell ref="AN60:AQ61"/>
    <mergeCell ref="AU60:AU61"/>
    <mergeCell ref="AV60:AV61"/>
    <mergeCell ref="AW60:AW61"/>
    <mergeCell ref="AZ58:AZ59"/>
    <mergeCell ref="BA58:BA59"/>
    <mergeCell ref="BB58:BB59"/>
    <mergeCell ref="BC58:BC59"/>
    <mergeCell ref="BD58:BD59"/>
    <mergeCell ref="BE58:BE59"/>
    <mergeCell ref="AX56:AX57"/>
    <mergeCell ref="AY56:AY57"/>
    <mergeCell ref="AZ56:AZ57"/>
    <mergeCell ref="BA56:BA57"/>
    <mergeCell ref="BB56:BB57"/>
    <mergeCell ref="BC56:BC57"/>
    <mergeCell ref="BD56:BD57"/>
    <mergeCell ref="BE56:BE57"/>
    <mergeCell ref="AZ60:AZ61"/>
    <mergeCell ref="BA60:BA61"/>
    <mergeCell ref="BB60:BB61"/>
    <mergeCell ref="BC60:BC61"/>
    <mergeCell ref="BD60:BD61"/>
    <mergeCell ref="BE60:BE61"/>
    <mergeCell ref="AX60:AX61"/>
    <mergeCell ref="F58:K59"/>
    <mergeCell ref="L58:O59"/>
    <mergeCell ref="P58:Q59"/>
    <mergeCell ref="R58:S59"/>
    <mergeCell ref="T58:W59"/>
    <mergeCell ref="X58:Y59"/>
    <mergeCell ref="Z58:AA59"/>
    <mergeCell ref="AB58:AC59"/>
    <mergeCell ref="AD58:AE59"/>
    <mergeCell ref="AF58:AG59"/>
    <mergeCell ref="AH58:AJ59"/>
    <mergeCell ref="AK58:AM59"/>
    <mergeCell ref="AN58:AQ59"/>
    <mergeCell ref="AU58:AU59"/>
    <mergeCell ref="AV58:AV59"/>
    <mergeCell ref="AY54:AY55"/>
    <mergeCell ref="C54:E55"/>
    <mergeCell ref="F54:K55"/>
    <mergeCell ref="L54:O55"/>
    <mergeCell ref="P54:Q55"/>
    <mergeCell ref="R54:S55"/>
    <mergeCell ref="T54:W55"/>
    <mergeCell ref="X54:Y55"/>
    <mergeCell ref="Z54:AA55"/>
    <mergeCell ref="AB54:AC55"/>
    <mergeCell ref="AW58:AW59"/>
    <mergeCell ref="AX58:AX59"/>
    <mergeCell ref="AY58:AY59"/>
    <mergeCell ref="F56:K57"/>
    <mergeCell ref="L56:O57"/>
    <mergeCell ref="P56:Q57"/>
    <mergeCell ref="R56:S57"/>
    <mergeCell ref="T56:W57"/>
    <mergeCell ref="X56:Y57"/>
    <mergeCell ref="Z56:AA57"/>
    <mergeCell ref="AB56:AC57"/>
    <mergeCell ref="AD56:AE57"/>
    <mergeCell ref="AF56:AG57"/>
    <mergeCell ref="AH56:AJ57"/>
    <mergeCell ref="AK56:AM57"/>
    <mergeCell ref="AN56:AQ57"/>
    <mergeCell ref="AU56:AU57"/>
    <mergeCell ref="AV56:AV57"/>
    <mergeCell ref="AW56:AW57"/>
    <mergeCell ref="AD54:AE55"/>
    <mergeCell ref="AF54:AG55"/>
    <mergeCell ref="AH54:AJ55"/>
    <mergeCell ref="AK54:AM55"/>
    <mergeCell ref="AN54:AQ55"/>
    <mergeCell ref="AU54:AU55"/>
    <mergeCell ref="AV54:AV55"/>
    <mergeCell ref="AW54:AW55"/>
    <mergeCell ref="AZ52:AZ53"/>
    <mergeCell ref="BA52:BA53"/>
    <mergeCell ref="BB52:BB53"/>
    <mergeCell ref="BC52:BC53"/>
    <mergeCell ref="BD52:BD53"/>
    <mergeCell ref="BE52:BE53"/>
    <mergeCell ref="AX50:AX51"/>
    <mergeCell ref="AY50:AY51"/>
    <mergeCell ref="AZ50:AZ51"/>
    <mergeCell ref="BA50:BA51"/>
    <mergeCell ref="BB50:BB51"/>
    <mergeCell ref="BC50:BC51"/>
    <mergeCell ref="BD50:BD51"/>
    <mergeCell ref="BE50:BE51"/>
    <mergeCell ref="AZ54:AZ55"/>
    <mergeCell ref="BA54:BA55"/>
    <mergeCell ref="BB54:BB55"/>
    <mergeCell ref="BC54:BC55"/>
    <mergeCell ref="BD54:BD55"/>
    <mergeCell ref="BE54:BE55"/>
    <mergeCell ref="AX54:AX55"/>
    <mergeCell ref="F52:K53"/>
    <mergeCell ref="L52:O53"/>
    <mergeCell ref="P52:Q53"/>
    <mergeCell ref="R52:S53"/>
    <mergeCell ref="T52:W53"/>
    <mergeCell ref="X52:Y53"/>
    <mergeCell ref="Z52:AA53"/>
    <mergeCell ref="AB52:AC53"/>
    <mergeCell ref="AD52:AE53"/>
    <mergeCell ref="AF52:AG53"/>
    <mergeCell ref="AH52:AJ53"/>
    <mergeCell ref="AK52:AM53"/>
    <mergeCell ref="AN52:AQ53"/>
    <mergeCell ref="AU52:AU53"/>
    <mergeCell ref="AV52:AV53"/>
    <mergeCell ref="AY48:AY49"/>
    <mergeCell ref="C48:E49"/>
    <mergeCell ref="F48:K49"/>
    <mergeCell ref="L48:O49"/>
    <mergeCell ref="P48:Q49"/>
    <mergeCell ref="R48:S49"/>
    <mergeCell ref="T48:W49"/>
    <mergeCell ref="X48:Y49"/>
    <mergeCell ref="Z48:AA49"/>
    <mergeCell ref="AB48:AC49"/>
    <mergeCell ref="AW52:AW53"/>
    <mergeCell ref="AX52:AX53"/>
    <mergeCell ref="AY52:AY53"/>
    <mergeCell ref="F50:K51"/>
    <mergeCell ref="L50:O51"/>
    <mergeCell ref="P50:Q51"/>
    <mergeCell ref="R50:S51"/>
    <mergeCell ref="BB44:BB45"/>
    <mergeCell ref="BC44:BC45"/>
    <mergeCell ref="BD44:BD45"/>
    <mergeCell ref="BE44:BE45"/>
    <mergeCell ref="AZ48:AZ49"/>
    <mergeCell ref="BA48:BA49"/>
    <mergeCell ref="BB48:BB49"/>
    <mergeCell ref="BC48:BC49"/>
    <mergeCell ref="BD48:BD49"/>
    <mergeCell ref="BE48:BE49"/>
    <mergeCell ref="AX48:AX49"/>
    <mergeCell ref="T50:W51"/>
    <mergeCell ref="X50:Y51"/>
    <mergeCell ref="Z50:AA51"/>
    <mergeCell ref="AB50:AC51"/>
    <mergeCell ref="AD50:AE51"/>
    <mergeCell ref="AF50:AG51"/>
    <mergeCell ref="AH50:AJ51"/>
    <mergeCell ref="AK50:AM51"/>
    <mergeCell ref="AN50:AQ51"/>
    <mergeCell ref="AU50:AU51"/>
    <mergeCell ref="AV50:AV51"/>
    <mergeCell ref="AW50:AW51"/>
    <mergeCell ref="AD48:AE49"/>
    <mergeCell ref="AF48:AG49"/>
    <mergeCell ref="AH48:AJ49"/>
    <mergeCell ref="AK48:AM49"/>
    <mergeCell ref="AN48:AQ49"/>
    <mergeCell ref="AU48:AU49"/>
    <mergeCell ref="AV48:AV49"/>
    <mergeCell ref="AW48:AW49"/>
    <mergeCell ref="C42:E43"/>
    <mergeCell ref="F42:K43"/>
    <mergeCell ref="L42:O43"/>
    <mergeCell ref="P42:Q43"/>
    <mergeCell ref="R42:S43"/>
    <mergeCell ref="T42:W43"/>
    <mergeCell ref="X42:Y43"/>
    <mergeCell ref="Z42:AA43"/>
    <mergeCell ref="AB42:AC43"/>
    <mergeCell ref="AW46:AW47"/>
    <mergeCell ref="AX46:AX47"/>
    <mergeCell ref="AY46:AY47"/>
    <mergeCell ref="F44:K45"/>
    <mergeCell ref="L44:O45"/>
    <mergeCell ref="P44:Q45"/>
    <mergeCell ref="R44:S45"/>
    <mergeCell ref="AZ46:AZ47"/>
    <mergeCell ref="AF44:AG45"/>
    <mergeCell ref="AH44:AJ45"/>
    <mergeCell ref="AK44:AM45"/>
    <mergeCell ref="AN44:AQ45"/>
    <mergeCell ref="AU44:AU45"/>
    <mergeCell ref="AV44:AV45"/>
    <mergeCell ref="AW44:AW45"/>
    <mergeCell ref="AD42:AE43"/>
    <mergeCell ref="AF42:AG43"/>
    <mergeCell ref="AH42:AJ43"/>
    <mergeCell ref="AK42:AM43"/>
    <mergeCell ref="AN42:AQ43"/>
    <mergeCell ref="AU42:AU43"/>
    <mergeCell ref="AV42:AV43"/>
    <mergeCell ref="AW42:AW43"/>
    <mergeCell ref="AZ42:AZ43"/>
    <mergeCell ref="BA42:BA43"/>
    <mergeCell ref="BB42:BB43"/>
    <mergeCell ref="BC42:BC43"/>
    <mergeCell ref="BD42:BD43"/>
    <mergeCell ref="BE42:BE43"/>
    <mergeCell ref="AX42:AX43"/>
    <mergeCell ref="AY42:AY43"/>
    <mergeCell ref="F46:K47"/>
    <mergeCell ref="L46:O47"/>
    <mergeCell ref="P46:Q47"/>
    <mergeCell ref="R46:S47"/>
    <mergeCell ref="T46:W47"/>
    <mergeCell ref="X46:Y47"/>
    <mergeCell ref="Z46:AA47"/>
    <mergeCell ref="AB46:AC47"/>
    <mergeCell ref="AD46:AE47"/>
    <mergeCell ref="AF46:AG47"/>
    <mergeCell ref="AH46:AJ47"/>
    <mergeCell ref="AK46:AM47"/>
    <mergeCell ref="AN46:AQ47"/>
    <mergeCell ref="AU46:AU47"/>
    <mergeCell ref="AV46:AV47"/>
    <mergeCell ref="BA46:BA47"/>
    <mergeCell ref="BB46:BB47"/>
    <mergeCell ref="BC46:BC47"/>
    <mergeCell ref="BD46:BD47"/>
    <mergeCell ref="BE46:BE47"/>
    <mergeCell ref="AX44:AX45"/>
    <mergeCell ref="AY44:AY45"/>
    <mergeCell ref="AZ44:AZ45"/>
    <mergeCell ref="BA44:BA45"/>
    <mergeCell ref="AW40:AW41"/>
    <mergeCell ref="AX40:AX41"/>
    <mergeCell ref="AY40:AY41"/>
    <mergeCell ref="P40:Q41"/>
    <mergeCell ref="R40:S41"/>
    <mergeCell ref="T40:W41"/>
    <mergeCell ref="X40:Y41"/>
    <mergeCell ref="F40:K41"/>
    <mergeCell ref="L40:O41"/>
    <mergeCell ref="BB40:BB41"/>
    <mergeCell ref="BC40:BC41"/>
    <mergeCell ref="BD40:BD41"/>
    <mergeCell ref="BE40:BE41"/>
    <mergeCell ref="AX38:AX39"/>
    <mergeCell ref="AY38:AY39"/>
    <mergeCell ref="AZ38:AZ39"/>
    <mergeCell ref="BA38:BA39"/>
    <mergeCell ref="BB38:BB39"/>
    <mergeCell ref="BC38:BC39"/>
    <mergeCell ref="BD38:BD39"/>
    <mergeCell ref="BE38:BE39"/>
    <mergeCell ref="AZ40:AZ41"/>
    <mergeCell ref="BA40:BA41"/>
    <mergeCell ref="AK40:AM41"/>
    <mergeCell ref="AN40:AQ41"/>
    <mergeCell ref="AU40:AU41"/>
    <mergeCell ref="AV40:AV41"/>
    <mergeCell ref="AF36:AG37"/>
    <mergeCell ref="AH36:AJ37"/>
    <mergeCell ref="AK36:AM37"/>
    <mergeCell ref="AN36:AQ37"/>
    <mergeCell ref="AU36:AU37"/>
    <mergeCell ref="AV36:AV37"/>
    <mergeCell ref="AW36:AW37"/>
    <mergeCell ref="AX36:AX37"/>
    <mergeCell ref="AY36:AY37"/>
    <mergeCell ref="C36:E37"/>
    <mergeCell ref="F36:K37"/>
    <mergeCell ref="L36:O37"/>
    <mergeCell ref="P36:Q37"/>
    <mergeCell ref="R36:S37"/>
    <mergeCell ref="T36:W37"/>
    <mergeCell ref="X36:Y37"/>
    <mergeCell ref="Z36:AA37"/>
    <mergeCell ref="AB36:AC37"/>
    <mergeCell ref="B138:B139"/>
    <mergeCell ref="B140:B141"/>
    <mergeCell ref="B142:B143"/>
    <mergeCell ref="Z40:AA41"/>
    <mergeCell ref="AB40:AC41"/>
    <mergeCell ref="AD40:AE41"/>
    <mergeCell ref="AF40:AG41"/>
    <mergeCell ref="AH40:AJ41"/>
    <mergeCell ref="AZ36:AZ37"/>
    <mergeCell ref="BA36:BA37"/>
    <mergeCell ref="BB36:BB37"/>
    <mergeCell ref="BC36:BC37"/>
    <mergeCell ref="BD36:BD37"/>
    <mergeCell ref="BE36:BE37"/>
    <mergeCell ref="C38:E39"/>
    <mergeCell ref="F38:K39"/>
    <mergeCell ref="L38:O39"/>
    <mergeCell ref="P38:Q39"/>
    <mergeCell ref="R38:S39"/>
    <mergeCell ref="T38:W39"/>
    <mergeCell ref="X38:Y39"/>
    <mergeCell ref="Z38:AA39"/>
    <mergeCell ref="AB38:AC39"/>
    <mergeCell ref="AD38:AE39"/>
    <mergeCell ref="AF38:AG39"/>
    <mergeCell ref="AH38:AJ39"/>
    <mergeCell ref="AK38:AM39"/>
    <mergeCell ref="AN38:AQ39"/>
    <mergeCell ref="AU38:AU39"/>
    <mergeCell ref="AV38:AV39"/>
    <mergeCell ref="AW38:AW39"/>
    <mergeCell ref="AD36:AE37"/>
    <mergeCell ref="AV34:AV35"/>
    <mergeCell ref="AX32:AX33"/>
    <mergeCell ref="AY32:AY33"/>
    <mergeCell ref="AW34:AW35"/>
    <mergeCell ref="B136:B137"/>
    <mergeCell ref="B114:B115"/>
    <mergeCell ref="B116:B117"/>
    <mergeCell ref="B118:B119"/>
    <mergeCell ref="B120:B121"/>
    <mergeCell ref="AU20:AU21"/>
    <mergeCell ref="AU22:AU23"/>
    <mergeCell ref="AU24:AU25"/>
    <mergeCell ref="AU26:AU27"/>
    <mergeCell ref="AU28:AU29"/>
    <mergeCell ref="AU30:AU31"/>
    <mergeCell ref="AX200:AX201"/>
    <mergeCell ref="AE11:AN13"/>
    <mergeCell ref="B62:B63"/>
    <mergeCell ref="B64:B65"/>
    <mergeCell ref="B44:B45"/>
    <mergeCell ref="B46:B47"/>
    <mergeCell ref="P32:Q33"/>
    <mergeCell ref="P34:Q35"/>
    <mergeCell ref="R32:S33"/>
    <mergeCell ref="R34:S35"/>
    <mergeCell ref="T32:W33"/>
    <mergeCell ref="T34:W35"/>
    <mergeCell ref="L32:O33"/>
    <mergeCell ref="L34:O35"/>
    <mergeCell ref="AX34:AX35"/>
    <mergeCell ref="B180:B181"/>
    <mergeCell ref="B182:B183"/>
    <mergeCell ref="AW28:AW29"/>
    <mergeCell ref="AW30:AW31"/>
    <mergeCell ref="AW32:AW33"/>
    <mergeCell ref="AZ28:AZ29"/>
    <mergeCell ref="BA28:BA29"/>
    <mergeCell ref="BB30:BB31"/>
    <mergeCell ref="BB32:BB33"/>
    <mergeCell ref="AV30:AV31"/>
    <mergeCell ref="AZ30:AZ31"/>
    <mergeCell ref="B144:B145"/>
    <mergeCell ref="B146:B147"/>
    <mergeCell ref="B148:B149"/>
    <mergeCell ref="AY34:AY35"/>
    <mergeCell ref="BC34:BC35"/>
    <mergeCell ref="F32:K33"/>
    <mergeCell ref="F34:K35"/>
    <mergeCell ref="Z34:AA35"/>
    <mergeCell ref="AB34:AC35"/>
    <mergeCell ref="AD34:AE35"/>
    <mergeCell ref="AF34:AG35"/>
    <mergeCell ref="AH34:AJ35"/>
    <mergeCell ref="X32:Y33"/>
    <mergeCell ref="X34:Y35"/>
    <mergeCell ref="Z32:AA33"/>
    <mergeCell ref="AN34:AQ35"/>
    <mergeCell ref="AK34:AM35"/>
    <mergeCell ref="AB32:AC33"/>
    <mergeCell ref="AD32:AE33"/>
    <mergeCell ref="AF32:AG33"/>
    <mergeCell ref="AH32:AJ33"/>
    <mergeCell ref="AN32:AQ33"/>
    <mergeCell ref="AK32:AM33"/>
    <mergeCell ref="B150:B151"/>
    <mergeCell ref="B152:B153"/>
    <mergeCell ref="B154:B155"/>
    <mergeCell ref="B156:B157"/>
    <mergeCell ref="B158:B159"/>
    <mergeCell ref="B162:B163"/>
    <mergeCell ref="B164:B165"/>
    <mergeCell ref="B166:B167"/>
    <mergeCell ref="B168:B169"/>
    <mergeCell ref="B170:B171"/>
    <mergeCell ref="B172:B173"/>
    <mergeCell ref="B174:B175"/>
    <mergeCell ref="B176:B177"/>
    <mergeCell ref="B178:B179"/>
    <mergeCell ref="M200:AG201"/>
    <mergeCell ref="B186:B187"/>
    <mergeCell ref="B188:B189"/>
    <mergeCell ref="B190:B191"/>
    <mergeCell ref="B192:B193"/>
    <mergeCell ref="B194:B195"/>
    <mergeCell ref="B196:B197"/>
    <mergeCell ref="B184:B185"/>
    <mergeCell ref="B199:AR199"/>
    <mergeCell ref="B160:B161"/>
    <mergeCell ref="B134:B135"/>
    <mergeCell ref="B112:B113"/>
    <mergeCell ref="B100:B101"/>
    <mergeCell ref="B102:B103"/>
    <mergeCell ref="B104:B105"/>
    <mergeCell ref="B106:B107"/>
    <mergeCell ref="B108:B109"/>
    <mergeCell ref="B110:B111"/>
    <mergeCell ref="B36:B37"/>
    <mergeCell ref="B38:B39"/>
    <mergeCell ref="B40:B41"/>
    <mergeCell ref="B42:B43"/>
    <mergeCell ref="B48:B49"/>
    <mergeCell ref="B50:B51"/>
    <mergeCell ref="B52:B53"/>
    <mergeCell ref="B54:B55"/>
    <mergeCell ref="B56:B57"/>
    <mergeCell ref="B58:B59"/>
    <mergeCell ref="B60:B61"/>
    <mergeCell ref="B84:B85"/>
    <mergeCell ref="B86:B87"/>
    <mergeCell ref="B88:B89"/>
    <mergeCell ref="B90:B91"/>
    <mergeCell ref="B92:B93"/>
    <mergeCell ref="B94:B95"/>
    <mergeCell ref="C18:E19"/>
    <mergeCell ref="C20:E21"/>
    <mergeCell ref="C22:E23"/>
    <mergeCell ref="C24:E25"/>
    <mergeCell ref="C26:E27"/>
    <mergeCell ref="B18:B19"/>
    <mergeCell ref="B20:B21"/>
    <mergeCell ref="B22:B23"/>
    <mergeCell ref="B24:B25"/>
    <mergeCell ref="B26:B27"/>
    <mergeCell ref="B28:B29"/>
    <mergeCell ref="B122:B123"/>
    <mergeCell ref="B124:B125"/>
    <mergeCell ref="B126:B127"/>
    <mergeCell ref="B128:B129"/>
    <mergeCell ref="B130:B131"/>
    <mergeCell ref="B132:B133"/>
    <mergeCell ref="C40:E41"/>
    <mergeCell ref="C44:E45"/>
    <mergeCell ref="C46:E47"/>
    <mergeCell ref="C50:E51"/>
    <mergeCell ref="C52:E53"/>
    <mergeCell ref="C56:E57"/>
    <mergeCell ref="C58:E59"/>
    <mergeCell ref="C62:E63"/>
    <mergeCell ref="C64:E65"/>
    <mergeCell ref="C68:E69"/>
    <mergeCell ref="C70:E71"/>
    <mergeCell ref="C74:E75"/>
    <mergeCell ref="C76:E77"/>
    <mergeCell ref="C80:E81"/>
    <mergeCell ref="C82:E83"/>
    <mergeCell ref="F16:K17"/>
    <mergeCell ref="X16:Y17"/>
    <mergeCell ref="Z16:AA17"/>
    <mergeCell ref="L18:O19"/>
    <mergeCell ref="P18:Q19"/>
    <mergeCell ref="R18:S19"/>
    <mergeCell ref="F22:K23"/>
    <mergeCell ref="Z22:AA23"/>
    <mergeCell ref="T18:W19"/>
    <mergeCell ref="AB18:AC19"/>
    <mergeCell ref="AB22:AC23"/>
    <mergeCell ref="AD22:AE23"/>
    <mergeCell ref="F20:K21"/>
    <mergeCell ref="P20:Q21"/>
    <mergeCell ref="P22:Q23"/>
    <mergeCell ref="R20:S21"/>
    <mergeCell ref="R22:S23"/>
    <mergeCell ref="L20:O21"/>
    <mergeCell ref="L22:O23"/>
    <mergeCell ref="BE14:BE15"/>
    <mergeCell ref="BC16:BC17"/>
    <mergeCell ref="BE16:BE17"/>
    <mergeCell ref="BC18:BC19"/>
    <mergeCell ref="AH14:AJ15"/>
    <mergeCell ref="AF16:AG17"/>
    <mergeCell ref="AH16:AJ17"/>
    <mergeCell ref="AD14:AG14"/>
    <mergeCell ref="AD15:AE15"/>
    <mergeCell ref="BE18:BE19"/>
    <mergeCell ref="AF15:AG15"/>
    <mergeCell ref="BA14:BA15"/>
    <mergeCell ref="BB16:BB17"/>
    <mergeCell ref="BB18:BB19"/>
    <mergeCell ref="AN14:AQ15"/>
    <mergeCell ref="AK14:AM15"/>
    <mergeCell ref="BD16:BD17"/>
    <mergeCell ref="BD14:BD15"/>
    <mergeCell ref="AV16:AV17"/>
    <mergeCell ref="AU14:AU15"/>
    <mergeCell ref="AU16:AU17"/>
    <mergeCell ref="AU18:AU19"/>
    <mergeCell ref="BD18:BD19"/>
    <mergeCell ref="AV14:AV15"/>
    <mergeCell ref="AX14:AX15"/>
    <mergeCell ref="AY14:AY15"/>
    <mergeCell ref="AZ14:AZ15"/>
    <mergeCell ref="AD16:AE17"/>
    <mergeCell ref="BC20:BC21"/>
    <mergeCell ref="BB14:BB15"/>
    <mergeCell ref="AQ1:AR1"/>
    <mergeCell ref="AQ2:AR3"/>
    <mergeCell ref="AH1:AK1"/>
    <mergeCell ref="AL1:AP1"/>
    <mergeCell ref="AH2:AK3"/>
    <mergeCell ref="AL2:AP3"/>
    <mergeCell ref="BD22:BD23"/>
    <mergeCell ref="BD20:BD21"/>
    <mergeCell ref="AX16:AX17"/>
    <mergeCell ref="AY16:AY17"/>
    <mergeCell ref="AZ16:AZ17"/>
    <mergeCell ref="BA16:BA17"/>
    <mergeCell ref="AV18:AV19"/>
    <mergeCell ref="AX18:AX19"/>
    <mergeCell ref="AY18:AY19"/>
    <mergeCell ref="AZ18:AZ19"/>
    <mergeCell ref="BA18:BA19"/>
    <mergeCell ref="AV20:AV21"/>
    <mergeCell ref="AX20:AX21"/>
    <mergeCell ref="AN16:AQ17"/>
    <mergeCell ref="AK20:AM21"/>
    <mergeCell ref="AW20:AW21"/>
    <mergeCell ref="AW22:AW23"/>
    <mergeCell ref="BC14:BC15"/>
    <mergeCell ref="AH18:AJ19"/>
    <mergeCell ref="AN18:AQ19"/>
    <mergeCell ref="AK18:AM19"/>
    <mergeCell ref="BA20:BA21"/>
    <mergeCell ref="AW16:AW17"/>
    <mergeCell ref="AW18:AW19"/>
    <mergeCell ref="BE20:BE21"/>
    <mergeCell ref="BC22:BC23"/>
    <mergeCell ref="BE22:BE23"/>
    <mergeCell ref="AX30:AX31"/>
    <mergeCell ref="AY30:AY31"/>
    <mergeCell ref="AV26:AV27"/>
    <mergeCell ref="AX26:AX27"/>
    <mergeCell ref="F26:K27"/>
    <mergeCell ref="F24:K25"/>
    <mergeCell ref="AU32:AU33"/>
    <mergeCell ref="AU34:AU35"/>
    <mergeCell ref="AD26:AE27"/>
    <mergeCell ref="AF26:AG27"/>
    <mergeCell ref="X28:Y29"/>
    <mergeCell ref="T30:W31"/>
    <mergeCell ref="T28:W29"/>
    <mergeCell ref="C14:E15"/>
    <mergeCell ref="C16:E17"/>
    <mergeCell ref="L14:O15"/>
    <mergeCell ref="L16:O17"/>
    <mergeCell ref="P14:Q15"/>
    <mergeCell ref="P16:Q17"/>
    <mergeCell ref="F14:K15"/>
    <mergeCell ref="R16:S17"/>
    <mergeCell ref="R14:S15"/>
    <mergeCell ref="T14:W15"/>
    <mergeCell ref="X14:Y15"/>
    <mergeCell ref="Z14:AA15"/>
    <mergeCell ref="AB14:AC15"/>
    <mergeCell ref="AB16:AC17"/>
    <mergeCell ref="P24:Q25"/>
    <mergeCell ref="P26:Q27"/>
    <mergeCell ref="BC24:BC25"/>
    <mergeCell ref="BE24:BE25"/>
    <mergeCell ref="BC26:BC27"/>
    <mergeCell ref="BE26:BE27"/>
    <mergeCell ref="BC28:BC29"/>
    <mergeCell ref="BE28:BE29"/>
    <mergeCell ref="BC30:BC31"/>
    <mergeCell ref="BE30:BE31"/>
    <mergeCell ref="BC32:BC33"/>
    <mergeCell ref="BE32:BE33"/>
    <mergeCell ref="BD32:BD33"/>
    <mergeCell ref="BD24:BD25"/>
    <mergeCell ref="BD28:BD29"/>
    <mergeCell ref="BD34:BD35"/>
    <mergeCell ref="BD30:BD31"/>
    <mergeCell ref="BD26:BD27"/>
    <mergeCell ref="AF22:AG23"/>
    <mergeCell ref="AV22:AV23"/>
    <mergeCell ref="AX22:AX23"/>
    <mergeCell ref="AY22:AY23"/>
    <mergeCell ref="AZ22:AZ23"/>
    <mergeCell ref="BA22:BA23"/>
    <mergeCell ref="BB22:BB23"/>
    <mergeCell ref="BB24:BB25"/>
    <mergeCell ref="BB26:BB27"/>
    <mergeCell ref="BB28:BB29"/>
    <mergeCell ref="BA32:BA33"/>
    <mergeCell ref="BA30:BA31"/>
    <mergeCell ref="AV32:AV33"/>
    <mergeCell ref="AZ32:AZ33"/>
    <mergeCell ref="AW24:AW25"/>
    <mergeCell ref="AW26:AW27"/>
    <mergeCell ref="L28:O29"/>
    <mergeCell ref="L30:O31"/>
    <mergeCell ref="B16:B17"/>
    <mergeCell ref="BB34:BB35"/>
    <mergeCell ref="AN28:AQ29"/>
    <mergeCell ref="AK28:AM29"/>
    <mergeCell ref="AN24:AQ25"/>
    <mergeCell ref="AK24:AM25"/>
    <mergeCell ref="AZ34:AZ35"/>
    <mergeCell ref="BA34:BA35"/>
    <mergeCell ref="AV24:AV25"/>
    <mergeCell ref="AX24:AX25"/>
    <mergeCell ref="AY24:AY25"/>
    <mergeCell ref="AZ24:AZ25"/>
    <mergeCell ref="BA24:BA25"/>
    <mergeCell ref="AY26:AY27"/>
    <mergeCell ref="AZ26:AZ27"/>
    <mergeCell ref="BA26:BA27"/>
    <mergeCell ref="AV28:AV29"/>
    <mergeCell ref="AX28:AX29"/>
    <mergeCell ref="AY28:AY29"/>
    <mergeCell ref="AY20:AY21"/>
    <mergeCell ref="AZ20:AZ21"/>
    <mergeCell ref="BB20:BB21"/>
    <mergeCell ref="F18:K19"/>
    <mergeCell ref="F28:K29"/>
    <mergeCell ref="R24:S25"/>
    <mergeCell ref="R26:S27"/>
    <mergeCell ref="L24:O25"/>
    <mergeCell ref="L26:O27"/>
    <mergeCell ref="X24:Y25"/>
    <mergeCell ref="X26:Y27"/>
    <mergeCell ref="F30:K31"/>
    <mergeCell ref="Z30:AA31"/>
    <mergeCell ref="AB30:AC31"/>
    <mergeCell ref="AD30:AE31"/>
    <mergeCell ref="AF30:AG31"/>
    <mergeCell ref="X22:Y23"/>
    <mergeCell ref="AB26:AC27"/>
    <mergeCell ref="X18:Y19"/>
    <mergeCell ref="Z18:AA19"/>
    <mergeCell ref="AD18:AE19"/>
    <mergeCell ref="AF18:AG19"/>
    <mergeCell ref="Z24:AA25"/>
    <mergeCell ref="AB24:AC25"/>
    <mergeCell ref="AD24:AE25"/>
    <mergeCell ref="B96:B97"/>
    <mergeCell ref="B98:B99"/>
    <mergeCell ref="B66:B67"/>
    <mergeCell ref="B68:B69"/>
    <mergeCell ref="B70:B71"/>
    <mergeCell ref="B72:B73"/>
    <mergeCell ref="B74:B75"/>
    <mergeCell ref="B78:B79"/>
    <mergeCell ref="B80:B81"/>
    <mergeCell ref="B82:B83"/>
    <mergeCell ref="B76:B77"/>
    <mergeCell ref="B30:B31"/>
    <mergeCell ref="B32:B33"/>
    <mergeCell ref="B34:B35"/>
    <mergeCell ref="C28:E29"/>
    <mergeCell ref="C30:E31"/>
    <mergeCell ref="C32:E33"/>
    <mergeCell ref="C34:E35"/>
    <mergeCell ref="P30:Q31"/>
    <mergeCell ref="R28:S29"/>
    <mergeCell ref="R30:S31"/>
    <mergeCell ref="X30:Y31"/>
    <mergeCell ref="T44:W45"/>
    <mergeCell ref="X44:Y45"/>
    <mergeCell ref="Z44:AA45"/>
    <mergeCell ref="AB44:AC45"/>
    <mergeCell ref="AD44:AE45"/>
    <mergeCell ref="BI14:BI15"/>
    <mergeCell ref="BI16:BI17"/>
    <mergeCell ref="BI18:BI19"/>
    <mergeCell ref="BI20:BI21"/>
    <mergeCell ref="BI22:BI23"/>
    <mergeCell ref="BI24:BI25"/>
    <mergeCell ref="BI26:BI27"/>
    <mergeCell ref="BI28:BI29"/>
    <mergeCell ref="BI30:BI31"/>
    <mergeCell ref="BI32:BI33"/>
    <mergeCell ref="BI34:BI35"/>
    <mergeCell ref="T24:W25"/>
    <mergeCell ref="T26:W27"/>
    <mergeCell ref="AH30:AJ31"/>
    <mergeCell ref="AN30:AQ31"/>
    <mergeCell ref="AK30:AM31"/>
    <mergeCell ref="Z28:AA29"/>
    <mergeCell ref="AB28:AC29"/>
    <mergeCell ref="AD28:AE29"/>
    <mergeCell ref="AF28:AG29"/>
    <mergeCell ref="AH28:AJ29"/>
    <mergeCell ref="P28:Q29"/>
    <mergeCell ref="BE34:BE35"/>
    <mergeCell ref="N9:AG10"/>
    <mergeCell ref="Z26:AA27"/>
    <mergeCell ref="AH26:AJ27"/>
    <mergeCell ref="AN26:AQ27"/>
    <mergeCell ref="AK26:AM27"/>
    <mergeCell ref="AF24:AG25"/>
    <mergeCell ref="AH24:AJ25"/>
    <mergeCell ref="AH22:AJ23"/>
    <mergeCell ref="AN22:AQ23"/>
    <mergeCell ref="AK22:AM23"/>
    <mergeCell ref="Z20:AA21"/>
    <mergeCell ref="AB20:AC21"/>
    <mergeCell ref="AD20:AE21"/>
    <mergeCell ref="AF20:AG21"/>
    <mergeCell ref="AH20:AJ21"/>
    <mergeCell ref="AN20:AQ21"/>
    <mergeCell ref="R11:U11"/>
    <mergeCell ref="V11:Y11"/>
    <mergeCell ref="Z11:AC11"/>
    <mergeCell ref="X20:Y21"/>
    <mergeCell ref="AK16:AM17"/>
    <mergeCell ref="R12:U13"/>
    <mergeCell ref="V12:Y13"/>
    <mergeCell ref="Z12:AC13"/>
    <mergeCell ref="T16:W17"/>
    <mergeCell ref="T20:W21"/>
    <mergeCell ref="T22:W23"/>
  </mergeCells>
  <conditionalFormatting sqref="L16:AG115">
    <cfRule type="expression" dxfId="109" priority="6">
      <formula>AND($F16&lt;&gt;"",L16="")</formula>
    </cfRule>
  </conditionalFormatting>
  <conditionalFormatting sqref="AE11">
    <cfRule type="expression" dxfId="108" priority="30">
      <formula>IF(OR($AN$16="Not Cost Effective Submit for Review",$AN$18="Not Cost Effective Submit for Review",$AN$20="Not Cost Effective Submit for Review",$AN$22="Not Cost Effective Submit for Review",$AN$24="Not Cost Effective Submit for Review",$AN$26="Not Cost Effective Submit for Review",$AN$28="Not Cost Effective Submit for Review",$AN$30="Not Cost Effective Submit for Review",$AN$32="Not Cost Effective Submit for Review",$AN$34="Not Cost Effective Submit for Review"),TRUE,FALSE)</formula>
    </cfRule>
  </conditionalFormatting>
  <conditionalFormatting sqref="AH2 AL2">
    <cfRule type="expression" dxfId="107" priority="52">
      <formula>PROJSTATUS=PROJSTATELI</formula>
    </cfRule>
    <cfRule type="expression" dxfId="106" priority="53">
      <formula>PROJSTATUS=PROJSTATREVIEW</formula>
    </cfRule>
    <cfRule type="expression" dxfId="105" priority="57">
      <formula>PROJSTATUS=PROJSTATPREAPPROVE</formula>
    </cfRule>
    <cfRule type="expression" dxfId="104" priority="58">
      <formula>PROJSTATUS=PROJSTATSTANDARD</formula>
    </cfRule>
    <cfRule type="expression" dxfId="103" priority="59">
      <formula>PROJSTATUS=PROJSTATEXP</formula>
    </cfRule>
  </conditionalFormatting>
  <conditionalFormatting sqref="AN16 AN18 AN20 AN22 AN24 AN26 AN28 AN30 AN32 AN34 AN36 AN38 AN40 AN42 AN44 AN46 AN48 AN50 AN52 AN54 AN56 AN58 AN60 AN62 AN64 AN66 AN68 AN70 AN72 AN74 AN76 AN78 AN80 AN82 AN84 AN86 AN88 AN90 AN92 AN94 AN96 AN98 AN100 AN102 AN104 AN106 AN108">
    <cfRule type="expression" dxfId="102" priority="48">
      <formula>ISNUMBER(AN16)=FALSE</formula>
    </cfRule>
  </conditionalFormatting>
  <conditionalFormatting sqref="AN110 AN112 AN114">
    <cfRule type="expression" dxfId="101" priority="11">
      <formula>ISNUMBER(AN110)=FALSE</formula>
    </cfRule>
  </conditionalFormatting>
  <conditionalFormatting sqref="AQ2:AR3">
    <cfRule type="cellIs" dxfId="100" priority="54" operator="equal">
      <formula>1</formula>
    </cfRule>
    <cfRule type="cellIs" dxfId="99" priority="55" operator="between">
      <formula>0.51</formula>
      <formula>0.99</formula>
    </cfRule>
    <cfRule type="cellIs" dxfId="98" priority="56" operator="lessThanOrEqual">
      <formula>0.5</formula>
    </cfRule>
  </conditionalFormatting>
  <conditionalFormatting sqref="AW16:AW115">
    <cfRule type="expression" dxfId="97" priority="12">
      <formula>IF(OR(C16="",F16="",F16="",L16="",P16="",R16="",T16="",X16="",Z16="",AB16="",AD16="",AF16=""),FALSE,IF($AW16="",TRUE,FALSE))</formula>
    </cfRule>
  </conditionalFormatting>
  <conditionalFormatting sqref="AY16:AY111 AY114:AY115">
    <cfRule type="expression" dxfId="96" priority="10">
      <formula>C16="Custom"</formula>
    </cfRule>
  </conditionalFormatting>
  <conditionalFormatting sqref="AY112:AY113">
    <cfRule type="expression" dxfId="95" priority="3">
      <formula>B112="New Construction"</formula>
    </cfRule>
  </conditionalFormatting>
  <conditionalFormatting sqref="AZ16:AZ109">
    <cfRule type="expression" dxfId="94" priority="40">
      <formula>C16="New Construction"</formula>
    </cfRule>
  </conditionalFormatting>
  <conditionalFormatting sqref="AZ114:AZ115">
    <cfRule type="expression" dxfId="93" priority="9">
      <formula>C114="New Construction"</formula>
    </cfRule>
  </conditionalFormatting>
  <conditionalFormatting sqref="AZ110:BA113">
    <cfRule type="expression" dxfId="92" priority="4">
      <formula>D110="Custom"</formula>
    </cfRule>
  </conditionalFormatting>
  <conditionalFormatting sqref="BA16:BA109">
    <cfRule type="expression" dxfId="91" priority="39">
      <formula>C16="RCx"</formula>
    </cfRule>
  </conditionalFormatting>
  <conditionalFormatting sqref="BA114:BA115">
    <cfRule type="expression" dxfId="90" priority="8">
      <formula>C114="RCx"</formula>
    </cfRule>
  </conditionalFormatting>
  <conditionalFormatting sqref="BF112:BH115">
    <cfRule type="expression" dxfId="89" priority="1">
      <formula>I112="New Construction"</formula>
    </cfRule>
  </conditionalFormatting>
  <dataValidations xWindow="919" yWindow="563" count="9">
    <dataValidation type="decimal" allowBlank="1" showInputMessage="1" showErrorMessage="1" error="Please enter a numerical value" prompt="This is the TOTAL Labor Cost of the measure, NOT a per unit basis._x000a__x000a_For installation of new equipment, this is the incremental labor cost. This may equal zero if the installation costs would be the same for both the baseline and efficient equipment. " sqref="AF16:AG115" xr:uid="{00000000-0002-0000-1F00-000000000000}">
      <formula1>0</formula1>
      <formula2>999999999</formula2>
    </dataValidation>
    <dataValidation type="decimal" allowBlank="1" showInputMessage="1" showErrorMessage="1" error="Please enter a numerical value" prompt="This is the TOTAL Material Cost of the measure, NOT a per unit basis._x000a__x000a_For installation of new equipment, this is the incremental material cost (total cost difference between purchasing the baseline equipment and the equipment being installed)." sqref="AD16:AE35" xr:uid="{00000000-0002-0000-1F00-000001000000}">
      <formula1>0</formula1>
      <formula2>999999999</formula2>
    </dataValidation>
    <dataValidation type="list" allowBlank="1" showInputMessage="1" showErrorMessage="1" prompt="Select the measure type that is closest to the selections in this list. If not listed, select &quot;Other&quot;." sqref="F16:K111" xr:uid="{00000000-0002-0000-1F00-000002000000}">
      <formula1>PROGRAMECAT1</formula1>
    </dataValidation>
    <dataValidation type="decimal" allowBlank="1" showInputMessage="1" showErrorMessage="1" error="Please enter a numerical value" sqref="P34 P16 P18 P20 P32 P30 P24 P26 P28 P22 X16:Y35" xr:uid="{00000000-0002-0000-1F00-000003000000}">
      <formula1>0</formula1>
      <formula2>999999</formula2>
    </dataValidation>
    <dataValidation type="decimal" allowBlank="1" showInputMessage="1" showErrorMessage="1" prompt="Enter the annual kWh usage per unit of the new equipment." sqref="Z16:AA35" xr:uid="{00000000-0002-0000-1F00-000004000000}">
      <formula1>0</formula1>
      <formula2>999999999</formula2>
    </dataValidation>
    <dataValidation type="decimal" allowBlank="1" showInputMessage="1" showErrorMessage="1" prompt="Enter the annual kWh usage per unit of the existing equipment." sqref="R16:S35" xr:uid="{00000000-0002-0000-1F00-000005000000}">
      <formula1>0</formula1>
      <formula2>999999999</formula2>
    </dataValidation>
    <dataValidation allowBlank="1" showInputMessage="1" showErrorMessage="1" prompt="Enter equipment description and/or name plate details of the existing equipment being replaced._x000a__x000a_For new replacements, enter the code-minimum equipment or control strategy that could be installed in lieu of the more efficient option." sqref="L16:O35" xr:uid="{00000000-0002-0000-1F00-000006000000}"/>
    <dataValidation type="list" allowBlank="1" showInputMessage="1" showErrorMessage="1" prompt="Select the project type using the dropdown._x000a__x000a_If you want to change this field, delete the data in the &quot;Measure Type&quot; field first." sqref="C16:E111" xr:uid="{00000000-0002-0000-1F00-000007000000}">
      <formula1>IF(ISBLANK(F16),NONPRESCPROGRAM,"")</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B16:AC115" xr:uid="{00000000-0002-0000-1F00-000008000000}">
      <formula1>"Total,Incremental"</formula1>
    </dataValidation>
  </dataValidations>
  <hyperlinks>
    <hyperlink ref="B202" r:id="rId1" xr:uid="{94B17D16-DFD6-48AA-A5D2-236AB61F7F3D}"/>
  </hyperlinks>
  <pageMargins left="0.25" right="0.25" top="0.25" bottom="0.25" header="0.25" footer="0.25"/>
  <pageSetup scale="45" fitToHeight="0" orientation="landscape" r:id="rId2"/>
  <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pageSetUpPr fitToPage="1"/>
  </sheetPr>
  <dimension ref="A1:BZ203"/>
  <sheetViews>
    <sheetView showGridLines="0" showRowColHeaders="0" zoomScale="85" zoomScaleNormal="85" workbookViewId="0">
      <selection activeCell="C16" sqref="C16:E17"/>
    </sheetView>
  </sheetViews>
  <sheetFormatPr defaultColWidth="0" defaultRowHeight="0" customHeight="1" zeroHeight="1"/>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7" ht="15.95" customHeight="1">
      <c r="AH1" s="1073" t="s">
        <v>471</v>
      </c>
      <c r="AI1" s="1073"/>
      <c r="AJ1" s="1073"/>
      <c r="AK1" s="1073"/>
      <c r="AL1" s="1074" t="s">
        <v>736</v>
      </c>
      <c r="AM1" s="1074"/>
      <c r="AN1" s="1074"/>
      <c r="AO1" s="1074"/>
      <c r="AP1" s="1074"/>
      <c r="AQ1" s="1072" t="s">
        <v>474</v>
      </c>
      <c r="AR1" s="1072"/>
    </row>
    <row r="2" spans="2:57" ht="15.95" customHeight="1">
      <c r="AH2" s="683" t="str">
        <f ca="1">INCENSTATUS</f>
        <v>---</v>
      </c>
      <c r="AI2" s="684"/>
      <c r="AJ2" s="684"/>
      <c r="AK2" s="684"/>
      <c r="AL2" s="685" t="str">
        <f ca="1">PROJSTATUS</f>
        <v>Enter Measures</v>
      </c>
      <c r="AM2" s="685"/>
      <c r="AN2" s="685"/>
      <c r="AO2" s="685"/>
      <c r="AP2" s="685"/>
      <c r="AQ2" s="679">
        <f ca="1">PROGRESSSTATUS</f>
        <v>2.8985507246376812E-2</v>
      </c>
      <c r="AR2" s="680"/>
    </row>
    <row r="3" spans="2:57" ht="15.95" customHeight="1">
      <c r="AH3" s="675"/>
      <c r="AI3" s="676"/>
      <c r="AJ3" s="676"/>
      <c r="AK3" s="676"/>
      <c r="AL3" s="668"/>
      <c r="AM3" s="668"/>
      <c r="AN3" s="668"/>
      <c r="AO3" s="668"/>
      <c r="AP3" s="668"/>
      <c r="AQ3" s="662"/>
      <c r="AR3" s="663"/>
    </row>
    <row r="4" spans="2:57" ht="15.95" customHeight="1"/>
    <row r="5" spans="2:57" ht="15.95" customHeight="1"/>
    <row r="6" spans="2:57" ht="15.95" customHeight="1">
      <c r="AU6" s="59" t="s">
        <v>907</v>
      </c>
      <c r="AV6" s="59">
        <f>PROJID</f>
        <v>0</v>
      </c>
      <c r="AY6"/>
    </row>
    <row r="7" spans="2:57" ht="15.95" customHeight="1">
      <c r="AU7" s="87"/>
      <c r="AV7" s="87" t="s">
        <v>866</v>
      </c>
      <c r="AW7" s="87" t="s">
        <v>231</v>
      </c>
      <c r="AX7" s="87" t="s">
        <v>892</v>
      </c>
      <c r="AY7"/>
    </row>
    <row r="8" spans="2:57" ht="15.95" customHeight="1">
      <c r="AU8" s="87" t="s">
        <v>219</v>
      </c>
      <c r="AV8" s="87" t="str">
        <f ca="1">CBPRESE</f>
        <v>NA</v>
      </c>
      <c r="AW8" s="87" t="str">
        <f ca="1">CBCUSE</f>
        <v>NA</v>
      </c>
      <c r="AX8" s="87" t="str">
        <f ca="1">CBALL</f>
        <v>NA</v>
      </c>
      <c r="AY8"/>
    </row>
    <row r="9" spans="2:57" ht="15.95" customHeight="1">
      <c r="B9" s="59"/>
      <c r="C9" s="59"/>
      <c r="D9" s="59"/>
      <c r="E9" s="59"/>
      <c r="F9" s="59"/>
      <c r="G9" s="59"/>
      <c r="H9" s="59"/>
      <c r="I9" s="59"/>
      <c r="J9" s="59"/>
      <c r="K9" s="59"/>
      <c r="L9" s="59"/>
      <c r="M9" s="59"/>
      <c r="N9" s="59"/>
      <c r="O9" s="730" t="str">
        <f>CONCATENATE(M4S4," ","Summary")</f>
        <v>Custom / RCx / New Construction
 (Gas) Summary</v>
      </c>
      <c r="P9" s="730"/>
      <c r="Q9" s="730"/>
      <c r="R9" s="730"/>
      <c r="S9" s="730"/>
      <c r="T9" s="730"/>
      <c r="U9" s="730"/>
      <c r="V9" s="730"/>
      <c r="W9" s="730"/>
      <c r="X9" s="730"/>
      <c r="Y9" s="730"/>
      <c r="Z9" s="730"/>
      <c r="AA9" s="730"/>
      <c r="AB9" s="730"/>
      <c r="AC9" s="730"/>
      <c r="AD9" s="730"/>
      <c r="AE9" s="730"/>
      <c r="AG9" s="173"/>
      <c r="AH9" s="173"/>
      <c r="AI9" s="59"/>
      <c r="AJ9" s="59"/>
      <c r="AK9" s="59"/>
      <c r="AL9" s="59"/>
      <c r="AM9" s="59"/>
      <c r="AN9" s="59"/>
      <c r="AO9" s="59"/>
      <c r="AP9" s="59"/>
      <c r="AQ9" s="59"/>
      <c r="AR9" s="59"/>
      <c r="AU9" s="87"/>
      <c r="AV9" s="87"/>
      <c r="AW9" s="87"/>
      <c r="AX9" s="87"/>
      <c r="AY9"/>
    </row>
    <row r="10" spans="2:57" ht="15.95" customHeight="1">
      <c r="B10" s="59"/>
      <c r="C10" s="59"/>
      <c r="D10" s="59"/>
      <c r="E10" s="59"/>
      <c r="F10" s="59"/>
      <c r="G10" s="59"/>
      <c r="H10" s="59"/>
      <c r="I10" s="59"/>
      <c r="J10" s="59"/>
      <c r="K10" s="59"/>
      <c r="L10" s="59"/>
      <c r="M10" s="59"/>
      <c r="N10" s="59"/>
      <c r="O10" s="730"/>
      <c r="P10" s="730"/>
      <c r="Q10" s="730"/>
      <c r="R10" s="730"/>
      <c r="S10" s="730"/>
      <c r="T10" s="730"/>
      <c r="U10" s="730"/>
      <c r="V10" s="730"/>
      <c r="W10" s="730"/>
      <c r="X10" s="730"/>
      <c r="Y10" s="730"/>
      <c r="Z10" s="730"/>
      <c r="AA10" s="730"/>
      <c r="AB10" s="730"/>
      <c r="AC10" s="730"/>
      <c r="AD10" s="730"/>
      <c r="AE10" s="730"/>
      <c r="AG10" s="173"/>
      <c r="AH10" s="173"/>
      <c r="AI10" s="59"/>
      <c r="AJ10" s="59"/>
      <c r="AK10" s="59"/>
      <c r="AL10" s="59"/>
      <c r="AM10" s="59"/>
      <c r="AN10" s="59"/>
      <c r="AO10" s="59"/>
      <c r="AP10" s="59"/>
      <c r="AQ10" s="59"/>
      <c r="AR10" s="59"/>
      <c r="AU10" s="87" t="s">
        <v>581</v>
      </c>
      <c r="AV10" s="87" t="str">
        <f ca="1">PAYPRESE</f>
        <v>NA</v>
      </c>
      <c r="AW10" s="87" t="str">
        <f ca="1">PAYCUSE</f>
        <v>NA</v>
      </c>
      <c r="AX10" s="367" t="str">
        <f ca="1">PAYALL</f>
        <v>NA</v>
      </c>
      <c r="AY10"/>
    </row>
    <row r="11" spans="2:57" ht="15.95" customHeight="1">
      <c r="B11" s="59"/>
      <c r="C11" s="59"/>
      <c r="D11" s="59"/>
      <c r="E11" s="59"/>
      <c r="F11" s="59"/>
      <c r="G11" s="59"/>
      <c r="H11" s="59"/>
      <c r="I11" s="59"/>
      <c r="J11" s="59"/>
      <c r="K11" s="59"/>
      <c r="L11" s="59"/>
      <c r="M11" s="59"/>
      <c r="N11" s="59"/>
      <c r="O11" s="59"/>
      <c r="P11" s="59"/>
      <c r="Q11" s="59"/>
      <c r="R11" s="831" t="s">
        <v>68</v>
      </c>
      <c r="S11" s="831"/>
      <c r="T11" s="831"/>
      <c r="U11" s="831"/>
      <c r="V11" s="831" t="s">
        <v>69</v>
      </c>
      <c r="W11" s="831"/>
      <c r="X11" s="831"/>
      <c r="Y11" s="831"/>
      <c r="Z11" s="831" t="s">
        <v>198</v>
      </c>
      <c r="AA11" s="831"/>
      <c r="AB11" s="831"/>
      <c r="AC11" s="831"/>
      <c r="AD11" s="59"/>
      <c r="AE11" s="1192" t="s">
        <v>1407</v>
      </c>
      <c r="AF11" s="1192"/>
      <c r="AG11" s="1192"/>
      <c r="AH11" s="1192"/>
      <c r="AI11" s="1192"/>
      <c r="AJ11" s="1192"/>
      <c r="AK11" s="1192"/>
      <c r="AL11" s="1192"/>
      <c r="AM11" s="1192"/>
      <c r="AN11" s="1192"/>
      <c r="AO11" s="59"/>
      <c r="AP11" s="59"/>
      <c r="AQ11" s="59"/>
      <c r="AR11" s="59"/>
      <c r="AU11" s="88"/>
      <c r="AY11"/>
    </row>
    <row r="12" spans="2:57" ht="15.95" customHeight="1">
      <c r="B12" s="59"/>
      <c r="C12" s="59"/>
      <c r="D12" s="59"/>
      <c r="E12" s="59"/>
      <c r="F12" s="59"/>
      <c r="G12" s="59"/>
      <c r="H12" s="59"/>
      <c r="I12" s="59"/>
      <c r="J12" s="59"/>
      <c r="K12" s="59"/>
      <c r="L12" s="59"/>
      <c r="M12" s="59"/>
      <c r="N12" s="59"/>
      <c r="O12" s="59"/>
      <c r="P12" s="59"/>
      <c r="Q12" s="59"/>
      <c r="R12" s="875">
        <f>SUM(AN16:AQ199)</f>
        <v>0</v>
      </c>
      <c r="S12" s="875"/>
      <c r="T12" s="875"/>
      <c r="U12" s="875"/>
      <c r="V12" s="875">
        <f ca="1">SUMIF(AN16:AQ198,"&gt;0",AH16:AJ198)</f>
        <v>0</v>
      </c>
      <c r="W12" s="875"/>
      <c r="X12" s="875"/>
      <c r="Y12" s="875"/>
      <c r="Z12" s="997">
        <f ca="1">SUMIF(AN16:AQ198,"&gt;0",AK16:AM198)</f>
        <v>0</v>
      </c>
      <c r="AA12" s="997"/>
      <c r="AB12" s="997"/>
      <c r="AC12" s="997"/>
      <c r="AD12" s="59"/>
      <c r="AE12" s="1192"/>
      <c r="AF12" s="1192"/>
      <c r="AG12" s="1192"/>
      <c r="AH12" s="1192"/>
      <c r="AI12" s="1192"/>
      <c r="AJ12" s="1192"/>
      <c r="AK12" s="1192"/>
      <c r="AL12" s="1192"/>
      <c r="AM12" s="1192"/>
      <c r="AN12" s="1192"/>
      <c r="AO12" s="59"/>
      <c r="AP12" s="59"/>
      <c r="AQ12" s="59"/>
      <c r="AR12" s="59"/>
    </row>
    <row r="13" spans="2:57" ht="15.95" customHeight="1">
      <c r="B13" s="59"/>
      <c r="C13" s="59"/>
      <c r="D13" s="59"/>
      <c r="E13" s="59"/>
      <c r="F13" s="59"/>
      <c r="G13" s="59"/>
      <c r="H13" s="59"/>
      <c r="I13" s="59"/>
      <c r="J13" s="59"/>
      <c r="K13" s="59"/>
      <c r="L13" s="59"/>
      <c r="M13" s="59"/>
      <c r="N13" s="59"/>
      <c r="O13" s="59"/>
      <c r="P13" s="59"/>
      <c r="Q13" s="59"/>
      <c r="R13" s="875"/>
      <c r="S13" s="875"/>
      <c r="T13" s="875"/>
      <c r="U13" s="875"/>
      <c r="V13" s="875"/>
      <c r="W13" s="875"/>
      <c r="X13" s="875"/>
      <c r="Y13" s="875"/>
      <c r="Z13" s="997"/>
      <c r="AA13" s="997"/>
      <c r="AB13" s="997"/>
      <c r="AC13" s="997"/>
      <c r="AD13" s="388"/>
      <c r="AE13" s="1192"/>
      <c r="AF13" s="1192"/>
      <c r="AG13" s="1192"/>
      <c r="AH13" s="1192"/>
      <c r="AI13" s="1192"/>
      <c r="AJ13" s="1192"/>
      <c r="AK13" s="1192"/>
      <c r="AL13" s="1192"/>
      <c r="AM13" s="1192"/>
      <c r="AN13" s="1192"/>
      <c r="AO13" s="59"/>
      <c r="AP13" s="59"/>
      <c r="AQ13" s="59"/>
      <c r="AR13" s="59"/>
    </row>
    <row r="14" spans="2:57" ht="15.95" customHeight="1">
      <c r="B14" s="59"/>
      <c r="C14" s="804" t="s">
        <v>808</v>
      </c>
      <c r="D14" s="804"/>
      <c r="E14" s="804"/>
      <c r="F14" s="804" t="s">
        <v>737</v>
      </c>
      <c r="G14" s="804"/>
      <c r="H14" s="804"/>
      <c r="I14" s="804"/>
      <c r="J14" s="804"/>
      <c r="K14" s="804"/>
      <c r="L14" s="804" t="s">
        <v>734</v>
      </c>
      <c r="M14" s="804"/>
      <c r="N14" s="804"/>
      <c r="O14" s="804"/>
      <c r="P14" s="804" t="s">
        <v>91</v>
      </c>
      <c r="Q14" s="804"/>
      <c r="R14" s="1141" t="s">
        <v>1391</v>
      </c>
      <c r="S14" s="1141"/>
      <c r="T14" s="1141" t="s">
        <v>233</v>
      </c>
      <c r="U14" s="1141"/>
      <c r="V14" s="1141"/>
      <c r="W14" s="1141"/>
      <c r="X14" s="1141" t="s">
        <v>91</v>
      </c>
      <c r="Y14" s="1141"/>
      <c r="Z14" s="1141" t="s">
        <v>1391</v>
      </c>
      <c r="AA14" s="1141"/>
      <c r="AB14" s="804" t="s">
        <v>1390</v>
      </c>
      <c r="AC14" s="804"/>
      <c r="AD14" s="1189" t="s">
        <v>196</v>
      </c>
      <c r="AE14" s="1189"/>
      <c r="AF14" s="1189"/>
      <c r="AG14" s="1189"/>
      <c r="AH14" s="804" t="s">
        <v>109</v>
      </c>
      <c r="AI14" s="804"/>
      <c r="AJ14" s="804"/>
      <c r="AK14" s="804" t="s">
        <v>1163</v>
      </c>
      <c r="AL14" s="804"/>
      <c r="AM14" s="804"/>
      <c r="AN14" s="804" t="s">
        <v>108</v>
      </c>
      <c r="AO14" s="804"/>
      <c r="AP14" s="804"/>
      <c r="AQ14" s="804"/>
      <c r="AR14" s="59"/>
      <c r="AU14" s="804" t="s">
        <v>100</v>
      </c>
      <c r="AV14" s="804" t="s">
        <v>219</v>
      </c>
      <c r="AW14" s="804"/>
      <c r="AX14" s="804" t="s">
        <v>1364</v>
      </c>
      <c r="AY14" s="804" t="s">
        <v>1363</v>
      </c>
      <c r="AZ14" s="804" t="s">
        <v>1365</v>
      </c>
      <c r="BA14" s="804" t="s">
        <v>149</v>
      </c>
      <c r="BB14" s="804" t="s">
        <v>581</v>
      </c>
      <c r="BC14" s="804" t="s">
        <v>141</v>
      </c>
      <c r="BD14" s="804" t="s">
        <v>2405</v>
      </c>
      <c r="BE14" s="804" t="s">
        <v>489</v>
      </c>
    </row>
    <row r="15" spans="2:57" ht="15.95" customHeight="1" thickBot="1">
      <c r="B15" s="59"/>
      <c r="C15" s="805"/>
      <c r="D15" s="805"/>
      <c r="E15" s="805"/>
      <c r="F15" s="805"/>
      <c r="G15" s="805"/>
      <c r="H15" s="805"/>
      <c r="I15" s="805"/>
      <c r="J15" s="805"/>
      <c r="K15" s="805"/>
      <c r="L15" s="805"/>
      <c r="M15" s="805"/>
      <c r="N15" s="805"/>
      <c r="O15" s="805"/>
      <c r="P15" s="805"/>
      <c r="Q15" s="805"/>
      <c r="R15" s="805"/>
      <c r="S15" s="805"/>
      <c r="T15" s="805"/>
      <c r="U15" s="805"/>
      <c r="V15" s="805"/>
      <c r="W15" s="805"/>
      <c r="X15" s="805"/>
      <c r="Y15" s="805"/>
      <c r="Z15" s="804"/>
      <c r="AA15" s="804"/>
      <c r="AB15" s="805"/>
      <c r="AC15" s="805"/>
      <c r="AD15" s="805" t="s">
        <v>110</v>
      </c>
      <c r="AE15" s="805"/>
      <c r="AF15" s="805" t="s">
        <v>111</v>
      </c>
      <c r="AG15" s="805"/>
      <c r="AH15" s="805"/>
      <c r="AI15" s="805"/>
      <c r="AJ15" s="805"/>
      <c r="AK15" s="805"/>
      <c r="AL15" s="805"/>
      <c r="AM15" s="805"/>
      <c r="AN15" s="805"/>
      <c r="AO15" s="805"/>
      <c r="AP15" s="805"/>
      <c r="AQ15" s="805"/>
      <c r="AR15" s="59"/>
      <c r="AU15" s="805"/>
      <c r="AV15" s="805"/>
      <c r="AW15" s="805"/>
      <c r="AX15" s="805"/>
      <c r="AY15" s="805"/>
      <c r="AZ15" s="805"/>
      <c r="BA15" s="805"/>
      <c r="BB15" s="805"/>
      <c r="BC15" s="805"/>
      <c r="BD15" s="805"/>
      <c r="BE15" s="805"/>
    </row>
    <row r="16" spans="2:57" ht="15.95" customHeight="1">
      <c r="B16" s="830">
        <v>1</v>
      </c>
      <c r="C16" s="1204"/>
      <c r="D16" s="1204"/>
      <c r="E16" s="1204"/>
      <c r="F16" s="1087"/>
      <c r="G16" s="1087"/>
      <c r="H16" s="1087"/>
      <c r="I16" s="1087"/>
      <c r="J16" s="1087"/>
      <c r="K16" s="1087"/>
      <c r="L16" s="866"/>
      <c r="M16" s="867"/>
      <c r="N16" s="867"/>
      <c r="O16" s="868"/>
      <c r="P16" s="846"/>
      <c r="Q16" s="847"/>
      <c r="R16" s="1208"/>
      <c r="S16" s="1209"/>
      <c r="T16" s="1220"/>
      <c r="U16" s="1220"/>
      <c r="V16" s="1220"/>
      <c r="W16" s="1220"/>
      <c r="X16" s="1206"/>
      <c r="Y16" s="1207"/>
      <c r="Z16" s="1208"/>
      <c r="AA16" s="1209"/>
      <c r="AB16" s="1165" t="str">
        <f t="shared" ref="AB16" si="0">IF(C16="New Construction","Incremental","")</f>
        <v/>
      </c>
      <c r="AC16" s="1165"/>
      <c r="AD16" s="869"/>
      <c r="AE16" s="1091"/>
      <c r="AF16" s="1193" t="str">
        <f t="shared" ref="AF16" si="1">IF(AB16="Incremental",0,"")</f>
        <v/>
      </c>
      <c r="AG16" s="1194"/>
      <c r="AH16" s="865" t="str">
        <f>IF(OR(C16="",F16="",L16="",P16="",R16="",T16="",X16="",Z16="",AD16="",AF16=""),"",ROUND(AD16+AF16,2))</f>
        <v/>
      </c>
      <c r="AI16" s="1096"/>
      <c r="AJ16" s="1096"/>
      <c r="AK16" s="1210" t="str">
        <f>IF(OR(C16="",F16="",F16="",L16="",P16="",R16="",T16="",X16="",Z16="",AD16="",AF16=""),"",IF((P16*R16)-(X16*Z16)&lt;=0,0,ROUND((P16*R16)-(X16*Z16),2)))</f>
        <v/>
      </c>
      <c r="AL16" s="1210"/>
      <c r="AM16" s="1210"/>
      <c r="AN16" s="1132" t="str">
        <f>IF(OR(C16="",F16="",F16="",L16="",P16="",R16="",T16="",X16="",Z16="",AD16="",AF16=""),"",IF(BE16&lt;&gt;"",BE16,IF(C16="Custom",AX16,IF(C16="New Construction",AY16,IF(C16="RCx",AZ16)))))</f>
        <v/>
      </c>
      <c r="AO16" s="1132"/>
      <c r="AP16" s="1132"/>
      <c r="AQ16" s="1132"/>
      <c r="AR16" s="59"/>
      <c r="AU16" s="1103" t="str">
        <f>IF(F16="","",INDEX(CUSTNONLIGHTGUNIT,MATCH(F16,PROGRAMGCAT[Category 1],0)))</f>
        <v/>
      </c>
      <c r="AV16" s="1103" t="str">
        <f>IF(OR(C16="",F16="",L16="",P16="",R16="",T16="",X16="",Z16="",AD16="",AF16=""),"",((1+GLOSS)*((AK16*INDEX(GASCB[NPV GAEC $/therm],MATCH(BA16,GASCB[Year Number],1))))/AH16))</f>
        <v/>
      </c>
      <c r="AW16" s="1203"/>
      <c r="AX16" s="1180" t="str">
        <f>IF(OR(C16="",F16="",L16="",P16="",R16="",T16="",X16="",Z16="",AB16="",AD16="",AF16=""),"",IF(AB16="Total",ROUND(MIN(AH16*0.75,AK16*INDEX(INCRATE[Gas],MATCH("CMNONLIGHT",INCRATE[Incentive Type]))),2),IF(AB16="Incremental",ROUND(MIN(AH16,AK16*INDEX(INCRATE[Gas],MATCH("CMNONLIGHT",INCRATE[Incentive Type]))),2))))</f>
        <v/>
      </c>
      <c r="AY16" s="1180" t="str">
        <f>IF(OR(C16="",F16="",L16="",P16="",R16="",T16="",X16="",Z16="",AB16="",AD16="",AF16=""),"",IF(AB16="Total",ROUND(MIN(AH16*0.75,AK16*INDEX(INCRATE[Gas],MATCH("NCNONLIGHT",INCRATE[Incentive Type]))),2),IF(AB16="Incremental",ROUND(MIN(AH16,AK16*INDEX(INCRATE[Gas],MATCH("NCNONLIGHT",INCRATE[Incentive Type]))),2))))</f>
        <v/>
      </c>
      <c r="AZ16" s="1180" t="str">
        <f>IF(OR(C16="",F16="",L16="",P16="",R16="",T16="",X16="",Z16="",AB16="",AD16="",AF16=""),"",IF(AB16="Total",ROUND(MIN(AH16*0.75,AK16*INDEX(INCRATE[Gas],MATCH("RCX",INCRATE[Incentive Type]))),2),IF(AB16="Incremental",ROUND(MIN(AH16,AK16*INDEX(INCRATE[Gas],MATCH("RCX",INCRATE[Incentive Type]))),2))))</f>
        <v/>
      </c>
      <c r="BA16" s="1097" t="str">
        <f>IF(F16="","",INDEX(PROGRAMGCAT[EUL],MATCH(F16,PROGRAMGCAT[Category 1],0)))</f>
        <v/>
      </c>
      <c r="BB16" s="1097" t="str">
        <f>IFERROR(AH16/M02S02F36/AK16,"")</f>
        <v/>
      </c>
      <c r="BC16" s="1190" t="str">
        <f>IF(OR(C16="",F16="",L16="",P16="",R16="",T16="",X16="",Z16="",AD16="",AF16=""),"",IF(ISNUMBER(AN16),INDEX(PROGRAMGCAT[Measure Number],MATCH(F16,PROGRAMGCAT[Category 1],0)),IF(AK16=0,"","000001")))</f>
        <v/>
      </c>
      <c r="BD16" s="1190" t="str">
        <f>IF(OR(C16="",F16="",L16="",P16="",R16="",T16="",X16="",Z16="",AD16="",AF16=""),"",IF(OR(C16="RCx",C16="Custom"),"Custom",IF(C16="New Construction","New Construction")))</f>
        <v/>
      </c>
      <c r="BE16" s="1097" t="str" cm="1">
        <f t="array" ref="BE16">IFERROR(_xlfn.SINGLE(IF((P16*R16)-(X16*Z16)&lt;=0,MEASURESAV,IF(M02S02F36="",MEASURERATE,IF(AND(OR(F16="Others (Incremental)",F16="Others"),M05S07F03=""),MEASURESUBMIT, IF(AND(OR(ISNUMBER(SEARCH({"Custom","New Construction"},C16))),BB16&lt;1),MEASUREPAY,IF(AV16&lt;1,MEASURECB,"")))))),MEASURESUBMIT)</f>
        <v>Submit for Review</v>
      </c>
    </row>
    <row r="17" spans="2:57" ht="15.95" customHeight="1">
      <c r="B17" s="830"/>
      <c r="C17" s="1205"/>
      <c r="D17" s="1205"/>
      <c r="E17" s="1205"/>
      <c r="F17" s="1088"/>
      <c r="G17" s="1088"/>
      <c r="H17" s="1088"/>
      <c r="I17" s="1088"/>
      <c r="J17" s="1088"/>
      <c r="K17" s="1088"/>
      <c r="L17" s="835"/>
      <c r="M17" s="836"/>
      <c r="N17" s="836"/>
      <c r="O17" s="837"/>
      <c r="P17" s="848"/>
      <c r="Q17" s="849"/>
      <c r="R17" s="1110"/>
      <c r="S17" s="1111"/>
      <c r="T17" s="1219"/>
      <c r="U17" s="1219"/>
      <c r="V17" s="1219"/>
      <c r="W17" s="1219"/>
      <c r="X17" s="848"/>
      <c r="Y17" s="849"/>
      <c r="Z17" s="1110"/>
      <c r="AA17" s="1111"/>
      <c r="AB17" s="1166"/>
      <c r="AC17" s="1166"/>
      <c r="AD17" s="870"/>
      <c r="AE17" s="1092"/>
      <c r="AF17" s="1195"/>
      <c r="AG17" s="1196"/>
      <c r="AH17" s="1130"/>
      <c r="AI17" s="1131"/>
      <c r="AJ17" s="1131"/>
      <c r="AK17" s="1211"/>
      <c r="AL17" s="1211"/>
      <c r="AM17" s="1211"/>
      <c r="AN17" s="1133"/>
      <c r="AO17" s="1133"/>
      <c r="AP17" s="1133"/>
      <c r="AQ17" s="1133"/>
      <c r="AR17" s="59"/>
      <c r="AU17" s="1102"/>
      <c r="AV17" s="1102"/>
      <c r="AW17" s="1098"/>
      <c r="AX17" s="1098"/>
      <c r="AY17" s="1098"/>
      <c r="AZ17" s="1098"/>
      <c r="BA17" s="1098"/>
      <c r="BB17" s="1098"/>
      <c r="BC17" s="1184"/>
      <c r="BD17" s="1184"/>
      <c r="BE17" s="1098"/>
    </row>
    <row r="18" spans="2:57" ht="15.95" customHeight="1">
      <c r="B18" s="829">
        <v>2</v>
      </c>
      <c r="C18" s="1204"/>
      <c r="D18" s="1204"/>
      <c r="E18" s="1204"/>
      <c r="F18" s="1087"/>
      <c r="G18" s="1087"/>
      <c r="H18" s="1087"/>
      <c r="I18" s="1087"/>
      <c r="J18" s="1087"/>
      <c r="K18" s="1087"/>
      <c r="L18" s="866"/>
      <c r="M18" s="867"/>
      <c r="N18" s="867"/>
      <c r="O18" s="868"/>
      <c r="P18" s="846"/>
      <c r="Q18" s="847"/>
      <c r="R18" s="1108"/>
      <c r="S18" s="1109"/>
      <c r="T18" s="1218"/>
      <c r="U18" s="1218"/>
      <c r="V18" s="1218"/>
      <c r="W18" s="1218"/>
      <c r="X18" s="871"/>
      <c r="Y18" s="872"/>
      <c r="Z18" s="1108"/>
      <c r="AA18" s="1109"/>
      <c r="AB18" s="1165" t="str">
        <f t="shared" ref="AB18" si="2">IF(C18="New Construction","Incremental","")</f>
        <v/>
      </c>
      <c r="AC18" s="1165"/>
      <c r="AD18" s="869"/>
      <c r="AE18" s="1091"/>
      <c r="AF18" s="1193" t="str">
        <f t="shared" ref="AF18" si="3">IF(AB18="Incremental",0,"")</f>
        <v/>
      </c>
      <c r="AG18" s="1194"/>
      <c r="AH18" s="865" t="str">
        <f t="shared" ref="AH18" si="4">IF(OR(C18="",F18="",L18="",P18="",R18="",T18="",X18="",Z18="",AD18="",AF18=""),"",ROUND(AD18+AF18,2))</f>
        <v/>
      </c>
      <c r="AI18" s="1096"/>
      <c r="AJ18" s="1096"/>
      <c r="AK18" s="998" t="str">
        <f t="shared" ref="AK18" si="5">IF(OR(C18="",F18="",F18="",L18="",P18="",R18="",T18="",X18="",Z18="",AD18="",AF18=""),"",IF((P18*R18)-(X18*Z18)&lt;=0,0,ROUND((P18*R18)-(X18*Z18),2)))</f>
        <v/>
      </c>
      <c r="AL18" s="999"/>
      <c r="AM18" s="1000"/>
      <c r="AN18" s="1132" t="str">
        <f>IF(OR(C18="",F18="",F18="",L18="",P18="",R18="",T18="",X18="",Z18="",AD18="",AF18=""),"",IF(BE18&lt;&gt;"",BE18,IF(C18="Custom",AX18,IF(C18="New Construction",AY18,IF(C18="RCx",AZ18)))))</f>
        <v/>
      </c>
      <c r="AO18" s="1132"/>
      <c r="AP18" s="1132"/>
      <c r="AQ18" s="1132"/>
      <c r="AR18" s="59"/>
      <c r="AU18" s="1103" t="str">
        <f>IF(F18="","",INDEX(CUSTNONLIGHTGUNIT,MATCH(F18,PROGRAMGCAT[Category 1],0)))</f>
        <v/>
      </c>
      <c r="AV18" s="1103" t="str">
        <f>IF(OR(C18="",F18="",L18="",P18="",R18="",T18="",X18="",Z18="",AD18="",AF18=""),"",((1+GLOSS)*((AK18*INDEX(GASCB[NPV GAEC $/therm],MATCH(BA18,GASCB[Year Number],1))))/AH18))</f>
        <v/>
      </c>
      <c r="AW18" s="1097"/>
      <c r="AX18" s="1180" t="str">
        <f>IF(OR(C18="",F18="",L18="",P18="",R18="",T18="",X18="",Z18="",AB18="",AD18="",AF18=""),"",IF(AB18="Total",ROUND(MIN(AH18*0.75,AK18*INDEX(INCRATE[Gas],MATCH("CMNONLIGHT",INCRATE[Incentive Type]))),2),IF(AB18="Incremental",ROUND(MIN(AH18,AK18*INDEX(INCRATE[Gas],MATCH("CMNONLIGHT",INCRATE[Incentive Type]))),2))))</f>
        <v/>
      </c>
      <c r="AY18" s="1180" t="str">
        <f>IF(OR(C18="",F18="",L18="",P18="",R18="",T18="",X18="",Z18="",AB18="",AD18="",AF18=""),"",IF(AB18="Total",ROUND(MIN(AH18*0.75,AK18*INDEX(INCRATE[Gas],MATCH("NCNONLIGHT",INCRATE[Incentive Type]))),2),IF(AB18="Incremental",ROUND(MIN(AH18,AK18*INDEX(INCRATE[Gas],MATCH("NCNONLIGHT",INCRATE[Incentive Type]))),2))))</f>
        <v/>
      </c>
      <c r="AZ18" s="1180" t="str">
        <f>IF(OR(C18="",F18="",L18="",P18="",R18="",T18="",X18="",Z18="",AB18="",AD18="",AF18=""),"",IF(AB18="Total",ROUND(MIN(AH18*0.75,AK18*INDEX(INCRATE[Gas],MATCH("RCX",INCRATE[Incentive Type]))),2),IF(AB18="Incremental",ROUND(MIN(AH18,AK18*INDEX(INCRATE[Gas],MATCH("RCX",INCRATE[Incentive Type]))),2))))</f>
        <v/>
      </c>
      <c r="BA18" s="1097" t="str">
        <f>IF(F18="","",INDEX(PROGRAMGCAT[EUL],MATCH(F18,PROGRAMGCAT[Category 1],0)))</f>
        <v/>
      </c>
      <c r="BB18" s="1097" t="str">
        <f>IFERROR(AH18/M02S02F36/AK18,"")</f>
        <v/>
      </c>
      <c r="BC18" s="1190" t="str">
        <f>IF(OR(C18="",F18="",L18="",P18="",R18="",T18="",X18="",Z18="",AD18="",AF18=""),"",IF(ISNUMBER(AN18),INDEX(PROGRAMGCAT[Measure Number],MATCH(F18,PROGRAMGCAT[Category 1],0)),IF(AK18=0,"","000001")))</f>
        <v/>
      </c>
      <c r="BD18" s="1190"/>
      <c r="BE18" s="1097" t="str" cm="1">
        <f t="array" ref="BE18">IFERROR(_xlfn.SINGLE(IF((P18*R18)-(X18*Z18)&lt;=0,MEASURESAV,IF(M02S02F36="",MEASURERATE,IF(AND(OR(F18="Others (Incremental)",F18="Others"),M05S07F03=""),MEASURESUBMIT, IF(AND(OR(ISNUMBER(SEARCH({"Custom","New Construction"},C18))),BB18&lt;1),MEASUREPAY,IF(AV18&lt;1,MEASURECB,"")))))),MEASURESUBMIT)</f>
        <v>Submit for Review</v>
      </c>
    </row>
    <row r="19" spans="2:57" ht="15.95" customHeight="1">
      <c r="B19" s="829"/>
      <c r="C19" s="1205"/>
      <c r="D19" s="1205"/>
      <c r="E19" s="1205"/>
      <c r="F19" s="1088"/>
      <c r="G19" s="1088"/>
      <c r="H19" s="1088"/>
      <c r="I19" s="1088"/>
      <c r="J19" s="1088"/>
      <c r="K19" s="1088"/>
      <c r="L19" s="835"/>
      <c r="M19" s="836"/>
      <c r="N19" s="836"/>
      <c r="O19" s="837"/>
      <c r="P19" s="848"/>
      <c r="Q19" s="849"/>
      <c r="R19" s="1110"/>
      <c r="S19" s="1111"/>
      <c r="T19" s="1219"/>
      <c r="U19" s="1219"/>
      <c r="V19" s="1219"/>
      <c r="W19" s="1219"/>
      <c r="X19" s="848"/>
      <c r="Y19" s="849"/>
      <c r="Z19" s="1110"/>
      <c r="AA19" s="1111"/>
      <c r="AB19" s="1166"/>
      <c r="AC19" s="1166"/>
      <c r="AD19" s="870"/>
      <c r="AE19" s="1092"/>
      <c r="AF19" s="1195"/>
      <c r="AG19" s="1196"/>
      <c r="AH19" s="1130"/>
      <c r="AI19" s="1131"/>
      <c r="AJ19" s="1131"/>
      <c r="AK19" s="1001"/>
      <c r="AL19" s="1002"/>
      <c r="AM19" s="1003"/>
      <c r="AN19" s="1133"/>
      <c r="AO19" s="1133"/>
      <c r="AP19" s="1133"/>
      <c r="AQ19" s="1133"/>
      <c r="AR19" s="59"/>
      <c r="AU19" s="1102"/>
      <c r="AV19" s="1102"/>
      <c r="AW19" s="1098"/>
      <c r="AX19" s="1098"/>
      <c r="AY19" s="1098"/>
      <c r="AZ19" s="1098"/>
      <c r="BA19" s="1098"/>
      <c r="BB19" s="1098"/>
      <c r="BC19" s="1184"/>
      <c r="BD19" s="1184"/>
      <c r="BE19" s="1098"/>
    </row>
    <row r="20" spans="2:57" ht="15.95" customHeight="1">
      <c r="B20" s="829">
        <v>3</v>
      </c>
      <c r="C20" s="1212"/>
      <c r="D20" s="1213"/>
      <c r="E20" s="1214"/>
      <c r="F20" s="866"/>
      <c r="G20" s="867"/>
      <c r="H20" s="867"/>
      <c r="I20" s="867"/>
      <c r="J20" s="867"/>
      <c r="K20" s="868"/>
      <c r="L20" s="866"/>
      <c r="M20" s="867"/>
      <c r="N20" s="867"/>
      <c r="O20" s="868"/>
      <c r="P20" s="871"/>
      <c r="Q20" s="872"/>
      <c r="R20" s="1108"/>
      <c r="S20" s="1109"/>
      <c r="T20" s="1108"/>
      <c r="U20" s="1218"/>
      <c r="V20" s="1218"/>
      <c r="W20" s="1109"/>
      <c r="X20" s="871"/>
      <c r="Y20" s="872"/>
      <c r="Z20" s="1108"/>
      <c r="AA20" s="1109"/>
      <c r="AB20" s="1165" t="str">
        <f t="shared" ref="AB20" si="6">IF(C20="New Construction","Incremental","")</f>
        <v/>
      </c>
      <c r="AC20" s="1165"/>
      <c r="AD20" s="869"/>
      <c r="AE20" s="1091"/>
      <c r="AF20" s="1193" t="str">
        <f t="shared" ref="AF20" si="7">IF(AB20="Incremental",0,"")</f>
        <v/>
      </c>
      <c r="AG20" s="1194"/>
      <c r="AH20" s="865" t="str">
        <f t="shared" ref="AH20" si="8">IF(OR(C20="",F20="",L20="",P20="",R20="",T20="",X20="",Z20="",AD20="",AF20=""),"",ROUND(AD20+AF20,2))</f>
        <v/>
      </c>
      <c r="AI20" s="1096"/>
      <c r="AJ20" s="1096"/>
      <c r="AK20" s="998" t="str">
        <f t="shared" ref="AK20" si="9">IF(OR(C20="",F20="",F20="",L20="",P20="",R20="",T20="",X20="",Z20="",AD20="",AF20=""),"",IF((P20*R20)-(X20*Z20)&lt;=0,0,ROUND((P20*R20)-(X20*Z20),2)))</f>
        <v/>
      </c>
      <c r="AL20" s="999"/>
      <c r="AM20" s="1000"/>
      <c r="AN20" s="1132" t="str">
        <f>IF(OR(C20="",F20="",F20="",L20="",P20="",R20="",T20="",X20="",Z20="",AD20="",AF20=""),"",IF(BE20&lt;&gt;"",BE20,IF(C20="Custom",AX20,IF(C20="New Construction",AY20,IF(C20="RCx",AZ20)))))</f>
        <v/>
      </c>
      <c r="AO20" s="1132"/>
      <c r="AP20" s="1132"/>
      <c r="AQ20" s="1132"/>
      <c r="AR20" s="59"/>
      <c r="AU20" s="1103" t="str">
        <f>IF(F20="","",INDEX(CUSTNONLIGHTGUNIT,MATCH(F20,PROGRAMGCAT[Category 1],0)))</f>
        <v/>
      </c>
      <c r="AV20" s="1103" t="str">
        <f>IF(OR(C20="",F20="",L20="",P20="",R20="",T20="",X20="",Z20="",AD20="",AF20=""),"",((1+GLOSS)*((AK20*INDEX(GASCB[NPV GAEC $/therm],MATCH(BA20,GASCB[Year Number],1))))/AH20))</f>
        <v/>
      </c>
      <c r="AW20" s="1097"/>
      <c r="AX20" s="1180" t="str">
        <f>IF(OR(C20="",F20="",L20="",P20="",R20="",T20="",X20="",Z20="",AB20="",AD20="",AF20=""),"",IF(AB20="Total",ROUND(MIN(AH20*0.75,AK20*INDEX(INCRATE[Gas],MATCH("CMNONLIGHT",INCRATE[Incentive Type]))),2),IF(AB20="Incremental",ROUND(MIN(AH20,AK20*INDEX(INCRATE[Gas],MATCH("CMNONLIGHT",INCRATE[Incentive Type]))),2))))</f>
        <v/>
      </c>
      <c r="AY20" s="1180" t="str">
        <f>IF(OR(C20="",F20="",L20="",P20="",R20="",T20="",X20="",Z20="",AB20="",AD20="",AF20=""),"",IF(AB20="Total",ROUND(MIN(AH20*0.75,AK20*INDEX(INCRATE[Gas],MATCH("NCNONLIGHT",INCRATE[Incentive Type]))),2),IF(AB20="Incremental",ROUND(MIN(AH20,AK20*INDEX(INCRATE[Gas],MATCH("NCNONLIGHT",INCRATE[Incentive Type]))),2))))</f>
        <v/>
      </c>
      <c r="AZ20" s="1180" t="str">
        <f>IF(OR(C20="",F20="",L20="",P20="",R20="",T20="",X20="",Z20="",AB20="",AD20="",AF20=""),"",IF(AB20="Total",ROUND(MIN(AH20*0.75,AK20*INDEX(INCRATE[Gas],MATCH("RCX",INCRATE[Incentive Type]))),2),IF(AB20="Incremental",ROUND(MIN(AH20,AK20*INDEX(INCRATE[Gas],MATCH("RCX",INCRATE[Incentive Type]))),2))))</f>
        <v/>
      </c>
      <c r="BA20" s="1097" t="str">
        <f>IF(F20="","",INDEX(PROGRAMGCAT[EUL],MATCH(F20,PROGRAMGCAT[Category 1],0)))</f>
        <v/>
      </c>
      <c r="BB20" s="1097" t="str">
        <f>IFERROR(AH20/M02S02F36/AK20,"")</f>
        <v/>
      </c>
      <c r="BC20" s="1190" t="str">
        <f>IF(OR(C20="",F20="",L20="",P20="",R20="",T20="",X20="",Z20="",AD20="",AF20=""),"",IF(ISNUMBER(AN20),INDEX(PROGRAMGCAT[Measure Number],MATCH(F20,PROGRAMGCAT[Category 1],0)),IF(AK20=0,"","000001")))</f>
        <v/>
      </c>
      <c r="BD20" s="1190"/>
      <c r="BE20" s="1097" t="str" cm="1">
        <f t="array" ref="BE20">IFERROR(_xlfn.SINGLE(IF((P20*R20)-(X20*Z20)&lt;=0,MEASURESAV,IF(M02S02F36="",MEASURERATE,IF(AND(OR(F20="Others (Incremental)",F20="Others"),M05S07F03=""),MEASURESUBMIT, IF(AND(OR(ISNUMBER(SEARCH({"Custom","New Construction"},C20))),BB20&lt;1),MEASUREPAY,IF(AV20&lt;1,MEASURECB,"")))))),MEASURESUBMIT)</f>
        <v>Submit for Review</v>
      </c>
    </row>
    <row r="21" spans="2:57" ht="15.95" customHeight="1">
      <c r="B21" s="829"/>
      <c r="C21" s="1215"/>
      <c r="D21" s="1216"/>
      <c r="E21" s="1217"/>
      <c r="F21" s="835"/>
      <c r="G21" s="836"/>
      <c r="H21" s="836"/>
      <c r="I21" s="836"/>
      <c r="J21" s="836"/>
      <c r="K21" s="837"/>
      <c r="L21" s="835"/>
      <c r="M21" s="836"/>
      <c r="N21" s="836"/>
      <c r="O21" s="837"/>
      <c r="P21" s="848"/>
      <c r="Q21" s="849"/>
      <c r="R21" s="1110"/>
      <c r="S21" s="1111"/>
      <c r="T21" s="1110"/>
      <c r="U21" s="1219"/>
      <c r="V21" s="1219"/>
      <c r="W21" s="1111"/>
      <c r="X21" s="848"/>
      <c r="Y21" s="849"/>
      <c r="Z21" s="1110"/>
      <c r="AA21" s="1111"/>
      <c r="AB21" s="1166"/>
      <c r="AC21" s="1166"/>
      <c r="AD21" s="870"/>
      <c r="AE21" s="1092"/>
      <c r="AF21" s="1195"/>
      <c r="AG21" s="1196"/>
      <c r="AH21" s="1130"/>
      <c r="AI21" s="1131"/>
      <c r="AJ21" s="1131"/>
      <c r="AK21" s="1001"/>
      <c r="AL21" s="1002"/>
      <c r="AM21" s="1003"/>
      <c r="AN21" s="1133"/>
      <c r="AO21" s="1133"/>
      <c r="AP21" s="1133"/>
      <c r="AQ21" s="1133"/>
      <c r="AR21" s="59"/>
      <c r="AU21" s="1102"/>
      <c r="AV21" s="1102"/>
      <c r="AW21" s="1098"/>
      <c r="AX21" s="1098"/>
      <c r="AY21" s="1098"/>
      <c r="AZ21" s="1098"/>
      <c r="BA21" s="1098"/>
      <c r="BB21" s="1098"/>
      <c r="BC21" s="1184"/>
      <c r="BD21" s="1184"/>
      <c r="BE21" s="1098"/>
    </row>
    <row r="22" spans="2:57" ht="15.95" customHeight="1">
      <c r="B22" s="829">
        <v>4</v>
      </c>
      <c r="C22" s="1204"/>
      <c r="D22" s="1204"/>
      <c r="E22" s="1204"/>
      <c r="F22" s="1087"/>
      <c r="G22" s="1087"/>
      <c r="H22" s="1087"/>
      <c r="I22" s="1087"/>
      <c r="J22" s="1087"/>
      <c r="K22" s="1087"/>
      <c r="L22" s="866"/>
      <c r="M22" s="867"/>
      <c r="N22" s="867"/>
      <c r="O22" s="868"/>
      <c r="P22" s="846"/>
      <c r="Q22" s="847"/>
      <c r="R22" s="1108"/>
      <c r="S22" s="1109"/>
      <c r="T22" s="1218"/>
      <c r="U22" s="1218"/>
      <c r="V22" s="1218"/>
      <c r="W22" s="1218"/>
      <c r="X22" s="871"/>
      <c r="Y22" s="872"/>
      <c r="Z22" s="1108"/>
      <c r="AA22" s="1109"/>
      <c r="AB22" s="1165" t="str">
        <f t="shared" ref="AB22" si="10">IF(C22="New Construction","Incremental","")</f>
        <v/>
      </c>
      <c r="AC22" s="1165"/>
      <c r="AD22" s="869"/>
      <c r="AE22" s="1091"/>
      <c r="AF22" s="1193" t="str">
        <f t="shared" ref="AF22" si="11">IF(AB22="Incremental",0,"")</f>
        <v/>
      </c>
      <c r="AG22" s="1194"/>
      <c r="AH22" s="865" t="str">
        <f t="shared" ref="AH22" si="12">IF(OR(C22="",F22="",L22="",P22="",R22="",T22="",X22="",Z22="",AD22="",AF22=""),"",ROUND(AD22+AF22,2))</f>
        <v/>
      </c>
      <c r="AI22" s="1096"/>
      <c r="AJ22" s="1096"/>
      <c r="AK22" s="998" t="str">
        <f t="shared" ref="AK22" si="13">IF(OR(C22="",F22="",F22="",L22="",P22="",R22="",T22="",X22="",Z22="",AD22="",AF22=""),"",IF((P22*R22)-(X22*Z22)&lt;=0,0,ROUND((P22*R22)-(X22*Z22),2)))</f>
        <v/>
      </c>
      <c r="AL22" s="999"/>
      <c r="AM22" s="1000"/>
      <c r="AN22" s="1132" t="str">
        <f>IF(OR(C22="",F22="",F22="",L22="",P22="",R22="",T22="",X22="",Z22="",AD22="",AF22=""),"",IF(BE22&lt;&gt;"",BE22,IF(C22="Custom",AX22,IF(C22="New Construction",AY22,IF(C22="RCx",AZ22)))))</f>
        <v/>
      </c>
      <c r="AO22" s="1132"/>
      <c r="AP22" s="1132"/>
      <c r="AQ22" s="1132"/>
      <c r="AR22" s="59"/>
      <c r="AU22" s="1103" t="str">
        <f>IF(F22="","",INDEX(CUSTNONLIGHTGUNIT,MATCH(F22,PROGRAMGCAT[Category 1],0)))</f>
        <v/>
      </c>
      <c r="AV22" s="1103" t="str">
        <f>IF(OR(C22="",F22="",L22="",P22="",R22="",T22="",X22="",Z22="",AD22="",AF22=""),"",((1+GLOSS)*((AK22*INDEX(GASCB[NPV GAEC $/therm],MATCH(BA22,GASCB[Year Number],1))))/AH22))</f>
        <v/>
      </c>
      <c r="AW22" s="1097"/>
      <c r="AX22" s="1180" t="str">
        <f>IF(OR(C22="",F22="",L22="",P22="",R22="",T22="",X22="",Z22="",AB22="",AD22="",AF22=""),"",IF(AB22="Total",ROUND(MIN(AH22*0.75,AK22*INDEX(INCRATE[Gas],MATCH("CMNONLIGHT",INCRATE[Incentive Type]))),2),IF(AB22="Incremental",ROUND(MIN(AH22,AK22*INDEX(INCRATE[Gas],MATCH("CMNONLIGHT",INCRATE[Incentive Type]))),2))))</f>
        <v/>
      </c>
      <c r="AY22" s="1180" t="str">
        <f>IF(OR(C22="",F22="",L22="",P22="",R22="",T22="",X22="",Z22="",AB22="",AD22="",AF22=""),"",IF(AB22="Total",ROUND(MIN(AH22*0.75,AK22*INDEX(INCRATE[Gas],MATCH("NCNONLIGHT",INCRATE[Incentive Type]))),2),IF(AB22="Incremental",ROUND(MIN(AH22,AK22*INDEX(INCRATE[Gas],MATCH("NCNONLIGHT",INCRATE[Incentive Type]))),2))))</f>
        <v/>
      </c>
      <c r="AZ22" s="1180" t="str">
        <f>IF(OR(C22="",F22="",L22="",P22="",R22="",T22="",X22="",Z22="",AB22="",AD22="",AF22=""),"",IF(AB22="Total",ROUND(MIN(AH22*0.75,AK22*INDEX(INCRATE[Gas],MATCH("RCX",INCRATE[Incentive Type]))),2),IF(AB22="Incremental",ROUND(MIN(AH22,AK22*INDEX(INCRATE[Gas],MATCH("RCX",INCRATE[Incentive Type]))),2))))</f>
        <v/>
      </c>
      <c r="BA22" s="1097" t="str">
        <f>IF(F22="","",INDEX(PROGRAMGCAT[EUL],MATCH(F22,PROGRAMGCAT[Category 1],0)))</f>
        <v/>
      </c>
      <c r="BB22" s="1097" t="str">
        <f>IFERROR(AH22/M02S02F36/AK22,"")</f>
        <v/>
      </c>
      <c r="BC22" s="1190" t="str">
        <f>IF(OR(C22="",F22="",L22="",P22="",R22="",T22="",X22="",Z22="",AD22="",AF22=""),"",IF(ISNUMBER(AN22),INDEX(PROGRAMGCAT[Measure Number],MATCH(F22,PROGRAMGCAT[Category 1],0)),IF(AK22=0,"","000001")))</f>
        <v/>
      </c>
      <c r="BD22" s="1190"/>
      <c r="BE22" s="1097" t="str" cm="1">
        <f t="array" ref="BE22">IFERROR(_xlfn.SINGLE(IF((P22*R22)-(X22*Z22)&lt;=0,MEASURESAV,IF(M02S02F36="",MEASURERATE,IF(AND(OR(F22="Others (Incremental)",F22="Others"),M05S07F03=""),MEASURESUBMIT, IF(AND(OR(ISNUMBER(SEARCH({"Custom","New Construction"},C22))),BB22&lt;1),MEASUREPAY,IF(AV22&lt;1,MEASURECB,"")))))),MEASURESUBMIT)</f>
        <v>Submit for Review</v>
      </c>
    </row>
    <row r="23" spans="2:57" ht="15.95" customHeight="1">
      <c r="B23" s="829"/>
      <c r="C23" s="1205"/>
      <c r="D23" s="1205"/>
      <c r="E23" s="1205"/>
      <c r="F23" s="1088"/>
      <c r="G23" s="1088"/>
      <c r="H23" s="1088"/>
      <c r="I23" s="1088"/>
      <c r="J23" s="1088"/>
      <c r="K23" s="1088"/>
      <c r="L23" s="835"/>
      <c r="M23" s="836"/>
      <c r="N23" s="836"/>
      <c r="O23" s="837"/>
      <c r="P23" s="848"/>
      <c r="Q23" s="849"/>
      <c r="R23" s="1110"/>
      <c r="S23" s="1111"/>
      <c r="T23" s="1219"/>
      <c r="U23" s="1219"/>
      <c r="V23" s="1219"/>
      <c r="W23" s="1219"/>
      <c r="X23" s="848"/>
      <c r="Y23" s="849"/>
      <c r="Z23" s="1110"/>
      <c r="AA23" s="1111"/>
      <c r="AB23" s="1166"/>
      <c r="AC23" s="1166"/>
      <c r="AD23" s="870"/>
      <c r="AE23" s="1092"/>
      <c r="AF23" s="1195"/>
      <c r="AG23" s="1196"/>
      <c r="AH23" s="1130"/>
      <c r="AI23" s="1131"/>
      <c r="AJ23" s="1131"/>
      <c r="AK23" s="1001"/>
      <c r="AL23" s="1002"/>
      <c r="AM23" s="1003"/>
      <c r="AN23" s="1133"/>
      <c r="AO23" s="1133"/>
      <c r="AP23" s="1133"/>
      <c r="AQ23" s="1133"/>
      <c r="AR23" s="59"/>
      <c r="AU23" s="1102"/>
      <c r="AV23" s="1102"/>
      <c r="AW23" s="1098"/>
      <c r="AX23" s="1098"/>
      <c r="AY23" s="1098"/>
      <c r="AZ23" s="1098"/>
      <c r="BA23" s="1098"/>
      <c r="BB23" s="1098"/>
      <c r="BC23" s="1184"/>
      <c r="BD23" s="1184"/>
      <c r="BE23" s="1098"/>
    </row>
    <row r="24" spans="2:57" ht="15.95" customHeight="1">
      <c r="B24" s="829">
        <v>5</v>
      </c>
      <c r="C24" s="1204"/>
      <c r="D24" s="1204"/>
      <c r="E24" s="1204"/>
      <c r="F24" s="1087"/>
      <c r="G24" s="1087"/>
      <c r="H24" s="1087"/>
      <c r="I24" s="1087"/>
      <c r="J24" s="1087"/>
      <c r="K24" s="1087"/>
      <c r="L24" s="866"/>
      <c r="M24" s="867"/>
      <c r="N24" s="867"/>
      <c r="O24" s="868"/>
      <c r="P24" s="846"/>
      <c r="Q24" s="847"/>
      <c r="R24" s="1108"/>
      <c r="S24" s="1109"/>
      <c r="T24" s="1218"/>
      <c r="U24" s="1218"/>
      <c r="V24" s="1218"/>
      <c r="W24" s="1218"/>
      <c r="X24" s="871"/>
      <c r="Y24" s="872"/>
      <c r="Z24" s="1108"/>
      <c r="AA24" s="1109"/>
      <c r="AB24" s="1165" t="str">
        <f t="shared" ref="AB24" si="14">IF(C24="New Construction","Incremental","")</f>
        <v/>
      </c>
      <c r="AC24" s="1165"/>
      <c r="AD24" s="869"/>
      <c r="AE24" s="1091"/>
      <c r="AF24" s="1193" t="str">
        <f t="shared" ref="AF24" si="15">IF(AB24="Incremental",0,"")</f>
        <v/>
      </c>
      <c r="AG24" s="1194"/>
      <c r="AH24" s="865" t="str">
        <f t="shared" ref="AH24" si="16">IF(OR(C24="",F24="",L24="",P24="",R24="",T24="",X24="",Z24="",AD24="",AF24=""),"",ROUND(AD24+AF24,2))</f>
        <v/>
      </c>
      <c r="AI24" s="1096"/>
      <c r="AJ24" s="1096"/>
      <c r="AK24" s="998" t="str">
        <f t="shared" ref="AK24" si="17">IF(OR(C24="",F24="",F24="",L24="",P24="",R24="",T24="",X24="",Z24="",AD24="",AF24=""),"",IF((P24*R24)-(X24*Z24)&lt;=0,0,ROUND((P24*R24)-(X24*Z24),2)))</f>
        <v/>
      </c>
      <c r="AL24" s="999"/>
      <c r="AM24" s="1000"/>
      <c r="AN24" s="1132" t="str">
        <f>IF(OR(C24="",F24="",F24="",L24="",P24="",R24="",T24="",X24="",Z24="",AD24="",AF24=""),"",IF(BE24&lt;&gt;"",BE24,IF(C24="Custom",AX24,IF(C24="New Construction",AY24,IF(C24="RCx",AZ24)))))</f>
        <v/>
      </c>
      <c r="AO24" s="1132"/>
      <c r="AP24" s="1132"/>
      <c r="AQ24" s="1132"/>
      <c r="AR24" s="59"/>
      <c r="AU24" s="1103" t="str">
        <f>IF(F24="","",INDEX(CUSTNONLIGHTGUNIT,MATCH(F24,PROGRAMGCAT[Category 1],0)))</f>
        <v/>
      </c>
      <c r="AV24" s="1103" t="str">
        <f>IF(OR(C24="",F24="",L24="",P24="",R24="",T24="",X24="",Z24="",AD24="",AF24=""),"",((1+GLOSS)*((AK24*INDEX(GASCB[NPV GAEC $/therm],MATCH(BA24,GASCB[Year Number],1))))/AH24))</f>
        <v/>
      </c>
      <c r="AW24" s="1097"/>
      <c r="AX24" s="1180" t="str">
        <f>IF(OR(C24="",F24="",L24="",P24="",R24="",T24="",X24="",Z24="",AB24="",AD24="",AF24=""),"",IF(AB24="Total",ROUND(MIN(AH24*0.75,AK24*INDEX(INCRATE[Gas],MATCH("CMNONLIGHT",INCRATE[Incentive Type]))),2),IF(AB24="Incremental",ROUND(MIN(AH24,AK24*INDEX(INCRATE[Gas],MATCH("CMNONLIGHT",INCRATE[Incentive Type]))),2))))</f>
        <v/>
      </c>
      <c r="AY24" s="1180" t="str">
        <f>IF(OR(C24="",F24="",L24="",P24="",R24="",T24="",X24="",Z24="",AB24="",AD24="",AF24=""),"",IF(AB24="Total",ROUND(MIN(AH24*0.75,AK24*INDEX(INCRATE[Gas],MATCH("NCNONLIGHT",INCRATE[Incentive Type]))),2),IF(AB24="Incremental",ROUND(MIN(AH24,AK24*INDEX(INCRATE[Gas],MATCH("NCNONLIGHT",INCRATE[Incentive Type]))),2))))</f>
        <v/>
      </c>
      <c r="AZ24" s="1180" t="str">
        <f>IF(OR(C24="",F24="",L24="",P24="",R24="",T24="",X24="",Z24="",AB24="",AD24="",AF24=""),"",IF(AB24="Total",ROUND(MIN(AH24*0.75,AK24*INDEX(INCRATE[Gas],MATCH("RCX",INCRATE[Incentive Type]))),2),IF(AB24="Incremental",ROUND(MIN(AH24,AK24*INDEX(INCRATE[Gas],MATCH("RCX",INCRATE[Incentive Type]))),2))))</f>
        <v/>
      </c>
      <c r="BA24" s="1097" t="str">
        <f>IF(F24="","",INDEX(PROGRAMGCAT[EUL],MATCH(F24,PROGRAMGCAT[Category 1],0)))</f>
        <v/>
      </c>
      <c r="BB24" s="1097" t="str">
        <f>IFERROR(AH24/M02S02F36/AK24,"")</f>
        <v/>
      </c>
      <c r="BC24" s="1190" t="str">
        <f>IF(OR(C24="",F24="",L24="",P24="",R24="",T24="",X24="",Z24="",AD24="",AF24=""),"",IF(ISNUMBER(AN24),INDEX(PROGRAMGCAT[Measure Number],MATCH(F24,PROGRAMGCAT[Category 1],0)),IF(AK24=0,"","000001")))</f>
        <v/>
      </c>
      <c r="BD24" s="1190"/>
      <c r="BE24" s="1097" t="str" cm="1">
        <f t="array" ref="BE24">IFERROR(_xlfn.SINGLE(IF((P24*R24)-(X24*Z24)&lt;=0,MEASURESAV,IF(M02S02F36="",MEASURERATE,IF(AND(OR(F24="Others (Incremental)",F24="Others"),M05S07F03=""),MEASURESUBMIT, IF(AND(OR(ISNUMBER(SEARCH({"Custom","New Construction"},C24))),BB24&lt;1),MEASUREPAY,IF(AV24&lt;1,MEASURECB,"")))))),MEASURESUBMIT)</f>
        <v>Submit for Review</v>
      </c>
    </row>
    <row r="25" spans="2:57" ht="15.95" customHeight="1">
      <c r="B25" s="829"/>
      <c r="C25" s="1205"/>
      <c r="D25" s="1205"/>
      <c r="E25" s="1205"/>
      <c r="F25" s="1088"/>
      <c r="G25" s="1088"/>
      <c r="H25" s="1088"/>
      <c r="I25" s="1088"/>
      <c r="J25" s="1088"/>
      <c r="K25" s="1088"/>
      <c r="L25" s="835"/>
      <c r="M25" s="836"/>
      <c r="N25" s="836"/>
      <c r="O25" s="837"/>
      <c r="P25" s="848"/>
      <c r="Q25" s="849"/>
      <c r="R25" s="1110"/>
      <c r="S25" s="1111"/>
      <c r="T25" s="1219"/>
      <c r="U25" s="1219"/>
      <c r="V25" s="1219"/>
      <c r="W25" s="1219"/>
      <c r="X25" s="848"/>
      <c r="Y25" s="849"/>
      <c r="Z25" s="1110"/>
      <c r="AA25" s="1111"/>
      <c r="AB25" s="1166"/>
      <c r="AC25" s="1166"/>
      <c r="AD25" s="870"/>
      <c r="AE25" s="1092"/>
      <c r="AF25" s="1195"/>
      <c r="AG25" s="1196"/>
      <c r="AH25" s="1130"/>
      <c r="AI25" s="1131"/>
      <c r="AJ25" s="1131"/>
      <c r="AK25" s="1001"/>
      <c r="AL25" s="1002"/>
      <c r="AM25" s="1003"/>
      <c r="AN25" s="1133"/>
      <c r="AO25" s="1133"/>
      <c r="AP25" s="1133"/>
      <c r="AQ25" s="1133"/>
      <c r="AR25" s="59"/>
      <c r="AU25" s="1102"/>
      <c r="AV25" s="1102"/>
      <c r="AW25" s="1098"/>
      <c r="AX25" s="1098"/>
      <c r="AY25" s="1098"/>
      <c r="AZ25" s="1098"/>
      <c r="BA25" s="1098"/>
      <c r="BB25" s="1098"/>
      <c r="BC25" s="1184"/>
      <c r="BD25" s="1184"/>
      <c r="BE25" s="1098"/>
    </row>
    <row r="26" spans="2:57" ht="15.95" customHeight="1">
      <c r="B26" s="829">
        <v>6</v>
      </c>
      <c r="C26" s="1204"/>
      <c r="D26" s="1204"/>
      <c r="E26" s="1204"/>
      <c r="F26" s="1087"/>
      <c r="G26" s="1087"/>
      <c r="H26" s="1087"/>
      <c r="I26" s="1087"/>
      <c r="J26" s="1087"/>
      <c r="K26" s="1087"/>
      <c r="L26" s="866"/>
      <c r="M26" s="867"/>
      <c r="N26" s="867"/>
      <c r="O26" s="868"/>
      <c r="P26" s="846"/>
      <c r="Q26" s="847"/>
      <c r="R26" s="1108"/>
      <c r="S26" s="1109"/>
      <c r="T26" s="1218"/>
      <c r="U26" s="1218"/>
      <c r="V26" s="1218"/>
      <c r="W26" s="1218"/>
      <c r="X26" s="871"/>
      <c r="Y26" s="872"/>
      <c r="Z26" s="1108"/>
      <c r="AA26" s="1109"/>
      <c r="AB26" s="1165" t="str">
        <f t="shared" ref="AB26" si="18">IF(C26="New Construction","Incremental","")</f>
        <v/>
      </c>
      <c r="AC26" s="1165"/>
      <c r="AD26" s="869"/>
      <c r="AE26" s="1091"/>
      <c r="AF26" s="1193" t="str">
        <f t="shared" ref="AF26" si="19">IF(AB26="Incremental",0,"")</f>
        <v/>
      </c>
      <c r="AG26" s="1194"/>
      <c r="AH26" s="865" t="str">
        <f t="shared" ref="AH26" si="20">IF(OR(C26="",F26="",L26="",P26="",R26="",T26="",X26="",Z26="",AD26="",AF26=""),"",ROUND(AD26+AF26,2))</f>
        <v/>
      </c>
      <c r="AI26" s="1096"/>
      <c r="AJ26" s="1096"/>
      <c r="AK26" s="998" t="str">
        <f t="shared" ref="AK26" si="21">IF(OR(C26="",F26="",F26="",L26="",P26="",R26="",T26="",X26="",Z26="",AD26="",AF26=""),"",IF((P26*R26)-(X26*Z26)&lt;=0,0,ROUND((P26*R26)-(X26*Z26),2)))</f>
        <v/>
      </c>
      <c r="AL26" s="999"/>
      <c r="AM26" s="1000"/>
      <c r="AN26" s="1132" t="str">
        <f>IF(OR(C26="",F26="",F26="",L26="",P26="",R26="",T26="",X26="",Z26="",AD26="",AF26=""),"",IF(BE26&lt;&gt;"",BE26,IF(C26="Custom",AX26,IF(C26="New Construction",AY26,IF(C26="RCx",AZ26)))))</f>
        <v/>
      </c>
      <c r="AO26" s="1132"/>
      <c r="AP26" s="1132"/>
      <c r="AQ26" s="1132"/>
      <c r="AR26" s="59"/>
      <c r="AU26" s="1103" t="str">
        <f>IF(F26="","",INDEX(CUSTNONLIGHTGUNIT,MATCH(F26,PROGRAMGCAT[Category 1],0)))</f>
        <v/>
      </c>
      <c r="AV26" s="1103" t="str">
        <f>IF(OR(C26="",F26="",L26="",P26="",R26="",T26="",X26="",Z26="",AD26="",AF26=""),"",((1+GLOSS)*((AK26*INDEX(GASCB[NPV GAEC $/therm],MATCH(BA26,GASCB[Year Number],1))))/AH26))</f>
        <v/>
      </c>
      <c r="AW26" s="1097"/>
      <c r="AX26" s="1180" t="str">
        <f>IF(OR(C26="",F26="",L26="",P26="",R26="",T26="",X26="",Z26="",AB26="",AD26="",AF26=""),"",IF(AB26="Total",ROUND(MIN(AH26*0.75,AK26*INDEX(INCRATE[Gas],MATCH("CMNONLIGHT",INCRATE[Incentive Type]))),2),IF(AB26="Incremental",ROUND(MIN(AH26,AK26*INDEX(INCRATE[Gas],MATCH("CMNONLIGHT",INCRATE[Incentive Type]))),2))))</f>
        <v/>
      </c>
      <c r="AY26" s="1180" t="str">
        <f>IF(OR(C26="",F26="",L26="",P26="",R26="",T26="",X26="",Z26="",AB26="",AD26="",AF26=""),"",IF(AB26="Total",ROUND(MIN(AH26*0.75,AK26*INDEX(INCRATE[Gas],MATCH("NCNONLIGHT",INCRATE[Incentive Type]))),2),IF(AB26="Incremental",ROUND(MIN(AH26,AK26*INDEX(INCRATE[Gas],MATCH("NCNONLIGHT",INCRATE[Incentive Type]))),2))))</f>
        <v/>
      </c>
      <c r="AZ26" s="1180" t="str">
        <f>IF(OR(C26="",F26="",L26="",P26="",R26="",T26="",X26="",Z26="",AB26="",AD26="",AF26=""),"",IF(AB26="Total",ROUND(MIN(AH26*0.75,AK26*INDEX(INCRATE[Gas],MATCH("RCX",INCRATE[Incentive Type]))),2),IF(AB26="Incremental",ROUND(MIN(AH26,AK26*INDEX(INCRATE[Gas],MATCH("RCX",INCRATE[Incentive Type]))),2))))</f>
        <v/>
      </c>
      <c r="BA26" s="1097" t="str">
        <f>IF(F26="","",INDEX(PROGRAMGCAT[EUL],MATCH(F26,PROGRAMGCAT[Category 1],0)))</f>
        <v/>
      </c>
      <c r="BB26" s="1097" t="str">
        <f>IFERROR(AH26/M02S02F36/AK26,"")</f>
        <v/>
      </c>
      <c r="BC26" s="1190" t="str">
        <f>IF(OR(C26="",F26="",L26="",P26="",R26="",T26="",X26="",Z26="",AD26="",AF26=""),"",IF(ISNUMBER(AN26),INDEX(PROGRAMGCAT[Measure Number],MATCH(F26,PROGRAMGCAT[Category 1],0)),IF(AK26=0,"","000001")))</f>
        <v/>
      </c>
      <c r="BD26" s="1190"/>
      <c r="BE26" s="1097" t="str" cm="1">
        <f t="array" ref="BE26">IFERROR(_xlfn.SINGLE(IF((P26*R26)-(X26*Z26)&lt;=0,MEASURESAV,IF(M02S02F36="",MEASURERATE,IF(AND(OR(F26="Others (Incremental)",F26="Others"),M05S07F03=""),MEASURESUBMIT, IF(AND(OR(ISNUMBER(SEARCH({"Custom","New Construction"},C26))),BB26&lt;1),MEASUREPAY,IF(AV26&lt;1,MEASURECB,"")))))),MEASURESUBMIT)</f>
        <v>Submit for Review</v>
      </c>
    </row>
    <row r="27" spans="2:57" ht="15.95" customHeight="1">
      <c r="B27" s="829"/>
      <c r="C27" s="1205"/>
      <c r="D27" s="1205"/>
      <c r="E27" s="1205"/>
      <c r="F27" s="1088"/>
      <c r="G27" s="1088"/>
      <c r="H27" s="1088"/>
      <c r="I27" s="1088"/>
      <c r="J27" s="1088"/>
      <c r="K27" s="1088"/>
      <c r="L27" s="835"/>
      <c r="M27" s="836"/>
      <c r="N27" s="836"/>
      <c r="O27" s="837"/>
      <c r="P27" s="848"/>
      <c r="Q27" s="849"/>
      <c r="R27" s="1110"/>
      <c r="S27" s="1111"/>
      <c r="T27" s="1219"/>
      <c r="U27" s="1219"/>
      <c r="V27" s="1219"/>
      <c r="W27" s="1219"/>
      <c r="X27" s="848"/>
      <c r="Y27" s="849"/>
      <c r="Z27" s="1110"/>
      <c r="AA27" s="1111"/>
      <c r="AB27" s="1166"/>
      <c r="AC27" s="1166"/>
      <c r="AD27" s="870"/>
      <c r="AE27" s="1092"/>
      <c r="AF27" s="1195"/>
      <c r="AG27" s="1196"/>
      <c r="AH27" s="1130"/>
      <c r="AI27" s="1131"/>
      <c r="AJ27" s="1131"/>
      <c r="AK27" s="1001"/>
      <c r="AL27" s="1002"/>
      <c r="AM27" s="1003"/>
      <c r="AN27" s="1133"/>
      <c r="AO27" s="1133"/>
      <c r="AP27" s="1133"/>
      <c r="AQ27" s="1133"/>
      <c r="AR27" s="59"/>
      <c r="AU27" s="1102"/>
      <c r="AV27" s="1102"/>
      <c r="AW27" s="1098"/>
      <c r="AX27" s="1098"/>
      <c r="AY27" s="1098"/>
      <c r="AZ27" s="1098"/>
      <c r="BA27" s="1098"/>
      <c r="BB27" s="1098"/>
      <c r="BC27" s="1184"/>
      <c r="BD27" s="1184"/>
      <c r="BE27" s="1098"/>
    </row>
    <row r="28" spans="2:57" ht="15.95" customHeight="1">
      <c r="B28" s="829">
        <v>7</v>
      </c>
      <c r="C28" s="1204"/>
      <c r="D28" s="1204"/>
      <c r="E28" s="1204"/>
      <c r="F28" s="1087"/>
      <c r="G28" s="1087"/>
      <c r="H28" s="1087"/>
      <c r="I28" s="1087"/>
      <c r="J28" s="1087"/>
      <c r="K28" s="1087"/>
      <c r="L28" s="866"/>
      <c r="M28" s="867"/>
      <c r="N28" s="867"/>
      <c r="O28" s="868"/>
      <c r="P28" s="846"/>
      <c r="Q28" s="847"/>
      <c r="R28" s="1108"/>
      <c r="S28" s="1109"/>
      <c r="T28" s="1218"/>
      <c r="U28" s="1218"/>
      <c r="V28" s="1218"/>
      <c r="W28" s="1218"/>
      <c r="X28" s="871"/>
      <c r="Y28" s="872"/>
      <c r="Z28" s="1108"/>
      <c r="AA28" s="1109"/>
      <c r="AB28" s="1165" t="str">
        <f t="shared" ref="AB28" si="22">IF(C28="New Construction","Incremental","")</f>
        <v/>
      </c>
      <c r="AC28" s="1165"/>
      <c r="AD28" s="869"/>
      <c r="AE28" s="1091"/>
      <c r="AF28" s="1193" t="str">
        <f t="shared" ref="AF28" si="23">IF(AB28="Incremental",0,"")</f>
        <v/>
      </c>
      <c r="AG28" s="1194"/>
      <c r="AH28" s="865" t="str">
        <f t="shared" ref="AH28" si="24">IF(OR(C28="",F28="",L28="",P28="",R28="",T28="",X28="",Z28="",AD28="",AF28=""),"",ROUND(AD28+AF28,2))</f>
        <v/>
      </c>
      <c r="AI28" s="1096"/>
      <c r="AJ28" s="1096"/>
      <c r="AK28" s="998" t="str">
        <f t="shared" ref="AK28" si="25">IF(OR(C28="",F28="",F28="",L28="",P28="",R28="",T28="",X28="",Z28="",AD28="",AF28=""),"",IF((P28*R28)-(X28*Z28)&lt;=0,0,ROUND((P28*R28)-(X28*Z28),2)))</f>
        <v/>
      </c>
      <c r="AL28" s="999"/>
      <c r="AM28" s="1000"/>
      <c r="AN28" s="1132" t="str">
        <f>IF(OR(C28="",F28="",F28="",L28="",P28="",R28="",T28="",X28="",Z28="",AD28="",AF28=""),"",IF(BE28&lt;&gt;"",BE28,IF(C28="Custom",AX28,IF(C28="New Construction",AY28,IF(C28="RCx",AZ28)))))</f>
        <v/>
      </c>
      <c r="AO28" s="1132"/>
      <c r="AP28" s="1132"/>
      <c r="AQ28" s="1132"/>
      <c r="AR28" s="59"/>
      <c r="AU28" s="1103" t="str">
        <f>IF(F28="","",INDEX(CUSTNONLIGHTGUNIT,MATCH(F28,PROGRAMGCAT[Category 1],0)))</f>
        <v/>
      </c>
      <c r="AV28" s="1103" t="str">
        <f>IF(OR(C28="",F28="",L28="",P28="",R28="",T28="",X28="",Z28="",AD28="",AF28=""),"",((1+GLOSS)*((AK28*INDEX(GASCB[NPV GAEC $/therm],MATCH(BA28,GASCB[Year Number],1))))/AH28))</f>
        <v/>
      </c>
      <c r="AW28" s="1097"/>
      <c r="AX28" s="1180" t="str">
        <f>IF(OR(C28="",F28="",L28="",P28="",R28="",T28="",X28="",Z28="",AB28="",AD28="",AF28=""),"",IF(AB28="Total",ROUND(MIN(AH28*0.75,AK28*INDEX(INCRATE[Gas],MATCH("CMNONLIGHT",INCRATE[Incentive Type]))),2),IF(AB28="Incremental",ROUND(MIN(AH28,AK28*INDEX(INCRATE[Gas],MATCH("CMNONLIGHT",INCRATE[Incentive Type]))),2))))</f>
        <v/>
      </c>
      <c r="AY28" s="1180" t="str">
        <f>IF(OR(C28="",F28="",L28="",P28="",R28="",T28="",X28="",Z28="",AB28="",AD28="",AF28=""),"",IF(AB28="Total",ROUND(MIN(AH28*0.75,AK28*INDEX(INCRATE[Gas],MATCH("NCNONLIGHT",INCRATE[Incentive Type]))),2),IF(AB28="Incremental",ROUND(MIN(AH28,AK28*INDEX(INCRATE[Gas],MATCH("NCNONLIGHT",INCRATE[Incentive Type]))),2))))</f>
        <v/>
      </c>
      <c r="AZ28" s="1180" t="str">
        <f>IF(OR(C28="",F28="",L28="",P28="",R28="",T28="",X28="",Z28="",AB28="",AD28="",AF28=""),"",IF(AB28="Total",ROUND(MIN(AH28*0.75,AK28*INDEX(INCRATE[Gas],MATCH("RCX",INCRATE[Incentive Type]))),2),IF(AB28="Incremental",ROUND(MIN(AH28,AK28*INDEX(INCRATE[Gas],MATCH("RCX",INCRATE[Incentive Type]))),2))))</f>
        <v/>
      </c>
      <c r="BA28" s="1097" t="str">
        <f>IF(F28="","",INDEX(PROGRAMGCAT[EUL],MATCH(F28,PROGRAMGCAT[Category 1],0)))</f>
        <v/>
      </c>
      <c r="BB28" s="1097" t="str">
        <f>IFERROR(AH28/M02S02F36/AK28,"")</f>
        <v/>
      </c>
      <c r="BC28" s="1190" t="str">
        <f>IF(OR(C28="",F28="",L28="",P28="",R28="",T28="",X28="",Z28="",AD28="",AF28=""),"",IF(ISNUMBER(AN28),INDEX(PROGRAMGCAT[Measure Number],MATCH(F28,PROGRAMGCAT[Category 1],0)),IF(AK28=0,"","000001")))</f>
        <v/>
      </c>
      <c r="BD28" s="1190"/>
      <c r="BE28" s="1097" t="str" cm="1">
        <f t="array" ref="BE28">IFERROR(_xlfn.SINGLE(IF((P28*R28)-(X28*Z28)&lt;=0,MEASURESAV,IF(M02S02F36="",MEASURERATE,IF(AND(OR(F28="Others (Incremental)",F28="Others"),M05S07F03=""),MEASURESUBMIT, IF(AND(OR(ISNUMBER(SEARCH({"Custom","New Construction"},C28))),BB28&lt;1),MEASUREPAY,IF(AV28&lt;1,MEASURECB,"")))))),MEASURESUBMIT)</f>
        <v>Submit for Review</v>
      </c>
    </row>
    <row r="29" spans="2:57" ht="15.95" customHeight="1">
      <c r="B29" s="829"/>
      <c r="C29" s="1205"/>
      <c r="D29" s="1205"/>
      <c r="E29" s="1205"/>
      <c r="F29" s="1088"/>
      <c r="G29" s="1088"/>
      <c r="H29" s="1088"/>
      <c r="I29" s="1088"/>
      <c r="J29" s="1088"/>
      <c r="K29" s="1088"/>
      <c r="L29" s="835"/>
      <c r="M29" s="836"/>
      <c r="N29" s="836"/>
      <c r="O29" s="837"/>
      <c r="P29" s="848"/>
      <c r="Q29" s="849"/>
      <c r="R29" s="1110"/>
      <c r="S29" s="1111"/>
      <c r="T29" s="1219"/>
      <c r="U29" s="1219"/>
      <c r="V29" s="1219"/>
      <c r="W29" s="1219"/>
      <c r="X29" s="848"/>
      <c r="Y29" s="849"/>
      <c r="Z29" s="1110"/>
      <c r="AA29" s="1111"/>
      <c r="AB29" s="1166"/>
      <c r="AC29" s="1166"/>
      <c r="AD29" s="870"/>
      <c r="AE29" s="1092"/>
      <c r="AF29" s="1195"/>
      <c r="AG29" s="1196"/>
      <c r="AH29" s="1130"/>
      <c r="AI29" s="1131"/>
      <c r="AJ29" s="1131"/>
      <c r="AK29" s="1001"/>
      <c r="AL29" s="1002"/>
      <c r="AM29" s="1003"/>
      <c r="AN29" s="1133"/>
      <c r="AO29" s="1133"/>
      <c r="AP29" s="1133"/>
      <c r="AQ29" s="1133"/>
      <c r="AR29" s="59"/>
      <c r="AU29" s="1102"/>
      <c r="AV29" s="1102"/>
      <c r="AW29" s="1098"/>
      <c r="AX29" s="1098"/>
      <c r="AY29" s="1098"/>
      <c r="AZ29" s="1098"/>
      <c r="BA29" s="1098"/>
      <c r="BB29" s="1098"/>
      <c r="BC29" s="1184"/>
      <c r="BD29" s="1184"/>
      <c r="BE29" s="1098"/>
    </row>
    <row r="30" spans="2:57" ht="15.95" customHeight="1">
      <c r="B30" s="829">
        <v>8</v>
      </c>
      <c r="C30" s="1204"/>
      <c r="D30" s="1204"/>
      <c r="E30" s="1204"/>
      <c r="F30" s="1087"/>
      <c r="G30" s="1087"/>
      <c r="H30" s="1087"/>
      <c r="I30" s="1087"/>
      <c r="J30" s="1087"/>
      <c r="K30" s="1087"/>
      <c r="L30" s="866"/>
      <c r="M30" s="867"/>
      <c r="N30" s="867"/>
      <c r="O30" s="868"/>
      <c r="P30" s="846"/>
      <c r="Q30" s="847"/>
      <c r="R30" s="1108"/>
      <c r="S30" s="1109"/>
      <c r="T30" s="1218"/>
      <c r="U30" s="1218"/>
      <c r="V30" s="1218"/>
      <c r="W30" s="1218"/>
      <c r="X30" s="871"/>
      <c r="Y30" s="872"/>
      <c r="Z30" s="1108"/>
      <c r="AA30" s="1109"/>
      <c r="AB30" s="1165" t="str">
        <f t="shared" ref="AB30" si="26">IF(C30="New Construction","Incremental","")</f>
        <v/>
      </c>
      <c r="AC30" s="1165"/>
      <c r="AD30" s="869"/>
      <c r="AE30" s="1091"/>
      <c r="AF30" s="1193" t="str">
        <f t="shared" ref="AF30" si="27">IF(AB30="Incremental",0,"")</f>
        <v/>
      </c>
      <c r="AG30" s="1194"/>
      <c r="AH30" s="865" t="str">
        <f t="shared" ref="AH30" si="28">IF(OR(C30="",F30="",L30="",P30="",R30="",T30="",X30="",Z30="",AD30="",AF30=""),"",ROUND(AD30+AF30,2))</f>
        <v/>
      </c>
      <c r="AI30" s="1096"/>
      <c r="AJ30" s="1096"/>
      <c r="AK30" s="998" t="str">
        <f t="shared" ref="AK30" si="29">IF(OR(C30="",F30="",F30="",L30="",P30="",R30="",T30="",X30="",Z30="",AD30="",AF30=""),"",IF((P30*R30)-(X30*Z30)&lt;=0,0,ROUND((P30*R30)-(X30*Z30),2)))</f>
        <v/>
      </c>
      <c r="AL30" s="999"/>
      <c r="AM30" s="1000"/>
      <c r="AN30" s="1132" t="str">
        <f>IF(OR(C30="",F30="",F30="",L30="",P30="",R30="",T30="",X30="",Z30="",AD30="",AF30=""),"",IF(BE30&lt;&gt;"",BE30,IF(C30="Custom",AX30,IF(C30="New Construction",AY30,IF(C30="RCx",AZ30)))))</f>
        <v/>
      </c>
      <c r="AO30" s="1132"/>
      <c r="AP30" s="1132"/>
      <c r="AQ30" s="1132"/>
      <c r="AR30" s="59"/>
      <c r="AU30" s="1103" t="str">
        <f>IF(F30="","",INDEX(CUSTNONLIGHTGUNIT,MATCH(F30,PROGRAMGCAT[Category 1],0)))</f>
        <v/>
      </c>
      <c r="AV30" s="1103" t="str">
        <f>IF(OR(C30="",F30="",L30="",P30="",R30="",T30="",X30="",Z30="",AD30="",AF30=""),"",((1+GLOSS)*((AK30*INDEX(GASCB[NPV GAEC $/therm],MATCH(BA30,GASCB[Year Number],1))))/AH30))</f>
        <v/>
      </c>
      <c r="AW30" s="1097"/>
      <c r="AX30" s="1180" t="str">
        <f>IF(OR(C30="",F30="",L30="",P30="",R30="",T30="",X30="",Z30="",AB30="",AD30="",AF30=""),"",IF(AB30="Total",ROUND(MIN(AH30*0.75,AK30*INDEX(INCRATE[Gas],MATCH("CMNONLIGHT",INCRATE[Incentive Type]))),2),IF(AB30="Incremental",ROUND(MIN(AH30,AK30*INDEX(INCRATE[Gas],MATCH("CMNONLIGHT",INCRATE[Incentive Type]))),2))))</f>
        <v/>
      </c>
      <c r="AY30" s="1180" t="str">
        <f>IF(OR(C30="",F30="",L30="",P30="",R30="",T30="",X30="",Z30="",AB30="",AD30="",AF30=""),"",IF(AB30="Total",ROUND(MIN(AH30*0.75,AK30*INDEX(INCRATE[Gas],MATCH("NCNONLIGHT",INCRATE[Incentive Type]))),2),IF(AB30="Incremental",ROUND(MIN(AH30,AK30*INDEX(INCRATE[Gas],MATCH("NCNONLIGHT",INCRATE[Incentive Type]))),2))))</f>
        <v/>
      </c>
      <c r="AZ30" s="1180" t="str">
        <f>IF(OR(C30="",F30="",L30="",P30="",R30="",T30="",X30="",Z30="",AB30="",AD30="",AF30=""),"",IF(AB30="Total",ROUND(MIN(AH30*0.75,AK30*INDEX(INCRATE[Gas],MATCH("RCX",INCRATE[Incentive Type]))),2),IF(AB30="Incremental",ROUND(MIN(AH30,AK30*INDEX(INCRATE[Gas],MATCH("RCX",INCRATE[Incentive Type]))),2))))</f>
        <v/>
      </c>
      <c r="BA30" s="1097" t="str">
        <f>IF(F30="","",INDEX(PROGRAMGCAT[EUL],MATCH(F30,PROGRAMGCAT[Category 1],0)))</f>
        <v/>
      </c>
      <c r="BB30" s="1097" t="str">
        <f>IFERROR(AH30/M02S02F36/AK30,"")</f>
        <v/>
      </c>
      <c r="BC30" s="1190" t="str">
        <f>IF(OR(C30="",F30="",L30="",P30="",R30="",T30="",X30="",Z30="",AD30="",AF30=""),"",IF(ISNUMBER(AN30),INDEX(PROGRAMGCAT[Measure Number],MATCH(F30,PROGRAMGCAT[Category 1],0)),IF(AK30=0,"","000001")))</f>
        <v/>
      </c>
      <c r="BD30" s="1190"/>
      <c r="BE30" s="1097" t="str" cm="1">
        <f t="array" ref="BE30">IFERROR(_xlfn.SINGLE(IF((P30*R30)-(X30*Z30)&lt;=0,MEASURESAV,IF(M02S02F36="",MEASURERATE,IF(AND(OR(F30="Others (Incremental)",F30="Others"),M05S07F03=""),MEASURESUBMIT, IF(AND(OR(ISNUMBER(SEARCH({"Custom","New Construction"},C30))),BB30&lt;1),MEASUREPAY,IF(AV30&lt;1,MEASURECB,"")))))),MEASURESUBMIT)</f>
        <v>Submit for Review</v>
      </c>
    </row>
    <row r="31" spans="2:57" ht="15.95" customHeight="1">
      <c r="B31" s="829"/>
      <c r="C31" s="1205"/>
      <c r="D31" s="1205"/>
      <c r="E31" s="1205"/>
      <c r="F31" s="1088"/>
      <c r="G31" s="1088"/>
      <c r="H31" s="1088"/>
      <c r="I31" s="1088"/>
      <c r="J31" s="1088"/>
      <c r="K31" s="1088"/>
      <c r="L31" s="835"/>
      <c r="M31" s="836"/>
      <c r="N31" s="836"/>
      <c r="O31" s="837"/>
      <c r="P31" s="848"/>
      <c r="Q31" s="849"/>
      <c r="R31" s="1110"/>
      <c r="S31" s="1111"/>
      <c r="T31" s="1219"/>
      <c r="U31" s="1219"/>
      <c r="V31" s="1219"/>
      <c r="W31" s="1219"/>
      <c r="X31" s="848"/>
      <c r="Y31" s="849"/>
      <c r="Z31" s="1110"/>
      <c r="AA31" s="1111"/>
      <c r="AB31" s="1166"/>
      <c r="AC31" s="1166"/>
      <c r="AD31" s="870"/>
      <c r="AE31" s="1092"/>
      <c r="AF31" s="1195"/>
      <c r="AG31" s="1196"/>
      <c r="AH31" s="1130"/>
      <c r="AI31" s="1131"/>
      <c r="AJ31" s="1131"/>
      <c r="AK31" s="1001"/>
      <c r="AL31" s="1002"/>
      <c r="AM31" s="1003"/>
      <c r="AN31" s="1133"/>
      <c r="AO31" s="1133"/>
      <c r="AP31" s="1133"/>
      <c r="AQ31" s="1133"/>
      <c r="AR31" s="59"/>
      <c r="AU31" s="1102"/>
      <c r="AV31" s="1102"/>
      <c r="AW31" s="1098"/>
      <c r="AX31" s="1098"/>
      <c r="AY31" s="1098"/>
      <c r="AZ31" s="1098"/>
      <c r="BA31" s="1098"/>
      <c r="BB31" s="1098"/>
      <c r="BC31" s="1184"/>
      <c r="BD31" s="1184"/>
      <c r="BE31" s="1098"/>
    </row>
    <row r="32" spans="2:57" ht="15.95" customHeight="1">
      <c r="B32" s="829">
        <v>9</v>
      </c>
      <c r="C32" s="1204"/>
      <c r="D32" s="1204"/>
      <c r="E32" s="1204"/>
      <c r="F32" s="1087"/>
      <c r="G32" s="1087"/>
      <c r="H32" s="1087"/>
      <c r="I32" s="1087"/>
      <c r="J32" s="1087"/>
      <c r="K32" s="1087"/>
      <c r="L32" s="866"/>
      <c r="M32" s="867"/>
      <c r="N32" s="867"/>
      <c r="O32" s="868"/>
      <c r="P32" s="846"/>
      <c r="Q32" s="847"/>
      <c r="R32" s="1108"/>
      <c r="S32" s="1109"/>
      <c r="T32" s="1218"/>
      <c r="U32" s="1218"/>
      <c r="V32" s="1218"/>
      <c r="W32" s="1218"/>
      <c r="X32" s="871"/>
      <c r="Y32" s="872"/>
      <c r="Z32" s="1108"/>
      <c r="AA32" s="1109"/>
      <c r="AB32" s="1165" t="str">
        <f t="shared" ref="AB32" si="30">IF(C32="New Construction","Incremental","")</f>
        <v/>
      </c>
      <c r="AC32" s="1165"/>
      <c r="AD32" s="869"/>
      <c r="AE32" s="1091"/>
      <c r="AF32" s="1193" t="str">
        <f t="shared" ref="AF32" si="31">IF(AB32="Incremental",0,"")</f>
        <v/>
      </c>
      <c r="AG32" s="1194"/>
      <c r="AH32" s="865" t="str">
        <f t="shared" ref="AH32" si="32">IF(OR(C32="",F32="",L32="",P32="",R32="",T32="",X32="",Z32="",AD32="",AF32=""),"",ROUND(AD32+AF32,2))</f>
        <v/>
      </c>
      <c r="AI32" s="1096"/>
      <c r="AJ32" s="1096"/>
      <c r="AK32" s="998" t="str">
        <f t="shared" ref="AK32" si="33">IF(OR(C32="",F32="",F32="",L32="",P32="",R32="",T32="",X32="",Z32="",AD32="",AF32=""),"",IF((P32*R32)-(X32*Z32)&lt;=0,0,ROUND((P32*R32)-(X32*Z32),2)))</f>
        <v/>
      </c>
      <c r="AL32" s="999"/>
      <c r="AM32" s="1000"/>
      <c r="AN32" s="1132" t="str">
        <f>IF(OR(C32="",F32="",F32="",L32="",P32="",R32="",T32="",X32="",Z32="",AD32="",AF32=""),"",IF(BE32&lt;&gt;"",BE32,IF(C32="Custom",AX32,IF(C32="New Construction",AY32,IF(C32="RCx",AZ32)))))</f>
        <v/>
      </c>
      <c r="AO32" s="1132"/>
      <c r="AP32" s="1132"/>
      <c r="AQ32" s="1132"/>
      <c r="AR32" s="59"/>
      <c r="AU32" s="1103" t="str">
        <f>IF(F32="","",INDEX(CUSTNONLIGHTGUNIT,MATCH(F32,PROGRAMGCAT[Category 1],0)))</f>
        <v/>
      </c>
      <c r="AV32" s="1103" t="str">
        <f>IF(OR(C32="",F32="",L32="",P32="",R32="",T32="",X32="",Z32="",AD32="",AF32=""),"",((1+GLOSS)*((AK32*INDEX(GASCB[NPV GAEC $/therm],MATCH(BA32,GASCB[Year Number],1))))/AH32))</f>
        <v/>
      </c>
      <c r="AW32" s="1097"/>
      <c r="AX32" s="1180" t="str">
        <f>IF(OR(C32="",F32="",L32="",P32="",R32="",T32="",X32="",Z32="",AB32="",AD32="",AF32=""),"",IF(AB32="Total",ROUND(MIN(AH32*0.75,AK32*INDEX(INCRATE[Gas],MATCH("CMNONLIGHT",INCRATE[Incentive Type]))),2),IF(AB32="Incremental",ROUND(MIN(AH32,AK32*INDEX(INCRATE[Gas],MATCH("CMNONLIGHT",INCRATE[Incentive Type]))),2))))</f>
        <v/>
      </c>
      <c r="AY32" s="1180" t="str">
        <f>IF(OR(C32="",F32="",L32="",P32="",R32="",T32="",X32="",Z32="",AB32="",AD32="",AF32=""),"",IF(AB32="Total",ROUND(MIN(AH32*0.75,AK32*INDEX(INCRATE[Gas],MATCH("NCNONLIGHT",INCRATE[Incentive Type]))),2),IF(AB32="Incremental",ROUND(MIN(AH32,AK32*INDEX(INCRATE[Gas],MATCH("NCNONLIGHT",INCRATE[Incentive Type]))),2))))</f>
        <v/>
      </c>
      <c r="AZ32" s="1180" t="str">
        <f>IF(OR(C32="",F32="",L32="",P32="",R32="",T32="",X32="",Z32="",AB32="",AD32="",AF32=""),"",IF(AB32="Total",ROUND(MIN(AH32*0.75,AK32*INDEX(INCRATE[Gas],MATCH("RCX",INCRATE[Incentive Type]))),2),IF(AB32="Incremental",ROUND(MIN(AH32,AK32*INDEX(INCRATE[Gas],MATCH("RCX",INCRATE[Incentive Type]))),2))))</f>
        <v/>
      </c>
      <c r="BA32" s="1097" t="str">
        <f>IF(F32="","",INDEX(PROGRAMGCAT[EUL],MATCH(F32,PROGRAMGCAT[Category 1],0)))</f>
        <v/>
      </c>
      <c r="BB32" s="1097" t="str">
        <f>IFERROR(AH32/M02S02F36/AK32,"")</f>
        <v/>
      </c>
      <c r="BC32" s="1190" t="str">
        <f>IF(OR(C32="",F32="",L32="",P32="",R32="",T32="",X32="",Z32="",AD32="",AF32=""),"",IF(ISNUMBER(AN32),INDEX(PROGRAMGCAT[Measure Number],MATCH(F32,PROGRAMGCAT[Category 1],0)),IF(AK32=0,"","000001")))</f>
        <v/>
      </c>
      <c r="BD32" s="1190"/>
      <c r="BE32" s="1097" t="str" cm="1">
        <f t="array" ref="BE32">IFERROR(_xlfn.SINGLE(IF((P32*R32)-(X32*Z32)&lt;=0,MEASURESAV,IF(M02S02F36="",MEASURERATE,IF(AND(OR(F32="Others (Incremental)",F32="Others"),M05S07F03=""),MEASURESUBMIT, IF(AND(OR(ISNUMBER(SEARCH({"Custom","New Construction"},C32))),BB32&lt;1),MEASUREPAY,IF(AV32&lt;1,MEASURECB,"")))))),MEASURESUBMIT)</f>
        <v>Submit for Review</v>
      </c>
    </row>
    <row r="33" spans="2:57" ht="15.95" customHeight="1">
      <c r="B33" s="829"/>
      <c r="C33" s="1205"/>
      <c r="D33" s="1205"/>
      <c r="E33" s="1205"/>
      <c r="F33" s="1088"/>
      <c r="G33" s="1088"/>
      <c r="H33" s="1088"/>
      <c r="I33" s="1088"/>
      <c r="J33" s="1088"/>
      <c r="K33" s="1088"/>
      <c r="L33" s="835"/>
      <c r="M33" s="836"/>
      <c r="N33" s="836"/>
      <c r="O33" s="837"/>
      <c r="P33" s="848"/>
      <c r="Q33" s="849"/>
      <c r="R33" s="1110"/>
      <c r="S33" s="1111"/>
      <c r="T33" s="1219"/>
      <c r="U33" s="1219"/>
      <c r="V33" s="1219"/>
      <c r="W33" s="1219"/>
      <c r="X33" s="848"/>
      <c r="Y33" s="849"/>
      <c r="Z33" s="1110"/>
      <c r="AA33" s="1111"/>
      <c r="AB33" s="1166"/>
      <c r="AC33" s="1166"/>
      <c r="AD33" s="870"/>
      <c r="AE33" s="1092"/>
      <c r="AF33" s="1195"/>
      <c r="AG33" s="1196"/>
      <c r="AH33" s="1130"/>
      <c r="AI33" s="1131"/>
      <c r="AJ33" s="1131"/>
      <c r="AK33" s="1001"/>
      <c r="AL33" s="1002"/>
      <c r="AM33" s="1003"/>
      <c r="AN33" s="1133"/>
      <c r="AO33" s="1133"/>
      <c r="AP33" s="1133"/>
      <c r="AQ33" s="1133"/>
      <c r="AR33" s="59"/>
      <c r="AU33" s="1102"/>
      <c r="AV33" s="1102"/>
      <c r="AW33" s="1098"/>
      <c r="AX33" s="1098"/>
      <c r="AY33" s="1098"/>
      <c r="AZ33" s="1098"/>
      <c r="BA33" s="1098"/>
      <c r="BB33" s="1098"/>
      <c r="BC33" s="1184"/>
      <c r="BD33" s="1184"/>
      <c r="BE33" s="1098"/>
    </row>
    <row r="34" spans="2:57" ht="15.95" customHeight="1">
      <c r="B34" s="829">
        <v>10</v>
      </c>
      <c r="C34" s="1204"/>
      <c r="D34" s="1204"/>
      <c r="E34" s="1204"/>
      <c r="F34" s="1087"/>
      <c r="G34" s="1087"/>
      <c r="H34" s="1087"/>
      <c r="I34" s="1087"/>
      <c r="J34" s="1087"/>
      <c r="K34" s="1087"/>
      <c r="L34" s="866"/>
      <c r="M34" s="867"/>
      <c r="N34" s="867"/>
      <c r="O34" s="868"/>
      <c r="P34" s="846"/>
      <c r="Q34" s="847"/>
      <c r="R34" s="1108"/>
      <c r="S34" s="1109"/>
      <c r="T34" s="1218"/>
      <c r="U34" s="1218"/>
      <c r="V34" s="1218"/>
      <c r="W34" s="1218"/>
      <c r="X34" s="871"/>
      <c r="Y34" s="872"/>
      <c r="Z34" s="1108"/>
      <c r="AA34" s="1109"/>
      <c r="AB34" s="1165" t="str">
        <f t="shared" ref="AB34" si="34">IF(C34="New Construction","Incremental","")</f>
        <v/>
      </c>
      <c r="AC34" s="1165"/>
      <c r="AD34" s="869"/>
      <c r="AE34" s="1091"/>
      <c r="AF34" s="1193" t="str">
        <f t="shared" ref="AF34" si="35">IF(AB34="Incremental",0,"")</f>
        <v/>
      </c>
      <c r="AG34" s="1194"/>
      <c r="AH34" s="865" t="str">
        <f t="shared" ref="AH34" si="36">IF(OR(C34="",F34="",L34="",P34="",R34="",T34="",X34="",Z34="",AD34="",AF34=""),"",ROUND(AD34+AF34,2))</f>
        <v/>
      </c>
      <c r="AI34" s="1096"/>
      <c r="AJ34" s="1096"/>
      <c r="AK34" s="998" t="str">
        <f t="shared" ref="AK34" si="37">IF(OR(C34="",F34="",F34="",L34="",P34="",R34="",T34="",X34="",Z34="",AD34="",AF34=""),"",IF((P34*R34)-(X34*Z34)&lt;=0,0,ROUND((P34*R34)-(X34*Z34),2)))</f>
        <v/>
      </c>
      <c r="AL34" s="999"/>
      <c r="AM34" s="1000"/>
      <c r="AN34" s="1132" t="str">
        <f>IF(OR(C34="",F34="",F34="",L34="",P34="",R34="",T34="",X34="",Z34="",AD34="",AF34=""),"",IF(BE34&lt;&gt;"",BE34,IF(C34="Custom",AX34,IF(C34="New Construction",AY34,IF(C34="RCx",AZ34)))))</f>
        <v/>
      </c>
      <c r="AO34" s="1132"/>
      <c r="AP34" s="1132"/>
      <c r="AQ34" s="1132"/>
      <c r="AR34" s="59"/>
      <c r="AU34" s="1103" t="str">
        <f>IF(F34="","",INDEX(CUSTNONLIGHTGUNIT,MATCH(F34,PROGRAMGCAT[Category 1],0)))</f>
        <v/>
      </c>
      <c r="AV34" s="1103" t="str">
        <f>IF(OR(C34="",F34="",L34="",P34="",R34="",T34="",X34="",Z34="",AD34="",AF34=""),"",((1+GLOSS)*((AK34*INDEX(GASCB[NPV GAEC $/therm],MATCH(BA34,GASCB[Year Number],1))))/AH34))</f>
        <v/>
      </c>
      <c r="AW34" s="1097"/>
      <c r="AX34" s="1180" t="str">
        <f>IF(OR(C34="",F34="",L34="",P34="",R34="",T34="",X34="",Z34="",AB34="",AD34="",AF34=""),"",IF(AB34="Total",ROUND(MIN(AH34*0.75,AK34*INDEX(INCRATE[Gas],MATCH("CMNONLIGHT",INCRATE[Incentive Type]))),2),IF(AB34="Incremental",ROUND(MIN(AH34,AK34*INDEX(INCRATE[Gas],MATCH("CMNONLIGHT",INCRATE[Incentive Type]))),2))))</f>
        <v/>
      </c>
      <c r="AY34" s="1180" t="str">
        <f>IF(OR(C34="",F34="",L34="",P34="",R34="",T34="",X34="",Z34="",AB34="",AD34="",AF34=""),"",IF(AB34="Total",ROUND(MIN(AH34*0.75,AK34*INDEX(INCRATE[Gas],MATCH("NCNONLIGHT",INCRATE[Incentive Type]))),2),IF(AB34="Incremental",ROUND(MIN(AH34,AK34*INDEX(INCRATE[Gas],MATCH("NCNONLIGHT",INCRATE[Incentive Type]))),2))))</f>
        <v/>
      </c>
      <c r="AZ34" s="1180" t="str">
        <f>IF(OR(C34="",F34="",L34="",P34="",R34="",T34="",X34="",Z34="",AB34="",AD34="",AF34=""),"",IF(AB34="Total",ROUND(MIN(AH34*0.75,AK34*INDEX(INCRATE[Gas],MATCH("RCX",INCRATE[Incentive Type]))),2),IF(AB34="Incremental",ROUND(MIN(AH34,AK34*INDEX(INCRATE[Gas],MATCH("RCX",INCRATE[Incentive Type]))),2))))</f>
        <v/>
      </c>
      <c r="BA34" s="1097" t="str">
        <f>IF(F34="","",INDEX(PROGRAMGCAT[EUL],MATCH(F34,PROGRAMGCAT[Category 1],0)))</f>
        <v/>
      </c>
      <c r="BB34" s="1097" t="str">
        <f>IFERROR(AH34/M02S02F36/AK34,"")</f>
        <v/>
      </c>
      <c r="BC34" s="1190" t="str">
        <f>IF(OR(C34="",F34="",L34="",P34="",R34="",T34="",X34="",Z34="",AD34="",AF34=""),"",IF(ISNUMBER(AN34),INDEX(PROGRAMGCAT[Measure Number],MATCH(F34,PROGRAMGCAT[Category 1],0)),IF(AK34=0,"","000001")))</f>
        <v/>
      </c>
      <c r="BD34" s="1190"/>
      <c r="BE34" s="1097" t="str" cm="1">
        <f t="array" ref="BE34">IFERROR(_xlfn.SINGLE(IF((P34*R34)-(X34*Z34)&lt;=0,MEASURESAV,IF(M02S02F36="",MEASURERATE,IF(AND(OR(F34="Others (Incremental)",F34="Others"),M05S07F03=""),MEASURESUBMIT, IF(AND(OR(ISNUMBER(SEARCH({"Custom","New Construction"},C34))),BB34&lt;1),MEASUREPAY,IF(AV34&lt;1,MEASURECB,"")))))),MEASURESUBMIT)</f>
        <v>Submit for Review</v>
      </c>
    </row>
    <row r="35" spans="2:57" ht="15.95" customHeight="1">
      <c r="B35" s="829"/>
      <c r="C35" s="1205"/>
      <c r="D35" s="1205"/>
      <c r="E35" s="1205"/>
      <c r="F35" s="1088"/>
      <c r="G35" s="1088"/>
      <c r="H35" s="1088"/>
      <c r="I35" s="1088"/>
      <c r="J35" s="1088"/>
      <c r="K35" s="1088"/>
      <c r="L35" s="835"/>
      <c r="M35" s="836"/>
      <c r="N35" s="836"/>
      <c r="O35" s="837"/>
      <c r="P35" s="848"/>
      <c r="Q35" s="849"/>
      <c r="R35" s="1110"/>
      <c r="S35" s="1111"/>
      <c r="T35" s="1219"/>
      <c r="U35" s="1219"/>
      <c r="V35" s="1219"/>
      <c r="W35" s="1219"/>
      <c r="X35" s="848"/>
      <c r="Y35" s="849"/>
      <c r="Z35" s="1110"/>
      <c r="AA35" s="1111"/>
      <c r="AB35" s="1166"/>
      <c r="AC35" s="1166"/>
      <c r="AD35" s="870"/>
      <c r="AE35" s="1092"/>
      <c r="AF35" s="1195"/>
      <c r="AG35" s="1196"/>
      <c r="AH35" s="1130"/>
      <c r="AI35" s="1131"/>
      <c r="AJ35" s="1131"/>
      <c r="AK35" s="1001"/>
      <c r="AL35" s="1002"/>
      <c r="AM35" s="1003"/>
      <c r="AN35" s="1133"/>
      <c r="AO35" s="1133"/>
      <c r="AP35" s="1133"/>
      <c r="AQ35" s="1133"/>
      <c r="AR35" s="59"/>
      <c r="AU35" s="1102"/>
      <c r="AV35" s="1102"/>
      <c r="AW35" s="1098"/>
      <c r="AX35" s="1098"/>
      <c r="AY35" s="1098"/>
      <c r="AZ35" s="1098"/>
      <c r="BA35" s="1098"/>
      <c r="BB35" s="1098"/>
      <c r="BC35" s="1184"/>
      <c r="BD35" s="1184"/>
      <c r="BE35" s="1098"/>
    </row>
    <row r="36" spans="2:57" ht="15.95" hidden="1" customHeight="1">
      <c r="B36" s="829">
        <v>11</v>
      </c>
      <c r="C36" s="1204"/>
      <c r="D36" s="1204"/>
      <c r="E36" s="1204"/>
      <c r="F36" s="1087"/>
      <c r="G36" s="1087"/>
      <c r="H36" s="1087"/>
      <c r="I36" s="1087"/>
      <c r="J36" s="1087"/>
      <c r="K36" s="1087"/>
      <c r="L36" s="866"/>
      <c r="M36" s="867"/>
      <c r="N36" s="867"/>
      <c r="O36" s="868"/>
      <c r="P36" s="846"/>
      <c r="Q36" s="847"/>
      <c r="R36" s="1108"/>
      <c r="S36" s="1109"/>
      <c r="T36" s="1218"/>
      <c r="U36" s="1218"/>
      <c r="V36" s="1218"/>
      <c r="W36" s="1218"/>
      <c r="X36" s="871"/>
      <c r="Y36" s="872"/>
      <c r="Z36" s="1108"/>
      <c r="AA36" s="1109"/>
      <c r="AB36" s="1165" t="str">
        <f t="shared" ref="AB36" si="38">IF(C36="New Construction","Incremental","")</f>
        <v/>
      </c>
      <c r="AC36" s="1165"/>
      <c r="AD36" s="869"/>
      <c r="AE36" s="1091"/>
      <c r="AF36" s="1193" t="str">
        <f t="shared" ref="AF36" si="39">IF(AB36="Incremental",0,"")</f>
        <v/>
      </c>
      <c r="AG36" s="1194"/>
      <c r="AH36" s="865" t="str">
        <f t="shared" ref="AH36" si="40">IF(OR(C36="",F36="",L36="",P36="",R36="",T36="",X36="",Z36="",AD36="",AF36=""),"",ROUND(AD36+AF36,2))</f>
        <v/>
      </c>
      <c r="AI36" s="1096"/>
      <c r="AJ36" s="1096"/>
      <c r="AK36" s="1210" t="str">
        <f t="shared" ref="AK36" si="41">IF(OR(C36="",F36="",F36="",L36="",P36="",R36="",T36="",X36="",Z36="",AD36="",AF36=""),"",IF((P36*R36)-(X36*Z36)&lt;=0,0,ROUND((P36*R36)-(X36*Z36),2)))</f>
        <v/>
      </c>
      <c r="AL36" s="1210"/>
      <c r="AM36" s="1210"/>
      <c r="AN36" s="1132" t="str">
        <f t="shared" ref="AN36" si="42">IF(OR(C36="",F36="",F36="",L36="",P36="",R36="",T36="",X36="",Z36="",AD36="",AF36=""),"",IF(BD36&lt;&gt;"",BD36,IF(C36="Custom",AX36,IF(C36="New Construction",AY36,IF(C36="RCx",AZ36)))))</f>
        <v/>
      </c>
      <c r="AO36" s="1132"/>
      <c r="AP36" s="1132"/>
      <c r="AQ36" s="1132"/>
      <c r="AR36" s="59"/>
      <c r="AU36" s="1103" t="str">
        <f>IF(F36="","",INDEX(CUSTNONLIGHTGUNIT,MATCH(F36,PROGRAMGCAT[Category 1],0)))</f>
        <v/>
      </c>
      <c r="AV36" s="1103" t="str">
        <f>IF(OR(C36="",F36="",L36="",P36="",R36="",T36="",X36="",Z36="",AD36="",AF36=""),"",((1+GLOSS)*((AK36*INDEX(GASCB[NPV GAEC $/therm],MATCH(BA36,GASCB[Year Number],1))))/AH36))</f>
        <v/>
      </c>
      <c r="AW36" s="1097"/>
      <c r="AX36" s="1180" t="str">
        <f>IF(OR(C36="",F36="",L36="",P36="",R36="",T36="",X36="",Z36="",AB36="",AD36="",AF36=""),"",IF(AB36="Total",ROUND(MIN(AH36*0.75,AK36*INDEX(INCRATE[Gas],MATCH("CMNONLIGHT",INCRATE[Incentive Type]))),2),IF(AB36="Incremental",ROUND(MIN(AH36,AK36*INDEX(INCRATE[Gas],MATCH("CMNONLIGHT",INCRATE[Incentive Type]))),2))))</f>
        <v/>
      </c>
      <c r="AY36" s="1180" t="str">
        <f>IF(OR(C36="",F36="",L36="",P36="",R36="",T36="",X36="",Z36="",AB36="",AD36="",AF36=""),"",IF(AB36="Total",ROUND(MIN(AH36*0.75,AK36*INDEX(INCRATE[Gas],MATCH("NCNONLIGHT",INCRATE[Incentive Type]))),2),IF(AB36="Incremental",ROUND(MIN(AH36,AK36*INDEX(INCRATE[Gas],MATCH("NCNONLIGHT",INCRATE[Incentive Type]))),2))))</f>
        <v/>
      </c>
      <c r="AZ36" s="1180" t="str">
        <f>IF(OR(C36="",F36="",L36="",P36="",R36="",T36="",X36="",Z36="",AB36="",AD36="",AF36=""),"",IF(AB36="Total",ROUND(MIN(AH36*0.75,AK36*INDEX(INCRATE[Gas],MATCH("RCX",INCRATE[Incentive Type]))),2),IF(AB36="Incremental",ROUND(MIN(AH36,AK36*INDEX(INCRATE[Gas],MATCH("RCX",INCRATE[Incentive Type]))),2))))</f>
        <v/>
      </c>
      <c r="BA36" s="1097" t="str">
        <f>IF(F36="","",INDEX(PROGRAMGCAT[EUL],MATCH(F36,PROGRAMGCAT[Category 1],0)))</f>
        <v/>
      </c>
      <c r="BB36" s="1097" t="str">
        <f>IFERROR(AH36/M02S02F36/AK36,"")</f>
        <v/>
      </c>
      <c r="BC36" s="1190" t="str">
        <f>IF(OR(C36="",F36="",L36="",P36="",R36="",T36="",X36="",Z36="",AD36="",AF36=""),"",IF(ISNUMBER(AN36),INDEX(PROGRAMGCAT[Measure Number],MATCH(F36,PROGRAMGCAT[Category 1],0)),IF(AK36=0,"","000001")))</f>
        <v/>
      </c>
      <c r="BD36" s="1097" t="str">
        <f>IFERROR(IF((P36*R36)-(X36*Z36)&lt;=0,MEASURESAV,IF(M02S02F36="",MEASURERATE,IF(OR(F36="Others (Incremental)",F36="Others"),MEASURESUBMIT, IF(BB36&lt;1,MEASUREPAY,IF(AV36&lt;1,MEASURECB,""))))),MEASURESUBMIT)</f>
        <v>Submit for Review</v>
      </c>
    </row>
    <row r="37" spans="2:57" ht="15.95" hidden="1" customHeight="1">
      <c r="B37" s="829"/>
      <c r="C37" s="1205"/>
      <c r="D37" s="1205"/>
      <c r="E37" s="1205"/>
      <c r="F37" s="1088"/>
      <c r="G37" s="1088"/>
      <c r="H37" s="1088"/>
      <c r="I37" s="1088"/>
      <c r="J37" s="1088"/>
      <c r="K37" s="1088"/>
      <c r="L37" s="835"/>
      <c r="M37" s="836"/>
      <c r="N37" s="836"/>
      <c r="O37" s="837"/>
      <c r="P37" s="848"/>
      <c r="Q37" s="849"/>
      <c r="R37" s="1110"/>
      <c r="S37" s="1111"/>
      <c r="T37" s="1219"/>
      <c r="U37" s="1219"/>
      <c r="V37" s="1219"/>
      <c r="W37" s="1219"/>
      <c r="X37" s="848"/>
      <c r="Y37" s="849"/>
      <c r="Z37" s="1110"/>
      <c r="AA37" s="1111"/>
      <c r="AB37" s="1166"/>
      <c r="AC37" s="1166"/>
      <c r="AD37" s="870"/>
      <c r="AE37" s="1092"/>
      <c r="AF37" s="1195"/>
      <c r="AG37" s="1196"/>
      <c r="AH37" s="1130"/>
      <c r="AI37" s="1131"/>
      <c r="AJ37" s="1131"/>
      <c r="AK37" s="1211"/>
      <c r="AL37" s="1211"/>
      <c r="AM37" s="1211"/>
      <c r="AN37" s="1133"/>
      <c r="AO37" s="1133"/>
      <c r="AP37" s="1133"/>
      <c r="AQ37" s="1133"/>
      <c r="AR37" s="59"/>
      <c r="AU37" s="1102"/>
      <c r="AV37" s="1102"/>
      <c r="AW37" s="1098"/>
      <c r="AX37" s="1098"/>
      <c r="AY37" s="1098"/>
      <c r="AZ37" s="1098"/>
      <c r="BA37" s="1098"/>
      <c r="BB37" s="1098"/>
      <c r="BC37" s="1184"/>
      <c r="BD37" s="1098"/>
    </row>
    <row r="38" spans="2:57" ht="15.95" hidden="1" customHeight="1">
      <c r="B38" s="829">
        <v>12</v>
      </c>
      <c r="C38" s="1204"/>
      <c r="D38" s="1204"/>
      <c r="E38" s="1204"/>
      <c r="F38" s="1087"/>
      <c r="G38" s="1087"/>
      <c r="H38" s="1087"/>
      <c r="I38" s="1087"/>
      <c r="J38" s="1087"/>
      <c r="K38" s="1087"/>
      <c r="L38" s="866"/>
      <c r="M38" s="867"/>
      <c r="N38" s="867"/>
      <c r="O38" s="868"/>
      <c r="P38" s="846"/>
      <c r="Q38" s="847"/>
      <c r="R38" s="1108"/>
      <c r="S38" s="1109"/>
      <c r="T38" s="1218"/>
      <c r="U38" s="1218"/>
      <c r="V38" s="1218"/>
      <c r="W38" s="1218"/>
      <c r="X38" s="871"/>
      <c r="Y38" s="872"/>
      <c r="Z38" s="1108"/>
      <c r="AA38" s="1109"/>
      <c r="AB38" s="1165" t="str">
        <f t="shared" ref="AB38" si="43">IF(C38="New Construction","Incremental","")</f>
        <v/>
      </c>
      <c r="AC38" s="1165"/>
      <c r="AD38" s="869"/>
      <c r="AE38" s="1091"/>
      <c r="AF38" s="1193" t="str">
        <f t="shared" ref="AF38" si="44">IF(AB38="Incremental",0,"")</f>
        <v/>
      </c>
      <c r="AG38" s="1194"/>
      <c r="AH38" s="865" t="str">
        <f t="shared" ref="AH38" si="45">IF(OR(C38="",F38="",L38="",P38="",R38="",T38="",X38="",Z38="",AD38="",AF38=""),"",ROUND(AD38+AF38,2))</f>
        <v/>
      </c>
      <c r="AI38" s="1096"/>
      <c r="AJ38" s="1096"/>
      <c r="AK38" s="1210" t="str">
        <f t="shared" ref="AK38" si="46">IF(OR(C38="",F38="",F38="",L38="",P38="",R38="",T38="",X38="",Z38="",AD38="",AF38=""),"",IF((P38*R38)-(X38*Z38)&lt;=0,0,ROUND((P38*R38)-(X38*Z38),2)))</f>
        <v/>
      </c>
      <c r="AL38" s="1210"/>
      <c r="AM38" s="1210"/>
      <c r="AN38" s="1132" t="str">
        <f t="shared" ref="AN38" si="47">IF(OR(C38="",F38="",F38="",L38="",P38="",R38="",T38="",X38="",Z38="",AD38="",AF38=""),"",IF(BD38&lt;&gt;"",BD38,IF(C38="Custom",AX38,IF(C38="New Construction",AY38,IF(C38="RCx",AZ38)))))</f>
        <v/>
      </c>
      <c r="AO38" s="1132"/>
      <c r="AP38" s="1132"/>
      <c r="AQ38" s="1132"/>
      <c r="AR38" s="59"/>
      <c r="AU38" s="1103" t="str">
        <f>IF(F38="","",INDEX(CUSTNONLIGHTGUNIT,MATCH(F38,PROGRAMGCAT[Category 1],0)))</f>
        <v/>
      </c>
      <c r="AV38" s="1103" t="str">
        <f>IF(OR(C38="",F38="",L38="",P38="",R38="",T38="",X38="",Z38="",AD38="",AF38=""),"",((1+GLOSS)*((AK38*INDEX(GASCB[NPV GAEC $/therm],MATCH(BA38,GASCB[Year Number],1))))/AH38))</f>
        <v/>
      </c>
      <c r="AW38" s="1097"/>
      <c r="AX38" s="1180" t="str">
        <f>IF(OR(C38="",F38="",L38="",P38="",R38="",T38="",X38="",Z38="",AB38="",AD38="",AF38=""),"",IF(AB38="Total",ROUND(MIN(AH38*0.75,AK38*INDEX(INCRATE[Gas],MATCH("CMNONLIGHT",INCRATE[Incentive Type]))),2),IF(AB38="Incremental",ROUND(MIN(AH38,AK38*INDEX(INCRATE[Gas],MATCH("CMNONLIGHT",INCRATE[Incentive Type]))),2))))</f>
        <v/>
      </c>
      <c r="AY38" s="1180" t="str">
        <f>IF(OR(C38="",F38="",L38="",P38="",R38="",T38="",X38="",Z38="",AB38="",AD38="",AF38=""),"",IF(AB38="Total",ROUND(MIN(AH38*0.75,AK38*INDEX(INCRATE[Gas],MATCH("NCNONLIGHT",INCRATE[Incentive Type]))),2),IF(AB38="Incremental",ROUND(MIN(AH38,AK38*INDEX(INCRATE[Gas],MATCH("NCNONLIGHT",INCRATE[Incentive Type]))),2))))</f>
        <v/>
      </c>
      <c r="AZ38" s="1180" t="str">
        <f>IF(OR(C38="",F38="",L38="",P38="",R38="",T38="",X38="",Z38="",AB38="",AD38="",AF38=""),"",IF(AB38="Total",ROUND(MIN(AH38*0.75,AK38*INDEX(INCRATE[Gas],MATCH("RCX",INCRATE[Incentive Type]))),2),IF(AB38="Incremental",ROUND(MIN(AH38,AK38*INDEX(INCRATE[Gas],MATCH("RCX",INCRATE[Incentive Type]))),2))))</f>
        <v/>
      </c>
      <c r="BA38" s="1097" t="str">
        <f>IF(F38="","",INDEX(PROGRAMGCAT[EUL],MATCH(F38,PROGRAMGCAT[Category 1],0)))</f>
        <v/>
      </c>
      <c r="BB38" s="1097" t="str">
        <f>IFERROR(AH38/M02S02F36/AK38,"")</f>
        <v/>
      </c>
      <c r="BC38" s="1190" t="str">
        <f>IF(OR(C38="",F38="",L38="",P38="",R38="",T38="",X38="",Z38="",AD38="",AF38=""),"",IF(ISNUMBER(AN38),INDEX(PROGRAMGCAT[Measure Number],MATCH(F38,PROGRAMGCAT[Category 1],0)),IF(AK38=0,"","000001")))</f>
        <v/>
      </c>
      <c r="BD38" s="1097" t="str">
        <f>IFERROR(IF((P38*R38)-(X38*Z38)&lt;=0,MEASURESAV,IF(M02S02F36="",MEASURERATE,IF(OR(F38="Others (Incremental)",F38="Others"),MEASURESUBMIT, IF(BB38&lt;1,MEASUREPAY,IF(AV38&lt;1,MEASURECB,""))))),MEASURESUBMIT)</f>
        <v>Submit for Review</v>
      </c>
    </row>
    <row r="39" spans="2:57" ht="15.95" hidden="1" customHeight="1">
      <c r="B39" s="829"/>
      <c r="C39" s="1205"/>
      <c r="D39" s="1205"/>
      <c r="E39" s="1205"/>
      <c r="F39" s="1088"/>
      <c r="G39" s="1088"/>
      <c r="H39" s="1088"/>
      <c r="I39" s="1088"/>
      <c r="J39" s="1088"/>
      <c r="K39" s="1088"/>
      <c r="L39" s="835"/>
      <c r="M39" s="836"/>
      <c r="N39" s="836"/>
      <c r="O39" s="837"/>
      <c r="P39" s="848"/>
      <c r="Q39" s="849"/>
      <c r="R39" s="1110"/>
      <c r="S39" s="1111"/>
      <c r="T39" s="1219"/>
      <c r="U39" s="1219"/>
      <c r="V39" s="1219"/>
      <c r="W39" s="1219"/>
      <c r="X39" s="848"/>
      <c r="Y39" s="849"/>
      <c r="Z39" s="1110"/>
      <c r="AA39" s="1111"/>
      <c r="AB39" s="1166"/>
      <c r="AC39" s="1166"/>
      <c r="AD39" s="870"/>
      <c r="AE39" s="1092"/>
      <c r="AF39" s="1195"/>
      <c r="AG39" s="1196"/>
      <c r="AH39" s="1130"/>
      <c r="AI39" s="1131"/>
      <c r="AJ39" s="1131"/>
      <c r="AK39" s="1211"/>
      <c r="AL39" s="1211"/>
      <c r="AM39" s="1211"/>
      <c r="AN39" s="1133"/>
      <c r="AO39" s="1133"/>
      <c r="AP39" s="1133"/>
      <c r="AQ39" s="1133"/>
      <c r="AR39" s="59"/>
      <c r="AU39" s="1102"/>
      <c r="AV39" s="1102"/>
      <c r="AW39" s="1098"/>
      <c r="AX39" s="1098"/>
      <c r="AY39" s="1098"/>
      <c r="AZ39" s="1098"/>
      <c r="BA39" s="1098"/>
      <c r="BB39" s="1098"/>
      <c r="BC39" s="1184"/>
      <c r="BD39" s="1098"/>
    </row>
    <row r="40" spans="2:57" ht="15.95" hidden="1" customHeight="1">
      <c r="B40" s="829">
        <v>13</v>
      </c>
      <c r="C40" s="1204"/>
      <c r="D40" s="1204"/>
      <c r="E40" s="1204"/>
      <c r="F40" s="1087"/>
      <c r="G40" s="1087"/>
      <c r="H40" s="1087"/>
      <c r="I40" s="1087"/>
      <c r="J40" s="1087"/>
      <c r="K40" s="1087"/>
      <c r="L40" s="866"/>
      <c r="M40" s="867"/>
      <c r="N40" s="867"/>
      <c r="O40" s="868"/>
      <c r="P40" s="846"/>
      <c r="Q40" s="847"/>
      <c r="R40" s="1108"/>
      <c r="S40" s="1109"/>
      <c r="T40" s="1218"/>
      <c r="U40" s="1218"/>
      <c r="V40" s="1218"/>
      <c r="W40" s="1218"/>
      <c r="X40" s="871"/>
      <c r="Y40" s="872"/>
      <c r="Z40" s="1108"/>
      <c r="AA40" s="1109"/>
      <c r="AB40" s="1165" t="str">
        <f t="shared" ref="AB40" si="48">IF(C40="New Construction","Incremental","")</f>
        <v/>
      </c>
      <c r="AC40" s="1165"/>
      <c r="AD40" s="869"/>
      <c r="AE40" s="1091"/>
      <c r="AF40" s="1193" t="str">
        <f t="shared" ref="AF40" si="49">IF(AB40="Incremental",0,"")</f>
        <v/>
      </c>
      <c r="AG40" s="1194"/>
      <c r="AH40" s="865" t="str">
        <f t="shared" ref="AH40" si="50">IF(OR(C40="",F40="",L40="",P40="",R40="",T40="",X40="",Z40="",AD40="",AF40=""),"",ROUND(AD40+AF40,2))</f>
        <v/>
      </c>
      <c r="AI40" s="1096"/>
      <c r="AJ40" s="1096"/>
      <c r="AK40" s="1210" t="str">
        <f t="shared" ref="AK40" si="51">IF(OR(C40="",F40="",F40="",L40="",P40="",R40="",T40="",X40="",Z40="",AD40="",AF40=""),"",IF((P40*R40)-(X40*Z40)&lt;=0,0,ROUND((P40*R40)-(X40*Z40),2)))</f>
        <v/>
      </c>
      <c r="AL40" s="1210"/>
      <c r="AM40" s="1210"/>
      <c r="AN40" s="1132" t="str">
        <f t="shared" ref="AN40" si="52">IF(OR(C40="",F40="",F40="",L40="",P40="",R40="",T40="",X40="",Z40="",AD40="",AF40=""),"",IF(BD40&lt;&gt;"",BD40,IF(C40="Custom",AX40,IF(C40="New Construction",AY40,IF(C40="RCx",AZ40)))))</f>
        <v/>
      </c>
      <c r="AO40" s="1132"/>
      <c r="AP40" s="1132"/>
      <c r="AQ40" s="1132"/>
      <c r="AR40" s="59"/>
      <c r="AU40" s="1103" t="str">
        <f>IF(F40="","",INDEX(CUSTNONLIGHTGUNIT,MATCH(F40,PROGRAMGCAT[Category 1],0)))</f>
        <v/>
      </c>
      <c r="AV40" s="1103" t="str">
        <f>IF(OR(C40="",F40="",L40="",P40="",R40="",T40="",X40="",Z40="",AD40="",AF40=""),"",((1+GLOSS)*((AK40*INDEX(GASCB[NPV GAEC $/therm],MATCH(BA40,GASCB[Year Number],1))))/AH40))</f>
        <v/>
      </c>
      <c r="AW40" s="1097"/>
      <c r="AX40" s="1180" t="str">
        <f>IF(OR(C40="",F40="",L40="",P40="",R40="",T40="",X40="",Z40="",AB40="",AD40="",AF40=""),"",IF(AB40="Total",ROUND(MIN(AH40*0.75,AK40*INDEX(INCRATE[Gas],MATCH("CMNONLIGHT",INCRATE[Incentive Type]))),2),IF(AB40="Incremental",ROUND(MIN(AH40,AK40*INDEX(INCRATE[Gas],MATCH("CMNONLIGHT",INCRATE[Incentive Type]))),2))))</f>
        <v/>
      </c>
      <c r="AY40" s="1180" t="str">
        <f>IF(OR(C40="",F40="",L40="",P40="",R40="",T40="",X40="",Z40="",AB40="",AD40="",AF40=""),"",IF(AB40="Total",ROUND(MIN(AH40*0.75,AK40*INDEX(INCRATE[Gas],MATCH("NCNONLIGHT",INCRATE[Incentive Type]))),2),IF(AB40="Incremental",ROUND(MIN(AH40,AK40*INDEX(INCRATE[Gas],MATCH("NCNONLIGHT",INCRATE[Incentive Type]))),2))))</f>
        <v/>
      </c>
      <c r="AZ40" s="1180" t="str">
        <f>IF(OR(C40="",F40="",L40="",P40="",R40="",T40="",X40="",Z40="",AB40="",AD40="",AF40=""),"",IF(AB40="Total",ROUND(MIN(AH40*0.75,AK40*INDEX(INCRATE[Gas],MATCH("RCX",INCRATE[Incentive Type]))),2),IF(AB40="Incremental",ROUND(MIN(AH40,AK40*INDEX(INCRATE[Gas],MATCH("RCX",INCRATE[Incentive Type]))),2))))</f>
        <v/>
      </c>
      <c r="BA40" s="1097" t="str">
        <f>IF(F40="","",INDEX(PROGRAMGCAT[EUL],MATCH(F40,PROGRAMGCAT[Category 1],0)))</f>
        <v/>
      </c>
      <c r="BB40" s="1097" t="str">
        <f>IFERROR(AH40/M02S02F36/AK40,"")</f>
        <v/>
      </c>
      <c r="BC40" s="1190" t="str">
        <f>IF(OR(C40="",F40="",L40="",P40="",R40="",T40="",X40="",Z40="",AD40="",AF40=""),"",IF(ISNUMBER(AN40),INDEX(PROGRAMGCAT[Measure Number],MATCH(F40,PROGRAMGCAT[Category 1],0)),IF(AK40=0,"","000001")))</f>
        <v/>
      </c>
      <c r="BD40" s="1097" t="str">
        <f>IFERROR(IF((P40*R40)-(X40*Z40)&lt;=0,MEASURESAV,IF(M02S02F36="",MEASURERATE,IF(OR(F40="Others (Incremental)",F40="Others"),MEASURESUBMIT, IF(BB40&lt;1,MEASUREPAY,IF(AV40&lt;1,MEASURECB,""))))),MEASURESUBMIT)</f>
        <v>Submit for Review</v>
      </c>
    </row>
    <row r="41" spans="2:57" ht="15.95" hidden="1" customHeight="1">
      <c r="B41" s="829"/>
      <c r="C41" s="1205"/>
      <c r="D41" s="1205"/>
      <c r="E41" s="1205"/>
      <c r="F41" s="1088"/>
      <c r="G41" s="1088"/>
      <c r="H41" s="1088"/>
      <c r="I41" s="1088"/>
      <c r="J41" s="1088"/>
      <c r="K41" s="1088"/>
      <c r="L41" s="835"/>
      <c r="M41" s="836"/>
      <c r="N41" s="836"/>
      <c r="O41" s="837"/>
      <c r="P41" s="848"/>
      <c r="Q41" s="849"/>
      <c r="R41" s="1110"/>
      <c r="S41" s="1111"/>
      <c r="T41" s="1219"/>
      <c r="U41" s="1219"/>
      <c r="V41" s="1219"/>
      <c r="W41" s="1219"/>
      <c r="X41" s="848"/>
      <c r="Y41" s="849"/>
      <c r="Z41" s="1110"/>
      <c r="AA41" s="1111"/>
      <c r="AB41" s="1166"/>
      <c r="AC41" s="1166"/>
      <c r="AD41" s="870"/>
      <c r="AE41" s="1092"/>
      <c r="AF41" s="1195"/>
      <c r="AG41" s="1196"/>
      <c r="AH41" s="1130"/>
      <c r="AI41" s="1131"/>
      <c r="AJ41" s="1131"/>
      <c r="AK41" s="1211"/>
      <c r="AL41" s="1211"/>
      <c r="AM41" s="1211"/>
      <c r="AN41" s="1133"/>
      <c r="AO41" s="1133"/>
      <c r="AP41" s="1133"/>
      <c r="AQ41" s="1133"/>
      <c r="AR41" s="59"/>
      <c r="AU41" s="1102"/>
      <c r="AV41" s="1102"/>
      <c r="AW41" s="1098"/>
      <c r="AX41" s="1098"/>
      <c r="AY41" s="1098"/>
      <c r="AZ41" s="1098"/>
      <c r="BA41" s="1098"/>
      <c r="BB41" s="1098"/>
      <c r="BC41" s="1184"/>
      <c r="BD41" s="1098"/>
    </row>
    <row r="42" spans="2:57" ht="15.95" hidden="1" customHeight="1">
      <c r="B42" s="829">
        <v>14</v>
      </c>
      <c r="C42" s="1204"/>
      <c r="D42" s="1204"/>
      <c r="E42" s="1204"/>
      <c r="F42" s="1087"/>
      <c r="G42" s="1087"/>
      <c r="H42" s="1087"/>
      <c r="I42" s="1087"/>
      <c r="J42" s="1087"/>
      <c r="K42" s="1087"/>
      <c r="L42" s="866"/>
      <c r="M42" s="867"/>
      <c r="N42" s="867"/>
      <c r="O42" s="868"/>
      <c r="P42" s="846"/>
      <c r="Q42" s="847"/>
      <c r="R42" s="1108"/>
      <c r="S42" s="1109"/>
      <c r="T42" s="1218"/>
      <c r="U42" s="1218"/>
      <c r="V42" s="1218"/>
      <c r="W42" s="1218"/>
      <c r="X42" s="871"/>
      <c r="Y42" s="872"/>
      <c r="Z42" s="1108"/>
      <c r="AA42" s="1109"/>
      <c r="AB42" s="1165" t="str">
        <f t="shared" ref="AB42" si="53">IF(C42="New Construction","Incremental","")</f>
        <v/>
      </c>
      <c r="AC42" s="1165"/>
      <c r="AD42" s="869"/>
      <c r="AE42" s="1091"/>
      <c r="AF42" s="1193" t="str">
        <f t="shared" ref="AF42" si="54">IF(AB42="Incremental",0,"")</f>
        <v/>
      </c>
      <c r="AG42" s="1194"/>
      <c r="AH42" s="865" t="str">
        <f t="shared" ref="AH42" si="55">IF(OR(C42="",F42="",L42="",P42="",R42="",T42="",X42="",Z42="",AD42="",AF42=""),"",ROUND(AD42+AF42,2))</f>
        <v/>
      </c>
      <c r="AI42" s="1096"/>
      <c r="AJ42" s="1096"/>
      <c r="AK42" s="1210" t="str">
        <f t="shared" ref="AK42" si="56">IF(OR(C42="",F42="",F42="",L42="",P42="",R42="",T42="",X42="",Z42="",AD42="",AF42=""),"",IF((P42*R42)-(X42*Z42)&lt;=0,0,ROUND((P42*R42)-(X42*Z42),2)))</f>
        <v/>
      </c>
      <c r="AL42" s="1210"/>
      <c r="AM42" s="1210"/>
      <c r="AN42" s="1132" t="str">
        <f t="shared" ref="AN42" si="57">IF(OR(C42="",F42="",F42="",L42="",P42="",R42="",T42="",X42="",Z42="",AD42="",AF42=""),"",IF(BD42&lt;&gt;"",BD42,IF(C42="Custom",AX42,IF(C42="New Construction",AY42,IF(C42="RCx",AZ42)))))</f>
        <v/>
      </c>
      <c r="AO42" s="1132"/>
      <c r="AP42" s="1132"/>
      <c r="AQ42" s="1132"/>
      <c r="AR42" s="59"/>
      <c r="AU42" s="1103" t="str">
        <f>IF(F42="","",INDEX(CUSTNONLIGHTGUNIT,MATCH(F42,PROGRAMGCAT[Category 1],0)))</f>
        <v/>
      </c>
      <c r="AV42" s="1103" t="str">
        <f>IF(OR(C42="",F42="",L42="",P42="",R42="",T42="",X42="",Z42="",AD42="",AF42=""),"",((1+GLOSS)*((AK42*INDEX(GASCB[NPV GAEC $/therm],MATCH(BA42,GASCB[Year Number],1))))/AH42))</f>
        <v/>
      </c>
      <c r="AW42" s="1097"/>
      <c r="AX42" s="1180" t="str">
        <f>IF(OR(C42="",F42="",L42="",P42="",R42="",T42="",X42="",Z42="",AB42="",AD42="",AF42=""),"",IF(AB42="Total",ROUND(MIN(AH42*0.75,AK42*INDEX(INCRATE[Gas],MATCH("CMNONLIGHT",INCRATE[Incentive Type]))),2),IF(AB42="Incremental",ROUND(MIN(AH42,AK42*INDEX(INCRATE[Gas],MATCH("CMNONLIGHT",INCRATE[Incentive Type]))),2))))</f>
        <v/>
      </c>
      <c r="AY42" s="1180" t="str">
        <f>IF(OR(C42="",F42="",L42="",P42="",R42="",T42="",X42="",Z42="",AB42="",AD42="",AF42=""),"",IF(AB42="Total",ROUND(MIN(AH42*0.75,AK42*INDEX(INCRATE[Gas],MATCH("NCNONLIGHT",INCRATE[Incentive Type]))),2),IF(AB42="Incremental",ROUND(MIN(AH42,AK42*INDEX(INCRATE[Gas],MATCH("NCNONLIGHT",INCRATE[Incentive Type]))),2))))</f>
        <v/>
      </c>
      <c r="AZ42" s="1180" t="str">
        <f>IF(OR(C42="",F42="",L42="",P42="",R42="",T42="",X42="",Z42="",AB42="",AD42="",AF42=""),"",IF(AB42="Total",ROUND(MIN(AH42*0.75,AK42*INDEX(INCRATE[Gas],MATCH("RCX",INCRATE[Incentive Type]))),2),IF(AB42="Incremental",ROUND(MIN(AH42,AK42*INDEX(INCRATE[Gas],MATCH("RCX",INCRATE[Incentive Type]))),2))))</f>
        <v/>
      </c>
      <c r="BA42" s="1097" t="str">
        <f>IF(F42="","",INDEX(PROGRAMGCAT[EUL],MATCH(F42,PROGRAMGCAT[Category 1],0)))</f>
        <v/>
      </c>
      <c r="BB42" s="1097" t="str">
        <f>IFERROR(AH42/M02S02F36/AK42,"")</f>
        <v/>
      </c>
      <c r="BC42" s="1190" t="str">
        <f>IF(OR(C42="",F42="",L42="",P42="",R42="",T42="",X42="",Z42="",AD42="",AF42=""),"",IF(ISNUMBER(AN42),INDEX(PROGRAMGCAT[Measure Number],MATCH(F42,PROGRAMGCAT[Category 1],0)),IF(AK42=0,"","000001")))</f>
        <v/>
      </c>
      <c r="BD42" s="1097" t="str">
        <f>IFERROR(IF((P42*R42)-(X42*Z42)&lt;=0,MEASURESAV,IF(M02S02F36="",MEASURERATE,IF(OR(F42="Others (Incremental)",F42="Others"),MEASURESUBMIT, IF(BB42&lt;1,MEASUREPAY,IF(AV42&lt;1,MEASURECB,""))))),MEASURESUBMIT)</f>
        <v>Submit for Review</v>
      </c>
    </row>
    <row r="43" spans="2:57" ht="15.95" hidden="1" customHeight="1">
      <c r="B43" s="829"/>
      <c r="C43" s="1205"/>
      <c r="D43" s="1205"/>
      <c r="E43" s="1205"/>
      <c r="F43" s="1088"/>
      <c r="G43" s="1088"/>
      <c r="H43" s="1088"/>
      <c r="I43" s="1088"/>
      <c r="J43" s="1088"/>
      <c r="K43" s="1088"/>
      <c r="L43" s="835"/>
      <c r="M43" s="836"/>
      <c r="N43" s="836"/>
      <c r="O43" s="837"/>
      <c r="P43" s="848"/>
      <c r="Q43" s="849"/>
      <c r="R43" s="1110"/>
      <c r="S43" s="1111"/>
      <c r="T43" s="1219"/>
      <c r="U43" s="1219"/>
      <c r="V43" s="1219"/>
      <c r="W43" s="1219"/>
      <c r="X43" s="848"/>
      <c r="Y43" s="849"/>
      <c r="Z43" s="1110"/>
      <c r="AA43" s="1111"/>
      <c r="AB43" s="1166"/>
      <c r="AC43" s="1166"/>
      <c r="AD43" s="870"/>
      <c r="AE43" s="1092"/>
      <c r="AF43" s="1195"/>
      <c r="AG43" s="1196"/>
      <c r="AH43" s="1130"/>
      <c r="AI43" s="1131"/>
      <c r="AJ43" s="1131"/>
      <c r="AK43" s="1211"/>
      <c r="AL43" s="1211"/>
      <c r="AM43" s="1211"/>
      <c r="AN43" s="1133"/>
      <c r="AO43" s="1133"/>
      <c r="AP43" s="1133"/>
      <c r="AQ43" s="1133"/>
      <c r="AR43" s="59"/>
      <c r="AU43" s="1102"/>
      <c r="AV43" s="1102"/>
      <c r="AW43" s="1098"/>
      <c r="AX43" s="1098"/>
      <c r="AY43" s="1098"/>
      <c r="AZ43" s="1098"/>
      <c r="BA43" s="1098"/>
      <c r="BB43" s="1098"/>
      <c r="BC43" s="1184"/>
      <c r="BD43" s="1098"/>
    </row>
    <row r="44" spans="2:57" ht="15.95" hidden="1" customHeight="1">
      <c r="B44" s="829">
        <v>15</v>
      </c>
      <c r="C44" s="1204"/>
      <c r="D44" s="1204"/>
      <c r="E44" s="1204"/>
      <c r="F44" s="1087"/>
      <c r="G44" s="1087"/>
      <c r="H44" s="1087"/>
      <c r="I44" s="1087"/>
      <c r="J44" s="1087"/>
      <c r="K44" s="1087"/>
      <c r="L44" s="866"/>
      <c r="M44" s="867"/>
      <c r="N44" s="867"/>
      <c r="O44" s="868"/>
      <c r="P44" s="846"/>
      <c r="Q44" s="847"/>
      <c r="R44" s="1108"/>
      <c r="S44" s="1109"/>
      <c r="T44" s="1218"/>
      <c r="U44" s="1218"/>
      <c r="V44" s="1218"/>
      <c r="W44" s="1218"/>
      <c r="X44" s="871"/>
      <c r="Y44" s="872"/>
      <c r="Z44" s="1108"/>
      <c r="AA44" s="1109"/>
      <c r="AB44" s="1165" t="str">
        <f t="shared" ref="AB44" si="58">IF(C44="New Construction","Incremental","")</f>
        <v/>
      </c>
      <c r="AC44" s="1165"/>
      <c r="AD44" s="869"/>
      <c r="AE44" s="1091"/>
      <c r="AF44" s="1193" t="str">
        <f t="shared" ref="AF44" si="59">IF(AB44="Incremental",0,"")</f>
        <v/>
      </c>
      <c r="AG44" s="1194"/>
      <c r="AH44" s="865" t="str">
        <f t="shared" ref="AH44" si="60">IF(OR(C44="",F44="",L44="",P44="",R44="",T44="",X44="",Z44="",AD44="",AF44=""),"",ROUND(AD44+AF44,2))</f>
        <v/>
      </c>
      <c r="AI44" s="1096"/>
      <c r="AJ44" s="1096"/>
      <c r="AK44" s="1210" t="str">
        <f t="shared" ref="AK44" si="61">IF(OR(C44="",F44="",F44="",L44="",P44="",R44="",T44="",X44="",Z44="",AD44="",AF44=""),"",IF((P44*R44)-(X44*Z44)&lt;=0,0,ROUND((P44*R44)-(X44*Z44),2)))</f>
        <v/>
      </c>
      <c r="AL44" s="1210"/>
      <c r="AM44" s="1210"/>
      <c r="AN44" s="1132" t="str">
        <f t="shared" ref="AN44" si="62">IF(OR(C44="",F44="",F44="",L44="",P44="",R44="",T44="",X44="",Z44="",AD44="",AF44=""),"",IF(BD44&lt;&gt;"",BD44,IF(C44="Custom",AX44,IF(C44="New Construction",AY44,IF(C44="RCx",AZ44)))))</f>
        <v/>
      </c>
      <c r="AO44" s="1132"/>
      <c r="AP44" s="1132"/>
      <c r="AQ44" s="1132"/>
      <c r="AR44" s="59"/>
      <c r="AU44" s="1103" t="str">
        <f>IF(F44="","",INDEX(CUSTNONLIGHTGUNIT,MATCH(F44,PROGRAMGCAT[Category 1],0)))</f>
        <v/>
      </c>
      <c r="AV44" s="1103" t="str">
        <f>IF(OR(C44="",F44="",L44="",P44="",R44="",T44="",X44="",Z44="",AD44="",AF44=""),"",((1+GLOSS)*((AK44*INDEX(GASCB[NPV GAEC $/therm],MATCH(BA44,GASCB[Year Number],1))))/AH44))</f>
        <v/>
      </c>
      <c r="AW44" s="1097"/>
      <c r="AX44" s="1180" t="str">
        <f>IF(OR(C44="",F44="",L44="",P44="",R44="",T44="",X44="",Z44="",AB44="",AD44="",AF44=""),"",IF(AB44="Total",ROUND(MIN(AH44*0.75,AK44*INDEX(INCRATE[Gas],MATCH("CMNONLIGHT",INCRATE[Incentive Type]))),2),IF(AB44="Incremental",ROUND(MIN(AH44,AK44*INDEX(INCRATE[Gas],MATCH("CMNONLIGHT",INCRATE[Incentive Type]))),2))))</f>
        <v/>
      </c>
      <c r="AY44" s="1180" t="str">
        <f>IF(OR(C44="",F44="",L44="",P44="",R44="",T44="",X44="",Z44="",AB44="",AD44="",AF44=""),"",IF(AB44="Total",ROUND(MIN(AH44*0.75,AK44*INDEX(INCRATE[Gas],MATCH("NCNONLIGHT",INCRATE[Incentive Type]))),2),IF(AB44="Incremental",ROUND(MIN(AH44,AK44*INDEX(INCRATE[Gas],MATCH("NCNONLIGHT",INCRATE[Incentive Type]))),2))))</f>
        <v/>
      </c>
      <c r="AZ44" s="1180" t="str">
        <f>IF(OR(C44="",F44="",L44="",P44="",R44="",T44="",X44="",Z44="",AB44="",AD44="",AF44=""),"",IF(AB44="Total",ROUND(MIN(AH44*0.75,AK44*INDEX(INCRATE[Gas],MATCH("RCX",INCRATE[Incentive Type]))),2),IF(AB44="Incremental",ROUND(MIN(AH44,AK44*INDEX(INCRATE[Gas],MATCH("RCX",INCRATE[Incentive Type]))),2))))</f>
        <v/>
      </c>
      <c r="BA44" s="1097" t="str">
        <f>IF(F44="","",INDEX(PROGRAMGCAT[EUL],MATCH(F44,PROGRAMGCAT[Category 1],0)))</f>
        <v/>
      </c>
      <c r="BB44" s="1097" t="str">
        <f>IFERROR(AH44/M02S02F36/AK44,"")</f>
        <v/>
      </c>
      <c r="BC44" s="1190" t="str">
        <f>IF(OR(C44="",F44="",L44="",P44="",R44="",T44="",X44="",Z44="",AD44="",AF44=""),"",IF(ISNUMBER(AN44),INDEX(PROGRAMGCAT[Measure Number],MATCH(F44,PROGRAMGCAT[Category 1],0)),IF(AK44=0,"","000001")))</f>
        <v/>
      </c>
      <c r="BD44" s="1097" t="str">
        <f>IFERROR(IF((P44*R44)-(X44*Z44)&lt;=0,MEASURESAV,IF(M02S02F36="",MEASURERATE,IF(OR(F44="Others (Incremental)",F44="Others"),MEASURESUBMIT, IF(BB44&lt;1,MEASUREPAY,IF(AV44&lt;1,MEASURECB,""))))),MEASURESUBMIT)</f>
        <v>Submit for Review</v>
      </c>
    </row>
    <row r="45" spans="2:57" ht="15.95" hidden="1" customHeight="1">
      <c r="B45" s="829"/>
      <c r="C45" s="1205"/>
      <c r="D45" s="1205"/>
      <c r="E45" s="1205"/>
      <c r="F45" s="1088"/>
      <c r="G45" s="1088"/>
      <c r="H45" s="1088"/>
      <c r="I45" s="1088"/>
      <c r="J45" s="1088"/>
      <c r="K45" s="1088"/>
      <c r="L45" s="835"/>
      <c r="M45" s="836"/>
      <c r="N45" s="836"/>
      <c r="O45" s="837"/>
      <c r="P45" s="848"/>
      <c r="Q45" s="849"/>
      <c r="R45" s="1110"/>
      <c r="S45" s="1111"/>
      <c r="T45" s="1219"/>
      <c r="U45" s="1219"/>
      <c r="V45" s="1219"/>
      <c r="W45" s="1219"/>
      <c r="X45" s="848"/>
      <c r="Y45" s="849"/>
      <c r="Z45" s="1110"/>
      <c r="AA45" s="1111"/>
      <c r="AB45" s="1166"/>
      <c r="AC45" s="1166"/>
      <c r="AD45" s="870"/>
      <c r="AE45" s="1092"/>
      <c r="AF45" s="1195"/>
      <c r="AG45" s="1196"/>
      <c r="AH45" s="1130"/>
      <c r="AI45" s="1131"/>
      <c r="AJ45" s="1131"/>
      <c r="AK45" s="1211"/>
      <c r="AL45" s="1211"/>
      <c r="AM45" s="1211"/>
      <c r="AN45" s="1133"/>
      <c r="AO45" s="1133"/>
      <c r="AP45" s="1133"/>
      <c r="AQ45" s="1133"/>
      <c r="AR45" s="59"/>
      <c r="AU45" s="1102"/>
      <c r="AV45" s="1102"/>
      <c r="AW45" s="1098"/>
      <c r="AX45" s="1098"/>
      <c r="AY45" s="1098"/>
      <c r="AZ45" s="1098"/>
      <c r="BA45" s="1098"/>
      <c r="BB45" s="1098"/>
      <c r="BC45" s="1184"/>
      <c r="BD45" s="1098"/>
    </row>
    <row r="46" spans="2:57" ht="15.95" hidden="1" customHeight="1">
      <c r="B46" s="829">
        <v>16</v>
      </c>
      <c r="C46" s="1204"/>
      <c r="D46" s="1204"/>
      <c r="E46" s="1204"/>
      <c r="F46" s="1087"/>
      <c r="G46" s="1087"/>
      <c r="H46" s="1087"/>
      <c r="I46" s="1087"/>
      <c r="J46" s="1087"/>
      <c r="K46" s="1087"/>
      <c r="L46" s="866"/>
      <c r="M46" s="867"/>
      <c r="N46" s="867"/>
      <c r="O46" s="868"/>
      <c r="P46" s="846"/>
      <c r="Q46" s="847"/>
      <c r="R46" s="1108"/>
      <c r="S46" s="1109"/>
      <c r="T46" s="1218"/>
      <c r="U46" s="1218"/>
      <c r="V46" s="1218"/>
      <c r="W46" s="1218"/>
      <c r="X46" s="871"/>
      <c r="Y46" s="872"/>
      <c r="Z46" s="1108"/>
      <c r="AA46" s="1109"/>
      <c r="AB46" s="1165" t="str">
        <f t="shared" ref="AB46" si="63">IF(C46="New Construction","Incremental","")</f>
        <v/>
      </c>
      <c r="AC46" s="1165"/>
      <c r="AD46" s="869"/>
      <c r="AE46" s="1091"/>
      <c r="AF46" s="1193" t="str">
        <f t="shared" ref="AF46" si="64">IF(AB46="Incremental",0,"")</f>
        <v/>
      </c>
      <c r="AG46" s="1194"/>
      <c r="AH46" s="865" t="str">
        <f t="shared" ref="AH46" si="65">IF(OR(C46="",F46="",L46="",P46="",R46="",T46="",X46="",Z46="",AD46="",AF46=""),"",ROUND(AD46+AF46,2))</f>
        <v/>
      </c>
      <c r="AI46" s="1096"/>
      <c r="AJ46" s="1096"/>
      <c r="AK46" s="1210" t="str">
        <f t="shared" ref="AK46" si="66">IF(OR(C46="",F46="",F46="",L46="",P46="",R46="",T46="",X46="",Z46="",AD46="",AF46=""),"",IF((P46*R46)-(X46*Z46)&lt;=0,0,ROUND((P46*R46)-(X46*Z46),2)))</f>
        <v/>
      </c>
      <c r="AL46" s="1210"/>
      <c r="AM46" s="1210"/>
      <c r="AN46" s="1132" t="str">
        <f t="shared" ref="AN46" si="67">IF(OR(C46="",F46="",F46="",L46="",P46="",R46="",T46="",X46="",Z46="",AD46="",AF46=""),"",IF(BD46&lt;&gt;"",BD46,IF(C46="Custom",AX46,IF(C46="New Construction",AY46,IF(C46="RCx",AZ46)))))</f>
        <v/>
      </c>
      <c r="AO46" s="1132"/>
      <c r="AP46" s="1132"/>
      <c r="AQ46" s="1132"/>
      <c r="AR46" s="59"/>
      <c r="AU46" s="1103" t="str">
        <f>IF(F46="","",INDEX(CUSTNONLIGHTGUNIT,MATCH(F46,PROGRAMGCAT[Category 1],0)))</f>
        <v/>
      </c>
      <c r="AV46" s="1103" t="str">
        <f>IF(OR(C46="",F46="",L46="",P46="",R46="",T46="",X46="",Z46="",AD46="",AF46=""),"",((1+GLOSS)*((AK46*INDEX(GASCB[NPV GAEC $/therm],MATCH(BA46,GASCB[Year Number],1))))/AH46))</f>
        <v/>
      </c>
      <c r="AW46" s="1097"/>
      <c r="AX46" s="1180" t="str">
        <f>IF(OR(C46="",F46="",L46="",P46="",R46="",T46="",X46="",Z46="",AB46="",AD46="",AF46=""),"",IF(AB46="Total",ROUND(MIN(AH46*0.75,AK46*INDEX(INCRATE[Gas],MATCH("CMNONLIGHT",INCRATE[Incentive Type]))),2),IF(AB46="Incremental",ROUND(MIN(AH46,AK46*INDEX(INCRATE[Gas],MATCH("CMNONLIGHT",INCRATE[Incentive Type]))),2))))</f>
        <v/>
      </c>
      <c r="AY46" s="1180" t="str">
        <f>IF(OR(C46="",F46="",L46="",P46="",R46="",T46="",X46="",Z46="",AB46="",AD46="",AF46=""),"",IF(AB46="Total",ROUND(MIN(AH46*0.75,AK46*INDEX(INCRATE[Gas],MATCH("NCNONLIGHT",INCRATE[Incentive Type]))),2),IF(AB46="Incremental",ROUND(MIN(AH46,AK46*INDEX(INCRATE[Gas],MATCH("NCNONLIGHT",INCRATE[Incentive Type]))),2))))</f>
        <v/>
      </c>
      <c r="AZ46" s="1180" t="str">
        <f>IF(OR(C46="",F46="",L46="",P46="",R46="",T46="",X46="",Z46="",AB46="",AD46="",AF46=""),"",IF(AB46="Total",ROUND(MIN(AH46*0.75,AK46*INDEX(INCRATE[Gas],MATCH("RCX",INCRATE[Incentive Type]))),2),IF(AB46="Incremental",ROUND(MIN(AH46,AK46*INDEX(INCRATE[Gas],MATCH("RCX",INCRATE[Incentive Type]))),2))))</f>
        <v/>
      </c>
      <c r="BA46" s="1097" t="str">
        <f>IF(F46="","",INDEX(PROGRAMGCAT[EUL],MATCH(F46,PROGRAMGCAT[Category 1],0)))</f>
        <v/>
      </c>
      <c r="BB46" s="1097" t="str">
        <f>IFERROR(AH46/M02S02F36/AK46,"")</f>
        <v/>
      </c>
      <c r="BC46" s="1190" t="str">
        <f>IF(OR(C46="",F46="",L46="",P46="",R46="",T46="",X46="",Z46="",AD46="",AF46=""),"",IF(ISNUMBER(AN46),INDEX(PROGRAMGCAT[Measure Number],MATCH(F46,PROGRAMGCAT[Category 1],0)),IF(AK46=0,"","000001")))</f>
        <v/>
      </c>
      <c r="BD46" s="1097" t="str">
        <f>IFERROR(IF((P46*R46)-(X46*Z46)&lt;=0,MEASURESAV,IF(M02S02F36="",MEASURERATE,IF(OR(F46="Others (Incremental)",F46="Others"),MEASURESUBMIT, IF(BB46&lt;1,MEASUREPAY,IF(AV46&lt;1,MEASURECB,""))))),MEASURESUBMIT)</f>
        <v>Submit for Review</v>
      </c>
    </row>
    <row r="47" spans="2:57" ht="15.95" hidden="1" customHeight="1">
      <c r="B47" s="829"/>
      <c r="C47" s="1205"/>
      <c r="D47" s="1205"/>
      <c r="E47" s="1205"/>
      <c r="F47" s="1088"/>
      <c r="G47" s="1088"/>
      <c r="H47" s="1088"/>
      <c r="I47" s="1088"/>
      <c r="J47" s="1088"/>
      <c r="K47" s="1088"/>
      <c r="L47" s="835"/>
      <c r="M47" s="836"/>
      <c r="N47" s="836"/>
      <c r="O47" s="837"/>
      <c r="P47" s="848"/>
      <c r="Q47" s="849"/>
      <c r="R47" s="1110"/>
      <c r="S47" s="1111"/>
      <c r="T47" s="1219"/>
      <c r="U47" s="1219"/>
      <c r="V47" s="1219"/>
      <c r="W47" s="1219"/>
      <c r="X47" s="848"/>
      <c r="Y47" s="849"/>
      <c r="Z47" s="1110"/>
      <c r="AA47" s="1111"/>
      <c r="AB47" s="1166"/>
      <c r="AC47" s="1166"/>
      <c r="AD47" s="870"/>
      <c r="AE47" s="1092"/>
      <c r="AF47" s="1195"/>
      <c r="AG47" s="1196"/>
      <c r="AH47" s="1130"/>
      <c r="AI47" s="1131"/>
      <c r="AJ47" s="1131"/>
      <c r="AK47" s="1211"/>
      <c r="AL47" s="1211"/>
      <c r="AM47" s="1211"/>
      <c r="AN47" s="1133"/>
      <c r="AO47" s="1133"/>
      <c r="AP47" s="1133"/>
      <c r="AQ47" s="1133"/>
      <c r="AR47" s="59"/>
      <c r="AU47" s="1102"/>
      <c r="AV47" s="1102"/>
      <c r="AW47" s="1098"/>
      <c r="AX47" s="1098"/>
      <c r="AY47" s="1098"/>
      <c r="AZ47" s="1098"/>
      <c r="BA47" s="1098"/>
      <c r="BB47" s="1098"/>
      <c r="BC47" s="1184"/>
      <c r="BD47" s="1098"/>
    </row>
    <row r="48" spans="2:57" ht="15.95" hidden="1" customHeight="1">
      <c r="B48" s="829">
        <v>17</v>
      </c>
      <c r="C48" s="1204"/>
      <c r="D48" s="1204"/>
      <c r="E48" s="1204"/>
      <c r="F48" s="1087"/>
      <c r="G48" s="1087"/>
      <c r="H48" s="1087"/>
      <c r="I48" s="1087"/>
      <c r="J48" s="1087"/>
      <c r="K48" s="1087"/>
      <c r="L48" s="866"/>
      <c r="M48" s="867"/>
      <c r="N48" s="867"/>
      <c r="O48" s="868"/>
      <c r="P48" s="846"/>
      <c r="Q48" s="847"/>
      <c r="R48" s="1108"/>
      <c r="S48" s="1109"/>
      <c r="T48" s="1218"/>
      <c r="U48" s="1218"/>
      <c r="V48" s="1218"/>
      <c r="W48" s="1218"/>
      <c r="X48" s="871"/>
      <c r="Y48" s="872"/>
      <c r="Z48" s="1108"/>
      <c r="AA48" s="1109"/>
      <c r="AB48" s="1165" t="str">
        <f t="shared" ref="AB48" si="68">IF(C48="New Construction","Incremental","")</f>
        <v/>
      </c>
      <c r="AC48" s="1165"/>
      <c r="AD48" s="869"/>
      <c r="AE48" s="1091"/>
      <c r="AF48" s="1193" t="str">
        <f t="shared" ref="AF48" si="69">IF(AB48="Incremental",0,"")</f>
        <v/>
      </c>
      <c r="AG48" s="1194"/>
      <c r="AH48" s="865" t="str">
        <f t="shared" ref="AH48" si="70">IF(OR(C48="",F48="",L48="",P48="",R48="",T48="",X48="",Z48="",AD48="",AF48=""),"",ROUND(AD48+AF48,2))</f>
        <v/>
      </c>
      <c r="AI48" s="1096"/>
      <c r="AJ48" s="1096"/>
      <c r="AK48" s="1210" t="str">
        <f t="shared" ref="AK48" si="71">IF(OR(C48="",F48="",F48="",L48="",P48="",R48="",T48="",X48="",Z48="",AD48="",AF48=""),"",IF((P48*R48)-(X48*Z48)&lt;=0,0,ROUND((P48*R48)-(X48*Z48),2)))</f>
        <v/>
      </c>
      <c r="AL48" s="1210"/>
      <c r="AM48" s="1210"/>
      <c r="AN48" s="1132" t="str">
        <f t="shared" ref="AN48" si="72">IF(OR(C48="",F48="",F48="",L48="",P48="",R48="",T48="",X48="",Z48="",AD48="",AF48=""),"",IF(BD48&lt;&gt;"",BD48,IF(C48="Custom",AX48,IF(C48="New Construction",AY48,IF(C48="RCx",AZ48)))))</f>
        <v/>
      </c>
      <c r="AO48" s="1132"/>
      <c r="AP48" s="1132"/>
      <c r="AQ48" s="1132"/>
      <c r="AR48" s="59"/>
      <c r="AU48" s="1103" t="str">
        <f>IF(F48="","",INDEX(CUSTNONLIGHTGUNIT,MATCH(F48,PROGRAMGCAT[Category 1],0)))</f>
        <v/>
      </c>
      <c r="AV48" s="1103" t="str">
        <f>IF(OR(C48="",F48="",L48="",P48="",R48="",T48="",X48="",Z48="",AD48="",AF48=""),"",((1+GLOSS)*((AK48*INDEX(GASCB[NPV GAEC $/therm],MATCH(BA48,GASCB[Year Number],1))))/AH48))</f>
        <v/>
      </c>
      <c r="AW48" s="1097"/>
      <c r="AX48" s="1180" t="str">
        <f>IF(OR(C48="",F48="",L48="",P48="",R48="",T48="",X48="",Z48="",AB48="",AD48="",AF48=""),"",IF(AB48="Total",ROUND(MIN(AH48*0.75,AK48*INDEX(INCRATE[Gas],MATCH("CMNONLIGHT",INCRATE[Incentive Type]))),2),IF(AB48="Incremental",ROUND(MIN(AH48,AK48*INDEX(INCRATE[Gas],MATCH("CMNONLIGHT",INCRATE[Incentive Type]))),2))))</f>
        <v/>
      </c>
      <c r="AY48" s="1180" t="str">
        <f>IF(OR(C48="",F48="",L48="",P48="",R48="",T48="",X48="",Z48="",AB48="",AD48="",AF48=""),"",IF(AB48="Total",ROUND(MIN(AH48*0.75,AK48*INDEX(INCRATE[Gas],MATCH("NCNONLIGHT",INCRATE[Incentive Type]))),2),IF(AB48="Incremental",ROUND(MIN(AH48,AK48*INDEX(INCRATE[Gas],MATCH("NCNONLIGHT",INCRATE[Incentive Type]))),2))))</f>
        <v/>
      </c>
      <c r="AZ48" s="1180" t="str">
        <f>IF(OR(C48="",F48="",L48="",P48="",R48="",T48="",X48="",Z48="",AB48="",AD48="",AF48=""),"",IF(AB48="Total",ROUND(MIN(AH48*0.75,AK48*INDEX(INCRATE[Gas],MATCH("RCX",INCRATE[Incentive Type]))),2),IF(AB48="Incremental",ROUND(MIN(AH48,AK48*INDEX(INCRATE[Gas],MATCH("RCX",INCRATE[Incentive Type]))),2))))</f>
        <v/>
      </c>
      <c r="BA48" s="1097" t="str">
        <f>IF(F48="","",INDEX(PROGRAMGCAT[EUL],MATCH(F48,PROGRAMGCAT[Category 1],0)))</f>
        <v/>
      </c>
      <c r="BB48" s="1097" t="str">
        <f>IFERROR(AH48/M02S02F36/AK48,"")</f>
        <v/>
      </c>
      <c r="BC48" s="1190" t="str">
        <f>IF(OR(C48="",F48="",L48="",P48="",R48="",T48="",X48="",Z48="",AD48="",AF48=""),"",IF(ISNUMBER(AN48),INDEX(PROGRAMGCAT[Measure Number],MATCH(F48,PROGRAMGCAT[Category 1],0)),IF(AK48=0,"","000001")))</f>
        <v/>
      </c>
      <c r="BD48" s="1097" t="str">
        <f>IFERROR(IF((P48*R48)-(X48*Z48)&lt;=0,MEASURESAV,IF(M02S02F36="",MEASURERATE,IF(OR(F48="Others (Incremental)",F48="Others"),MEASURESUBMIT, IF(BB48&lt;1,MEASUREPAY,IF(AV48&lt;1,MEASURECB,""))))),MEASURESUBMIT)</f>
        <v>Submit for Review</v>
      </c>
    </row>
    <row r="49" spans="2:56" ht="15.95" hidden="1" customHeight="1">
      <c r="B49" s="829"/>
      <c r="C49" s="1205"/>
      <c r="D49" s="1205"/>
      <c r="E49" s="1205"/>
      <c r="F49" s="1088"/>
      <c r="G49" s="1088"/>
      <c r="H49" s="1088"/>
      <c r="I49" s="1088"/>
      <c r="J49" s="1088"/>
      <c r="K49" s="1088"/>
      <c r="L49" s="835"/>
      <c r="M49" s="836"/>
      <c r="N49" s="836"/>
      <c r="O49" s="837"/>
      <c r="P49" s="848"/>
      <c r="Q49" s="849"/>
      <c r="R49" s="1110"/>
      <c r="S49" s="1111"/>
      <c r="T49" s="1219"/>
      <c r="U49" s="1219"/>
      <c r="V49" s="1219"/>
      <c r="W49" s="1219"/>
      <c r="X49" s="848"/>
      <c r="Y49" s="849"/>
      <c r="Z49" s="1110"/>
      <c r="AA49" s="1111"/>
      <c r="AB49" s="1166"/>
      <c r="AC49" s="1166"/>
      <c r="AD49" s="870"/>
      <c r="AE49" s="1092"/>
      <c r="AF49" s="1195"/>
      <c r="AG49" s="1196"/>
      <c r="AH49" s="1130"/>
      <c r="AI49" s="1131"/>
      <c r="AJ49" s="1131"/>
      <c r="AK49" s="1211"/>
      <c r="AL49" s="1211"/>
      <c r="AM49" s="1211"/>
      <c r="AN49" s="1133"/>
      <c r="AO49" s="1133"/>
      <c r="AP49" s="1133"/>
      <c r="AQ49" s="1133"/>
      <c r="AR49" s="59"/>
      <c r="AU49" s="1102"/>
      <c r="AV49" s="1102"/>
      <c r="AW49" s="1098"/>
      <c r="AX49" s="1098"/>
      <c r="AY49" s="1098"/>
      <c r="AZ49" s="1098"/>
      <c r="BA49" s="1098"/>
      <c r="BB49" s="1098"/>
      <c r="BC49" s="1184"/>
      <c r="BD49" s="1098"/>
    </row>
    <row r="50" spans="2:56" ht="15.95" hidden="1" customHeight="1">
      <c r="B50" s="829">
        <v>18</v>
      </c>
      <c r="C50" s="1204"/>
      <c r="D50" s="1204"/>
      <c r="E50" s="1204"/>
      <c r="F50" s="1087"/>
      <c r="G50" s="1087"/>
      <c r="H50" s="1087"/>
      <c r="I50" s="1087"/>
      <c r="J50" s="1087"/>
      <c r="K50" s="1087"/>
      <c r="L50" s="866"/>
      <c r="M50" s="867"/>
      <c r="N50" s="867"/>
      <c r="O50" s="868"/>
      <c r="P50" s="846"/>
      <c r="Q50" s="847"/>
      <c r="R50" s="1108"/>
      <c r="S50" s="1109"/>
      <c r="T50" s="1218"/>
      <c r="U50" s="1218"/>
      <c r="V50" s="1218"/>
      <c r="W50" s="1218"/>
      <c r="X50" s="871"/>
      <c r="Y50" s="872"/>
      <c r="Z50" s="1108"/>
      <c r="AA50" s="1109"/>
      <c r="AB50" s="1165" t="str">
        <f t="shared" ref="AB50" si="73">IF(C50="New Construction","Incremental","")</f>
        <v/>
      </c>
      <c r="AC50" s="1165"/>
      <c r="AD50" s="869"/>
      <c r="AE50" s="1091"/>
      <c r="AF50" s="1193" t="str">
        <f t="shared" ref="AF50" si="74">IF(AB50="Incremental",0,"")</f>
        <v/>
      </c>
      <c r="AG50" s="1194"/>
      <c r="AH50" s="865" t="str">
        <f t="shared" ref="AH50" si="75">IF(OR(C50="",F50="",L50="",P50="",R50="",T50="",X50="",Z50="",AD50="",AF50=""),"",ROUND(AD50+AF50,2))</f>
        <v/>
      </c>
      <c r="AI50" s="1096"/>
      <c r="AJ50" s="1096"/>
      <c r="AK50" s="1210" t="str">
        <f t="shared" ref="AK50" si="76">IF(OR(C50="",F50="",F50="",L50="",P50="",R50="",T50="",X50="",Z50="",AD50="",AF50=""),"",IF((P50*R50)-(X50*Z50)&lt;=0,0,ROUND((P50*R50)-(X50*Z50),2)))</f>
        <v/>
      </c>
      <c r="AL50" s="1210"/>
      <c r="AM50" s="1210"/>
      <c r="AN50" s="1132" t="str">
        <f t="shared" ref="AN50" si="77">IF(OR(C50="",F50="",F50="",L50="",P50="",R50="",T50="",X50="",Z50="",AD50="",AF50=""),"",IF(BD50&lt;&gt;"",BD50,IF(C50="Custom",AX50,IF(C50="New Construction",AY50,IF(C50="RCx",AZ50)))))</f>
        <v/>
      </c>
      <c r="AO50" s="1132"/>
      <c r="AP50" s="1132"/>
      <c r="AQ50" s="1132"/>
      <c r="AR50" s="59"/>
      <c r="AU50" s="1103" t="str">
        <f>IF(F50="","",INDEX(CUSTNONLIGHTGUNIT,MATCH(F50,PROGRAMGCAT[Category 1],0)))</f>
        <v/>
      </c>
      <c r="AV50" s="1103" t="str">
        <f>IF(OR(C50="",F50="",L50="",P50="",R50="",T50="",X50="",Z50="",AD50="",AF50=""),"",((1+GLOSS)*((AK50*INDEX(GASCB[NPV GAEC $/therm],MATCH(BA50,GASCB[Year Number],1))))/AH50))</f>
        <v/>
      </c>
      <c r="AW50" s="1097"/>
      <c r="AX50" s="1180" t="str">
        <f>IF(OR(C50="",F50="",L50="",P50="",R50="",T50="",X50="",Z50="",AB50="",AD50="",AF50=""),"",IF(AB50="Total",ROUND(MIN(AH50*0.75,AK50*INDEX(INCRATE[Gas],MATCH("CMNONLIGHT",INCRATE[Incentive Type]))),2),IF(AB50="Incremental",ROUND(MIN(AH50,AK50*INDEX(INCRATE[Gas],MATCH("CMNONLIGHT",INCRATE[Incentive Type]))),2))))</f>
        <v/>
      </c>
      <c r="AY50" s="1180" t="str">
        <f>IF(OR(C50="",F50="",L50="",P50="",R50="",T50="",X50="",Z50="",AB50="",AD50="",AF50=""),"",IF(AB50="Total",ROUND(MIN(AH50*0.75,AK50*INDEX(INCRATE[Gas],MATCH("NCNONLIGHT",INCRATE[Incentive Type]))),2),IF(AB50="Incremental",ROUND(MIN(AH50,AK50*INDEX(INCRATE[Gas],MATCH("NCNONLIGHT",INCRATE[Incentive Type]))),2))))</f>
        <v/>
      </c>
      <c r="AZ50" s="1180" t="str">
        <f>IF(OR(C50="",F50="",L50="",P50="",R50="",T50="",X50="",Z50="",AB50="",AD50="",AF50=""),"",IF(AB50="Total",ROUND(MIN(AH50*0.75,AK50*INDEX(INCRATE[Gas],MATCH("RCX",INCRATE[Incentive Type]))),2),IF(AB50="Incremental",ROUND(MIN(AH50,AK50*INDEX(INCRATE[Gas],MATCH("RCX",INCRATE[Incentive Type]))),2))))</f>
        <v/>
      </c>
      <c r="BA50" s="1097" t="str">
        <f>IF(F50="","",INDEX(PROGRAMGCAT[EUL],MATCH(F50,PROGRAMGCAT[Category 1],0)))</f>
        <v/>
      </c>
      <c r="BB50" s="1097" t="str">
        <f>IFERROR(AH50/M02S02F36/AK50,"")</f>
        <v/>
      </c>
      <c r="BC50" s="1190" t="str">
        <f>IF(OR(C50="",F50="",L50="",P50="",R50="",T50="",X50="",Z50="",AD50="",AF50=""),"",IF(ISNUMBER(AN50),INDEX(PROGRAMGCAT[Measure Number],MATCH(F50,PROGRAMGCAT[Category 1],0)),IF(AK50=0,"","000001")))</f>
        <v/>
      </c>
      <c r="BD50" s="1097" t="str">
        <f>IFERROR(IF((P50*R50)-(X50*Z50)&lt;=0,MEASURESAV,IF(M02S02F36="",MEASURERATE,IF(OR(F50="Others (Incremental)",F50="Others"),MEASURESUBMIT, IF(BB50&lt;1,MEASUREPAY,IF(AV50&lt;1,MEASURECB,""))))),MEASURESUBMIT)</f>
        <v>Submit for Review</v>
      </c>
    </row>
    <row r="51" spans="2:56" ht="15.95" hidden="1" customHeight="1">
      <c r="B51" s="829"/>
      <c r="C51" s="1205"/>
      <c r="D51" s="1205"/>
      <c r="E51" s="1205"/>
      <c r="F51" s="1088"/>
      <c r="G51" s="1088"/>
      <c r="H51" s="1088"/>
      <c r="I51" s="1088"/>
      <c r="J51" s="1088"/>
      <c r="K51" s="1088"/>
      <c r="L51" s="835"/>
      <c r="M51" s="836"/>
      <c r="N51" s="836"/>
      <c r="O51" s="837"/>
      <c r="P51" s="848"/>
      <c r="Q51" s="849"/>
      <c r="R51" s="1110"/>
      <c r="S51" s="1111"/>
      <c r="T51" s="1219"/>
      <c r="U51" s="1219"/>
      <c r="V51" s="1219"/>
      <c r="W51" s="1219"/>
      <c r="X51" s="848"/>
      <c r="Y51" s="849"/>
      <c r="Z51" s="1110"/>
      <c r="AA51" s="1111"/>
      <c r="AB51" s="1166"/>
      <c r="AC51" s="1166"/>
      <c r="AD51" s="870"/>
      <c r="AE51" s="1092"/>
      <c r="AF51" s="1195"/>
      <c r="AG51" s="1196"/>
      <c r="AH51" s="1130"/>
      <c r="AI51" s="1131"/>
      <c r="AJ51" s="1131"/>
      <c r="AK51" s="1211"/>
      <c r="AL51" s="1211"/>
      <c r="AM51" s="1211"/>
      <c r="AN51" s="1133"/>
      <c r="AO51" s="1133"/>
      <c r="AP51" s="1133"/>
      <c r="AQ51" s="1133"/>
      <c r="AR51" s="59"/>
      <c r="AU51" s="1102"/>
      <c r="AV51" s="1102"/>
      <c r="AW51" s="1098"/>
      <c r="AX51" s="1098"/>
      <c r="AY51" s="1098"/>
      <c r="AZ51" s="1098"/>
      <c r="BA51" s="1098"/>
      <c r="BB51" s="1098"/>
      <c r="BC51" s="1184"/>
      <c r="BD51" s="1098"/>
    </row>
    <row r="52" spans="2:56" ht="15.95" hidden="1" customHeight="1">
      <c r="B52" s="829">
        <v>19</v>
      </c>
      <c r="C52" s="1204"/>
      <c r="D52" s="1204"/>
      <c r="E52" s="1204"/>
      <c r="F52" s="1087"/>
      <c r="G52" s="1087"/>
      <c r="H52" s="1087"/>
      <c r="I52" s="1087"/>
      <c r="J52" s="1087"/>
      <c r="K52" s="1087"/>
      <c r="L52" s="866"/>
      <c r="M52" s="867"/>
      <c r="N52" s="867"/>
      <c r="O52" s="868"/>
      <c r="P52" s="846"/>
      <c r="Q52" s="847"/>
      <c r="R52" s="1108"/>
      <c r="S52" s="1109"/>
      <c r="T52" s="1218"/>
      <c r="U52" s="1218"/>
      <c r="V52" s="1218"/>
      <c r="W52" s="1218"/>
      <c r="X52" s="871"/>
      <c r="Y52" s="872"/>
      <c r="Z52" s="1108"/>
      <c r="AA52" s="1109"/>
      <c r="AB52" s="1165" t="str">
        <f t="shared" ref="AB52" si="78">IF(C52="New Construction","Incremental","")</f>
        <v/>
      </c>
      <c r="AC52" s="1165"/>
      <c r="AD52" s="869"/>
      <c r="AE52" s="1091"/>
      <c r="AF52" s="1193" t="str">
        <f t="shared" ref="AF52" si="79">IF(AB52="Incremental",0,"")</f>
        <v/>
      </c>
      <c r="AG52" s="1194"/>
      <c r="AH52" s="865" t="str">
        <f t="shared" ref="AH52" si="80">IF(OR(C52="",F52="",L52="",P52="",R52="",T52="",X52="",Z52="",AD52="",AF52=""),"",ROUND(AD52+AF52,2))</f>
        <v/>
      </c>
      <c r="AI52" s="1096"/>
      <c r="AJ52" s="1096"/>
      <c r="AK52" s="1210" t="str">
        <f t="shared" ref="AK52" si="81">IF(OR(C52="",F52="",F52="",L52="",P52="",R52="",T52="",X52="",Z52="",AD52="",AF52=""),"",IF((P52*R52)-(X52*Z52)&lt;=0,0,ROUND((P52*R52)-(X52*Z52),2)))</f>
        <v/>
      </c>
      <c r="AL52" s="1210"/>
      <c r="AM52" s="1210"/>
      <c r="AN52" s="1132" t="str">
        <f t="shared" ref="AN52" si="82">IF(OR(C52="",F52="",F52="",L52="",P52="",R52="",T52="",X52="",Z52="",AD52="",AF52=""),"",IF(BD52&lt;&gt;"",BD52,IF(C52="Custom",AX52,IF(C52="New Construction",AY52,IF(C52="RCx",AZ52)))))</f>
        <v/>
      </c>
      <c r="AO52" s="1132"/>
      <c r="AP52" s="1132"/>
      <c r="AQ52" s="1132"/>
      <c r="AR52" s="59"/>
      <c r="AU52" s="1103" t="str">
        <f>IF(F52="","",INDEX(CUSTNONLIGHTGUNIT,MATCH(F52,PROGRAMGCAT[Category 1],0)))</f>
        <v/>
      </c>
      <c r="AV52" s="1103" t="str">
        <f>IF(OR(C52="",F52="",L52="",P52="",R52="",T52="",X52="",Z52="",AD52="",AF52=""),"",((1+GLOSS)*((AK52*INDEX(GASCB[NPV GAEC $/therm],MATCH(BA52,GASCB[Year Number],1))))/AH52))</f>
        <v/>
      </c>
      <c r="AW52" s="1097"/>
      <c r="AX52" s="1180" t="str">
        <f>IF(OR(C52="",F52="",L52="",P52="",R52="",T52="",X52="",Z52="",AB52="",AD52="",AF52=""),"",IF(AB52="Total",ROUND(MIN(AH52*0.75,AK52*INDEX(INCRATE[Gas],MATCH("CMNONLIGHT",INCRATE[Incentive Type]))),2),IF(AB52="Incremental",ROUND(MIN(AH52,AK52*INDEX(INCRATE[Gas],MATCH("CMNONLIGHT",INCRATE[Incentive Type]))),2))))</f>
        <v/>
      </c>
      <c r="AY52" s="1180" t="str">
        <f>IF(OR(C52="",F52="",L52="",P52="",R52="",T52="",X52="",Z52="",AB52="",AD52="",AF52=""),"",IF(AB52="Total",ROUND(MIN(AH52*0.75,AK52*INDEX(INCRATE[Gas],MATCH("NCNONLIGHT",INCRATE[Incentive Type]))),2),IF(AB52="Incremental",ROUND(MIN(AH52,AK52*INDEX(INCRATE[Gas],MATCH("NCNONLIGHT",INCRATE[Incentive Type]))),2))))</f>
        <v/>
      </c>
      <c r="AZ52" s="1180" t="str">
        <f>IF(OR(C52="",F52="",L52="",P52="",R52="",T52="",X52="",Z52="",AB52="",AD52="",AF52=""),"",IF(AB52="Total",ROUND(MIN(AH52*0.75,AK52*INDEX(INCRATE[Gas],MATCH("RCX",INCRATE[Incentive Type]))),2),IF(AB52="Incremental",ROUND(MIN(AH52,AK52*INDEX(INCRATE[Gas],MATCH("RCX",INCRATE[Incentive Type]))),2))))</f>
        <v/>
      </c>
      <c r="BA52" s="1097" t="str">
        <f>IF(F52="","",INDEX(PROGRAMGCAT[EUL],MATCH(F52,PROGRAMGCAT[Category 1],0)))</f>
        <v/>
      </c>
      <c r="BB52" s="1097" t="str">
        <f>IFERROR(AH52/M02S02F36/AK52,"")</f>
        <v/>
      </c>
      <c r="BC52" s="1190" t="str">
        <f>IF(OR(C52="",F52="",L52="",P52="",R52="",T52="",X52="",Z52="",AD52="",AF52=""),"",IF(ISNUMBER(AN52),INDEX(PROGRAMGCAT[Measure Number],MATCH(F52,PROGRAMGCAT[Category 1],0)),IF(AK52=0,"","000001")))</f>
        <v/>
      </c>
      <c r="BD52" s="1097" t="str">
        <f>IFERROR(IF((P52*R52)-(X52*Z52)&lt;=0,MEASURESAV,IF(M02S02F36="",MEASURERATE,IF(OR(F52="Others (Incremental)",F52="Others"),MEASURESUBMIT, IF(BB52&lt;1,MEASUREPAY,IF(AV52&lt;1,MEASURECB,""))))),MEASURESUBMIT)</f>
        <v>Submit for Review</v>
      </c>
    </row>
    <row r="53" spans="2:56" ht="15.95" hidden="1" customHeight="1">
      <c r="B53" s="829"/>
      <c r="C53" s="1205"/>
      <c r="D53" s="1205"/>
      <c r="E53" s="1205"/>
      <c r="F53" s="1088"/>
      <c r="G53" s="1088"/>
      <c r="H53" s="1088"/>
      <c r="I53" s="1088"/>
      <c r="J53" s="1088"/>
      <c r="K53" s="1088"/>
      <c r="L53" s="835"/>
      <c r="M53" s="836"/>
      <c r="N53" s="836"/>
      <c r="O53" s="837"/>
      <c r="P53" s="848"/>
      <c r="Q53" s="849"/>
      <c r="R53" s="1110"/>
      <c r="S53" s="1111"/>
      <c r="T53" s="1219"/>
      <c r="U53" s="1219"/>
      <c r="V53" s="1219"/>
      <c r="W53" s="1219"/>
      <c r="X53" s="848"/>
      <c r="Y53" s="849"/>
      <c r="Z53" s="1110"/>
      <c r="AA53" s="1111"/>
      <c r="AB53" s="1166"/>
      <c r="AC53" s="1166"/>
      <c r="AD53" s="870"/>
      <c r="AE53" s="1092"/>
      <c r="AF53" s="1195"/>
      <c r="AG53" s="1196"/>
      <c r="AH53" s="1130"/>
      <c r="AI53" s="1131"/>
      <c r="AJ53" s="1131"/>
      <c r="AK53" s="1211"/>
      <c r="AL53" s="1211"/>
      <c r="AM53" s="1211"/>
      <c r="AN53" s="1133"/>
      <c r="AO53" s="1133"/>
      <c r="AP53" s="1133"/>
      <c r="AQ53" s="1133"/>
      <c r="AR53" s="59"/>
      <c r="AU53" s="1102"/>
      <c r="AV53" s="1102"/>
      <c r="AW53" s="1098"/>
      <c r="AX53" s="1098"/>
      <c r="AY53" s="1098"/>
      <c r="AZ53" s="1098"/>
      <c r="BA53" s="1098"/>
      <c r="BB53" s="1098"/>
      <c r="BC53" s="1184"/>
      <c r="BD53" s="1098"/>
    </row>
    <row r="54" spans="2:56" ht="15.95" hidden="1" customHeight="1">
      <c r="B54" s="829">
        <v>20</v>
      </c>
      <c r="C54" s="1204"/>
      <c r="D54" s="1204"/>
      <c r="E54" s="1204"/>
      <c r="F54" s="1087"/>
      <c r="G54" s="1087"/>
      <c r="H54" s="1087"/>
      <c r="I54" s="1087"/>
      <c r="J54" s="1087"/>
      <c r="K54" s="1087"/>
      <c r="L54" s="866"/>
      <c r="M54" s="867"/>
      <c r="N54" s="867"/>
      <c r="O54" s="868"/>
      <c r="P54" s="846"/>
      <c r="Q54" s="847"/>
      <c r="R54" s="1108"/>
      <c r="S54" s="1109"/>
      <c r="T54" s="1218"/>
      <c r="U54" s="1218"/>
      <c r="V54" s="1218"/>
      <c r="W54" s="1218"/>
      <c r="X54" s="871"/>
      <c r="Y54" s="872"/>
      <c r="Z54" s="1108"/>
      <c r="AA54" s="1109"/>
      <c r="AB54" s="1165" t="str">
        <f t="shared" ref="AB54" si="83">IF(C54="New Construction","Incremental","")</f>
        <v/>
      </c>
      <c r="AC54" s="1165"/>
      <c r="AD54" s="869"/>
      <c r="AE54" s="1091"/>
      <c r="AF54" s="1193" t="str">
        <f t="shared" ref="AF54" si="84">IF(AB54="Incremental",0,"")</f>
        <v/>
      </c>
      <c r="AG54" s="1194"/>
      <c r="AH54" s="865" t="str">
        <f t="shared" ref="AH54" si="85">IF(OR(C54="",F54="",L54="",P54="",R54="",T54="",X54="",Z54="",AD54="",AF54=""),"",ROUND(AD54+AF54,2))</f>
        <v/>
      </c>
      <c r="AI54" s="1096"/>
      <c r="AJ54" s="1096"/>
      <c r="AK54" s="1210" t="str">
        <f t="shared" ref="AK54" si="86">IF(OR(C54="",F54="",F54="",L54="",P54="",R54="",T54="",X54="",Z54="",AD54="",AF54=""),"",IF((P54*R54)-(X54*Z54)&lt;=0,0,ROUND((P54*R54)-(X54*Z54),2)))</f>
        <v/>
      </c>
      <c r="AL54" s="1210"/>
      <c r="AM54" s="1210"/>
      <c r="AN54" s="1132" t="str">
        <f t="shared" ref="AN54" si="87">IF(OR(C54="",F54="",F54="",L54="",P54="",R54="",T54="",X54="",Z54="",AD54="",AF54=""),"",IF(BD54&lt;&gt;"",BD54,IF(C54="Custom",AX54,IF(C54="New Construction",AY54,IF(C54="RCx",AZ54)))))</f>
        <v/>
      </c>
      <c r="AO54" s="1132"/>
      <c r="AP54" s="1132"/>
      <c r="AQ54" s="1132"/>
      <c r="AR54" s="59"/>
      <c r="AU54" s="1103" t="str">
        <f>IF(F54="","",INDEX(CUSTNONLIGHTGUNIT,MATCH(F54,PROGRAMGCAT[Category 1],0)))</f>
        <v/>
      </c>
      <c r="AV54" s="1103" t="str">
        <f>IF(OR(C54="",F54="",L54="",P54="",R54="",T54="",X54="",Z54="",AD54="",AF54=""),"",((1+GLOSS)*((AK54*INDEX(GASCB[NPV GAEC $/therm],MATCH(BA54,GASCB[Year Number],1))))/AH54))</f>
        <v/>
      </c>
      <c r="AW54" s="1097"/>
      <c r="AX54" s="1180" t="str">
        <f>IF(OR(C54="",F54="",L54="",P54="",R54="",T54="",X54="",Z54="",AB54="",AD54="",AF54=""),"",IF(AB54="Total",ROUND(MIN(AH54*0.75,AK54*INDEX(INCRATE[Gas],MATCH("CMNONLIGHT",INCRATE[Incentive Type]))),2),IF(AB54="Incremental",ROUND(MIN(AH54,AK54*INDEX(INCRATE[Gas],MATCH("CMNONLIGHT",INCRATE[Incentive Type]))),2))))</f>
        <v/>
      </c>
      <c r="AY54" s="1180" t="str">
        <f>IF(OR(C54="",F54="",L54="",P54="",R54="",T54="",X54="",Z54="",AB54="",AD54="",AF54=""),"",IF(AB54="Total",ROUND(MIN(AH54*0.75,AK54*INDEX(INCRATE[Gas],MATCH("NCNONLIGHT",INCRATE[Incentive Type]))),2),IF(AB54="Incremental",ROUND(MIN(AH54,AK54*INDEX(INCRATE[Gas],MATCH("NCNONLIGHT",INCRATE[Incentive Type]))),2))))</f>
        <v/>
      </c>
      <c r="AZ54" s="1180" t="str">
        <f>IF(OR(C54="",F54="",L54="",P54="",R54="",T54="",X54="",Z54="",AB54="",AD54="",AF54=""),"",IF(AB54="Total",ROUND(MIN(AH54*0.75,AK54*INDEX(INCRATE[Gas],MATCH("RCX",INCRATE[Incentive Type]))),2),IF(AB54="Incremental",ROUND(MIN(AH54,AK54*INDEX(INCRATE[Gas],MATCH("RCX",INCRATE[Incentive Type]))),2))))</f>
        <v/>
      </c>
      <c r="BA54" s="1097" t="str">
        <f>IF(F54="","",INDEX(PROGRAMGCAT[EUL],MATCH(F54,PROGRAMGCAT[Category 1],0)))</f>
        <v/>
      </c>
      <c r="BB54" s="1097" t="str">
        <f>IFERROR(AH54/M02S02F36/AK54,"")</f>
        <v/>
      </c>
      <c r="BC54" s="1190" t="str">
        <f>IF(OR(C54="",F54="",L54="",P54="",R54="",T54="",X54="",Z54="",AD54="",AF54=""),"",IF(ISNUMBER(AN54),INDEX(PROGRAMGCAT[Measure Number],MATCH(F54,PROGRAMGCAT[Category 1],0)),IF(AK54=0,"","000001")))</f>
        <v/>
      </c>
      <c r="BD54" s="1097" t="str">
        <f>IFERROR(IF((P54*R54)-(X54*Z54)&lt;=0,MEASURESAV,IF(M02S02F36="",MEASURERATE,IF(OR(F54="Others (Incremental)",F54="Others"),MEASURESUBMIT, IF(BB54&lt;1,MEASUREPAY,IF(AV54&lt;1,MEASURECB,""))))),MEASURESUBMIT)</f>
        <v>Submit for Review</v>
      </c>
    </row>
    <row r="55" spans="2:56" ht="15.95" hidden="1" customHeight="1">
      <c r="B55" s="829"/>
      <c r="C55" s="1205"/>
      <c r="D55" s="1205"/>
      <c r="E55" s="1205"/>
      <c r="F55" s="1088"/>
      <c r="G55" s="1088"/>
      <c r="H55" s="1088"/>
      <c r="I55" s="1088"/>
      <c r="J55" s="1088"/>
      <c r="K55" s="1088"/>
      <c r="L55" s="835"/>
      <c r="M55" s="836"/>
      <c r="N55" s="836"/>
      <c r="O55" s="837"/>
      <c r="P55" s="848"/>
      <c r="Q55" s="849"/>
      <c r="R55" s="1110"/>
      <c r="S55" s="1111"/>
      <c r="T55" s="1219"/>
      <c r="U55" s="1219"/>
      <c r="V55" s="1219"/>
      <c r="W55" s="1219"/>
      <c r="X55" s="848"/>
      <c r="Y55" s="849"/>
      <c r="Z55" s="1110"/>
      <c r="AA55" s="1111"/>
      <c r="AB55" s="1166"/>
      <c r="AC55" s="1166"/>
      <c r="AD55" s="870"/>
      <c r="AE55" s="1092"/>
      <c r="AF55" s="1195"/>
      <c r="AG55" s="1196"/>
      <c r="AH55" s="1130"/>
      <c r="AI55" s="1131"/>
      <c r="AJ55" s="1131"/>
      <c r="AK55" s="1211"/>
      <c r="AL55" s="1211"/>
      <c r="AM55" s="1211"/>
      <c r="AN55" s="1133"/>
      <c r="AO55" s="1133"/>
      <c r="AP55" s="1133"/>
      <c r="AQ55" s="1133"/>
      <c r="AR55" s="59"/>
      <c r="AU55" s="1102"/>
      <c r="AV55" s="1102"/>
      <c r="AW55" s="1098"/>
      <c r="AX55" s="1098"/>
      <c r="AY55" s="1098"/>
      <c r="AZ55" s="1098"/>
      <c r="BA55" s="1098"/>
      <c r="BB55" s="1098"/>
      <c r="BC55" s="1184"/>
      <c r="BD55" s="1098"/>
    </row>
    <row r="56" spans="2:56" ht="15.95" hidden="1" customHeight="1">
      <c r="B56" s="829">
        <v>21</v>
      </c>
      <c r="C56" s="1204"/>
      <c r="D56" s="1204"/>
      <c r="E56" s="1204"/>
      <c r="F56" s="1087"/>
      <c r="G56" s="1087"/>
      <c r="H56" s="1087"/>
      <c r="I56" s="1087"/>
      <c r="J56" s="1087"/>
      <c r="K56" s="1087"/>
      <c r="L56" s="866"/>
      <c r="M56" s="867"/>
      <c r="N56" s="867"/>
      <c r="O56" s="868"/>
      <c r="P56" s="846"/>
      <c r="Q56" s="847"/>
      <c r="R56" s="1108"/>
      <c r="S56" s="1109"/>
      <c r="T56" s="1218"/>
      <c r="U56" s="1218"/>
      <c r="V56" s="1218"/>
      <c r="W56" s="1218"/>
      <c r="X56" s="871"/>
      <c r="Y56" s="872"/>
      <c r="Z56" s="1108"/>
      <c r="AA56" s="1109"/>
      <c r="AB56" s="1165" t="str">
        <f t="shared" ref="AB56" si="88">IF(C56="New Construction","Incremental","")</f>
        <v/>
      </c>
      <c r="AC56" s="1165"/>
      <c r="AD56" s="869"/>
      <c r="AE56" s="1091"/>
      <c r="AF56" s="1193" t="str">
        <f t="shared" ref="AF56" si="89">IF(AB56="Incremental",0,"")</f>
        <v/>
      </c>
      <c r="AG56" s="1194"/>
      <c r="AH56" s="865" t="str">
        <f t="shared" ref="AH56" si="90">IF(OR(C56="",F56="",L56="",P56="",R56="",T56="",X56="",Z56="",AD56="",AF56=""),"",ROUND(AD56+AF56,2))</f>
        <v/>
      </c>
      <c r="AI56" s="1096"/>
      <c r="AJ56" s="1096"/>
      <c r="AK56" s="1210" t="str">
        <f t="shared" ref="AK56" si="91">IF(OR(C56="",F56="",F56="",L56="",P56="",R56="",T56="",X56="",Z56="",AD56="",AF56=""),"",IF((P56*R56)-(X56*Z56)&lt;=0,0,ROUND((P56*R56)-(X56*Z56),2)))</f>
        <v/>
      </c>
      <c r="AL56" s="1210"/>
      <c r="AM56" s="1210"/>
      <c r="AN56" s="1132" t="str">
        <f t="shared" ref="AN56" si="92">IF(OR(C56="",F56="",F56="",L56="",P56="",R56="",T56="",X56="",Z56="",AD56="",AF56=""),"",IF(BD56&lt;&gt;"",BD56,IF(C56="Custom",AX56,IF(C56="New Construction",AY56,IF(C56="RCx",AZ56)))))</f>
        <v/>
      </c>
      <c r="AO56" s="1132"/>
      <c r="AP56" s="1132"/>
      <c r="AQ56" s="1132"/>
      <c r="AR56" s="59"/>
      <c r="AU56" s="1103" t="str">
        <f>IF(F56="","",INDEX(CUSTNONLIGHTGUNIT,MATCH(F56,PROGRAMGCAT[Category 1],0)))</f>
        <v/>
      </c>
      <c r="AV56" s="1103" t="str">
        <f>IF(OR(C56="",F56="",L56="",P56="",R56="",T56="",X56="",Z56="",AD56="",AF56=""),"",((1+GLOSS)*((AK56*INDEX(GASCB[NPV GAEC $/therm],MATCH(BA56,GASCB[Year Number],1))))/AH56))</f>
        <v/>
      </c>
      <c r="AW56" s="1097"/>
      <c r="AX56" s="1180" t="str">
        <f>IF(OR(C56="",F56="",L56="",P56="",R56="",T56="",X56="",Z56="",AB56="",AD56="",AF56=""),"",IF(AB56="Total",ROUND(MIN(AH56*0.75,AK56*INDEX(INCRATE[Gas],MATCH("CMNONLIGHT",INCRATE[Incentive Type]))),2),IF(AB56="Incremental",ROUND(MIN(AH56,AK56*INDEX(INCRATE[Gas],MATCH("CMNONLIGHT",INCRATE[Incentive Type]))),2))))</f>
        <v/>
      </c>
      <c r="AY56" s="1180" t="str">
        <f>IF(OR(C56="",F56="",L56="",P56="",R56="",T56="",X56="",Z56="",AB56="",AD56="",AF56=""),"",IF(AB56="Total",ROUND(MIN(AH56*0.75,AK56*INDEX(INCRATE[Gas],MATCH("NCNONLIGHT",INCRATE[Incentive Type]))),2),IF(AB56="Incremental",ROUND(MIN(AH56,AK56*INDEX(INCRATE[Gas],MATCH("NCNONLIGHT",INCRATE[Incentive Type]))),2))))</f>
        <v/>
      </c>
      <c r="AZ56" s="1180" t="str">
        <f>IF(OR(C56="",F56="",L56="",P56="",R56="",T56="",X56="",Z56="",AB56="",AD56="",AF56=""),"",IF(AB56="Total",ROUND(MIN(AH56*0.75,AK56*INDEX(INCRATE[Gas],MATCH("RCX",INCRATE[Incentive Type]))),2),IF(AB56="Incremental",ROUND(MIN(AH56,AK56*INDEX(INCRATE[Gas],MATCH("RCX",INCRATE[Incentive Type]))),2))))</f>
        <v/>
      </c>
      <c r="BA56" s="1097" t="str">
        <f>IF(F56="","",INDEX(PROGRAMGCAT[EUL],MATCH(F56,PROGRAMGCAT[Category 1],0)))</f>
        <v/>
      </c>
      <c r="BB56" s="1097" t="str">
        <f>IFERROR(AH56/M02S02F36/AK56,"")</f>
        <v/>
      </c>
      <c r="BC56" s="1190" t="str">
        <f>IF(OR(C56="",F56="",L56="",P56="",R56="",T56="",X56="",Z56="",AD56="",AF56=""),"",IF(ISNUMBER(AN56),INDEX(PROGRAMGCAT[Measure Number],MATCH(F56,PROGRAMGCAT[Category 1],0)),IF(AK56=0,"","000001")))</f>
        <v/>
      </c>
      <c r="BD56" s="1097" t="str">
        <f>IFERROR(IF((P56*R56)-(X56*Z56)&lt;=0,MEASURESAV,IF(M02S02F36="",MEASURERATE,IF(OR(F56="Others (Incremental)",F56="Others"),MEASURESUBMIT, IF(BB56&lt;1,MEASUREPAY,IF(AV56&lt;1,MEASURECB,""))))),MEASURESUBMIT)</f>
        <v>Submit for Review</v>
      </c>
    </row>
    <row r="57" spans="2:56" ht="15.95" hidden="1" customHeight="1">
      <c r="B57" s="829"/>
      <c r="C57" s="1205"/>
      <c r="D57" s="1205"/>
      <c r="E57" s="1205"/>
      <c r="F57" s="1088"/>
      <c r="G57" s="1088"/>
      <c r="H57" s="1088"/>
      <c r="I57" s="1088"/>
      <c r="J57" s="1088"/>
      <c r="K57" s="1088"/>
      <c r="L57" s="835"/>
      <c r="M57" s="836"/>
      <c r="N57" s="836"/>
      <c r="O57" s="837"/>
      <c r="P57" s="848"/>
      <c r="Q57" s="849"/>
      <c r="R57" s="1110"/>
      <c r="S57" s="1111"/>
      <c r="T57" s="1219"/>
      <c r="U57" s="1219"/>
      <c r="V57" s="1219"/>
      <c r="W57" s="1219"/>
      <c r="X57" s="848"/>
      <c r="Y57" s="849"/>
      <c r="Z57" s="1110"/>
      <c r="AA57" s="1111"/>
      <c r="AB57" s="1166"/>
      <c r="AC57" s="1166"/>
      <c r="AD57" s="870"/>
      <c r="AE57" s="1092"/>
      <c r="AF57" s="1195"/>
      <c r="AG57" s="1196"/>
      <c r="AH57" s="1130"/>
      <c r="AI57" s="1131"/>
      <c r="AJ57" s="1131"/>
      <c r="AK57" s="1211"/>
      <c r="AL57" s="1211"/>
      <c r="AM57" s="1211"/>
      <c r="AN57" s="1133"/>
      <c r="AO57" s="1133"/>
      <c r="AP57" s="1133"/>
      <c r="AQ57" s="1133"/>
      <c r="AR57" s="59"/>
      <c r="AU57" s="1102"/>
      <c r="AV57" s="1102"/>
      <c r="AW57" s="1098"/>
      <c r="AX57" s="1098"/>
      <c r="AY57" s="1098"/>
      <c r="AZ57" s="1098"/>
      <c r="BA57" s="1098"/>
      <c r="BB57" s="1098"/>
      <c r="BC57" s="1184"/>
      <c r="BD57" s="1098"/>
    </row>
    <row r="58" spans="2:56" ht="15.95" hidden="1" customHeight="1">
      <c r="B58" s="829">
        <v>22</v>
      </c>
      <c r="C58" s="1204"/>
      <c r="D58" s="1204"/>
      <c r="E58" s="1204"/>
      <c r="F58" s="1087"/>
      <c r="G58" s="1087"/>
      <c r="H58" s="1087"/>
      <c r="I58" s="1087"/>
      <c r="J58" s="1087"/>
      <c r="K58" s="1087"/>
      <c r="L58" s="866"/>
      <c r="M58" s="867"/>
      <c r="N58" s="867"/>
      <c r="O58" s="868"/>
      <c r="P58" s="846"/>
      <c r="Q58" s="847"/>
      <c r="R58" s="1108"/>
      <c r="S58" s="1109"/>
      <c r="T58" s="1218"/>
      <c r="U58" s="1218"/>
      <c r="V58" s="1218"/>
      <c r="W58" s="1218"/>
      <c r="X58" s="871"/>
      <c r="Y58" s="872"/>
      <c r="Z58" s="1108"/>
      <c r="AA58" s="1109"/>
      <c r="AB58" s="1165" t="str">
        <f t="shared" ref="AB58" si="93">IF(C58="New Construction","Incremental","")</f>
        <v/>
      </c>
      <c r="AC58" s="1165"/>
      <c r="AD58" s="869"/>
      <c r="AE58" s="1091"/>
      <c r="AF58" s="1193" t="str">
        <f t="shared" ref="AF58" si="94">IF(AB58="Incremental",0,"")</f>
        <v/>
      </c>
      <c r="AG58" s="1194"/>
      <c r="AH58" s="865" t="str">
        <f t="shared" ref="AH58" si="95">IF(OR(C58="",F58="",L58="",P58="",R58="",T58="",X58="",Z58="",AD58="",AF58=""),"",ROUND(AD58+AF58,2))</f>
        <v/>
      </c>
      <c r="AI58" s="1096"/>
      <c r="AJ58" s="1096"/>
      <c r="AK58" s="1210" t="str">
        <f t="shared" ref="AK58" si="96">IF(OR(C58="",F58="",F58="",L58="",P58="",R58="",T58="",X58="",Z58="",AD58="",AF58=""),"",IF((P58*R58)-(X58*Z58)&lt;=0,0,ROUND((P58*R58)-(X58*Z58),2)))</f>
        <v/>
      </c>
      <c r="AL58" s="1210"/>
      <c r="AM58" s="1210"/>
      <c r="AN58" s="1132" t="str">
        <f t="shared" ref="AN58" si="97">IF(OR(C58="",F58="",F58="",L58="",P58="",R58="",T58="",X58="",Z58="",AD58="",AF58=""),"",IF(BD58&lt;&gt;"",BD58,IF(C58="Custom",AX58,IF(C58="New Construction",AY58,IF(C58="RCx",AZ58)))))</f>
        <v/>
      </c>
      <c r="AO58" s="1132"/>
      <c r="AP58" s="1132"/>
      <c r="AQ58" s="1132"/>
      <c r="AR58" s="59"/>
      <c r="AU58" s="1103" t="str">
        <f>IF(F58="","",INDEX(CUSTNONLIGHTGUNIT,MATCH(F58,PROGRAMGCAT[Category 1],0)))</f>
        <v/>
      </c>
      <c r="AV58" s="1103" t="str">
        <f>IF(OR(C58="",F58="",L58="",P58="",R58="",T58="",X58="",Z58="",AD58="",AF58=""),"",((1+GLOSS)*((AK58*INDEX(GASCB[NPV GAEC $/therm],MATCH(BA58,GASCB[Year Number],1))))/AH58))</f>
        <v/>
      </c>
      <c r="AW58" s="1097"/>
      <c r="AX58" s="1180" t="str">
        <f>IF(OR(C58="",F58="",L58="",P58="",R58="",T58="",X58="",Z58="",AB58="",AD58="",AF58=""),"",IF(AB58="Total",ROUND(MIN(AH58*0.75,AK58*INDEX(INCRATE[Gas],MATCH("CMNONLIGHT",INCRATE[Incentive Type]))),2),IF(AB58="Incremental",ROUND(MIN(AH58,AK58*INDEX(INCRATE[Gas],MATCH("CMNONLIGHT",INCRATE[Incentive Type]))),2))))</f>
        <v/>
      </c>
      <c r="AY58" s="1180" t="str">
        <f>IF(OR(C58="",F58="",L58="",P58="",R58="",T58="",X58="",Z58="",AB58="",AD58="",AF58=""),"",IF(AB58="Total",ROUND(MIN(AH58*0.75,AK58*INDEX(INCRATE[Gas],MATCH("NCNONLIGHT",INCRATE[Incentive Type]))),2),IF(AB58="Incremental",ROUND(MIN(AH58,AK58*INDEX(INCRATE[Gas],MATCH("NCNONLIGHT",INCRATE[Incentive Type]))),2))))</f>
        <v/>
      </c>
      <c r="AZ58" s="1180" t="str">
        <f>IF(OR(C58="",F58="",L58="",P58="",R58="",T58="",X58="",Z58="",AB58="",AD58="",AF58=""),"",IF(AB58="Total",ROUND(MIN(AH58*0.75,AK58*INDEX(INCRATE[Gas],MATCH("RCX",INCRATE[Incentive Type]))),2),IF(AB58="Incremental",ROUND(MIN(AH58,AK58*INDEX(INCRATE[Gas],MATCH("RCX",INCRATE[Incentive Type]))),2))))</f>
        <v/>
      </c>
      <c r="BA58" s="1097" t="str">
        <f>IF(F58="","",INDEX(PROGRAMGCAT[EUL],MATCH(F58,PROGRAMGCAT[Category 1],0)))</f>
        <v/>
      </c>
      <c r="BB58" s="1097" t="str">
        <f>IFERROR(AH58/M02S02F36/AK58,"")</f>
        <v/>
      </c>
      <c r="BC58" s="1190" t="str">
        <f>IF(OR(C58="",F58="",L58="",P58="",R58="",T58="",X58="",Z58="",AD58="",AF58=""),"",IF(ISNUMBER(AN58),INDEX(PROGRAMGCAT[Measure Number],MATCH(F58,PROGRAMGCAT[Category 1],0)),IF(AK58=0,"","000001")))</f>
        <v/>
      </c>
      <c r="BD58" s="1097" t="str">
        <f>IFERROR(IF((P58*R58)-(X58*Z58)&lt;=0,MEASURESAV,IF(M02S02F36="",MEASURERATE,IF(OR(F58="Others (Incremental)",F58="Others"),MEASURESUBMIT, IF(BB58&lt;1,MEASUREPAY,IF(AV58&lt;1,MEASURECB,""))))),MEASURESUBMIT)</f>
        <v>Submit for Review</v>
      </c>
    </row>
    <row r="59" spans="2:56" ht="15.95" hidden="1" customHeight="1">
      <c r="B59" s="829"/>
      <c r="C59" s="1205"/>
      <c r="D59" s="1205"/>
      <c r="E59" s="1205"/>
      <c r="F59" s="1088"/>
      <c r="G59" s="1088"/>
      <c r="H59" s="1088"/>
      <c r="I59" s="1088"/>
      <c r="J59" s="1088"/>
      <c r="K59" s="1088"/>
      <c r="L59" s="835"/>
      <c r="M59" s="836"/>
      <c r="N59" s="836"/>
      <c r="O59" s="837"/>
      <c r="P59" s="848"/>
      <c r="Q59" s="849"/>
      <c r="R59" s="1110"/>
      <c r="S59" s="1111"/>
      <c r="T59" s="1219"/>
      <c r="U59" s="1219"/>
      <c r="V59" s="1219"/>
      <c r="W59" s="1219"/>
      <c r="X59" s="848"/>
      <c r="Y59" s="849"/>
      <c r="Z59" s="1110"/>
      <c r="AA59" s="1111"/>
      <c r="AB59" s="1166"/>
      <c r="AC59" s="1166"/>
      <c r="AD59" s="870"/>
      <c r="AE59" s="1092"/>
      <c r="AF59" s="1195"/>
      <c r="AG59" s="1196"/>
      <c r="AH59" s="1130"/>
      <c r="AI59" s="1131"/>
      <c r="AJ59" s="1131"/>
      <c r="AK59" s="1211"/>
      <c r="AL59" s="1211"/>
      <c r="AM59" s="1211"/>
      <c r="AN59" s="1133"/>
      <c r="AO59" s="1133"/>
      <c r="AP59" s="1133"/>
      <c r="AQ59" s="1133"/>
      <c r="AR59" s="59"/>
      <c r="AU59" s="1102"/>
      <c r="AV59" s="1102"/>
      <c r="AW59" s="1098"/>
      <c r="AX59" s="1098"/>
      <c r="AY59" s="1098"/>
      <c r="AZ59" s="1098"/>
      <c r="BA59" s="1098"/>
      <c r="BB59" s="1098"/>
      <c r="BC59" s="1184"/>
      <c r="BD59" s="1098"/>
    </row>
    <row r="60" spans="2:56" ht="15.95" hidden="1" customHeight="1">
      <c r="B60" s="829">
        <v>23</v>
      </c>
      <c r="C60" s="1204"/>
      <c r="D60" s="1204"/>
      <c r="E60" s="1204"/>
      <c r="F60" s="1087"/>
      <c r="G60" s="1087"/>
      <c r="H60" s="1087"/>
      <c r="I60" s="1087"/>
      <c r="J60" s="1087"/>
      <c r="K60" s="1087"/>
      <c r="L60" s="866"/>
      <c r="M60" s="867"/>
      <c r="N60" s="867"/>
      <c r="O60" s="868"/>
      <c r="P60" s="846"/>
      <c r="Q60" s="847"/>
      <c r="R60" s="1108"/>
      <c r="S60" s="1109"/>
      <c r="T60" s="1218"/>
      <c r="U60" s="1218"/>
      <c r="V60" s="1218"/>
      <c r="W60" s="1218"/>
      <c r="X60" s="871"/>
      <c r="Y60" s="872"/>
      <c r="Z60" s="1108"/>
      <c r="AA60" s="1109"/>
      <c r="AB60" s="1165" t="str">
        <f t="shared" ref="AB60" si="98">IF(C60="New Construction","Incremental","")</f>
        <v/>
      </c>
      <c r="AC60" s="1165"/>
      <c r="AD60" s="869"/>
      <c r="AE60" s="1091"/>
      <c r="AF60" s="1193" t="str">
        <f t="shared" ref="AF60" si="99">IF(AB60="Incremental",0,"")</f>
        <v/>
      </c>
      <c r="AG60" s="1194"/>
      <c r="AH60" s="865" t="str">
        <f t="shared" ref="AH60" si="100">IF(OR(C60="",F60="",L60="",P60="",R60="",T60="",X60="",Z60="",AD60="",AF60=""),"",ROUND(AD60+AF60,2))</f>
        <v/>
      </c>
      <c r="AI60" s="1096"/>
      <c r="AJ60" s="1096"/>
      <c r="AK60" s="1210" t="str">
        <f t="shared" ref="AK60" si="101">IF(OR(C60="",F60="",F60="",L60="",P60="",R60="",T60="",X60="",Z60="",AD60="",AF60=""),"",IF((P60*R60)-(X60*Z60)&lt;=0,0,ROUND((P60*R60)-(X60*Z60),2)))</f>
        <v/>
      </c>
      <c r="AL60" s="1210"/>
      <c r="AM60" s="1210"/>
      <c r="AN60" s="1132" t="str">
        <f t="shared" ref="AN60" si="102">IF(OR(C60="",F60="",F60="",L60="",P60="",R60="",T60="",X60="",Z60="",AD60="",AF60=""),"",IF(BD60&lt;&gt;"",BD60,IF(C60="Custom",AX60,IF(C60="New Construction",AY60,IF(C60="RCx",AZ60)))))</f>
        <v/>
      </c>
      <c r="AO60" s="1132"/>
      <c r="AP60" s="1132"/>
      <c r="AQ60" s="1132"/>
      <c r="AR60" s="59"/>
      <c r="AU60" s="1103" t="str">
        <f>IF(F60="","",INDEX(CUSTNONLIGHTGUNIT,MATCH(F60,PROGRAMGCAT[Category 1],0)))</f>
        <v/>
      </c>
      <c r="AV60" s="1103" t="str">
        <f>IF(OR(C60="",F60="",L60="",P60="",R60="",T60="",X60="",Z60="",AD60="",AF60=""),"",((1+GLOSS)*((AK60*INDEX(GASCB[NPV GAEC $/therm],MATCH(BA60,GASCB[Year Number],1))))/AH60))</f>
        <v/>
      </c>
      <c r="AW60" s="1097"/>
      <c r="AX60" s="1180" t="str">
        <f>IF(OR(C60="",F60="",L60="",P60="",R60="",T60="",X60="",Z60="",AB60="",AD60="",AF60=""),"",IF(AB60="Total",ROUND(MIN(AH60*0.75,AK60*INDEX(INCRATE[Gas],MATCH("CMNONLIGHT",INCRATE[Incentive Type]))),2),IF(AB60="Incremental",ROUND(MIN(AH60,AK60*INDEX(INCRATE[Gas],MATCH("CMNONLIGHT",INCRATE[Incentive Type]))),2))))</f>
        <v/>
      </c>
      <c r="AY60" s="1180" t="str">
        <f>IF(OR(C60="",F60="",L60="",P60="",R60="",T60="",X60="",Z60="",AB60="",AD60="",AF60=""),"",IF(AB60="Total",ROUND(MIN(AH60*0.75,AK60*INDEX(INCRATE[Gas],MATCH("NCNONLIGHT",INCRATE[Incentive Type]))),2),IF(AB60="Incremental",ROUND(MIN(AH60,AK60*INDEX(INCRATE[Gas],MATCH("NCNONLIGHT",INCRATE[Incentive Type]))),2))))</f>
        <v/>
      </c>
      <c r="AZ60" s="1180" t="str">
        <f>IF(OR(C60="",F60="",L60="",P60="",R60="",T60="",X60="",Z60="",AB60="",AD60="",AF60=""),"",IF(AB60="Total",ROUND(MIN(AH60*0.75,AK60*INDEX(INCRATE[Gas],MATCH("RCX",INCRATE[Incentive Type]))),2),IF(AB60="Incremental",ROUND(MIN(AH60,AK60*INDEX(INCRATE[Gas],MATCH("RCX",INCRATE[Incentive Type]))),2))))</f>
        <v/>
      </c>
      <c r="BA60" s="1097" t="str">
        <f>IF(F60="","",INDEX(PROGRAMGCAT[EUL],MATCH(F60,PROGRAMGCAT[Category 1],0)))</f>
        <v/>
      </c>
      <c r="BB60" s="1097" t="str">
        <f>IFERROR(AH60/M02S02F36/AK60,"")</f>
        <v/>
      </c>
      <c r="BC60" s="1190" t="str">
        <f>IF(OR(C60="",F60="",L60="",P60="",R60="",T60="",X60="",Z60="",AD60="",AF60=""),"",IF(ISNUMBER(AN60),INDEX(PROGRAMGCAT[Measure Number],MATCH(F60,PROGRAMGCAT[Category 1],0)),IF(AK60=0,"","000001")))</f>
        <v/>
      </c>
      <c r="BD60" s="1097" t="str">
        <f>IFERROR(IF((P60*R60)-(X60*Z60)&lt;=0,MEASURESAV,IF(M02S02F36="",MEASURERATE,IF(OR(F60="Others (Incremental)",F60="Others"),MEASURESUBMIT, IF(BB60&lt;1,MEASUREPAY,IF(AV60&lt;1,MEASURECB,""))))),MEASURESUBMIT)</f>
        <v>Submit for Review</v>
      </c>
    </row>
    <row r="61" spans="2:56" ht="15.95" hidden="1" customHeight="1">
      <c r="B61" s="829"/>
      <c r="C61" s="1205"/>
      <c r="D61" s="1205"/>
      <c r="E61" s="1205"/>
      <c r="F61" s="1088"/>
      <c r="G61" s="1088"/>
      <c r="H61" s="1088"/>
      <c r="I61" s="1088"/>
      <c r="J61" s="1088"/>
      <c r="K61" s="1088"/>
      <c r="L61" s="835"/>
      <c r="M61" s="836"/>
      <c r="N61" s="836"/>
      <c r="O61" s="837"/>
      <c r="P61" s="848"/>
      <c r="Q61" s="849"/>
      <c r="R61" s="1110"/>
      <c r="S61" s="1111"/>
      <c r="T61" s="1219"/>
      <c r="U61" s="1219"/>
      <c r="V61" s="1219"/>
      <c r="W61" s="1219"/>
      <c r="X61" s="848"/>
      <c r="Y61" s="849"/>
      <c r="Z61" s="1110"/>
      <c r="AA61" s="1111"/>
      <c r="AB61" s="1166"/>
      <c r="AC61" s="1166"/>
      <c r="AD61" s="870"/>
      <c r="AE61" s="1092"/>
      <c r="AF61" s="1195"/>
      <c r="AG61" s="1196"/>
      <c r="AH61" s="1130"/>
      <c r="AI61" s="1131"/>
      <c r="AJ61" s="1131"/>
      <c r="AK61" s="1211"/>
      <c r="AL61" s="1211"/>
      <c r="AM61" s="1211"/>
      <c r="AN61" s="1133"/>
      <c r="AO61" s="1133"/>
      <c r="AP61" s="1133"/>
      <c r="AQ61" s="1133"/>
      <c r="AR61" s="59"/>
      <c r="AU61" s="1102"/>
      <c r="AV61" s="1102"/>
      <c r="AW61" s="1098"/>
      <c r="AX61" s="1098"/>
      <c r="AY61" s="1098"/>
      <c r="AZ61" s="1098"/>
      <c r="BA61" s="1098"/>
      <c r="BB61" s="1098"/>
      <c r="BC61" s="1184"/>
      <c r="BD61" s="1098"/>
    </row>
    <row r="62" spans="2:56" ht="15.95" hidden="1" customHeight="1">
      <c r="B62" s="829">
        <v>24</v>
      </c>
      <c r="C62" s="1204"/>
      <c r="D62" s="1204"/>
      <c r="E62" s="1204"/>
      <c r="F62" s="1087"/>
      <c r="G62" s="1087"/>
      <c r="H62" s="1087"/>
      <c r="I62" s="1087"/>
      <c r="J62" s="1087"/>
      <c r="K62" s="1087"/>
      <c r="L62" s="866"/>
      <c r="M62" s="867"/>
      <c r="N62" s="867"/>
      <c r="O62" s="868"/>
      <c r="P62" s="846"/>
      <c r="Q62" s="847"/>
      <c r="R62" s="1108"/>
      <c r="S62" s="1109"/>
      <c r="T62" s="1218"/>
      <c r="U62" s="1218"/>
      <c r="V62" s="1218"/>
      <c r="W62" s="1218"/>
      <c r="X62" s="871"/>
      <c r="Y62" s="872"/>
      <c r="Z62" s="1108"/>
      <c r="AA62" s="1109"/>
      <c r="AB62" s="1165" t="str">
        <f t="shared" ref="AB62" si="103">IF(C62="New Construction","Incremental","")</f>
        <v/>
      </c>
      <c r="AC62" s="1165"/>
      <c r="AD62" s="869"/>
      <c r="AE62" s="1091"/>
      <c r="AF62" s="1193" t="str">
        <f t="shared" ref="AF62" si="104">IF(AB62="Incremental",0,"")</f>
        <v/>
      </c>
      <c r="AG62" s="1194"/>
      <c r="AH62" s="865" t="str">
        <f t="shared" ref="AH62" si="105">IF(OR(C62="",F62="",L62="",P62="",R62="",T62="",X62="",Z62="",AD62="",AF62=""),"",ROUND(AD62+AF62,2))</f>
        <v/>
      </c>
      <c r="AI62" s="1096"/>
      <c r="AJ62" s="1096"/>
      <c r="AK62" s="1210" t="str">
        <f t="shared" ref="AK62" si="106">IF(OR(C62="",F62="",F62="",L62="",P62="",R62="",T62="",X62="",Z62="",AD62="",AF62=""),"",IF((P62*R62)-(X62*Z62)&lt;=0,0,ROUND((P62*R62)-(X62*Z62),2)))</f>
        <v/>
      </c>
      <c r="AL62" s="1210"/>
      <c r="AM62" s="1210"/>
      <c r="AN62" s="1132" t="str">
        <f t="shared" ref="AN62" si="107">IF(OR(C62="",F62="",F62="",L62="",P62="",R62="",T62="",X62="",Z62="",AD62="",AF62=""),"",IF(BD62&lt;&gt;"",BD62,IF(C62="Custom",AX62,IF(C62="New Construction",AY62,IF(C62="RCx",AZ62)))))</f>
        <v/>
      </c>
      <c r="AO62" s="1132"/>
      <c r="AP62" s="1132"/>
      <c r="AQ62" s="1132"/>
      <c r="AR62" s="59"/>
      <c r="AU62" s="1103" t="str">
        <f>IF(F62="","",INDEX(CUSTNONLIGHTGUNIT,MATCH(F62,PROGRAMGCAT[Category 1],0)))</f>
        <v/>
      </c>
      <c r="AV62" s="1103" t="str">
        <f>IF(OR(C62="",F62="",L62="",P62="",R62="",T62="",X62="",Z62="",AD62="",AF62=""),"",((1+GLOSS)*((AK62*INDEX(GASCB[NPV GAEC $/therm],MATCH(BA62,GASCB[Year Number],1))))/AH62))</f>
        <v/>
      </c>
      <c r="AW62" s="1097"/>
      <c r="AX62" s="1180" t="str">
        <f>IF(OR(C62="",F62="",L62="",P62="",R62="",T62="",X62="",Z62="",AB62="",AD62="",AF62=""),"",IF(AB62="Total",ROUND(MIN(AH62*0.75,AK62*INDEX(INCRATE[Gas],MATCH("CMNONLIGHT",INCRATE[Incentive Type]))),2),IF(AB62="Incremental",ROUND(MIN(AH62,AK62*INDEX(INCRATE[Gas],MATCH("CMNONLIGHT",INCRATE[Incentive Type]))),2))))</f>
        <v/>
      </c>
      <c r="AY62" s="1180" t="str">
        <f>IF(OR(C62="",F62="",L62="",P62="",R62="",T62="",X62="",Z62="",AB62="",AD62="",AF62=""),"",IF(AB62="Total",ROUND(MIN(AH62*0.75,AK62*INDEX(INCRATE[Gas],MATCH("NCNONLIGHT",INCRATE[Incentive Type]))),2),IF(AB62="Incremental",ROUND(MIN(AH62,AK62*INDEX(INCRATE[Gas],MATCH("NCNONLIGHT",INCRATE[Incentive Type]))),2))))</f>
        <v/>
      </c>
      <c r="AZ62" s="1180" t="str">
        <f>IF(OR(C62="",F62="",L62="",P62="",R62="",T62="",X62="",Z62="",AB62="",AD62="",AF62=""),"",IF(AB62="Total",ROUND(MIN(AH62*0.75,AK62*INDEX(INCRATE[Gas],MATCH("RCX",INCRATE[Incentive Type]))),2),IF(AB62="Incremental",ROUND(MIN(AH62,AK62*INDEX(INCRATE[Gas],MATCH("RCX",INCRATE[Incentive Type]))),2))))</f>
        <v/>
      </c>
      <c r="BA62" s="1097" t="str">
        <f>IF(F62="","",INDEX(PROGRAMGCAT[EUL],MATCH(F62,PROGRAMGCAT[Category 1],0)))</f>
        <v/>
      </c>
      <c r="BB62" s="1097" t="str">
        <f>IFERROR(AH62/M02S02F36/AK62,"")</f>
        <v/>
      </c>
      <c r="BC62" s="1190" t="str">
        <f>IF(OR(C62="",F62="",L62="",P62="",R62="",T62="",X62="",Z62="",AD62="",AF62=""),"",IF(ISNUMBER(AN62),INDEX(PROGRAMGCAT[Measure Number],MATCH(F62,PROGRAMGCAT[Category 1],0)),IF(AK62=0,"","000001")))</f>
        <v/>
      </c>
      <c r="BD62" s="1097" t="str">
        <f>IFERROR(IF((P62*R62)-(X62*Z62)&lt;=0,MEASURESAV,IF(M02S02F36="",MEASURERATE,IF(OR(F62="Others (Incremental)",F62="Others"),MEASURESUBMIT, IF(BB62&lt;1,MEASUREPAY,IF(AV62&lt;1,MEASURECB,""))))),MEASURESUBMIT)</f>
        <v>Submit for Review</v>
      </c>
    </row>
    <row r="63" spans="2:56" ht="15.95" hidden="1" customHeight="1">
      <c r="B63" s="829"/>
      <c r="C63" s="1205"/>
      <c r="D63" s="1205"/>
      <c r="E63" s="1205"/>
      <c r="F63" s="1088"/>
      <c r="G63" s="1088"/>
      <c r="H63" s="1088"/>
      <c r="I63" s="1088"/>
      <c r="J63" s="1088"/>
      <c r="K63" s="1088"/>
      <c r="L63" s="835"/>
      <c r="M63" s="836"/>
      <c r="N63" s="836"/>
      <c r="O63" s="837"/>
      <c r="P63" s="848"/>
      <c r="Q63" s="849"/>
      <c r="R63" s="1110"/>
      <c r="S63" s="1111"/>
      <c r="T63" s="1219"/>
      <c r="U63" s="1219"/>
      <c r="V63" s="1219"/>
      <c r="W63" s="1219"/>
      <c r="X63" s="848"/>
      <c r="Y63" s="849"/>
      <c r="Z63" s="1110"/>
      <c r="AA63" s="1111"/>
      <c r="AB63" s="1166"/>
      <c r="AC63" s="1166"/>
      <c r="AD63" s="870"/>
      <c r="AE63" s="1092"/>
      <c r="AF63" s="1195"/>
      <c r="AG63" s="1196"/>
      <c r="AH63" s="1130"/>
      <c r="AI63" s="1131"/>
      <c r="AJ63" s="1131"/>
      <c r="AK63" s="1211"/>
      <c r="AL63" s="1211"/>
      <c r="AM63" s="1211"/>
      <c r="AN63" s="1133"/>
      <c r="AO63" s="1133"/>
      <c r="AP63" s="1133"/>
      <c r="AQ63" s="1133"/>
      <c r="AR63" s="59"/>
      <c r="AU63" s="1102"/>
      <c r="AV63" s="1102"/>
      <c r="AW63" s="1098"/>
      <c r="AX63" s="1098"/>
      <c r="AY63" s="1098"/>
      <c r="AZ63" s="1098"/>
      <c r="BA63" s="1098"/>
      <c r="BB63" s="1098"/>
      <c r="BC63" s="1184"/>
      <c r="BD63" s="1098"/>
    </row>
    <row r="64" spans="2:56" ht="15.95" hidden="1" customHeight="1">
      <c r="B64" s="829">
        <v>25</v>
      </c>
      <c r="C64" s="1204"/>
      <c r="D64" s="1204"/>
      <c r="E64" s="1204"/>
      <c r="F64" s="1087"/>
      <c r="G64" s="1087"/>
      <c r="H64" s="1087"/>
      <c r="I64" s="1087"/>
      <c r="J64" s="1087"/>
      <c r="K64" s="1087"/>
      <c r="L64" s="866"/>
      <c r="M64" s="867"/>
      <c r="N64" s="867"/>
      <c r="O64" s="868"/>
      <c r="P64" s="846"/>
      <c r="Q64" s="847"/>
      <c r="R64" s="1108"/>
      <c r="S64" s="1109"/>
      <c r="T64" s="1218"/>
      <c r="U64" s="1218"/>
      <c r="V64" s="1218"/>
      <c r="W64" s="1218"/>
      <c r="X64" s="871"/>
      <c r="Y64" s="872"/>
      <c r="Z64" s="1108"/>
      <c r="AA64" s="1109"/>
      <c r="AB64" s="1165" t="str">
        <f t="shared" ref="AB64" si="108">IF(C64="New Construction","Incremental","")</f>
        <v/>
      </c>
      <c r="AC64" s="1165"/>
      <c r="AD64" s="869"/>
      <c r="AE64" s="1091"/>
      <c r="AF64" s="1193" t="str">
        <f t="shared" ref="AF64" si="109">IF(AB64="Incremental",0,"")</f>
        <v/>
      </c>
      <c r="AG64" s="1194"/>
      <c r="AH64" s="865" t="str">
        <f t="shared" ref="AH64" si="110">IF(OR(C64="",F64="",L64="",P64="",R64="",T64="",X64="",Z64="",AD64="",AF64=""),"",ROUND(AD64+AF64,2))</f>
        <v/>
      </c>
      <c r="AI64" s="1096"/>
      <c r="AJ64" s="1096"/>
      <c r="AK64" s="1210" t="str">
        <f t="shared" ref="AK64" si="111">IF(OR(C64="",F64="",F64="",L64="",P64="",R64="",T64="",X64="",Z64="",AD64="",AF64=""),"",IF((P64*R64)-(X64*Z64)&lt;=0,0,ROUND((P64*R64)-(X64*Z64),2)))</f>
        <v/>
      </c>
      <c r="AL64" s="1210"/>
      <c r="AM64" s="1210"/>
      <c r="AN64" s="1132" t="str">
        <f t="shared" ref="AN64" si="112">IF(OR(C64="",F64="",F64="",L64="",P64="",R64="",T64="",X64="",Z64="",AD64="",AF64=""),"",IF(BD64&lt;&gt;"",BD64,IF(C64="Custom",AX64,IF(C64="New Construction",AY64,IF(C64="RCx",AZ64)))))</f>
        <v/>
      </c>
      <c r="AO64" s="1132"/>
      <c r="AP64" s="1132"/>
      <c r="AQ64" s="1132"/>
      <c r="AR64" s="59"/>
      <c r="AU64" s="1103" t="str">
        <f>IF(F64="","",INDEX(CUSTNONLIGHTGUNIT,MATCH(F64,PROGRAMGCAT[Category 1],0)))</f>
        <v/>
      </c>
      <c r="AV64" s="1103" t="str">
        <f>IF(OR(C64="",F64="",L64="",P64="",R64="",T64="",X64="",Z64="",AD64="",AF64=""),"",((1+GLOSS)*((AK64*INDEX(GASCB[NPV GAEC $/therm],MATCH(BA64,GASCB[Year Number],1))))/AH64))</f>
        <v/>
      </c>
      <c r="AW64" s="1097"/>
      <c r="AX64" s="1180" t="str">
        <f>IF(OR(C64="",F64="",L64="",P64="",R64="",T64="",X64="",Z64="",AB64="",AD64="",AF64=""),"",IF(AB64="Total",ROUND(MIN(AH64*0.75,AK64*INDEX(INCRATE[Gas],MATCH("CMNONLIGHT",INCRATE[Incentive Type]))),2),IF(AB64="Incremental",ROUND(MIN(AH64,AK64*INDEX(INCRATE[Gas],MATCH("CMNONLIGHT",INCRATE[Incentive Type]))),2))))</f>
        <v/>
      </c>
      <c r="AY64" s="1180" t="str">
        <f>IF(OR(C64="",F64="",L64="",P64="",R64="",T64="",X64="",Z64="",AB64="",AD64="",AF64=""),"",IF(AB64="Total",ROUND(MIN(AH64*0.75,AK64*INDEX(INCRATE[Gas],MATCH("NCNONLIGHT",INCRATE[Incentive Type]))),2),IF(AB64="Incremental",ROUND(MIN(AH64,AK64*INDEX(INCRATE[Gas],MATCH("NCNONLIGHT",INCRATE[Incentive Type]))),2))))</f>
        <v/>
      </c>
      <c r="AZ64" s="1180" t="str">
        <f>IF(OR(C64="",F64="",L64="",P64="",R64="",T64="",X64="",Z64="",AB64="",AD64="",AF64=""),"",IF(AB64="Total",ROUND(MIN(AH64*0.75,AK64*INDEX(INCRATE[Gas],MATCH("RCX",INCRATE[Incentive Type]))),2),IF(AB64="Incremental",ROUND(MIN(AH64,AK64*INDEX(INCRATE[Gas],MATCH("RCX",INCRATE[Incentive Type]))),2))))</f>
        <v/>
      </c>
      <c r="BA64" s="1097" t="str">
        <f>IF(F64="","",INDEX(PROGRAMGCAT[EUL],MATCH(F64,PROGRAMGCAT[Category 1],0)))</f>
        <v/>
      </c>
      <c r="BB64" s="1097" t="str">
        <f>IFERROR(AH64/M02S02F36/AK64,"")</f>
        <v/>
      </c>
      <c r="BC64" s="1190" t="str">
        <f>IF(OR(C64="",F64="",L64="",P64="",R64="",T64="",X64="",Z64="",AD64="",AF64=""),"",IF(ISNUMBER(AN64),INDEX(PROGRAMGCAT[Measure Number],MATCH(F64,PROGRAMGCAT[Category 1],0)),IF(AK64=0,"","000001")))</f>
        <v/>
      </c>
      <c r="BD64" s="1097" t="str">
        <f>IFERROR(IF((P64*R64)-(X64*Z64)&lt;=0,MEASURESAV,IF(M02S02F36="",MEASURERATE,IF(OR(F64="Others (Incremental)",F64="Others"),MEASURESUBMIT, IF(BB64&lt;1,MEASUREPAY,IF(AV64&lt;1,MEASURECB,""))))),MEASURESUBMIT)</f>
        <v>Submit for Review</v>
      </c>
    </row>
    <row r="65" spans="2:56" ht="15.95" hidden="1" customHeight="1">
      <c r="B65" s="829"/>
      <c r="C65" s="1205"/>
      <c r="D65" s="1205"/>
      <c r="E65" s="1205"/>
      <c r="F65" s="1088"/>
      <c r="G65" s="1088"/>
      <c r="H65" s="1088"/>
      <c r="I65" s="1088"/>
      <c r="J65" s="1088"/>
      <c r="K65" s="1088"/>
      <c r="L65" s="835"/>
      <c r="M65" s="836"/>
      <c r="N65" s="836"/>
      <c r="O65" s="837"/>
      <c r="P65" s="848"/>
      <c r="Q65" s="849"/>
      <c r="R65" s="1110"/>
      <c r="S65" s="1111"/>
      <c r="T65" s="1219"/>
      <c r="U65" s="1219"/>
      <c r="V65" s="1219"/>
      <c r="W65" s="1219"/>
      <c r="X65" s="848"/>
      <c r="Y65" s="849"/>
      <c r="Z65" s="1110"/>
      <c r="AA65" s="1111"/>
      <c r="AB65" s="1166"/>
      <c r="AC65" s="1166"/>
      <c r="AD65" s="870"/>
      <c r="AE65" s="1092"/>
      <c r="AF65" s="1195"/>
      <c r="AG65" s="1196"/>
      <c r="AH65" s="1130"/>
      <c r="AI65" s="1131"/>
      <c r="AJ65" s="1131"/>
      <c r="AK65" s="1211"/>
      <c r="AL65" s="1211"/>
      <c r="AM65" s="1211"/>
      <c r="AN65" s="1133"/>
      <c r="AO65" s="1133"/>
      <c r="AP65" s="1133"/>
      <c r="AQ65" s="1133"/>
      <c r="AR65" s="59"/>
      <c r="AU65" s="1102"/>
      <c r="AV65" s="1102"/>
      <c r="AW65" s="1098"/>
      <c r="AX65" s="1098"/>
      <c r="AY65" s="1098"/>
      <c r="AZ65" s="1098"/>
      <c r="BA65" s="1098"/>
      <c r="BB65" s="1098"/>
      <c r="BC65" s="1184"/>
      <c r="BD65" s="1098"/>
    </row>
    <row r="66" spans="2:56" ht="15.95" hidden="1" customHeight="1">
      <c r="B66" s="829">
        <v>26</v>
      </c>
      <c r="C66" s="1204"/>
      <c r="D66" s="1204"/>
      <c r="E66" s="1204"/>
      <c r="F66" s="1087"/>
      <c r="G66" s="1087"/>
      <c r="H66" s="1087"/>
      <c r="I66" s="1087"/>
      <c r="J66" s="1087"/>
      <c r="K66" s="1087"/>
      <c r="L66" s="866"/>
      <c r="M66" s="867"/>
      <c r="N66" s="867"/>
      <c r="O66" s="868"/>
      <c r="P66" s="846"/>
      <c r="Q66" s="847"/>
      <c r="R66" s="1108"/>
      <c r="S66" s="1109"/>
      <c r="T66" s="1218"/>
      <c r="U66" s="1218"/>
      <c r="V66" s="1218"/>
      <c r="W66" s="1218"/>
      <c r="X66" s="871"/>
      <c r="Y66" s="872"/>
      <c r="Z66" s="1108"/>
      <c r="AA66" s="1109"/>
      <c r="AB66" s="1165" t="str">
        <f t="shared" ref="AB66" si="113">IF(C66="New Construction","Incremental","")</f>
        <v/>
      </c>
      <c r="AC66" s="1165"/>
      <c r="AD66" s="869"/>
      <c r="AE66" s="1091"/>
      <c r="AF66" s="1193" t="str">
        <f t="shared" ref="AF66" si="114">IF(AB66="Incremental",0,"")</f>
        <v/>
      </c>
      <c r="AG66" s="1194"/>
      <c r="AH66" s="865" t="str">
        <f t="shared" ref="AH66" si="115">IF(OR(C66="",F66="",L66="",P66="",R66="",T66="",X66="",Z66="",AD66="",AF66=""),"",ROUND(AD66+AF66,2))</f>
        <v/>
      </c>
      <c r="AI66" s="1096"/>
      <c r="AJ66" s="1096"/>
      <c r="AK66" s="1210" t="str">
        <f t="shared" ref="AK66" si="116">IF(OR(C66="",F66="",F66="",L66="",P66="",R66="",T66="",X66="",Z66="",AD66="",AF66=""),"",IF((P66*R66)-(X66*Z66)&lt;=0,0,ROUND((P66*R66)-(X66*Z66),2)))</f>
        <v/>
      </c>
      <c r="AL66" s="1210"/>
      <c r="AM66" s="1210"/>
      <c r="AN66" s="1132" t="str">
        <f t="shared" ref="AN66" si="117">IF(OR(C66="",F66="",F66="",L66="",P66="",R66="",T66="",X66="",Z66="",AD66="",AF66=""),"",IF(BD66&lt;&gt;"",BD66,IF(C66="Custom",AX66,IF(C66="New Construction",AY66,IF(C66="RCx",AZ66)))))</f>
        <v/>
      </c>
      <c r="AO66" s="1132"/>
      <c r="AP66" s="1132"/>
      <c r="AQ66" s="1132"/>
      <c r="AR66" s="59"/>
      <c r="AU66" s="1103" t="str">
        <f>IF(F66="","",INDEX(CUSTNONLIGHTGUNIT,MATCH(F66,PROGRAMGCAT[Category 1],0)))</f>
        <v/>
      </c>
      <c r="AV66" s="1103" t="str">
        <f>IF(OR(C66="",F66="",L66="",P66="",R66="",T66="",X66="",Z66="",AD66="",AF66=""),"",((1+GLOSS)*((AK66*INDEX(GASCB[NPV GAEC $/therm],MATCH(BA66,GASCB[Year Number],1))))/AH66))</f>
        <v/>
      </c>
      <c r="AW66" s="1097"/>
      <c r="AX66" s="1180" t="str">
        <f>IF(OR(C66="",F66="",L66="",P66="",R66="",T66="",X66="",Z66="",AB66="",AD66="",AF66=""),"",IF(AB66="Total",ROUND(MIN(AH66*0.75,AK66*INDEX(INCRATE[Gas],MATCH("CMNONLIGHT",INCRATE[Incentive Type]))),2),IF(AB66="Incremental",ROUND(MIN(AH66,AK66*INDEX(INCRATE[Gas],MATCH("CMNONLIGHT",INCRATE[Incentive Type]))),2))))</f>
        <v/>
      </c>
      <c r="AY66" s="1180" t="str">
        <f>IF(OR(C66="",F66="",L66="",P66="",R66="",T66="",X66="",Z66="",AB66="",AD66="",AF66=""),"",IF(AB66="Total",ROUND(MIN(AH66*0.75,AK66*INDEX(INCRATE[Gas],MATCH("NCNONLIGHT",INCRATE[Incentive Type]))),2),IF(AB66="Incremental",ROUND(MIN(AH66,AK66*INDEX(INCRATE[Gas],MATCH("NCNONLIGHT",INCRATE[Incentive Type]))),2))))</f>
        <v/>
      </c>
      <c r="AZ66" s="1180" t="str">
        <f>IF(OR(C66="",F66="",L66="",P66="",R66="",T66="",X66="",Z66="",AB66="",AD66="",AF66=""),"",IF(AB66="Total",ROUND(MIN(AH66*0.75,AK66*INDEX(INCRATE[Gas],MATCH("RCX",INCRATE[Incentive Type]))),2),IF(AB66="Incremental",ROUND(MIN(AH66,AK66*INDEX(INCRATE[Gas],MATCH("RCX",INCRATE[Incentive Type]))),2))))</f>
        <v/>
      </c>
      <c r="BA66" s="1097" t="str">
        <f>IF(F66="","",INDEX(PROGRAMGCAT[EUL],MATCH(F66,PROGRAMGCAT[Category 1],0)))</f>
        <v/>
      </c>
      <c r="BB66" s="1097" t="str">
        <f>IFERROR(AH66/M02S02F36/AK66,"")</f>
        <v/>
      </c>
      <c r="BC66" s="1190" t="str">
        <f>IF(OR(C66="",F66="",L66="",P66="",R66="",T66="",X66="",Z66="",AD66="",AF66=""),"",IF(ISNUMBER(AN66),INDEX(PROGRAMGCAT[Measure Number],MATCH(F66,PROGRAMGCAT[Category 1],0)),IF(AK66=0,"","000001")))</f>
        <v/>
      </c>
      <c r="BD66" s="1097" t="str">
        <f>IFERROR(IF((P66*R66)-(X66*Z66)&lt;=0,MEASURESAV,IF(M02S02F36="",MEASURERATE,IF(OR(F66="Others (Incremental)",F66="Others"),MEASURESUBMIT, IF(BB66&lt;1,MEASUREPAY,IF(AV66&lt;1,MEASURECB,""))))),MEASURESUBMIT)</f>
        <v>Submit for Review</v>
      </c>
    </row>
    <row r="67" spans="2:56" ht="15.95" hidden="1" customHeight="1">
      <c r="B67" s="829"/>
      <c r="C67" s="1205"/>
      <c r="D67" s="1205"/>
      <c r="E67" s="1205"/>
      <c r="F67" s="1088"/>
      <c r="G67" s="1088"/>
      <c r="H67" s="1088"/>
      <c r="I67" s="1088"/>
      <c r="J67" s="1088"/>
      <c r="K67" s="1088"/>
      <c r="L67" s="835"/>
      <c r="M67" s="836"/>
      <c r="N67" s="836"/>
      <c r="O67" s="837"/>
      <c r="P67" s="848"/>
      <c r="Q67" s="849"/>
      <c r="R67" s="1110"/>
      <c r="S67" s="1111"/>
      <c r="T67" s="1219"/>
      <c r="U67" s="1219"/>
      <c r="V67" s="1219"/>
      <c r="W67" s="1219"/>
      <c r="X67" s="848"/>
      <c r="Y67" s="849"/>
      <c r="Z67" s="1110"/>
      <c r="AA67" s="1111"/>
      <c r="AB67" s="1166"/>
      <c r="AC67" s="1166"/>
      <c r="AD67" s="870"/>
      <c r="AE67" s="1092"/>
      <c r="AF67" s="1195"/>
      <c r="AG67" s="1196"/>
      <c r="AH67" s="1130"/>
      <c r="AI67" s="1131"/>
      <c r="AJ67" s="1131"/>
      <c r="AK67" s="1211"/>
      <c r="AL67" s="1211"/>
      <c r="AM67" s="1211"/>
      <c r="AN67" s="1133"/>
      <c r="AO67" s="1133"/>
      <c r="AP67" s="1133"/>
      <c r="AQ67" s="1133"/>
      <c r="AR67" s="59"/>
      <c r="AU67" s="1102"/>
      <c r="AV67" s="1102"/>
      <c r="AW67" s="1098"/>
      <c r="AX67" s="1098"/>
      <c r="AY67" s="1098"/>
      <c r="AZ67" s="1098"/>
      <c r="BA67" s="1098"/>
      <c r="BB67" s="1098"/>
      <c r="BC67" s="1184"/>
      <c r="BD67" s="1098"/>
    </row>
    <row r="68" spans="2:56" ht="15.95" hidden="1" customHeight="1">
      <c r="B68" s="829">
        <v>27</v>
      </c>
      <c r="C68" s="1204"/>
      <c r="D68" s="1204"/>
      <c r="E68" s="1204"/>
      <c r="F68" s="1087"/>
      <c r="G68" s="1087"/>
      <c r="H68" s="1087"/>
      <c r="I68" s="1087"/>
      <c r="J68" s="1087"/>
      <c r="K68" s="1087"/>
      <c r="L68" s="866"/>
      <c r="M68" s="867"/>
      <c r="N68" s="867"/>
      <c r="O68" s="868"/>
      <c r="P68" s="846"/>
      <c r="Q68" s="847"/>
      <c r="R68" s="1108"/>
      <c r="S68" s="1109"/>
      <c r="T68" s="1218"/>
      <c r="U68" s="1218"/>
      <c r="V68" s="1218"/>
      <c r="W68" s="1218"/>
      <c r="X68" s="871"/>
      <c r="Y68" s="872"/>
      <c r="Z68" s="1108"/>
      <c r="AA68" s="1109"/>
      <c r="AB68" s="1165" t="str">
        <f t="shared" ref="AB68" si="118">IF(C68="New Construction","Incremental","")</f>
        <v/>
      </c>
      <c r="AC68" s="1165"/>
      <c r="AD68" s="869"/>
      <c r="AE68" s="1091"/>
      <c r="AF68" s="1193" t="str">
        <f t="shared" ref="AF68" si="119">IF(AB68="Incremental",0,"")</f>
        <v/>
      </c>
      <c r="AG68" s="1194"/>
      <c r="AH68" s="865" t="str">
        <f t="shared" ref="AH68" si="120">IF(OR(C68="",F68="",L68="",P68="",R68="",T68="",X68="",Z68="",AD68="",AF68=""),"",ROUND(AD68+AF68,2))</f>
        <v/>
      </c>
      <c r="AI68" s="1096"/>
      <c r="AJ68" s="1096"/>
      <c r="AK68" s="1210" t="str">
        <f t="shared" ref="AK68" si="121">IF(OR(C68="",F68="",F68="",L68="",P68="",R68="",T68="",X68="",Z68="",AD68="",AF68=""),"",IF((P68*R68)-(X68*Z68)&lt;=0,0,ROUND((P68*R68)-(X68*Z68),2)))</f>
        <v/>
      </c>
      <c r="AL68" s="1210"/>
      <c r="AM68" s="1210"/>
      <c r="AN68" s="1132" t="str">
        <f t="shared" ref="AN68" si="122">IF(OR(C68="",F68="",F68="",L68="",P68="",R68="",T68="",X68="",Z68="",AD68="",AF68=""),"",IF(BD68&lt;&gt;"",BD68,IF(C68="Custom",AX68,IF(C68="New Construction",AY68,IF(C68="RCx",AZ68)))))</f>
        <v/>
      </c>
      <c r="AO68" s="1132"/>
      <c r="AP68" s="1132"/>
      <c r="AQ68" s="1132"/>
      <c r="AR68" s="59"/>
      <c r="AU68" s="1103" t="str">
        <f>IF(F68="","",INDEX(CUSTNONLIGHTGUNIT,MATCH(F68,PROGRAMGCAT[Category 1],0)))</f>
        <v/>
      </c>
      <c r="AV68" s="1103" t="str">
        <f>IF(OR(C68="",F68="",L68="",P68="",R68="",T68="",X68="",Z68="",AD68="",AF68=""),"",((1+GLOSS)*((AK68*INDEX(GASCB[NPV GAEC $/therm],MATCH(BA68,GASCB[Year Number],1))))/AH68))</f>
        <v/>
      </c>
      <c r="AW68" s="1097"/>
      <c r="AX68" s="1180" t="str">
        <f>IF(OR(C68="",F68="",L68="",P68="",R68="",T68="",X68="",Z68="",AB68="",AD68="",AF68=""),"",IF(AB68="Total",ROUND(MIN(AH68*0.75,AK68*INDEX(INCRATE[Gas],MATCH("CMNONLIGHT",INCRATE[Incentive Type]))),2),IF(AB68="Incremental",ROUND(MIN(AH68,AK68*INDEX(INCRATE[Gas],MATCH("CMNONLIGHT",INCRATE[Incentive Type]))),2))))</f>
        <v/>
      </c>
      <c r="AY68" s="1180" t="str">
        <f>IF(OR(C68="",F68="",L68="",P68="",R68="",T68="",X68="",Z68="",AB68="",AD68="",AF68=""),"",IF(AB68="Total",ROUND(MIN(AH68*0.75,AK68*INDEX(INCRATE[Gas],MATCH("NCNONLIGHT",INCRATE[Incentive Type]))),2),IF(AB68="Incremental",ROUND(MIN(AH68,AK68*INDEX(INCRATE[Gas],MATCH("NCNONLIGHT",INCRATE[Incentive Type]))),2))))</f>
        <v/>
      </c>
      <c r="AZ68" s="1180" t="str">
        <f>IF(OR(C68="",F68="",L68="",P68="",R68="",T68="",X68="",Z68="",AB68="",AD68="",AF68=""),"",IF(AB68="Total",ROUND(MIN(AH68*0.75,AK68*INDEX(INCRATE[Gas],MATCH("RCX",INCRATE[Incentive Type]))),2),IF(AB68="Incremental",ROUND(MIN(AH68,AK68*INDEX(INCRATE[Gas],MATCH("RCX",INCRATE[Incentive Type]))),2))))</f>
        <v/>
      </c>
      <c r="BA68" s="1097" t="str">
        <f>IF(F68="","",INDEX(PROGRAMGCAT[EUL],MATCH(F68,PROGRAMGCAT[Category 1],0)))</f>
        <v/>
      </c>
      <c r="BB68" s="1097" t="str">
        <f>IFERROR(AH68/M02S02F36/AK68,"")</f>
        <v/>
      </c>
      <c r="BC68" s="1190" t="str">
        <f>IF(OR(C68="",F68="",L68="",P68="",R68="",T68="",X68="",Z68="",AD68="",AF68=""),"",IF(ISNUMBER(AN68),INDEX(PROGRAMGCAT[Measure Number],MATCH(F68,PROGRAMGCAT[Category 1],0)),IF(AK68=0,"","000001")))</f>
        <v/>
      </c>
      <c r="BD68" s="1097" t="str">
        <f>IFERROR(IF((P68*R68)-(X68*Z68)&lt;=0,MEASURESAV,IF(M02S02F36="",MEASURERATE,IF(OR(F68="Others (Incremental)",F68="Others"),MEASURESUBMIT, IF(BB68&lt;1,MEASUREPAY,IF(AV68&lt;1,MEASURECB,""))))),MEASURESUBMIT)</f>
        <v>Submit for Review</v>
      </c>
    </row>
    <row r="69" spans="2:56" ht="15.95" hidden="1" customHeight="1">
      <c r="B69" s="829"/>
      <c r="C69" s="1205"/>
      <c r="D69" s="1205"/>
      <c r="E69" s="1205"/>
      <c r="F69" s="1088"/>
      <c r="G69" s="1088"/>
      <c r="H69" s="1088"/>
      <c r="I69" s="1088"/>
      <c r="J69" s="1088"/>
      <c r="K69" s="1088"/>
      <c r="L69" s="835"/>
      <c r="M69" s="836"/>
      <c r="N69" s="836"/>
      <c r="O69" s="837"/>
      <c r="P69" s="848"/>
      <c r="Q69" s="849"/>
      <c r="R69" s="1110"/>
      <c r="S69" s="1111"/>
      <c r="T69" s="1219"/>
      <c r="U69" s="1219"/>
      <c r="V69" s="1219"/>
      <c r="W69" s="1219"/>
      <c r="X69" s="848"/>
      <c r="Y69" s="849"/>
      <c r="Z69" s="1110"/>
      <c r="AA69" s="1111"/>
      <c r="AB69" s="1166"/>
      <c r="AC69" s="1166"/>
      <c r="AD69" s="870"/>
      <c r="AE69" s="1092"/>
      <c r="AF69" s="1195"/>
      <c r="AG69" s="1196"/>
      <c r="AH69" s="1130"/>
      <c r="AI69" s="1131"/>
      <c r="AJ69" s="1131"/>
      <c r="AK69" s="1211"/>
      <c r="AL69" s="1211"/>
      <c r="AM69" s="1211"/>
      <c r="AN69" s="1133"/>
      <c r="AO69" s="1133"/>
      <c r="AP69" s="1133"/>
      <c r="AQ69" s="1133"/>
      <c r="AR69" s="59"/>
      <c r="AU69" s="1102"/>
      <c r="AV69" s="1102"/>
      <c r="AW69" s="1098"/>
      <c r="AX69" s="1098"/>
      <c r="AY69" s="1098"/>
      <c r="AZ69" s="1098"/>
      <c r="BA69" s="1098"/>
      <c r="BB69" s="1098"/>
      <c r="BC69" s="1184"/>
      <c r="BD69" s="1098"/>
    </row>
    <row r="70" spans="2:56" ht="15.95" hidden="1" customHeight="1">
      <c r="B70" s="829">
        <v>28</v>
      </c>
      <c r="C70" s="1204"/>
      <c r="D70" s="1204"/>
      <c r="E70" s="1204"/>
      <c r="F70" s="1087"/>
      <c r="G70" s="1087"/>
      <c r="H70" s="1087"/>
      <c r="I70" s="1087"/>
      <c r="J70" s="1087"/>
      <c r="K70" s="1087"/>
      <c r="L70" s="866"/>
      <c r="M70" s="867"/>
      <c r="N70" s="867"/>
      <c r="O70" s="868"/>
      <c r="P70" s="846"/>
      <c r="Q70" s="847"/>
      <c r="R70" s="1108"/>
      <c r="S70" s="1109"/>
      <c r="T70" s="1218"/>
      <c r="U70" s="1218"/>
      <c r="V70" s="1218"/>
      <c r="W70" s="1218"/>
      <c r="X70" s="871"/>
      <c r="Y70" s="872"/>
      <c r="Z70" s="1108"/>
      <c r="AA70" s="1109"/>
      <c r="AB70" s="1165" t="str">
        <f t="shared" ref="AB70" si="123">IF(C70="New Construction","Incremental","")</f>
        <v/>
      </c>
      <c r="AC70" s="1165"/>
      <c r="AD70" s="869"/>
      <c r="AE70" s="1091"/>
      <c r="AF70" s="1193" t="str">
        <f t="shared" ref="AF70" si="124">IF(AB70="Incremental",0,"")</f>
        <v/>
      </c>
      <c r="AG70" s="1194"/>
      <c r="AH70" s="865" t="str">
        <f t="shared" ref="AH70" si="125">IF(OR(C70="",F70="",L70="",P70="",R70="",T70="",X70="",Z70="",AD70="",AF70=""),"",ROUND(AD70+AF70,2))</f>
        <v/>
      </c>
      <c r="AI70" s="1096"/>
      <c r="AJ70" s="1096"/>
      <c r="AK70" s="1210" t="str">
        <f t="shared" ref="AK70" si="126">IF(OR(C70="",F70="",F70="",L70="",P70="",R70="",T70="",X70="",Z70="",AD70="",AF70=""),"",IF((P70*R70)-(X70*Z70)&lt;=0,0,ROUND((P70*R70)-(X70*Z70),2)))</f>
        <v/>
      </c>
      <c r="AL70" s="1210"/>
      <c r="AM70" s="1210"/>
      <c r="AN70" s="1132" t="str">
        <f t="shared" ref="AN70" si="127">IF(OR(C70="",F70="",F70="",L70="",P70="",R70="",T70="",X70="",Z70="",AD70="",AF70=""),"",IF(BD70&lt;&gt;"",BD70,IF(C70="Custom",AX70,IF(C70="New Construction",AY70,IF(C70="RCx",AZ70)))))</f>
        <v/>
      </c>
      <c r="AO70" s="1132"/>
      <c r="AP70" s="1132"/>
      <c r="AQ70" s="1132"/>
      <c r="AR70" s="59"/>
      <c r="AU70" s="1103" t="str">
        <f>IF(F70="","",INDEX(CUSTNONLIGHTGUNIT,MATCH(F70,PROGRAMGCAT[Category 1],0)))</f>
        <v/>
      </c>
      <c r="AV70" s="1103" t="str">
        <f>IF(OR(C70="",F70="",L70="",P70="",R70="",T70="",X70="",Z70="",AD70="",AF70=""),"",((1+GLOSS)*((AK70*INDEX(GASCB[NPV GAEC $/therm],MATCH(BA70,GASCB[Year Number],1))))/AH70))</f>
        <v/>
      </c>
      <c r="AW70" s="1097"/>
      <c r="AX70" s="1180" t="str">
        <f>IF(OR(C70="",F70="",L70="",P70="",R70="",T70="",X70="",Z70="",AB70="",AD70="",AF70=""),"",IF(AB70="Total",ROUND(MIN(AH70*0.75,AK70*INDEX(INCRATE[Gas],MATCH("CMNONLIGHT",INCRATE[Incentive Type]))),2),IF(AB70="Incremental",ROUND(MIN(AH70,AK70*INDEX(INCRATE[Gas],MATCH("CMNONLIGHT",INCRATE[Incentive Type]))),2))))</f>
        <v/>
      </c>
      <c r="AY70" s="1180" t="str">
        <f>IF(OR(C70="",F70="",L70="",P70="",R70="",T70="",X70="",Z70="",AB70="",AD70="",AF70=""),"",IF(AB70="Total",ROUND(MIN(AH70*0.75,AK70*INDEX(INCRATE[Gas],MATCH("NCNONLIGHT",INCRATE[Incentive Type]))),2),IF(AB70="Incremental",ROUND(MIN(AH70,AK70*INDEX(INCRATE[Gas],MATCH("NCNONLIGHT",INCRATE[Incentive Type]))),2))))</f>
        <v/>
      </c>
      <c r="AZ70" s="1180" t="str">
        <f>IF(OR(C70="",F70="",L70="",P70="",R70="",T70="",X70="",Z70="",AB70="",AD70="",AF70=""),"",IF(AB70="Total",ROUND(MIN(AH70*0.75,AK70*INDEX(INCRATE[Gas],MATCH("RCX",INCRATE[Incentive Type]))),2),IF(AB70="Incremental",ROUND(MIN(AH70,AK70*INDEX(INCRATE[Gas],MATCH("RCX",INCRATE[Incentive Type]))),2))))</f>
        <v/>
      </c>
      <c r="BA70" s="1097" t="str">
        <f>IF(F70="","",INDEX(PROGRAMGCAT[EUL],MATCH(F70,PROGRAMGCAT[Category 1],0)))</f>
        <v/>
      </c>
      <c r="BB70" s="1097" t="str">
        <f>IFERROR(AH70/M02S02F36/AK70,"")</f>
        <v/>
      </c>
      <c r="BC70" s="1190" t="str">
        <f>IF(OR(C70="",F70="",L70="",P70="",R70="",T70="",X70="",Z70="",AD70="",AF70=""),"",IF(ISNUMBER(AN70),INDEX(PROGRAMGCAT[Measure Number],MATCH(F70,PROGRAMGCAT[Category 1],0)),IF(AK70=0,"","000001")))</f>
        <v/>
      </c>
      <c r="BD70" s="1097" t="str">
        <f>IFERROR(IF((P70*R70)-(X70*Z70)&lt;=0,MEASURESAV,IF(M02S02F36="",MEASURERATE,IF(OR(F70="Others (Incremental)",F70="Others"),MEASURESUBMIT, IF(BB70&lt;1,MEASUREPAY,IF(AV70&lt;1,MEASURECB,""))))),MEASURESUBMIT)</f>
        <v>Submit for Review</v>
      </c>
    </row>
    <row r="71" spans="2:56" ht="15.95" hidden="1" customHeight="1">
      <c r="B71" s="829"/>
      <c r="C71" s="1205"/>
      <c r="D71" s="1205"/>
      <c r="E71" s="1205"/>
      <c r="F71" s="1088"/>
      <c r="G71" s="1088"/>
      <c r="H71" s="1088"/>
      <c r="I71" s="1088"/>
      <c r="J71" s="1088"/>
      <c r="K71" s="1088"/>
      <c r="L71" s="835"/>
      <c r="M71" s="836"/>
      <c r="N71" s="836"/>
      <c r="O71" s="837"/>
      <c r="P71" s="848"/>
      <c r="Q71" s="849"/>
      <c r="R71" s="1110"/>
      <c r="S71" s="1111"/>
      <c r="T71" s="1219"/>
      <c r="U71" s="1219"/>
      <c r="V71" s="1219"/>
      <c r="W71" s="1219"/>
      <c r="X71" s="848"/>
      <c r="Y71" s="849"/>
      <c r="Z71" s="1110"/>
      <c r="AA71" s="1111"/>
      <c r="AB71" s="1166"/>
      <c r="AC71" s="1166"/>
      <c r="AD71" s="870"/>
      <c r="AE71" s="1092"/>
      <c r="AF71" s="1195"/>
      <c r="AG71" s="1196"/>
      <c r="AH71" s="1130"/>
      <c r="AI71" s="1131"/>
      <c r="AJ71" s="1131"/>
      <c r="AK71" s="1211"/>
      <c r="AL71" s="1211"/>
      <c r="AM71" s="1211"/>
      <c r="AN71" s="1133"/>
      <c r="AO71" s="1133"/>
      <c r="AP71" s="1133"/>
      <c r="AQ71" s="1133"/>
      <c r="AR71" s="59"/>
      <c r="AU71" s="1102"/>
      <c r="AV71" s="1102"/>
      <c r="AW71" s="1098"/>
      <c r="AX71" s="1098"/>
      <c r="AY71" s="1098"/>
      <c r="AZ71" s="1098"/>
      <c r="BA71" s="1098"/>
      <c r="BB71" s="1098"/>
      <c r="BC71" s="1184"/>
      <c r="BD71" s="1098"/>
    </row>
    <row r="72" spans="2:56" ht="15.95" hidden="1" customHeight="1">
      <c r="B72" s="829">
        <v>29</v>
      </c>
      <c r="C72" s="1204"/>
      <c r="D72" s="1204"/>
      <c r="E72" s="1204"/>
      <c r="F72" s="1087"/>
      <c r="G72" s="1087"/>
      <c r="H72" s="1087"/>
      <c r="I72" s="1087"/>
      <c r="J72" s="1087"/>
      <c r="K72" s="1087"/>
      <c r="L72" s="866"/>
      <c r="M72" s="867"/>
      <c r="N72" s="867"/>
      <c r="O72" s="868"/>
      <c r="P72" s="846"/>
      <c r="Q72" s="847"/>
      <c r="R72" s="1108"/>
      <c r="S72" s="1109"/>
      <c r="T72" s="1218"/>
      <c r="U72" s="1218"/>
      <c r="V72" s="1218"/>
      <c r="W72" s="1218"/>
      <c r="X72" s="871"/>
      <c r="Y72" s="872"/>
      <c r="Z72" s="1108"/>
      <c r="AA72" s="1109"/>
      <c r="AB72" s="1165" t="str">
        <f t="shared" ref="AB72" si="128">IF(C72="New Construction","Incremental","")</f>
        <v/>
      </c>
      <c r="AC72" s="1165"/>
      <c r="AD72" s="869"/>
      <c r="AE72" s="1091"/>
      <c r="AF72" s="1193" t="str">
        <f t="shared" ref="AF72" si="129">IF(AB72="Incremental",0,"")</f>
        <v/>
      </c>
      <c r="AG72" s="1194"/>
      <c r="AH72" s="865" t="str">
        <f t="shared" ref="AH72" si="130">IF(OR(C72="",F72="",L72="",P72="",R72="",T72="",X72="",Z72="",AD72="",AF72=""),"",ROUND(AD72+AF72,2))</f>
        <v/>
      </c>
      <c r="AI72" s="1096"/>
      <c r="AJ72" s="1096"/>
      <c r="AK72" s="1210" t="str">
        <f t="shared" ref="AK72" si="131">IF(OR(C72="",F72="",F72="",L72="",P72="",R72="",T72="",X72="",Z72="",AD72="",AF72=""),"",IF((P72*R72)-(X72*Z72)&lt;=0,0,ROUND((P72*R72)-(X72*Z72),2)))</f>
        <v/>
      </c>
      <c r="AL72" s="1210"/>
      <c r="AM72" s="1210"/>
      <c r="AN72" s="1132" t="str">
        <f t="shared" ref="AN72" si="132">IF(OR(C72="",F72="",F72="",L72="",P72="",R72="",T72="",X72="",Z72="",AD72="",AF72=""),"",IF(BD72&lt;&gt;"",BD72,IF(C72="Custom",AX72,IF(C72="New Construction",AY72,IF(C72="RCx",AZ72)))))</f>
        <v/>
      </c>
      <c r="AO72" s="1132"/>
      <c r="AP72" s="1132"/>
      <c r="AQ72" s="1132"/>
      <c r="AR72" s="59"/>
      <c r="AU72" s="1103" t="str">
        <f>IF(F72="","",INDEX(CUSTNONLIGHTGUNIT,MATCH(F72,PROGRAMGCAT[Category 1],0)))</f>
        <v/>
      </c>
      <c r="AV72" s="1103" t="str">
        <f>IF(OR(C72="",F72="",L72="",P72="",R72="",T72="",X72="",Z72="",AD72="",AF72=""),"",((1+GLOSS)*((AK72*INDEX(GASCB[NPV GAEC $/therm],MATCH(BA72,GASCB[Year Number],1))))/AH72))</f>
        <v/>
      </c>
      <c r="AW72" s="1097"/>
      <c r="AX72" s="1180" t="str">
        <f>IF(OR(C72="",F72="",L72="",P72="",R72="",T72="",X72="",Z72="",AB72="",AD72="",AF72=""),"",IF(AB72="Total",ROUND(MIN(AH72*0.75,AK72*INDEX(INCRATE[Gas],MATCH("CMNONLIGHT",INCRATE[Incentive Type]))),2),IF(AB72="Incremental",ROUND(MIN(AH72,AK72*INDEX(INCRATE[Gas],MATCH("CMNONLIGHT",INCRATE[Incentive Type]))),2))))</f>
        <v/>
      </c>
      <c r="AY72" s="1180" t="str">
        <f>IF(OR(C72="",F72="",L72="",P72="",R72="",T72="",X72="",Z72="",AB72="",AD72="",AF72=""),"",IF(AB72="Total",ROUND(MIN(AH72*0.75,AK72*INDEX(INCRATE[Gas],MATCH("NCNONLIGHT",INCRATE[Incentive Type]))),2),IF(AB72="Incremental",ROUND(MIN(AH72,AK72*INDEX(INCRATE[Gas],MATCH("NCNONLIGHT",INCRATE[Incentive Type]))),2))))</f>
        <v/>
      </c>
      <c r="AZ72" s="1180" t="str">
        <f>IF(OR(C72="",F72="",L72="",P72="",R72="",T72="",X72="",Z72="",AB72="",AD72="",AF72=""),"",IF(AB72="Total",ROUND(MIN(AH72*0.75,AK72*INDEX(INCRATE[Gas],MATCH("RCX",INCRATE[Incentive Type]))),2),IF(AB72="Incremental",ROUND(MIN(AH72,AK72*INDEX(INCRATE[Gas],MATCH("RCX",INCRATE[Incentive Type]))),2))))</f>
        <v/>
      </c>
      <c r="BA72" s="1097" t="str">
        <f>IF(F72="","",INDEX(PROGRAMGCAT[EUL],MATCH(F72,PROGRAMGCAT[Category 1],0)))</f>
        <v/>
      </c>
      <c r="BB72" s="1097" t="str">
        <f>IFERROR(AH72/M02S02F36/AK72,"")</f>
        <v/>
      </c>
      <c r="BC72" s="1190" t="str">
        <f>IF(OR(C72="",F72="",L72="",P72="",R72="",T72="",X72="",Z72="",AD72="",AF72=""),"",IF(ISNUMBER(AN72),INDEX(PROGRAMGCAT[Measure Number],MATCH(F72,PROGRAMGCAT[Category 1],0)),IF(AK72=0,"","000001")))</f>
        <v/>
      </c>
      <c r="BD72" s="1097" t="str">
        <f>IFERROR(IF((P72*R72)-(X72*Z72)&lt;=0,MEASURESAV,IF(M02S02F36="",MEASURERATE,IF(OR(F72="Others (Incremental)",F72="Others"),MEASURESUBMIT, IF(BB72&lt;1,MEASUREPAY,IF(AV72&lt;1,MEASURECB,""))))),MEASURESUBMIT)</f>
        <v>Submit for Review</v>
      </c>
    </row>
    <row r="73" spans="2:56" ht="15.95" hidden="1" customHeight="1">
      <c r="B73" s="829"/>
      <c r="C73" s="1205"/>
      <c r="D73" s="1205"/>
      <c r="E73" s="1205"/>
      <c r="F73" s="1088"/>
      <c r="G73" s="1088"/>
      <c r="H73" s="1088"/>
      <c r="I73" s="1088"/>
      <c r="J73" s="1088"/>
      <c r="K73" s="1088"/>
      <c r="L73" s="835"/>
      <c r="M73" s="836"/>
      <c r="N73" s="836"/>
      <c r="O73" s="837"/>
      <c r="P73" s="848"/>
      <c r="Q73" s="849"/>
      <c r="R73" s="1110"/>
      <c r="S73" s="1111"/>
      <c r="T73" s="1219"/>
      <c r="U73" s="1219"/>
      <c r="V73" s="1219"/>
      <c r="W73" s="1219"/>
      <c r="X73" s="848"/>
      <c r="Y73" s="849"/>
      <c r="Z73" s="1110"/>
      <c r="AA73" s="1111"/>
      <c r="AB73" s="1166"/>
      <c r="AC73" s="1166"/>
      <c r="AD73" s="870"/>
      <c r="AE73" s="1092"/>
      <c r="AF73" s="1195"/>
      <c r="AG73" s="1196"/>
      <c r="AH73" s="1130"/>
      <c r="AI73" s="1131"/>
      <c r="AJ73" s="1131"/>
      <c r="AK73" s="1211"/>
      <c r="AL73" s="1211"/>
      <c r="AM73" s="1211"/>
      <c r="AN73" s="1133"/>
      <c r="AO73" s="1133"/>
      <c r="AP73" s="1133"/>
      <c r="AQ73" s="1133"/>
      <c r="AR73" s="59"/>
      <c r="AU73" s="1102"/>
      <c r="AV73" s="1102"/>
      <c r="AW73" s="1098"/>
      <c r="AX73" s="1098"/>
      <c r="AY73" s="1098"/>
      <c r="AZ73" s="1098"/>
      <c r="BA73" s="1098"/>
      <c r="BB73" s="1098"/>
      <c r="BC73" s="1184"/>
      <c r="BD73" s="1098"/>
    </row>
    <row r="74" spans="2:56" ht="15.95" hidden="1" customHeight="1">
      <c r="B74" s="829">
        <v>30</v>
      </c>
      <c r="C74" s="1204"/>
      <c r="D74" s="1204"/>
      <c r="E74" s="1204"/>
      <c r="F74" s="1087"/>
      <c r="G74" s="1087"/>
      <c r="H74" s="1087"/>
      <c r="I74" s="1087"/>
      <c r="J74" s="1087"/>
      <c r="K74" s="1087"/>
      <c r="L74" s="866"/>
      <c r="M74" s="867"/>
      <c r="N74" s="867"/>
      <c r="O74" s="868"/>
      <c r="P74" s="846"/>
      <c r="Q74" s="847"/>
      <c r="R74" s="1108"/>
      <c r="S74" s="1109"/>
      <c r="T74" s="1218"/>
      <c r="U74" s="1218"/>
      <c r="V74" s="1218"/>
      <c r="W74" s="1218"/>
      <c r="X74" s="871"/>
      <c r="Y74" s="872"/>
      <c r="Z74" s="1108"/>
      <c r="AA74" s="1109"/>
      <c r="AB74" s="1165" t="str">
        <f t="shared" ref="AB74" si="133">IF(C74="New Construction","Incremental","")</f>
        <v/>
      </c>
      <c r="AC74" s="1165"/>
      <c r="AD74" s="869"/>
      <c r="AE74" s="1091"/>
      <c r="AF74" s="1193" t="str">
        <f t="shared" ref="AF74" si="134">IF(AB74="Incremental",0,"")</f>
        <v/>
      </c>
      <c r="AG74" s="1194"/>
      <c r="AH74" s="865" t="str">
        <f t="shared" ref="AH74" si="135">IF(OR(C74="",F74="",L74="",P74="",R74="",T74="",X74="",Z74="",AD74="",AF74=""),"",ROUND(AD74+AF74,2))</f>
        <v/>
      </c>
      <c r="AI74" s="1096"/>
      <c r="AJ74" s="1096"/>
      <c r="AK74" s="1210" t="str">
        <f t="shared" ref="AK74" si="136">IF(OR(C74="",F74="",F74="",L74="",P74="",R74="",T74="",X74="",Z74="",AD74="",AF74=""),"",IF((P74*R74)-(X74*Z74)&lt;=0,0,ROUND((P74*R74)-(X74*Z74),2)))</f>
        <v/>
      </c>
      <c r="AL74" s="1210"/>
      <c r="AM74" s="1210"/>
      <c r="AN74" s="1132" t="str">
        <f t="shared" ref="AN74" si="137">IF(OR(C74="",F74="",F74="",L74="",P74="",R74="",T74="",X74="",Z74="",AD74="",AF74=""),"",IF(BD74&lt;&gt;"",BD74,IF(C74="Custom",AX74,IF(C74="New Construction",AY74,IF(C74="RCx",AZ74)))))</f>
        <v/>
      </c>
      <c r="AO74" s="1132"/>
      <c r="AP74" s="1132"/>
      <c r="AQ74" s="1132"/>
      <c r="AR74" s="59"/>
      <c r="AU74" s="1103" t="str">
        <f>IF(F74="","",INDEX(CUSTNONLIGHTGUNIT,MATCH(F74,PROGRAMGCAT[Category 1],0)))</f>
        <v/>
      </c>
      <c r="AV74" s="1103" t="str">
        <f>IF(OR(C74="",F74="",L74="",P74="",R74="",T74="",X74="",Z74="",AD74="",AF74=""),"",((1+GLOSS)*((AK74*INDEX(GASCB[NPV GAEC $/therm],MATCH(BA74,GASCB[Year Number],1))))/AH74))</f>
        <v/>
      </c>
      <c r="AW74" s="1097"/>
      <c r="AX74" s="1180" t="str">
        <f>IF(OR(C74="",F74="",L74="",P74="",R74="",T74="",X74="",Z74="",AB74="",AD74="",AF74=""),"",IF(AB74="Total",ROUND(MIN(AH74*0.75,AK74*INDEX(INCRATE[Gas],MATCH("CMNONLIGHT",INCRATE[Incentive Type]))),2),IF(AB74="Incremental",ROUND(MIN(AH74,AK74*INDEX(INCRATE[Gas],MATCH("CMNONLIGHT",INCRATE[Incentive Type]))),2))))</f>
        <v/>
      </c>
      <c r="AY74" s="1180" t="str">
        <f>IF(OR(C74="",F74="",L74="",P74="",R74="",T74="",X74="",Z74="",AB74="",AD74="",AF74=""),"",IF(AB74="Total",ROUND(MIN(AH74*0.75,AK74*INDEX(INCRATE[Gas],MATCH("NCNONLIGHT",INCRATE[Incentive Type]))),2),IF(AB74="Incremental",ROUND(MIN(AH74,AK74*INDEX(INCRATE[Gas],MATCH("NCNONLIGHT",INCRATE[Incentive Type]))),2))))</f>
        <v/>
      </c>
      <c r="AZ74" s="1180" t="str">
        <f>IF(OR(C74="",F74="",L74="",P74="",R74="",T74="",X74="",Z74="",AB74="",AD74="",AF74=""),"",IF(AB74="Total",ROUND(MIN(AH74*0.75,AK74*INDEX(INCRATE[Gas],MATCH("RCX",INCRATE[Incentive Type]))),2),IF(AB74="Incremental",ROUND(MIN(AH74,AK74*INDEX(INCRATE[Gas],MATCH("RCX",INCRATE[Incentive Type]))),2))))</f>
        <v/>
      </c>
      <c r="BA74" s="1097" t="str">
        <f>IF(F74="","",INDEX(PROGRAMGCAT[EUL],MATCH(F74,PROGRAMGCAT[Category 1],0)))</f>
        <v/>
      </c>
      <c r="BB74" s="1097" t="str">
        <f>IFERROR(AH74/M02S02F36/AK74,"")</f>
        <v/>
      </c>
      <c r="BC74" s="1190" t="str">
        <f>IF(OR(C74="",F74="",L74="",P74="",R74="",T74="",X74="",Z74="",AD74="",AF74=""),"",IF(ISNUMBER(AN74),INDEX(PROGRAMGCAT[Measure Number],MATCH(F74,PROGRAMGCAT[Category 1],0)),IF(AK74=0,"","000001")))</f>
        <v/>
      </c>
      <c r="BD74" s="1097" t="str">
        <f>IFERROR(IF((P74*R74)-(X74*Z74)&lt;=0,MEASURESAV,IF(M02S02F36="",MEASURERATE,IF(OR(F74="Others (Incremental)",F74="Others"),MEASURESUBMIT, IF(BB74&lt;1,MEASUREPAY,IF(AV74&lt;1,MEASURECB,""))))),MEASURESUBMIT)</f>
        <v>Submit for Review</v>
      </c>
    </row>
    <row r="75" spans="2:56" ht="15.95" hidden="1" customHeight="1">
      <c r="B75" s="829"/>
      <c r="C75" s="1205"/>
      <c r="D75" s="1205"/>
      <c r="E75" s="1205"/>
      <c r="F75" s="1088"/>
      <c r="G75" s="1088"/>
      <c r="H75" s="1088"/>
      <c r="I75" s="1088"/>
      <c r="J75" s="1088"/>
      <c r="K75" s="1088"/>
      <c r="L75" s="835"/>
      <c r="M75" s="836"/>
      <c r="N75" s="836"/>
      <c r="O75" s="837"/>
      <c r="P75" s="848"/>
      <c r="Q75" s="849"/>
      <c r="R75" s="1110"/>
      <c r="S75" s="1111"/>
      <c r="T75" s="1219"/>
      <c r="U75" s="1219"/>
      <c r="V75" s="1219"/>
      <c r="W75" s="1219"/>
      <c r="X75" s="848"/>
      <c r="Y75" s="849"/>
      <c r="Z75" s="1110"/>
      <c r="AA75" s="1111"/>
      <c r="AB75" s="1166"/>
      <c r="AC75" s="1166"/>
      <c r="AD75" s="870"/>
      <c r="AE75" s="1092"/>
      <c r="AF75" s="1195"/>
      <c r="AG75" s="1196"/>
      <c r="AH75" s="1130"/>
      <c r="AI75" s="1131"/>
      <c r="AJ75" s="1131"/>
      <c r="AK75" s="1211"/>
      <c r="AL75" s="1211"/>
      <c r="AM75" s="1211"/>
      <c r="AN75" s="1133"/>
      <c r="AO75" s="1133"/>
      <c r="AP75" s="1133"/>
      <c r="AQ75" s="1133"/>
      <c r="AR75" s="59"/>
      <c r="AU75" s="1102"/>
      <c r="AV75" s="1102"/>
      <c r="AW75" s="1098"/>
      <c r="AX75" s="1098"/>
      <c r="AY75" s="1098"/>
      <c r="AZ75" s="1098"/>
      <c r="BA75" s="1098"/>
      <c r="BB75" s="1098"/>
      <c r="BC75" s="1184"/>
      <c r="BD75" s="1098"/>
    </row>
    <row r="76" spans="2:56" ht="15.95" hidden="1" customHeight="1">
      <c r="B76" s="829">
        <v>31</v>
      </c>
      <c r="C76" s="1204"/>
      <c r="D76" s="1204"/>
      <c r="E76" s="1204"/>
      <c r="F76" s="1087"/>
      <c r="G76" s="1087"/>
      <c r="H76" s="1087"/>
      <c r="I76" s="1087"/>
      <c r="J76" s="1087"/>
      <c r="K76" s="1087"/>
      <c r="L76" s="866"/>
      <c r="M76" s="867"/>
      <c r="N76" s="867"/>
      <c r="O76" s="868"/>
      <c r="P76" s="846"/>
      <c r="Q76" s="847"/>
      <c r="R76" s="1108"/>
      <c r="S76" s="1109"/>
      <c r="T76" s="1218"/>
      <c r="U76" s="1218"/>
      <c r="V76" s="1218"/>
      <c r="W76" s="1218"/>
      <c r="X76" s="871"/>
      <c r="Y76" s="872"/>
      <c r="Z76" s="1108"/>
      <c r="AA76" s="1109"/>
      <c r="AB76" s="1165" t="str">
        <f t="shared" ref="AB76" si="138">IF(C76="New Construction","Incremental","")</f>
        <v/>
      </c>
      <c r="AC76" s="1165"/>
      <c r="AD76" s="869"/>
      <c r="AE76" s="1091"/>
      <c r="AF76" s="1193" t="str">
        <f t="shared" ref="AF76" si="139">IF(AB76="Incremental",0,"")</f>
        <v/>
      </c>
      <c r="AG76" s="1194"/>
      <c r="AH76" s="865" t="str">
        <f t="shared" ref="AH76" si="140">IF(OR(C76="",F76="",L76="",P76="",R76="",T76="",X76="",Z76="",AD76="",AF76=""),"",ROUND(AD76+AF76,2))</f>
        <v/>
      </c>
      <c r="AI76" s="1096"/>
      <c r="AJ76" s="1096"/>
      <c r="AK76" s="1210" t="str">
        <f t="shared" ref="AK76" si="141">IF(OR(C76="",F76="",F76="",L76="",P76="",R76="",T76="",X76="",Z76="",AD76="",AF76=""),"",IF((P76*R76)-(X76*Z76)&lt;=0,0,ROUND((P76*R76)-(X76*Z76),2)))</f>
        <v/>
      </c>
      <c r="AL76" s="1210"/>
      <c r="AM76" s="1210"/>
      <c r="AN76" s="1132" t="str">
        <f t="shared" ref="AN76" si="142">IF(OR(C76="",F76="",F76="",L76="",P76="",R76="",T76="",X76="",Z76="",AD76="",AF76=""),"",IF(BD76&lt;&gt;"",BD76,IF(C76="Custom",AX76,IF(C76="New Construction",AY76,IF(C76="RCx",AZ76)))))</f>
        <v/>
      </c>
      <c r="AO76" s="1132"/>
      <c r="AP76" s="1132"/>
      <c r="AQ76" s="1132"/>
      <c r="AR76" s="59"/>
      <c r="AU76" s="1103" t="str">
        <f>IF(F76="","",INDEX(CUSTNONLIGHTGUNIT,MATCH(F76,PROGRAMGCAT[Category 1],0)))</f>
        <v/>
      </c>
      <c r="AV76" s="1103" t="str">
        <f>IF(OR(C76="",F76="",L76="",P76="",R76="",T76="",X76="",Z76="",AD76="",AF76=""),"",((1+GLOSS)*((AK76*INDEX(GASCB[NPV GAEC $/therm],MATCH(BA76,GASCB[Year Number],1))))/AH76))</f>
        <v/>
      </c>
      <c r="AW76" s="1097"/>
      <c r="AX76" s="1180" t="str">
        <f>IF(OR(C76="",F76="",L76="",P76="",R76="",T76="",X76="",Z76="",AB76="",AD76="",AF76=""),"",IF(AB76="Total",ROUND(MIN(AH76*0.75,AK76*INDEX(INCRATE[Gas],MATCH("CMNONLIGHT",INCRATE[Incentive Type]))),2),IF(AB76="Incremental",ROUND(MIN(AH76,AK76*INDEX(INCRATE[Gas],MATCH("CMNONLIGHT",INCRATE[Incentive Type]))),2))))</f>
        <v/>
      </c>
      <c r="AY76" s="1180" t="str">
        <f>IF(OR(C76="",F76="",L76="",P76="",R76="",T76="",X76="",Z76="",AB76="",AD76="",AF76=""),"",IF(AB76="Total",ROUND(MIN(AH76*0.75,AK76*INDEX(INCRATE[Gas],MATCH("NCNONLIGHT",INCRATE[Incentive Type]))),2),IF(AB76="Incremental",ROUND(MIN(AH76,AK76*INDEX(INCRATE[Gas],MATCH("NCNONLIGHT",INCRATE[Incentive Type]))),2))))</f>
        <v/>
      </c>
      <c r="AZ76" s="1180" t="str">
        <f>IF(OR(C76="",F76="",L76="",P76="",R76="",T76="",X76="",Z76="",AB76="",AD76="",AF76=""),"",IF(AB76="Total",ROUND(MIN(AH76*0.75,AK76*INDEX(INCRATE[Gas],MATCH("RCX",INCRATE[Incentive Type]))),2),IF(AB76="Incremental",ROUND(MIN(AH76,AK76*INDEX(INCRATE[Gas],MATCH("RCX",INCRATE[Incentive Type]))),2))))</f>
        <v/>
      </c>
      <c r="BA76" s="1097" t="str">
        <f>IF(F76="","",INDEX(PROGRAMGCAT[EUL],MATCH(F76,PROGRAMGCAT[Category 1],0)))</f>
        <v/>
      </c>
      <c r="BB76" s="1097" t="str">
        <f>IFERROR(AH76/M02S02F36/AK76,"")</f>
        <v/>
      </c>
      <c r="BC76" s="1190" t="str">
        <f>IF(OR(C76="",F76="",L76="",P76="",R76="",T76="",X76="",Z76="",AD76="",AF76=""),"",IF(ISNUMBER(AN76),INDEX(PROGRAMGCAT[Measure Number],MATCH(F76,PROGRAMGCAT[Category 1],0)),IF(AK76=0,"","000001")))</f>
        <v/>
      </c>
      <c r="BD76" s="1097" t="str">
        <f>IFERROR(IF((P76*R76)-(X76*Z76)&lt;=0,MEASURESAV,IF(M02S02F36="",MEASURERATE,IF(OR(F76="Others (Incremental)",F76="Others"),MEASURESUBMIT, IF(BB76&lt;1,MEASUREPAY,IF(AV76&lt;1,MEASURECB,""))))),MEASURESUBMIT)</f>
        <v>Submit for Review</v>
      </c>
    </row>
    <row r="77" spans="2:56" ht="15.95" hidden="1" customHeight="1">
      <c r="B77" s="829"/>
      <c r="C77" s="1205"/>
      <c r="D77" s="1205"/>
      <c r="E77" s="1205"/>
      <c r="F77" s="1088"/>
      <c r="G77" s="1088"/>
      <c r="H77" s="1088"/>
      <c r="I77" s="1088"/>
      <c r="J77" s="1088"/>
      <c r="K77" s="1088"/>
      <c r="L77" s="835"/>
      <c r="M77" s="836"/>
      <c r="N77" s="836"/>
      <c r="O77" s="837"/>
      <c r="P77" s="848"/>
      <c r="Q77" s="849"/>
      <c r="R77" s="1110"/>
      <c r="S77" s="1111"/>
      <c r="T77" s="1219"/>
      <c r="U77" s="1219"/>
      <c r="V77" s="1219"/>
      <c r="W77" s="1219"/>
      <c r="X77" s="848"/>
      <c r="Y77" s="849"/>
      <c r="Z77" s="1110"/>
      <c r="AA77" s="1111"/>
      <c r="AB77" s="1166"/>
      <c r="AC77" s="1166"/>
      <c r="AD77" s="870"/>
      <c r="AE77" s="1092"/>
      <c r="AF77" s="1195"/>
      <c r="AG77" s="1196"/>
      <c r="AH77" s="1130"/>
      <c r="AI77" s="1131"/>
      <c r="AJ77" s="1131"/>
      <c r="AK77" s="1211"/>
      <c r="AL77" s="1211"/>
      <c r="AM77" s="1211"/>
      <c r="AN77" s="1133"/>
      <c r="AO77" s="1133"/>
      <c r="AP77" s="1133"/>
      <c r="AQ77" s="1133"/>
      <c r="AR77" s="59"/>
      <c r="AU77" s="1102"/>
      <c r="AV77" s="1102"/>
      <c r="AW77" s="1098"/>
      <c r="AX77" s="1098"/>
      <c r="AY77" s="1098"/>
      <c r="AZ77" s="1098"/>
      <c r="BA77" s="1098"/>
      <c r="BB77" s="1098"/>
      <c r="BC77" s="1184"/>
      <c r="BD77" s="1098"/>
    </row>
    <row r="78" spans="2:56" ht="15.95" hidden="1" customHeight="1">
      <c r="B78" s="829">
        <v>32</v>
      </c>
      <c r="C78" s="1204"/>
      <c r="D78" s="1204"/>
      <c r="E78" s="1204"/>
      <c r="F78" s="1087"/>
      <c r="G78" s="1087"/>
      <c r="H78" s="1087"/>
      <c r="I78" s="1087"/>
      <c r="J78" s="1087"/>
      <c r="K78" s="1087"/>
      <c r="L78" s="866"/>
      <c r="M78" s="867"/>
      <c r="N78" s="867"/>
      <c r="O78" s="868"/>
      <c r="P78" s="846"/>
      <c r="Q78" s="847"/>
      <c r="R78" s="1108"/>
      <c r="S78" s="1109"/>
      <c r="T78" s="1218"/>
      <c r="U78" s="1218"/>
      <c r="V78" s="1218"/>
      <c r="W78" s="1218"/>
      <c r="X78" s="871"/>
      <c r="Y78" s="872"/>
      <c r="Z78" s="1108"/>
      <c r="AA78" s="1109"/>
      <c r="AB78" s="1165" t="str">
        <f t="shared" ref="AB78" si="143">IF(C78="New Construction","Incremental","")</f>
        <v/>
      </c>
      <c r="AC78" s="1165"/>
      <c r="AD78" s="869"/>
      <c r="AE78" s="1091"/>
      <c r="AF78" s="1193" t="str">
        <f t="shared" ref="AF78" si="144">IF(AB78="Incremental",0,"")</f>
        <v/>
      </c>
      <c r="AG78" s="1194"/>
      <c r="AH78" s="865" t="str">
        <f t="shared" ref="AH78" si="145">IF(OR(C78="",F78="",L78="",P78="",R78="",T78="",X78="",Z78="",AD78="",AF78=""),"",ROUND(AD78+AF78,2))</f>
        <v/>
      </c>
      <c r="AI78" s="1096"/>
      <c r="AJ78" s="1096"/>
      <c r="AK78" s="1210" t="str">
        <f t="shared" ref="AK78" si="146">IF(OR(C78="",F78="",F78="",L78="",P78="",R78="",T78="",X78="",Z78="",AD78="",AF78=""),"",IF((P78*R78)-(X78*Z78)&lt;=0,0,ROUND((P78*R78)-(X78*Z78),2)))</f>
        <v/>
      </c>
      <c r="AL78" s="1210"/>
      <c r="AM78" s="1210"/>
      <c r="AN78" s="1132" t="str">
        <f t="shared" ref="AN78" si="147">IF(OR(C78="",F78="",F78="",L78="",P78="",R78="",T78="",X78="",Z78="",AD78="",AF78=""),"",IF(BD78&lt;&gt;"",BD78,IF(C78="Custom",AX78,IF(C78="New Construction",AY78,IF(C78="RCx",AZ78)))))</f>
        <v/>
      </c>
      <c r="AO78" s="1132"/>
      <c r="AP78" s="1132"/>
      <c r="AQ78" s="1132"/>
      <c r="AR78" s="59"/>
      <c r="AU78" s="1103" t="str">
        <f>IF(F78="","",INDEX(CUSTNONLIGHTGUNIT,MATCH(F78,PROGRAMGCAT[Category 1],0)))</f>
        <v/>
      </c>
      <c r="AV78" s="1103" t="str">
        <f>IF(OR(C78="",F78="",L78="",P78="",R78="",T78="",X78="",Z78="",AD78="",AF78=""),"",((1+GLOSS)*((AK78*INDEX(GASCB[NPV GAEC $/therm],MATCH(BA78,GASCB[Year Number],1))))/AH78))</f>
        <v/>
      </c>
      <c r="AW78" s="1097"/>
      <c r="AX78" s="1180" t="str">
        <f>IF(OR(C78="",F78="",L78="",P78="",R78="",T78="",X78="",Z78="",AB78="",AD78="",AF78=""),"",IF(AB78="Total",ROUND(MIN(AH78*0.75,AK78*INDEX(INCRATE[Gas],MATCH("CMNONLIGHT",INCRATE[Incentive Type]))),2),IF(AB78="Incremental",ROUND(MIN(AH78,AK78*INDEX(INCRATE[Gas],MATCH("CMNONLIGHT",INCRATE[Incentive Type]))),2))))</f>
        <v/>
      </c>
      <c r="AY78" s="1180" t="str">
        <f>IF(OR(C78="",F78="",L78="",P78="",R78="",T78="",X78="",Z78="",AB78="",AD78="",AF78=""),"",IF(AB78="Total",ROUND(MIN(AH78*0.75,AK78*INDEX(INCRATE[Gas],MATCH("NCNONLIGHT",INCRATE[Incentive Type]))),2),IF(AB78="Incremental",ROUND(MIN(AH78,AK78*INDEX(INCRATE[Gas],MATCH("NCNONLIGHT",INCRATE[Incentive Type]))),2))))</f>
        <v/>
      </c>
      <c r="AZ78" s="1180" t="str">
        <f>IF(OR(C78="",F78="",L78="",P78="",R78="",T78="",X78="",Z78="",AB78="",AD78="",AF78=""),"",IF(AB78="Total",ROUND(MIN(AH78*0.75,AK78*INDEX(INCRATE[Gas],MATCH("RCX",INCRATE[Incentive Type]))),2),IF(AB78="Incremental",ROUND(MIN(AH78,AK78*INDEX(INCRATE[Gas],MATCH("RCX",INCRATE[Incentive Type]))),2))))</f>
        <v/>
      </c>
      <c r="BA78" s="1097" t="str">
        <f>IF(F78="","",INDEX(PROGRAMGCAT[EUL],MATCH(F78,PROGRAMGCAT[Category 1],0)))</f>
        <v/>
      </c>
      <c r="BB78" s="1097" t="str">
        <f>IFERROR(AH78/M02S02F36/AK78,"")</f>
        <v/>
      </c>
      <c r="BC78" s="1190" t="str">
        <f>IF(OR(C78="",F78="",L78="",P78="",R78="",T78="",X78="",Z78="",AD78="",AF78=""),"",IF(ISNUMBER(AN78),INDEX(PROGRAMGCAT[Measure Number],MATCH(F78,PROGRAMGCAT[Category 1],0)),IF(AK78=0,"","000001")))</f>
        <v/>
      </c>
      <c r="BD78" s="1097" t="str">
        <f>IFERROR(IF((P78*R78)-(X78*Z78)&lt;=0,MEASURESAV,IF(M02S02F36="",MEASURERATE,IF(OR(F78="Others (Incremental)",F78="Others"),MEASURESUBMIT, IF(BB78&lt;1,MEASUREPAY,IF(AV78&lt;1,MEASURECB,""))))),MEASURESUBMIT)</f>
        <v>Submit for Review</v>
      </c>
    </row>
    <row r="79" spans="2:56" ht="15.95" hidden="1" customHeight="1">
      <c r="B79" s="829"/>
      <c r="C79" s="1205"/>
      <c r="D79" s="1205"/>
      <c r="E79" s="1205"/>
      <c r="F79" s="1088"/>
      <c r="G79" s="1088"/>
      <c r="H79" s="1088"/>
      <c r="I79" s="1088"/>
      <c r="J79" s="1088"/>
      <c r="K79" s="1088"/>
      <c r="L79" s="835"/>
      <c r="M79" s="836"/>
      <c r="N79" s="836"/>
      <c r="O79" s="837"/>
      <c r="P79" s="848"/>
      <c r="Q79" s="849"/>
      <c r="R79" s="1110"/>
      <c r="S79" s="1111"/>
      <c r="T79" s="1219"/>
      <c r="U79" s="1219"/>
      <c r="V79" s="1219"/>
      <c r="W79" s="1219"/>
      <c r="X79" s="848"/>
      <c r="Y79" s="849"/>
      <c r="Z79" s="1110"/>
      <c r="AA79" s="1111"/>
      <c r="AB79" s="1166"/>
      <c r="AC79" s="1166"/>
      <c r="AD79" s="870"/>
      <c r="AE79" s="1092"/>
      <c r="AF79" s="1195"/>
      <c r="AG79" s="1196"/>
      <c r="AH79" s="1130"/>
      <c r="AI79" s="1131"/>
      <c r="AJ79" s="1131"/>
      <c r="AK79" s="1211"/>
      <c r="AL79" s="1211"/>
      <c r="AM79" s="1211"/>
      <c r="AN79" s="1133"/>
      <c r="AO79" s="1133"/>
      <c r="AP79" s="1133"/>
      <c r="AQ79" s="1133"/>
      <c r="AR79" s="59"/>
      <c r="AU79" s="1102"/>
      <c r="AV79" s="1102"/>
      <c r="AW79" s="1098"/>
      <c r="AX79" s="1098"/>
      <c r="AY79" s="1098"/>
      <c r="AZ79" s="1098"/>
      <c r="BA79" s="1098"/>
      <c r="BB79" s="1098"/>
      <c r="BC79" s="1184"/>
      <c r="BD79" s="1098"/>
    </row>
    <row r="80" spans="2:56" ht="15.95" hidden="1" customHeight="1">
      <c r="B80" s="829">
        <v>33</v>
      </c>
      <c r="C80" s="1204"/>
      <c r="D80" s="1204"/>
      <c r="E80" s="1204"/>
      <c r="F80" s="1087"/>
      <c r="G80" s="1087"/>
      <c r="H80" s="1087"/>
      <c r="I80" s="1087"/>
      <c r="J80" s="1087"/>
      <c r="K80" s="1087"/>
      <c r="L80" s="866"/>
      <c r="M80" s="867"/>
      <c r="N80" s="867"/>
      <c r="O80" s="868"/>
      <c r="P80" s="846"/>
      <c r="Q80" s="847"/>
      <c r="R80" s="1108"/>
      <c r="S80" s="1109"/>
      <c r="T80" s="1218"/>
      <c r="U80" s="1218"/>
      <c r="V80" s="1218"/>
      <c r="W80" s="1218"/>
      <c r="X80" s="871"/>
      <c r="Y80" s="872"/>
      <c r="Z80" s="1108"/>
      <c r="AA80" s="1109"/>
      <c r="AB80" s="1165" t="str">
        <f t="shared" ref="AB80" si="148">IF(C80="New Construction","Incremental","")</f>
        <v/>
      </c>
      <c r="AC80" s="1165"/>
      <c r="AD80" s="869"/>
      <c r="AE80" s="1091"/>
      <c r="AF80" s="1193" t="str">
        <f t="shared" ref="AF80" si="149">IF(AB80="Incremental",0,"")</f>
        <v/>
      </c>
      <c r="AG80" s="1194"/>
      <c r="AH80" s="865" t="str">
        <f t="shared" ref="AH80" si="150">IF(OR(C80="",F80="",L80="",P80="",R80="",T80="",X80="",Z80="",AD80="",AF80=""),"",ROUND(AD80+AF80,2))</f>
        <v/>
      </c>
      <c r="AI80" s="1096"/>
      <c r="AJ80" s="1096"/>
      <c r="AK80" s="1210" t="str">
        <f t="shared" ref="AK80" si="151">IF(OR(C80="",F80="",F80="",L80="",P80="",R80="",T80="",X80="",Z80="",AD80="",AF80=""),"",IF((P80*R80)-(X80*Z80)&lt;=0,0,ROUND((P80*R80)-(X80*Z80),2)))</f>
        <v/>
      </c>
      <c r="AL80" s="1210"/>
      <c r="AM80" s="1210"/>
      <c r="AN80" s="1132" t="str">
        <f t="shared" ref="AN80" si="152">IF(OR(C80="",F80="",F80="",L80="",P80="",R80="",T80="",X80="",Z80="",AD80="",AF80=""),"",IF(BD80&lt;&gt;"",BD80,IF(C80="Custom",AX80,IF(C80="New Construction",AY80,IF(C80="RCx",AZ80)))))</f>
        <v/>
      </c>
      <c r="AO80" s="1132"/>
      <c r="AP80" s="1132"/>
      <c r="AQ80" s="1132"/>
      <c r="AR80" s="59"/>
      <c r="AU80" s="1103" t="str">
        <f>IF(F80="","",INDEX(CUSTNONLIGHTGUNIT,MATCH(F80,PROGRAMGCAT[Category 1],0)))</f>
        <v/>
      </c>
      <c r="AV80" s="1103" t="str">
        <f>IF(OR(C80="",F80="",L80="",P80="",R80="",T80="",X80="",Z80="",AD80="",AF80=""),"",((1+GLOSS)*((AK80*INDEX(GASCB[NPV GAEC $/therm],MATCH(BA80,GASCB[Year Number],1))))/AH80))</f>
        <v/>
      </c>
      <c r="AW80" s="1097"/>
      <c r="AX80" s="1180" t="str">
        <f>IF(OR(C80="",F80="",L80="",P80="",R80="",T80="",X80="",Z80="",AB80="",AD80="",AF80=""),"",IF(AB80="Total",ROUND(MIN(AH80*0.75,AK80*INDEX(INCRATE[Gas],MATCH("CMNONLIGHT",INCRATE[Incentive Type]))),2),IF(AB80="Incremental",ROUND(MIN(AH80,AK80*INDEX(INCRATE[Gas],MATCH("CMNONLIGHT",INCRATE[Incentive Type]))),2))))</f>
        <v/>
      </c>
      <c r="AY80" s="1180" t="str">
        <f>IF(OR(C80="",F80="",L80="",P80="",R80="",T80="",X80="",Z80="",AB80="",AD80="",AF80=""),"",IF(AB80="Total",ROUND(MIN(AH80*0.75,AK80*INDEX(INCRATE[Gas],MATCH("NCNONLIGHT",INCRATE[Incentive Type]))),2),IF(AB80="Incremental",ROUND(MIN(AH80,AK80*INDEX(INCRATE[Gas],MATCH("NCNONLIGHT",INCRATE[Incentive Type]))),2))))</f>
        <v/>
      </c>
      <c r="AZ80" s="1180" t="str">
        <f>IF(OR(C80="",F80="",L80="",P80="",R80="",T80="",X80="",Z80="",AB80="",AD80="",AF80=""),"",IF(AB80="Total",ROUND(MIN(AH80*0.75,AK80*INDEX(INCRATE[Gas],MATCH("RCX",INCRATE[Incentive Type]))),2),IF(AB80="Incremental",ROUND(MIN(AH80,AK80*INDEX(INCRATE[Gas],MATCH("RCX",INCRATE[Incentive Type]))),2))))</f>
        <v/>
      </c>
      <c r="BA80" s="1097" t="str">
        <f>IF(F80="","",INDEX(PROGRAMGCAT[EUL],MATCH(F80,PROGRAMGCAT[Category 1],0)))</f>
        <v/>
      </c>
      <c r="BB80" s="1097" t="str">
        <f>IFERROR(AH80/M02S02F36/AK80,"")</f>
        <v/>
      </c>
      <c r="BC80" s="1190" t="str">
        <f>IF(OR(C80="",F80="",L80="",P80="",R80="",T80="",X80="",Z80="",AD80="",AF80=""),"",IF(ISNUMBER(AN80),INDEX(PROGRAMGCAT[Measure Number],MATCH(F80,PROGRAMGCAT[Category 1],0)),IF(AK80=0,"","000001")))</f>
        <v/>
      </c>
      <c r="BD80" s="1097" t="str">
        <f>IFERROR(IF((P80*R80)-(X80*Z80)&lt;=0,MEASURESAV,IF(M02S02F36="",MEASURERATE,IF(OR(F80="Others (Incremental)",F80="Others"),MEASURESUBMIT, IF(BB80&lt;1,MEASUREPAY,IF(AV80&lt;1,MEASURECB,""))))),MEASURESUBMIT)</f>
        <v>Submit for Review</v>
      </c>
    </row>
    <row r="81" spans="2:56" ht="15.95" hidden="1" customHeight="1">
      <c r="B81" s="829"/>
      <c r="C81" s="1205"/>
      <c r="D81" s="1205"/>
      <c r="E81" s="1205"/>
      <c r="F81" s="1088"/>
      <c r="G81" s="1088"/>
      <c r="H81" s="1088"/>
      <c r="I81" s="1088"/>
      <c r="J81" s="1088"/>
      <c r="K81" s="1088"/>
      <c r="L81" s="835"/>
      <c r="M81" s="836"/>
      <c r="N81" s="836"/>
      <c r="O81" s="837"/>
      <c r="P81" s="848"/>
      <c r="Q81" s="849"/>
      <c r="R81" s="1110"/>
      <c r="S81" s="1111"/>
      <c r="T81" s="1219"/>
      <c r="U81" s="1219"/>
      <c r="V81" s="1219"/>
      <c r="W81" s="1219"/>
      <c r="X81" s="848"/>
      <c r="Y81" s="849"/>
      <c r="Z81" s="1110"/>
      <c r="AA81" s="1111"/>
      <c r="AB81" s="1166"/>
      <c r="AC81" s="1166"/>
      <c r="AD81" s="870"/>
      <c r="AE81" s="1092"/>
      <c r="AF81" s="1195"/>
      <c r="AG81" s="1196"/>
      <c r="AH81" s="1130"/>
      <c r="AI81" s="1131"/>
      <c r="AJ81" s="1131"/>
      <c r="AK81" s="1211"/>
      <c r="AL81" s="1211"/>
      <c r="AM81" s="1211"/>
      <c r="AN81" s="1133"/>
      <c r="AO81" s="1133"/>
      <c r="AP81" s="1133"/>
      <c r="AQ81" s="1133"/>
      <c r="AR81" s="59"/>
      <c r="AU81" s="1102"/>
      <c r="AV81" s="1102"/>
      <c r="AW81" s="1098"/>
      <c r="AX81" s="1098"/>
      <c r="AY81" s="1098"/>
      <c r="AZ81" s="1098"/>
      <c r="BA81" s="1098"/>
      <c r="BB81" s="1098"/>
      <c r="BC81" s="1184"/>
      <c r="BD81" s="1098"/>
    </row>
    <row r="82" spans="2:56" ht="15.95" hidden="1" customHeight="1">
      <c r="B82" s="829">
        <v>34</v>
      </c>
      <c r="C82" s="1204"/>
      <c r="D82" s="1204"/>
      <c r="E82" s="1204"/>
      <c r="F82" s="1087"/>
      <c r="G82" s="1087"/>
      <c r="H82" s="1087"/>
      <c r="I82" s="1087"/>
      <c r="J82" s="1087"/>
      <c r="K82" s="1087"/>
      <c r="L82" s="866"/>
      <c r="M82" s="867"/>
      <c r="N82" s="867"/>
      <c r="O82" s="868"/>
      <c r="P82" s="846"/>
      <c r="Q82" s="847"/>
      <c r="R82" s="1108"/>
      <c r="S82" s="1109"/>
      <c r="T82" s="1218"/>
      <c r="U82" s="1218"/>
      <c r="V82" s="1218"/>
      <c r="W82" s="1218"/>
      <c r="X82" s="871"/>
      <c r="Y82" s="872"/>
      <c r="Z82" s="1108"/>
      <c r="AA82" s="1109"/>
      <c r="AB82" s="1165" t="str">
        <f t="shared" ref="AB82" si="153">IF(C82="New Construction","Incremental","")</f>
        <v/>
      </c>
      <c r="AC82" s="1165"/>
      <c r="AD82" s="869"/>
      <c r="AE82" s="1091"/>
      <c r="AF82" s="1193" t="str">
        <f t="shared" ref="AF82" si="154">IF(AB82="Incremental",0,"")</f>
        <v/>
      </c>
      <c r="AG82" s="1194"/>
      <c r="AH82" s="865" t="str">
        <f t="shared" ref="AH82" si="155">IF(OR(C82="",F82="",L82="",P82="",R82="",T82="",X82="",Z82="",AD82="",AF82=""),"",ROUND(AD82+AF82,2))</f>
        <v/>
      </c>
      <c r="AI82" s="1096"/>
      <c r="AJ82" s="1096"/>
      <c r="AK82" s="1210" t="str">
        <f t="shared" ref="AK82" si="156">IF(OR(C82="",F82="",F82="",L82="",P82="",R82="",T82="",X82="",Z82="",AD82="",AF82=""),"",IF((P82*R82)-(X82*Z82)&lt;=0,0,ROUND((P82*R82)-(X82*Z82),2)))</f>
        <v/>
      </c>
      <c r="AL82" s="1210"/>
      <c r="AM82" s="1210"/>
      <c r="AN82" s="1132" t="str">
        <f t="shared" ref="AN82" si="157">IF(OR(C82="",F82="",F82="",L82="",P82="",R82="",T82="",X82="",Z82="",AD82="",AF82=""),"",IF(BD82&lt;&gt;"",BD82,IF(C82="Custom",AX82,IF(C82="New Construction",AY82,IF(C82="RCx",AZ82)))))</f>
        <v/>
      </c>
      <c r="AO82" s="1132"/>
      <c r="AP82" s="1132"/>
      <c r="AQ82" s="1132"/>
      <c r="AR82" s="59"/>
      <c r="AU82" s="1103" t="str">
        <f>IF(F82="","",INDEX(CUSTNONLIGHTGUNIT,MATCH(F82,PROGRAMGCAT[Category 1],0)))</f>
        <v/>
      </c>
      <c r="AV82" s="1103" t="str">
        <f>IF(OR(C82="",F82="",L82="",P82="",R82="",T82="",X82="",Z82="",AD82="",AF82=""),"",((1+GLOSS)*((AK82*INDEX(GASCB[NPV GAEC $/therm],MATCH(BA82,GASCB[Year Number],1))))/AH82))</f>
        <v/>
      </c>
      <c r="AW82" s="1097"/>
      <c r="AX82" s="1180" t="str">
        <f>IF(OR(C82="",F82="",L82="",P82="",R82="",T82="",X82="",Z82="",AB82="",AD82="",AF82=""),"",IF(AB82="Total",ROUND(MIN(AH82*0.75,AK82*INDEX(INCRATE[Gas],MATCH("CMNONLIGHT",INCRATE[Incentive Type]))),2),IF(AB82="Incremental",ROUND(MIN(AH82,AK82*INDEX(INCRATE[Gas],MATCH("CMNONLIGHT",INCRATE[Incentive Type]))),2))))</f>
        <v/>
      </c>
      <c r="AY82" s="1180" t="str">
        <f>IF(OR(C82="",F82="",L82="",P82="",R82="",T82="",X82="",Z82="",AB82="",AD82="",AF82=""),"",IF(AB82="Total",ROUND(MIN(AH82*0.75,AK82*INDEX(INCRATE[Gas],MATCH("NCNONLIGHT",INCRATE[Incentive Type]))),2),IF(AB82="Incremental",ROUND(MIN(AH82,AK82*INDEX(INCRATE[Gas],MATCH("NCNONLIGHT",INCRATE[Incentive Type]))),2))))</f>
        <v/>
      </c>
      <c r="AZ82" s="1180" t="str">
        <f>IF(OR(C82="",F82="",L82="",P82="",R82="",T82="",X82="",Z82="",AB82="",AD82="",AF82=""),"",IF(AB82="Total",ROUND(MIN(AH82*0.75,AK82*INDEX(INCRATE[Gas],MATCH("RCX",INCRATE[Incentive Type]))),2),IF(AB82="Incremental",ROUND(MIN(AH82,AK82*INDEX(INCRATE[Gas],MATCH("RCX",INCRATE[Incentive Type]))),2))))</f>
        <v/>
      </c>
      <c r="BA82" s="1097" t="str">
        <f>IF(F82="","",INDEX(PROGRAMGCAT[EUL],MATCH(F82,PROGRAMGCAT[Category 1],0)))</f>
        <v/>
      </c>
      <c r="BB82" s="1097" t="str">
        <f>IFERROR(AH82/M02S02F36/AK82,"")</f>
        <v/>
      </c>
      <c r="BC82" s="1190" t="str">
        <f>IF(OR(C82="",F82="",L82="",P82="",R82="",T82="",X82="",Z82="",AD82="",AF82=""),"",IF(ISNUMBER(AN82),INDEX(PROGRAMGCAT[Measure Number],MATCH(F82,PROGRAMGCAT[Category 1],0)),IF(AK82=0,"","000001")))</f>
        <v/>
      </c>
      <c r="BD82" s="1097" t="str">
        <f>IFERROR(IF((P82*R82)-(X82*Z82)&lt;=0,MEASURESAV,IF(M02S02F36="",MEASURERATE,IF(OR(F82="Others (Incremental)",F82="Others"),MEASURESUBMIT, IF(BB82&lt;1,MEASUREPAY,IF(AV82&lt;1,MEASURECB,""))))),MEASURESUBMIT)</f>
        <v>Submit for Review</v>
      </c>
    </row>
    <row r="83" spans="2:56" ht="15.95" hidden="1" customHeight="1">
      <c r="B83" s="829"/>
      <c r="C83" s="1205"/>
      <c r="D83" s="1205"/>
      <c r="E83" s="1205"/>
      <c r="F83" s="1088"/>
      <c r="G83" s="1088"/>
      <c r="H83" s="1088"/>
      <c r="I83" s="1088"/>
      <c r="J83" s="1088"/>
      <c r="K83" s="1088"/>
      <c r="L83" s="835"/>
      <c r="M83" s="836"/>
      <c r="N83" s="836"/>
      <c r="O83" s="837"/>
      <c r="P83" s="848"/>
      <c r="Q83" s="849"/>
      <c r="R83" s="1110"/>
      <c r="S83" s="1111"/>
      <c r="T83" s="1219"/>
      <c r="U83" s="1219"/>
      <c r="V83" s="1219"/>
      <c r="W83" s="1219"/>
      <c r="X83" s="848"/>
      <c r="Y83" s="849"/>
      <c r="Z83" s="1110"/>
      <c r="AA83" s="1111"/>
      <c r="AB83" s="1166"/>
      <c r="AC83" s="1166"/>
      <c r="AD83" s="870"/>
      <c r="AE83" s="1092"/>
      <c r="AF83" s="1195"/>
      <c r="AG83" s="1196"/>
      <c r="AH83" s="1130"/>
      <c r="AI83" s="1131"/>
      <c r="AJ83" s="1131"/>
      <c r="AK83" s="1211"/>
      <c r="AL83" s="1211"/>
      <c r="AM83" s="1211"/>
      <c r="AN83" s="1133"/>
      <c r="AO83" s="1133"/>
      <c r="AP83" s="1133"/>
      <c r="AQ83" s="1133"/>
      <c r="AR83" s="59"/>
      <c r="AU83" s="1102"/>
      <c r="AV83" s="1102"/>
      <c r="AW83" s="1098"/>
      <c r="AX83" s="1098"/>
      <c r="AY83" s="1098"/>
      <c r="AZ83" s="1098"/>
      <c r="BA83" s="1098"/>
      <c r="BB83" s="1098"/>
      <c r="BC83" s="1184"/>
      <c r="BD83" s="1098"/>
    </row>
    <row r="84" spans="2:56" ht="15.95" hidden="1" customHeight="1">
      <c r="B84" s="829">
        <v>35</v>
      </c>
      <c r="C84" s="1204"/>
      <c r="D84" s="1204"/>
      <c r="E84" s="1204"/>
      <c r="F84" s="1087"/>
      <c r="G84" s="1087"/>
      <c r="H84" s="1087"/>
      <c r="I84" s="1087"/>
      <c r="J84" s="1087"/>
      <c r="K84" s="1087"/>
      <c r="L84" s="866"/>
      <c r="M84" s="867"/>
      <c r="N84" s="867"/>
      <c r="O84" s="868"/>
      <c r="P84" s="846"/>
      <c r="Q84" s="847"/>
      <c r="R84" s="1108"/>
      <c r="S84" s="1109"/>
      <c r="T84" s="1218"/>
      <c r="U84" s="1218"/>
      <c r="V84" s="1218"/>
      <c r="W84" s="1218"/>
      <c r="X84" s="871"/>
      <c r="Y84" s="872"/>
      <c r="Z84" s="1108"/>
      <c r="AA84" s="1109"/>
      <c r="AB84" s="1165" t="str">
        <f t="shared" ref="AB84" si="158">IF(C84="New Construction","Incremental","")</f>
        <v/>
      </c>
      <c r="AC84" s="1165"/>
      <c r="AD84" s="869"/>
      <c r="AE84" s="1091"/>
      <c r="AF84" s="1193" t="str">
        <f t="shared" ref="AF84" si="159">IF(AB84="Incremental",0,"")</f>
        <v/>
      </c>
      <c r="AG84" s="1194"/>
      <c r="AH84" s="865" t="str">
        <f t="shared" ref="AH84" si="160">IF(OR(C84="",F84="",L84="",P84="",R84="",T84="",X84="",Z84="",AD84="",AF84=""),"",ROUND(AD84+AF84,2))</f>
        <v/>
      </c>
      <c r="AI84" s="1096"/>
      <c r="AJ84" s="1096"/>
      <c r="AK84" s="1210" t="str">
        <f t="shared" ref="AK84" si="161">IF(OR(C84="",F84="",F84="",L84="",P84="",R84="",T84="",X84="",Z84="",AD84="",AF84=""),"",IF((P84*R84)-(X84*Z84)&lt;=0,0,ROUND((P84*R84)-(X84*Z84),2)))</f>
        <v/>
      </c>
      <c r="AL84" s="1210"/>
      <c r="AM84" s="1210"/>
      <c r="AN84" s="1132" t="str">
        <f t="shared" ref="AN84" si="162">IF(OR(C84="",F84="",F84="",L84="",P84="",R84="",T84="",X84="",Z84="",AD84="",AF84=""),"",IF(BD84&lt;&gt;"",BD84,IF(C84="Custom",AX84,IF(C84="New Construction",AY84,IF(C84="RCx",AZ84)))))</f>
        <v/>
      </c>
      <c r="AO84" s="1132"/>
      <c r="AP84" s="1132"/>
      <c r="AQ84" s="1132"/>
      <c r="AR84" s="59"/>
      <c r="AU84" s="1103" t="str">
        <f>IF(F84="","",INDEX(CUSTNONLIGHTGUNIT,MATCH(F84,PROGRAMGCAT[Category 1],0)))</f>
        <v/>
      </c>
      <c r="AV84" s="1103" t="str">
        <f>IF(OR(C84="",F84="",L84="",P84="",R84="",T84="",X84="",Z84="",AD84="",AF84=""),"",((1+GLOSS)*((AK84*INDEX(GASCB[NPV GAEC $/therm],MATCH(BA84,GASCB[Year Number],1))))/AH84))</f>
        <v/>
      </c>
      <c r="AW84" s="1097"/>
      <c r="AX84" s="1180" t="str">
        <f>IF(OR(C84="",F84="",L84="",P84="",R84="",T84="",X84="",Z84="",AB84="",AD84="",AF84=""),"",IF(AB84="Total",ROUND(MIN(AH84*0.75,AK84*INDEX(INCRATE[Gas],MATCH("CMNONLIGHT",INCRATE[Incentive Type]))),2),IF(AB84="Incremental",ROUND(MIN(AH84,AK84*INDEX(INCRATE[Gas],MATCH("CMNONLIGHT",INCRATE[Incentive Type]))),2))))</f>
        <v/>
      </c>
      <c r="AY84" s="1180" t="str">
        <f>IF(OR(C84="",F84="",L84="",P84="",R84="",T84="",X84="",Z84="",AB84="",AD84="",AF84=""),"",IF(AB84="Total",ROUND(MIN(AH84*0.75,AK84*INDEX(INCRATE[Gas],MATCH("NCNONLIGHT",INCRATE[Incentive Type]))),2),IF(AB84="Incremental",ROUND(MIN(AH84,AK84*INDEX(INCRATE[Gas],MATCH("NCNONLIGHT",INCRATE[Incentive Type]))),2))))</f>
        <v/>
      </c>
      <c r="AZ84" s="1180" t="str">
        <f>IF(OR(C84="",F84="",L84="",P84="",R84="",T84="",X84="",Z84="",AB84="",AD84="",AF84=""),"",IF(AB84="Total",ROUND(MIN(AH84*0.75,AK84*INDEX(INCRATE[Gas],MATCH("RCX",INCRATE[Incentive Type]))),2),IF(AB84="Incremental",ROUND(MIN(AH84,AK84*INDEX(INCRATE[Gas],MATCH("RCX",INCRATE[Incentive Type]))),2))))</f>
        <v/>
      </c>
      <c r="BA84" s="1097" t="str">
        <f>IF(F84="","",INDEX(PROGRAMGCAT[EUL],MATCH(F84,PROGRAMGCAT[Category 1],0)))</f>
        <v/>
      </c>
      <c r="BB84" s="1097" t="str">
        <f>IFERROR(AH84/M02S02F36/AK84,"")</f>
        <v/>
      </c>
      <c r="BC84" s="1190" t="str">
        <f>IF(OR(C84="",F84="",L84="",P84="",R84="",T84="",X84="",Z84="",AD84="",AF84=""),"",IF(ISNUMBER(AN84),INDEX(PROGRAMGCAT[Measure Number],MATCH(F84,PROGRAMGCAT[Category 1],0)),IF(AK84=0,"","000001")))</f>
        <v/>
      </c>
      <c r="BD84" s="1097" t="str">
        <f>IFERROR(IF((P84*R84)-(X84*Z84)&lt;=0,MEASURESAV,IF(M02S02F36="",MEASURERATE,IF(OR(F84="Others (Incremental)",F84="Others"),MEASURESUBMIT, IF(BB84&lt;1,MEASUREPAY,IF(AV84&lt;1,MEASURECB,""))))),MEASURESUBMIT)</f>
        <v>Submit for Review</v>
      </c>
    </row>
    <row r="85" spans="2:56" ht="15.95" hidden="1" customHeight="1">
      <c r="B85" s="829"/>
      <c r="C85" s="1205"/>
      <c r="D85" s="1205"/>
      <c r="E85" s="1205"/>
      <c r="F85" s="1088"/>
      <c r="G85" s="1088"/>
      <c r="H85" s="1088"/>
      <c r="I85" s="1088"/>
      <c r="J85" s="1088"/>
      <c r="K85" s="1088"/>
      <c r="L85" s="835"/>
      <c r="M85" s="836"/>
      <c r="N85" s="836"/>
      <c r="O85" s="837"/>
      <c r="P85" s="848"/>
      <c r="Q85" s="849"/>
      <c r="R85" s="1110"/>
      <c r="S85" s="1111"/>
      <c r="T85" s="1219"/>
      <c r="U85" s="1219"/>
      <c r="V85" s="1219"/>
      <c r="W85" s="1219"/>
      <c r="X85" s="848"/>
      <c r="Y85" s="849"/>
      <c r="Z85" s="1110"/>
      <c r="AA85" s="1111"/>
      <c r="AB85" s="1166"/>
      <c r="AC85" s="1166"/>
      <c r="AD85" s="870"/>
      <c r="AE85" s="1092"/>
      <c r="AF85" s="1195"/>
      <c r="AG85" s="1196"/>
      <c r="AH85" s="1130"/>
      <c r="AI85" s="1131"/>
      <c r="AJ85" s="1131"/>
      <c r="AK85" s="1211"/>
      <c r="AL85" s="1211"/>
      <c r="AM85" s="1211"/>
      <c r="AN85" s="1133"/>
      <c r="AO85" s="1133"/>
      <c r="AP85" s="1133"/>
      <c r="AQ85" s="1133"/>
      <c r="AR85" s="59"/>
      <c r="AU85" s="1102"/>
      <c r="AV85" s="1102"/>
      <c r="AW85" s="1098"/>
      <c r="AX85" s="1098"/>
      <c r="AY85" s="1098"/>
      <c r="AZ85" s="1098"/>
      <c r="BA85" s="1098"/>
      <c r="BB85" s="1098"/>
      <c r="BC85" s="1184"/>
      <c r="BD85" s="1098"/>
    </row>
    <row r="86" spans="2:56" ht="15.95" hidden="1" customHeight="1">
      <c r="B86" s="829">
        <v>36</v>
      </c>
      <c r="C86" s="1204"/>
      <c r="D86" s="1204"/>
      <c r="E86" s="1204"/>
      <c r="F86" s="1087"/>
      <c r="G86" s="1087"/>
      <c r="H86" s="1087"/>
      <c r="I86" s="1087"/>
      <c r="J86" s="1087"/>
      <c r="K86" s="1087"/>
      <c r="L86" s="866"/>
      <c r="M86" s="867"/>
      <c r="N86" s="867"/>
      <c r="O86" s="868"/>
      <c r="P86" s="846"/>
      <c r="Q86" s="847"/>
      <c r="R86" s="1108"/>
      <c r="S86" s="1109"/>
      <c r="T86" s="1218"/>
      <c r="U86" s="1218"/>
      <c r="V86" s="1218"/>
      <c r="W86" s="1218"/>
      <c r="X86" s="871"/>
      <c r="Y86" s="872"/>
      <c r="Z86" s="1108"/>
      <c r="AA86" s="1109"/>
      <c r="AB86" s="1165" t="str">
        <f t="shared" ref="AB86" si="163">IF(C86="New Construction","Incremental","")</f>
        <v/>
      </c>
      <c r="AC86" s="1165"/>
      <c r="AD86" s="869"/>
      <c r="AE86" s="1091"/>
      <c r="AF86" s="1193" t="str">
        <f t="shared" ref="AF86" si="164">IF(AB86="Incremental",0,"")</f>
        <v/>
      </c>
      <c r="AG86" s="1194"/>
      <c r="AH86" s="865" t="str">
        <f t="shared" ref="AH86" si="165">IF(OR(C86="",F86="",L86="",P86="",R86="",T86="",X86="",Z86="",AD86="",AF86=""),"",ROUND(AD86+AF86,2))</f>
        <v/>
      </c>
      <c r="AI86" s="1096"/>
      <c r="AJ86" s="1096"/>
      <c r="AK86" s="1210" t="str">
        <f t="shared" ref="AK86" si="166">IF(OR(C86="",F86="",F86="",L86="",P86="",R86="",T86="",X86="",Z86="",AD86="",AF86=""),"",IF((P86*R86)-(X86*Z86)&lt;=0,0,ROUND((P86*R86)-(X86*Z86),2)))</f>
        <v/>
      </c>
      <c r="AL86" s="1210"/>
      <c r="AM86" s="1210"/>
      <c r="AN86" s="1132" t="str">
        <f t="shared" ref="AN86" si="167">IF(OR(C86="",F86="",F86="",L86="",P86="",R86="",T86="",X86="",Z86="",AD86="",AF86=""),"",IF(BD86&lt;&gt;"",BD86,IF(C86="Custom",AX86,IF(C86="New Construction",AY86,IF(C86="RCx",AZ86)))))</f>
        <v/>
      </c>
      <c r="AO86" s="1132"/>
      <c r="AP86" s="1132"/>
      <c r="AQ86" s="1132"/>
      <c r="AR86" s="59"/>
      <c r="AU86" s="1103" t="str">
        <f>IF(F86="","",INDEX(CUSTNONLIGHTGUNIT,MATCH(F86,PROGRAMGCAT[Category 1],0)))</f>
        <v/>
      </c>
      <c r="AV86" s="1103" t="str">
        <f>IF(OR(C86="",F86="",L86="",P86="",R86="",T86="",X86="",Z86="",AD86="",AF86=""),"",((1+GLOSS)*((AK86*INDEX(GASCB[NPV GAEC $/therm],MATCH(BA86,GASCB[Year Number],1))))/AH86))</f>
        <v/>
      </c>
      <c r="AW86" s="1097"/>
      <c r="AX86" s="1180" t="str">
        <f>IF(OR(C86="",F86="",L86="",P86="",R86="",T86="",X86="",Z86="",AB86="",AD86="",AF86=""),"",IF(AB86="Total",ROUND(MIN(AH86*0.75,AK86*INDEX(INCRATE[Gas],MATCH("CMNONLIGHT",INCRATE[Incentive Type]))),2),IF(AB86="Incremental",ROUND(MIN(AH86,AK86*INDEX(INCRATE[Gas],MATCH("CMNONLIGHT",INCRATE[Incentive Type]))),2))))</f>
        <v/>
      </c>
      <c r="AY86" s="1180" t="str">
        <f>IF(OR(C86="",F86="",L86="",P86="",R86="",T86="",X86="",Z86="",AB86="",AD86="",AF86=""),"",IF(AB86="Total",ROUND(MIN(AH86*0.75,AK86*INDEX(INCRATE[Gas],MATCH("NCNONLIGHT",INCRATE[Incentive Type]))),2),IF(AB86="Incremental",ROUND(MIN(AH86,AK86*INDEX(INCRATE[Gas],MATCH("NCNONLIGHT",INCRATE[Incentive Type]))),2))))</f>
        <v/>
      </c>
      <c r="AZ86" s="1180" t="str">
        <f>IF(OR(C86="",F86="",L86="",P86="",R86="",T86="",X86="",Z86="",AB86="",AD86="",AF86=""),"",IF(AB86="Total",ROUND(MIN(AH86*0.75,AK86*INDEX(INCRATE[Gas],MATCH("RCX",INCRATE[Incentive Type]))),2),IF(AB86="Incremental",ROUND(MIN(AH86,AK86*INDEX(INCRATE[Gas],MATCH("RCX",INCRATE[Incentive Type]))),2))))</f>
        <v/>
      </c>
      <c r="BA86" s="1097" t="str">
        <f>IF(F86="","",INDEX(PROGRAMGCAT[EUL],MATCH(F86,PROGRAMGCAT[Category 1],0)))</f>
        <v/>
      </c>
      <c r="BB86" s="1097" t="str">
        <f>IFERROR(AH86/M02S02F36/AK86,"")</f>
        <v/>
      </c>
      <c r="BC86" s="1190" t="str">
        <f>IF(OR(C86="",F86="",L86="",P86="",R86="",T86="",X86="",Z86="",AD86="",AF86=""),"",IF(ISNUMBER(AN86),INDEX(PROGRAMGCAT[Measure Number],MATCH(F86,PROGRAMGCAT[Category 1],0)),IF(AK86=0,"","000001")))</f>
        <v/>
      </c>
      <c r="BD86" s="1097" t="str">
        <f>IFERROR(IF((P86*R86)-(X86*Z86)&lt;=0,MEASURESAV,IF(M02S02F36="",MEASURERATE,IF(OR(F86="Others (Incremental)",F86="Others"),MEASURESUBMIT, IF(BB86&lt;1,MEASUREPAY,IF(AV86&lt;1,MEASURECB,""))))),MEASURESUBMIT)</f>
        <v>Submit for Review</v>
      </c>
    </row>
    <row r="87" spans="2:56" ht="15.95" hidden="1" customHeight="1">
      <c r="B87" s="829"/>
      <c r="C87" s="1205"/>
      <c r="D87" s="1205"/>
      <c r="E87" s="1205"/>
      <c r="F87" s="1088"/>
      <c r="G87" s="1088"/>
      <c r="H87" s="1088"/>
      <c r="I87" s="1088"/>
      <c r="J87" s="1088"/>
      <c r="K87" s="1088"/>
      <c r="L87" s="835"/>
      <c r="M87" s="836"/>
      <c r="N87" s="836"/>
      <c r="O87" s="837"/>
      <c r="P87" s="848"/>
      <c r="Q87" s="849"/>
      <c r="R87" s="1110"/>
      <c r="S87" s="1111"/>
      <c r="T87" s="1219"/>
      <c r="U87" s="1219"/>
      <c r="V87" s="1219"/>
      <c r="W87" s="1219"/>
      <c r="X87" s="848"/>
      <c r="Y87" s="849"/>
      <c r="Z87" s="1110"/>
      <c r="AA87" s="1111"/>
      <c r="AB87" s="1166"/>
      <c r="AC87" s="1166"/>
      <c r="AD87" s="870"/>
      <c r="AE87" s="1092"/>
      <c r="AF87" s="1195"/>
      <c r="AG87" s="1196"/>
      <c r="AH87" s="1130"/>
      <c r="AI87" s="1131"/>
      <c r="AJ87" s="1131"/>
      <c r="AK87" s="1211"/>
      <c r="AL87" s="1211"/>
      <c r="AM87" s="1211"/>
      <c r="AN87" s="1133"/>
      <c r="AO87" s="1133"/>
      <c r="AP87" s="1133"/>
      <c r="AQ87" s="1133"/>
      <c r="AR87" s="59"/>
      <c r="AU87" s="1102"/>
      <c r="AV87" s="1102"/>
      <c r="AW87" s="1098"/>
      <c r="AX87" s="1098"/>
      <c r="AY87" s="1098"/>
      <c r="AZ87" s="1098"/>
      <c r="BA87" s="1098"/>
      <c r="BB87" s="1098"/>
      <c r="BC87" s="1184"/>
      <c r="BD87" s="1098"/>
    </row>
    <row r="88" spans="2:56" ht="15.95" hidden="1" customHeight="1">
      <c r="B88" s="829">
        <v>37</v>
      </c>
      <c r="C88" s="1204"/>
      <c r="D88" s="1204"/>
      <c r="E88" s="1204"/>
      <c r="F88" s="1087"/>
      <c r="G88" s="1087"/>
      <c r="H88" s="1087"/>
      <c r="I88" s="1087"/>
      <c r="J88" s="1087"/>
      <c r="K88" s="1087"/>
      <c r="L88" s="866"/>
      <c r="M88" s="867"/>
      <c r="N88" s="867"/>
      <c r="O88" s="868"/>
      <c r="P88" s="846"/>
      <c r="Q88" s="847"/>
      <c r="R88" s="1108"/>
      <c r="S88" s="1109"/>
      <c r="T88" s="1218"/>
      <c r="U88" s="1218"/>
      <c r="V88" s="1218"/>
      <c r="W88" s="1218"/>
      <c r="X88" s="871"/>
      <c r="Y88" s="872"/>
      <c r="Z88" s="1108"/>
      <c r="AA88" s="1109"/>
      <c r="AB88" s="1165" t="str">
        <f t="shared" ref="AB88" si="168">IF(C88="New Construction","Incremental","")</f>
        <v/>
      </c>
      <c r="AC88" s="1165"/>
      <c r="AD88" s="869"/>
      <c r="AE88" s="1091"/>
      <c r="AF88" s="1193" t="str">
        <f t="shared" ref="AF88" si="169">IF(AB88="Incremental",0,"")</f>
        <v/>
      </c>
      <c r="AG88" s="1194"/>
      <c r="AH88" s="865" t="str">
        <f t="shared" ref="AH88" si="170">IF(OR(C88="",F88="",L88="",P88="",R88="",T88="",X88="",Z88="",AD88="",AF88=""),"",ROUND(AD88+AF88,2))</f>
        <v/>
      </c>
      <c r="AI88" s="1096"/>
      <c r="AJ88" s="1096"/>
      <c r="AK88" s="1210" t="str">
        <f t="shared" ref="AK88" si="171">IF(OR(C88="",F88="",F88="",L88="",P88="",R88="",T88="",X88="",Z88="",AD88="",AF88=""),"",IF((P88*R88)-(X88*Z88)&lt;=0,0,ROUND((P88*R88)-(X88*Z88),2)))</f>
        <v/>
      </c>
      <c r="AL88" s="1210"/>
      <c r="AM88" s="1210"/>
      <c r="AN88" s="1132" t="str">
        <f t="shared" ref="AN88" si="172">IF(OR(C88="",F88="",F88="",L88="",P88="",R88="",T88="",X88="",Z88="",AD88="",AF88=""),"",IF(BD88&lt;&gt;"",BD88,IF(C88="Custom",AX88,IF(C88="New Construction",AY88,IF(C88="RCx",AZ88)))))</f>
        <v/>
      </c>
      <c r="AO88" s="1132"/>
      <c r="AP88" s="1132"/>
      <c r="AQ88" s="1132"/>
      <c r="AR88" s="59"/>
      <c r="AU88" s="1103" t="str">
        <f>IF(F88="","",INDEX(CUSTNONLIGHTGUNIT,MATCH(F88,PROGRAMGCAT[Category 1],0)))</f>
        <v/>
      </c>
      <c r="AV88" s="1103" t="str">
        <f>IF(OR(C88="",F88="",L88="",P88="",R88="",T88="",X88="",Z88="",AD88="",AF88=""),"",((1+GLOSS)*((AK88*INDEX(GASCB[NPV GAEC $/therm],MATCH(BA88,GASCB[Year Number],1))))/AH88))</f>
        <v/>
      </c>
      <c r="AW88" s="1097"/>
      <c r="AX88" s="1180" t="str">
        <f>IF(OR(C88="",F88="",L88="",P88="",R88="",T88="",X88="",Z88="",AB88="",AD88="",AF88=""),"",IF(AB88="Total",ROUND(MIN(AH88*0.75,AK88*INDEX(INCRATE[Gas],MATCH("CMNONLIGHT",INCRATE[Incentive Type]))),2),IF(AB88="Incremental",ROUND(MIN(AH88,AK88*INDEX(INCRATE[Gas],MATCH("CMNONLIGHT",INCRATE[Incentive Type]))),2))))</f>
        <v/>
      </c>
      <c r="AY88" s="1180" t="str">
        <f>IF(OR(C88="",F88="",L88="",P88="",R88="",T88="",X88="",Z88="",AB88="",AD88="",AF88=""),"",IF(AB88="Total",ROUND(MIN(AH88*0.75,AK88*INDEX(INCRATE[Gas],MATCH("NCNONLIGHT",INCRATE[Incentive Type]))),2),IF(AB88="Incremental",ROUND(MIN(AH88,AK88*INDEX(INCRATE[Gas],MATCH("NCNONLIGHT",INCRATE[Incentive Type]))),2))))</f>
        <v/>
      </c>
      <c r="AZ88" s="1180" t="str">
        <f>IF(OR(C88="",F88="",L88="",P88="",R88="",T88="",X88="",Z88="",AB88="",AD88="",AF88=""),"",IF(AB88="Total",ROUND(MIN(AH88*0.75,AK88*INDEX(INCRATE[Gas],MATCH("RCX",INCRATE[Incentive Type]))),2),IF(AB88="Incremental",ROUND(MIN(AH88,AK88*INDEX(INCRATE[Gas],MATCH("RCX",INCRATE[Incentive Type]))),2))))</f>
        <v/>
      </c>
      <c r="BA88" s="1097" t="str">
        <f>IF(F88="","",INDEX(PROGRAMGCAT[EUL],MATCH(F88,PROGRAMGCAT[Category 1],0)))</f>
        <v/>
      </c>
      <c r="BB88" s="1097" t="str">
        <f>IFERROR(AH88/M02S02F36/AK88,"")</f>
        <v/>
      </c>
      <c r="BC88" s="1190" t="str">
        <f>IF(OR(C88="",F88="",L88="",P88="",R88="",T88="",X88="",Z88="",AD88="",AF88=""),"",IF(ISNUMBER(AN88),INDEX(PROGRAMGCAT[Measure Number],MATCH(F88,PROGRAMGCAT[Category 1],0)),IF(AK88=0,"","000001")))</f>
        <v/>
      </c>
      <c r="BD88" s="1097" t="str">
        <f>IFERROR(IF((P88*R88)-(X88*Z88)&lt;=0,MEASURESAV,IF(M02S02F36="",MEASURERATE,IF(OR(F88="Others (Incremental)",F88="Others"),MEASURESUBMIT, IF(BB88&lt;1,MEASUREPAY,IF(AV88&lt;1,MEASURECB,""))))),MEASURESUBMIT)</f>
        <v>Submit for Review</v>
      </c>
    </row>
    <row r="89" spans="2:56" ht="15.95" hidden="1" customHeight="1">
      <c r="B89" s="829"/>
      <c r="C89" s="1205"/>
      <c r="D89" s="1205"/>
      <c r="E89" s="1205"/>
      <c r="F89" s="1088"/>
      <c r="G89" s="1088"/>
      <c r="H89" s="1088"/>
      <c r="I89" s="1088"/>
      <c r="J89" s="1088"/>
      <c r="K89" s="1088"/>
      <c r="L89" s="835"/>
      <c r="M89" s="836"/>
      <c r="N89" s="836"/>
      <c r="O89" s="837"/>
      <c r="P89" s="848"/>
      <c r="Q89" s="849"/>
      <c r="R89" s="1110"/>
      <c r="S89" s="1111"/>
      <c r="T89" s="1219"/>
      <c r="U89" s="1219"/>
      <c r="V89" s="1219"/>
      <c r="W89" s="1219"/>
      <c r="X89" s="848"/>
      <c r="Y89" s="849"/>
      <c r="Z89" s="1110"/>
      <c r="AA89" s="1111"/>
      <c r="AB89" s="1166"/>
      <c r="AC89" s="1166"/>
      <c r="AD89" s="870"/>
      <c r="AE89" s="1092"/>
      <c r="AF89" s="1195"/>
      <c r="AG89" s="1196"/>
      <c r="AH89" s="1130"/>
      <c r="AI89" s="1131"/>
      <c r="AJ89" s="1131"/>
      <c r="AK89" s="1211"/>
      <c r="AL89" s="1211"/>
      <c r="AM89" s="1211"/>
      <c r="AN89" s="1133"/>
      <c r="AO89" s="1133"/>
      <c r="AP89" s="1133"/>
      <c r="AQ89" s="1133"/>
      <c r="AR89" s="59"/>
      <c r="AU89" s="1102"/>
      <c r="AV89" s="1102"/>
      <c r="AW89" s="1098"/>
      <c r="AX89" s="1098"/>
      <c r="AY89" s="1098"/>
      <c r="AZ89" s="1098"/>
      <c r="BA89" s="1098"/>
      <c r="BB89" s="1098"/>
      <c r="BC89" s="1184"/>
      <c r="BD89" s="1098"/>
    </row>
    <row r="90" spans="2:56" ht="15.95" hidden="1" customHeight="1">
      <c r="B90" s="829">
        <v>38</v>
      </c>
      <c r="C90" s="1204"/>
      <c r="D90" s="1204"/>
      <c r="E90" s="1204"/>
      <c r="F90" s="1087"/>
      <c r="G90" s="1087"/>
      <c r="H90" s="1087"/>
      <c r="I90" s="1087"/>
      <c r="J90" s="1087"/>
      <c r="K90" s="1087"/>
      <c r="L90" s="866"/>
      <c r="M90" s="867"/>
      <c r="N90" s="867"/>
      <c r="O90" s="868"/>
      <c r="P90" s="846"/>
      <c r="Q90" s="847"/>
      <c r="R90" s="1108"/>
      <c r="S90" s="1109"/>
      <c r="T90" s="1218"/>
      <c r="U90" s="1218"/>
      <c r="V90" s="1218"/>
      <c r="W90" s="1218"/>
      <c r="X90" s="871"/>
      <c r="Y90" s="872"/>
      <c r="Z90" s="1108"/>
      <c r="AA90" s="1109"/>
      <c r="AB90" s="1165" t="str">
        <f t="shared" ref="AB90" si="173">IF(C90="New Construction","Incremental","")</f>
        <v/>
      </c>
      <c r="AC90" s="1165"/>
      <c r="AD90" s="869"/>
      <c r="AE90" s="1091"/>
      <c r="AF90" s="1193" t="str">
        <f t="shared" ref="AF90" si="174">IF(AB90="Incremental",0,"")</f>
        <v/>
      </c>
      <c r="AG90" s="1194"/>
      <c r="AH90" s="865" t="str">
        <f t="shared" ref="AH90" si="175">IF(OR(C90="",F90="",L90="",P90="",R90="",T90="",X90="",Z90="",AD90="",AF90=""),"",ROUND(AD90+AF90,2))</f>
        <v/>
      </c>
      <c r="AI90" s="1096"/>
      <c r="AJ90" s="1096"/>
      <c r="AK90" s="1210" t="str">
        <f t="shared" ref="AK90" si="176">IF(OR(C90="",F90="",F90="",L90="",P90="",R90="",T90="",X90="",Z90="",AD90="",AF90=""),"",IF((P90*R90)-(X90*Z90)&lt;=0,0,ROUND((P90*R90)-(X90*Z90),2)))</f>
        <v/>
      </c>
      <c r="AL90" s="1210"/>
      <c r="AM90" s="1210"/>
      <c r="AN90" s="1132" t="str">
        <f t="shared" ref="AN90" si="177">IF(OR(C90="",F90="",F90="",L90="",P90="",R90="",T90="",X90="",Z90="",AD90="",AF90=""),"",IF(BD90&lt;&gt;"",BD90,IF(C90="Custom",AX90,IF(C90="New Construction",AY90,IF(C90="RCx",AZ90)))))</f>
        <v/>
      </c>
      <c r="AO90" s="1132"/>
      <c r="AP90" s="1132"/>
      <c r="AQ90" s="1132"/>
      <c r="AR90" s="59"/>
      <c r="AU90" s="1103" t="str">
        <f>IF(F90="","",INDEX(CUSTNONLIGHTGUNIT,MATCH(F90,PROGRAMGCAT[Category 1],0)))</f>
        <v/>
      </c>
      <c r="AV90" s="1103" t="str">
        <f>IF(OR(C90="",F90="",L90="",P90="",R90="",T90="",X90="",Z90="",AD90="",AF90=""),"",((1+GLOSS)*((AK90*INDEX(GASCB[NPV GAEC $/therm],MATCH(BA90,GASCB[Year Number],1))))/AH90))</f>
        <v/>
      </c>
      <c r="AW90" s="1097"/>
      <c r="AX90" s="1180" t="str">
        <f>IF(OR(C90="",F90="",L90="",P90="",R90="",T90="",X90="",Z90="",AB90="",AD90="",AF90=""),"",IF(AB90="Total",ROUND(MIN(AH90*0.75,AK90*INDEX(INCRATE[Gas],MATCH("CMNONLIGHT",INCRATE[Incentive Type]))),2),IF(AB90="Incremental",ROUND(MIN(AH90,AK90*INDEX(INCRATE[Gas],MATCH("CMNONLIGHT",INCRATE[Incentive Type]))),2))))</f>
        <v/>
      </c>
      <c r="AY90" s="1180" t="str">
        <f>IF(OR(C90="",F90="",L90="",P90="",R90="",T90="",X90="",Z90="",AB90="",AD90="",AF90=""),"",IF(AB90="Total",ROUND(MIN(AH90*0.75,AK90*INDEX(INCRATE[Gas],MATCH("NCNONLIGHT",INCRATE[Incentive Type]))),2),IF(AB90="Incremental",ROUND(MIN(AH90,AK90*INDEX(INCRATE[Gas],MATCH("NCNONLIGHT",INCRATE[Incentive Type]))),2))))</f>
        <v/>
      </c>
      <c r="AZ90" s="1180" t="str">
        <f>IF(OR(C90="",F90="",L90="",P90="",R90="",T90="",X90="",Z90="",AB90="",AD90="",AF90=""),"",IF(AB90="Total",ROUND(MIN(AH90*0.75,AK90*INDEX(INCRATE[Gas],MATCH("RCX",INCRATE[Incentive Type]))),2),IF(AB90="Incremental",ROUND(MIN(AH90,AK90*INDEX(INCRATE[Gas],MATCH("RCX",INCRATE[Incentive Type]))),2))))</f>
        <v/>
      </c>
      <c r="BA90" s="1097" t="str">
        <f>IF(F90="","",INDEX(PROGRAMGCAT[EUL],MATCH(F90,PROGRAMGCAT[Category 1],0)))</f>
        <v/>
      </c>
      <c r="BB90" s="1097" t="str">
        <f>IFERROR(AH90/M02S02F36/AK90,"")</f>
        <v/>
      </c>
      <c r="BC90" s="1190" t="str">
        <f>IF(OR(C90="",F90="",L90="",P90="",R90="",T90="",X90="",Z90="",AD90="",AF90=""),"",IF(ISNUMBER(AN90),INDEX(PROGRAMGCAT[Measure Number],MATCH(F90,PROGRAMGCAT[Category 1],0)),IF(AK90=0,"","000001")))</f>
        <v/>
      </c>
      <c r="BD90" s="1097" t="str">
        <f>IFERROR(IF((P90*R90)-(X90*Z90)&lt;=0,MEASURESAV,IF(M02S02F36="",MEASURERATE,IF(OR(F90="Others (Incremental)",F90="Others"),MEASURESUBMIT, IF(BB90&lt;1,MEASUREPAY,IF(AV90&lt;1,MEASURECB,""))))),MEASURESUBMIT)</f>
        <v>Submit for Review</v>
      </c>
    </row>
    <row r="91" spans="2:56" ht="15.95" hidden="1" customHeight="1">
      <c r="B91" s="829"/>
      <c r="C91" s="1205"/>
      <c r="D91" s="1205"/>
      <c r="E91" s="1205"/>
      <c r="F91" s="1088"/>
      <c r="G91" s="1088"/>
      <c r="H91" s="1088"/>
      <c r="I91" s="1088"/>
      <c r="J91" s="1088"/>
      <c r="K91" s="1088"/>
      <c r="L91" s="835"/>
      <c r="M91" s="836"/>
      <c r="N91" s="836"/>
      <c r="O91" s="837"/>
      <c r="P91" s="848"/>
      <c r="Q91" s="849"/>
      <c r="R91" s="1110"/>
      <c r="S91" s="1111"/>
      <c r="T91" s="1219"/>
      <c r="U91" s="1219"/>
      <c r="V91" s="1219"/>
      <c r="W91" s="1219"/>
      <c r="X91" s="848"/>
      <c r="Y91" s="849"/>
      <c r="Z91" s="1110"/>
      <c r="AA91" s="1111"/>
      <c r="AB91" s="1166"/>
      <c r="AC91" s="1166"/>
      <c r="AD91" s="870"/>
      <c r="AE91" s="1092"/>
      <c r="AF91" s="1195"/>
      <c r="AG91" s="1196"/>
      <c r="AH91" s="1130"/>
      <c r="AI91" s="1131"/>
      <c r="AJ91" s="1131"/>
      <c r="AK91" s="1211"/>
      <c r="AL91" s="1211"/>
      <c r="AM91" s="1211"/>
      <c r="AN91" s="1133"/>
      <c r="AO91" s="1133"/>
      <c r="AP91" s="1133"/>
      <c r="AQ91" s="1133"/>
      <c r="AR91" s="59"/>
      <c r="AU91" s="1102"/>
      <c r="AV91" s="1102"/>
      <c r="AW91" s="1098"/>
      <c r="AX91" s="1098"/>
      <c r="AY91" s="1098"/>
      <c r="AZ91" s="1098"/>
      <c r="BA91" s="1098"/>
      <c r="BB91" s="1098"/>
      <c r="BC91" s="1184"/>
      <c r="BD91" s="1098"/>
    </row>
    <row r="92" spans="2:56" ht="15.95" hidden="1" customHeight="1">
      <c r="B92" s="829">
        <v>39</v>
      </c>
      <c r="C92" s="1204"/>
      <c r="D92" s="1204"/>
      <c r="E92" s="1204"/>
      <c r="F92" s="1087"/>
      <c r="G92" s="1087"/>
      <c r="H92" s="1087"/>
      <c r="I92" s="1087"/>
      <c r="J92" s="1087"/>
      <c r="K92" s="1087"/>
      <c r="L92" s="866"/>
      <c r="M92" s="867"/>
      <c r="N92" s="867"/>
      <c r="O92" s="868"/>
      <c r="P92" s="846"/>
      <c r="Q92" s="847"/>
      <c r="R92" s="1108"/>
      <c r="S92" s="1109"/>
      <c r="T92" s="1218"/>
      <c r="U92" s="1218"/>
      <c r="V92" s="1218"/>
      <c r="W92" s="1218"/>
      <c r="X92" s="871"/>
      <c r="Y92" s="872"/>
      <c r="Z92" s="1108"/>
      <c r="AA92" s="1109"/>
      <c r="AB92" s="1165" t="str">
        <f t="shared" ref="AB92" si="178">IF(C92="New Construction","Incremental","")</f>
        <v/>
      </c>
      <c r="AC92" s="1165"/>
      <c r="AD92" s="869"/>
      <c r="AE92" s="1091"/>
      <c r="AF92" s="1193" t="str">
        <f t="shared" ref="AF92" si="179">IF(AB92="Incremental",0,"")</f>
        <v/>
      </c>
      <c r="AG92" s="1194"/>
      <c r="AH92" s="865" t="str">
        <f t="shared" ref="AH92" si="180">IF(OR(C92="",F92="",L92="",P92="",R92="",T92="",X92="",Z92="",AD92="",AF92=""),"",ROUND(AD92+AF92,2))</f>
        <v/>
      </c>
      <c r="AI92" s="1096"/>
      <c r="AJ92" s="1096"/>
      <c r="AK92" s="1210" t="str">
        <f t="shared" ref="AK92" si="181">IF(OR(C92="",F92="",F92="",L92="",P92="",R92="",T92="",X92="",Z92="",AD92="",AF92=""),"",IF((P92*R92)-(X92*Z92)&lt;=0,0,ROUND((P92*R92)-(X92*Z92),2)))</f>
        <v/>
      </c>
      <c r="AL92" s="1210"/>
      <c r="AM92" s="1210"/>
      <c r="AN92" s="1132" t="str">
        <f t="shared" ref="AN92" si="182">IF(OR(C92="",F92="",F92="",L92="",P92="",R92="",T92="",X92="",Z92="",AD92="",AF92=""),"",IF(BD92&lt;&gt;"",BD92,IF(C92="Custom",AX92,IF(C92="New Construction",AY92,IF(C92="RCx",AZ92)))))</f>
        <v/>
      </c>
      <c r="AO92" s="1132"/>
      <c r="AP92" s="1132"/>
      <c r="AQ92" s="1132"/>
      <c r="AR92" s="59"/>
      <c r="AU92" s="1103" t="str">
        <f>IF(F92="","",INDEX(CUSTNONLIGHTGUNIT,MATCH(F92,PROGRAMGCAT[Category 1],0)))</f>
        <v/>
      </c>
      <c r="AV92" s="1103" t="str">
        <f>IF(OR(C92="",F92="",L92="",P92="",R92="",T92="",X92="",Z92="",AD92="",AF92=""),"",((1+GLOSS)*((AK92*INDEX(GASCB[NPV GAEC $/therm],MATCH(BA92,GASCB[Year Number],1))))/AH92))</f>
        <v/>
      </c>
      <c r="AW92" s="1097"/>
      <c r="AX92" s="1180" t="str">
        <f>IF(OR(C92="",F92="",L92="",P92="",R92="",T92="",X92="",Z92="",AB92="",AD92="",AF92=""),"",IF(AB92="Total",ROUND(MIN(AH92*0.75,AK92*INDEX(INCRATE[Gas],MATCH("CMNONLIGHT",INCRATE[Incentive Type]))),2),IF(AB92="Incremental",ROUND(MIN(AH92,AK92*INDEX(INCRATE[Gas],MATCH("CMNONLIGHT",INCRATE[Incentive Type]))),2))))</f>
        <v/>
      </c>
      <c r="AY92" s="1180" t="str">
        <f>IF(OR(C92="",F92="",L92="",P92="",R92="",T92="",X92="",Z92="",AB92="",AD92="",AF92=""),"",IF(AB92="Total",ROUND(MIN(AH92*0.75,AK92*INDEX(INCRATE[Gas],MATCH("NCNONLIGHT",INCRATE[Incentive Type]))),2),IF(AB92="Incremental",ROUND(MIN(AH92,AK92*INDEX(INCRATE[Gas],MATCH("NCNONLIGHT",INCRATE[Incentive Type]))),2))))</f>
        <v/>
      </c>
      <c r="AZ92" s="1180" t="str">
        <f>IF(OR(C92="",F92="",L92="",P92="",R92="",T92="",X92="",Z92="",AB92="",AD92="",AF92=""),"",IF(AB92="Total",ROUND(MIN(AH92*0.75,AK92*INDEX(INCRATE[Gas],MATCH("RCX",INCRATE[Incentive Type]))),2),IF(AB92="Incremental",ROUND(MIN(AH92,AK92*INDEX(INCRATE[Gas],MATCH("RCX",INCRATE[Incentive Type]))),2))))</f>
        <v/>
      </c>
      <c r="BA92" s="1097" t="str">
        <f>IF(F92="","",INDEX(PROGRAMGCAT[EUL],MATCH(F92,PROGRAMGCAT[Category 1],0)))</f>
        <v/>
      </c>
      <c r="BB92" s="1097" t="str">
        <f>IFERROR(AH92/M02S02F36/AK92,"")</f>
        <v/>
      </c>
      <c r="BC92" s="1190" t="str">
        <f>IF(OR(C92="",F92="",L92="",P92="",R92="",T92="",X92="",Z92="",AD92="",AF92=""),"",IF(ISNUMBER(AN92),INDEX(PROGRAMGCAT[Measure Number],MATCH(F92,PROGRAMGCAT[Category 1],0)),IF(AK92=0,"","000001")))</f>
        <v/>
      </c>
      <c r="BD92" s="1097" t="str">
        <f>IFERROR(IF((P92*R92)-(X92*Z92)&lt;=0,MEASURESAV,IF(M02S02F36="",MEASURERATE,IF(OR(F92="Others (Incremental)",F92="Others"),MEASURESUBMIT, IF(BB92&lt;1,MEASUREPAY,IF(AV92&lt;1,MEASURECB,""))))),MEASURESUBMIT)</f>
        <v>Submit for Review</v>
      </c>
    </row>
    <row r="93" spans="2:56" ht="15.95" hidden="1" customHeight="1">
      <c r="B93" s="829"/>
      <c r="C93" s="1205"/>
      <c r="D93" s="1205"/>
      <c r="E93" s="1205"/>
      <c r="F93" s="1088"/>
      <c r="G93" s="1088"/>
      <c r="H93" s="1088"/>
      <c r="I93" s="1088"/>
      <c r="J93" s="1088"/>
      <c r="K93" s="1088"/>
      <c r="L93" s="835"/>
      <c r="M93" s="836"/>
      <c r="N93" s="836"/>
      <c r="O93" s="837"/>
      <c r="P93" s="848"/>
      <c r="Q93" s="849"/>
      <c r="R93" s="1110"/>
      <c r="S93" s="1111"/>
      <c r="T93" s="1219"/>
      <c r="U93" s="1219"/>
      <c r="V93" s="1219"/>
      <c r="W93" s="1219"/>
      <c r="X93" s="848"/>
      <c r="Y93" s="849"/>
      <c r="Z93" s="1110"/>
      <c r="AA93" s="1111"/>
      <c r="AB93" s="1166"/>
      <c r="AC93" s="1166"/>
      <c r="AD93" s="870"/>
      <c r="AE93" s="1092"/>
      <c r="AF93" s="1195"/>
      <c r="AG93" s="1196"/>
      <c r="AH93" s="1130"/>
      <c r="AI93" s="1131"/>
      <c r="AJ93" s="1131"/>
      <c r="AK93" s="1211"/>
      <c r="AL93" s="1211"/>
      <c r="AM93" s="1211"/>
      <c r="AN93" s="1133"/>
      <c r="AO93" s="1133"/>
      <c r="AP93" s="1133"/>
      <c r="AQ93" s="1133"/>
      <c r="AR93" s="59"/>
      <c r="AU93" s="1102"/>
      <c r="AV93" s="1102"/>
      <c r="AW93" s="1098"/>
      <c r="AX93" s="1098"/>
      <c r="AY93" s="1098"/>
      <c r="AZ93" s="1098"/>
      <c r="BA93" s="1098"/>
      <c r="BB93" s="1098"/>
      <c r="BC93" s="1184"/>
      <c r="BD93" s="1098"/>
    </row>
    <row r="94" spans="2:56" ht="15.95" hidden="1" customHeight="1">
      <c r="B94" s="829">
        <v>40</v>
      </c>
      <c r="C94" s="1204"/>
      <c r="D94" s="1204"/>
      <c r="E94" s="1204"/>
      <c r="F94" s="1087"/>
      <c r="G94" s="1087"/>
      <c r="H94" s="1087"/>
      <c r="I94" s="1087"/>
      <c r="J94" s="1087"/>
      <c r="K94" s="1087"/>
      <c r="L94" s="866"/>
      <c r="M94" s="867"/>
      <c r="N94" s="867"/>
      <c r="O94" s="868"/>
      <c r="P94" s="846"/>
      <c r="Q94" s="847"/>
      <c r="R94" s="1108"/>
      <c r="S94" s="1109"/>
      <c r="T94" s="1218"/>
      <c r="U94" s="1218"/>
      <c r="V94" s="1218"/>
      <c r="W94" s="1218"/>
      <c r="X94" s="871"/>
      <c r="Y94" s="872"/>
      <c r="Z94" s="1108"/>
      <c r="AA94" s="1109"/>
      <c r="AB94" s="1165" t="str">
        <f t="shared" ref="AB94" si="183">IF(C94="New Construction","Incremental","")</f>
        <v/>
      </c>
      <c r="AC94" s="1165"/>
      <c r="AD94" s="869"/>
      <c r="AE94" s="1091"/>
      <c r="AF94" s="1193" t="str">
        <f t="shared" ref="AF94" si="184">IF(AB94="Incremental",0,"")</f>
        <v/>
      </c>
      <c r="AG94" s="1194"/>
      <c r="AH94" s="865" t="str">
        <f t="shared" ref="AH94" si="185">IF(OR(C94="",F94="",L94="",P94="",R94="",T94="",X94="",Z94="",AD94="",AF94=""),"",ROUND(AD94+AF94,2))</f>
        <v/>
      </c>
      <c r="AI94" s="1096"/>
      <c r="AJ94" s="1096"/>
      <c r="AK94" s="1210" t="str">
        <f t="shared" ref="AK94" si="186">IF(OR(C94="",F94="",F94="",L94="",P94="",R94="",T94="",X94="",Z94="",AD94="",AF94=""),"",IF((P94*R94)-(X94*Z94)&lt;=0,0,ROUND((P94*R94)-(X94*Z94),2)))</f>
        <v/>
      </c>
      <c r="AL94" s="1210"/>
      <c r="AM94" s="1210"/>
      <c r="AN94" s="1132" t="str">
        <f t="shared" ref="AN94" si="187">IF(OR(C94="",F94="",F94="",L94="",P94="",R94="",T94="",X94="",Z94="",AD94="",AF94=""),"",IF(BD94&lt;&gt;"",BD94,IF(C94="Custom",AX94,IF(C94="New Construction",AY94,IF(C94="RCx",AZ94)))))</f>
        <v/>
      </c>
      <c r="AO94" s="1132"/>
      <c r="AP94" s="1132"/>
      <c r="AQ94" s="1132"/>
      <c r="AR94" s="59"/>
      <c r="AU94" s="1103" t="str">
        <f>IF(F94="","",INDEX(CUSTNONLIGHTGUNIT,MATCH(F94,PROGRAMGCAT[Category 1],0)))</f>
        <v/>
      </c>
      <c r="AV94" s="1103" t="str">
        <f>IF(OR(C94="",F94="",L94="",P94="",R94="",T94="",X94="",Z94="",AD94="",AF94=""),"",((1+GLOSS)*((AK94*INDEX(GASCB[NPV GAEC $/therm],MATCH(BA94,GASCB[Year Number],1))))/AH94))</f>
        <v/>
      </c>
      <c r="AW94" s="1097"/>
      <c r="AX94" s="1180" t="str">
        <f>IF(OR(C94="",F94="",L94="",P94="",R94="",T94="",X94="",Z94="",AB94="",AD94="",AF94=""),"",IF(AB94="Total",ROUND(MIN(AH94*0.75,AK94*INDEX(INCRATE[Gas],MATCH("CMNONLIGHT",INCRATE[Incentive Type]))),2),IF(AB94="Incremental",ROUND(MIN(AH94,AK94*INDEX(INCRATE[Gas],MATCH("CMNONLIGHT",INCRATE[Incentive Type]))),2))))</f>
        <v/>
      </c>
      <c r="AY94" s="1180" t="str">
        <f>IF(OR(C94="",F94="",L94="",P94="",R94="",T94="",X94="",Z94="",AB94="",AD94="",AF94=""),"",IF(AB94="Total",ROUND(MIN(AH94*0.75,AK94*INDEX(INCRATE[Gas],MATCH("NCNONLIGHT",INCRATE[Incentive Type]))),2),IF(AB94="Incremental",ROUND(MIN(AH94,AK94*INDEX(INCRATE[Gas],MATCH("NCNONLIGHT",INCRATE[Incentive Type]))),2))))</f>
        <v/>
      </c>
      <c r="AZ94" s="1180" t="str">
        <f>IF(OR(C94="",F94="",L94="",P94="",R94="",T94="",X94="",Z94="",AB94="",AD94="",AF94=""),"",IF(AB94="Total",ROUND(MIN(AH94*0.75,AK94*INDEX(INCRATE[Gas],MATCH("RCX",INCRATE[Incentive Type]))),2),IF(AB94="Incremental",ROUND(MIN(AH94,AK94*INDEX(INCRATE[Gas],MATCH("RCX",INCRATE[Incentive Type]))),2))))</f>
        <v/>
      </c>
      <c r="BA94" s="1097" t="str">
        <f>IF(F94="","",INDEX(PROGRAMGCAT[EUL],MATCH(F94,PROGRAMGCAT[Category 1],0)))</f>
        <v/>
      </c>
      <c r="BB94" s="1097" t="str">
        <f>IFERROR(AH94/M02S02F36/AK94,"")</f>
        <v/>
      </c>
      <c r="BC94" s="1190" t="str">
        <f>IF(OR(C94="",F94="",L94="",P94="",R94="",T94="",X94="",Z94="",AD94="",AF94=""),"",IF(ISNUMBER(AN94),INDEX(PROGRAMGCAT[Measure Number],MATCH(F94,PROGRAMGCAT[Category 1],0)),IF(AK94=0,"","000001")))</f>
        <v/>
      </c>
      <c r="BD94" s="1097" t="str">
        <f>IFERROR(IF((P94*R94)-(X94*Z94)&lt;=0,MEASURESAV,IF(M02S02F36="",MEASURERATE,IF(OR(F94="Others (Incremental)",F94="Others"),MEASURESUBMIT, IF(BB94&lt;1,MEASUREPAY,IF(AV94&lt;1,MEASURECB,""))))),MEASURESUBMIT)</f>
        <v>Submit for Review</v>
      </c>
    </row>
    <row r="95" spans="2:56" ht="15.95" hidden="1" customHeight="1">
      <c r="B95" s="829"/>
      <c r="C95" s="1205"/>
      <c r="D95" s="1205"/>
      <c r="E95" s="1205"/>
      <c r="F95" s="1088"/>
      <c r="G95" s="1088"/>
      <c r="H95" s="1088"/>
      <c r="I95" s="1088"/>
      <c r="J95" s="1088"/>
      <c r="K95" s="1088"/>
      <c r="L95" s="835"/>
      <c r="M95" s="836"/>
      <c r="N95" s="836"/>
      <c r="O95" s="837"/>
      <c r="P95" s="848"/>
      <c r="Q95" s="849"/>
      <c r="R95" s="1110"/>
      <c r="S95" s="1111"/>
      <c r="T95" s="1219"/>
      <c r="U95" s="1219"/>
      <c r="V95" s="1219"/>
      <c r="W95" s="1219"/>
      <c r="X95" s="848"/>
      <c r="Y95" s="849"/>
      <c r="Z95" s="1110"/>
      <c r="AA95" s="1111"/>
      <c r="AB95" s="1166"/>
      <c r="AC95" s="1166"/>
      <c r="AD95" s="870"/>
      <c r="AE95" s="1092"/>
      <c r="AF95" s="1195"/>
      <c r="AG95" s="1196"/>
      <c r="AH95" s="1130"/>
      <c r="AI95" s="1131"/>
      <c r="AJ95" s="1131"/>
      <c r="AK95" s="1211"/>
      <c r="AL95" s="1211"/>
      <c r="AM95" s="1211"/>
      <c r="AN95" s="1133"/>
      <c r="AO95" s="1133"/>
      <c r="AP95" s="1133"/>
      <c r="AQ95" s="1133"/>
      <c r="AR95" s="59"/>
      <c r="AU95" s="1102"/>
      <c r="AV95" s="1102"/>
      <c r="AW95" s="1098"/>
      <c r="AX95" s="1098"/>
      <c r="AY95" s="1098"/>
      <c r="AZ95" s="1098"/>
      <c r="BA95" s="1098"/>
      <c r="BB95" s="1098"/>
      <c r="BC95" s="1184"/>
      <c r="BD95" s="1098"/>
    </row>
    <row r="96" spans="2:56" ht="15.95" hidden="1" customHeight="1">
      <c r="B96" s="829">
        <v>41</v>
      </c>
      <c r="C96" s="1204"/>
      <c r="D96" s="1204"/>
      <c r="E96" s="1204"/>
      <c r="F96" s="1087"/>
      <c r="G96" s="1087"/>
      <c r="H96" s="1087"/>
      <c r="I96" s="1087"/>
      <c r="J96" s="1087"/>
      <c r="K96" s="1087"/>
      <c r="L96" s="866"/>
      <c r="M96" s="867"/>
      <c r="N96" s="867"/>
      <c r="O96" s="868"/>
      <c r="P96" s="846"/>
      <c r="Q96" s="847"/>
      <c r="R96" s="1108"/>
      <c r="S96" s="1109"/>
      <c r="T96" s="1218"/>
      <c r="U96" s="1218"/>
      <c r="V96" s="1218"/>
      <c r="W96" s="1218"/>
      <c r="X96" s="871"/>
      <c r="Y96" s="872"/>
      <c r="Z96" s="1108"/>
      <c r="AA96" s="1109"/>
      <c r="AB96" s="1165" t="str">
        <f t="shared" ref="AB96" si="188">IF(C96="New Construction","Incremental","")</f>
        <v/>
      </c>
      <c r="AC96" s="1165"/>
      <c r="AD96" s="869"/>
      <c r="AE96" s="1091"/>
      <c r="AF96" s="1193" t="str">
        <f t="shared" ref="AF96" si="189">IF(AB96="Incremental",0,"")</f>
        <v/>
      </c>
      <c r="AG96" s="1194"/>
      <c r="AH96" s="865" t="str">
        <f t="shared" ref="AH96" si="190">IF(OR(C96="",F96="",L96="",P96="",R96="",T96="",X96="",Z96="",AD96="",AF96=""),"",ROUND(AD96+AF96,2))</f>
        <v/>
      </c>
      <c r="AI96" s="1096"/>
      <c r="AJ96" s="1096"/>
      <c r="AK96" s="1210" t="str">
        <f t="shared" ref="AK96" si="191">IF(OR(C96="",F96="",F96="",L96="",P96="",R96="",T96="",X96="",Z96="",AD96="",AF96=""),"",IF((P96*R96)-(X96*Z96)&lt;=0,0,ROUND((P96*R96)-(X96*Z96),2)))</f>
        <v/>
      </c>
      <c r="AL96" s="1210"/>
      <c r="AM96" s="1210"/>
      <c r="AN96" s="1132" t="str">
        <f t="shared" ref="AN96" si="192">IF(OR(C96="",F96="",F96="",L96="",P96="",R96="",T96="",X96="",Z96="",AD96="",AF96=""),"",IF(BD96&lt;&gt;"",BD96,IF(C96="Custom",AX96,IF(C96="New Construction",AY96,IF(C96="RCx",AZ96)))))</f>
        <v/>
      </c>
      <c r="AO96" s="1132"/>
      <c r="AP96" s="1132"/>
      <c r="AQ96" s="1132"/>
      <c r="AR96" s="59"/>
      <c r="AU96" s="1103" t="str">
        <f>IF(F96="","",INDEX(CUSTNONLIGHTGUNIT,MATCH(F96,PROGRAMGCAT[Category 1],0)))</f>
        <v/>
      </c>
      <c r="AV96" s="1103" t="str">
        <f>IF(OR(C96="",F96="",L96="",P96="",R96="",T96="",X96="",Z96="",AD96="",AF96=""),"",((1+GLOSS)*((AK96*INDEX(GASCB[NPV GAEC $/therm],MATCH(BA96,GASCB[Year Number],1))))/AH96))</f>
        <v/>
      </c>
      <c r="AW96" s="1097"/>
      <c r="AX96" s="1180" t="str">
        <f>IF(OR(C96="",F96="",L96="",P96="",R96="",T96="",X96="",Z96="",AB96="",AD96="",AF96=""),"",IF(AB96="Total",ROUND(MIN(AH96*0.75,AK96*INDEX(INCRATE[Gas],MATCH("CMNONLIGHT",INCRATE[Incentive Type]))),2),IF(AB96="Incremental",ROUND(MIN(AH96,AK96*INDEX(INCRATE[Gas],MATCH("CMNONLIGHT",INCRATE[Incentive Type]))),2))))</f>
        <v/>
      </c>
      <c r="AY96" s="1180" t="str">
        <f>IF(OR(C96="",F96="",L96="",P96="",R96="",T96="",X96="",Z96="",AB96="",AD96="",AF96=""),"",IF(AB96="Total",ROUND(MIN(AH96*0.75,AK96*INDEX(INCRATE[Gas],MATCH("NCNONLIGHT",INCRATE[Incentive Type]))),2),IF(AB96="Incremental",ROUND(MIN(AH96,AK96*INDEX(INCRATE[Gas],MATCH("NCNONLIGHT",INCRATE[Incentive Type]))),2))))</f>
        <v/>
      </c>
      <c r="AZ96" s="1180" t="str">
        <f>IF(OR(C96="",F96="",L96="",P96="",R96="",T96="",X96="",Z96="",AB96="",AD96="",AF96=""),"",IF(AB96="Total",ROUND(MIN(AH96*0.75,AK96*INDEX(INCRATE[Gas],MATCH("RCX",INCRATE[Incentive Type]))),2),IF(AB96="Incremental",ROUND(MIN(AH96,AK96*INDEX(INCRATE[Gas],MATCH("RCX",INCRATE[Incentive Type]))),2))))</f>
        <v/>
      </c>
      <c r="BA96" s="1097" t="str">
        <f>IF(F96="","",INDEX(PROGRAMGCAT[EUL],MATCH(F96,PROGRAMGCAT[Category 1],0)))</f>
        <v/>
      </c>
      <c r="BB96" s="1097" t="str">
        <f>IFERROR(AH96/M02S02F36/AK96,"")</f>
        <v/>
      </c>
      <c r="BC96" s="1190" t="str">
        <f>IF(OR(C96="",F96="",L96="",P96="",R96="",T96="",X96="",Z96="",AD96="",AF96=""),"",IF(ISNUMBER(AN96),INDEX(PROGRAMGCAT[Measure Number],MATCH(F96,PROGRAMGCAT[Category 1],0)),IF(AK96=0,"","000001")))</f>
        <v/>
      </c>
      <c r="BD96" s="1097" t="str">
        <f>IFERROR(IF((P96*R96)-(X96*Z96)&lt;=0,MEASURESAV,IF(M02S02F36="",MEASURERATE,IF(OR(F96="Others (Incremental)",F96="Others"),MEASURESUBMIT, IF(BB96&lt;1,MEASUREPAY,IF(AV96&lt;1,MEASURECB,""))))),MEASURESUBMIT)</f>
        <v>Submit for Review</v>
      </c>
    </row>
    <row r="97" spans="2:56" ht="15.95" hidden="1" customHeight="1">
      <c r="B97" s="829"/>
      <c r="C97" s="1205"/>
      <c r="D97" s="1205"/>
      <c r="E97" s="1205"/>
      <c r="F97" s="1088"/>
      <c r="G97" s="1088"/>
      <c r="H97" s="1088"/>
      <c r="I97" s="1088"/>
      <c r="J97" s="1088"/>
      <c r="K97" s="1088"/>
      <c r="L97" s="835"/>
      <c r="M97" s="836"/>
      <c r="N97" s="836"/>
      <c r="O97" s="837"/>
      <c r="P97" s="848"/>
      <c r="Q97" s="849"/>
      <c r="R97" s="1110"/>
      <c r="S97" s="1111"/>
      <c r="T97" s="1219"/>
      <c r="U97" s="1219"/>
      <c r="V97" s="1219"/>
      <c r="W97" s="1219"/>
      <c r="X97" s="848"/>
      <c r="Y97" s="849"/>
      <c r="Z97" s="1110"/>
      <c r="AA97" s="1111"/>
      <c r="AB97" s="1166"/>
      <c r="AC97" s="1166"/>
      <c r="AD97" s="870"/>
      <c r="AE97" s="1092"/>
      <c r="AF97" s="1195"/>
      <c r="AG97" s="1196"/>
      <c r="AH97" s="1130"/>
      <c r="AI97" s="1131"/>
      <c r="AJ97" s="1131"/>
      <c r="AK97" s="1211"/>
      <c r="AL97" s="1211"/>
      <c r="AM97" s="1211"/>
      <c r="AN97" s="1133"/>
      <c r="AO97" s="1133"/>
      <c r="AP97" s="1133"/>
      <c r="AQ97" s="1133"/>
      <c r="AR97" s="59"/>
      <c r="AU97" s="1102"/>
      <c r="AV97" s="1102"/>
      <c r="AW97" s="1098"/>
      <c r="AX97" s="1098"/>
      <c r="AY97" s="1098"/>
      <c r="AZ97" s="1098"/>
      <c r="BA97" s="1098"/>
      <c r="BB97" s="1098"/>
      <c r="BC97" s="1184"/>
      <c r="BD97" s="1098"/>
    </row>
    <row r="98" spans="2:56" ht="15.95" hidden="1" customHeight="1">
      <c r="B98" s="829">
        <v>42</v>
      </c>
      <c r="C98" s="1204"/>
      <c r="D98" s="1204"/>
      <c r="E98" s="1204"/>
      <c r="F98" s="1087"/>
      <c r="G98" s="1087"/>
      <c r="H98" s="1087"/>
      <c r="I98" s="1087"/>
      <c r="J98" s="1087"/>
      <c r="K98" s="1087"/>
      <c r="L98" s="866"/>
      <c r="M98" s="867"/>
      <c r="N98" s="867"/>
      <c r="O98" s="868"/>
      <c r="P98" s="846"/>
      <c r="Q98" s="847"/>
      <c r="R98" s="1108"/>
      <c r="S98" s="1109"/>
      <c r="T98" s="1218"/>
      <c r="U98" s="1218"/>
      <c r="V98" s="1218"/>
      <c r="W98" s="1218"/>
      <c r="X98" s="871"/>
      <c r="Y98" s="872"/>
      <c r="Z98" s="1108"/>
      <c r="AA98" s="1109"/>
      <c r="AB98" s="1165" t="str">
        <f t="shared" ref="AB98" si="193">IF(C98="New Construction","Incremental","")</f>
        <v/>
      </c>
      <c r="AC98" s="1165"/>
      <c r="AD98" s="869"/>
      <c r="AE98" s="1091"/>
      <c r="AF98" s="1193" t="str">
        <f t="shared" ref="AF98" si="194">IF(AB98="Incremental",0,"")</f>
        <v/>
      </c>
      <c r="AG98" s="1194"/>
      <c r="AH98" s="865" t="str">
        <f t="shared" ref="AH98" si="195">IF(OR(C98="",F98="",L98="",P98="",R98="",T98="",X98="",Z98="",AD98="",AF98=""),"",ROUND(AD98+AF98,2))</f>
        <v/>
      </c>
      <c r="AI98" s="1096"/>
      <c r="AJ98" s="1096"/>
      <c r="AK98" s="1210" t="str">
        <f t="shared" ref="AK98" si="196">IF(OR(C98="",F98="",F98="",L98="",P98="",R98="",T98="",X98="",Z98="",AD98="",AF98=""),"",IF((P98*R98)-(X98*Z98)&lt;=0,0,ROUND((P98*R98)-(X98*Z98),2)))</f>
        <v/>
      </c>
      <c r="AL98" s="1210"/>
      <c r="AM98" s="1210"/>
      <c r="AN98" s="1132" t="str">
        <f t="shared" ref="AN98" si="197">IF(OR(C98="",F98="",F98="",L98="",P98="",R98="",T98="",X98="",Z98="",AD98="",AF98=""),"",IF(BD98&lt;&gt;"",BD98,IF(C98="Custom",AX98,IF(C98="New Construction",AY98,IF(C98="RCx",AZ98)))))</f>
        <v/>
      </c>
      <c r="AO98" s="1132"/>
      <c r="AP98" s="1132"/>
      <c r="AQ98" s="1132"/>
      <c r="AR98" s="59"/>
      <c r="AU98" s="1103" t="str">
        <f>IF(F98="","",INDEX(CUSTNONLIGHTGUNIT,MATCH(F98,PROGRAMGCAT[Category 1],0)))</f>
        <v/>
      </c>
      <c r="AV98" s="1103" t="str">
        <f>IF(OR(C98="",F98="",L98="",P98="",R98="",T98="",X98="",Z98="",AD98="",AF98=""),"",((1+GLOSS)*((AK98*INDEX(GASCB[NPV GAEC $/therm],MATCH(BA98,GASCB[Year Number],1))))/AH98))</f>
        <v/>
      </c>
      <c r="AW98" s="1097"/>
      <c r="AX98" s="1180" t="str">
        <f>IF(OR(C98="",F98="",L98="",P98="",R98="",T98="",X98="",Z98="",AB98="",AD98="",AF98=""),"",IF(AB98="Total",ROUND(MIN(AH98*0.75,AK98*INDEX(INCRATE[Gas],MATCH("CMNONLIGHT",INCRATE[Incentive Type]))),2),IF(AB98="Incremental",ROUND(MIN(AH98,AK98*INDEX(INCRATE[Gas],MATCH("CMNONLIGHT",INCRATE[Incentive Type]))),2))))</f>
        <v/>
      </c>
      <c r="AY98" s="1180" t="str">
        <f>IF(OR(C98="",F98="",L98="",P98="",R98="",T98="",X98="",Z98="",AB98="",AD98="",AF98=""),"",IF(AB98="Total",ROUND(MIN(AH98*0.75,AK98*INDEX(INCRATE[Gas],MATCH("NCNONLIGHT",INCRATE[Incentive Type]))),2),IF(AB98="Incremental",ROUND(MIN(AH98,AK98*INDEX(INCRATE[Gas],MATCH("NCNONLIGHT",INCRATE[Incentive Type]))),2))))</f>
        <v/>
      </c>
      <c r="AZ98" s="1180" t="str">
        <f>IF(OR(C98="",F98="",L98="",P98="",R98="",T98="",X98="",Z98="",AB98="",AD98="",AF98=""),"",IF(AB98="Total",ROUND(MIN(AH98*0.75,AK98*INDEX(INCRATE[Gas],MATCH("RCX",INCRATE[Incentive Type]))),2),IF(AB98="Incremental",ROUND(MIN(AH98,AK98*INDEX(INCRATE[Gas],MATCH("RCX",INCRATE[Incentive Type]))),2))))</f>
        <v/>
      </c>
      <c r="BA98" s="1097" t="str">
        <f>IF(F98="","",INDEX(PROGRAMGCAT[EUL],MATCH(F98,PROGRAMGCAT[Category 1],0)))</f>
        <v/>
      </c>
      <c r="BB98" s="1097" t="str">
        <f>IFERROR(AH98/M02S02F36/AK98,"")</f>
        <v/>
      </c>
      <c r="BC98" s="1190" t="str">
        <f>IF(OR(C98="",F98="",L98="",P98="",R98="",T98="",X98="",Z98="",AD98="",AF98=""),"",IF(ISNUMBER(AN98),INDEX(PROGRAMGCAT[Measure Number],MATCH(F98,PROGRAMGCAT[Category 1],0)),IF(AK98=0,"","000001")))</f>
        <v/>
      </c>
      <c r="BD98" s="1097" t="str">
        <f>IFERROR(IF((P98*R98)-(X98*Z98)&lt;=0,MEASURESAV,IF(M02S02F36="",MEASURERATE,IF(OR(F98="Others (Incremental)",F98="Others"),MEASURESUBMIT, IF(BB98&lt;1,MEASUREPAY,IF(AV98&lt;1,MEASURECB,""))))),MEASURESUBMIT)</f>
        <v>Submit for Review</v>
      </c>
    </row>
    <row r="99" spans="2:56" ht="15.95" hidden="1" customHeight="1">
      <c r="B99" s="829"/>
      <c r="C99" s="1205"/>
      <c r="D99" s="1205"/>
      <c r="E99" s="1205"/>
      <c r="F99" s="1088"/>
      <c r="G99" s="1088"/>
      <c r="H99" s="1088"/>
      <c r="I99" s="1088"/>
      <c r="J99" s="1088"/>
      <c r="K99" s="1088"/>
      <c r="L99" s="835"/>
      <c r="M99" s="836"/>
      <c r="N99" s="836"/>
      <c r="O99" s="837"/>
      <c r="P99" s="848"/>
      <c r="Q99" s="849"/>
      <c r="R99" s="1110"/>
      <c r="S99" s="1111"/>
      <c r="T99" s="1219"/>
      <c r="U99" s="1219"/>
      <c r="V99" s="1219"/>
      <c r="W99" s="1219"/>
      <c r="X99" s="848"/>
      <c r="Y99" s="849"/>
      <c r="Z99" s="1110"/>
      <c r="AA99" s="1111"/>
      <c r="AB99" s="1166"/>
      <c r="AC99" s="1166"/>
      <c r="AD99" s="870"/>
      <c r="AE99" s="1092"/>
      <c r="AF99" s="1195"/>
      <c r="AG99" s="1196"/>
      <c r="AH99" s="1130"/>
      <c r="AI99" s="1131"/>
      <c r="AJ99" s="1131"/>
      <c r="AK99" s="1211"/>
      <c r="AL99" s="1211"/>
      <c r="AM99" s="1211"/>
      <c r="AN99" s="1133"/>
      <c r="AO99" s="1133"/>
      <c r="AP99" s="1133"/>
      <c r="AQ99" s="1133"/>
      <c r="AR99" s="59"/>
      <c r="AU99" s="1102"/>
      <c r="AV99" s="1102"/>
      <c r="AW99" s="1098"/>
      <c r="AX99" s="1098"/>
      <c r="AY99" s="1098"/>
      <c r="AZ99" s="1098"/>
      <c r="BA99" s="1098"/>
      <c r="BB99" s="1098"/>
      <c r="BC99" s="1184"/>
      <c r="BD99" s="1098"/>
    </row>
    <row r="100" spans="2:56" ht="15.95" hidden="1" customHeight="1">
      <c r="B100" s="829">
        <v>43</v>
      </c>
      <c r="C100" s="1204"/>
      <c r="D100" s="1204"/>
      <c r="E100" s="1204"/>
      <c r="F100" s="1087"/>
      <c r="G100" s="1087"/>
      <c r="H100" s="1087"/>
      <c r="I100" s="1087"/>
      <c r="J100" s="1087"/>
      <c r="K100" s="1087"/>
      <c r="L100" s="866"/>
      <c r="M100" s="867"/>
      <c r="N100" s="867"/>
      <c r="O100" s="868"/>
      <c r="P100" s="846"/>
      <c r="Q100" s="847"/>
      <c r="R100" s="1108"/>
      <c r="S100" s="1109"/>
      <c r="T100" s="1218"/>
      <c r="U100" s="1218"/>
      <c r="V100" s="1218"/>
      <c r="W100" s="1218"/>
      <c r="X100" s="871"/>
      <c r="Y100" s="872"/>
      <c r="Z100" s="1108"/>
      <c r="AA100" s="1109"/>
      <c r="AB100" s="1165" t="str">
        <f t="shared" ref="AB100" si="198">IF(C100="New Construction","Incremental","")</f>
        <v/>
      </c>
      <c r="AC100" s="1165"/>
      <c r="AD100" s="869"/>
      <c r="AE100" s="1091"/>
      <c r="AF100" s="1193" t="str">
        <f t="shared" ref="AF100" si="199">IF(AB100="Incremental",0,"")</f>
        <v/>
      </c>
      <c r="AG100" s="1194"/>
      <c r="AH100" s="865" t="str">
        <f t="shared" ref="AH100" si="200">IF(OR(C100="",F100="",L100="",P100="",R100="",T100="",X100="",Z100="",AD100="",AF100=""),"",ROUND(AD100+AF100,2))</f>
        <v/>
      </c>
      <c r="AI100" s="1096"/>
      <c r="AJ100" s="1096"/>
      <c r="AK100" s="1210" t="str">
        <f t="shared" ref="AK100" si="201">IF(OR(C100="",F100="",F100="",L100="",P100="",R100="",T100="",X100="",Z100="",AD100="",AF100=""),"",IF((P100*R100)-(X100*Z100)&lt;=0,0,ROUND((P100*R100)-(X100*Z100),2)))</f>
        <v/>
      </c>
      <c r="AL100" s="1210"/>
      <c r="AM100" s="1210"/>
      <c r="AN100" s="1132" t="str">
        <f t="shared" ref="AN100" si="202">IF(OR(C100="",F100="",F100="",L100="",P100="",R100="",T100="",X100="",Z100="",AD100="",AF100=""),"",IF(BD100&lt;&gt;"",BD100,IF(C100="Custom",AX100,IF(C100="New Construction",AY100,IF(C100="RCx",AZ100)))))</f>
        <v/>
      </c>
      <c r="AO100" s="1132"/>
      <c r="AP100" s="1132"/>
      <c r="AQ100" s="1132"/>
      <c r="AR100" s="59"/>
      <c r="AU100" s="1103" t="str">
        <f>IF(F100="","",INDEX(CUSTNONLIGHTGUNIT,MATCH(F100,PROGRAMGCAT[Category 1],0)))</f>
        <v/>
      </c>
      <c r="AV100" s="1103" t="str">
        <f>IF(OR(C100="",F100="",L100="",P100="",R100="",T100="",X100="",Z100="",AD100="",AF100=""),"",((1+GLOSS)*((AK100*INDEX(GASCB[NPV GAEC $/therm],MATCH(BA100,GASCB[Year Number],1))))/AH100))</f>
        <v/>
      </c>
      <c r="AW100" s="1097"/>
      <c r="AX100" s="1180" t="str">
        <f>IF(OR(C100="",F100="",L100="",P100="",R100="",T100="",X100="",Z100="",AB100="",AD100="",AF100=""),"",IF(AB100="Total",ROUND(MIN(AH100*0.75,AK100*INDEX(INCRATE[Gas],MATCH("CMNONLIGHT",INCRATE[Incentive Type]))),2),IF(AB100="Incremental",ROUND(MIN(AH100,AK100*INDEX(INCRATE[Gas],MATCH("CMNONLIGHT",INCRATE[Incentive Type]))),2))))</f>
        <v/>
      </c>
      <c r="AY100" s="1180" t="str">
        <f>IF(OR(C100="",F100="",L100="",P100="",R100="",T100="",X100="",Z100="",AB100="",AD100="",AF100=""),"",IF(AB100="Total",ROUND(MIN(AH100*0.75,AK100*INDEX(INCRATE[Gas],MATCH("NCNONLIGHT",INCRATE[Incentive Type]))),2),IF(AB100="Incremental",ROUND(MIN(AH100,AK100*INDEX(INCRATE[Gas],MATCH("NCNONLIGHT",INCRATE[Incentive Type]))),2))))</f>
        <v/>
      </c>
      <c r="AZ100" s="1180" t="str">
        <f>IF(OR(C100="",F100="",L100="",P100="",R100="",T100="",X100="",Z100="",AB100="",AD100="",AF100=""),"",IF(AB100="Total",ROUND(MIN(AH100*0.75,AK100*INDEX(INCRATE[Gas],MATCH("RCX",INCRATE[Incentive Type]))),2),IF(AB100="Incremental",ROUND(MIN(AH100,AK100*INDEX(INCRATE[Gas],MATCH("RCX",INCRATE[Incentive Type]))),2))))</f>
        <v/>
      </c>
      <c r="BA100" s="1097" t="str">
        <f>IF(F100="","",INDEX(PROGRAMGCAT[EUL],MATCH(F100,PROGRAMGCAT[Category 1],0)))</f>
        <v/>
      </c>
      <c r="BB100" s="1097" t="str">
        <f>IFERROR(AH100/M02S02F36/AK100,"")</f>
        <v/>
      </c>
      <c r="BC100" s="1190" t="str">
        <f>IF(OR(C100="",F100="",L100="",P100="",R100="",T100="",X100="",Z100="",AD100="",AF100=""),"",IF(ISNUMBER(AN100),INDEX(PROGRAMGCAT[Measure Number],MATCH(F100,PROGRAMGCAT[Category 1],0)),IF(AK100=0,"","000001")))</f>
        <v/>
      </c>
      <c r="BD100" s="1097" t="str">
        <f>IFERROR(IF((P100*R100)-(X100*Z100)&lt;=0,MEASURESAV,IF(M02S02F36="",MEASURERATE,IF(OR(F100="Others (Incremental)",F100="Others"),MEASURESUBMIT, IF(BB100&lt;1,MEASUREPAY,IF(AV100&lt;1,MEASURECB,""))))),MEASURESUBMIT)</f>
        <v>Submit for Review</v>
      </c>
    </row>
    <row r="101" spans="2:56" ht="15.95" hidden="1" customHeight="1">
      <c r="B101" s="829"/>
      <c r="C101" s="1205"/>
      <c r="D101" s="1205"/>
      <c r="E101" s="1205"/>
      <c r="F101" s="1088"/>
      <c r="G101" s="1088"/>
      <c r="H101" s="1088"/>
      <c r="I101" s="1088"/>
      <c r="J101" s="1088"/>
      <c r="K101" s="1088"/>
      <c r="L101" s="835"/>
      <c r="M101" s="836"/>
      <c r="N101" s="836"/>
      <c r="O101" s="837"/>
      <c r="P101" s="848"/>
      <c r="Q101" s="849"/>
      <c r="R101" s="1110"/>
      <c r="S101" s="1111"/>
      <c r="T101" s="1219"/>
      <c r="U101" s="1219"/>
      <c r="V101" s="1219"/>
      <c r="W101" s="1219"/>
      <c r="X101" s="848"/>
      <c r="Y101" s="849"/>
      <c r="Z101" s="1110"/>
      <c r="AA101" s="1111"/>
      <c r="AB101" s="1166"/>
      <c r="AC101" s="1166"/>
      <c r="AD101" s="870"/>
      <c r="AE101" s="1092"/>
      <c r="AF101" s="1195"/>
      <c r="AG101" s="1196"/>
      <c r="AH101" s="1130"/>
      <c r="AI101" s="1131"/>
      <c r="AJ101" s="1131"/>
      <c r="AK101" s="1211"/>
      <c r="AL101" s="1211"/>
      <c r="AM101" s="1211"/>
      <c r="AN101" s="1133"/>
      <c r="AO101" s="1133"/>
      <c r="AP101" s="1133"/>
      <c r="AQ101" s="1133"/>
      <c r="AR101" s="59"/>
      <c r="AU101" s="1102"/>
      <c r="AV101" s="1102"/>
      <c r="AW101" s="1098"/>
      <c r="AX101" s="1098"/>
      <c r="AY101" s="1098"/>
      <c r="AZ101" s="1098"/>
      <c r="BA101" s="1098"/>
      <c r="BB101" s="1098"/>
      <c r="BC101" s="1184"/>
      <c r="BD101" s="1098"/>
    </row>
    <row r="102" spans="2:56" ht="15.95" hidden="1" customHeight="1">
      <c r="B102" s="829">
        <v>44</v>
      </c>
      <c r="C102" s="1204"/>
      <c r="D102" s="1204"/>
      <c r="E102" s="1204"/>
      <c r="F102" s="1087"/>
      <c r="G102" s="1087"/>
      <c r="H102" s="1087"/>
      <c r="I102" s="1087"/>
      <c r="J102" s="1087"/>
      <c r="K102" s="1087"/>
      <c r="L102" s="866"/>
      <c r="M102" s="867"/>
      <c r="N102" s="867"/>
      <c r="O102" s="868"/>
      <c r="P102" s="846"/>
      <c r="Q102" s="847"/>
      <c r="R102" s="1108"/>
      <c r="S102" s="1109"/>
      <c r="T102" s="1218"/>
      <c r="U102" s="1218"/>
      <c r="V102" s="1218"/>
      <c r="W102" s="1218"/>
      <c r="X102" s="871"/>
      <c r="Y102" s="872"/>
      <c r="Z102" s="1108"/>
      <c r="AA102" s="1109"/>
      <c r="AB102" s="1165" t="str">
        <f t="shared" ref="AB102" si="203">IF(C102="New Construction","Incremental","")</f>
        <v/>
      </c>
      <c r="AC102" s="1165"/>
      <c r="AD102" s="869"/>
      <c r="AE102" s="1091"/>
      <c r="AF102" s="1193" t="str">
        <f t="shared" ref="AF102" si="204">IF(AB102="Incremental",0,"")</f>
        <v/>
      </c>
      <c r="AG102" s="1194"/>
      <c r="AH102" s="865" t="str">
        <f t="shared" ref="AH102" si="205">IF(OR(C102="",F102="",L102="",P102="",R102="",T102="",X102="",Z102="",AD102="",AF102=""),"",ROUND(AD102+AF102,2))</f>
        <v/>
      </c>
      <c r="AI102" s="1096"/>
      <c r="AJ102" s="1096"/>
      <c r="AK102" s="1210" t="str">
        <f t="shared" ref="AK102" si="206">IF(OR(C102="",F102="",F102="",L102="",P102="",R102="",T102="",X102="",Z102="",AD102="",AF102=""),"",IF((P102*R102)-(X102*Z102)&lt;=0,0,ROUND((P102*R102)-(X102*Z102),2)))</f>
        <v/>
      </c>
      <c r="AL102" s="1210"/>
      <c r="AM102" s="1210"/>
      <c r="AN102" s="1132" t="str">
        <f t="shared" ref="AN102" si="207">IF(OR(C102="",F102="",F102="",L102="",P102="",R102="",T102="",X102="",Z102="",AD102="",AF102=""),"",IF(BD102&lt;&gt;"",BD102,IF(C102="Custom",AX102,IF(C102="New Construction",AY102,IF(C102="RCx",AZ102)))))</f>
        <v/>
      </c>
      <c r="AO102" s="1132"/>
      <c r="AP102" s="1132"/>
      <c r="AQ102" s="1132"/>
      <c r="AR102" s="59"/>
      <c r="AU102" s="1103" t="str">
        <f>IF(F102="","",INDEX(CUSTNONLIGHTGUNIT,MATCH(F102,PROGRAMGCAT[Category 1],0)))</f>
        <v/>
      </c>
      <c r="AV102" s="1103" t="str">
        <f>IF(OR(C102="",F102="",L102="",P102="",R102="",T102="",X102="",Z102="",AD102="",AF102=""),"",((1+GLOSS)*((AK102*INDEX(GASCB[NPV GAEC $/therm],MATCH(BA102,GASCB[Year Number],1))))/AH102))</f>
        <v/>
      </c>
      <c r="AW102" s="1097"/>
      <c r="AX102" s="1180" t="str">
        <f>IF(OR(C102="",F102="",L102="",P102="",R102="",T102="",X102="",Z102="",AB102="",AD102="",AF102=""),"",IF(AB102="Total",ROUND(MIN(AH102*0.75,AK102*INDEX(INCRATE[Gas],MATCH("CMNONLIGHT",INCRATE[Incentive Type]))),2),IF(AB102="Incremental",ROUND(MIN(AH102,AK102*INDEX(INCRATE[Gas],MATCH("CMNONLIGHT",INCRATE[Incentive Type]))),2))))</f>
        <v/>
      </c>
      <c r="AY102" s="1180" t="str">
        <f>IF(OR(C102="",F102="",L102="",P102="",R102="",T102="",X102="",Z102="",AB102="",AD102="",AF102=""),"",IF(AB102="Total",ROUND(MIN(AH102*0.75,AK102*INDEX(INCRATE[Gas],MATCH("NCNONLIGHT",INCRATE[Incentive Type]))),2),IF(AB102="Incremental",ROUND(MIN(AH102,AK102*INDEX(INCRATE[Gas],MATCH("NCNONLIGHT",INCRATE[Incentive Type]))),2))))</f>
        <v/>
      </c>
      <c r="AZ102" s="1180" t="str">
        <f>IF(OR(C102="",F102="",L102="",P102="",R102="",T102="",X102="",Z102="",AB102="",AD102="",AF102=""),"",IF(AB102="Total",ROUND(MIN(AH102*0.75,AK102*INDEX(INCRATE[Gas],MATCH("RCX",INCRATE[Incentive Type]))),2),IF(AB102="Incremental",ROUND(MIN(AH102,AK102*INDEX(INCRATE[Gas],MATCH("RCX",INCRATE[Incentive Type]))),2))))</f>
        <v/>
      </c>
      <c r="BA102" s="1097" t="str">
        <f>IF(F102="","",INDEX(PROGRAMGCAT[EUL],MATCH(F102,PROGRAMGCAT[Category 1],0)))</f>
        <v/>
      </c>
      <c r="BB102" s="1097" t="str">
        <f>IFERROR(AH102/M02S02F36/AK102,"")</f>
        <v/>
      </c>
      <c r="BC102" s="1190" t="str">
        <f>IF(OR(C102="",F102="",L102="",P102="",R102="",T102="",X102="",Z102="",AD102="",AF102=""),"",IF(ISNUMBER(AN102),INDEX(PROGRAMGCAT[Measure Number],MATCH(F102,PROGRAMGCAT[Category 1],0)),IF(AK102=0,"","000001")))</f>
        <v/>
      </c>
      <c r="BD102" s="1097" t="str">
        <f>IFERROR(IF((P102*R102)-(X102*Z102)&lt;=0,MEASURESAV,IF(M02S02F36="",MEASURERATE,IF(OR(F102="Others (Incremental)",F102="Others"),MEASURESUBMIT, IF(BB102&lt;1,MEASUREPAY,IF(AV102&lt;1,MEASURECB,""))))),MEASURESUBMIT)</f>
        <v>Submit for Review</v>
      </c>
    </row>
    <row r="103" spans="2:56" ht="15.95" hidden="1" customHeight="1">
      <c r="B103" s="829"/>
      <c r="C103" s="1205"/>
      <c r="D103" s="1205"/>
      <c r="E103" s="1205"/>
      <c r="F103" s="1088"/>
      <c r="G103" s="1088"/>
      <c r="H103" s="1088"/>
      <c r="I103" s="1088"/>
      <c r="J103" s="1088"/>
      <c r="K103" s="1088"/>
      <c r="L103" s="835"/>
      <c r="M103" s="836"/>
      <c r="N103" s="836"/>
      <c r="O103" s="837"/>
      <c r="P103" s="848"/>
      <c r="Q103" s="849"/>
      <c r="R103" s="1110"/>
      <c r="S103" s="1111"/>
      <c r="T103" s="1219"/>
      <c r="U103" s="1219"/>
      <c r="V103" s="1219"/>
      <c r="W103" s="1219"/>
      <c r="X103" s="848"/>
      <c r="Y103" s="849"/>
      <c r="Z103" s="1110"/>
      <c r="AA103" s="1111"/>
      <c r="AB103" s="1166"/>
      <c r="AC103" s="1166"/>
      <c r="AD103" s="870"/>
      <c r="AE103" s="1092"/>
      <c r="AF103" s="1195"/>
      <c r="AG103" s="1196"/>
      <c r="AH103" s="1130"/>
      <c r="AI103" s="1131"/>
      <c r="AJ103" s="1131"/>
      <c r="AK103" s="1211"/>
      <c r="AL103" s="1211"/>
      <c r="AM103" s="1211"/>
      <c r="AN103" s="1133"/>
      <c r="AO103" s="1133"/>
      <c r="AP103" s="1133"/>
      <c r="AQ103" s="1133"/>
      <c r="AR103" s="59"/>
      <c r="AU103" s="1102"/>
      <c r="AV103" s="1102"/>
      <c r="AW103" s="1098"/>
      <c r="AX103" s="1098"/>
      <c r="AY103" s="1098"/>
      <c r="AZ103" s="1098"/>
      <c r="BA103" s="1098"/>
      <c r="BB103" s="1098"/>
      <c r="BC103" s="1184"/>
      <c r="BD103" s="1098"/>
    </row>
    <row r="104" spans="2:56" ht="15.95" hidden="1" customHeight="1">
      <c r="B104" s="829">
        <v>45</v>
      </c>
      <c r="C104" s="1204"/>
      <c r="D104" s="1204"/>
      <c r="E104" s="1204"/>
      <c r="F104" s="1087"/>
      <c r="G104" s="1087"/>
      <c r="H104" s="1087"/>
      <c r="I104" s="1087"/>
      <c r="J104" s="1087"/>
      <c r="K104" s="1087"/>
      <c r="L104" s="866"/>
      <c r="M104" s="867"/>
      <c r="N104" s="867"/>
      <c r="O104" s="868"/>
      <c r="P104" s="846"/>
      <c r="Q104" s="847"/>
      <c r="R104" s="1108"/>
      <c r="S104" s="1109"/>
      <c r="T104" s="1218"/>
      <c r="U104" s="1218"/>
      <c r="V104" s="1218"/>
      <c r="W104" s="1218"/>
      <c r="X104" s="871"/>
      <c r="Y104" s="872"/>
      <c r="Z104" s="1108"/>
      <c r="AA104" s="1109"/>
      <c r="AB104" s="1165" t="str">
        <f t="shared" ref="AB104" si="208">IF(C104="New Construction","Incremental","")</f>
        <v/>
      </c>
      <c r="AC104" s="1165"/>
      <c r="AD104" s="869"/>
      <c r="AE104" s="1091"/>
      <c r="AF104" s="1193" t="str">
        <f t="shared" ref="AF104" si="209">IF(AB104="Incremental",0,"")</f>
        <v/>
      </c>
      <c r="AG104" s="1194"/>
      <c r="AH104" s="865" t="str">
        <f t="shared" ref="AH104" si="210">IF(OR(C104="",F104="",L104="",P104="",R104="",T104="",X104="",Z104="",AD104="",AF104=""),"",ROUND(AD104+AF104,2))</f>
        <v/>
      </c>
      <c r="AI104" s="1096"/>
      <c r="AJ104" s="1096"/>
      <c r="AK104" s="1210" t="str">
        <f t="shared" ref="AK104" si="211">IF(OR(C104="",F104="",F104="",L104="",P104="",R104="",T104="",X104="",Z104="",AD104="",AF104=""),"",IF((P104*R104)-(X104*Z104)&lt;=0,0,ROUND((P104*R104)-(X104*Z104),2)))</f>
        <v/>
      </c>
      <c r="AL104" s="1210"/>
      <c r="AM104" s="1210"/>
      <c r="AN104" s="1132" t="str">
        <f t="shared" ref="AN104" si="212">IF(OR(C104="",F104="",F104="",L104="",P104="",R104="",T104="",X104="",Z104="",AD104="",AF104=""),"",IF(BD104&lt;&gt;"",BD104,IF(C104="Custom",AX104,IF(C104="New Construction",AY104,IF(C104="RCx",AZ104)))))</f>
        <v/>
      </c>
      <c r="AO104" s="1132"/>
      <c r="AP104" s="1132"/>
      <c r="AQ104" s="1132"/>
      <c r="AR104" s="59"/>
      <c r="AU104" s="1103" t="str">
        <f>IF(F104="","",INDEX(CUSTNONLIGHTGUNIT,MATCH(F104,PROGRAMGCAT[Category 1],0)))</f>
        <v/>
      </c>
      <c r="AV104" s="1103" t="str">
        <f>IF(OR(C104="",F104="",L104="",P104="",R104="",T104="",X104="",Z104="",AD104="",AF104=""),"",((1+GLOSS)*((AK104*INDEX(GASCB[NPV GAEC $/therm],MATCH(BA104,GASCB[Year Number],1))))/AH104))</f>
        <v/>
      </c>
      <c r="AW104" s="1097"/>
      <c r="AX104" s="1180" t="str">
        <f>IF(OR(C104="",F104="",L104="",P104="",R104="",T104="",X104="",Z104="",AB104="",AD104="",AF104=""),"",IF(AB104="Total",ROUND(MIN(AH104*0.75,AK104*INDEX(INCRATE[Gas],MATCH("CMNONLIGHT",INCRATE[Incentive Type]))),2),IF(AB104="Incremental",ROUND(MIN(AH104,AK104*INDEX(INCRATE[Gas],MATCH("CMNONLIGHT",INCRATE[Incentive Type]))),2))))</f>
        <v/>
      </c>
      <c r="AY104" s="1180" t="str">
        <f>IF(OR(C104="",F104="",L104="",P104="",R104="",T104="",X104="",Z104="",AB104="",AD104="",AF104=""),"",IF(AB104="Total",ROUND(MIN(AH104*0.75,AK104*INDEX(INCRATE[Gas],MATCH("NCNONLIGHT",INCRATE[Incentive Type]))),2),IF(AB104="Incremental",ROUND(MIN(AH104,AK104*INDEX(INCRATE[Gas],MATCH("NCNONLIGHT",INCRATE[Incentive Type]))),2))))</f>
        <v/>
      </c>
      <c r="AZ104" s="1180" t="str">
        <f>IF(OR(C104="",F104="",L104="",P104="",R104="",T104="",X104="",Z104="",AB104="",AD104="",AF104=""),"",IF(AB104="Total",ROUND(MIN(AH104*0.75,AK104*INDEX(INCRATE[Gas],MATCH("RCX",INCRATE[Incentive Type]))),2),IF(AB104="Incremental",ROUND(MIN(AH104,AK104*INDEX(INCRATE[Gas],MATCH("RCX",INCRATE[Incentive Type]))),2))))</f>
        <v/>
      </c>
      <c r="BA104" s="1097" t="str">
        <f>IF(F104="","",INDEX(PROGRAMGCAT[EUL],MATCH(F104,PROGRAMGCAT[Category 1],0)))</f>
        <v/>
      </c>
      <c r="BB104" s="1097" t="str">
        <f>IFERROR(AH104/M02S02F36/AK104,"")</f>
        <v/>
      </c>
      <c r="BC104" s="1190" t="str">
        <f>IF(OR(C104="",F104="",L104="",P104="",R104="",T104="",X104="",Z104="",AD104="",AF104=""),"",IF(ISNUMBER(AN104),INDEX(PROGRAMGCAT[Measure Number],MATCH(F104,PROGRAMGCAT[Category 1],0)),IF(AK104=0,"","000001")))</f>
        <v/>
      </c>
      <c r="BD104" s="1097" t="str">
        <f>IFERROR(IF((P104*R104)-(X104*Z104)&lt;=0,MEASURESAV,IF(M02S02F36="",MEASURERATE,IF(OR(F104="Others (Incremental)",F104="Others"),MEASURESUBMIT, IF(BB104&lt;1,MEASUREPAY,IF(AV104&lt;1,MEASURECB,""))))),MEASURESUBMIT)</f>
        <v>Submit for Review</v>
      </c>
    </row>
    <row r="105" spans="2:56" ht="15.95" hidden="1" customHeight="1">
      <c r="B105" s="829"/>
      <c r="C105" s="1205"/>
      <c r="D105" s="1205"/>
      <c r="E105" s="1205"/>
      <c r="F105" s="1088"/>
      <c r="G105" s="1088"/>
      <c r="H105" s="1088"/>
      <c r="I105" s="1088"/>
      <c r="J105" s="1088"/>
      <c r="K105" s="1088"/>
      <c r="L105" s="835"/>
      <c r="M105" s="836"/>
      <c r="N105" s="836"/>
      <c r="O105" s="837"/>
      <c r="P105" s="848"/>
      <c r="Q105" s="849"/>
      <c r="R105" s="1110"/>
      <c r="S105" s="1111"/>
      <c r="T105" s="1219"/>
      <c r="U105" s="1219"/>
      <c r="V105" s="1219"/>
      <c r="W105" s="1219"/>
      <c r="X105" s="848"/>
      <c r="Y105" s="849"/>
      <c r="Z105" s="1110"/>
      <c r="AA105" s="1111"/>
      <c r="AB105" s="1166"/>
      <c r="AC105" s="1166"/>
      <c r="AD105" s="870"/>
      <c r="AE105" s="1092"/>
      <c r="AF105" s="1195"/>
      <c r="AG105" s="1196"/>
      <c r="AH105" s="1130"/>
      <c r="AI105" s="1131"/>
      <c r="AJ105" s="1131"/>
      <c r="AK105" s="1211"/>
      <c r="AL105" s="1211"/>
      <c r="AM105" s="1211"/>
      <c r="AN105" s="1133"/>
      <c r="AO105" s="1133"/>
      <c r="AP105" s="1133"/>
      <c r="AQ105" s="1133"/>
      <c r="AR105" s="59"/>
      <c r="AU105" s="1102"/>
      <c r="AV105" s="1102"/>
      <c r="AW105" s="1098"/>
      <c r="AX105" s="1098"/>
      <c r="AY105" s="1098"/>
      <c r="AZ105" s="1098"/>
      <c r="BA105" s="1098"/>
      <c r="BB105" s="1098"/>
      <c r="BC105" s="1184"/>
      <c r="BD105" s="1098"/>
    </row>
    <row r="106" spans="2:56" ht="15.95" hidden="1" customHeight="1">
      <c r="B106" s="829">
        <v>46</v>
      </c>
      <c r="C106" s="1204"/>
      <c r="D106" s="1204"/>
      <c r="E106" s="1204"/>
      <c r="F106" s="1087"/>
      <c r="G106" s="1087"/>
      <c r="H106" s="1087"/>
      <c r="I106" s="1087"/>
      <c r="J106" s="1087"/>
      <c r="K106" s="1087"/>
      <c r="L106" s="866"/>
      <c r="M106" s="867"/>
      <c r="N106" s="867"/>
      <c r="O106" s="868"/>
      <c r="P106" s="846"/>
      <c r="Q106" s="847"/>
      <c r="R106" s="1108"/>
      <c r="S106" s="1109"/>
      <c r="T106" s="1218"/>
      <c r="U106" s="1218"/>
      <c r="V106" s="1218"/>
      <c r="W106" s="1218"/>
      <c r="X106" s="871"/>
      <c r="Y106" s="872"/>
      <c r="Z106" s="1108"/>
      <c r="AA106" s="1109"/>
      <c r="AB106" s="1165" t="str">
        <f t="shared" ref="AB106" si="213">IF(C106="New Construction","Incremental","")</f>
        <v/>
      </c>
      <c r="AC106" s="1165"/>
      <c r="AD106" s="869"/>
      <c r="AE106" s="1091"/>
      <c r="AF106" s="1193" t="str">
        <f t="shared" ref="AF106" si="214">IF(AB106="Incremental",0,"")</f>
        <v/>
      </c>
      <c r="AG106" s="1194"/>
      <c r="AH106" s="865" t="str">
        <f t="shared" ref="AH106" si="215">IF(OR(C106="",F106="",L106="",P106="",R106="",T106="",X106="",Z106="",AD106="",AF106=""),"",ROUND(AD106+AF106,2))</f>
        <v/>
      </c>
      <c r="AI106" s="1096"/>
      <c r="AJ106" s="1096"/>
      <c r="AK106" s="1210" t="str">
        <f t="shared" ref="AK106" si="216">IF(OR(C106="",F106="",F106="",L106="",P106="",R106="",T106="",X106="",Z106="",AD106="",AF106=""),"",IF((P106*R106)-(X106*Z106)&lt;=0,0,ROUND((P106*R106)-(X106*Z106),2)))</f>
        <v/>
      </c>
      <c r="AL106" s="1210"/>
      <c r="AM106" s="1210"/>
      <c r="AN106" s="1132" t="str">
        <f t="shared" ref="AN106" si="217">IF(OR(C106="",F106="",F106="",L106="",P106="",R106="",T106="",X106="",Z106="",AD106="",AF106=""),"",IF(BD106&lt;&gt;"",BD106,IF(C106="Custom",AX106,IF(C106="New Construction",AY106,IF(C106="RCx",AZ106)))))</f>
        <v/>
      </c>
      <c r="AO106" s="1132"/>
      <c r="AP106" s="1132"/>
      <c r="AQ106" s="1132"/>
      <c r="AR106" s="59"/>
      <c r="AU106" s="1103" t="str">
        <f>IF(F106="","",INDEX(CUSTNONLIGHTGUNIT,MATCH(F106,PROGRAMGCAT[Category 1],0)))</f>
        <v/>
      </c>
      <c r="AV106" s="1103" t="str">
        <f>IF(OR(C106="",F106="",L106="",P106="",R106="",T106="",X106="",Z106="",AD106="",AF106=""),"",((1+GLOSS)*((AK106*INDEX(GASCB[NPV GAEC $/therm],MATCH(BA106,GASCB[Year Number],1))))/AH106))</f>
        <v/>
      </c>
      <c r="AW106" s="1097"/>
      <c r="AX106" s="1180" t="str">
        <f>IF(OR(C106="",F106="",L106="",P106="",R106="",T106="",X106="",Z106="",AB106="",AD106="",AF106=""),"",IF(AB106="Total",ROUND(MIN(AH106*0.75,AK106*INDEX(INCRATE[Gas],MATCH("CMNONLIGHT",INCRATE[Incentive Type]))),2),IF(AB106="Incremental",ROUND(MIN(AH106,AK106*INDEX(INCRATE[Gas],MATCH("CMNONLIGHT",INCRATE[Incentive Type]))),2))))</f>
        <v/>
      </c>
      <c r="AY106" s="1180" t="str">
        <f>IF(OR(C106="",F106="",L106="",P106="",R106="",T106="",X106="",Z106="",AB106="",AD106="",AF106=""),"",IF(AB106="Total",ROUND(MIN(AH106*0.75,AK106*INDEX(INCRATE[Gas],MATCH("NCNONLIGHT",INCRATE[Incentive Type]))),2),IF(AB106="Incremental",ROUND(MIN(AH106,AK106*INDEX(INCRATE[Gas],MATCH("NCNONLIGHT",INCRATE[Incentive Type]))),2))))</f>
        <v/>
      </c>
      <c r="AZ106" s="1180" t="str">
        <f>IF(OR(C106="",F106="",L106="",P106="",R106="",T106="",X106="",Z106="",AB106="",AD106="",AF106=""),"",IF(AB106="Total",ROUND(MIN(AH106*0.75,AK106*INDEX(INCRATE[Gas],MATCH("RCX",INCRATE[Incentive Type]))),2),IF(AB106="Incremental",ROUND(MIN(AH106,AK106*INDEX(INCRATE[Gas],MATCH("RCX",INCRATE[Incentive Type]))),2))))</f>
        <v/>
      </c>
      <c r="BA106" s="1097" t="str">
        <f>IF(F106="","",INDEX(PROGRAMGCAT[EUL],MATCH(F106,PROGRAMGCAT[Category 1],0)))</f>
        <v/>
      </c>
      <c r="BB106" s="1097" t="str">
        <f>IFERROR(AH106/M02S02F36/AK106,"")</f>
        <v/>
      </c>
      <c r="BC106" s="1190" t="str">
        <f>IF(OR(C106="",F106="",L106="",P106="",R106="",T106="",X106="",Z106="",AD106="",AF106=""),"",IF(ISNUMBER(AN106),INDEX(PROGRAMGCAT[Measure Number],MATCH(F106,PROGRAMGCAT[Category 1],0)),IF(AK106=0,"","000001")))</f>
        <v/>
      </c>
      <c r="BD106" s="1097" t="str">
        <f>IFERROR(IF((P106*R106)-(X106*Z106)&lt;=0,MEASURESAV,IF(M02S02F36="",MEASURERATE,IF(OR(F106="Others (Incremental)",F106="Others"),MEASURESUBMIT, IF(BB106&lt;1,MEASUREPAY,IF(AV106&lt;1,MEASURECB,""))))),MEASURESUBMIT)</f>
        <v>Submit for Review</v>
      </c>
    </row>
    <row r="107" spans="2:56" ht="15.95" hidden="1" customHeight="1">
      <c r="B107" s="829"/>
      <c r="C107" s="1205"/>
      <c r="D107" s="1205"/>
      <c r="E107" s="1205"/>
      <c r="F107" s="1088"/>
      <c r="G107" s="1088"/>
      <c r="H107" s="1088"/>
      <c r="I107" s="1088"/>
      <c r="J107" s="1088"/>
      <c r="K107" s="1088"/>
      <c r="L107" s="835"/>
      <c r="M107" s="836"/>
      <c r="N107" s="836"/>
      <c r="O107" s="837"/>
      <c r="P107" s="848"/>
      <c r="Q107" s="849"/>
      <c r="R107" s="1110"/>
      <c r="S107" s="1111"/>
      <c r="T107" s="1219"/>
      <c r="U107" s="1219"/>
      <c r="V107" s="1219"/>
      <c r="W107" s="1219"/>
      <c r="X107" s="848"/>
      <c r="Y107" s="849"/>
      <c r="Z107" s="1110"/>
      <c r="AA107" s="1111"/>
      <c r="AB107" s="1166"/>
      <c r="AC107" s="1166"/>
      <c r="AD107" s="870"/>
      <c r="AE107" s="1092"/>
      <c r="AF107" s="1195"/>
      <c r="AG107" s="1196"/>
      <c r="AH107" s="1130"/>
      <c r="AI107" s="1131"/>
      <c r="AJ107" s="1131"/>
      <c r="AK107" s="1211"/>
      <c r="AL107" s="1211"/>
      <c r="AM107" s="1211"/>
      <c r="AN107" s="1133"/>
      <c r="AO107" s="1133"/>
      <c r="AP107" s="1133"/>
      <c r="AQ107" s="1133"/>
      <c r="AR107" s="59"/>
      <c r="AU107" s="1102"/>
      <c r="AV107" s="1102"/>
      <c r="AW107" s="1098"/>
      <c r="AX107" s="1098"/>
      <c r="AY107" s="1098"/>
      <c r="AZ107" s="1098"/>
      <c r="BA107" s="1098"/>
      <c r="BB107" s="1098"/>
      <c r="BC107" s="1184"/>
      <c r="BD107" s="1098"/>
    </row>
    <row r="108" spans="2:56" ht="15.95" hidden="1" customHeight="1">
      <c r="B108" s="829">
        <v>47</v>
      </c>
      <c r="C108" s="1204"/>
      <c r="D108" s="1204"/>
      <c r="E108" s="1204"/>
      <c r="F108" s="1087"/>
      <c r="G108" s="1087"/>
      <c r="H108" s="1087"/>
      <c r="I108" s="1087"/>
      <c r="J108" s="1087"/>
      <c r="K108" s="1087"/>
      <c r="L108" s="866"/>
      <c r="M108" s="867"/>
      <c r="N108" s="867"/>
      <c r="O108" s="868"/>
      <c r="P108" s="846"/>
      <c r="Q108" s="847"/>
      <c r="R108" s="1108"/>
      <c r="S108" s="1109"/>
      <c r="T108" s="1218"/>
      <c r="U108" s="1218"/>
      <c r="V108" s="1218"/>
      <c r="W108" s="1218"/>
      <c r="X108" s="871"/>
      <c r="Y108" s="872"/>
      <c r="Z108" s="1108"/>
      <c r="AA108" s="1109"/>
      <c r="AB108" s="1165" t="str">
        <f t="shared" ref="AB108" si="218">IF(C108="New Construction","Incremental","")</f>
        <v/>
      </c>
      <c r="AC108" s="1165"/>
      <c r="AD108" s="869"/>
      <c r="AE108" s="1091"/>
      <c r="AF108" s="1193" t="str">
        <f t="shared" ref="AF108" si="219">IF(AB108="Incremental",0,"")</f>
        <v/>
      </c>
      <c r="AG108" s="1194"/>
      <c r="AH108" s="865" t="str">
        <f t="shared" ref="AH108" si="220">IF(OR(C108="",F108="",L108="",P108="",R108="",T108="",X108="",Z108="",AD108="",AF108=""),"",ROUND(AD108+AF108,2))</f>
        <v/>
      </c>
      <c r="AI108" s="1096"/>
      <c r="AJ108" s="1096"/>
      <c r="AK108" s="1210" t="str">
        <f t="shared" ref="AK108" si="221">IF(OR(C108="",F108="",F108="",L108="",P108="",R108="",T108="",X108="",Z108="",AD108="",AF108=""),"",IF((P108*R108)-(X108*Z108)&lt;=0,0,ROUND((P108*R108)-(X108*Z108),2)))</f>
        <v/>
      </c>
      <c r="AL108" s="1210"/>
      <c r="AM108" s="1210"/>
      <c r="AN108" s="1132" t="str">
        <f t="shared" ref="AN108" si="222">IF(OR(C108="",F108="",F108="",L108="",P108="",R108="",T108="",X108="",Z108="",AD108="",AF108=""),"",IF(BD108&lt;&gt;"",BD108,IF(C108="Custom",AX108,IF(C108="New Construction",AY108,IF(C108="RCx",AZ108)))))</f>
        <v/>
      </c>
      <c r="AO108" s="1132"/>
      <c r="AP108" s="1132"/>
      <c r="AQ108" s="1132"/>
      <c r="AR108" s="59"/>
      <c r="AU108" s="1103" t="str">
        <f>IF(F108="","",INDEX(CUSTNONLIGHTGUNIT,MATCH(F108,PROGRAMGCAT[Category 1],0)))</f>
        <v/>
      </c>
      <c r="AV108" s="1103" t="str">
        <f>IF(OR(C108="",F108="",L108="",P108="",R108="",T108="",X108="",Z108="",AD108="",AF108=""),"",((1+GLOSS)*((AK108*INDEX(GASCB[NPV GAEC $/therm],MATCH(BA108,GASCB[Year Number],1))))/AH108))</f>
        <v/>
      </c>
      <c r="AW108" s="1097"/>
      <c r="AX108" s="1180" t="str">
        <f>IF(OR(C108="",F108="",L108="",P108="",R108="",T108="",X108="",Z108="",AB108="",AD108="",AF108=""),"",IF(AB108="Total",ROUND(MIN(AH108*0.75,AK108*INDEX(INCRATE[Gas],MATCH("CMNONLIGHT",INCRATE[Incentive Type]))),2),IF(AB108="Incremental",ROUND(MIN(AH108,AK108*INDEX(INCRATE[Gas],MATCH("CMNONLIGHT",INCRATE[Incentive Type]))),2))))</f>
        <v/>
      </c>
      <c r="AY108" s="1180" t="str">
        <f>IF(OR(C108="",F108="",L108="",P108="",R108="",T108="",X108="",Z108="",AB108="",AD108="",AF108=""),"",IF(AB108="Total",ROUND(MIN(AH108*0.75,AK108*INDEX(INCRATE[Gas],MATCH("NCNONLIGHT",INCRATE[Incentive Type]))),2),IF(AB108="Incremental",ROUND(MIN(AH108,AK108*INDEX(INCRATE[Gas],MATCH("NCNONLIGHT",INCRATE[Incentive Type]))),2))))</f>
        <v/>
      </c>
      <c r="AZ108" s="1180" t="str">
        <f>IF(OR(C108="",F108="",L108="",P108="",R108="",T108="",X108="",Z108="",AB108="",AD108="",AF108=""),"",IF(AB108="Total",ROUND(MIN(AH108*0.75,AK108*INDEX(INCRATE[Gas],MATCH("RCX",INCRATE[Incentive Type]))),2),IF(AB108="Incremental",ROUND(MIN(AH108,AK108*INDEX(INCRATE[Gas],MATCH("RCX",INCRATE[Incentive Type]))),2))))</f>
        <v/>
      </c>
      <c r="BA108" s="1097" t="str">
        <f>IF(F108="","",INDEX(PROGRAMGCAT[EUL],MATCH(F108,PROGRAMGCAT[Category 1],0)))</f>
        <v/>
      </c>
      <c r="BB108" s="1097" t="str">
        <f>IFERROR(AH108/M02S02F36/AK108,"")</f>
        <v/>
      </c>
      <c r="BC108" s="1190" t="str">
        <f>IF(OR(C108="",F108="",L108="",P108="",R108="",T108="",X108="",Z108="",AD108="",AF108=""),"",IF(ISNUMBER(AN108),INDEX(PROGRAMGCAT[Measure Number],MATCH(F108,PROGRAMGCAT[Category 1],0)),IF(AK108=0,"","000001")))</f>
        <v/>
      </c>
      <c r="BD108" s="1097" t="str">
        <f>IFERROR(IF((P108*R108)-(X108*Z108)&lt;=0,MEASURESAV,IF(M02S02F36="",MEASURERATE,IF(OR(F108="Others (Incremental)",F108="Others"),MEASURESUBMIT, IF(BB108&lt;1,MEASUREPAY,IF(AV108&lt;1,MEASURECB,""))))),MEASURESUBMIT)</f>
        <v>Submit for Review</v>
      </c>
    </row>
    <row r="109" spans="2:56" ht="15.95" hidden="1" customHeight="1">
      <c r="B109" s="829"/>
      <c r="C109" s="1205"/>
      <c r="D109" s="1205"/>
      <c r="E109" s="1205"/>
      <c r="F109" s="1088"/>
      <c r="G109" s="1088"/>
      <c r="H109" s="1088"/>
      <c r="I109" s="1088"/>
      <c r="J109" s="1088"/>
      <c r="K109" s="1088"/>
      <c r="L109" s="835"/>
      <c r="M109" s="836"/>
      <c r="N109" s="836"/>
      <c r="O109" s="837"/>
      <c r="P109" s="848"/>
      <c r="Q109" s="849"/>
      <c r="R109" s="1110"/>
      <c r="S109" s="1111"/>
      <c r="T109" s="1219"/>
      <c r="U109" s="1219"/>
      <c r="V109" s="1219"/>
      <c r="W109" s="1219"/>
      <c r="X109" s="848"/>
      <c r="Y109" s="849"/>
      <c r="Z109" s="1110"/>
      <c r="AA109" s="1111"/>
      <c r="AB109" s="1166"/>
      <c r="AC109" s="1166"/>
      <c r="AD109" s="870"/>
      <c r="AE109" s="1092"/>
      <c r="AF109" s="1195"/>
      <c r="AG109" s="1196"/>
      <c r="AH109" s="1130"/>
      <c r="AI109" s="1131"/>
      <c r="AJ109" s="1131"/>
      <c r="AK109" s="1211"/>
      <c r="AL109" s="1211"/>
      <c r="AM109" s="1211"/>
      <c r="AN109" s="1133"/>
      <c r="AO109" s="1133"/>
      <c r="AP109" s="1133"/>
      <c r="AQ109" s="1133"/>
      <c r="AR109" s="59"/>
      <c r="AU109" s="1102"/>
      <c r="AV109" s="1102"/>
      <c r="AW109" s="1098"/>
      <c r="AX109" s="1098"/>
      <c r="AY109" s="1098"/>
      <c r="AZ109" s="1098"/>
      <c r="BA109" s="1098"/>
      <c r="BB109" s="1098"/>
      <c r="BC109" s="1184"/>
      <c r="BD109" s="1098"/>
    </row>
    <row r="110" spans="2:56" ht="15.95" hidden="1" customHeight="1">
      <c r="B110" s="829">
        <v>48</v>
      </c>
      <c r="C110" s="1204"/>
      <c r="D110" s="1204"/>
      <c r="E110" s="1204"/>
      <c r="F110" s="1087"/>
      <c r="G110" s="1087"/>
      <c r="H110" s="1087"/>
      <c r="I110" s="1087"/>
      <c r="J110" s="1087"/>
      <c r="K110" s="1087"/>
      <c r="L110" s="866"/>
      <c r="M110" s="867"/>
      <c r="N110" s="867"/>
      <c r="O110" s="868"/>
      <c r="P110" s="846"/>
      <c r="Q110" s="847"/>
      <c r="R110" s="1108"/>
      <c r="S110" s="1109"/>
      <c r="T110" s="1218"/>
      <c r="U110" s="1218"/>
      <c r="V110" s="1218"/>
      <c r="W110" s="1218"/>
      <c r="X110" s="871"/>
      <c r="Y110" s="872"/>
      <c r="Z110" s="1108"/>
      <c r="AA110" s="1109"/>
      <c r="AB110" s="1165" t="str">
        <f t="shared" ref="AB110" si="223">IF(C110="New Construction","Incremental","")</f>
        <v/>
      </c>
      <c r="AC110" s="1165"/>
      <c r="AD110" s="869"/>
      <c r="AE110" s="1091"/>
      <c r="AF110" s="1193" t="str">
        <f t="shared" ref="AF110" si="224">IF(AB110="Incremental",0,"")</f>
        <v/>
      </c>
      <c r="AG110" s="1194"/>
      <c r="AH110" s="865" t="str">
        <f t="shared" ref="AH110" si="225">IF(OR(C110="",F110="",L110="",P110="",R110="",T110="",X110="",Z110="",AD110="",AF110=""),"",ROUND(AD110+AF110,2))</f>
        <v/>
      </c>
      <c r="AI110" s="1096"/>
      <c r="AJ110" s="1096"/>
      <c r="AK110" s="1210" t="str">
        <f t="shared" ref="AK110" si="226">IF(OR(C110="",F110="",F110="",L110="",P110="",R110="",T110="",X110="",Z110="",AD110="",AF110=""),"",IF((P110*R110)-(X110*Z110)&lt;=0,0,ROUND((P110*R110)-(X110*Z110),2)))</f>
        <v/>
      </c>
      <c r="AL110" s="1210"/>
      <c r="AM110" s="1210"/>
      <c r="AN110" s="1132" t="str">
        <f t="shared" ref="AN110" si="227">IF(OR(C110="",F110="",F110="",L110="",P110="",R110="",T110="",X110="",Z110="",AD110="",AF110=""),"",IF(BD110&lt;&gt;"",BD110,IF(C110="Custom",AX110,IF(C110="New Construction",AY110,IF(C110="RCx",AZ110)))))</f>
        <v/>
      </c>
      <c r="AO110" s="1132"/>
      <c r="AP110" s="1132"/>
      <c r="AQ110" s="1132"/>
      <c r="AR110" s="59"/>
      <c r="AU110" s="1103" t="str">
        <f>IF(F110="","",INDEX(CUSTNONLIGHTGUNIT,MATCH(F110,PROGRAMGCAT[Category 1],0)))</f>
        <v/>
      </c>
      <c r="AV110" s="1103" t="str">
        <f>IF(OR(C110="",F110="",L110="",P110="",R110="",T110="",X110="",Z110="",AD110="",AF110=""),"",((1+GLOSS)*((AK110*INDEX(GASCB[NPV GAEC $/therm],MATCH(BA110,GASCB[Year Number],1))))/AH110))</f>
        <v/>
      </c>
      <c r="AW110" s="1097"/>
      <c r="AX110" s="1180" t="str">
        <f>IF(OR(C110="",F110="",L110="",P110="",R110="",T110="",X110="",Z110="",AB110="",AD110="",AF110=""),"",IF(AB110="Total",ROUND(MIN(AH110*0.75,AK110*INDEX(INCRATE[Gas],MATCH("CMNONLIGHT",INCRATE[Incentive Type]))),2),IF(AB110="Incremental",ROUND(MIN(AH110,AK110*INDEX(INCRATE[Gas],MATCH("CMNONLIGHT",INCRATE[Incentive Type]))),2))))</f>
        <v/>
      </c>
      <c r="AY110" s="1180" t="str">
        <f>IF(OR(C110="",F110="",L110="",P110="",R110="",T110="",X110="",Z110="",AB110="",AD110="",AF110=""),"",IF(AB110="Total",ROUND(MIN(AH110*0.75,AK110*INDEX(INCRATE[Gas],MATCH("NCNONLIGHT",INCRATE[Incentive Type]))),2),IF(AB110="Incremental",ROUND(MIN(AH110,AK110*INDEX(INCRATE[Gas],MATCH("NCNONLIGHT",INCRATE[Incentive Type]))),2))))</f>
        <v/>
      </c>
      <c r="AZ110" s="1180" t="str">
        <f>IF(OR(C110="",F110="",L110="",P110="",R110="",T110="",X110="",Z110="",AB110="",AD110="",AF110=""),"",IF(AB110="Total",ROUND(MIN(AH110*0.75,AK110*INDEX(INCRATE[Gas],MATCH("RCX",INCRATE[Incentive Type]))),2),IF(AB110="Incremental",ROUND(MIN(AH110,AK110*INDEX(INCRATE[Gas],MATCH("RCX",INCRATE[Incentive Type]))),2))))</f>
        <v/>
      </c>
      <c r="BA110" s="1097" t="str">
        <f>IF(F110="","",INDEX(PROGRAMGCAT[EUL],MATCH(F110,PROGRAMGCAT[Category 1],0)))</f>
        <v/>
      </c>
      <c r="BB110" s="1097" t="str">
        <f>IFERROR(AH110/M02S02F36/AK110,"")</f>
        <v/>
      </c>
      <c r="BC110" s="1190" t="str">
        <f>IF(OR(C110="",F110="",L110="",P110="",R110="",T110="",X110="",Z110="",AD110="",AF110=""),"",IF(ISNUMBER(AN110),INDEX(PROGRAMGCAT[Measure Number],MATCH(F110,PROGRAMGCAT[Category 1],0)),IF(AK110=0,"","000001")))</f>
        <v/>
      </c>
      <c r="BD110" s="1097" t="str">
        <f>IFERROR(IF((P110*R110)-(X110*Z110)&lt;=0,MEASURESAV,IF(M02S02F36="",MEASURERATE,IF(OR(F110="Others (Incremental)",F110="Others"),MEASURESUBMIT, IF(BB110&lt;1,MEASUREPAY,IF(AV110&lt;1,MEASURECB,""))))),MEASURESUBMIT)</f>
        <v>Submit for Review</v>
      </c>
    </row>
    <row r="111" spans="2:56" ht="15.95" hidden="1" customHeight="1">
      <c r="B111" s="829"/>
      <c r="C111" s="1205"/>
      <c r="D111" s="1205"/>
      <c r="E111" s="1205"/>
      <c r="F111" s="1088"/>
      <c r="G111" s="1088"/>
      <c r="H111" s="1088"/>
      <c r="I111" s="1088"/>
      <c r="J111" s="1088"/>
      <c r="K111" s="1088"/>
      <c r="L111" s="835"/>
      <c r="M111" s="836"/>
      <c r="N111" s="836"/>
      <c r="O111" s="837"/>
      <c r="P111" s="848"/>
      <c r="Q111" s="849"/>
      <c r="R111" s="1110"/>
      <c r="S111" s="1111"/>
      <c r="T111" s="1219"/>
      <c r="U111" s="1219"/>
      <c r="V111" s="1219"/>
      <c r="W111" s="1219"/>
      <c r="X111" s="848"/>
      <c r="Y111" s="849"/>
      <c r="Z111" s="1110"/>
      <c r="AA111" s="1111"/>
      <c r="AB111" s="1166"/>
      <c r="AC111" s="1166"/>
      <c r="AD111" s="870"/>
      <c r="AE111" s="1092"/>
      <c r="AF111" s="1195"/>
      <c r="AG111" s="1196"/>
      <c r="AH111" s="1130"/>
      <c r="AI111" s="1131"/>
      <c r="AJ111" s="1131"/>
      <c r="AK111" s="1211"/>
      <c r="AL111" s="1211"/>
      <c r="AM111" s="1211"/>
      <c r="AN111" s="1133"/>
      <c r="AO111" s="1133"/>
      <c r="AP111" s="1133"/>
      <c r="AQ111" s="1133"/>
      <c r="AR111" s="59"/>
      <c r="AU111" s="1102"/>
      <c r="AV111" s="1102"/>
      <c r="AW111" s="1098"/>
      <c r="AX111" s="1098"/>
      <c r="AY111" s="1098"/>
      <c r="AZ111" s="1098"/>
      <c r="BA111" s="1098"/>
      <c r="BB111" s="1098"/>
      <c r="BC111" s="1184"/>
      <c r="BD111" s="1098"/>
    </row>
    <row r="112" spans="2:56" ht="15.95" hidden="1" customHeight="1">
      <c r="B112" s="829">
        <v>49</v>
      </c>
      <c r="C112" s="1204"/>
      <c r="D112" s="1204"/>
      <c r="E112" s="1204"/>
      <c r="F112" s="1087"/>
      <c r="G112" s="1087"/>
      <c r="H112" s="1087"/>
      <c r="I112" s="1087"/>
      <c r="J112" s="1087"/>
      <c r="K112" s="1087"/>
      <c r="L112" s="866"/>
      <c r="M112" s="867"/>
      <c r="N112" s="867"/>
      <c r="O112" s="868"/>
      <c r="P112" s="846"/>
      <c r="Q112" s="847"/>
      <c r="R112" s="1108"/>
      <c r="S112" s="1109"/>
      <c r="T112" s="1218"/>
      <c r="U112" s="1218"/>
      <c r="V112" s="1218"/>
      <c r="W112" s="1218"/>
      <c r="X112" s="871"/>
      <c r="Y112" s="872"/>
      <c r="Z112" s="1108"/>
      <c r="AA112" s="1109"/>
      <c r="AB112" s="1165" t="str">
        <f t="shared" ref="AB112" si="228">IF(C112="New Construction","Incremental","")</f>
        <v/>
      </c>
      <c r="AC112" s="1165"/>
      <c r="AD112" s="869"/>
      <c r="AE112" s="1091"/>
      <c r="AF112" s="1193" t="str">
        <f t="shared" ref="AF112" si="229">IF(AB112="Incremental",0,"")</f>
        <v/>
      </c>
      <c r="AG112" s="1194"/>
      <c r="AH112" s="865" t="str">
        <f t="shared" ref="AH112" si="230">IF(OR(C112="",F112="",L112="",P112="",R112="",T112="",X112="",Z112="",AD112="",AF112=""),"",ROUND(AD112+AF112,2))</f>
        <v/>
      </c>
      <c r="AI112" s="1096"/>
      <c r="AJ112" s="1096"/>
      <c r="AK112" s="1210" t="str">
        <f t="shared" ref="AK112" si="231">IF(OR(C112="",F112="",F112="",L112="",P112="",R112="",T112="",X112="",Z112="",AD112="",AF112=""),"",IF((P112*R112)-(X112*Z112)&lt;=0,0,ROUND((P112*R112)-(X112*Z112),2)))</f>
        <v/>
      </c>
      <c r="AL112" s="1210"/>
      <c r="AM112" s="1210"/>
      <c r="AN112" s="1132" t="str">
        <f t="shared" ref="AN112" si="232">IF(OR(C112="",F112="",F112="",L112="",P112="",R112="",T112="",X112="",Z112="",AD112="",AF112=""),"",IF(BD112&lt;&gt;"",BD112,IF(C112="Custom",AX112,IF(C112="New Construction",AY112,IF(C112="RCx",AZ112)))))</f>
        <v/>
      </c>
      <c r="AO112" s="1132"/>
      <c r="AP112" s="1132"/>
      <c r="AQ112" s="1132"/>
      <c r="AR112" s="59"/>
      <c r="AU112" s="1103" t="str">
        <f>IF(F112="","",INDEX(CUSTNONLIGHTGUNIT,MATCH(F112,PROGRAMGCAT[Category 1],0)))</f>
        <v/>
      </c>
      <c r="AV112" s="1103" t="str">
        <f>IF(OR(C112="",F112="",L112="",P112="",R112="",T112="",X112="",Z112="",AD112="",AF112=""),"",((1+GLOSS)*((AK112*INDEX(GASCB[NPV GAEC $/therm],MATCH(BA112,GASCB[Year Number],1))))/AH112))</f>
        <v/>
      </c>
      <c r="AW112" s="1097"/>
      <c r="AX112" s="1180" t="str">
        <f>IF(OR(C112="",F112="",L112="",P112="",R112="",T112="",X112="",Z112="",AB112="",AD112="",AF112=""),"",IF(AB112="Total",ROUND(MIN(AH112*0.75,AK112*INDEX(INCRATE[Gas],MATCH("CMNONLIGHT",INCRATE[Incentive Type]))),2),IF(AB112="Incremental",ROUND(MIN(AH112,AK112*INDEX(INCRATE[Gas],MATCH("CMNONLIGHT",INCRATE[Incentive Type]))),2))))</f>
        <v/>
      </c>
      <c r="AY112" s="1180" t="str">
        <f>IF(OR(C112="",F112="",L112="",P112="",R112="",T112="",X112="",Z112="",AB112="",AD112="",AF112=""),"",IF(AB112="Total",ROUND(MIN(AH112*0.75,AK112*INDEX(INCRATE[Gas],MATCH("NCNONLIGHT",INCRATE[Incentive Type]))),2),IF(AB112="Incremental",ROUND(MIN(AH112,AK112*INDEX(INCRATE[Gas],MATCH("NCNONLIGHT",INCRATE[Incentive Type]))),2))))</f>
        <v/>
      </c>
      <c r="AZ112" s="1180" t="str">
        <f>IF(OR(C112="",F112="",L112="",P112="",R112="",T112="",X112="",Z112="",AB112="",AD112="",AF112=""),"",IF(AB112="Total",ROUND(MIN(AH112*0.75,AK112*INDEX(INCRATE[Gas],MATCH("RCX",INCRATE[Incentive Type]))),2),IF(AB112="Incremental",ROUND(MIN(AH112,AK112*INDEX(INCRATE[Gas],MATCH("RCX",INCRATE[Incentive Type]))),2))))</f>
        <v/>
      </c>
      <c r="BA112" s="1097" t="str">
        <f>IF(F112="","",INDEX(PROGRAMGCAT[EUL],MATCH(F112,PROGRAMGCAT[Category 1],0)))</f>
        <v/>
      </c>
      <c r="BB112" s="1097" t="str">
        <f>IFERROR(AH112/M02S02F36/AK112,"")</f>
        <v/>
      </c>
      <c r="BC112" s="1190" t="str">
        <f>IF(OR(C112="",F112="",L112="",P112="",R112="",T112="",X112="",Z112="",AD112="",AF112=""),"",IF(ISNUMBER(AN112),INDEX(PROGRAMGCAT[Measure Number],MATCH(F112,PROGRAMGCAT[Category 1],0)),IF(AK112=0,"","000001")))</f>
        <v/>
      </c>
      <c r="BD112" s="1097" t="str">
        <f>IFERROR(IF((P112*R112)-(X112*Z112)&lt;=0,MEASURESAV,IF(M02S02F36="",MEASURERATE,IF(OR(F112="Others (Incremental)",F112="Others"),MEASURESUBMIT, IF(BB112&lt;1,MEASUREPAY,IF(AV112&lt;1,MEASURECB,""))))),MEASURESUBMIT)</f>
        <v>Submit for Review</v>
      </c>
    </row>
    <row r="113" spans="2:56" ht="15.95" hidden="1" customHeight="1">
      <c r="B113" s="829"/>
      <c r="C113" s="1205"/>
      <c r="D113" s="1205"/>
      <c r="E113" s="1205"/>
      <c r="F113" s="1088"/>
      <c r="G113" s="1088"/>
      <c r="H113" s="1088"/>
      <c r="I113" s="1088"/>
      <c r="J113" s="1088"/>
      <c r="K113" s="1088"/>
      <c r="L113" s="835"/>
      <c r="M113" s="836"/>
      <c r="N113" s="836"/>
      <c r="O113" s="837"/>
      <c r="P113" s="848"/>
      <c r="Q113" s="849"/>
      <c r="R113" s="1110"/>
      <c r="S113" s="1111"/>
      <c r="T113" s="1219"/>
      <c r="U113" s="1219"/>
      <c r="V113" s="1219"/>
      <c r="W113" s="1219"/>
      <c r="X113" s="848"/>
      <c r="Y113" s="849"/>
      <c r="Z113" s="1110"/>
      <c r="AA113" s="1111"/>
      <c r="AB113" s="1166"/>
      <c r="AC113" s="1166"/>
      <c r="AD113" s="870"/>
      <c r="AE113" s="1092"/>
      <c r="AF113" s="1195"/>
      <c r="AG113" s="1196"/>
      <c r="AH113" s="1130"/>
      <c r="AI113" s="1131"/>
      <c r="AJ113" s="1131"/>
      <c r="AK113" s="1211"/>
      <c r="AL113" s="1211"/>
      <c r="AM113" s="1211"/>
      <c r="AN113" s="1133"/>
      <c r="AO113" s="1133"/>
      <c r="AP113" s="1133"/>
      <c r="AQ113" s="1133"/>
      <c r="AR113" s="59"/>
      <c r="AU113" s="1102"/>
      <c r="AV113" s="1102"/>
      <c r="AW113" s="1098"/>
      <c r="AX113" s="1098"/>
      <c r="AY113" s="1098"/>
      <c r="AZ113" s="1098"/>
      <c r="BA113" s="1098"/>
      <c r="BB113" s="1098"/>
      <c r="BC113" s="1184"/>
      <c r="BD113" s="1098"/>
    </row>
    <row r="114" spans="2:56" ht="15.95" hidden="1" customHeight="1">
      <c r="B114" s="829">
        <v>50</v>
      </c>
      <c r="C114" s="1204"/>
      <c r="D114" s="1204"/>
      <c r="E114" s="1204"/>
      <c r="F114" s="1087"/>
      <c r="G114" s="1087"/>
      <c r="H114" s="1087"/>
      <c r="I114" s="1087"/>
      <c r="J114" s="1087"/>
      <c r="K114" s="1087"/>
      <c r="L114" s="866"/>
      <c r="M114" s="867"/>
      <c r="N114" s="867"/>
      <c r="O114" s="868"/>
      <c r="P114" s="846"/>
      <c r="Q114" s="847"/>
      <c r="R114" s="1108"/>
      <c r="S114" s="1109"/>
      <c r="T114" s="1218"/>
      <c r="U114" s="1218"/>
      <c r="V114" s="1218"/>
      <c r="W114" s="1218"/>
      <c r="X114" s="871"/>
      <c r="Y114" s="872"/>
      <c r="Z114" s="1108"/>
      <c r="AA114" s="1109"/>
      <c r="AB114" s="1165" t="str">
        <f t="shared" ref="AB114" si="233">IF(C114="New Construction","Incremental","")</f>
        <v/>
      </c>
      <c r="AC114" s="1165"/>
      <c r="AD114" s="869"/>
      <c r="AE114" s="1091"/>
      <c r="AF114" s="1193" t="str">
        <f t="shared" ref="AF114" si="234">IF(AB114="Incremental",0,"")</f>
        <v/>
      </c>
      <c r="AG114" s="1194"/>
      <c r="AH114" s="865" t="str">
        <f t="shared" ref="AH114" si="235">IF(OR(C114="",F114="",L114="",P114="",R114="",T114="",X114="",Z114="",AD114="",AF114=""),"",ROUND(AD114+AF114,2))</f>
        <v/>
      </c>
      <c r="AI114" s="1096"/>
      <c r="AJ114" s="1096"/>
      <c r="AK114" s="1210" t="str">
        <f t="shared" ref="AK114" si="236">IF(OR(C114="",F114="",F114="",L114="",P114="",R114="",T114="",X114="",Z114="",AD114="",AF114=""),"",IF((P114*R114)-(X114*Z114)&lt;=0,0,ROUND((P114*R114)-(X114*Z114),2)))</f>
        <v/>
      </c>
      <c r="AL114" s="1210"/>
      <c r="AM114" s="1210"/>
      <c r="AN114" s="1132" t="str">
        <f t="shared" ref="AN114" si="237">IF(OR(C114="",F114="",F114="",L114="",P114="",R114="",T114="",X114="",Z114="",AD114="",AF114=""),"",IF(BD114&lt;&gt;"",BD114,IF(C114="Custom",AX114,IF(C114="New Construction",AY114,IF(C114="RCx",AZ114)))))</f>
        <v/>
      </c>
      <c r="AO114" s="1132"/>
      <c r="AP114" s="1132"/>
      <c r="AQ114" s="1132"/>
      <c r="AR114" s="59"/>
      <c r="AU114" s="1103" t="str">
        <f>IF(F114="","",INDEX(CUSTNONLIGHTGUNIT,MATCH(F114,PROGRAMGCAT[Category 1],0)))</f>
        <v/>
      </c>
      <c r="AV114" s="1103" t="str">
        <f>IF(OR(C114="",F114="",L114="",P114="",R114="",T114="",X114="",Z114="",AD114="",AF114=""),"",((1+GLOSS)*((AK114*INDEX(GASCB[NPV GAEC $/therm],MATCH(BA114,GASCB[Year Number],1))))/AH114))</f>
        <v/>
      </c>
      <c r="AW114" s="1097"/>
      <c r="AX114" s="1180" t="str">
        <f>IF(OR(C114="",F114="",L114="",P114="",R114="",T114="",X114="",Z114="",AB114="",AD114="",AF114=""),"",IF(AB114="Total",ROUND(MIN(AH114*0.75,AK114*INDEX(INCRATE[Gas],MATCH("CMNONLIGHT",INCRATE[Incentive Type]))),2),IF(AB114="Incremental",ROUND(MIN(AH114,AK114*INDEX(INCRATE[Gas],MATCH("CMNONLIGHT",INCRATE[Incentive Type]))),2))))</f>
        <v/>
      </c>
      <c r="AY114" s="1180" t="str">
        <f>IF(OR(C114="",F114="",L114="",P114="",R114="",T114="",X114="",Z114="",AB114="",AD114="",AF114=""),"",IF(AB114="Total",ROUND(MIN(AH114*0.75,AK114*INDEX(INCRATE[Gas],MATCH("NCNONLIGHT",INCRATE[Incentive Type]))),2),IF(AB114="Incremental",ROUND(MIN(AH114,AK114*INDEX(INCRATE[Gas],MATCH("NCNONLIGHT",INCRATE[Incentive Type]))),2))))</f>
        <v/>
      </c>
      <c r="AZ114" s="1180" t="str">
        <f>IF(OR(C114="",F114="",L114="",P114="",R114="",T114="",X114="",Z114="",AB114="",AD114="",AF114=""),"",IF(AB114="Total",ROUND(MIN(AH114*0.75,AK114*INDEX(INCRATE[Gas],MATCH("RCX",INCRATE[Incentive Type]))),2),IF(AB114="Incremental",ROUND(MIN(AH114,AK114*INDEX(INCRATE[Gas],MATCH("RCX",INCRATE[Incentive Type]))),2))))</f>
        <v/>
      </c>
      <c r="BA114" s="1097" t="str">
        <f>IF(F114="","",INDEX(PROGRAMGCAT[EUL],MATCH(F114,PROGRAMGCAT[Category 1],0)))</f>
        <v/>
      </c>
      <c r="BB114" s="1097" t="str">
        <f>IFERROR(AH114/M02S02F36/AK114,"")</f>
        <v/>
      </c>
      <c r="BC114" s="1190" t="str">
        <f>IF(OR(C114="",F114="",L114="",P114="",R114="",T114="",X114="",Z114="",AD114="",AF114=""),"",IF(ISNUMBER(AN114),INDEX(PROGRAMGCAT[Measure Number],MATCH(F114,PROGRAMGCAT[Category 1],0)),IF(AK114=0,"","000001")))</f>
        <v/>
      </c>
      <c r="BD114" s="1097" t="str">
        <f>IFERROR(IF((P114*R114)-(X114*Z114)&lt;=0,MEASURESAV,IF(M02S02F36="",MEASURERATE,IF(OR(F114="Others (Incremental)",F114="Others"),MEASURESUBMIT, IF(BB114&lt;1,MEASUREPAY,IF(AV114&lt;1,MEASURECB,""))))),MEASURESUBMIT)</f>
        <v>Submit for Review</v>
      </c>
    </row>
    <row r="115" spans="2:56" ht="15.95" hidden="1" customHeight="1">
      <c r="B115" s="829"/>
      <c r="C115" s="1205"/>
      <c r="D115" s="1205"/>
      <c r="E115" s="1205"/>
      <c r="F115" s="1088"/>
      <c r="G115" s="1088"/>
      <c r="H115" s="1088"/>
      <c r="I115" s="1088"/>
      <c r="J115" s="1088"/>
      <c r="K115" s="1088"/>
      <c r="L115" s="835"/>
      <c r="M115" s="836"/>
      <c r="N115" s="836"/>
      <c r="O115" s="837"/>
      <c r="P115" s="848"/>
      <c r="Q115" s="849"/>
      <c r="R115" s="1110"/>
      <c r="S115" s="1111"/>
      <c r="T115" s="1219"/>
      <c r="U115" s="1219"/>
      <c r="V115" s="1219"/>
      <c r="W115" s="1219"/>
      <c r="X115" s="848"/>
      <c r="Y115" s="849"/>
      <c r="Z115" s="1110"/>
      <c r="AA115" s="1111"/>
      <c r="AB115" s="1166"/>
      <c r="AC115" s="1166"/>
      <c r="AD115" s="870"/>
      <c r="AE115" s="1092"/>
      <c r="AF115" s="1195"/>
      <c r="AG115" s="1196"/>
      <c r="AH115" s="1130"/>
      <c r="AI115" s="1131"/>
      <c r="AJ115" s="1131"/>
      <c r="AK115" s="1211"/>
      <c r="AL115" s="1211"/>
      <c r="AM115" s="1211"/>
      <c r="AN115" s="1133"/>
      <c r="AO115" s="1133"/>
      <c r="AP115" s="1133"/>
      <c r="AQ115" s="1133"/>
      <c r="AR115" s="59"/>
      <c r="AU115" s="1102"/>
      <c r="AV115" s="1102"/>
      <c r="AW115" s="1098"/>
      <c r="AX115" s="1098"/>
      <c r="AY115" s="1098"/>
      <c r="AZ115" s="1098"/>
      <c r="BA115" s="1098"/>
      <c r="BB115" s="1098"/>
      <c r="BC115" s="1184"/>
      <c r="BD115" s="1098"/>
    </row>
    <row r="116" spans="2:56" ht="15.95" hidden="1" customHeight="1">
      <c r="B116" s="829">
        <v>51</v>
      </c>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row>
    <row r="117" spans="2:56" ht="15.95" hidden="1" customHeight="1">
      <c r="B117" s="82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row>
    <row r="118" spans="2:56" ht="15.95" hidden="1" customHeight="1">
      <c r="B118" s="829">
        <v>52</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row>
    <row r="119" spans="2:56" ht="15.95" hidden="1" customHeight="1">
      <c r="B119" s="82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row>
    <row r="120" spans="2:56" ht="15.95" hidden="1" customHeight="1">
      <c r="B120" s="829">
        <v>53</v>
      </c>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row>
    <row r="121" spans="2:56" ht="15.95" hidden="1" customHeight="1">
      <c r="B121" s="82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row>
    <row r="122" spans="2:56" ht="15.95" hidden="1" customHeight="1">
      <c r="B122" s="829">
        <v>54</v>
      </c>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row>
    <row r="123" spans="2:56" ht="15.95" hidden="1" customHeight="1">
      <c r="B123" s="829"/>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59"/>
    </row>
    <row r="124" spans="2:56" ht="15.95" hidden="1" customHeight="1">
      <c r="B124" s="829">
        <v>55</v>
      </c>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59"/>
    </row>
    <row r="125" spans="2:56" ht="15.95" hidden="1" customHeight="1">
      <c r="B125" s="829"/>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59"/>
    </row>
    <row r="126" spans="2:56" ht="15.95" hidden="1" customHeight="1">
      <c r="B126" s="829">
        <v>56</v>
      </c>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59"/>
    </row>
    <row r="127" spans="2:56" ht="15.95" hidden="1" customHeight="1">
      <c r="B127" s="829"/>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59"/>
    </row>
    <row r="128" spans="2:56" ht="15.95" hidden="1" customHeight="1">
      <c r="B128" s="829">
        <v>57</v>
      </c>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59"/>
    </row>
    <row r="129" spans="2:44" ht="15.95" hidden="1" customHeight="1">
      <c r="B129" s="829"/>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59"/>
    </row>
    <row r="130" spans="2:44" ht="15.95" hidden="1" customHeight="1">
      <c r="B130" s="829">
        <v>58</v>
      </c>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59"/>
    </row>
    <row r="131" spans="2:44" ht="15.95" hidden="1" customHeight="1">
      <c r="B131" s="829"/>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59"/>
    </row>
    <row r="132" spans="2:44" ht="15.95" hidden="1" customHeight="1">
      <c r="B132" s="829">
        <v>59</v>
      </c>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59"/>
    </row>
    <row r="133" spans="2:44" ht="15.95" hidden="1" customHeight="1">
      <c r="B133" s="829"/>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59"/>
    </row>
    <row r="134" spans="2:44" ht="15.95" hidden="1" customHeight="1">
      <c r="B134" s="829">
        <v>60</v>
      </c>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59"/>
    </row>
    <row r="135" spans="2:44" ht="15.95" hidden="1" customHeight="1">
      <c r="B135" s="829"/>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c r="AG135" s="68"/>
      <c r="AH135" s="68"/>
      <c r="AI135" s="68"/>
      <c r="AJ135" s="68"/>
      <c r="AK135" s="68"/>
      <c r="AL135" s="68"/>
      <c r="AM135" s="68"/>
      <c r="AN135" s="68"/>
      <c r="AO135" s="68"/>
      <c r="AP135" s="68"/>
      <c r="AQ135" s="68"/>
      <c r="AR135" s="59"/>
    </row>
    <row r="136" spans="2:44" ht="15.95" hidden="1" customHeight="1">
      <c r="B136" s="829">
        <v>61</v>
      </c>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59"/>
    </row>
    <row r="137" spans="2:44" ht="15.95" hidden="1" customHeight="1">
      <c r="B137" s="829"/>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c r="AD137" s="68"/>
      <c r="AE137" s="68"/>
      <c r="AF137" s="68"/>
      <c r="AG137" s="68"/>
      <c r="AH137" s="68"/>
      <c r="AI137" s="68"/>
      <c r="AJ137" s="68"/>
      <c r="AK137" s="68"/>
      <c r="AL137" s="68"/>
      <c r="AM137" s="68"/>
      <c r="AN137" s="68"/>
      <c r="AO137" s="68"/>
      <c r="AP137" s="68"/>
      <c r="AQ137" s="68"/>
      <c r="AR137" s="59"/>
    </row>
    <row r="138" spans="2:44" ht="15.95" hidden="1" customHeight="1">
      <c r="B138" s="829">
        <v>62</v>
      </c>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59"/>
    </row>
    <row r="139" spans="2:44" ht="15.95" hidden="1" customHeight="1">
      <c r="B139" s="829"/>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59"/>
    </row>
    <row r="140" spans="2:44" ht="15.95" hidden="1" customHeight="1">
      <c r="B140" s="829">
        <v>63</v>
      </c>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59"/>
    </row>
    <row r="141" spans="2:44" ht="15.95" hidden="1" customHeight="1">
      <c r="B141" s="829"/>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c r="AH141" s="68"/>
      <c r="AI141" s="68"/>
      <c r="AJ141" s="68"/>
      <c r="AK141" s="68"/>
      <c r="AL141" s="68"/>
      <c r="AM141" s="68"/>
      <c r="AN141" s="68"/>
      <c r="AO141" s="68"/>
      <c r="AP141" s="68"/>
      <c r="AQ141" s="68"/>
      <c r="AR141" s="59"/>
    </row>
    <row r="142" spans="2:44" ht="15.95" hidden="1" customHeight="1">
      <c r="B142" s="829">
        <v>64</v>
      </c>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59"/>
    </row>
    <row r="143" spans="2:44" ht="15.95" hidden="1" customHeight="1">
      <c r="B143" s="829"/>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c r="AD143" s="68"/>
      <c r="AE143" s="68"/>
      <c r="AF143" s="68"/>
      <c r="AG143" s="68"/>
      <c r="AH143" s="68"/>
      <c r="AI143" s="68"/>
      <c r="AJ143" s="68"/>
      <c r="AK143" s="68"/>
      <c r="AL143" s="68"/>
      <c r="AM143" s="68"/>
      <c r="AN143" s="68"/>
      <c r="AO143" s="68"/>
      <c r="AP143" s="68"/>
      <c r="AQ143" s="68"/>
      <c r="AR143" s="59"/>
    </row>
    <row r="144" spans="2:44" ht="15.95" hidden="1" customHeight="1">
      <c r="B144" s="829">
        <v>65</v>
      </c>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59"/>
    </row>
    <row r="145" spans="2:44" ht="15.95" hidden="1" customHeight="1">
      <c r="B145" s="829"/>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c r="AD145" s="68"/>
      <c r="AE145" s="68"/>
      <c r="AF145" s="68"/>
      <c r="AG145" s="68"/>
      <c r="AH145" s="68"/>
      <c r="AI145" s="68"/>
      <c r="AJ145" s="68"/>
      <c r="AK145" s="68"/>
      <c r="AL145" s="68"/>
      <c r="AM145" s="68"/>
      <c r="AN145" s="68"/>
      <c r="AO145" s="68"/>
      <c r="AP145" s="68"/>
      <c r="AQ145" s="68"/>
      <c r="AR145" s="59"/>
    </row>
    <row r="146" spans="2:44" ht="15.95" hidden="1" customHeight="1">
      <c r="B146" s="829">
        <v>66</v>
      </c>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59"/>
    </row>
    <row r="147" spans="2:44" ht="15.95" hidden="1" customHeight="1">
      <c r="B147" s="829"/>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59"/>
    </row>
    <row r="148" spans="2:44" ht="15.95" hidden="1" customHeight="1">
      <c r="B148" s="829">
        <v>67</v>
      </c>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59"/>
    </row>
    <row r="149" spans="2:44" ht="15.95" hidden="1" customHeight="1">
      <c r="B149" s="829"/>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59"/>
    </row>
    <row r="150" spans="2:44" ht="15.95" hidden="1" customHeight="1">
      <c r="B150" s="829">
        <v>68</v>
      </c>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59"/>
    </row>
    <row r="151" spans="2:44" ht="15.95" hidden="1" customHeight="1">
      <c r="B151" s="829"/>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59"/>
    </row>
    <row r="152" spans="2:44" ht="15.95" hidden="1" customHeight="1">
      <c r="B152" s="829">
        <v>69</v>
      </c>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59"/>
    </row>
    <row r="153" spans="2:44" ht="15.95" hidden="1" customHeight="1">
      <c r="B153" s="829"/>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c r="AN153" s="68"/>
      <c r="AO153" s="68"/>
      <c r="AP153" s="68"/>
      <c r="AQ153" s="68"/>
      <c r="AR153" s="59"/>
    </row>
    <row r="154" spans="2:44" ht="15.95" hidden="1" customHeight="1">
      <c r="B154" s="829">
        <v>70</v>
      </c>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59"/>
    </row>
    <row r="155" spans="2:44" ht="15.95" hidden="1" customHeight="1">
      <c r="B155" s="829"/>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c r="AD155" s="68"/>
      <c r="AE155" s="68"/>
      <c r="AF155" s="68"/>
      <c r="AG155" s="68"/>
      <c r="AH155" s="68"/>
      <c r="AI155" s="68"/>
      <c r="AJ155" s="68"/>
      <c r="AK155" s="68"/>
      <c r="AL155" s="68"/>
      <c r="AM155" s="68"/>
      <c r="AN155" s="68"/>
      <c r="AO155" s="68"/>
      <c r="AP155" s="68"/>
      <c r="AQ155" s="68"/>
      <c r="AR155" s="59"/>
    </row>
    <row r="156" spans="2:44" ht="15.95" hidden="1" customHeight="1">
      <c r="B156" s="829">
        <v>71</v>
      </c>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59"/>
    </row>
    <row r="157" spans="2:44" ht="15.95" hidden="1" customHeight="1">
      <c r="B157" s="829"/>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c r="AD157" s="68"/>
      <c r="AE157" s="68"/>
      <c r="AF157" s="68"/>
      <c r="AG157" s="68"/>
      <c r="AH157" s="68"/>
      <c r="AI157" s="68"/>
      <c r="AJ157" s="68"/>
      <c r="AK157" s="68"/>
      <c r="AL157" s="68"/>
      <c r="AM157" s="68"/>
      <c r="AN157" s="68"/>
      <c r="AO157" s="68"/>
      <c r="AP157" s="68"/>
      <c r="AQ157" s="68"/>
      <c r="AR157" s="59"/>
    </row>
    <row r="158" spans="2:44" ht="15.95" hidden="1" customHeight="1">
      <c r="B158" s="829">
        <v>72</v>
      </c>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59"/>
    </row>
    <row r="159" spans="2:44" ht="15.95" hidden="1" customHeight="1">
      <c r="B159" s="829"/>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c r="AH159" s="68"/>
      <c r="AI159" s="68"/>
      <c r="AJ159" s="68"/>
      <c r="AK159" s="68"/>
      <c r="AL159" s="68"/>
      <c r="AM159" s="68"/>
      <c r="AN159" s="68"/>
      <c r="AO159" s="68"/>
      <c r="AP159" s="68"/>
      <c r="AQ159" s="68"/>
      <c r="AR159" s="59"/>
    </row>
    <row r="160" spans="2:44" ht="15.95" hidden="1" customHeight="1">
      <c r="B160" s="829">
        <v>73</v>
      </c>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59"/>
    </row>
    <row r="161" spans="2:44" ht="15.95" hidden="1" customHeight="1">
      <c r="B161" s="829"/>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c r="AH161" s="68"/>
      <c r="AI161" s="68"/>
      <c r="AJ161" s="68"/>
      <c r="AK161" s="68"/>
      <c r="AL161" s="68"/>
      <c r="AM161" s="68"/>
      <c r="AN161" s="68"/>
      <c r="AO161" s="68"/>
      <c r="AP161" s="68"/>
      <c r="AQ161" s="68"/>
      <c r="AR161" s="59"/>
    </row>
    <row r="162" spans="2:44" ht="15.95" hidden="1" customHeight="1">
      <c r="B162" s="829">
        <v>74</v>
      </c>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59"/>
    </row>
    <row r="163" spans="2:44" ht="15.95" hidden="1" customHeight="1">
      <c r="B163" s="829"/>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59"/>
    </row>
    <row r="164" spans="2:44" ht="15.95" hidden="1" customHeight="1">
      <c r="B164" s="829">
        <v>75</v>
      </c>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59"/>
    </row>
    <row r="165" spans="2:44" ht="15.95" hidden="1" customHeight="1">
      <c r="B165" s="829"/>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c r="AD165" s="68"/>
      <c r="AE165" s="68"/>
      <c r="AF165" s="68"/>
      <c r="AG165" s="68"/>
      <c r="AH165" s="68"/>
      <c r="AI165" s="68"/>
      <c r="AJ165" s="68"/>
      <c r="AK165" s="68"/>
      <c r="AL165" s="68"/>
      <c r="AM165" s="68"/>
      <c r="AN165" s="68"/>
      <c r="AO165" s="68"/>
      <c r="AP165" s="68"/>
      <c r="AQ165" s="68"/>
      <c r="AR165" s="59"/>
    </row>
    <row r="166" spans="2:44" ht="15.95" hidden="1" customHeight="1">
      <c r="B166" s="829">
        <v>76</v>
      </c>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59"/>
    </row>
    <row r="167" spans="2:44" ht="15.95" hidden="1" customHeight="1">
      <c r="B167" s="829"/>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59"/>
    </row>
    <row r="168" spans="2:44" ht="15.95" hidden="1" customHeight="1">
      <c r="B168" s="829">
        <v>77</v>
      </c>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59"/>
    </row>
    <row r="169" spans="2:44" ht="15.95" hidden="1" customHeight="1">
      <c r="B169" s="829"/>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c r="AD169" s="68"/>
      <c r="AE169" s="68"/>
      <c r="AF169" s="68"/>
      <c r="AG169" s="68"/>
      <c r="AH169" s="68"/>
      <c r="AI169" s="68"/>
      <c r="AJ169" s="68"/>
      <c r="AK169" s="68"/>
      <c r="AL169" s="68"/>
      <c r="AM169" s="68"/>
      <c r="AN169" s="68"/>
      <c r="AO169" s="68"/>
      <c r="AP169" s="68"/>
      <c r="AQ169" s="68"/>
      <c r="AR169" s="59"/>
    </row>
    <row r="170" spans="2:44" ht="15.95" hidden="1" customHeight="1">
      <c r="B170" s="829">
        <v>78</v>
      </c>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59"/>
    </row>
    <row r="171" spans="2:44" ht="15.95" hidden="1" customHeight="1">
      <c r="B171" s="829"/>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59"/>
    </row>
    <row r="172" spans="2:44" ht="15.95" hidden="1" customHeight="1">
      <c r="B172" s="829">
        <v>79</v>
      </c>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59"/>
    </row>
    <row r="173" spans="2:44" ht="15.95" hidden="1" customHeight="1">
      <c r="B173" s="829"/>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c r="AD173" s="68"/>
      <c r="AE173" s="68"/>
      <c r="AF173" s="68"/>
      <c r="AG173" s="68"/>
      <c r="AH173" s="68"/>
      <c r="AI173" s="68"/>
      <c r="AJ173" s="68"/>
      <c r="AK173" s="68"/>
      <c r="AL173" s="68"/>
      <c r="AM173" s="68"/>
      <c r="AN173" s="68"/>
      <c r="AO173" s="68"/>
      <c r="AP173" s="68"/>
      <c r="AQ173" s="68"/>
      <c r="AR173" s="59"/>
    </row>
    <row r="174" spans="2:44" ht="15.95" hidden="1" customHeight="1">
      <c r="B174" s="829">
        <v>80</v>
      </c>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59"/>
    </row>
    <row r="175" spans="2:44" ht="15.95" hidden="1" customHeight="1">
      <c r="B175" s="829"/>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59"/>
    </row>
    <row r="176" spans="2:44" ht="15.95" hidden="1" customHeight="1">
      <c r="B176" s="829">
        <v>81</v>
      </c>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59"/>
    </row>
    <row r="177" spans="2:44" ht="15.95" hidden="1" customHeight="1">
      <c r="B177" s="829"/>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59"/>
    </row>
    <row r="178" spans="2:44" ht="15.95" hidden="1" customHeight="1">
      <c r="B178" s="829">
        <v>82</v>
      </c>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59"/>
    </row>
    <row r="179" spans="2:44" ht="15.95" hidden="1" customHeight="1">
      <c r="B179" s="829"/>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59"/>
    </row>
    <row r="180" spans="2:44" ht="15.95" hidden="1" customHeight="1">
      <c r="B180" s="829">
        <v>83</v>
      </c>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59"/>
    </row>
    <row r="181" spans="2:44" ht="15.95" hidden="1" customHeight="1">
      <c r="B181" s="829"/>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c r="AG181" s="68"/>
      <c r="AH181" s="68"/>
      <c r="AI181" s="68"/>
      <c r="AJ181" s="68"/>
      <c r="AK181" s="68"/>
      <c r="AL181" s="68"/>
      <c r="AM181" s="68"/>
      <c r="AN181" s="68"/>
      <c r="AO181" s="68"/>
      <c r="AP181" s="68"/>
      <c r="AQ181" s="68"/>
      <c r="AR181" s="59"/>
    </row>
    <row r="182" spans="2:44" ht="15.95" hidden="1" customHeight="1">
      <c r="B182" s="829">
        <v>84</v>
      </c>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59"/>
    </row>
    <row r="183" spans="2:44" ht="15.95" hidden="1" customHeight="1">
      <c r="B183" s="829"/>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c r="AG183" s="68"/>
      <c r="AH183" s="68"/>
      <c r="AI183" s="68"/>
      <c r="AJ183" s="68"/>
      <c r="AK183" s="68"/>
      <c r="AL183" s="68"/>
      <c r="AM183" s="68"/>
      <c r="AN183" s="68"/>
      <c r="AO183" s="68"/>
      <c r="AP183" s="68"/>
      <c r="AQ183" s="68"/>
      <c r="AR183" s="59"/>
    </row>
    <row r="184" spans="2:44" ht="15.95" hidden="1" customHeight="1">
      <c r="B184" s="829">
        <v>85</v>
      </c>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59"/>
    </row>
    <row r="185" spans="2:44" ht="15.95" hidden="1" customHeight="1">
      <c r="B185" s="829"/>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c r="AN185" s="68"/>
      <c r="AO185" s="68"/>
      <c r="AP185" s="68"/>
      <c r="AQ185" s="68"/>
      <c r="AR185" s="59"/>
    </row>
    <row r="186" spans="2:44" ht="15.95" hidden="1" customHeight="1">
      <c r="B186" s="923">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4" ht="15.95" hidden="1" customHeight="1">
      <c r="B187" s="923"/>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4" ht="15.95" hidden="1" customHeight="1">
      <c r="B188" s="923">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4" ht="15.95" hidden="1" customHeight="1">
      <c r="B189" s="923"/>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4" ht="15.95" hidden="1" customHeight="1">
      <c r="B190" s="923">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4" ht="15.95" hidden="1" customHeight="1">
      <c r="B191" s="923"/>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4" ht="15.95" hidden="1" customHeight="1">
      <c r="B192" s="923">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4" ht="15.95" hidden="1" customHeight="1">
      <c r="B193" s="923"/>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4" ht="15.95" hidden="1" customHeight="1">
      <c r="B194" s="923">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4" ht="15.95" hidden="1" customHeight="1">
      <c r="B195" s="923"/>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4" ht="15.95" hidden="1" customHeight="1">
      <c r="B196" s="923">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4" ht="15.95" hidden="1" customHeight="1">
      <c r="B197" s="923"/>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4" ht="15.95" hidden="1" customHeight="1">
      <c r="B198" s="923">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4" ht="15.95" hidden="1" customHeight="1">
      <c r="B199" s="923"/>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4" ht="15.95" customHeight="1">
      <c r="B200" s="277" t="str">
        <f>FOOT1</f>
        <v>NIPSCO Energy Efficiency Program</v>
      </c>
      <c r="C200" s="277"/>
      <c r="D200" s="277"/>
      <c r="E200" s="277"/>
      <c r="F200" s="277"/>
      <c r="G200" s="277"/>
      <c r="H200" s="277"/>
      <c r="I200" s="277"/>
      <c r="J200" s="277"/>
      <c r="K200" s="277"/>
      <c r="L200" s="277"/>
      <c r="M200" s="689" t="str">
        <f>FOOT4</f>
        <v>NIPSCO’s energy efficiency programs are administered by TRC, a third‐party implementation specialist that helps homes and businesses save energy.</v>
      </c>
      <c r="N200" s="689"/>
      <c r="O200" s="689"/>
      <c r="P200" s="689"/>
      <c r="Q200" s="689"/>
      <c r="R200" s="689"/>
      <c r="S200" s="689"/>
      <c r="T200" s="689"/>
      <c r="U200" s="689"/>
      <c r="V200" s="689"/>
      <c r="W200" s="689"/>
      <c r="X200" s="689"/>
      <c r="Y200" s="689"/>
      <c r="Z200" s="689"/>
      <c r="AA200" s="689"/>
      <c r="AB200" s="689"/>
      <c r="AC200" s="689"/>
      <c r="AD200" s="689"/>
      <c r="AE200" s="689"/>
      <c r="AF200" s="689"/>
      <c r="AG200" s="689"/>
      <c r="AH200" s="277"/>
      <c r="AI200" s="277"/>
      <c r="AJ200" s="277"/>
      <c r="AK200" s="277"/>
      <c r="AL200" s="277"/>
      <c r="AM200" s="277"/>
      <c r="AN200" s="277"/>
      <c r="AO200" s="277"/>
      <c r="AP200" s="277"/>
      <c r="AQ200" s="277"/>
      <c r="AR200" s="280" t="str">
        <f>FOOTDISCLAIM</f>
        <v/>
      </c>
    </row>
    <row r="201" spans="2:44" ht="15.95" customHeight="1">
      <c r="B201" s="277" t="str">
        <f>FOOT2</f>
        <v>Toll-Free 800-299-2501</v>
      </c>
      <c r="C201" s="277"/>
      <c r="D201" s="277"/>
      <c r="E201" s="277"/>
      <c r="F201" s="277"/>
      <c r="G201" s="277"/>
      <c r="H201" s="277"/>
      <c r="I201" s="277"/>
      <c r="J201" s="277"/>
      <c r="K201" s="277"/>
      <c r="L201" s="277"/>
      <c r="M201" s="689"/>
      <c r="N201" s="689"/>
      <c r="O201" s="689"/>
      <c r="P201" s="689"/>
      <c r="Q201" s="689"/>
      <c r="R201" s="689"/>
      <c r="S201" s="689"/>
      <c r="T201" s="689"/>
      <c r="U201" s="689"/>
      <c r="V201" s="689"/>
      <c r="W201" s="689"/>
      <c r="X201" s="689"/>
      <c r="Y201" s="689"/>
      <c r="Z201" s="689"/>
      <c r="AA201" s="689"/>
      <c r="AB201" s="689"/>
      <c r="AC201" s="689"/>
      <c r="AD201" s="689"/>
      <c r="AE201" s="689"/>
      <c r="AF201" s="689"/>
      <c r="AG201" s="689"/>
      <c r="AH201" s="277"/>
      <c r="AI201" s="277"/>
      <c r="AJ201" s="277"/>
      <c r="AK201" s="277"/>
      <c r="AL201" s="277"/>
      <c r="AM201" s="277"/>
      <c r="AN201" s="277"/>
      <c r="AO201" s="277"/>
      <c r="AP201" s="277"/>
      <c r="AQ201" s="277"/>
      <c r="AR201" s="280" t="str">
        <f>FOOT5</f>
        <v/>
      </c>
    </row>
    <row r="202" spans="2:44" ht="15.95" customHeight="1">
      <c r="B202" s="281" t="s">
        <v>1551</v>
      </c>
      <c r="C202" s="277"/>
      <c r="D202" s="277"/>
      <c r="E202" s="277"/>
      <c r="F202" s="277"/>
      <c r="G202" s="277"/>
      <c r="H202" s="277"/>
      <c r="I202" s="277"/>
      <c r="J202" s="277"/>
      <c r="K202" s="277"/>
      <c r="L202" s="277"/>
      <c r="M202" s="279"/>
      <c r="N202" s="277"/>
      <c r="O202" s="277"/>
      <c r="P202" s="279"/>
      <c r="Q202" s="279"/>
      <c r="R202" s="279"/>
      <c r="S202" s="279"/>
      <c r="T202" s="279"/>
      <c r="U202" s="279"/>
      <c r="V202" s="279"/>
      <c r="W202" s="283" t="str">
        <f>VERSION</f>
        <v>Custom Prescriptive Application v3.7.0</v>
      </c>
      <c r="X202" s="279"/>
      <c r="Y202" s="279"/>
      <c r="Z202" s="279"/>
      <c r="AA202" s="279"/>
      <c r="AB202" s="279"/>
      <c r="AC202" s="279"/>
      <c r="AD202" s="279"/>
      <c r="AE202" s="277"/>
      <c r="AF202" s="277"/>
      <c r="AG202" s="277"/>
      <c r="AH202" s="277"/>
      <c r="AI202" s="277"/>
      <c r="AJ202" s="277"/>
      <c r="AK202" s="277"/>
      <c r="AL202" s="277"/>
      <c r="AM202" s="277"/>
      <c r="AN202" s="277"/>
      <c r="AO202" s="277"/>
      <c r="AP202" s="277"/>
      <c r="AQ202" s="277"/>
      <c r="AR202" s="280" t="str">
        <f>FOOT6</f>
        <v>Product of TRC</v>
      </c>
    </row>
    <row r="203" spans="2:44" ht="15" hidden="1" customHeight="1"/>
  </sheetData>
  <sheetProtection algorithmName="SHA-512" hashValue="VLd/DVQdifRr0eNZq7uLbuDiNNmN72ndpx6Tcb310VkjpT+QWgYRKY+OJCm+qnHJLaGi/kZhcBKPmPIiWlP6yA==" saltValue="1WcxlcuEMPlM+IdrhyVbww==" spinCount="100000" sheet="1" objects="1" scenarios="1" selectLockedCells="1"/>
  <mergeCells count="1343">
    <mergeCell ref="BD14:BD15"/>
    <mergeCell ref="BD16:BD17"/>
    <mergeCell ref="BD18:BD19"/>
    <mergeCell ref="BD20:BD21"/>
    <mergeCell ref="BD22:BD23"/>
    <mergeCell ref="BD24:BD25"/>
    <mergeCell ref="BD26:BD27"/>
    <mergeCell ref="BD28:BD29"/>
    <mergeCell ref="BD30:BD31"/>
    <mergeCell ref="BD32:BD33"/>
    <mergeCell ref="BD34:BD35"/>
    <mergeCell ref="AX112:AX113"/>
    <mergeCell ref="AY114:AY115"/>
    <mergeCell ref="AZ114:AZ115"/>
    <mergeCell ref="BA114:BA115"/>
    <mergeCell ref="BB114:BB115"/>
    <mergeCell ref="BC114:BC115"/>
    <mergeCell ref="BD114:BD115"/>
    <mergeCell ref="AY112:AY113"/>
    <mergeCell ref="AZ112:AZ113"/>
    <mergeCell ref="BA112:BA113"/>
    <mergeCell ref="BB112:BB113"/>
    <mergeCell ref="BC112:BC113"/>
    <mergeCell ref="BD112:BD113"/>
    <mergeCell ref="AX114:AX115"/>
    <mergeCell ref="AX108:AX109"/>
    <mergeCell ref="BA108:BA109"/>
    <mergeCell ref="BB108:BB109"/>
    <mergeCell ref="BC108:BC109"/>
    <mergeCell ref="BD108:BD109"/>
    <mergeCell ref="AX110:AX111"/>
    <mergeCell ref="AY110:AY111"/>
    <mergeCell ref="C114:E115"/>
    <mergeCell ref="F114:K115"/>
    <mergeCell ref="L114:O115"/>
    <mergeCell ref="P114:Q115"/>
    <mergeCell ref="R114:S115"/>
    <mergeCell ref="T114:W115"/>
    <mergeCell ref="X114:Y115"/>
    <mergeCell ref="Z114:AA115"/>
    <mergeCell ref="AB114:AC115"/>
    <mergeCell ref="AD114:AE115"/>
    <mergeCell ref="AF114:AG115"/>
    <mergeCell ref="AH114:AJ115"/>
    <mergeCell ref="AK114:AM115"/>
    <mergeCell ref="AN114:AQ115"/>
    <mergeCell ref="AU114:AU115"/>
    <mergeCell ref="AV114:AV115"/>
    <mergeCell ref="AW114:AW115"/>
    <mergeCell ref="C112:E113"/>
    <mergeCell ref="F112:K113"/>
    <mergeCell ref="L112:O113"/>
    <mergeCell ref="P112:Q113"/>
    <mergeCell ref="R112:S113"/>
    <mergeCell ref="T112:W113"/>
    <mergeCell ref="X112:Y113"/>
    <mergeCell ref="Z112:AA113"/>
    <mergeCell ref="AB112:AC113"/>
    <mergeCell ref="AD112:AE113"/>
    <mergeCell ref="AF112:AG113"/>
    <mergeCell ref="AH112:AJ113"/>
    <mergeCell ref="AK112:AM113"/>
    <mergeCell ref="AN112:AQ113"/>
    <mergeCell ref="AU112:AU113"/>
    <mergeCell ref="AV112:AV113"/>
    <mergeCell ref="AW112:AW113"/>
    <mergeCell ref="L108:O109"/>
    <mergeCell ref="P108:Q109"/>
    <mergeCell ref="R108:S109"/>
    <mergeCell ref="T108:W109"/>
    <mergeCell ref="X108:Y109"/>
    <mergeCell ref="Z108:AA109"/>
    <mergeCell ref="AB108:AC109"/>
    <mergeCell ref="AD108:AE109"/>
    <mergeCell ref="AF108:AG109"/>
    <mergeCell ref="AH108:AJ109"/>
    <mergeCell ref="AK108:AM109"/>
    <mergeCell ref="AN108:AQ109"/>
    <mergeCell ref="AU108:AU109"/>
    <mergeCell ref="AV108:AV109"/>
    <mergeCell ref="AW108:AW109"/>
    <mergeCell ref="AY108:AY109"/>
    <mergeCell ref="AZ108:AZ109"/>
    <mergeCell ref="C110:E111"/>
    <mergeCell ref="F110:K111"/>
    <mergeCell ref="L110:O111"/>
    <mergeCell ref="P110:Q111"/>
    <mergeCell ref="R110:S111"/>
    <mergeCell ref="T110:W111"/>
    <mergeCell ref="X110:Y111"/>
    <mergeCell ref="Z110:AA111"/>
    <mergeCell ref="AB110:AC111"/>
    <mergeCell ref="AD110:AE111"/>
    <mergeCell ref="AF110:AG111"/>
    <mergeCell ref="AH110:AJ111"/>
    <mergeCell ref="AK110:AM111"/>
    <mergeCell ref="AN110:AQ111"/>
    <mergeCell ref="AU110:AU111"/>
    <mergeCell ref="AV110:AV111"/>
    <mergeCell ref="AW110:AW111"/>
    <mergeCell ref="AZ110:AZ111"/>
    <mergeCell ref="BA110:BA111"/>
    <mergeCell ref="BB110:BB111"/>
    <mergeCell ref="BC110:BC111"/>
    <mergeCell ref="BD110:BD111"/>
    <mergeCell ref="C108:E109"/>
    <mergeCell ref="F108:K109"/>
    <mergeCell ref="AX104:AX105"/>
    <mergeCell ref="AY104:AY105"/>
    <mergeCell ref="AZ104:AZ105"/>
    <mergeCell ref="BA104:BA105"/>
    <mergeCell ref="BB104:BB105"/>
    <mergeCell ref="BC104:BC105"/>
    <mergeCell ref="BD104:BD105"/>
    <mergeCell ref="C106:E107"/>
    <mergeCell ref="F106:K107"/>
    <mergeCell ref="L106:O107"/>
    <mergeCell ref="P106:Q107"/>
    <mergeCell ref="R106:S107"/>
    <mergeCell ref="T106:W107"/>
    <mergeCell ref="X106:Y107"/>
    <mergeCell ref="Z106:AA107"/>
    <mergeCell ref="AB106:AC107"/>
    <mergeCell ref="AD106:AE107"/>
    <mergeCell ref="AF106:AG107"/>
    <mergeCell ref="AH106:AJ107"/>
    <mergeCell ref="AK106:AM107"/>
    <mergeCell ref="AN106:AQ107"/>
    <mergeCell ref="AU106:AU107"/>
    <mergeCell ref="AV106:AV107"/>
    <mergeCell ref="AW106:AW107"/>
    <mergeCell ref="AX106:AX107"/>
    <mergeCell ref="AZ106:AZ107"/>
    <mergeCell ref="BA106:BA107"/>
    <mergeCell ref="BB106:BB107"/>
    <mergeCell ref="BC106:BC107"/>
    <mergeCell ref="BD106:BD107"/>
    <mergeCell ref="C104:E105"/>
    <mergeCell ref="F104:K105"/>
    <mergeCell ref="L104:O105"/>
    <mergeCell ref="P104:Q105"/>
    <mergeCell ref="R104:S105"/>
    <mergeCell ref="T104:W105"/>
    <mergeCell ref="X104:Y105"/>
    <mergeCell ref="Z104:AA105"/>
    <mergeCell ref="AB104:AC105"/>
    <mergeCell ref="AD104:AE105"/>
    <mergeCell ref="AF104:AG105"/>
    <mergeCell ref="AH104:AJ105"/>
    <mergeCell ref="AK104:AM105"/>
    <mergeCell ref="AN104:AQ105"/>
    <mergeCell ref="AU104:AU105"/>
    <mergeCell ref="AV104:AV105"/>
    <mergeCell ref="AW104:AW105"/>
    <mergeCell ref="L100:O101"/>
    <mergeCell ref="P100:Q101"/>
    <mergeCell ref="R100:S101"/>
    <mergeCell ref="T100:W101"/>
    <mergeCell ref="X100:Y101"/>
    <mergeCell ref="Z100:AA101"/>
    <mergeCell ref="AB100:AC101"/>
    <mergeCell ref="AD100:AE101"/>
    <mergeCell ref="AF100:AG101"/>
    <mergeCell ref="AH100:AJ101"/>
    <mergeCell ref="AK100:AM101"/>
    <mergeCell ref="AN100:AQ101"/>
    <mergeCell ref="AU100:AU101"/>
    <mergeCell ref="AV100:AV101"/>
    <mergeCell ref="AW100:AW101"/>
    <mergeCell ref="AY100:AY101"/>
    <mergeCell ref="AY106:AY107"/>
    <mergeCell ref="AZ100:AZ101"/>
    <mergeCell ref="BA100:BA101"/>
    <mergeCell ref="BB100:BB101"/>
    <mergeCell ref="BC100:BC101"/>
    <mergeCell ref="BD100:BD101"/>
    <mergeCell ref="C102:E103"/>
    <mergeCell ref="F102:K103"/>
    <mergeCell ref="L102:O103"/>
    <mergeCell ref="P102:Q103"/>
    <mergeCell ref="R102:S103"/>
    <mergeCell ref="T102:W103"/>
    <mergeCell ref="X102:Y103"/>
    <mergeCell ref="Z102:AA103"/>
    <mergeCell ref="AB102:AC103"/>
    <mergeCell ref="AD102:AE103"/>
    <mergeCell ref="AF102:AG103"/>
    <mergeCell ref="AH102:AJ103"/>
    <mergeCell ref="AK102:AM103"/>
    <mergeCell ref="AN102:AQ103"/>
    <mergeCell ref="AU102:AU103"/>
    <mergeCell ref="AV102:AV103"/>
    <mergeCell ref="AW102:AW103"/>
    <mergeCell ref="AX102:AX103"/>
    <mergeCell ref="AY102:AY103"/>
    <mergeCell ref="AZ102:AZ103"/>
    <mergeCell ref="BA102:BA103"/>
    <mergeCell ref="BB102:BB103"/>
    <mergeCell ref="BC102:BC103"/>
    <mergeCell ref="BD102:BD103"/>
    <mergeCell ref="C100:E101"/>
    <mergeCell ref="F100:K101"/>
    <mergeCell ref="AX100:AX101"/>
    <mergeCell ref="AX96:AX97"/>
    <mergeCell ref="AY96:AY97"/>
    <mergeCell ref="AZ96:AZ97"/>
    <mergeCell ref="BA96:BA97"/>
    <mergeCell ref="BB96:BB97"/>
    <mergeCell ref="BC96:BC97"/>
    <mergeCell ref="BD96:BD97"/>
    <mergeCell ref="C98:E99"/>
    <mergeCell ref="F98:K99"/>
    <mergeCell ref="L98:O99"/>
    <mergeCell ref="P98:Q99"/>
    <mergeCell ref="R98:S99"/>
    <mergeCell ref="T98:W99"/>
    <mergeCell ref="X98:Y99"/>
    <mergeCell ref="Z98:AA99"/>
    <mergeCell ref="AB98:AC99"/>
    <mergeCell ref="AD98:AE99"/>
    <mergeCell ref="AF98:AG99"/>
    <mergeCell ref="AH98:AJ99"/>
    <mergeCell ref="AK98:AM99"/>
    <mergeCell ref="AN98:AQ99"/>
    <mergeCell ref="AU98:AU99"/>
    <mergeCell ref="AV98:AV99"/>
    <mergeCell ref="AW98:AW99"/>
    <mergeCell ref="AX98:AX99"/>
    <mergeCell ref="AY98:AY99"/>
    <mergeCell ref="AZ98:AZ99"/>
    <mergeCell ref="BA98:BA99"/>
    <mergeCell ref="BB98:BB99"/>
    <mergeCell ref="BC98:BC99"/>
    <mergeCell ref="BD98:BD99"/>
    <mergeCell ref="C96:E97"/>
    <mergeCell ref="F96:K97"/>
    <mergeCell ref="L96:O97"/>
    <mergeCell ref="P96:Q97"/>
    <mergeCell ref="R96:S97"/>
    <mergeCell ref="T96:W97"/>
    <mergeCell ref="X96:Y97"/>
    <mergeCell ref="Z96:AA97"/>
    <mergeCell ref="AB96:AC97"/>
    <mergeCell ref="AD96:AE97"/>
    <mergeCell ref="AF96:AG97"/>
    <mergeCell ref="AH96:AJ97"/>
    <mergeCell ref="AK96:AM97"/>
    <mergeCell ref="AN96:AQ97"/>
    <mergeCell ref="AU96:AU97"/>
    <mergeCell ref="AV96:AV97"/>
    <mergeCell ref="AW96:AW97"/>
    <mergeCell ref="AX92:AX93"/>
    <mergeCell ref="L92:O93"/>
    <mergeCell ref="P92:Q93"/>
    <mergeCell ref="R92:S93"/>
    <mergeCell ref="T92:W93"/>
    <mergeCell ref="X92:Y93"/>
    <mergeCell ref="Z92:AA93"/>
    <mergeCell ref="AB92:AC93"/>
    <mergeCell ref="AD92:AE93"/>
    <mergeCell ref="AF92:AG93"/>
    <mergeCell ref="AH92:AJ93"/>
    <mergeCell ref="AK92:AM93"/>
    <mergeCell ref="AN92:AQ93"/>
    <mergeCell ref="AU92:AU93"/>
    <mergeCell ref="AV92:AV93"/>
    <mergeCell ref="AW92:AW93"/>
    <mergeCell ref="AY92:AY93"/>
    <mergeCell ref="AZ92:AZ93"/>
    <mergeCell ref="BA92:BA93"/>
    <mergeCell ref="BB92:BB93"/>
    <mergeCell ref="BC92:BC93"/>
    <mergeCell ref="BD92:BD93"/>
    <mergeCell ref="C94:E95"/>
    <mergeCell ref="F94:K95"/>
    <mergeCell ref="L94:O95"/>
    <mergeCell ref="P94:Q95"/>
    <mergeCell ref="R94:S95"/>
    <mergeCell ref="T94:W95"/>
    <mergeCell ref="X94:Y95"/>
    <mergeCell ref="Z94:AA95"/>
    <mergeCell ref="AB94:AC95"/>
    <mergeCell ref="AD94:AE95"/>
    <mergeCell ref="AF94:AG95"/>
    <mergeCell ref="AH94:AJ95"/>
    <mergeCell ref="AK94:AM95"/>
    <mergeCell ref="AN94:AQ95"/>
    <mergeCell ref="AU94:AU95"/>
    <mergeCell ref="AV94:AV95"/>
    <mergeCell ref="AW94:AW95"/>
    <mergeCell ref="AX94:AX95"/>
    <mergeCell ref="AY94:AY95"/>
    <mergeCell ref="AZ94:AZ95"/>
    <mergeCell ref="BA94:BA95"/>
    <mergeCell ref="BB94:BB95"/>
    <mergeCell ref="BC94:BC95"/>
    <mergeCell ref="BD94:BD95"/>
    <mergeCell ref="C92:E93"/>
    <mergeCell ref="F92:K93"/>
    <mergeCell ref="AX88:AX89"/>
    <mergeCell ref="AY88:AY89"/>
    <mergeCell ref="AZ88:AZ89"/>
    <mergeCell ref="BA88:BA89"/>
    <mergeCell ref="BB88:BB89"/>
    <mergeCell ref="BC88:BC89"/>
    <mergeCell ref="BD88:BD89"/>
    <mergeCell ref="C90:E91"/>
    <mergeCell ref="F90:K91"/>
    <mergeCell ref="L90:O91"/>
    <mergeCell ref="P90:Q91"/>
    <mergeCell ref="R90:S91"/>
    <mergeCell ref="T90:W91"/>
    <mergeCell ref="X90:Y91"/>
    <mergeCell ref="Z90:AA91"/>
    <mergeCell ref="AB90:AC91"/>
    <mergeCell ref="AD90:AE91"/>
    <mergeCell ref="AF90:AG91"/>
    <mergeCell ref="AH90:AJ91"/>
    <mergeCell ref="AK90:AM91"/>
    <mergeCell ref="AN90:AQ91"/>
    <mergeCell ref="AU90:AU91"/>
    <mergeCell ref="AV90:AV91"/>
    <mergeCell ref="AW90:AW91"/>
    <mergeCell ref="AX90:AX91"/>
    <mergeCell ref="AY90:AY91"/>
    <mergeCell ref="AZ90:AZ91"/>
    <mergeCell ref="BA90:BA91"/>
    <mergeCell ref="BB90:BB91"/>
    <mergeCell ref="BC90:BC91"/>
    <mergeCell ref="BD90:BD91"/>
    <mergeCell ref="C88:E89"/>
    <mergeCell ref="F88:K89"/>
    <mergeCell ref="L88:O89"/>
    <mergeCell ref="P88:Q89"/>
    <mergeCell ref="R88:S89"/>
    <mergeCell ref="T88:W89"/>
    <mergeCell ref="X88:Y89"/>
    <mergeCell ref="Z88:AA89"/>
    <mergeCell ref="AB88:AC89"/>
    <mergeCell ref="AD88:AE89"/>
    <mergeCell ref="AF88:AG89"/>
    <mergeCell ref="AH88:AJ89"/>
    <mergeCell ref="AK88:AM89"/>
    <mergeCell ref="AN88:AQ89"/>
    <mergeCell ref="AU88:AU89"/>
    <mergeCell ref="AV88:AV89"/>
    <mergeCell ref="AW88:AW89"/>
    <mergeCell ref="AX84:AX85"/>
    <mergeCell ref="L84:O85"/>
    <mergeCell ref="P84:Q85"/>
    <mergeCell ref="R84:S85"/>
    <mergeCell ref="T84:W85"/>
    <mergeCell ref="X84:Y85"/>
    <mergeCell ref="Z84:AA85"/>
    <mergeCell ref="AB84:AC85"/>
    <mergeCell ref="AD84:AE85"/>
    <mergeCell ref="AF84:AG85"/>
    <mergeCell ref="AH84:AJ85"/>
    <mergeCell ref="AK84:AM85"/>
    <mergeCell ref="AN84:AQ85"/>
    <mergeCell ref="AU84:AU85"/>
    <mergeCell ref="AV84:AV85"/>
    <mergeCell ref="AW84:AW85"/>
    <mergeCell ref="AY84:AY85"/>
    <mergeCell ref="AZ84:AZ85"/>
    <mergeCell ref="BA84:BA85"/>
    <mergeCell ref="BB84:BB85"/>
    <mergeCell ref="BC84:BC85"/>
    <mergeCell ref="BD84:BD85"/>
    <mergeCell ref="C86:E87"/>
    <mergeCell ref="F86:K87"/>
    <mergeCell ref="L86:O87"/>
    <mergeCell ref="P86:Q87"/>
    <mergeCell ref="R86:S87"/>
    <mergeCell ref="T86:W87"/>
    <mergeCell ref="X86:Y87"/>
    <mergeCell ref="Z86:AA87"/>
    <mergeCell ref="AB86:AC87"/>
    <mergeCell ref="AD86:AE87"/>
    <mergeCell ref="AF86:AG87"/>
    <mergeCell ref="AH86:AJ87"/>
    <mergeCell ref="AK86:AM87"/>
    <mergeCell ref="AN86:AQ87"/>
    <mergeCell ref="AU86:AU87"/>
    <mergeCell ref="AV86:AV87"/>
    <mergeCell ref="AW86:AW87"/>
    <mergeCell ref="AX86:AX87"/>
    <mergeCell ref="AY86:AY87"/>
    <mergeCell ref="AZ86:AZ87"/>
    <mergeCell ref="BA86:BA87"/>
    <mergeCell ref="BB86:BB87"/>
    <mergeCell ref="BC86:BC87"/>
    <mergeCell ref="BD86:BD87"/>
    <mergeCell ref="C84:E85"/>
    <mergeCell ref="F84:K85"/>
    <mergeCell ref="AX80:AX81"/>
    <mergeCell ref="AY80:AY81"/>
    <mergeCell ref="AZ80:AZ81"/>
    <mergeCell ref="BA80:BA81"/>
    <mergeCell ref="BB80:BB81"/>
    <mergeCell ref="BC80:BC81"/>
    <mergeCell ref="BD80:BD81"/>
    <mergeCell ref="C82:E83"/>
    <mergeCell ref="F82:K83"/>
    <mergeCell ref="L82:O83"/>
    <mergeCell ref="P82:Q83"/>
    <mergeCell ref="R82:S83"/>
    <mergeCell ref="T82:W83"/>
    <mergeCell ref="X82:Y83"/>
    <mergeCell ref="Z82:AA83"/>
    <mergeCell ref="AB82:AC83"/>
    <mergeCell ref="AD82:AE83"/>
    <mergeCell ref="AF82:AG83"/>
    <mergeCell ref="AH82:AJ83"/>
    <mergeCell ref="AK82:AM83"/>
    <mergeCell ref="AN82:AQ83"/>
    <mergeCell ref="AU82:AU83"/>
    <mergeCell ref="AV82:AV83"/>
    <mergeCell ref="AW82:AW83"/>
    <mergeCell ref="AX82:AX83"/>
    <mergeCell ref="AY82:AY83"/>
    <mergeCell ref="AZ82:AZ83"/>
    <mergeCell ref="BA82:BA83"/>
    <mergeCell ref="BB82:BB83"/>
    <mergeCell ref="BC82:BC83"/>
    <mergeCell ref="BD82:BD83"/>
    <mergeCell ref="C80:E81"/>
    <mergeCell ref="F80:K81"/>
    <mergeCell ref="L80:O81"/>
    <mergeCell ref="P80:Q81"/>
    <mergeCell ref="R80:S81"/>
    <mergeCell ref="T80:W81"/>
    <mergeCell ref="X80:Y81"/>
    <mergeCell ref="Z80:AA81"/>
    <mergeCell ref="AB80:AC81"/>
    <mergeCell ref="AD80:AE81"/>
    <mergeCell ref="AF80:AG81"/>
    <mergeCell ref="AH80:AJ81"/>
    <mergeCell ref="AK80:AM81"/>
    <mergeCell ref="AN80:AQ81"/>
    <mergeCell ref="AU80:AU81"/>
    <mergeCell ref="AV80:AV81"/>
    <mergeCell ref="AW80:AW81"/>
    <mergeCell ref="AX76:AX77"/>
    <mergeCell ref="L76:O77"/>
    <mergeCell ref="P76:Q77"/>
    <mergeCell ref="R76:S77"/>
    <mergeCell ref="T76:W77"/>
    <mergeCell ref="X76:Y77"/>
    <mergeCell ref="Z76:AA77"/>
    <mergeCell ref="AB76:AC77"/>
    <mergeCell ref="AD76:AE77"/>
    <mergeCell ref="AF76:AG77"/>
    <mergeCell ref="AH76:AJ77"/>
    <mergeCell ref="AK76:AM77"/>
    <mergeCell ref="AN76:AQ77"/>
    <mergeCell ref="AU76:AU77"/>
    <mergeCell ref="AV76:AV77"/>
    <mergeCell ref="AW76:AW77"/>
    <mergeCell ref="AY76:AY77"/>
    <mergeCell ref="AZ76:AZ77"/>
    <mergeCell ref="BA76:BA77"/>
    <mergeCell ref="BB76:BB77"/>
    <mergeCell ref="BC76:BC77"/>
    <mergeCell ref="BD76:BD77"/>
    <mergeCell ref="C78:E79"/>
    <mergeCell ref="F78:K79"/>
    <mergeCell ref="L78:O79"/>
    <mergeCell ref="P78:Q79"/>
    <mergeCell ref="R78:S79"/>
    <mergeCell ref="T78:W79"/>
    <mergeCell ref="X78:Y79"/>
    <mergeCell ref="Z78:AA79"/>
    <mergeCell ref="AB78:AC79"/>
    <mergeCell ref="AD78:AE79"/>
    <mergeCell ref="AF78:AG79"/>
    <mergeCell ref="AH78:AJ79"/>
    <mergeCell ref="AK78:AM79"/>
    <mergeCell ref="AN78:AQ79"/>
    <mergeCell ref="AU78:AU79"/>
    <mergeCell ref="AV78:AV79"/>
    <mergeCell ref="AW78:AW79"/>
    <mergeCell ref="AX78:AX79"/>
    <mergeCell ref="AY78:AY79"/>
    <mergeCell ref="AZ78:AZ79"/>
    <mergeCell ref="BA78:BA79"/>
    <mergeCell ref="BB78:BB79"/>
    <mergeCell ref="BC78:BC79"/>
    <mergeCell ref="BD78:BD79"/>
    <mergeCell ref="C76:E77"/>
    <mergeCell ref="F76:K77"/>
    <mergeCell ref="AX72:AX73"/>
    <mergeCell ref="AY72:AY73"/>
    <mergeCell ref="AZ72:AZ73"/>
    <mergeCell ref="BA72:BA73"/>
    <mergeCell ref="BB72:BB73"/>
    <mergeCell ref="BC72:BC73"/>
    <mergeCell ref="BD72:BD73"/>
    <mergeCell ref="C74:E75"/>
    <mergeCell ref="F74:K75"/>
    <mergeCell ref="L74:O75"/>
    <mergeCell ref="P74:Q75"/>
    <mergeCell ref="R74:S75"/>
    <mergeCell ref="T74:W75"/>
    <mergeCell ref="X74:Y75"/>
    <mergeCell ref="Z74:AA75"/>
    <mergeCell ref="AB74:AC75"/>
    <mergeCell ref="AD74:AE75"/>
    <mergeCell ref="AF74:AG75"/>
    <mergeCell ref="AH74:AJ75"/>
    <mergeCell ref="AK74:AM75"/>
    <mergeCell ref="AN74:AQ75"/>
    <mergeCell ref="AU74:AU75"/>
    <mergeCell ref="AV74:AV75"/>
    <mergeCell ref="AW74:AW75"/>
    <mergeCell ref="AX74:AX75"/>
    <mergeCell ref="AY74:AY75"/>
    <mergeCell ref="AZ74:AZ75"/>
    <mergeCell ref="BA74:BA75"/>
    <mergeCell ref="BB74:BB75"/>
    <mergeCell ref="BC74:BC75"/>
    <mergeCell ref="BD74:BD75"/>
    <mergeCell ref="C72:E73"/>
    <mergeCell ref="F72:K73"/>
    <mergeCell ref="L72:O73"/>
    <mergeCell ref="P72:Q73"/>
    <mergeCell ref="R72:S73"/>
    <mergeCell ref="T72:W73"/>
    <mergeCell ref="X72:Y73"/>
    <mergeCell ref="Z72:AA73"/>
    <mergeCell ref="AB72:AC73"/>
    <mergeCell ref="AD72:AE73"/>
    <mergeCell ref="AF72:AG73"/>
    <mergeCell ref="AH72:AJ73"/>
    <mergeCell ref="AK72:AM73"/>
    <mergeCell ref="AN72:AQ73"/>
    <mergeCell ref="AU72:AU73"/>
    <mergeCell ref="AV72:AV73"/>
    <mergeCell ref="AW72:AW73"/>
    <mergeCell ref="AX68:AX69"/>
    <mergeCell ref="L68:O69"/>
    <mergeCell ref="P68:Q69"/>
    <mergeCell ref="R68:S69"/>
    <mergeCell ref="T68:W69"/>
    <mergeCell ref="X68:Y69"/>
    <mergeCell ref="Z68:AA69"/>
    <mergeCell ref="AB68:AC69"/>
    <mergeCell ref="AD68:AE69"/>
    <mergeCell ref="AF68:AG69"/>
    <mergeCell ref="AH68:AJ69"/>
    <mergeCell ref="AK68:AM69"/>
    <mergeCell ref="AN68:AQ69"/>
    <mergeCell ref="AU68:AU69"/>
    <mergeCell ref="AV68:AV69"/>
    <mergeCell ref="AW68:AW69"/>
    <mergeCell ref="AY68:AY69"/>
    <mergeCell ref="AZ68:AZ69"/>
    <mergeCell ref="BA68:BA69"/>
    <mergeCell ref="BB68:BB69"/>
    <mergeCell ref="BC68:BC69"/>
    <mergeCell ref="BD68:BD69"/>
    <mergeCell ref="C70:E71"/>
    <mergeCell ref="F70:K71"/>
    <mergeCell ref="L70:O71"/>
    <mergeCell ref="P70:Q71"/>
    <mergeCell ref="R70:S71"/>
    <mergeCell ref="T70:W71"/>
    <mergeCell ref="X70:Y71"/>
    <mergeCell ref="Z70:AA71"/>
    <mergeCell ref="AB70:AC71"/>
    <mergeCell ref="AD70:AE71"/>
    <mergeCell ref="AF70:AG71"/>
    <mergeCell ref="AH70:AJ71"/>
    <mergeCell ref="AK70:AM71"/>
    <mergeCell ref="AN70:AQ71"/>
    <mergeCell ref="AU70:AU71"/>
    <mergeCell ref="AV70:AV71"/>
    <mergeCell ref="AW70:AW71"/>
    <mergeCell ref="AX70:AX71"/>
    <mergeCell ref="AY70:AY71"/>
    <mergeCell ref="AZ70:AZ71"/>
    <mergeCell ref="BA70:BA71"/>
    <mergeCell ref="BB70:BB71"/>
    <mergeCell ref="BC70:BC71"/>
    <mergeCell ref="BD70:BD71"/>
    <mergeCell ref="C68:E69"/>
    <mergeCell ref="F68:K69"/>
    <mergeCell ref="AX64:AX65"/>
    <mergeCell ref="AY64:AY65"/>
    <mergeCell ref="AZ64:AZ65"/>
    <mergeCell ref="BA64:BA65"/>
    <mergeCell ref="BB64:BB65"/>
    <mergeCell ref="BC64:BC65"/>
    <mergeCell ref="BD64:BD65"/>
    <mergeCell ref="C66:E67"/>
    <mergeCell ref="F66:K67"/>
    <mergeCell ref="L66:O67"/>
    <mergeCell ref="P66:Q67"/>
    <mergeCell ref="R66:S67"/>
    <mergeCell ref="T66:W67"/>
    <mergeCell ref="X66:Y67"/>
    <mergeCell ref="Z66:AA67"/>
    <mergeCell ref="AB66:AC67"/>
    <mergeCell ref="AD66:AE67"/>
    <mergeCell ref="AF66:AG67"/>
    <mergeCell ref="AH66:AJ67"/>
    <mergeCell ref="AK66:AM67"/>
    <mergeCell ref="AN66:AQ67"/>
    <mergeCell ref="AU66:AU67"/>
    <mergeCell ref="AV66:AV67"/>
    <mergeCell ref="AW66:AW67"/>
    <mergeCell ref="AX66:AX67"/>
    <mergeCell ref="AY66:AY67"/>
    <mergeCell ref="AZ66:AZ67"/>
    <mergeCell ref="BA66:BA67"/>
    <mergeCell ref="BB66:BB67"/>
    <mergeCell ref="BC66:BC67"/>
    <mergeCell ref="BD66:BD67"/>
    <mergeCell ref="C64:E65"/>
    <mergeCell ref="F64:K65"/>
    <mergeCell ref="L64:O65"/>
    <mergeCell ref="P64:Q65"/>
    <mergeCell ref="R64:S65"/>
    <mergeCell ref="T64:W65"/>
    <mergeCell ref="X64:Y65"/>
    <mergeCell ref="Z64:AA65"/>
    <mergeCell ref="AB64:AC65"/>
    <mergeCell ref="AD64:AE65"/>
    <mergeCell ref="AF64:AG65"/>
    <mergeCell ref="AH64:AJ65"/>
    <mergeCell ref="AK64:AM65"/>
    <mergeCell ref="AN64:AQ65"/>
    <mergeCell ref="AU64:AU65"/>
    <mergeCell ref="AV64:AV65"/>
    <mergeCell ref="AW64:AW65"/>
    <mergeCell ref="AX60:AX61"/>
    <mergeCell ref="L60:O61"/>
    <mergeCell ref="P60:Q61"/>
    <mergeCell ref="R60:S61"/>
    <mergeCell ref="T60:W61"/>
    <mergeCell ref="X60:Y61"/>
    <mergeCell ref="Z60:AA61"/>
    <mergeCell ref="AB60:AC61"/>
    <mergeCell ref="AD60:AE61"/>
    <mergeCell ref="AF60:AG61"/>
    <mergeCell ref="AH60:AJ61"/>
    <mergeCell ref="AK60:AM61"/>
    <mergeCell ref="AN60:AQ61"/>
    <mergeCell ref="AU60:AU61"/>
    <mergeCell ref="AV60:AV61"/>
    <mergeCell ref="AW60:AW61"/>
    <mergeCell ref="AY60:AY61"/>
    <mergeCell ref="AZ60:AZ61"/>
    <mergeCell ref="BA60:BA61"/>
    <mergeCell ref="BB60:BB61"/>
    <mergeCell ref="BC60:BC61"/>
    <mergeCell ref="BD60:BD61"/>
    <mergeCell ref="C62:E63"/>
    <mergeCell ref="F62:K63"/>
    <mergeCell ref="L62:O63"/>
    <mergeCell ref="P62:Q63"/>
    <mergeCell ref="R62:S63"/>
    <mergeCell ref="T62:W63"/>
    <mergeCell ref="X62:Y63"/>
    <mergeCell ref="Z62:AA63"/>
    <mergeCell ref="AB62:AC63"/>
    <mergeCell ref="AD62:AE63"/>
    <mergeCell ref="AF62:AG63"/>
    <mergeCell ref="AH62:AJ63"/>
    <mergeCell ref="AK62:AM63"/>
    <mergeCell ref="AN62:AQ63"/>
    <mergeCell ref="AU62:AU63"/>
    <mergeCell ref="AV62:AV63"/>
    <mergeCell ref="AW62:AW63"/>
    <mergeCell ref="AX62:AX63"/>
    <mergeCell ref="AY62:AY63"/>
    <mergeCell ref="AZ62:AZ63"/>
    <mergeCell ref="BA62:BA63"/>
    <mergeCell ref="BB62:BB63"/>
    <mergeCell ref="BC62:BC63"/>
    <mergeCell ref="BD62:BD63"/>
    <mergeCell ref="C60:E61"/>
    <mergeCell ref="F60:K61"/>
    <mergeCell ref="AX56:AX57"/>
    <mergeCell ref="AY56:AY57"/>
    <mergeCell ref="AZ56:AZ57"/>
    <mergeCell ref="BA56:BA57"/>
    <mergeCell ref="BB56:BB57"/>
    <mergeCell ref="BC56:BC57"/>
    <mergeCell ref="BD56:BD57"/>
    <mergeCell ref="C58:E59"/>
    <mergeCell ref="F58:K59"/>
    <mergeCell ref="L58:O59"/>
    <mergeCell ref="P58:Q59"/>
    <mergeCell ref="R58:S59"/>
    <mergeCell ref="T58:W59"/>
    <mergeCell ref="X58:Y59"/>
    <mergeCell ref="Z58:AA59"/>
    <mergeCell ref="AB58:AC59"/>
    <mergeCell ref="AD58:AE59"/>
    <mergeCell ref="AF58:AG59"/>
    <mergeCell ref="AH58:AJ59"/>
    <mergeCell ref="AK58:AM59"/>
    <mergeCell ref="AN58:AQ59"/>
    <mergeCell ref="AU58:AU59"/>
    <mergeCell ref="AV58:AV59"/>
    <mergeCell ref="AW58:AW59"/>
    <mergeCell ref="AX58:AX59"/>
    <mergeCell ref="AY58:AY59"/>
    <mergeCell ref="AZ58:AZ59"/>
    <mergeCell ref="BA58:BA59"/>
    <mergeCell ref="BB58:BB59"/>
    <mergeCell ref="BC58:BC59"/>
    <mergeCell ref="BD58:BD59"/>
    <mergeCell ref="C56:E57"/>
    <mergeCell ref="F56:K57"/>
    <mergeCell ref="L56:O57"/>
    <mergeCell ref="P56:Q57"/>
    <mergeCell ref="R56:S57"/>
    <mergeCell ref="T56:W57"/>
    <mergeCell ref="X56:Y57"/>
    <mergeCell ref="Z56:AA57"/>
    <mergeCell ref="AB56:AC57"/>
    <mergeCell ref="AD56:AE57"/>
    <mergeCell ref="AF56:AG57"/>
    <mergeCell ref="AH56:AJ57"/>
    <mergeCell ref="AK56:AM57"/>
    <mergeCell ref="AN56:AQ57"/>
    <mergeCell ref="AU56:AU57"/>
    <mergeCell ref="AV56:AV57"/>
    <mergeCell ref="AW56:AW57"/>
    <mergeCell ref="AX52:AX53"/>
    <mergeCell ref="L52:O53"/>
    <mergeCell ref="P52:Q53"/>
    <mergeCell ref="R52:S53"/>
    <mergeCell ref="T52:W53"/>
    <mergeCell ref="X52:Y53"/>
    <mergeCell ref="Z52:AA53"/>
    <mergeCell ref="AB52:AC53"/>
    <mergeCell ref="AD52:AE53"/>
    <mergeCell ref="AF52:AG53"/>
    <mergeCell ref="AH52:AJ53"/>
    <mergeCell ref="AK52:AM53"/>
    <mergeCell ref="AN52:AQ53"/>
    <mergeCell ref="AU52:AU53"/>
    <mergeCell ref="AV52:AV53"/>
    <mergeCell ref="AW52:AW53"/>
    <mergeCell ref="AY52:AY53"/>
    <mergeCell ref="AZ52:AZ53"/>
    <mergeCell ref="BA52:BA53"/>
    <mergeCell ref="BB52:BB53"/>
    <mergeCell ref="BC52:BC53"/>
    <mergeCell ref="BD52:BD53"/>
    <mergeCell ref="C54:E55"/>
    <mergeCell ref="F54:K55"/>
    <mergeCell ref="L54:O55"/>
    <mergeCell ref="P54:Q55"/>
    <mergeCell ref="R54:S55"/>
    <mergeCell ref="T54:W55"/>
    <mergeCell ref="X54:Y55"/>
    <mergeCell ref="Z54:AA55"/>
    <mergeCell ref="AB54:AC55"/>
    <mergeCell ref="AD54:AE55"/>
    <mergeCell ref="AF54:AG55"/>
    <mergeCell ref="AH54:AJ55"/>
    <mergeCell ref="AK54:AM55"/>
    <mergeCell ref="AN54:AQ55"/>
    <mergeCell ref="AU54:AU55"/>
    <mergeCell ref="AV54:AV55"/>
    <mergeCell ref="AW54:AW55"/>
    <mergeCell ref="AX54:AX55"/>
    <mergeCell ref="AY54:AY55"/>
    <mergeCell ref="AZ54:AZ55"/>
    <mergeCell ref="BA54:BA55"/>
    <mergeCell ref="BB54:BB55"/>
    <mergeCell ref="BC54:BC55"/>
    <mergeCell ref="BD54:BD55"/>
    <mergeCell ref="C52:E53"/>
    <mergeCell ref="F52:K53"/>
    <mergeCell ref="BB48:BB49"/>
    <mergeCell ref="BC48:BC49"/>
    <mergeCell ref="BD48:BD49"/>
    <mergeCell ref="C50:E51"/>
    <mergeCell ref="F50:K51"/>
    <mergeCell ref="L50:O51"/>
    <mergeCell ref="P50:Q51"/>
    <mergeCell ref="R50:S51"/>
    <mergeCell ref="T50:W51"/>
    <mergeCell ref="X50:Y51"/>
    <mergeCell ref="Z50:AA51"/>
    <mergeCell ref="AB50:AC51"/>
    <mergeCell ref="AD50:AE51"/>
    <mergeCell ref="AF50:AG51"/>
    <mergeCell ref="AH50:AJ51"/>
    <mergeCell ref="AK50:AM51"/>
    <mergeCell ref="AN50:AQ51"/>
    <mergeCell ref="AU50:AU51"/>
    <mergeCell ref="AV50:AV51"/>
    <mergeCell ref="AW50:AW51"/>
    <mergeCell ref="AX50:AX51"/>
    <mergeCell ref="AY50:AY51"/>
    <mergeCell ref="AZ50:AZ51"/>
    <mergeCell ref="BA50:BA51"/>
    <mergeCell ref="BB50:BB51"/>
    <mergeCell ref="BC50:BC51"/>
    <mergeCell ref="BD50:BD51"/>
    <mergeCell ref="R48:S49"/>
    <mergeCell ref="T48:W49"/>
    <mergeCell ref="X48:Y49"/>
    <mergeCell ref="Z48:AA49"/>
    <mergeCell ref="AB48:AC49"/>
    <mergeCell ref="AD48:AE49"/>
    <mergeCell ref="AF48:AG49"/>
    <mergeCell ref="AH48:AJ49"/>
    <mergeCell ref="AK48:AM49"/>
    <mergeCell ref="AN48:AQ49"/>
    <mergeCell ref="AU48:AU49"/>
    <mergeCell ref="AV48:AV49"/>
    <mergeCell ref="AW48:AW49"/>
    <mergeCell ref="AX48:AX49"/>
    <mergeCell ref="AY48:AY49"/>
    <mergeCell ref="AZ48:AZ49"/>
    <mergeCell ref="BA48:BA49"/>
    <mergeCell ref="AW44:AW45"/>
    <mergeCell ref="AX44:AX45"/>
    <mergeCell ref="AY44:AY45"/>
    <mergeCell ref="AZ44:AZ45"/>
    <mergeCell ref="BA44:BA45"/>
    <mergeCell ref="BB44:BB45"/>
    <mergeCell ref="BC44:BC45"/>
    <mergeCell ref="BD44:BD45"/>
    <mergeCell ref="C46:E47"/>
    <mergeCell ref="F46:K47"/>
    <mergeCell ref="L46:O47"/>
    <mergeCell ref="P46:Q47"/>
    <mergeCell ref="R46:S47"/>
    <mergeCell ref="T46:W47"/>
    <mergeCell ref="X46:Y47"/>
    <mergeCell ref="Z46:AA47"/>
    <mergeCell ref="AB46:AC47"/>
    <mergeCell ref="AD46:AE47"/>
    <mergeCell ref="AF46:AG47"/>
    <mergeCell ref="AH46:AJ47"/>
    <mergeCell ref="AK46:AM47"/>
    <mergeCell ref="AN46:AQ47"/>
    <mergeCell ref="AU46:AU47"/>
    <mergeCell ref="AV46:AV47"/>
    <mergeCell ref="AW46:AW47"/>
    <mergeCell ref="AX46:AX47"/>
    <mergeCell ref="AY46:AY47"/>
    <mergeCell ref="AZ46:AZ47"/>
    <mergeCell ref="BA46:BA47"/>
    <mergeCell ref="BB46:BB47"/>
    <mergeCell ref="BC46:BC47"/>
    <mergeCell ref="BD46:BD47"/>
    <mergeCell ref="AB42:AC43"/>
    <mergeCell ref="AD42:AE43"/>
    <mergeCell ref="AF42:AG43"/>
    <mergeCell ref="AH42:AJ43"/>
    <mergeCell ref="AK42:AM43"/>
    <mergeCell ref="AN42:AQ43"/>
    <mergeCell ref="AU42:AU43"/>
    <mergeCell ref="AV42:AV43"/>
    <mergeCell ref="AW42:AW43"/>
    <mergeCell ref="AX42:AX43"/>
    <mergeCell ref="AY42:AY43"/>
    <mergeCell ref="AZ42:AZ43"/>
    <mergeCell ref="BA42:BA43"/>
    <mergeCell ref="BB42:BB43"/>
    <mergeCell ref="BC42:BC43"/>
    <mergeCell ref="BD42:BD43"/>
    <mergeCell ref="C44:E45"/>
    <mergeCell ref="F44:K45"/>
    <mergeCell ref="L44:O45"/>
    <mergeCell ref="P44:Q45"/>
    <mergeCell ref="R44:S45"/>
    <mergeCell ref="T44:W45"/>
    <mergeCell ref="X44:Y45"/>
    <mergeCell ref="Z44:AA45"/>
    <mergeCell ref="AB44:AC45"/>
    <mergeCell ref="AD44:AE45"/>
    <mergeCell ref="AF44:AG45"/>
    <mergeCell ref="AH44:AJ45"/>
    <mergeCell ref="AK44:AM45"/>
    <mergeCell ref="AN44:AQ45"/>
    <mergeCell ref="AU44:AU45"/>
    <mergeCell ref="AV44:AV45"/>
    <mergeCell ref="BA38:BA39"/>
    <mergeCell ref="BB38:BB39"/>
    <mergeCell ref="BC38:BC39"/>
    <mergeCell ref="BD38:BD39"/>
    <mergeCell ref="C40:E41"/>
    <mergeCell ref="F40:K41"/>
    <mergeCell ref="L40:O41"/>
    <mergeCell ref="P40:Q41"/>
    <mergeCell ref="R40:S41"/>
    <mergeCell ref="T40:W41"/>
    <mergeCell ref="X40:Y41"/>
    <mergeCell ref="Z40:AA41"/>
    <mergeCell ref="AB40:AC41"/>
    <mergeCell ref="AD40:AE41"/>
    <mergeCell ref="AF40:AG41"/>
    <mergeCell ref="AH40:AJ41"/>
    <mergeCell ref="AK40:AM41"/>
    <mergeCell ref="AN40:AQ41"/>
    <mergeCell ref="AU40:AU41"/>
    <mergeCell ref="AV40:AV41"/>
    <mergeCell ref="AW40:AW41"/>
    <mergeCell ref="AX40:AX41"/>
    <mergeCell ref="AY40:AY41"/>
    <mergeCell ref="AZ40:AZ41"/>
    <mergeCell ref="BA40:BA41"/>
    <mergeCell ref="BB40:BB41"/>
    <mergeCell ref="BC40:BC41"/>
    <mergeCell ref="BD40:BD41"/>
    <mergeCell ref="BA36:BA37"/>
    <mergeCell ref="BB36:BB37"/>
    <mergeCell ref="BC36:BC37"/>
    <mergeCell ref="BD36:BD37"/>
    <mergeCell ref="C38:E39"/>
    <mergeCell ref="F38:K39"/>
    <mergeCell ref="L38:O39"/>
    <mergeCell ref="P38:Q39"/>
    <mergeCell ref="R38:S39"/>
    <mergeCell ref="T38:W39"/>
    <mergeCell ref="X38:Y39"/>
    <mergeCell ref="Z38:AA39"/>
    <mergeCell ref="AB38:AC39"/>
    <mergeCell ref="AD38:AE39"/>
    <mergeCell ref="AF38:AG39"/>
    <mergeCell ref="AH38:AJ39"/>
    <mergeCell ref="AK38:AM39"/>
    <mergeCell ref="AN38:AQ39"/>
    <mergeCell ref="AU38:AU39"/>
    <mergeCell ref="AV38:AV39"/>
    <mergeCell ref="AW38:AW39"/>
    <mergeCell ref="AX38:AX39"/>
    <mergeCell ref="AD36:AE37"/>
    <mergeCell ref="AF36:AG37"/>
    <mergeCell ref="AH36:AJ37"/>
    <mergeCell ref="AK36:AM37"/>
    <mergeCell ref="AN36:AQ37"/>
    <mergeCell ref="AU36:AU37"/>
    <mergeCell ref="AV36:AV37"/>
    <mergeCell ref="AW36:AW37"/>
    <mergeCell ref="AY38:AY39"/>
    <mergeCell ref="AZ38:AZ39"/>
    <mergeCell ref="P24:Q25"/>
    <mergeCell ref="Z24:AA25"/>
    <mergeCell ref="R22:S23"/>
    <mergeCell ref="R24:S25"/>
    <mergeCell ref="AY36:AY37"/>
    <mergeCell ref="AZ36:AZ37"/>
    <mergeCell ref="AY30:AY31"/>
    <mergeCell ref="AZ30:AZ31"/>
    <mergeCell ref="AX30:AX31"/>
    <mergeCell ref="AX36:AX37"/>
    <mergeCell ref="AH20:AJ21"/>
    <mergeCell ref="AN20:AQ21"/>
    <mergeCell ref="AK20:AM21"/>
    <mergeCell ref="X26:Y27"/>
    <mergeCell ref="X28:Y29"/>
    <mergeCell ref="X30:Y31"/>
    <mergeCell ref="AF32:AG33"/>
    <mergeCell ref="AU20:AU21"/>
    <mergeCell ref="AU22:AU23"/>
    <mergeCell ref="R32:S33"/>
    <mergeCell ref="T30:W31"/>
    <mergeCell ref="BA26:BA27"/>
    <mergeCell ref="BA16:BA17"/>
    <mergeCell ref="BA14:BA15"/>
    <mergeCell ref="AX22:AX23"/>
    <mergeCell ref="AW24:AW25"/>
    <mergeCell ref="AX24:AX25"/>
    <mergeCell ref="AW26:AW27"/>
    <mergeCell ref="AX26:AX27"/>
    <mergeCell ref="AY20:AY21"/>
    <mergeCell ref="AZ20:AZ21"/>
    <mergeCell ref="BA20:BA21"/>
    <mergeCell ref="AY14:AY15"/>
    <mergeCell ref="AZ16:AZ17"/>
    <mergeCell ref="AX32:AX33"/>
    <mergeCell ref="AW14:AW15"/>
    <mergeCell ref="AX14:AX15"/>
    <mergeCell ref="AB30:AC31"/>
    <mergeCell ref="AU14:AU15"/>
    <mergeCell ref="AU16:AU17"/>
    <mergeCell ref="AU18:AU19"/>
    <mergeCell ref="AU24:AU25"/>
    <mergeCell ref="AU26:AU27"/>
    <mergeCell ref="AZ14:AZ15"/>
    <mergeCell ref="AW30:AW31"/>
    <mergeCell ref="AU28:AU29"/>
    <mergeCell ref="AZ18:AZ19"/>
    <mergeCell ref="AW32:AW33"/>
    <mergeCell ref="AB32:AC33"/>
    <mergeCell ref="T16:W17"/>
    <mergeCell ref="T18:W19"/>
    <mergeCell ref="T20:W21"/>
    <mergeCell ref="T22:W23"/>
    <mergeCell ref="T24:W25"/>
    <mergeCell ref="T26:W27"/>
    <mergeCell ref="Z18:AA19"/>
    <mergeCell ref="Z20:AA21"/>
    <mergeCell ref="AY26:AY27"/>
    <mergeCell ref="AZ26:AZ27"/>
    <mergeCell ref="Z22:AA23"/>
    <mergeCell ref="Z14:AA15"/>
    <mergeCell ref="BB34:BB35"/>
    <mergeCell ref="AF34:AG35"/>
    <mergeCell ref="AH34:AJ35"/>
    <mergeCell ref="AN34:AQ35"/>
    <mergeCell ref="AK34:AM35"/>
    <mergeCell ref="AV34:AV35"/>
    <mergeCell ref="AW34:AW35"/>
    <mergeCell ref="AX34:AX35"/>
    <mergeCell ref="AY34:AY35"/>
    <mergeCell ref="AZ34:AZ35"/>
    <mergeCell ref="AU34:AU35"/>
    <mergeCell ref="BB32:BB33"/>
    <mergeCell ref="AZ32:AZ33"/>
    <mergeCell ref="BA32:BA33"/>
    <mergeCell ref="AU30:AU31"/>
    <mergeCell ref="BB30:BB31"/>
    <mergeCell ref="AV30:AV31"/>
    <mergeCell ref="BA30:BA31"/>
    <mergeCell ref="AY32:AY33"/>
    <mergeCell ref="AU32:AU33"/>
    <mergeCell ref="BA34:BA35"/>
    <mergeCell ref="B78:B79"/>
    <mergeCell ref="B80:B81"/>
    <mergeCell ref="L34:O35"/>
    <mergeCell ref="P34:Q35"/>
    <mergeCell ref="R34:S35"/>
    <mergeCell ref="T34:W35"/>
    <mergeCell ref="AD34:AE35"/>
    <mergeCell ref="AB34:AC35"/>
    <mergeCell ref="X34:Y35"/>
    <mergeCell ref="Z34:AA35"/>
    <mergeCell ref="AD32:AE33"/>
    <mergeCell ref="AH32:AJ33"/>
    <mergeCell ref="AN32:AQ33"/>
    <mergeCell ref="AK32:AM33"/>
    <mergeCell ref="AV32:AV33"/>
    <mergeCell ref="B60:B61"/>
    <mergeCell ref="B62:B63"/>
    <mergeCell ref="C36:E37"/>
    <mergeCell ref="F36:K37"/>
    <mergeCell ref="L36:O37"/>
    <mergeCell ref="P36:Q37"/>
    <mergeCell ref="R36:S37"/>
    <mergeCell ref="T36:W37"/>
    <mergeCell ref="X36:Y37"/>
    <mergeCell ref="Z36:AA37"/>
    <mergeCell ref="AB36:AC37"/>
    <mergeCell ref="C42:E43"/>
    <mergeCell ref="F42:K43"/>
    <mergeCell ref="T32:W33"/>
    <mergeCell ref="X32:Y33"/>
    <mergeCell ref="Z32:AA33"/>
    <mergeCell ref="C34:E35"/>
    <mergeCell ref="B168:B169"/>
    <mergeCell ref="B170:B171"/>
    <mergeCell ref="B172:B173"/>
    <mergeCell ref="B174:B175"/>
    <mergeCell ref="B176:B177"/>
    <mergeCell ref="B124:B125"/>
    <mergeCell ref="B126:B127"/>
    <mergeCell ref="B128:B129"/>
    <mergeCell ref="B130:B131"/>
    <mergeCell ref="B110:B111"/>
    <mergeCell ref="B76:B77"/>
    <mergeCell ref="AH30:AJ31"/>
    <mergeCell ref="AN30:AQ31"/>
    <mergeCell ref="AK30:AM31"/>
    <mergeCell ref="B82:B83"/>
    <mergeCell ref="B84:B85"/>
    <mergeCell ref="B86:B87"/>
    <mergeCell ref="B106:B107"/>
    <mergeCell ref="B108:B109"/>
    <mergeCell ref="B88:B89"/>
    <mergeCell ref="B158:B159"/>
    <mergeCell ref="B112:B113"/>
    <mergeCell ref="B136:B137"/>
    <mergeCell ref="B114:B115"/>
    <mergeCell ref="B116:B117"/>
    <mergeCell ref="B118:B119"/>
    <mergeCell ref="B120:B121"/>
    <mergeCell ref="B122:B123"/>
    <mergeCell ref="L42:O43"/>
    <mergeCell ref="B132:B133"/>
    <mergeCell ref="B134:B135"/>
    <mergeCell ref="B148:B149"/>
    <mergeCell ref="B150:B151"/>
    <mergeCell ref="B152:B153"/>
    <mergeCell ref="B154:B155"/>
    <mergeCell ref="B156:B157"/>
    <mergeCell ref="B178:B179"/>
    <mergeCell ref="BB18:BB19"/>
    <mergeCell ref="AD16:AE17"/>
    <mergeCell ref="AH28:AJ29"/>
    <mergeCell ref="AN28:AQ29"/>
    <mergeCell ref="AK28:AM29"/>
    <mergeCell ref="AV28:AV29"/>
    <mergeCell ref="AW28:AW29"/>
    <mergeCell ref="AX28:AX29"/>
    <mergeCell ref="BB26:BB27"/>
    <mergeCell ref="AZ22:AZ23"/>
    <mergeCell ref="BA22:BA23"/>
    <mergeCell ref="AV24:AV25"/>
    <mergeCell ref="AY24:AY25"/>
    <mergeCell ref="AZ24:AZ25"/>
    <mergeCell ref="BA24:BA25"/>
    <mergeCell ref="AX20:AX21"/>
    <mergeCell ref="AV22:AV23"/>
    <mergeCell ref="AW22:AW23"/>
    <mergeCell ref="BB28:BB29"/>
    <mergeCell ref="AY28:AY29"/>
    <mergeCell ref="AZ28:AZ29"/>
    <mergeCell ref="BA28:BA29"/>
    <mergeCell ref="BA18:BA19"/>
    <mergeCell ref="AD20:AE21"/>
    <mergeCell ref="Z26:AA27"/>
    <mergeCell ref="T28:W29"/>
    <mergeCell ref="F26:K27"/>
    <mergeCell ref="F32:K33"/>
    <mergeCell ref="B44:B45"/>
    <mergeCell ref="B46:B47"/>
    <mergeCell ref="B48:B49"/>
    <mergeCell ref="P28:Q29"/>
    <mergeCell ref="L20:O21"/>
    <mergeCell ref="P20:Q21"/>
    <mergeCell ref="Z28:AA29"/>
    <mergeCell ref="F28:K29"/>
    <mergeCell ref="R26:S27"/>
    <mergeCell ref="R28:S29"/>
    <mergeCell ref="F20:K21"/>
    <mergeCell ref="L28:O29"/>
    <mergeCell ref="P42:Q43"/>
    <mergeCell ref="R42:S43"/>
    <mergeCell ref="T42:W43"/>
    <mergeCell ref="X42:Y43"/>
    <mergeCell ref="Z42:AA43"/>
    <mergeCell ref="C48:E49"/>
    <mergeCell ref="F48:K49"/>
    <mergeCell ref="L48:O49"/>
    <mergeCell ref="P48:Q49"/>
    <mergeCell ref="C22:E23"/>
    <mergeCell ref="F22:K23"/>
    <mergeCell ref="L30:O31"/>
    <mergeCell ref="P30:Q31"/>
    <mergeCell ref="L22:O23"/>
    <mergeCell ref="P22:Q23"/>
    <mergeCell ref="L32:O33"/>
    <mergeCell ref="P32:Q33"/>
    <mergeCell ref="L24:O25"/>
    <mergeCell ref="M200:AG201"/>
    <mergeCell ref="B198:B199"/>
    <mergeCell ref="B186:B187"/>
    <mergeCell ref="B188:B189"/>
    <mergeCell ref="B190:B191"/>
    <mergeCell ref="B192:B193"/>
    <mergeCell ref="B194:B195"/>
    <mergeCell ref="B196:B197"/>
    <mergeCell ref="B184:B185"/>
    <mergeCell ref="B182:B183"/>
    <mergeCell ref="B160:B161"/>
    <mergeCell ref="B138:B139"/>
    <mergeCell ref="B140:B141"/>
    <mergeCell ref="B142:B143"/>
    <mergeCell ref="B144:B145"/>
    <mergeCell ref="B146:B147"/>
    <mergeCell ref="F30:K31"/>
    <mergeCell ref="B58:B59"/>
    <mergeCell ref="AD30:AE31"/>
    <mergeCell ref="Z30:AA31"/>
    <mergeCell ref="AF30:AG31"/>
    <mergeCell ref="F34:K35"/>
    <mergeCell ref="R30:S31"/>
    <mergeCell ref="B180:B181"/>
    <mergeCell ref="B90:B91"/>
    <mergeCell ref="B92:B93"/>
    <mergeCell ref="B94:B95"/>
    <mergeCell ref="B96:B97"/>
    <mergeCell ref="B98:B99"/>
    <mergeCell ref="B100:B101"/>
    <mergeCell ref="B102:B103"/>
    <mergeCell ref="B104:B105"/>
    <mergeCell ref="C14:E15"/>
    <mergeCell ref="C16:E17"/>
    <mergeCell ref="C20:E21"/>
    <mergeCell ref="B162:B163"/>
    <mergeCell ref="B164:B165"/>
    <mergeCell ref="B166:B167"/>
    <mergeCell ref="B66:B67"/>
    <mergeCell ref="B22:B23"/>
    <mergeCell ref="B24:B25"/>
    <mergeCell ref="B26:B27"/>
    <mergeCell ref="B72:B73"/>
    <mergeCell ref="B74:B75"/>
    <mergeCell ref="B40:B41"/>
    <mergeCell ref="B36:B37"/>
    <mergeCell ref="B38:B39"/>
    <mergeCell ref="B64:B65"/>
    <mergeCell ref="B42:B43"/>
    <mergeCell ref="C30:E31"/>
    <mergeCell ref="B68:B69"/>
    <mergeCell ref="B70:B71"/>
    <mergeCell ref="B50:B51"/>
    <mergeCell ref="B52:B53"/>
    <mergeCell ref="B54:B55"/>
    <mergeCell ref="B56:B57"/>
    <mergeCell ref="B28:B29"/>
    <mergeCell ref="B30:B31"/>
    <mergeCell ref="B32:B33"/>
    <mergeCell ref="B34:B35"/>
    <mergeCell ref="C24:E25"/>
    <mergeCell ref="C28:E29"/>
    <mergeCell ref="C32:E33"/>
    <mergeCell ref="C26:E27"/>
    <mergeCell ref="AQ1:AR1"/>
    <mergeCell ref="AQ2:AR3"/>
    <mergeCell ref="F14:K15"/>
    <mergeCell ref="AD14:AG14"/>
    <mergeCell ref="AH14:AJ15"/>
    <mergeCell ref="AN14:AQ15"/>
    <mergeCell ref="AK14:AM15"/>
    <mergeCell ref="Z11:AC11"/>
    <mergeCell ref="R12:U13"/>
    <mergeCell ref="V12:Y13"/>
    <mergeCell ref="Z12:AC13"/>
    <mergeCell ref="AH1:AK1"/>
    <mergeCell ref="AL1:AP1"/>
    <mergeCell ref="AH2:AK3"/>
    <mergeCell ref="AL2:AP3"/>
    <mergeCell ref="O9:AE10"/>
    <mergeCell ref="AD15:AE15"/>
    <mergeCell ref="L14:O15"/>
    <mergeCell ref="P14:Q15"/>
    <mergeCell ref="R11:U11"/>
    <mergeCell ref="V11:Y11"/>
    <mergeCell ref="AF15:AG15"/>
    <mergeCell ref="T14:W15"/>
    <mergeCell ref="AE11:AN13"/>
    <mergeCell ref="AB14:AC15"/>
    <mergeCell ref="X14:Y15"/>
    <mergeCell ref="R14:S15"/>
    <mergeCell ref="BE14:BE15"/>
    <mergeCell ref="BC16:BC17"/>
    <mergeCell ref="BE16:BE17"/>
    <mergeCell ref="BC18:BC19"/>
    <mergeCell ref="BE18:BE19"/>
    <mergeCell ref="BC20:BC21"/>
    <mergeCell ref="AV20:AV21"/>
    <mergeCell ref="BC14:BC15"/>
    <mergeCell ref="BE20:BE21"/>
    <mergeCell ref="L26:O27"/>
    <mergeCell ref="P26:Q27"/>
    <mergeCell ref="AD22:AE23"/>
    <mergeCell ref="AF22:AG23"/>
    <mergeCell ref="AH22:AJ23"/>
    <mergeCell ref="AN22:AQ23"/>
    <mergeCell ref="AK22:AM23"/>
    <mergeCell ref="BC22:BC23"/>
    <mergeCell ref="AB16:AC17"/>
    <mergeCell ref="AB18:AC19"/>
    <mergeCell ref="AB20:AC21"/>
    <mergeCell ref="AY22:AY23"/>
    <mergeCell ref="BB14:BB15"/>
    <mergeCell ref="AF16:AG17"/>
    <mergeCell ref="BB20:BB21"/>
    <mergeCell ref="AN16:AQ17"/>
    <mergeCell ref="AK16:AM17"/>
    <mergeCell ref="AV16:AV17"/>
    <mergeCell ref="P16:Q17"/>
    <mergeCell ref="L18:O19"/>
    <mergeCell ref="P18:Q19"/>
    <mergeCell ref="AH16:AJ17"/>
    <mergeCell ref="AV14:AV15"/>
    <mergeCell ref="BB16:BB17"/>
    <mergeCell ref="F18:K19"/>
    <mergeCell ref="AD18:AE19"/>
    <mergeCell ref="B16:B17"/>
    <mergeCell ref="AW16:AW17"/>
    <mergeCell ref="AX16:AX17"/>
    <mergeCell ref="AY16:AY17"/>
    <mergeCell ref="B18:B19"/>
    <mergeCell ref="B20:B21"/>
    <mergeCell ref="F24:K25"/>
    <mergeCell ref="C18:E19"/>
    <mergeCell ref="AF18:AG19"/>
    <mergeCell ref="AH18:AJ19"/>
    <mergeCell ref="AN18:AQ19"/>
    <mergeCell ref="AK18:AM19"/>
    <mergeCell ref="AV18:AV19"/>
    <mergeCell ref="AW18:AW19"/>
    <mergeCell ref="AX18:AX19"/>
    <mergeCell ref="AY18:AY19"/>
    <mergeCell ref="X18:Y19"/>
    <mergeCell ref="X20:Y21"/>
    <mergeCell ref="X22:Y23"/>
    <mergeCell ref="X24:Y25"/>
    <mergeCell ref="AB22:AC23"/>
    <mergeCell ref="AB24:AC25"/>
    <mergeCell ref="X16:Y17"/>
    <mergeCell ref="Z16:AA17"/>
    <mergeCell ref="R16:S17"/>
    <mergeCell ref="R18:S19"/>
    <mergeCell ref="R20:S21"/>
    <mergeCell ref="F16:K17"/>
    <mergeCell ref="L16:O17"/>
    <mergeCell ref="BE34:BE35"/>
    <mergeCell ref="BC24:BC25"/>
    <mergeCell ref="BE24:BE25"/>
    <mergeCell ref="BC26:BC27"/>
    <mergeCell ref="BE26:BE27"/>
    <mergeCell ref="BC28:BC29"/>
    <mergeCell ref="BE28:BE29"/>
    <mergeCell ref="BC30:BC31"/>
    <mergeCell ref="BE30:BE31"/>
    <mergeCell ref="BC32:BC33"/>
    <mergeCell ref="BE32:BE33"/>
    <mergeCell ref="BC34:BC35"/>
    <mergeCell ref="BE22:BE23"/>
    <mergeCell ref="BB22:BB23"/>
    <mergeCell ref="BB24:BB25"/>
    <mergeCell ref="AW20:AW21"/>
    <mergeCell ref="AB26:AC27"/>
    <mergeCell ref="AB28:AC29"/>
    <mergeCell ref="AD28:AE29"/>
    <mergeCell ref="AF28:AG29"/>
    <mergeCell ref="AH26:AJ27"/>
    <mergeCell ref="AN26:AQ27"/>
    <mergeCell ref="AK26:AM27"/>
    <mergeCell ref="AV26:AV27"/>
    <mergeCell ref="AH24:AJ25"/>
    <mergeCell ref="AN24:AQ25"/>
    <mergeCell ref="AK24:AM25"/>
    <mergeCell ref="AF20:AG21"/>
    <mergeCell ref="AD24:AE25"/>
    <mergeCell ref="AF24:AG25"/>
    <mergeCell ref="AD26:AE27"/>
    <mergeCell ref="AF26:AG27"/>
  </mergeCells>
  <conditionalFormatting sqref="L16:AG115">
    <cfRule type="expression" dxfId="88" priority="1">
      <formula>AND($F16&lt;&gt;"",L16="")</formula>
    </cfRule>
  </conditionalFormatting>
  <conditionalFormatting sqref="AE11">
    <cfRule type="expression" dxfId="87" priority="7">
      <formula>IF(OR($AN$16="Not Cost Effective Submit for Review",$AN$18="Not Cost Effective Submit for Review",$AN$20="Not Cost Effective Submit for Review",$AN$22="Not Cost Effective Submit for Review",$AN$24="Not Cost Effective Submit for Review",$AN$26="Not Cost Effective Submit for Review",$AN$28="Not Cost Effective Submit for Review",$AN$30="Not Cost Effective Submit for Review",$AN$32="Not Cost Effective Submit for Review",$AN$34="Not Cost Effective Submit for Review"),TRUE,FALSE)</formula>
    </cfRule>
  </conditionalFormatting>
  <conditionalFormatting sqref="AH2 AL2">
    <cfRule type="expression" dxfId="86" priority="23">
      <formula>PROJSTATUS=PROJSTATELI</formula>
    </cfRule>
    <cfRule type="expression" dxfId="85" priority="24">
      <formula>PROJSTATUS=PROJSTATREVIEW</formula>
    </cfRule>
    <cfRule type="expression" dxfId="84" priority="28">
      <formula>PROJSTATUS=PROJSTATPREAPPROVE</formula>
    </cfRule>
    <cfRule type="expression" dxfId="83" priority="29">
      <formula>PROJSTATUS=PROJSTATSTANDARD</formula>
    </cfRule>
    <cfRule type="expression" dxfId="82" priority="30">
      <formula>PROJSTATUS=PROJSTATEXP</formula>
    </cfRule>
  </conditionalFormatting>
  <conditionalFormatting sqref="AN16 AN18 AN20 AN22 AN24 AN26 AN28 AN30 AN32 AN34 AN36 AN38 AN40 AN42 AN44 AN46 AN48 AN50 AN52 AN54 AN56 AN58 AN60 AN62 AN64 AN66 AN68 AN70 AN72 AN74 AN76 AN78 AN80 AN82 AN84 AN86 AN88 AN90 AN92 AN94 AN96 AN98 AN100 AN102 AN104 AN106 AN108 AN110 AN112 AN114">
    <cfRule type="expression" dxfId="81" priority="22">
      <formula>ISNUMBER(AN16)=FALSE</formula>
    </cfRule>
  </conditionalFormatting>
  <conditionalFormatting sqref="AQ2:AR3">
    <cfRule type="cellIs" dxfId="80" priority="25" operator="equal">
      <formula>1</formula>
    </cfRule>
    <cfRule type="cellIs" dxfId="79" priority="26" operator="between">
      <formula>0.51</formula>
      <formula>0.99</formula>
    </cfRule>
    <cfRule type="cellIs" dxfId="78" priority="27" operator="lessThanOrEqual">
      <formula>0.5</formula>
    </cfRule>
  </conditionalFormatting>
  <conditionalFormatting sqref="AX16:AX115">
    <cfRule type="expression" dxfId="77" priority="17">
      <formula>C16="Custom"</formula>
    </cfRule>
  </conditionalFormatting>
  <conditionalFormatting sqref="AY16:AY115">
    <cfRule type="expression" dxfId="76" priority="16">
      <formula>C16="New Construction"</formula>
    </cfRule>
  </conditionalFormatting>
  <conditionalFormatting sqref="AZ16:AZ115">
    <cfRule type="expression" dxfId="75" priority="15">
      <formula>C16="RCx"</formula>
    </cfRule>
  </conditionalFormatting>
  <dataValidations xWindow="114" yWindow="316" count="10">
    <dataValidation type="decimal" allowBlank="1" showInputMessage="1" showErrorMessage="1" error="Please enter a numerical value" sqref="P28 P18 P32 P16 P22 P26 P30 P34 P20 P24" xr:uid="{00000000-0002-0000-2000-000000000000}">
      <formula1>0</formula1>
      <formula2>999999</formula2>
    </dataValidation>
    <dataValidation type="decimal" allowBlank="1" showInputMessage="1" showErrorMessage="1" error="Please enter a numerical value" prompt="This is the TOTAL Material Cost of the measure, NOT a per unit basis._x000a__x000a_For installation of new equipment, this is the incremental material cost (total cost difference between purchasing the baseline equipment and the equipment being installed)." sqref="AD16:AE35" xr:uid="{00000000-0002-0000-2000-000001000000}">
      <formula1>0</formula1>
      <formula2>999999999</formula2>
    </dataValidation>
    <dataValidation type="decimal" allowBlank="1" showInputMessage="1" showErrorMessage="1" error="Please enter a numerical value" prompt="This is the TOTAL Labor Cost of the measure, NOT a per unit basis._x000a__x000a_For installation of new equipment, this is the incremental labor cost. This may equal zero if the installation costs would be the same for both the baseline and efficient equipment. " sqref="AF16:AG115" xr:uid="{00000000-0002-0000-2000-000002000000}">
      <formula1>0</formula1>
      <formula2>999999999</formula2>
    </dataValidation>
    <dataValidation type="list" allowBlank="1" showInputMessage="1" showErrorMessage="1" prompt="Select the project type using the dropdown._x000a__x000a_If you want to change this field, delete the data in the &quot;Measure Type&quot; field first_x000a_" sqref="C16:E115" xr:uid="{00000000-0002-0000-2000-000003000000}">
      <formula1>IF(ISBLANK(F16),NONPRESCPROGRAM,"")</formula1>
    </dataValidation>
    <dataValidation type="list" allowBlank="1" showInputMessage="1" showErrorMessage="1" prompt="Select the measure type that is closest to the selections in this list. If not listed, select &quot;Other&quot;." sqref="F16:K115" xr:uid="{00000000-0002-0000-2000-000004000000}">
      <formula1>PROGRAMGCAT1</formula1>
    </dataValidation>
    <dataValidation allowBlank="1" showInputMessage="1" showErrorMessage="1" prompt="Enter equipment description and/or name plate details of the existing equipment being replaced._x000a__x000a_For new replacements, enter the code-minimum equipment or control strategy that could be installed in lieu of the more efficient option." sqref="L16:O35" xr:uid="{00000000-0002-0000-2000-000005000000}"/>
    <dataValidation type="decimal" allowBlank="1" showInputMessage="1" showErrorMessage="1" prompt="Enter the annual therm usage per unit of the existing equipment." sqref="R18 R34 R16 R20 R22 R24 R26 R28 R30 R32" xr:uid="{00000000-0002-0000-2000-000006000000}">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B16:AC115" xr:uid="{00000000-0002-0000-2000-000007000000}">
      <formula1>"Total,Incremental"</formula1>
    </dataValidation>
    <dataValidation type="decimal" allowBlank="1" showInputMessage="1" showErrorMessage="1" error="Enter numerical value for annual therms/unit." sqref="Z16:AA35" xr:uid="{00000000-0002-0000-2000-000008000000}">
      <formula1>0</formula1>
      <formula2>9999999</formula2>
    </dataValidation>
    <dataValidation type="decimal" allowBlank="1" showInputMessage="1" showErrorMessage="1" error="Enter numerical value for quantity." sqref="X16:Y35" xr:uid="{00000000-0002-0000-2000-000009000000}">
      <formula1>0</formula1>
      <formula2>9999999</formula2>
    </dataValidation>
  </dataValidations>
  <hyperlinks>
    <hyperlink ref="B202" r:id="rId1" xr:uid="{56193E1D-A0CC-4314-895D-C1EE336BF9A8}"/>
  </hyperlinks>
  <pageMargins left="0.25" right="0.25" top="0.25" bottom="0.25" header="0.25" footer="0.25"/>
  <pageSetup scale="45" fitToHeight="0" orientation="landscape" r:id="rId2"/>
  <drawing r:id="rId3"/>
  <legacy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9">
    <pageSetUpPr fitToPage="1"/>
  </sheetPr>
  <dimension ref="A1:BA202"/>
  <sheetViews>
    <sheetView showGridLines="0" showRowColHeaders="0" zoomScale="80" zoomScaleNormal="80" workbookViewId="0">
      <selection activeCell="C6" sqref="C6"/>
    </sheetView>
  </sheetViews>
  <sheetFormatPr defaultColWidth="0" defaultRowHeight="15" customHeight="1" zeroHeight="1"/>
  <cols>
    <col min="1" max="45" width="4.7109375" customWidth="1"/>
    <col min="46" max="78" width="9.140625" hidden="1" customWidth="1"/>
    <col min="79" max="16384" width="9.140625" hidden="1"/>
  </cols>
  <sheetData>
    <row r="1" spans="2:44" ht="15.95" customHeight="1">
      <c r="AH1" s="681" t="s">
        <v>471</v>
      </c>
      <c r="AI1" s="681"/>
      <c r="AJ1" s="681"/>
      <c r="AK1" s="681"/>
      <c r="AL1" s="682" t="s">
        <v>736</v>
      </c>
      <c r="AM1" s="682"/>
      <c r="AN1" s="682"/>
      <c r="AO1" s="682"/>
      <c r="AP1" s="682"/>
      <c r="AQ1" s="678" t="s">
        <v>474</v>
      </c>
      <c r="AR1" s="678"/>
    </row>
    <row r="2" spans="2:44" ht="15.95" customHeight="1">
      <c r="AH2" s="683" t="str">
        <f ca="1">INCENSTATUS</f>
        <v>---</v>
      </c>
      <c r="AI2" s="684"/>
      <c r="AJ2" s="684"/>
      <c r="AK2" s="684"/>
      <c r="AL2" s="685" t="str">
        <f ca="1">PROJSTATUS</f>
        <v>Enter Measures</v>
      </c>
      <c r="AM2" s="685"/>
      <c r="AN2" s="685"/>
      <c r="AO2" s="685"/>
      <c r="AP2" s="685"/>
      <c r="AQ2" s="679">
        <f ca="1">PROGRESSSTATUS</f>
        <v>2.8985507246376812E-2</v>
      </c>
      <c r="AR2" s="680"/>
    </row>
    <row r="3" spans="2:44" ht="15.95" customHeight="1">
      <c r="AH3" s="675"/>
      <c r="AI3" s="676"/>
      <c r="AJ3" s="676"/>
      <c r="AK3" s="676"/>
      <c r="AL3" s="668"/>
      <c r="AM3" s="668"/>
      <c r="AN3" s="668"/>
      <c r="AO3" s="668"/>
      <c r="AP3" s="668"/>
      <c r="AQ3" s="662"/>
      <c r="AR3" s="663"/>
    </row>
    <row r="4" spans="2:44" ht="15.95" customHeight="1">
      <c r="AR4" s="171"/>
    </row>
    <row r="5" spans="2:44" ht="15.95" customHeight="1"/>
    <row r="6" spans="2:44" ht="15.95" customHeight="1"/>
    <row r="7" spans="2:44" ht="15.95" customHeight="1"/>
    <row r="8" spans="2:44" ht="15.95" customHeight="1"/>
    <row r="9" spans="2:44" ht="15.95" customHeight="1">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44" ht="15.95" customHeight="1">
      <c r="B10" s="59"/>
      <c r="C10" s="59"/>
      <c r="D10" s="59"/>
      <c r="E10" s="59"/>
      <c r="F10" s="686" t="s">
        <v>75</v>
      </c>
      <c r="G10" s="686"/>
      <c r="H10" s="686"/>
      <c r="I10" s="686"/>
      <c r="J10" s="686"/>
      <c r="K10" s="686"/>
      <c r="L10" s="686"/>
      <c r="M10" s="686"/>
      <c r="N10" s="686"/>
      <c r="O10" s="686"/>
      <c r="P10" s="686"/>
      <c r="Q10" s="686"/>
      <c r="R10" s="686"/>
      <c r="S10" s="686"/>
      <c r="T10" s="686"/>
      <c r="U10" s="686"/>
      <c r="V10" s="686"/>
      <c r="W10" s="686"/>
      <c r="X10" s="686"/>
      <c r="Y10" s="686"/>
      <c r="Z10" s="686"/>
      <c r="AA10" s="686"/>
      <c r="AB10" s="686"/>
      <c r="AC10" s="686"/>
      <c r="AD10" s="686"/>
      <c r="AE10" s="686"/>
      <c r="AF10" s="686"/>
      <c r="AG10" s="686"/>
      <c r="AH10" s="686"/>
      <c r="AI10" s="686"/>
      <c r="AJ10" s="686"/>
      <c r="AK10" s="686"/>
      <c r="AL10" s="686"/>
      <c r="AM10" s="686"/>
      <c r="AN10" s="686"/>
      <c r="AO10" s="59"/>
      <c r="AP10" s="59"/>
      <c r="AQ10" s="59"/>
      <c r="AR10" s="59"/>
    </row>
    <row r="11" spans="2:44" ht="15.95" customHeight="1">
      <c r="B11" s="59"/>
      <c r="C11" s="59"/>
      <c r="D11" s="59"/>
      <c r="E11" s="59"/>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59"/>
      <c r="AP11" s="59"/>
      <c r="AQ11" s="59"/>
      <c r="AR11" s="59"/>
    </row>
    <row r="12" spans="2:44" ht="15.95" customHeight="1">
      <c r="B12" s="59"/>
      <c r="C12" s="59"/>
      <c r="D12" s="59"/>
      <c r="E12" s="59"/>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59"/>
      <c r="AE12" s="59"/>
      <c r="AF12" s="59"/>
      <c r="AG12" s="59"/>
      <c r="AH12" s="59"/>
      <c r="AI12" s="59"/>
      <c r="AJ12" s="59"/>
      <c r="AK12" s="59"/>
      <c r="AL12" s="59"/>
      <c r="AM12" s="59"/>
      <c r="AN12" s="59"/>
      <c r="AO12" s="59"/>
      <c r="AP12" s="59"/>
      <c r="AQ12" s="59"/>
      <c r="AR12" s="59"/>
    </row>
    <row r="13" spans="2:44" ht="15.95" customHeight="1">
      <c r="B13" s="59"/>
      <c r="I13" s="404"/>
      <c r="J13" s="405"/>
      <c r="K13" s="405"/>
      <c r="L13" s="405"/>
      <c r="M13" s="405"/>
      <c r="N13" s="405"/>
      <c r="O13" s="405"/>
      <c r="P13" s="405"/>
      <c r="Q13" s="405"/>
      <c r="R13" s="405"/>
      <c r="S13" s="405"/>
      <c r="T13" s="405"/>
      <c r="U13" s="405"/>
      <c r="V13" s="405"/>
      <c r="W13" s="405"/>
      <c r="X13" s="405"/>
      <c r="Y13" s="405"/>
      <c r="Z13" s="405"/>
      <c r="AA13" s="405"/>
      <c r="AB13" s="405"/>
      <c r="AC13" s="405"/>
      <c r="AD13" s="405"/>
      <c r="AE13" s="405"/>
      <c r="AF13" s="405"/>
      <c r="AG13" s="405"/>
      <c r="AH13" s="405"/>
      <c r="AI13" s="405"/>
      <c r="AJ13" s="405"/>
      <c r="AK13" s="406"/>
      <c r="AR13" s="59"/>
    </row>
    <row r="14" spans="2:44" ht="15.95" customHeight="1">
      <c r="B14" s="59"/>
      <c r="I14" s="104"/>
      <c r="J14" s="1264" t="s">
        <v>1464</v>
      </c>
      <c r="K14" s="1265"/>
      <c r="L14" s="1265"/>
      <c r="M14" s="1265"/>
      <c r="N14" s="1265"/>
      <c r="O14" s="1265"/>
      <c r="P14" s="1265"/>
      <c r="Q14" s="1265"/>
      <c r="R14" s="1265"/>
      <c r="S14" s="1265"/>
      <c r="T14" s="1265"/>
      <c r="U14" s="1265"/>
      <c r="V14" s="1265"/>
      <c r="W14" s="1265"/>
      <c r="X14" s="1265"/>
      <c r="Y14" s="1265"/>
      <c r="Z14" s="1265"/>
      <c r="AA14" s="1265"/>
      <c r="AB14" s="1265"/>
      <c r="AC14" s="431"/>
      <c r="AD14" s="432"/>
      <c r="AE14" s="432"/>
      <c r="AF14" s="433"/>
      <c r="AG14" s="433"/>
      <c r="AH14" s="433"/>
      <c r="AI14" s="433"/>
      <c r="AJ14" s="434"/>
      <c r="AK14" s="407"/>
      <c r="AL14" s="408"/>
      <c r="AM14" s="408"/>
      <c r="AR14" s="59"/>
    </row>
    <row r="15" spans="2:44" ht="15.95" customHeight="1">
      <c r="B15" s="59"/>
      <c r="I15" s="104"/>
      <c r="J15" s="1265"/>
      <c r="K15" s="1265"/>
      <c r="L15" s="1265"/>
      <c r="M15" s="1265"/>
      <c r="N15" s="1265"/>
      <c r="O15" s="1265"/>
      <c r="P15" s="1265"/>
      <c r="Q15" s="1265"/>
      <c r="R15" s="1265"/>
      <c r="S15" s="1265"/>
      <c r="T15" s="1265"/>
      <c r="U15" s="1265"/>
      <c r="V15" s="1265"/>
      <c r="W15" s="1265"/>
      <c r="X15" s="1265"/>
      <c r="Y15" s="1265"/>
      <c r="Z15" s="1265"/>
      <c r="AA15" s="1265"/>
      <c r="AB15" s="1265"/>
      <c r="AC15" s="435"/>
      <c r="AD15" s="429"/>
      <c r="AE15" s="429"/>
      <c r="AF15" s="430"/>
      <c r="AG15" s="430"/>
      <c r="AH15" s="430"/>
      <c r="AI15" s="430"/>
      <c r="AJ15" s="436"/>
      <c r="AK15" s="407"/>
      <c r="AL15" s="408"/>
      <c r="AM15" s="408"/>
      <c r="AR15" s="59"/>
    </row>
    <row r="16" spans="2:44" ht="15.95" customHeight="1">
      <c r="B16" s="59"/>
      <c r="I16" s="104"/>
      <c r="J16" s="1265"/>
      <c r="K16" s="1265"/>
      <c r="L16" s="1265"/>
      <c r="M16" s="1265"/>
      <c r="N16" s="1265"/>
      <c r="O16" s="1265"/>
      <c r="P16" s="1265"/>
      <c r="Q16" s="1265"/>
      <c r="R16" s="1265"/>
      <c r="S16" s="1265"/>
      <c r="T16" s="1265"/>
      <c r="U16" s="1265"/>
      <c r="V16" s="1265"/>
      <c r="W16" s="1265"/>
      <c r="X16" s="1265"/>
      <c r="Y16" s="1265"/>
      <c r="Z16" s="1265"/>
      <c r="AA16" s="1265"/>
      <c r="AB16" s="1265"/>
      <c r="AC16" s="435"/>
      <c r="AD16" s="429"/>
      <c r="AE16" s="429"/>
      <c r="AF16" s="430"/>
      <c r="AG16" s="430"/>
      <c r="AH16" s="430"/>
      <c r="AI16" s="430"/>
      <c r="AJ16" s="436"/>
      <c r="AK16" s="407"/>
      <c r="AL16" s="408"/>
      <c r="AM16" s="408"/>
      <c r="AR16" s="59"/>
    </row>
    <row r="17" spans="2:49" ht="15.95" customHeight="1">
      <c r="B17" s="59"/>
      <c r="I17" s="104"/>
      <c r="J17" s="1265"/>
      <c r="K17" s="1265"/>
      <c r="L17" s="1265"/>
      <c r="M17" s="1265"/>
      <c r="N17" s="1265"/>
      <c r="O17" s="1265"/>
      <c r="P17" s="1265"/>
      <c r="Q17" s="1265"/>
      <c r="R17" s="1265"/>
      <c r="S17" s="1265"/>
      <c r="T17" s="1265"/>
      <c r="U17" s="1265"/>
      <c r="V17" s="1265"/>
      <c r="W17" s="1265"/>
      <c r="X17" s="1265"/>
      <c r="Y17" s="1265"/>
      <c r="Z17" s="1265"/>
      <c r="AA17" s="1265"/>
      <c r="AB17" s="1265"/>
      <c r="AC17" s="437"/>
      <c r="AD17" s="438"/>
      <c r="AE17" s="438"/>
      <c r="AF17" s="439"/>
      <c r="AG17" s="439"/>
      <c r="AH17" s="439"/>
      <c r="AI17" s="439"/>
      <c r="AJ17" s="440"/>
      <c r="AK17" s="407"/>
      <c r="AL17" s="408"/>
      <c r="AM17" s="408"/>
      <c r="AR17" s="59"/>
    </row>
    <row r="18" spans="2:49" ht="15.95" customHeight="1">
      <c r="B18" s="59"/>
      <c r="I18" s="104"/>
      <c r="J18" s="1249" t="str">
        <f>IF(M02S02F34="","",M02S02F34)</f>
        <v/>
      </c>
      <c r="K18" s="1249"/>
      <c r="L18" s="1249"/>
      <c r="M18" s="1249"/>
      <c r="N18" s="1249"/>
      <c r="O18" s="1249"/>
      <c r="P18" s="1249"/>
      <c r="Q18" s="1249"/>
      <c r="R18" s="1249"/>
      <c r="S18" s="1249"/>
      <c r="T18" s="1249"/>
      <c r="U18" s="1249"/>
      <c r="V18" s="1249"/>
      <c r="W18" s="1249"/>
      <c r="X18" s="1249"/>
      <c r="Y18" s="1249"/>
      <c r="Z18" s="1249"/>
      <c r="AA18" s="1249"/>
      <c r="AB18" s="1249"/>
      <c r="AC18" s="1249"/>
      <c r="AD18" s="1249"/>
      <c r="AE18" s="1249"/>
      <c r="AF18" s="1249"/>
      <c r="AG18" s="1249"/>
      <c r="AH18" s="1249"/>
      <c r="AI18" s="1249"/>
      <c r="AJ18" s="1249"/>
      <c r="AK18" s="154"/>
      <c r="AR18" s="59"/>
    </row>
    <row r="19" spans="2:49" ht="15.95" customHeight="1">
      <c r="B19" s="59"/>
      <c r="I19" s="104"/>
      <c r="J19" s="1249"/>
      <c r="K19" s="1249"/>
      <c r="L19" s="1249"/>
      <c r="M19" s="1249"/>
      <c r="N19" s="1249"/>
      <c r="O19" s="1249"/>
      <c r="P19" s="1249"/>
      <c r="Q19" s="1249"/>
      <c r="R19" s="1249"/>
      <c r="S19" s="1249"/>
      <c r="T19" s="1249"/>
      <c r="U19" s="1249"/>
      <c r="V19" s="1249"/>
      <c r="W19" s="1249"/>
      <c r="X19" s="1249"/>
      <c r="Y19" s="1249"/>
      <c r="Z19" s="1249"/>
      <c r="AA19" s="1249"/>
      <c r="AB19" s="1249"/>
      <c r="AC19" s="1249"/>
      <c r="AD19" s="1249"/>
      <c r="AE19" s="1249"/>
      <c r="AF19" s="1249"/>
      <c r="AG19" s="1249"/>
      <c r="AH19" s="1249"/>
      <c r="AI19" s="1249"/>
      <c r="AJ19" s="1249"/>
      <c r="AK19" s="154"/>
      <c r="AR19" s="59"/>
    </row>
    <row r="20" spans="2:49" ht="15.95" customHeight="1">
      <c r="B20" s="59"/>
      <c r="I20" s="104"/>
      <c r="J20" s="1249"/>
      <c r="K20" s="1249"/>
      <c r="L20" s="1249"/>
      <c r="M20" s="1249"/>
      <c r="N20" s="1249"/>
      <c r="O20" s="1249"/>
      <c r="P20" s="1249"/>
      <c r="Q20" s="1249"/>
      <c r="R20" s="1249"/>
      <c r="S20" s="1249"/>
      <c r="T20" s="1249"/>
      <c r="U20" s="1249"/>
      <c r="V20" s="1249"/>
      <c r="W20" s="1249"/>
      <c r="X20" s="1249"/>
      <c r="Y20" s="1249"/>
      <c r="Z20" s="1249"/>
      <c r="AA20" s="1249"/>
      <c r="AB20" s="1249"/>
      <c r="AC20" s="1249"/>
      <c r="AD20" s="1249"/>
      <c r="AE20" s="1249"/>
      <c r="AF20" s="1249"/>
      <c r="AG20" s="1249"/>
      <c r="AH20" s="1249"/>
      <c r="AI20" s="1249"/>
      <c r="AJ20" s="1249"/>
      <c r="AK20" s="154"/>
      <c r="AR20" s="59"/>
    </row>
    <row r="21" spans="2:49" ht="15.95" customHeight="1">
      <c r="B21" s="59"/>
      <c r="I21" s="104"/>
      <c r="J21" s="409" t="s">
        <v>1465</v>
      </c>
      <c r="K21" s="410"/>
      <c r="L21" s="410"/>
      <c r="M21" s="410"/>
      <c r="N21" s="410"/>
      <c r="O21" s="1250" t="str">
        <f>IF(OR(M02S02F22="",M02S02F23="",M02S02F25=""),"",CONCATENATE(M02S02F22,", ",M02S02F23, ", ", M02S02F24, " ", M02S02F25 ))</f>
        <v/>
      </c>
      <c r="P21" s="1250"/>
      <c r="Q21" s="1250"/>
      <c r="R21" s="1250"/>
      <c r="S21" s="1250"/>
      <c r="T21" s="1250"/>
      <c r="U21" s="1250"/>
      <c r="V21" s="1250"/>
      <c r="W21" s="1250"/>
      <c r="X21" s="1250"/>
      <c r="Y21" s="1250"/>
      <c r="Z21" s="411" t="s">
        <v>1466</v>
      </c>
      <c r="AA21" s="410"/>
      <c r="AB21" s="410"/>
      <c r="AC21" s="1250" t="str">
        <f>IF(M02S03F02="","",M02S03F02)</f>
        <v/>
      </c>
      <c r="AD21" s="1250"/>
      <c r="AE21" s="1250"/>
      <c r="AF21" s="1250"/>
      <c r="AG21" s="1250"/>
      <c r="AH21" s="1250"/>
      <c r="AI21" s="1250"/>
      <c r="AJ21" s="1250"/>
      <c r="AK21" s="154"/>
      <c r="AR21" s="59"/>
    </row>
    <row r="22" spans="2:49" ht="15.95" customHeight="1">
      <c r="B22" s="59"/>
      <c r="I22" s="104"/>
      <c r="J22" s="409" t="s">
        <v>1467</v>
      </c>
      <c r="K22" s="410"/>
      <c r="L22" s="412"/>
      <c r="M22" s="412"/>
      <c r="N22" s="412"/>
      <c r="O22" s="1258">
        <f ca="1">TODAY()</f>
        <v>45568</v>
      </c>
      <c r="P22" s="1258"/>
      <c r="Q22" s="1258"/>
      <c r="R22" s="1258"/>
      <c r="S22" s="1258"/>
      <c r="T22" s="1258"/>
      <c r="U22" s="1258"/>
      <c r="V22" s="1258"/>
      <c r="W22" s="1258"/>
      <c r="X22" s="1258"/>
      <c r="Y22" s="1258"/>
      <c r="Z22" s="411" t="s">
        <v>1468</v>
      </c>
      <c r="AA22" s="410"/>
      <c r="AB22" s="410"/>
      <c r="AC22" s="1250" t="str">
        <f>IF(AND(M02S03F03="",M02S03F04=""),"",CONCATENATE(M02S03F03," ",M02S03F04))</f>
        <v/>
      </c>
      <c r="AD22" s="1250"/>
      <c r="AE22" s="1250"/>
      <c r="AF22" s="1250"/>
      <c r="AG22" s="1250"/>
      <c r="AH22" s="1250"/>
      <c r="AI22" s="1250"/>
      <c r="AJ22" s="1250"/>
      <c r="AK22" s="154"/>
      <c r="AR22" s="59"/>
    </row>
    <row r="23" spans="2:49" ht="15.95" customHeight="1">
      <c r="B23" s="59"/>
      <c r="I23" s="104"/>
      <c r="J23" s="410"/>
      <c r="K23" s="410"/>
      <c r="L23" s="410"/>
      <c r="M23" s="410"/>
      <c r="N23" s="410"/>
      <c r="O23" s="410"/>
      <c r="P23" s="410"/>
      <c r="Q23" s="410"/>
      <c r="R23" s="413"/>
      <c r="S23" s="413"/>
      <c r="T23" s="413"/>
      <c r="U23" s="413"/>
      <c r="V23" s="413"/>
      <c r="W23" s="413"/>
      <c r="X23" s="410"/>
      <c r="Y23" s="410"/>
      <c r="Z23" s="411" t="s">
        <v>1469</v>
      </c>
      <c r="AA23" s="410"/>
      <c r="AB23" s="410"/>
      <c r="AC23" s="1259" t="str">
        <f>IF(M02S03F06="","",M02S03F06)</f>
        <v/>
      </c>
      <c r="AD23" s="1259"/>
      <c r="AE23" s="1259"/>
      <c r="AF23" s="1259"/>
      <c r="AG23" s="1259"/>
      <c r="AH23" s="1259"/>
      <c r="AI23" s="1259"/>
      <c r="AJ23" s="1259"/>
      <c r="AK23" s="154"/>
      <c r="AR23" s="59"/>
    </row>
    <row r="24" spans="2:49" ht="15.95" customHeight="1" thickBot="1">
      <c r="B24" s="59"/>
      <c r="I24" s="104"/>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154"/>
      <c r="AR24" s="59"/>
    </row>
    <row r="25" spans="2:49" ht="15.95" customHeight="1" thickBot="1">
      <c r="B25" s="59"/>
      <c r="I25" s="104"/>
      <c r="J25" s="443"/>
      <c r="K25" s="1260" t="s">
        <v>1569</v>
      </c>
      <c r="L25" s="1261"/>
      <c r="M25" s="1261"/>
      <c r="N25" s="1261"/>
      <c r="O25" s="1261"/>
      <c r="P25" s="1261"/>
      <c r="Q25" s="1261"/>
      <c r="R25" s="1261"/>
      <c r="S25" s="1261"/>
      <c r="T25" s="1261"/>
      <c r="U25" s="1261"/>
      <c r="V25" s="1261"/>
      <c r="W25" s="1261"/>
      <c r="X25" s="1261"/>
      <c r="Y25" s="1261"/>
      <c r="Z25" s="1261"/>
      <c r="AA25" s="1261"/>
      <c r="AB25" s="1261"/>
      <c r="AC25" s="1261"/>
      <c r="AD25" s="1262">
        <f ca="1">AW32</f>
        <v>0</v>
      </c>
      <c r="AE25" s="1263"/>
      <c r="AF25" s="1263"/>
      <c r="AG25" s="1263"/>
      <c r="AH25" s="1263"/>
      <c r="AI25" s="1263"/>
      <c r="AJ25" s="1263"/>
      <c r="AK25" s="154"/>
      <c r="AR25" s="59"/>
    </row>
    <row r="26" spans="2:49" ht="15.95" customHeight="1" thickBot="1">
      <c r="B26" s="59"/>
      <c r="I26" s="104"/>
      <c r="J26" s="444"/>
      <c r="K26" s="1260"/>
      <c r="L26" s="1261"/>
      <c r="M26" s="1261"/>
      <c r="N26" s="1261"/>
      <c r="O26" s="1261"/>
      <c r="P26" s="1261"/>
      <c r="Q26" s="1261"/>
      <c r="R26" s="1261"/>
      <c r="S26" s="1261"/>
      <c r="T26" s="1261"/>
      <c r="U26" s="1261"/>
      <c r="V26" s="1261"/>
      <c r="W26" s="1261"/>
      <c r="X26" s="1261"/>
      <c r="Y26" s="1261"/>
      <c r="Z26" s="1261"/>
      <c r="AA26" s="1261"/>
      <c r="AB26" s="1261"/>
      <c r="AC26" s="1261"/>
      <c r="AD26" s="1263"/>
      <c r="AE26" s="1263"/>
      <c r="AF26" s="1263"/>
      <c r="AG26" s="1263"/>
      <c r="AH26" s="1263"/>
      <c r="AI26" s="1263"/>
      <c r="AJ26" s="1263"/>
      <c r="AK26" s="154"/>
      <c r="AR26" s="59"/>
    </row>
    <row r="27" spans="2:49" ht="15.95" customHeight="1" thickBot="1">
      <c r="B27" s="59"/>
      <c r="I27" s="104"/>
      <c r="J27" s="441"/>
      <c r="K27" s="1255" t="s">
        <v>1470</v>
      </c>
      <c r="L27" s="1256"/>
      <c r="M27" s="1256"/>
      <c r="N27" s="1256"/>
      <c r="O27" s="1256"/>
      <c r="P27" s="1256"/>
      <c r="Q27" s="1256"/>
      <c r="R27" s="1256"/>
      <c r="S27" s="1256"/>
      <c r="T27" s="1256"/>
      <c r="U27" s="1256"/>
      <c r="V27" s="1256"/>
      <c r="W27" s="1256"/>
      <c r="X27" s="1256"/>
      <c r="Y27" s="1256"/>
      <c r="Z27" s="1256"/>
      <c r="AA27" s="1256"/>
      <c r="AB27" s="1256"/>
      <c r="AC27" s="1256"/>
      <c r="AD27" s="1257">
        <f ca="1">AD25*5</f>
        <v>0</v>
      </c>
      <c r="AE27" s="1252"/>
      <c r="AF27" s="1252"/>
      <c r="AG27" s="1252"/>
      <c r="AH27" s="1252"/>
      <c r="AI27" s="1252"/>
      <c r="AJ27" s="1252"/>
      <c r="AK27" s="154"/>
      <c r="AR27" s="59"/>
    </row>
    <row r="28" spans="2:49" ht="15.95" customHeight="1" thickBot="1">
      <c r="B28" s="59"/>
      <c r="I28" s="104"/>
      <c r="J28" s="442"/>
      <c r="K28" s="1255"/>
      <c r="L28" s="1256"/>
      <c r="M28" s="1256"/>
      <c r="N28" s="1256"/>
      <c r="O28" s="1256"/>
      <c r="P28" s="1256"/>
      <c r="Q28" s="1256"/>
      <c r="R28" s="1256"/>
      <c r="S28" s="1256"/>
      <c r="T28" s="1256"/>
      <c r="U28" s="1256"/>
      <c r="V28" s="1256"/>
      <c r="W28" s="1256"/>
      <c r="X28" s="1256"/>
      <c r="Y28" s="1256"/>
      <c r="Z28" s="1256"/>
      <c r="AA28" s="1256"/>
      <c r="AB28" s="1256"/>
      <c r="AC28" s="1256"/>
      <c r="AD28" s="1252"/>
      <c r="AE28" s="1252"/>
      <c r="AF28" s="1252"/>
      <c r="AG28" s="1252"/>
      <c r="AH28" s="1252"/>
      <c r="AI28" s="1252"/>
      <c r="AJ28" s="1252"/>
      <c r="AK28" s="154"/>
      <c r="AR28" s="59"/>
    </row>
    <row r="29" spans="2:49" ht="15.95" customHeight="1" thickBot="1">
      <c r="B29" s="59"/>
      <c r="I29" s="104"/>
      <c r="J29" s="636"/>
      <c r="K29" s="636"/>
      <c r="L29" s="636"/>
      <c r="M29" s="636"/>
      <c r="N29" s="636"/>
      <c r="O29" s="636"/>
      <c r="P29" s="636"/>
      <c r="Q29" s="636"/>
      <c r="R29" s="636"/>
      <c r="S29" s="636"/>
      <c r="T29" s="636"/>
      <c r="U29" s="636"/>
      <c r="V29" s="636"/>
      <c r="W29" s="636"/>
      <c r="X29" s="636"/>
      <c r="Y29" s="636"/>
      <c r="Z29" s="636"/>
      <c r="AA29" s="636"/>
      <c r="AB29" s="636"/>
      <c r="AC29" s="636"/>
      <c r="AD29" s="636"/>
      <c r="AE29" s="636"/>
      <c r="AF29" s="636"/>
      <c r="AG29" s="636"/>
      <c r="AH29" s="636"/>
      <c r="AI29" s="636"/>
      <c r="AJ29" s="636"/>
      <c r="AK29" s="154"/>
      <c r="AR29" s="59"/>
    </row>
    <row r="30" spans="2:49" ht="15.95" customHeight="1">
      <c r="B30" s="59"/>
      <c r="I30" s="104"/>
      <c r="J30" s="1226" t="s">
        <v>75</v>
      </c>
      <c r="K30" s="1226"/>
      <c r="L30" s="1226"/>
      <c r="M30" s="1226"/>
      <c r="N30" s="1226"/>
      <c r="O30" s="1226"/>
      <c r="P30" s="1226"/>
      <c r="Q30" s="1226"/>
      <c r="R30" s="1226"/>
      <c r="S30" s="1226"/>
      <c r="T30" s="1226"/>
      <c r="U30" s="1226"/>
      <c r="V30" s="1226"/>
      <c r="W30" s="1226"/>
      <c r="X30" s="1226"/>
      <c r="Y30" s="1226"/>
      <c r="Z30" s="1226"/>
      <c r="AA30" s="1226"/>
      <c r="AB30" s="1226"/>
      <c r="AC30" s="1226"/>
      <c r="AD30" s="1226"/>
      <c r="AE30" s="1226"/>
      <c r="AF30" s="1226"/>
      <c r="AG30" s="1226"/>
      <c r="AH30" s="1226"/>
      <c r="AI30" s="1226"/>
      <c r="AJ30" s="1226"/>
      <c r="AK30" s="154"/>
      <c r="AR30" s="59"/>
    </row>
    <row r="31" spans="2:49" ht="15.95" customHeight="1">
      <c r="B31" s="59"/>
      <c r="I31" s="104"/>
      <c r="J31" s="1226"/>
      <c r="K31" s="1226"/>
      <c r="L31" s="1226"/>
      <c r="M31" s="1226"/>
      <c r="N31" s="1226"/>
      <c r="O31" s="1226"/>
      <c r="P31" s="1226"/>
      <c r="Q31" s="1226"/>
      <c r="R31" s="1226"/>
      <c r="S31" s="1226"/>
      <c r="T31" s="1226"/>
      <c r="U31" s="1226"/>
      <c r="V31" s="1226"/>
      <c r="W31" s="1226"/>
      <c r="X31" s="1226"/>
      <c r="Y31" s="1226"/>
      <c r="Z31" s="1226"/>
      <c r="AA31" s="1226"/>
      <c r="AB31" s="1226"/>
      <c r="AC31" s="1226"/>
      <c r="AD31" s="1226"/>
      <c r="AE31" s="1226"/>
      <c r="AF31" s="1226"/>
      <c r="AG31" s="1226"/>
      <c r="AH31" s="1226"/>
      <c r="AI31" s="1226"/>
      <c r="AJ31" s="1226"/>
      <c r="AK31" s="154"/>
      <c r="AR31" s="59"/>
      <c r="AU31" t="s">
        <v>1471</v>
      </c>
      <c r="AW31" s="414">
        <f ca="1">IF(INCENTOTAL="","",INCENTOTAL)</f>
        <v>0</v>
      </c>
    </row>
    <row r="32" spans="2:49" ht="15.95" customHeight="1">
      <c r="B32" s="59"/>
      <c r="I32" s="104"/>
      <c r="J32" s="59"/>
      <c r="K32" s="59"/>
      <c r="L32" s="59"/>
      <c r="M32" s="59"/>
      <c r="N32" s="59"/>
      <c r="O32" s="59"/>
      <c r="P32" s="59"/>
      <c r="Q32" s="59"/>
      <c r="R32" s="59"/>
      <c r="AH32" s="59"/>
      <c r="AI32" s="59"/>
      <c r="AJ32" s="59"/>
      <c r="AK32" s="154"/>
      <c r="AR32" s="59"/>
      <c r="AU32" t="s">
        <v>1472</v>
      </c>
      <c r="AW32" s="415">
        <f ca="1">(M02S02F35*SUM(EXPORT!N4:N486))+(M02S02F36*SUM(EXPORT!P4:P486))</f>
        <v>0</v>
      </c>
    </row>
    <row r="33" spans="2:44" ht="15.95" customHeight="1">
      <c r="B33" s="59"/>
      <c r="I33" s="104"/>
      <c r="J33" s="59"/>
      <c r="L33" s="59"/>
      <c r="R33" s="59"/>
      <c r="AH33" s="416"/>
      <c r="AI33" s="416"/>
      <c r="AJ33" s="59"/>
      <c r="AK33" s="154"/>
      <c r="AR33" s="59"/>
    </row>
    <row r="34" spans="2:44" ht="15.95" customHeight="1">
      <c r="B34" s="59"/>
      <c r="I34" s="104"/>
      <c r="J34" s="417"/>
      <c r="AK34" s="154"/>
    </row>
    <row r="35" spans="2:44" ht="15.95" customHeight="1">
      <c r="B35" s="59"/>
      <c r="I35" s="104"/>
      <c r="J35" s="59"/>
      <c r="X35" s="1253" t="str">
        <f ca="1">IF($AW$31=0,"---",$AW$31)</f>
        <v>---</v>
      </c>
      <c r="Y35" s="1253"/>
      <c r="Z35" s="1253"/>
      <c r="AA35" s="1253"/>
      <c r="AB35" s="1253"/>
      <c r="AC35" s="1253"/>
      <c r="AD35" s="1253"/>
      <c r="AE35" s="1253"/>
      <c r="AF35" s="1253"/>
      <c r="AK35" s="154"/>
    </row>
    <row r="36" spans="2:44" ht="15.95" customHeight="1">
      <c r="B36" s="59"/>
      <c r="I36" s="104"/>
      <c r="J36" s="59"/>
      <c r="X36" s="1253"/>
      <c r="Y36" s="1253"/>
      <c r="Z36" s="1253"/>
      <c r="AA36" s="1253"/>
      <c r="AB36" s="1253"/>
      <c r="AC36" s="1253"/>
      <c r="AD36" s="1253"/>
      <c r="AE36" s="1253"/>
      <c r="AF36" s="1253"/>
      <c r="AG36" s="449"/>
      <c r="AK36" s="154"/>
    </row>
    <row r="37" spans="2:44" ht="15.95" customHeight="1">
      <c r="B37" s="59"/>
      <c r="I37" s="104"/>
      <c r="J37" s="59"/>
      <c r="X37" s="1254" t="s">
        <v>1506</v>
      </c>
      <c r="Y37" s="1254"/>
      <c r="Z37" s="1254"/>
      <c r="AA37" s="1254"/>
      <c r="AB37" s="1254"/>
      <c r="AC37" s="1254"/>
      <c r="AD37" s="1254"/>
      <c r="AE37" s="1254"/>
      <c r="AF37" s="1254"/>
      <c r="AG37" s="449"/>
      <c r="AK37" s="154"/>
    </row>
    <row r="38" spans="2:44" ht="15.95" customHeight="1">
      <c r="B38" s="59"/>
      <c r="I38" s="104"/>
      <c r="J38" s="59"/>
      <c r="L38" s="59"/>
      <c r="R38" s="59"/>
      <c r="X38" s="1254"/>
      <c r="Y38" s="1254"/>
      <c r="Z38" s="1254"/>
      <c r="AA38" s="1254"/>
      <c r="AB38" s="1254"/>
      <c r="AC38" s="1254"/>
      <c r="AD38" s="1254"/>
      <c r="AE38" s="1254"/>
      <c r="AF38" s="1254"/>
      <c r="AG38" s="450"/>
      <c r="AH38" s="416"/>
      <c r="AI38" s="416"/>
      <c r="AJ38" s="59"/>
      <c r="AK38" s="154"/>
    </row>
    <row r="39" spans="2:44" ht="15.95" customHeight="1">
      <c r="B39" s="59"/>
      <c r="I39" s="104"/>
      <c r="J39" s="59"/>
      <c r="L39" s="59"/>
      <c r="R39" s="59"/>
      <c r="AG39" s="450"/>
      <c r="AH39" s="416"/>
      <c r="AI39" s="416"/>
      <c r="AJ39" s="59"/>
      <c r="AK39" s="154"/>
    </row>
    <row r="40" spans="2:44" ht="15.95" customHeight="1" thickBot="1">
      <c r="B40" s="59"/>
      <c r="I40" s="104"/>
      <c r="J40" s="59"/>
      <c r="K40" s="59"/>
      <c r="L40" s="59"/>
      <c r="R40" s="59"/>
      <c r="S40" s="418"/>
      <c r="T40" s="418"/>
      <c r="U40" s="59"/>
      <c r="V40" s="59"/>
      <c r="W40" s="59"/>
      <c r="X40" s="59"/>
      <c r="Y40" s="59"/>
      <c r="Z40" s="418"/>
      <c r="AA40" s="418"/>
      <c r="AB40" s="416"/>
      <c r="AC40" s="416"/>
      <c r="AD40" s="416"/>
      <c r="AE40" s="416"/>
      <c r="AF40" s="416"/>
      <c r="AG40" s="416"/>
      <c r="AH40" s="416"/>
      <c r="AI40" s="416"/>
      <c r="AJ40" s="59"/>
      <c r="AK40" s="154"/>
    </row>
    <row r="41" spans="2:44" ht="18.75" customHeight="1" thickBot="1">
      <c r="B41" s="59"/>
      <c r="I41" s="104"/>
      <c r="J41" s="59"/>
      <c r="K41" s="59"/>
      <c r="L41" s="59"/>
      <c r="M41" s="59"/>
      <c r="N41" s="59"/>
      <c r="O41" s="1251" t="s">
        <v>1512</v>
      </c>
      <c r="P41" s="1251"/>
      <c r="Q41" s="1251"/>
      <c r="R41" s="1251"/>
      <c r="S41" s="1251"/>
      <c r="T41" s="1251"/>
      <c r="U41" s="1251"/>
      <c r="V41" s="1251"/>
      <c r="W41" s="1251"/>
      <c r="X41" s="1252" t="s">
        <v>1513</v>
      </c>
      <c r="Y41" s="1252"/>
      <c r="Z41" s="1252"/>
      <c r="AA41" s="1252"/>
      <c r="AB41" s="1252"/>
      <c r="AC41" s="1252"/>
      <c r="AD41" s="1252"/>
      <c r="AE41" s="1252"/>
      <c r="AF41" s="1252"/>
      <c r="AJ41" s="119"/>
      <c r="AK41" s="154"/>
    </row>
    <row r="42" spans="2:44" ht="15.95" customHeight="1" thickBot="1">
      <c r="I42" s="104"/>
      <c r="J42" s="59"/>
      <c r="K42" s="1232" t="s">
        <v>1473</v>
      </c>
      <c r="L42" s="1232"/>
      <c r="M42" s="1232"/>
      <c r="N42" s="1232"/>
      <c r="O42" s="1234" t="str">
        <f ca="1">IF(COSTTOTAL=0,"",COSTTOTAL)</f>
        <v/>
      </c>
      <c r="P42" s="1234"/>
      <c r="Q42" s="1234"/>
      <c r="R42" s="1234"/>
      <c r="S42" s="1234"/>
      <c r="T42" s="1234"/>
      <c r="U42" s="1234"/>
      <c r="V42" s="1234"/>
      <c r="W42" s="1234"/>
      <c r="X42" s="1235" t="str">
        <f ca="1">IF(COSTTOTAL-INCENTOTAL=0,"",IF(NOT(ISNUMBER(INCENSTATUS)),"---",COSTTOTAL-INCENTOTAL))</f>
        <v/>
      </c>
      <c r="Y42" s="1235"/>
      <c r="Z42" s="1235"/>
      <c r="AA42" s="1235"/>
      <c r="AB42" s="1235"/>
      <c r="AC42" s="1235"/>
      <c r="AD42" s="1235"/>
      <c r="AE42" s="1235"/>
      <c r="AF42" s="1235"/>
      <c r="AJ42" s="119"/>
      <c r="AK42" s="154"/>
    </row>
    <row r="43" spans="2:44" ht="15.95" customHeight="1" thickBot="1">
      <c r="I43" s="104"/>
      <c r="J43" s="59"/>
      <c r="K43" s="1233"/>
      <c r="L43" s="1233"/>
      <c r="M43" s="1233"/>
      <c r="N43" s="1233"/>
      <c r="O43" s="1234"/>
      <c r="P43" s="1234"/>
      <c r="Q43" s="1234"/>
      <c r="R43" s="1234"/>
      <c r="S43" s="1234"/>
      <c r="T43" s="1234"/>
      <c r="U43" s="1234"/>
      <c r="V43" s="1234"/>
      <c r="W43" s="1234"/>
      <c r="X43" s="1235"/>
      <c r="Y43" s="1235"/>
      <c r="Z43" s="1235"/>
      <c r="AA43" s="1235"/>
      <c r="AB43" s="1235"/>
      <c r="AC43" s="1235"/>
      <c r="AD43" s="1235"/>
      <c r="AE43" s="1235"/>
      <c r="AF43" s="1235"/>
      <c r="AJ43" s="119"/>
      <c r="AK43" s="154"/>
    </row>
    <row r="44" spans="2:44" ht="15.95" customHeight="1" thickBot="1">
      <c r="I44" s="104"/>
      <c r="J44" s="59"/>
      <c r="K44" s="1236" t="s">
        <v>1474</v>
      </c>
      <c r="L44" s="1236"/>
      <c r="M44" s="1236"/>
      <c r="N44" s="1236"/>
      <c r="O44" s="1237" t="str">
        <f ca="1">IFERROR(AW32/O42,"")</f>
        <v/>
      </c>
      <c r="P44" s="1237"/>
      <c r="Q44" s="1237"/>
      <c r="R44" s="1237"/>
      <c r="S44" s="1237"/>
      <c r="T44" s="1237"/>
      <c r="U44" s="1237"/>
      <c r="V44" s="1237"/>
      <c r="W44" s="1237"/>
      <c r="X44" s="1238" t="str">
        <f ca="1">IFERROR(AW32/X42,"")</f>
        <v/>
      </c>
      <c r="Y44" s="1238"/>
      <c r="Z44" s="1238"/>
      <c r="AA44" s="1238"/>
      <c r="AB44" s="1238"/>
      <c r="AC44" s="1238"/>
      <c r="AD44" s="1238"/>
      <c r="AE44" s="1238"/>
      <c r="AF44" s="1238"/>
      <c r="AJ44" s="119"/>
      <c r="AK44" s="154"/>
    </row>
    <row r="45" spans="2:44" ht="15.95" customHeight="1" thickBot="1">
      <c r="I45" s="104"/>
      <c r="J45" s="59"/>
      <c r="K45" s="1233"/>
      <c r="L45" s="1233"/>
      <c r="M45" s="1233"/>
      <c r="N45" s="1233"/>
      <c r="O45" s="1237"/>
      <c r="P45" s="1237"/>
      <c r="Q45" s="1237"/>
      <c r="R45" s="1237"/>
      <c r="S45" s="1237"/>
      <c r="T45" s="1237"/>
      <c r="U45" s="1237"/>
      <c r="V45" s="1237"/>
      <c r="W45" s="1237"/>
      <c r="X45" s="1238"/>
      <c r="Y45" s="1238"/>
      <c r="Z45" s="1238"/>
      <c r="AA45" s="1238"/>
      <c r="AB45" s="1238"/>
      <c r="AC45" s="1238"/>
      <c r="AD45" s="1238"/>
      <c r="AE45" s="1238"/>
      <c r="AF45" s="1238"/>
      <c r="AJ45" s="119"/>
      <c r="AK45" s="154"/>
    </row>
    <row r="46" spans="2:44" ht="15.95" customHeight="1" thickBot="1">
      <c r="I46" s="104"/>
      <c r="J46" s="59"/>
      <c r="K46" s="1236" t="s">
        <v>581</v>
      </c>
      <c r="L46" s="1236"/>
      <c r="M46" s="1236"/>
      <c r="N46" s="1236"/>
      <c r="O46" s="1239" t="str">
        <f ca="1">IFERROR(O42/AW32,"")</f>
        <v/>
      </c>
      <c r="P46" s="1239"/>
      <c r="Q46" s="1239"/>
      <c r="R46" s="1239"/>
      <c r="S46" s="1239"/>
      <c r="T46" s="1239"/>
      <c r="U46" s="1239"/>
      <c r="V46" s="1239"/>
      <c r="W46" s="1239"/>
      <c r="X46" s="1240" t="str">
        <f ca="1">IFERROR(X42/AW32,"")</f>
        <v/>
      </c>
      <c r="Y46" s="1240"/>
      <c r="Z46" s="1240"/>
      <c r="AA46" s="1240"/>
      <c r="AB46" s="1240"/>
      <c r="AC46" s="1240"/>
      <c r="AD46" s="1240"/>
      <c r="AE46" s="1240"/>
      <c r="AF46" s="1240"/>
      <c r="AJ46" s="119"/>
      <c r="AK46" s="154"/>
    </row>
    <row r="47" spans="2:44" ht="15.95" customHeight="1" thickBot="1">
      <c r="I47" s="104"/>
      <c r="J47" s="59"/>
      <c r="K47" s="1232"/>
      <c r="L47" s="1232"/>
      <c r="M47" s="1232"/>
      <c r="N47" s="1232"/>
      <c r="O47" s="1239"/>
      <c r="P47" s="1239"/>
      <c r="Q47" s="1239"/>
      <c r="R47" s="1239"/>
      <c r="S47" s="1239"/>
      <c r="T47" s="1239"/>
      <c r="U47" s="1239"/>
      <c r="V47" s="1239"/>
      <c r="W47" s="1239"/>
      <c r="X47" s="1240"/>
      <c r="Y47" s="1240"/>
      <c r="Z47" s="1240"/>
      <c r="AA47" s="1240"/>
      <c r="AB47" s="1240"/>
      <c r="AC47" s="1240"/>
      <c r="AD47" s="1240"/>
      <c r="AE47" s="1240"/>
      <c r="AF47" s="1240"/>
      <c r="AJ47" s="119"/>
      <c r="AK47" s="154"/>
    </row>
    <row r="48" spans="2:44" ht="15.95" customHeight="1" thickBot="1">
      <c r="I48" s="104"/>
      <c r="J48" s="635"/>
      <c r="K48" s="635"/>
      <c r="L48" s="635"/>
      <c r="M48" s="635"/>
      <c r="N48" s="635"/>
      <c r="O48" s="635"/>
      <c r="P48" s="635"/>
      <c r="Q48" s="635"/>
      <c r="R48" s="635"/>
      <c r="S48" s="635"/>
      <c r="T48" s="635"/>
      <c r="U48" s="635"/>
      <c r="V48" s="635"/>
      <c r="W48" s="635"/>
      <c r="X48" s="635"/>
      <c r="Y48" s="635"/>
      <c r="Z48" s="635"/>
      <c r="AA48" s="635"/>
      <c r="AB48" s="635"/>
      <c r="AC48" s="635"/>
      <c r="AD48" s="635"/>
      <c r="AE48" s="635"/>
      <c r="AF48" s="635"/>
      <c r="AG48" s="635"/>
      <c r="AH48" s="635"/>
      <c r="AI48" s="635"/>
      <c r="AJ48" s="635"/>
      <c r="AK48" s="154"/>
    </row>
    <row r="49" spans="3:53" ht="15.95" customHeight="1">
      <c r="I49" s="104"/>
      <c r="J49" s="1226" t="s">
        <v>1475</v>
      </c>
      <c r="K49" s="1226"/>
      <c r="L49" s="1226"/>
      <c r="M49" s="1226"/>
      <c r="N49" s="1226"/>
      <c r="O49" s="1226"/>
      <c r="P49" s="1226"/>
      <c r="Q49" s="1226"/>
      <c r="R49" s="1226"/>
      <c r="S49" s="1226"/>
      <c r="T49" s="1226"/>
      <c r="U49" s="1226"/>
      <c r="V49" s="1226"/>
      <c r="W49" s="1226"/>
      <c r="X49" s="1226"/>
      <c r="Y49" s="1226"/>
      <c r="Z49" s="1226"/>
      <c r="AA49" s="1226"/>
      <c r="AB49" s="1226"/>
      <c r="AC49" s="1226"/>
      <c r="AD49" s="1226"/>
      <c r="AE49" s="1226"/>
      <c r="AF49" s="1226"/>
      <c r="AG49" s="1226"/>
      <c r="AH49" s="1226"/>
      <c r="AI49" s="1226"/>
      <c r="AJ49" s="1226"/>
      <c r="AK49" s="154"/>
    </row>
    <row r="50" spans="3:53" ht="15.95" customHeight="1">
      <c r="I50" s="104"/>
      <c r="J50" s="1226"/>
      <c r="K50" s="1226"/>
      <c r="L50" s="1226"/>
      <c r="M50" s="1226"/>
      <c r="N50" s="1226"/>
      <c r="O50" s="1226"/>
      <c r="P50" s="1226"/>
      <c r="Q50" s="1226"/>
      <c r="R50" s="1226"/>
      <c r="S50" s="1226"/>
      <c r="T50" s="1226"/>
      <c r="U50" s="1226"/>
      <c r="V50" s="1226"/>
      <c r="W50" s="1226"/>
      <c r="X50" s="1226"/>
      <c r="Y50" s="1226"/>
      <c r="Z50" s="1226"/>
      <c r="AA50" s="1226"/>
      <c r="AB50" s="1226"/>
      <c r="AC50" s="1226"/>
      <c r="AD50" s="1226"/>
      <c r="AE50" s="1226"/>
      <c r="AF50" s="1226"/>
      <c r="AG50" s="1226"/>
      <c r="AH50" s="1226"/>
      <c r="AI50" s="1226"/>
      <c r="AJ50" s="1226"/>
      <c r="AK50" s="154"/>
    </row>
    <row r="51" spans="3:53" ht="15.95" customHeight="1">
      <c r="I51" s="104"/>
      <c r="J51" s="1222" t="s">
        <v>1477</v>
      </c>
      <c r="K51" s="1222"/>
      <c r="L51" s="1222"/>
      <c r="M51" s="1222"/>
      <c r="N51" s="1222"/>
      <c r="O51" s="1222"/>
      <c r="P51" s="1222"/>
      <c r="Q51" s="1222"/>
      <c r="R51" s="1222"/>
      <c r="S51" s="1222"/>
      <c r="T51" s="453"/>
      <c r="AK51" s="154"/>
      <c r="AU51" t="s">
        <v>1476</v>
      </c>
      <c r="AW51">
        <v>7.7599619999999989E-4</v>
      </c>
      <c r="AY51" t="s">
        <v>1502</v>
      </c>
      <c r="BA51">
        <v>6.633E-3</v>
      </c>
    </row>
    <row r="52" spans="3:53" ht="15.95" customHeight="1">
      <c r="I52" s="104"/>
      <c r="J52" s="1222"/>
      <c r="K52" s="1222"/>
      <c r="L52" s="1222"/>
      <c r="M52" s="1222"/>
      <c r="N52" s="1222"/>
      <c r="O52" s="1222"/>
      <c r="P52" s="1222"/>
      <c r="Q52" s="1222"/>
      <c r="R52" s="1222"/>
      <c r="S52" s="1222"/>
      <c r="T52" s="453"/>
      <c r="AK52" s="154"/>
      <c r="AU52" t="s">
        <v>1166</v>
      </c>
      <c r="AW52" s="52">
        <f ca="1">KWHTOTAL</f>
        <v>0</v>
      </c>
      <c r="AY52" t="s">
        <v>1503</v>
      </c>
      <c r="BA52" s="52">
        <f ca="1">THERMTOTAL</f>
        <v>0</v>
      </c>
    </row>
    <row r="53" spans="3:53" ht="15.95" customHeight="1">
      <c r="I53" s="104"/>
      <c r="J53" s="1221">
        <f ca="1">KWHTOTAL</f>
        <v>0</v>
      </c>
      <c r="K53" s="1221"/>
      <c r="L53" s="1221"/>
      <c r="M53" s="1221"/>
      <c r="N53" s="1221"/>
      <c r="O53" s="1221"/>
      <c r="P53" s="1221"/>
      <c r="Q53" s="1221"/>
      <c r="R53" s="1221"/>
      <c r="S53" s="1221"/>
      <c r="T53" s="452"/>
      <c r="AK53" s="154"/>
      <c r="AU53" s="56" t="s">
        <v>1478</v>
      </c>
      <c r="AW53">
        <f ca="1">AW51*AW52</f>
        <v>0</v>
      </c>
      <c r="AY53" s="56" t="s">
        <v>1478</v>
      </c>
      <c r="BA53">
        <f ca="1">BA51*BA52</f>
        <v>0</v>
      </c>
    </row>
    <row r="54" spans="3:53" ht="15.95" customHeight="1">
      <c r="C54" s="56"/>
      <c r="D54" s="56"/>
      <c r="E54" s="56"/>
      <c r="F54" s="56"/>
      <c r="G54" s="56"/>
      <c r="I54" s="104"/>
      <c r="J54" s="1221"/>
      <c r="K54" s="1221"/>
      <c r="L54" s="1221"/>
      <c r="M54" s="1221"/>
      <c r="N54" s="1221"/>
      <c r="O54" s="1221"/>
      <c r="P54" s="1221"/>
      <c r="Q54" s="1221"/>
      <c r="R54" s="1221"/>
      <c r="S54" s="1221"/>
      <c r="T54" s="452"/>
      <c r="AK54" s="154"/>
      <c r="AU54" t="s">
        <v>1479</v>
      </c>
      <c r="AW54">
        <v>4.67</v>
      </c>
      <c r="AY54" t="s">
        <v>1479</v>
      </c>
      <c r="BA54">
        <v>4.67</v>
      </c>
    </row>
    <row r="55" spans="3:53" ht="15.95" customHeight="1">
      <c r="C55" s="56"/>
      <c r="D55" s="56"/>
      <c r="E55" s="56"/>
      <c r="F55" s="56"/>
      <c r="G55" s="56"/>
      <c r="I55" s="104"/>
      <c r="J55" s="1223" t="s">
        <v>1521</v>
      </c>
      <c r="K55" s="1223"/>
      <c r="L55" s="1223"/>
      <c r="M55" s="1223"/>
      <c r="N55" s="1223"/>
      <c r="O55" s="1223"/>
      <c r="P55" s="1223"/>
      <c r="Q55" s="1223"/>
      <c r="R55" s="1223"/>
      <c r="S55" s="1223"/>
      <c r="AK55" s="154"/>
      <c r="AU55" t="s">
        <v>1480</v>
      </c>
      <c r="AW55">
        <f>6.672/12</f>
        <v>0.55599999999999994</v>
      </c>
      <c r="AY55" t="s">
        <v>1480</v>
      </c>
      <c r="BA55">
        <f>6.672/12</f>
        <v>0.55599999999999994</v>
      </c>
    </row>
    <row r="56" spans="3:53" ht="15.95" customHeight="1">
      <c r="C56" s="56"/>
      <c r="D56" s="56"/>
      <c r="E56" s="56"/>
      <c r="F56" s="56"/>
      <c r="G56" s="56"/>
      <c r="I56" s="104"/>
      <c r="J56" s="1224">
        <f ca="1">THERMTOTAL</f>
        <v>0</v>
      </c>
      <c r="K56" s="1224"/>
      <c r="L56" s="1224"/>
      <c r="M56" s="1224"/>
      <c r="N56" s="1224"/>
      <c r="O56" s="1224"/>
      <c r="P56" s="1224"/>
      <c r="Q56" s="1224"/>
      <c r="R56" s="1224"/>
      <c r="S56" s="1224"/>
      <c r="AK56" s="154"/>
      <c r="AU56" t="s">
        <v>1481</v>
      </c>
      <c r="AW56" s="114">
        <v>2.87</v>
      </c>
      <c r="AY56" t="s">
        <v>1481</v>
      </c>
      <c r="BA56" s="114">
        <v>2.87</v>
      </c>
    </row>
    <row r="57" spans="3:53" ht="15.95" customHeight="1">
      <c r="C57" s="56"/>
      <c r="D57" s="56"/>
      <c r="E57" s="56"/>
      <c r="F57" s="56"/>
      <c r="G57" s="56"/>
      <c r="I57" s="104"/>
      <c r="J57" s="1224"/>
      <c r="K57" s="1224"/>
      <c r="L57" s="1224"/>
      <c r="M57" s="1224"/>
      <c r="N57" s="1224"/>
      <c r="O57" s="1224"/>
      <c r="P57" s="1224"/>
      <c r="Q57" s="1224"/>
      <c r="R57" s="1224"/>
      <c r="S57" s="1224"/>
      <c r="T57" s="1241" t="s">
        <v>1523</v>
      </c>
      <c r="U57" s="1241"/>
      <c r="V57" s="1241"/>
      <c r="W57" s="1241"/>
      <c r="X57" s="1241"/>
      <c r="Y57" s="1241"/>
      <c r="Z57" s="1241"/>
      <c r="AA57" s="225"/>
      <c r="AB57" s="225"/>
      <c r="AC57" s="225"/>
      <c r="AD57" s="225"/>
      <c r="AE57" s="225"/>
      <c r="AF57" s="225"/>
      <c r="AG57" s="225"/>
      <c r="AH57" s="225"/>
      <c r="AI57" s="225"/>
      <c r="AJ57" s="225"/>
      <c r="AK57" s="154"/>
    </row>
    <row r="58" spans="3:53" ht="15.95" customHeight="1">
      <c r="C58" s="56"/>
      <c r="D58" s="56"/>
      <c r="E58" s="56"/>
      <c r="F58" s="56"/>
      <c r="G58" s="56"/>
      <c r="I58" s="104"/>
      <c r="J58" s="419"/>
      <c r="K58" s="419"/>
      <c r="L58" s="419"/>
      <c r="M58" s="419"/>
      <c r="N58" s="419"/>
      <c r="O58" s="419"/>
      <c r="P58" s="419"/>
      <c r="Q58" s="419"/>
      <c r="R58" s="419"/>
      <c r="S58" s="419"/>
      <c r="T58" s="1241"/>
      <c r="U58" s="1241"/>
      <c r="V58" s="1241"/>
      <c r="W58" s="1241"/>
      <c r="X58" s="1241"/>
      <c r="Y58" s="1241"/>
      <c r="Z58" s="1241"/>
      <c r="AA58" s="419"/>
      <c r="AB58" s="419"/>
      <c r="AC58" s="419"/>
      <c r="AD58" s="419"/>
      <c r="AE58" s="419"/>
      <c r="AF58" s="419"/>
      <c r="AG58" s="419"/>
      <c r="AH58" s="419"/>
      <c r="AI58" s="419"/>
      <c r="AJ58" s="419"/>
      <c r="AK58" s="154"/>
    </row>
    <row r="59" spans="3:53" ht="15.95" customHeight="1">
      <c r="C59" s="56"/>
      <c r="D59" s="56"/>
      <c r="E59" s="56"/>
      <c r="F59" s="56"/>
      <c r="G59" s="56"/>
      <c r="I59" s="104"/>
      <c r="T59" s="1241"/>
      <c r="U59" s="1241"/>
      <c r="V59" s="1241"/>
      <c r="W59" s="1241"/>
      <c r="X59" s="1241"/>
      <c r="Y59" s="1241"/>
      <c r="Z59" s="1241"/>
      <c r="AK59" s="154"/>
    </row>
    <row r="60" spans="3:53" ht="15.95" customHeight="1">
      <c r="C60" s="56"/>
      <c r="I60" s="104"/>
      <c r="AK60" s="154"/>
    </row>
    <row r="61" spans="3:53" ht="15.95" customHeight="1">
      <c r="C61" s="56"/>
      <c r="I61" s="104"/>
      <c r="M61" s="1225">
        <f ca="1">($AW$53/$AW$54)+($BA$53/$BA$54)</f>
        <v>0</v>
      </c>
      <c r="N61" s="1225"/>
      <c r="O61" s="1225"/>
      <c r="P61" s="1225"/>
      <c r="Q61" s="1225"/>
      <c r="R61" s="1225"/>
      <c r="S61" s="420"/>
      <c r="T61" s="420"/>
      <c r="V61" s="1225">
        <f ca="1">($AW$53/$AW$55)+($BA$53/$BA$55)</f>
        <v>0</v>
      </c>
      <c r="W61" s="1225"/>
      <c r="X61" s="1225"/>
      <c r="Y61" s="1225"/>
      <c r="Z61" s="1225"/>
      <c r="AA61" s="1225"/>
      <c r="AB61" s="421"/>
      <c r="AC61" s="421"/>
      <c r="AD61" s="421"/>
      <c r="AE61" s="1225">
        <f ca="1">($AW$53/$AW$56)+($BA$53/$BA$56)</f>
        <v>0</v>
      </c>
      <c r="AF61" s="1225"/>
      <c r="AG61" s="1225"/>
      <c r="AH61" s="1225"/>
      <c r="AI61" s="1225"/>
      <c r="AJ61" s="1225"/>
      <c r="AK61" s="154"/>
    </row>
    <row r="62" spans="3:53" ht="15.95" customHeight="1">
      <c r="C62" s="56"/>
      <c r="I62" s="104"/>
      <c r="M62" s="1228" t="s">
        <v>1482</v>
      </c>
      <c r="N62" s="1228"/>
      <c r="O62" s="1228"/>
      <c r="P62" s="1228"/>
      <c r="Q62" s="1228"/>
      <c r="R62" s="1228"/>
      <c r="S62" s="422"/>
      <c r="T62" s="422"/>
      <c r="V62" s="1229" t="s">
        <v>1483</v>
      </c>
      <c r="W62" s="1229"/>
      <c r="X62" s="1229"/>
      <c r="Y62" s="1229"/>
      <c r="Z62" s="1229"/>
      <c r="AA62" s="1229"/>
      <c r="AB62" s="423"/>
      <c r="AC62" s="423"/>
      <c r="AD62" s="423"/>
      <c r="AE62" s="1229" t="s">
        <v>1484</v>
      </c>
      <c r="AF62" s="1229"/>
      <c r="AG62" s="1229"/>
      <c r="AH62" s="1229"/>
      <c r="AI62" s="1229"/>
      <c r="AJ62" s="1229"/>
      <c r="AK62" s="154"/>
      <c r="AL62" s="420"/>
    </row>
    <row r="63" spans="3:53" ht="15.95" customHeight="1">
      <c r="C63" s="56"/>
      <c r="I63" s="104"/>
      <c r="M63" s="1228" t="s">
        <v>1485</v>
      </c>
      <c r="N63" s="1228"/>
      <c r="O63" s="1228"/>
      <c r="P63" s="1228"/>
      <c r="Q63" s="1228"/>
      <c r="R63" s="1228"/>
      <c r="S63" s="422"/>
      <c r="T63" s="422"/>
      <c r="V63" s="1230" t="s">
        <v>1486</v>
      </c>
      <c r="W63" s="1230"/>
      <c r="X63" s="1230"/>
      <c r="Y63" s="1230"/>
      <c r="Z63" s="1230"/>
      <c r="AA63" s="1230"/>
      <c r="AE63" s="1231" t="s">
        <v>1487</v>
      </c>
      <c r="AF63" s="1231"/>
      <c r="AG63" s="1231"/>
      <c r="AH63" s="1231"/>
      <c r="AI63" s="1231"/>
      <c r="AJ63" s="1231"/>
      <c r="AK63" s="154"/>
      <c r="AL63" s="424"/>
    </row>
    <row r="64" spans="3:53" ht="15.95" customHeight="1">
      <c r="C64" s="56"/>
      <c r="I64" s="104"/>
      <c r="AK64" s="154"/>
    </row>
    <row r="65" spans="3:39" ht="15.95" customHeight="1">
      <c r="C65" s="56"/>
      <c r="I65" s="104"/>
      <c r="AK65" s="154"/>
    </row>
    <row r="66" spans="3:39" ht="15.95" customHeight="1" thickBot="1">
      <c r="C66" s="56"/>
      <c r="I66" s="104"/>
      <c r="J66" s="634"/>
      <c r="K66" s="634"/>
      <c r="L66" s="634"/>
      <c r="M66" s="634"/>
      <c r="N66" s="634"/>
      <c r="O66" s="634"/>
      <c r="P66" s="634"/>
      <c r="Q66" s="634"/>
      <c r="R66" s="634"/>
      <c r="S66" s="634"/>
      <c r="T66" s="634"/>
      <c r="U66" s="635"/>
      <c r="V66" s="635"/>
      <c r="W66" s="635"/>
      <c r="X66" s="635"/>
      <c r="Y66" s="635"/>
      <c r="Z66" s="635"/>
      <c r="AA66" s="634"/>
      <c r="AB66" s="634"/>
      <c r="AC66" s="634"/>
      <c r="AD66" s="634"/>
      <c r="AE66" s="634"/>
      <c r="AF66" s="634"/>
      <c r="AG66" s="634"/>
      <c r="AH66" s="634"/>
      <c r="AI66" s="634"/>
      <c r="AJ66" s="634"/>
      <c r="AK66" s="154"/>
    </row>
    <row r="67" spans="3:39" ht="15.95" customHeight="1">
      <c r="C67" s="56"/>
      <c r="I67" s="104"/>
      <c r="J67" s="1226" t="s">
        <v>1488</v>
      </c>
      <c r="K67" s="1226"/>
      <c r="L67" s="1226"/>
      <c r="M67" s="1226"/>
      <c r="N67" s="1226"/>
      <c r="O67" s="1226"/>
      <c r="P67" s="1226"/>
      <c r="Q67" s="1226"/>
      <c r="R67" s="1226"/>
      <c r="S67" s="1226"/>
      <c r="T67" s="1226"/>
      <c r="U67" s="1226"/>
      <c r="V67" s="1226"/>
      <c r="W67" s="1226"/>
      <c r="X67" s="1226"/>
      <c r="Y67" s="1226"/>
      <c r="Z67" s="1226"/>
      <c r="AA67" s="1226"/>
      <c r="AB67" s="1226"/>
      <c r="AC67" s="1226"/>
      <c r="AD67" s="1226"/>
      <c r="AE67" s="1226"/>
      <c r="AF67" s="1226"/>
      <c r="AG67" s="1226"/>
      <c r="AH67" s="1226"/>
      <c r="AI67" s="1226"/>
      <c r="AJ67" s="1226"/>
      <c r="AK67" s="154"/>
    </row>
    <row r="68" spans="3:39" ht="15.95" customHeight="1">
      <c r="C68" s="56"/>
      <c r="D68" s="56"/>
      <c r="E68" s="56"/>
      <c r="F68" s="56"/>
      <c r="G68" s="56"/>
      <c r="I68" s="104"/>
      <c r="J68" s="1226"/>
      <c r="K68" s="1226"/>
      <c r="L68" s="1226"/>
      <c r="M68" s="1226"/>
      <c r="N68" s="1226"/>
      <c r="O68" s="1226"/>
      <c r="P68" s="1226"/>
      <c r="Q68" s="1226"/>
      <c r="R68" s="1226"/>
      <c r="S68" s="1226"/>
      <c r="T68" s="1226"/>
      <c r="U68" s="1226"/>
      <c r="V68" s="1226"/>
      <c r="W68" s="1226"/>
      <c r="X68" s="1226"/>
      <c r="Y68" s="1226"/>
      <c r="Z68" s="1226"/>
      <c r="AA68" s="1226"/>
      <c r="AB68" s="1226"/>
      <c r="AC68" s="1226"/>
      <c r="AD68" s="1226"/>
      <c r="AE68" s="1226"/>
      <c r="AF68" s="1226"/>
      <c r="AG68" s="1226"/>
      <c r="AH68" s="1226"/>
      <c r="AI68" s="1226"/>
      <c r="AJ68" s="1226"/>
      <c r="AK68" s="154"/>
    </row>
    <row r="69" spans="3:39" ht="15.95" customHeight="1">
      <c r="C69" s="56"/>
      <c r="D69" s="56"/>
      <c r="E69" s="56"/>
      <c r="F69" s="56"/>
      <c r="G69" s="56"/>
      <c r="I69" s="104"/>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191"/>
      <c r="AI69" s="59"/>
      <c r="AJ69" s="59"/>
      <c r="AK69" s="154"/>
    </row>
    <row r="70" spans="3:39" ht="15.95" customHeight="1">
      <c r="C70" s="56"/>
      <c r="D70" s="56"/>
      <c r="E70" s="56"/>
      <c r="F70" s="56"/>
      <c r="G70" s="56"/>
      <c r="I70" s="104"/>
      <c r="J70" s="1227" t="s">
        <v>1489</v>
      </c>
      <c r="K70" s="1227"/>
      <c r="L70" s="1227"/>
      <c r="M70" s="1227"/>
      <c r="N70" s="1227"/>
      <c r="O70" s="1227"/>
      <c r="P70" s="1227"/>
      <c r="Q70" s="1227"/>
      <c r="R70" s="1227"/>
      <c r="S70" s="1227"/>
      <c r="T70" s="1227"/>
      <c r="U70" s="1227"/>
      <c r="V70" s="1227"/>
      <c r="W70" s="59"/>
      <c r="Y70" s="425" t="s">
        <v>1490</v>
      </c>
      <c r="Z70" s="417"/>
      <c r="AA70" s="448" t="s">
        <v>1505</v>
      </c>
      <c r="AB70" s="119"/>
      <c r="AC70" s="417"/>
      <c r="AD70" s="417"/>
      <c r="AE70" s="417"/>
      <c r="AF70" s="417"/>
      <c r="AG70" s="417"/>
      <c r="AH70" s="417"/>
      <c r="AI70" s="417"/>
      <c r="AJ70" s="417"/>
      <c r="AK70" s="154"/>
    </row>
    <row r="71" spans="3:39" ht="15.95" customHeight="1">
      <c r="C71" s="56"/>
      <c r="D71" s="56"/>
      <c r="E71" s="56"/>
      <c r="F71" s="56"/>
      <c r="G71" s="56"/>
      <c r="I71" s="104"/>
      <c r="J71" s="1242" t="s">
        <v>1491</v>
      </c>
      <c r="K71" s="1242"/>
      <c r="L71" s="1242"/>
      <c r="M71" s="1242"/>
      <c r="N71" s="1242"/>
      <c r="O71" s="1242"/>
      <c r="P71" s="1242"/>
      <c r="Q71" s="1242"/>
      <c r="R71" s="1242"/>
      <c r="S71" s="1242"/>
      <c r="T71" s="1242"/>
      <c r="U71" s="1242"/>
      <c r="V71" s="1242"/>
      <c r="W71" s="59"/>
      <c r="Y71" s="425" t="s">
        <v>1469</v>
      </c>
      <c r="Z71" s="418"/>
      <c r="AA71" s="426" t="s">
        <v>1504</v>
      </c>
      <c r="AB71" s="418"/>
      <c r="AC71" s="418"/>
      <c r="AD71" s="427"/>
      <c r="AE71" s="427"/>
      <c r="AF71" s="418"/>
      <c r="AG71" s="418"/>
      <c r="AH71" s="418"/>
      <c r="AI71" s="418"/>
      <c r="AJ71" s="388"/>
      <c r="AK71" s="154"/>
    </row>
    <row r="72" spans="3:39" ht="15.95" customHeight="1">
      <c r="C72" s="56"/>
      <c r="D72" s="56"/>
      <c r="E72" s="56"/>
      <c r="F72" s="56"/>
      <c r="G72" s="56"/>
      <c r="I72" s="104"/>
      <c r="J72" s="1242"/>
      <c r="K72" s="1242"/>
      <c r="L72" s="1242"/>
      <c r="M72" s="1242"/>
      <c r="N72" s="1242"/>
      <c r="O72" s="1242"/>
      <c r="P72" s="1242"/>
      <c r="Q72" s="1242"/>
      <c r="R72" s="1242"/>
      <c r="S72" s="1242"/>
      <c r="T72" s="1242"/>
      <c r="U72" s="1242"/>
      <c r="V72" s="1242"/>
      <c r="W72" s="59"/>
      <c r="Y72" s="425" t="s">
        <v>1492</v>
      </c>
      <c r="Z72" s="418"/>
      <c r="AA72" s="463" t="s">
        <v>1551</v>
      </c>
      <c r="AB72" s="418"/>
      <c r="AC72" s="418"/>
      <c r="AD72" s="427"/>
      <c r="AE72" s="427"/>
      <c r="AF72" s="428"/>
      <c r="AG72" s="418"/>
      <c r="AH72" s="418"/>
      <c r="AI72" s="418"/>
      <c r="AJ72" s="388"/>
      <c r="AK72" s="154"/>
    </row>
    <row r="73" spans="3:39" ht="15.95" customHeight="1">
      <c r="C73" s="56"/>
      <c r="D73" s="56"/>
      <c r="E73" s="56"/>
      <c r="F73" s="56"/>
      <c r="G73" s="56"/>
      <c r="I73" s="104"/>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154"/>
    </row>
    <row r="74" spans="3:39" ht="15.95" customHeight="1">
      <c r="C74" s="56"/>
      <c r="D74" s="56"/>
      <c r="E74" s="56"/>
      <c r="F74" s="56"/>
      <c r="G74" s="56"/>
      <c r="I74" s="104"/>
      <c r="J74" s="1243" t="s">
        <v>1058</v>
      </c>
      <c r="K74" s="1244"/>
      <c r="L74" s="1244"/>
      <c r="M74" s="1244"/>
      <c r="N74" s="1244"/>
      <c r="O74" s="1244"/>
      <c r="P74" s="1244"/>
      <c r="Q74" s="1244"/>
      <c r="R74" s="1244"/>
      <c r="S74" s="1244"/>
      <c r="T74" s="1244"/>
      <c r="U74" s="1244"/>
      <c r="V74" s="1244"/>
      <c r="W74" s="1244"/>
      <c r="X74" s="1244"/>
      <c r="Y74" s="1244"/>
      <c r="Z74" s="1244"/>
      <c r="AA74" s="1244"/>
      <c r="AB74" s="1244"/>
      <c r="AC74" s="1244"/>
      <c r="AD74" s="1244"/>
      <c r="AE74" s="1244"/>
      <c r="AF74" s="1244"/>
      <c r="AG74" s="1244"/>
      <c r="AH74" s="1244"/>
      <c r="AI74" s="1244"/>
      <c r="AJ74" s="1245"/>
      <c r="AK74" s="154"/>
    </row>
    <row r="75" spans="3:39" ht="15.95" customHeight="1">
      <c r="C75" s="56"/>
      <c r="D75" s="56"/>
      <c r="E75" s="56"/>
      <c r="F75" s="56"/>
      <c r="G75" s="56"/>
      <c r="I75" s="104"/>
      <c r="J75" s="1246"/>
      <c r="K75" s="1247"/>
      <c r="L75" s="1247"/>
      <c r="M75" s="1247"/>
      <c r="N75" s="1247"/>
      <c r="O75" s="1247"/>
      <c r="P75" s="1247"/>
      <c r="Q75" s="1247"/>
      <c r="R75" s="1247"/>
      <c r="S75" s="1247"/>
      <c r="T75" s="1247"/>
      <c r="U75" s="1247"/>
      <c r="V75" s="1247"/>
      <c r="W75" s="1247"/>
      <c r="X75" s="1247"/>
      <c r="Y75" s="1247"/>
      <c r="Z75" s="1247"/>
      <c r="AA75" s="1247"/>
      <c r="AB75" s="1247"/>
      <c r="AC75" s="1247"/>
      <c r="AD75" s="1247"/>
      <c r="AE75" s="1247"/>
      <c r="AF75" s="1247"/>
      <c r="AG75" s="1247"/>
      <c r="AH75" s="1247"/>
      <c r="AI75" s="1247"/>
      <c r="AJ75" s="1248"/>
      <c r="AK75" s="154"/>
    </row>
    <row r="76" spans="3:39" ht="15.95" customHeight="1">
      <c r="C76" s="56"/>
      <c r="D76" s="56"/>
      <c r="E76" s="56"/>
      <c r="F76" s="56"/>
      <c r="G76" s="56"/>
      <c r="I76" s="106"/>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10"/>
    </row>
    <row r="77" spans="3:39" ht="15.95" customHeight="1">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row>
    <row r="78" spans="3:39" ht="15.95" hidden="1" customHeight="1">
      <c r="C78" s="56"/>
      <c r="D78" s="56"/>
      <c r="E78" s="56"/>
      <c r="F78" s="56"/>
      <c r="G78" s="56"/>
      <c r="H78" s="56"/>
      <c r="J78" s="56"/>
      <c r="K78" s="56"/>
      <c r="L78" s="56"/>
      <c r="M78" s="56"/>
      <c r="N78" s="56"/>
      <c r="O78" s="56"/>
    </row>
    <row r="79" spans="3:39" ht="15.95" hidden="1" customHeight="1">
      <c r="C79" s="56"/>
      <c r="D79" s="56"/>
      <c r="E79" s="56"/>
      <c r="F79" s="56"/>
      <c r="G79" s="56"/>
      <c r="H79" s="56"/>
      <c r="J79" s="56"/>
      <c r="K79" s="56"/>
      <c r="L79" s="56"/>
      <c r="M79" s="56"/>
      <c r="N79" s="56"/>
      <c r="O79" s="56"/>
    </row>
    <row r="80" spans="3:39" ht="15.95" hidden="1" customHeight="1">
      <c r="C80" s="56"/>
      <c r="D80" s="56"/>
      <c r="E80" s="56"/>
      <c r="F80" s="56"/>
      <c r="G80" s="56"/>
      <c r="H80" s="56"/>
      <c r="J80" s="56"/>
      <c r="K80" s="56"/>
      <c r="L80" s="56"/>
      <c r="M80" s="56"/>
      <c r="N80" s="56"/>
      <c r="O80" s="56"/>
    </row>
    <row r="81" spans="3:15" ht="15.95" hidden="1" customHeight="1">
      <c r="C81" s="56"/>
      <c r="D81" s="56"/>
      <c r="E81" s="56"/>
      <c r="F81" s="56"/>
      <c r="G81" s="56"/>
      <c r="H81" s="56"/>
      <c r="J81" s="56"/>
      <c r="K81" s="56"/>
      <c r="L81" s="56"/>
      <c r="M81" s="56"/>
      <c r="N81" s="56"/>
      <c r="O81" s="56"/>
    </row>
    <row r="82" spans="3:15" ht="15.95" hidden="1" customHeight="1">
      <c r="C82" s="56"/>
      <c r="D82" s="56"/>
      <c r="E82" s="56"/>
      <c r="F82" s="56"/>
      <c r="G82" s="56"/>
      <c r="H82" s="56"/>
      <c r="J82" s="56"/>
      <c r="K82" s="56"/>
      <c r="L82" s="56"/>
      <c r="M82" s="56"/>
      <c r="N82" s="56"/>
      <c r="O82" s="56"/>
    </row>
    <row r="83" spans="3:15" ht="15.95" hidden="1" customHeight="1">
      <c r="C83" s="56"/>
      <c r="D83" s="56"/>
      <c r="E83" s="56"/>
      <c r="F83" s="56"/>
      <c r="G83" s="56"/>
      <c r="H83" s="56"/>
      <c r="J83" s="56"/>
      <c r="K83" s="56"/>
      <c r="L83" s="56"/>
      <c r="M83" s="56"/>
      <c r="N83" s="56"/>
      <c r="O83" s="56"/>
    </row>
    <row r="84" spans="3:15" ht="15.95" hidden="1" customHeight="1">
      <c r="C84" s="56"/>
      <c r="D84" s="56"/>
      <c r="E84" s="56"/>
      <c r="F84" s="56"/>
      <c r="G84" s="56"/>
      <c r="H84" s="56"/>
      <c r="J84" s="56"/>
      <c r="K84" s="56"/>
      <c r="L84" s="56"/>
      <c r="M84" s="56"/>
      <c r="N84" s="56"/>
      <c r="O84" s="56"/>
    </row>
    <row r="85" spans="3:15" ht="15.95" hidden="1" customHeight="1">
      <c r="C85" s="56"/>
      <c r="D85" s="56"/>
      <c r="E85" s="56"/>
      <c r="F85" s="56"/>
      <c r="G85" s="56"/>
      <c r="H85" s="56"/>
      <c r="J85" s="56"/>
      <c r="K85" s="56"/>
      <c r="L85" s="56"/>
      <c r="M85" s="56"/>
      <c r="N85" s="56"/>
      <c r="O85" s="56"/>
    </row>
    <row r="86" spans="3:15" ht="15.95" hidden="1" customHeight="1">
      <c r="C86" s="56"/>
      <c r="D86" s="56"/>
      <c r="E86" s="56"/>
      <c r="F86" s="56"/>
      <c r="G86" s="56"/>
      <c r="H86" s="56"/>
      <c r="J86" s="56"/>
      <c r="K86" s="56"/>
      <c r="L86" s="56"/>
      <c r="M86" s="56"/>
      <c r="N86" s="56"/>
      <c r="O86" s="56"/>
    </row>
    <row r="87" spans="3:15" ht="15.95" hidden="1" customHeight="1">
      <c r="C87" s="56"/>
      <c r="D87" s="56"/>
      <c r="E87" s="56"/>
      <c r="F87" s="56"/>
      <c r="G87" s="56"/>
      <c r="H87" s="56"/>
      <c r="J87" s="56"/>
      <c r="K87" s="56"/>
      <c r="L87" s="56"/>
      <c r="M87" s="56"/>
      <c r="N87" s="56"/>
      <c r="O87" s="56"/>
    </row>
    <row r="88" spans="3:15" ht="15.95" hidden="1" customHeight="1">
      <c r="C88" s="56"/>
      <c r="D88" s="56"/>
      <c r="E88" s="56"/>
      <c r="F88" s="56"/>
      <c r="G88" s="56"/>
      <c r="H88" s="56"/>
      <c r="J88" s="56"/>
      <c r="K88" s="56"/>
      <c r="L88" s="56"/>
      <c r="M88" s="56"/>
      <c r="N88" s="56"/>
      <c r="O88" s="56"/>
    </row>
    <row r="89" spans="3:15" ht="15.95" hidden="1" customHeight="1">
      <c r="C89" s="56"/>
      <c r="D89" s="56"/>
      <c r="E89" s="56"/>
      <c r="F89" s="56"/>
      <c r="G89" s="56"/>
      <c r="H89" s="56"/>
      <c r="J89" s="56"/>
      <c r="K89" s="56"/>
      <c r="L89" s="56"/>
      <c r="M89" s="56"/>
      <c r="N89" s="56"/>
      <c r="O89" s="56"/>
    </row>
    <row r="90" spans="3:15" ht="15.95" hidden="1" customHeight="1">
      <c r="C90" s="56"/>
      <c r="D90" s="56"/>
      <c r="E90" s="56"/>
      <c r="F90" s="56"/>
      <c r="G90" s="56"/>
      <c r="H90" s="56"/>
      <c r="J90" s="56"/>
      <c r="K90" s="56"/>
      <c r="L90" s="56"/>
      <c r="M90" s="56"/>
      <c r="N90" s="56"/>
      <c r="O90" s="56"/>
    </row>
    <row r="91" spans="3:15" ht="15.95" hidden="1" customHeight="1">
      <c r="C91" s="56"/>
      <c r="D91" s="56"/>
      <c r="E91" s="56"/>
      <c r="F91" s="56"/>
      <c r="G91" s="56"/>
      <c r="H91" s="56"/>
      <c r="J91" s="56"/>
      <c r="K91" s="56"/>
      <c r="L91" s="56"/>
      <c r="M91" s="56"/>
      <c r="N91" s="56"/>
      <c r="O91" s="56"/>
    </row>
    <row r="92" spans="3:15" ht="15.95" hidden="1" customHeight="1">
      <c r="C92" s="56"/>
      <c r="D92" s="56"/>
      <c r="E92" s="56"/>
      <c r="F92" s="56"/>
      <c r="G92" s="56"/>
      <c r="H92" s="56"/>
      <c r="J92" s="56"/>
      <c r="K92" s="56"/>
      <c r="L92" s="56"/>
      <c r="M92" s="56"/>
      <c r="N92" s="56"/>
      <c r="O92" s="56"/>
    </row>
    <row r="93" spans="3:15" ht="15.95" hidden="1" customHeight="1">
      <c r="C93" s="56"/>
      <c r="D93" s="56"/>
      <c r="E93" s="56"/>
      <c r="F93" s="56"/>
      <c r="G93" s="56"/>
      <c r="H93" s="56"/>
      <c r="J93" s="56"/>
      <c r="K93" s="56"/>
      <c r="L93" s="56"/>
      <c r="M93" s="56"/>
      <c r="N93" s="56"/>
      <c r="O93" s="56"/>
    </row>
    <row r="94" spans="3:15" ht="15.95" hidden="1" customHeight="1">
      <c r="C94" s="56"/>
      <c r="D94" s="56"/>
      <c r="E94" s="56"/>
      <c r="F94" s="56"/>
      <c r="G94" s="56"/>
      <c r="H94" s="56"/>
      <c r="J94" s="56"/>
      <c r="K94" s="56"/>
      <c r="L94" s="56"/>
      <c r="M94" s="56"/>
      <c r="N94" s="56"/>
      <c r="O94" s="56"/>
    </row>
    <row r="95" spans="3:15" ht="15.95" hidden="1" customHeight="1">
      <c r="C95" s="56"/>
      <c r="D95" s="56"/>
      <c r="E95" s="56"/>
      <c r="F95" s="56"/>
      <c r="G95" s="56"/>
      <c r="H95" s="56"/>
      <c r="J95" s="56"/>
      <c r="K95" s="56"/>
      <c r="L95" s="56"/>
      <c r="M95" s="56"/>
      <c r="N95" s="56"/>
      <c r="O95" s="56"/>
    </row>
    <row r="96" spans="3:15" ht="15.95" hidden="1" customHeight="1">
      <c r="C96" s="56"/>
      <c r="D96" s="56"/>
      <c r="E96" s="56"/>
      <c r="F96" s="56"/>
      <c r="G96" s="56"/>
      <c r="H96" s="56"/>
      <c r="J96" s="56"/>
      <c r="K96" s="56"/>
      <c r="L96" s="56"/>
      <c r="M96" s="56"/>
      <c r="N96" s="56"/>
      <c r="O96" s="56"/>
    </row>
    <row r="97" spans="3:15" ht="15.95" hidden="1" customHeight="1">
      <c r="C97" s="56"/>
      <c r="D97" s="56"/>
      <c r="E97" s="56"/>
      <c r="F97" s="56"/>
      <c r="G97" s="56"/>
      <c r="H97" s="56"/>
      <c r="J97" s="56"/>
      <c r="K97" s="56"/>
      <c r="L97" s="56"/>
      <c r="M97" s="56"/>
      <c r="N97" s="56"/>
      <c r="O97" s="56"/>
    </row>
    <row r="98" spans="3:15" ht="15.95" hidden="1" customHeight="1">
      <c r="C98" s="56"/>
      <c r="D98" s="56"/>
      <c r="E98" s="56"/>
      <c r="F98" s="56"/>
      <c r="G98" s="56"/>
      <c r="H98" s="56"/>
      <c r="J98" s="56"/>
      <c r="K98" s="56"/>
      <c r="L98" s="56"/>
      <c r="M98" s="56"/>
      <c r="N98" s="56"/>
      <c r="O98" s="56"/>
    </row>
    <row r="99" spans="3:15" ht="15.95" hidden="1" customHeight="1">
      <c r="C99" s="56"/>
      <c r="D99" s="56"/>
      <c r="E99" s="56"/>
      <c r="F99" s="56"/>
      <c r="G99" s="56"/>
      <c r="H99" s="56"/>
      <c r="J99" s="56"/>
      <c r="K99" s="56"/>
      <c r="L99" s="56"/>
      <c r="M99" s="56"/>
      <c r="N99" s="56"/>
      <c r="O99" s="56"/>
    </row>
    <row r="100" spans="3:15" ht="15.95" hidden="1" customHeight="1">
      <c r="C100" s="56"/>
      <c r="D100" s="56"/>
      <c r="E100" s="56"/>
      <c r="F100" s="56"/>
      <c r="G100" s="56"/>
      <c r="H100" s="56"/>
      <c r="J100" s="56"/>
      <c r="K100" s="56"/>
      <c r="L100" s="56"/>
      <c r="M100" s="56"/>
      <c r="N100" s="56"/>
      <c r="O100" s="56"/>
    </row>
    <row r="101" spans="3:15" ht="15.95" hidden="1" customHeight="1">
      <c r="C101" s="56"/>
      <c r="D101" s="56"/>
      <c r="E101" s="56"/>
      <c r="F101" s="56"/>
      <c r="G101" s="56"/>
      <c r="H101" s="56"/>
      <c r="J101" s="56"/>
      <c r="K101" s="56"/>
      <c r="L101" s="56"/>
      <c r="M101" s="56"/>
      <c r="N101" s="56"/>
      <c r="O101" s="56"/>
    </row>
    <row r="102" spans="3:15" ht="15.95" hidden="1" customHeight="1">
      <c r="C102" s="56"/>
      <c r="D102" s="56"/>
      <c r="E102" s="56"/>
      <c r="F102" s="56"/>
      <c r="G102" s="56"/>
      <c r="H102" s="56"/>
      <c r="J102" s="56"/>
      <c r="K102" s="56"/>
      <c r="L102" s="56"/>
      <c r="M102" s="56"/>
      <c r="N102" s="56"/>
      <c r="O102" s="56"/>
    </row>
    <row r="103" spans="3:15" ht="15.95" hidden="1" customHeight="1">
      <c r="C103" s="56"/>
      <c r="D103" s="56"/>
      <c r="E103" s="56"/>
      <c r="F103" s="56"/>
      <c r="G103" s="56"/>
      <c r="H103" s="56"/>
      <c r="J103" s="56"/>
      <c r="K103" s="56"/>
      <c r="L103" s="56"/>
      <c r="M103" s="56"/>
      <c r="N103" s="56"/>
      <c r="O103" s="56"/>
    </row>
    <row r="104" spans="3:15" ht="15.95" hidden="1" customHeight="1">
      <c r="C104" s="56"/>
      <c r="D104" s="56"/>
      <c r="E104" s="56"/>
      <c r="F104" s="56"/>
      <c r="G104" s="56"/>
      <c r="H104" s="56"/>
      <c r="J104" s="56"/>
      <c r="K104" s="56"/>
      <c r="L104" s="56"/>
      <c r="M104" s="56"/>
      <c r="N104" s="56"/>
      <c r="O104" s="56"/>
    </row>
    <row r="105" spans="3:15" ht="15.95" hidden="1" customHeight="1">
      <c r="C105" s="56"/>
      <c r="D105" s="56"/>
      <c r="E105" s="56"/>
      <c r="F105" s="56"/>
      <c r="G105" s="56"/>
      <c r="H105" s="56"/>
      <c r="J105" s="56"/>
      <c r="K105" s="56"/>
      <c r="L105" s="56"/>
      <c r="M105" s="56"/>
      <c r="N105" s="56"/>
      <c r="O105" s="56"/>
    </row>
    <row r="106" spans="3:15" ht="15.95" hidden="1" customHeight="1">
      <c r="C106" s="56"/>
      <c r="D106" s="56"/>
      <c r="E106" s="56"/>
      <c r="F106" s="56"/>
      <c r="G106" s="56"/>
      <c r="H106" s="56"/>
      <c r="J106" s="56"/>
      <c r="K106" s="56"/>
      <c r="L106" s="56"/>
      <c r="M106" s="56"/>
      <c r="N106" s="56"/>
      <c r="O106" s="56"/>
    </row>
    <row r="107" spans="3:15" ht="15.95" hidden="1" customHeight="1">
      <c r="C107" s="56"/>
      <c r="D107" s="56"/>
      <c r="E107" s="56"/>
      <c r="F107" s="56"/>
      <c r="G107" s="56"/>
      <c r="H107" s="56"/>
      <c r="J107" s="56"/>
      <c r="K107" s="56"/>
      <c r="L107" s="56"/>
      <c r="M107" s="56"/>
      <c r="N107" s="56"/>
      <c r="O107" s="56"/>
    </row>
    <row r="108" spans="3:15" ht="15.95" hidden="1" customHeight="1">
      <c r="C108" s="56"/>
      <c r="D108" s="56"/>
      <c r="E108" s="56"/>
      <c r="F108" s="56"/>
      <c r="G108" s="56"/>
      <c r="H108" s="56"/>
      <c r="J108" s="56"/>
      <c r="K108" s="56"/>
      <c r="L108" s="56"/>
      <c r="M108" s="56"/>
      <c r="N108" s="56"/>
      <c r="O108" s="56"/>
    </row>
    <row r="109" spans="3:15" ht="15.95" hidden="1" customHeight="1">
      <c r="C109" s="56"/>
      <c r="D109" s="56"/>
      <c r="E109" s="56"/>
      <c r="F109" s="56"/>
      <c r="G109" s="56"/>
      <c r="H109" s="56"/>
      <c r="J109" s="56"/>
      <c r="K109" s="56"/>
      <c r="L109" s="56"/>
      <c r="M109" s="56"/>
      <c r="N109" s="56"/>
      <c r="O109" s="56"/>
    </row>
    <row r="110" spans="3:15" ht="15.95" hidden="1" customHeight="1">
      <c r="C110" s="56"/>
      <c r="D110" s="56"/>
      <c r="E110" s="56"/>
      <c r="F110" s="56"/>
      <c r="G110" s="56"/>
      <c r="H110" s="56"/>
      <c r="J110" s="56"/>
      <c r="K110" s="56"/>
      <c r="L110" s="56"/>
      <c r="M110" s="56"/>
      <c r="N110" s="56"/>
      <c r="O110" s="56"/>
    </row>
    <row r="111" spans="3:15" ht="15.95" hidden="1" customHeight="1">
      <c r="C111" s="56"/>
      <c r="D111" s="56"/>
      <c r="E111" s="56"/>
      <c r="F111" s="56"/>
      <c r="G111" s="56"/>
      <c r="H111" s="56"/>
      <c r="J111" s="56"/>
      <c r="K111" s="56"/>
      <c r="L111" s="56"/>
      <c r="M111" s="56"/>
      <c r="N111" s="56"/>
      <c r="O111" s="56"/>
    </row>
    <row r="112" spans="3:15" ht="15.95" hidden="1" customHeight="1">
      <c r="C112" s="56"/>
      <c r="D112" s="56"/>
      <c r="E112" s="56"/>
      <c r="F112" s="56"/>
      <c r="G112" s="56"/>
      <c r="H112" s="56"/>
      <c r="J112" s="56"/>
      <c r="K112" s="56"/>
      <c r="L112" s="56"/>
      <c r="M112" s="56"/>
      <c r="N112" s="56"/>
      <c r="O112" s="56"/>
    </row>
    <row r="113" spans="3:15" ht="15.95" hidden="1" customHeight="1">
      <c r="C113" s="56"/>
      <c r="D113" s="56"/>
      <c r="E113" s="56"/>
      <c r="F113" s="56"/>
      <c r="G113" s="56"/>
      <c r="H113" s="56"/>
      <c r="J113" s="56"/>
      <c r="K113" s="56"/>
      <c r="L113" s="56"/>
      <c r="M113" s="56"/>
      <c r="N113" s="56"/>
      <c r="O113" s="56"/>
    </row>
    <row r="114" spans="3:15" ht="15.95" hidden="1" customHeight="1">
      <c r="C114" s="56"/>
      <c r="D114" s="56"/>
      <c r="E114" s="56"/>
      <c r="F114" s="56"/>
      <c r="G114" s="56"/>
      <c r="H114" s="56"/>
      <c r="J114" s="56"/>
      <c r="K114" s="56"/>
      <c r="L114" s="56"/>
      <c r="M114" s="56"/>
      <c r="N114" s="56"/>
      <c r="O114" s="56"/>
    </row>
    <row r="115" spans="3:15" ht="15.95" hidden="1" customHeight="1">
      <c r="C115" s="56"/>
      <c r="D115" s="56"/>
      <c r="E115" s="56"/>
      <c r="F115" s="56"/>
      <c r="G115" s="56"/>
      <c r="H115" s="56"/>
      <c r="J115" s="56"/>
      <c r="K115" s="56"/>
      <c r="L115" s="56"/>
      <c r="M115" s="56"/>
      <c r="N115" s="56"/>
      <c r="O115" s="56"/>
    </row>
    <row r="116" spans="3:15" ht="15.95" hidden="1" customHeight="1">
      <c r="C116" s="56"/>
      <c r="D116" s="56"/>
      <c r="E116" s="56"/>
      <c r="F116" s="56"/>
      <c r="G116" s="56"/>
      <c r="H116" s="56"/>
      <c r="J116" s="56"/>
      <c r="K116" s="56"/>
      <c r="L116" s="56"/>
      <c r="M116" s="56"/>
      <c r="N116" s="56"/>
      <c r="O116" s="56"/>
    </row>
    <row r="117" spans="3:15" ht="15.95" hidden="1" customHeight="1">
      <c r="C117" s="56"/>
      <c r="D117" s="56"/>
      <c r="E117" s="56"/>
      <c r="F117" s="56"/>
      <c r="G117" s="56"/>
      <c r="H117" s="56"/>
      <c r="J117" s="56"/>
      <c r="K117" s="56"/>
      <c r="L117" s="56"/>
      <c r="M117" s="56"/>
      <c r="N117" s="56"/>
      <c r="O117" s="56"/>
    </row>
    <row r="118" spans="3:15" ht="15.95" hidden="1" customHeight="1">
      <c r="C118" s="56"/>
      <c r="D118" s="56"/>
      <c r="E118" s="56"/>
      <c r="F118" s="56"/>
      <c r="G118" s="56"/>
      <c r="H118" s="56"/>
      <c r="J118" s="56"/>
      <c r="K118" s="56"/>
      <c r="L118" s="56"/>
      <c r="M118" s="56"/>
      <c r="N118" s="56"/>
      <c r="O118" s="56"/>
    </row>
    <row r="119" spans="3:15" ht="15.95" hidden="1" customHeight="1">
      <c r="C119" s="56"/>
      <c r="D119" s="56"/>
      <c r="E119" s="56"/>
      <c r="F119" s="56"/>
      <c r="G119" s="56"/>
      <c r="H119" s="56"/>
      <c r="J119" s="56"/>
      <c r="K119" s="56"/>
      <c r="L119" s="56"/>
      <c r="M119" s="56"/>
      <c r="N119" s="56"/>
      <c r="O119" s="56"/>
    </row>
    <row r="120" spans="3:15" ht="15.95" hidden="1" customHeight="1">
      <c r="C120" s="56"/>
      <c r="D120" s="56"/>
      <c r="E120" s="56"/>
      <c r="F120" s="56"/>
      <c r="G120" s="56"/>
      <c r="H120" s="56"/>
      <c r="J120" s="56"/>
      <c r="K120" s="56"/>
      <c r="L120" s="56"/>
      <c r="M120" s="56"/>
      <c r="N120" s="56"/>
      <c r="O120" s="56"/>
    </row>
    <row r="121" spans="3:15" ht="15.95" hidden="1" customHeight="1">
      <c r="C121" s="56"/>
      <c r="D121" s="56"/>
      <c r="E121" s="56"/>
      <c r="F121" s="56"/>
      <c r="G121" s="56"/>
      <c r="H121" s="56"/>
      <c r="J121" s="56"/>
      <c r="K121" s="56"/>
      <c r="L121" s="56"/>
      <c r="M121" s="56"/>
      <c r="N121" s="56"/>
      <c r="O121" s="56"/>
    </row>
    <row r="122" spans="3:15" ht="15.95" hidden="1" customHeight="1">
      <c r="C122" s="56"/>
      <c r="D122" s="56"/>
      <c r="E122" s="56"/>
      <c r="F122" s="56"/>
      <c r="G122" s="56"/>
      <c r="H122" s="56"/>
      <c r="J122" s="56"/>
      <c r="K122" s="56"/>
      <c r="L122" s="56"/>
      <c r="M122" s="56"/>
      <c r="N122" s="56"/>
      <c r="O122" s="56"/>
    </row>
    <row r="123" spans="3:15" ht="15.95" hidden="1" customHeight="1">
      <c r="C123" s="56"/>
      <c r="D123" s="56"/>
      <c r="E123" s="56"/>
      <c r="F123" s="56"/>
      <c r="G123" s="56"/>
      <c r="H123" s="56"/>
      <c r="J123" s="56"/>
      <c r="K123" s="56"/>
      <c r="L123" s="56"/>
      <c r="M123" s="56"/>
      <c r="N123" s="56"/>
      <c r="O123" s="56"/>
    </row>
    <row r="124" spans="3:15" ht="15.95" hidden="1" customHeight="1">
      <c r="C124" s="56"/>
      <c r="D124" s="56"/>
      <c r="E124" s="56"/>
      <c r="F124" s="56"/>
      <c r="G124" s="56"/>
      <c r="H124" s="56"/>
      <c r="J124" s="56"/>
      <c r="K124" s="56"/>
      <c r="L124" s="56"/>
      <c r="M124" s="56"/>
      <c r="N124" s="56"/>
      <c r="O124" s="56"/>
    </row>
    <row r="125" spans="3:15" ht="15.95" hidden="1" customHeight="1">
      <c r="C125" s="56"/>
      <c r="D125" s="56"/>
      <c r="E125" s="56"/>
      <c r="F125" s="56"/>
      <c r="G125" s="56"/>
      <c r="H125" s="56"/>
      <c r="J125" s="56"/>
      <c r="K125" s="56"/>
      <c r="L125" s="56"/>
      <c r="M125" s="56"/>
      <c r="N125" s="56"/>
      <c r="O125" s="56"/>
    </row>
    <row r="126" spans="3:15" ht="15.95" hidden="1" customHeight="1">
      <c r="C126" s="56"/>
      <c r="D126" s="56"/>
      <c r="E126" s="56"/>
      <c r="F126" s="56"/>
      <c r="G126" s="56"/>
      <c r="H126" s="56"/>
      <c r="J126" s="56"/>
      <c r="K126" s="56"/>
      <c r="L126" s="56"/>
      <c r="M126" s="56"/>
      <c r="N126" s="56"/>
      <c r="O126" s="56"/>
    </row>
    <row r="127" spans="3:15" ht="15.95" hidden="1" customHeight="1">
      <c r="C127" s="56"/>
      <c r="D127" s="56"/>
      <c r="E127" s="56"/>
      <c r="F127" s="56"/>
      <c r="G127" s="56"/>
      <c r="H127" s="56"/>
      <c r="J127" s="56"/>
      <c r="K127" s="56"/>
      <c r="L127" s="56"/>
      <c r="M127" s="56"/>
      <c r="N127" s="56"/>
      <c r="O127" s="56"/>
    </row>
    <row r="128" spans="3:15" ht="15.95" hidden="1" customHeight="1">
      <c r="C128" s="56"/>
      <c r="D128" s="56"/>
      <c r="E128" s="56"/>
      <c r="F128" s="56"/>
      <c r="G128" s="56"/>
      <c r="H128" s="56"/>
      <c r="J128" s="56"/>
      <c r="K128" s="56"/>
      <c r="L128" s="56"/>
      <c r="M128" s="56"/>
      <c r="N128" s="56"/>
      <c r="O128" s="56"/>
    </row>
    <row r="129" spans="3:15" ht="15.95" hidden="1" customHeight="1">
      <c r="C129" s="56"/>
      <c r="D129" s="56"/>
      <c r="E129" s="56"/>
      <c r="F129" s="56"/>
      <c r="G129" s="56"/>
      <c r="H129" s="56"/>
      <c r="J129" s="56"/>
      <c r="K129" s="56"/>
      <c r="L129" s="56"/>
      <c r="M129" s="56"/>
      <c r="N129" s="56"/>
      <c r="O129" s="56"/>
    </row>
    <row r="130" spans="3:15" ht="15.95" hidden="1" customHeight="1">
      <c r="C130" s="56"/>
      <c r="D130" s="56"/>
      <c r="E130" s="56"/>
      <c r="F130" s="56"/>
      <c r="G130" s="56"/>
      <c r="H130" s="56"/>
      <c r="J130" s="56"/>
      <c r="K130" s="56"/>
      <c r="L130" s="56"/>
      <c r="M130" s="56"/>
      <c r="N130" s="56"/>
      <c r="O130" s="56"/>
    </row>
    <row r="131" spans="3:15" ht="15.95" hidden="1" customHeight="1">
      <c r="C131" s="56"/>
      <c r="D131" s="56"/>
      <c r="E131" s="56"/>
      <c r="F131" s="56"/>
      <c r="G131" s="56"/>
      <c r="H131" s="56"/>
      <c r="J131" s="56"/>
      <c r="K131" s="56"/>
      <c r="L131" s="56"/>
      <c r="M131" s="56"/>
      <c r="N131" s="56"/>
      <c r="O131" s="56"/>
    </row>
    <row r="132" spans="3:15" ht="15.95" hidden="1" customHeight="1">
      <c r="C132" s="56"/>
      <c r="D132" s="56"/>
      <c r="E132" s="56"/>
      <c r="F132" s="56"/>
      <c r="G132" s="56"/>
      <c r="H132" s="56"/>
      <c r="J132" s="56"/>
      <c r="K132" s="56"/>
      <c r="L132" s="56"/>
      <c r="M132" s="56"/>
      <c r="N132" s="56"/>
      <c r="O132" s="56"/>
    </row>
    <row r="133" spans="3:15" ht="15.95" hidden="1" customHeight="1">
      <c r="C133" s="56"/>
      <c r="D133" s="56"/>
      <c r="E133" s="56"/>
      <c r="F133" s="56"/>
      <c r="G133" s="56"/>
      <c r="H133" s="56"/>
      <c r="J133" s="56"/>
      <c r="K133" s="56"/>
      <c r="L133" s="56"/>
      <c r="M133" s="56"/>
      <c r="N133" s="56"/>
      <c r="O133" s="56"/>
    </row>
    <row r="134" spans="3:15" ht="15.95" hidden="1" customHeight="1">
      <c r="C134" s="56"/>
      <c r="D134" s="56"/>
      <c r="E134" s="56"/>
      <c r="F134" s="56"/>
      <c r="G134" s="56"/>
      <c r="H134" s="56"/>
      <c r="J134" s="56"/>
      <c r="K134" s="56"/>
      <c r="L134" s="56"/>
      <c r="M134" s="56"/>
      <c r="N134" s="56"/>
      <c r="O134" s="56"/>
    </row>
    <row r="135" spans="3:15" ht="15.95" hidden="1" customHeight="1">
      <c r="C135" s="56"/>
      <c r="D135" s="56"/>
      <c r="E135" s="56"/>
      <c r="F135" s="56"/>
      <c r="G135" s="56"/>
      <c r="H135" s="56"/>
      <c r="J135" s="56"/>
      <c r="K135" s="56"/>
      <c r="L135" s="56"/>
      <c r="M135" s="56"/>
      <c r="N135" s="56"/>
      <c r="O135" s="56"/>
    </row>
    <row r="136" spans="3:15" ht="15.95" hidden="1" customHeight="1">
      <c r="C136" s="56"/>
      <c r="D136" s="56"/>
      <c r="E136" s="56"/>
      <c r="F136" s="56"/>
      <c r="G136" s="56"/>
      <c r="H136" s="56"/>
      <c r="J136" s="56"/>
      <c r="K136" s="56"/>
      <c r="L136" s="56"/>
      <c r="M136" s="56"/>
      <c r="N136" s="56"/>
      <c r="O136" s="56"/>
    </row>
    <row r="137" spans="3:15" ht="15.95" hidden="1" customHeight="1">
      <c r="C137" s="56"/>
      <c r="D137" s="56"/>
      <c r="E137" s="56"/>
      <c r="F137" s="56"/>
      <c r="G137" s="56"/>
      <c r="H137" s="56"/>
      <c r="J137" s="56"/>
      <c r="K137" s="56"/>
      <c r="L137" s="56"/>
      <c r="M137" s="56"/>
      <c r="N137" s="56"/>
      <c r="O137" s="56"/>
    </row>
    <row r="138" spans="3:15" ht="15.95" hidden="1" customHeight="1">
      <c r="C138" s="56"/>
      <c r="D138" s="56"/>
      <c r="E138" s="56"/>
      <c r="F138" s="56"/>
      <c r="G138" s="56"/>
      <c r="H138" s="56"/>
      <c r="J138" s="56"/>
      <c r="K138" s="56"/>
      <c r="L138" s="56"/>
      <c r="M138" s="56"/>
      <c r="N138" s="56"/>
      <c r="O138" s="56"/>
    </row>
    <row r="139" spans="3:15" ht="15.95" hidden="1" customHeight="1">
      <c r="C139" s="56"/>
      <c r="D139" s="56"/>
      <c r="E139" s="56"/>
      <c r="F139" s="56"/>
      <c r="G139" s="56"/>
      <c r="H139" s="56"/>
      <c r="J139" s="56"/>
      <c r="K139" s="56"/>
      <c r="L139" s="56"/>
      <c r="M139" s="56"/>
      <c r="N139" s="56"/>
      <c r="O139" s="56"/>
    </row>
    <row r="140" spans="3:15" ht="15.95" hidden="1" customHeight="1">
      <c r="C140" s="56"/>
      <c r="D140" s="56"/>
      <c r="E140" s="56"/>
      <c r="F140" s="56"/>
      <c r="G140" s="56"/>
      <c r="H140" s="56"/>
      <c r="J140" s="56"/>
      <c r="K140" s="56"/>
      <c r="L140" s="56"/>
      <c r="M140" s="56"/>
      <c r="N140" s="56"/>
      <c r="O140" s="56"/>
    </row>
    <row r="141" spans="3:15" ht="15.95" hidden="1" customHeight="1">
      <c r="C141" s="56"/>
      <c r="D141" s="56"/>
      <c r="E141" s="56"/>
      <c r="F141" s="56"/>
      <c r="G141" s="56"/>
      <c r="H141" s="56"/>
      <c r="J141" s="56"/>
      <c r="K141" s="56"/>
      <c r="L141" s="56"/>
      <c r="M141" s="56"/>
      <c r="N141" s="56"/>
      <c r="O141" s="56"/>
    </row>
    <row r="142" spans="3:15" ht="15.95" hidden="1" customHeight="1">
      <c r="C142" s="56"/>
      <c r="D142" s="56"/>
      <c r="E142" s="56"/>
      <c r="F142" s="56"/>
      <c r="G142" s="56"/>
      <c r="H142" s="56"/>
      <c r="J142" s="56"/>
      <c r="K142" s="56"/>
      <c r="L142" s="56"/>
      <c r="M142" s="56"/>
      <c r="N142" s="56"/>
      <c r="O142" s="56"/>
    </row>
    <row r="143" spans="3:15" ht="15.95" hidden="1" customHeight="1">
      <c r="C143" s="56"/>
      <c r="D143" s="56"/>
      <c r="E143" s="56"/>
      <c r="F143" s="56"/>
      <c r="G143" s="56"/>
      <c r="H143" s="56"/>
      <c r="J143" s="56"/>
      <c r="K143" s="56"/>
      <c r="L143" s="56"/>
      <c r="M143" s="56"/>
      <c r="N143" s="56"/>
      <c r="O143" s="56"/>
    </row>
    <row r="144" spans="3:15" ht="15.95" hidden="1" customHeight="1">
      <c r="C144" s="56"/>
      <c r="D144" s="56"/>
      <c r="E144" s="56"/>
      <c r="F144" s="56"/>
      <c r="G144" s="56"/>
      <c r="H144" s="56"/>
      <c r="J144" s="56"/>
      <c r="K144" s="56"/>
      <c r="L144" s="56"/>
      <c r="M144" s="56"/>
      <c r="N144" s="56"/>
      <c r="O144" s="56"/>
    </row>
    <row r="145" spans="3:15" ht="15.95" hidden="1" customHeight="1">
      <c r="C145" s="56"/>
      <c r="D145" s="56"/>
      <c r="E145" s="56"/>
      <c r="F145" s="56"/>
      <c r="G145" s="56"/>
      <c r="H145" s="56"/>
      <c r="J145" s="56"/>
      <c r="K145" s="56"/>
      <c r="L145" s="56"/>
      <c r="M145" s="56"/>
      <c r="N145" s="56"/>
      <c r="O145" s="56"/>
    </row>
    <row r="146" spans="3:15" ht="15.95" hidden="1" customHeight="1">
      <c r="C146" s="56"/>
      <c r="D146" s="56"/>
      <c r="E146" s="56"/>
      <c r="F146" s="56"/>
      <c r="G146" s="56"/>
      <c r="H146" s="56"/>
      <c r="J146" s="56"/>
      <c r="K146" s="56"/>
      <c r="L146" s="56"/>
      <c r="M146" s="56"/>
      <c r="N146" s="56"/>
      <c r="O146" s="56"/>
    </row>
    <row r="147" spans="3:15" ht="15.95" hidden="1" customHeight="1">
      <c r="C147" s="56"/>
      <c r="D147" s="56"/>
      <c r="E147" s="56"/>
      <c r="F147" s="56"/>
      <c r="G147" s="56"/>
      <c r="H147" s="56"/>
      <c r="J147" s="56"/>
      <c r="K147" s="56"/>
      <c r="L147" s="56"/>
      <c r="M147" s="56"/>
      <c r="N147" s="56"/>
      <c r="O147" s="56"/>
    </row>
    <row r="148" spans="3:15" ht="15.95" hidden="1" customHeight="1">
      <c r="C148" s="56"/>
      <c r="D148" s="56"/>
      <c r="E148" s="56"/>
      <c r="F148" s="56"/>
      <c r="G148" s="56"/>
      <c r="H148" s="56"/>
      <c r="J148" s="56"/>
      <c r="K148" s="56"/>
      <c r="L148" s="56"/>
      <c r="M148" s="56"/>
      <c r="N148" s="56"/>
      <c r="O148" s="56"/>
    </row>
    <row r="149" spans="3:15" ht="15.95" hidden="1" customHeight="1">
      <c r="C149" s="56"/>
      <c r="D149" s="56"/>
      <c r="E149" s="56"/>
      <c r="F149" s="56"/>
      <c r="G149" s="56"/>
      <c r="H149" s="56"/>
      <c r="J149" s="56"/>
      <c r="K149" s="56"/>
      <c r="L149" s="56"/>
      <c r="M149" s="56"/>
      <c r="N149" s="56"/>
      <c r="O149" s="56"/>
    </row>
    <row r="150" spans="3:15" ht="15.95" hidden="1" customHeight="1">
      <c r="C150" s="56"/>
      <c r="D150" s="56"/>
      <c r="E150" s="56"/>
      <c r="F150" s="56"/>
      <c r="G150" s="56"/>
      <c r="H150" s="56"/>
      <c r="J150" s="56"/>
      <c r="K150" s="56"/>
      <c r="L150" s="56"/>
      <c r="M150" s="56"/>
      <c r="N150" s="56"/>
      <c r="O150" s="56"/>
    </row>
    <row r="151" spans="3:15" ht="15.95" hidden="1" customHeight="1">
      <c r="C151" s="56"/>
      <c r="D151" s="56"/>
      <c r="E151" s="56"/>
      <c r="F151" s="56"/>
      <c r="G151" s="56"/>
      <c r="H151" s="56"/>
      <c r="J151" s="56"/>
      <c r="K151" s="56"/>
      <c r="L151" s="56"/>
      <c r="M151" s="56"/>
      <c r="N151" s="56"/>
      <c r="O151" s="56"/>
    </row>
    <row r="152" spans="3:15" ht="15.95" hidden="1" customHeight="1">
      <c r="C152" s="56"/>
      <c r="D152" s="56"/>
      <c r="E152" s="56"/>
      <c r="F152" s="56"/>
      <c r="G152" s="56"/>
      <c r="H152" s="56"/>
      <c r="J152" s="56"/>
      <c r="K152" s="56"/>
      <c r="L152" s="56"/>
      <c r="M152" s="56"/>
      <c r="N152" s="56"/>
      <c r="O152" s="56"/>
    </row>
    <row r="153" spans="3:15" ht="15.95" hidden="1" customHeight="1">
      <c r="C153" s="56"/>
      <c r="D153" s="56"/>
      <c r="E153" s="56"/>
      <c r="F153" s="56"/>
      <c r="G153" s="56"/>
      <c r="H153" s="56"/>
      <c r="J153" s="56"/>
      <c r="K153" s="56"/>
      <c r="L153" s="56"/>
      <c r="M153" s="56"/>
      <c r="N153" s="56"/>
      <c r="O153" s="56"/>
    </row>
    <row r="154" spans="3:15" ht="15.95" hidden="1" customHeight="1">
      <c r="C154" s="56"/>
      <c r="D154" s="56"/>
      <c r="E154" s="56"/>
      <c r="F154" s="56"/>
      <c r="G154" s="56"/>
      <c r="H154" s="56"/>
      <c r="J154" s="56"/>
      <c r="K154" s="56"/>
      <c r="L154" s="56"/>
      <c r="M154" s="56"/>
      <c r="N154" s="56"/>
      <c r="O154" s="56"/>
    </row>
    <row r="155" spans="3:15" ht="15.95" hidden="1" customHeight="1">
      <c r="C155" s="56"/>
      <c r="D155" s="56"/>
      <c r="E155" s="56"/>
      <c r="F155" s="56"/>
      <c r="G155" s="56"/>
      <c r="H155" s="56"/>
      <c r="J155" s="56"/>
      <c r="K155" s="56"/>
      <c r="L155" s="56"/>
      <c r="M155" s="56"/>
      <c r="N155" s="56"/>
      <c r="O155" s="56"/>
    </row>
    <row r="156" spans="3:15" ht="15.95" hidden="1" customHeight="1">
      <c r="C156" s="56"/>
      <c r="D156" s="56"/>
      <c r="E156" s="56"/>
      <c r="F156" s="56"/>
      <c r="G156" s="56"/>
      <c r="H156" s="56"/>
      <c r="J156" s="56"/>
      <c r="K156" s="56"/>
      <c r="L156" s="56"/>
      <c r="M156" s="56"/>
      <c r="N156" s="56"/>
      <c r="O156" s="56"/>
    </row>
    <row r="157" spans="3:15" ht="15.95" hidden="1" customHeight="1">
      <c r="C157" s="56"/>
      <c r="D157" s="56"/>
      <c r="E157" s="56"/>
      <c r="F157" s="56"/>
      <c r="G157" s="56"/>
      <c r="H157" s="56"/>
      <c r="J157" s="56"/>
      <c r="K157" s="56"/>
      <c r="L157" s="56"/>
      <c r="M157" s="56"/>
      <c r="N157" s="56"/>
      <c r="O157" s="56"/>
    </row>
    <row r="158" spans="3:15" ht="15.95" hidden="1" customHeight="1">
      <c r="C158" s="56"/>
      <c r="D158" s="56"/>
      <c r="E158" s="56"/>
      <c r="F158" s="56"/>
      <c r="G158" s="56"/>
      <c r="H158" s="56"/>
      <c r="J158" s="56"/>
      <c r="K158" s="56"/>
      <c r="L158" s="56"/>
      <c r="M158" s="56"/>
      <c r="N158" s="56"/>
      <c r="O158" s="56"/>
    </row>
    <row r="159" spans="3:15" ht="15.95" hidden="1" customHeight="1">
      <c r="C159" s="56"/>
      <c r="D159" s="56"/>
      <c r="E159" s="56"/>
      <c r="F159" s="56"/>
      <c r="G159" s="56"/>
      <c r="H159" s="56"/>
      <c r="J159" s="56"/>
      <c r="K159" s="56"/>
      <c r="L159" s="56"/>
      <c r="M159" s="56"/>
      <c r="N159" s="56"/>
      <c r="O159" s="56"/>
    </row>
    <row r="160" spans="3:15" ht="15.95" hidden="1" customHeight="1">
      <c r="C160" s="56"/>
      <c r="D160" s="56"/>
      <c r="E160" s="56"/>
      <c r="F160" s="56"/>
      <c r="G160" s="56"/>
      <c r="H160" s="56"/>
      <c r="J160" s="56"/>
      <c r="K160" s="56"/>
      <c r="L160" s="56"/>
      <c r="M160" s="56"/>
      <c r="N160" s="56"/>
      <c r="O160" s="56"/>
    </row>
    <row r="161" spans="3:15" ht="15.95" hidden="1" customHeight="1">
      <c r="C161" s="56"/>
      <c r="D161" s="56"/>
      <c r="E161" s="56"/>
      <c r="F161" s="56"/>
      <c r="G161" s="56"/>
      <c r="H161" s="56"/>
      <c r="J161" s="56"/>
      <c r="K161" s="56"/>
      <c r="L161" s="56"/>
      <c r="M161" s="56"/>
      <c r="N161" s="56"/>
      <c r="O161" s="56"/>
    </row>
    <row r="162" spans="3:15" ht="15.95" hidden="1" customHeight="1">
      <c r="C162" s="56"/>
      <c r="D162" s="56"/>
      <c r="E162" s="56"/>
      <c r="F162" s="56"/>
      <c r="G162" s="56"/>
      <c r="H162" s="56"/>
      <c r="J162" s="56"/>
      <c r="K162" s="56"/>
      <c r="L162" s="56"/>
      <c r="M162" s="56"/>
      <c r="N162" s="56"/>
      <c r="O162" s="56"/>
    </row>
    <row r="163" spans="3:15" ht="15.95" hidden="1" customHeight="1">
      <c r="C163" s="56"/>
      <c r="D163" s="56"/>
      <c r="E163" s="56"/>
      <c r="F163" s="56"/>
      <c r="G163" s="56"/>
      <c r="H163" s="56"/>
      <c r="J163" s="56"/>
      <c r="K163" s="56"/>
      <c r="L163" s="56"/>
      <c r="M163" s="56"/>
      <c r="N163" s="56"/>
      <c r="O163" s="56"/>
    </row>
    <row r="164" spans="3:15" ht="15.95" hidden="1" customHeight="1">
      <c r="C164" s="56"/>
      <c r="D164" s="56"/>
      <c r="E164" s="56"/>
      <c r="F164" s="56"/>
      <c r="G164" s="56"/>
      <c r="H164" s="56"/>
      <c r="J164" s="56"/>
      <c r="K164" s="56"/>
      <c r="L164" s="56"/>
      <c r="M164" s="56"/>
      <c r="N164" s="56"/>
      <c r="O164" s="56"/>
    </row>
    <row r="165" spans="3:15" ht="15.95" hidden="1" customHeight="1">
      <c r="C165" s="56"/>
      <c r="D165" s="56"/>
      <c r="E165" s="56"/>
      <c r="F165" s="56"/>
      <c r="G165" s="56"/>
      <c r="H165" s="56"/>
      <c r="J165" s="56"/>
      <c r="K165" s="56"/>
      <c r="L165" s="56"/>
      <c r="M165" s="56"/>
      <c r="N165" s="56"/>
      <c r="O165" s="56"/>
    </row>
    <row r="166" spans="3:15" ht="15.95" hidden="1" customHeight="1">
      <c r="C166" s="56"/>
      <c r="D166" s="56"/>
      <c r="E166" s="56"/>
      <c r="F166" s="56"/>
      <c r="G166" s="56"/>
      <c r="H166" s="56"/>
      <c r="J166" s="56"/>
      <c r="K166" s="56"/>
      <c r="L166" s="56"/>
      <c r="M166" s="56"/>
      <c r="N166" s="56"/>
      <c r="O166" s="56"/>
    </row>
    <row r="167" spans="3:15" ht="15.95" hidden="1" customHeight="1">
      <c r="C167" s="56"/>
      <c r="D167" s="56"/>
      <c r="E167" s="56"/>
      <c r="F167" s="56"/>
      <c r="G167" s="56"/>
      <c r="H167" s="56"/>
      <c r="J167" s="56"/>
      <c r="K167" s="56"/>
      <c r="L167" s="56"/>
      <c r="M167" s="56"/>
      <c r="N167" s="56"/>
      <c r="O167" s="56"/>
    </row>
    <row r="168" spans="3:15" ht="15.95" hidden="1" customHeight="1">
      <c r="C168" s="56"/>
      <c r="D168" s="56"/>
      <c r="E168" s="56"/>
      <c r="F168" s="56"/>
      <c r="G168" s="56"/>
      <c r="H168" s="56"/>
      <c r="J168" s="56"/>
      <c r="K168" s="56"/>
      <c r="L168" s="56"/>
      <c r="M168" s="56"/>
      <c r="N168" s="56"/>
      <c r="O168" s="56"/>
    </row>
    <row r="169" spans="3:15" ht="15.95" hidden="1" customHeight="1">
      <c r="C169" s="56"/>
      <c r="D169" s="56"/>
      <c r="E169" s="56"/>
      <c r="F169" s="56"/>
      <c r="G169" s="56"/>
      <c r="H169" s="56"/>
      <c r="J169" s="56"/>
      <c r="K169" s="56"/>
      <c r="L169" s="56"/>
      <c r="M169" s="56"/>
      <c r="N169" s="56"/>
      <c r="O169" s="56"/>
    </row>
    <row r="170" spans="3:15" ht="15.95" hidden="1" customHeight="1">
      <c r="C170" s="56"/>
      <c r="D170" s="56"/>
      <c r="E170" s="56"/>
      <c r="F170" s="56"/>
      <c r="G170" s="56"/>
      <c r="H170" s="56"/>
      <c r="J170" s="56"/>
      <c r="K170" s="56"/>
      <c r="L170" s="56"/>
      <c r="M170" s="56"/>
      <c r="N170" s="56"/>
      <c r="O170" s="56"/>
    </row>
    <row r="171" spans="3:15" ht="15.95" hidden="1" customHeight="1">
      <c r="C171" s="56"/>
      <c r="D171" s="56"/>
      <c r="E171" s="56"/>
      <c r="F171" s="56"/>
      <c r="G171" s="56"/>
      <c r="H171" s="56"/>
      <c r="J171" s="56"/>
      <c r="K171" s="56"/>
      <c r="L171" s="56"/>
      <c r="M171" s="56"/>
      <c r="N171" s="56"/>
      <c r="O171" s="56"/>
    </row>
    <row r="172" spans="3:15" ht="15.95" hidden="1" customHeight="1">
      <c r="C172" s="56"/>
      <c r="D172" s="56"/>
      <c r="E172" s="56"/>
      <c r="F172" s="56"/>
      <c r="G172" s="56"/>
      <c r="H172" s="56"/>
      <c r="J172" s="56"/>
      <c r="K172" s="56"/>
      <c r="L172" s="56"/>
      <c r="M172" s="56"/>
      <c r="N172" s="56"/>
      <c r="O172" s="56"/>
    </row>
    <row r="173" spans="3:15" ht="15.95" hidden="1" customHeight="1">
      <c r="C173" s="56"/>
      <c r="D173" s="56"/>
      <c r="E173" s="56"/>
      <c r="F173" s="56"/>
      <c r="G173" s="56"/>
      <c r="H173" s="56"/>
      <c r="J173" s="56"/>
      <c r="K173" s="56"/>
      <c r="L173" s="56"/>
      <c r="M173" s="56"/>
      <c r="N173" s="56"/>
      <c r="O173" s="56"/>
    </row>
    <row r="174" spans="3:15" ht="15.95" hidden="1" customHeight="1">
      <c r="C174" s="56"/>
      <c r="D174" s="56"/>
      <c r="E174" s="56"/>
      <c r="F174" s="56"/>
      <c r="G174" s="56"/>
      <c r="H174" s="56"/>
      <c r="J174" s="56"/>
      <c r="K174" s="56"/>
      <c r="L174" s="56"/>
      <c r="M174" s="56"/>
      <c r="N174" s="56"/>
      <c r="O174" s="56"/>
    </row>
    <row r="175" spans="3:15" ht="15.95" hidden="1" customHeight="1">
      <c r="C175" s="56"/>
      <c r="D175" s="56"/>
      <c r="E175" s="56"/>
      <c r="F175" s="56"/>
      <c r="G175" s="56"/>
      <c r="H175" s="56"/>
      <c r="J175" s="56"/>
      <c r="K175" s="56"/>
      <c r="L175" s="56"/>
      <c r="M175" s="56"/>
      <c r="N175" s="56"/>
      <c r="O175" s="56"/>
    </row>
    <row r="176" spans="3:15" ht="15.95" hidden="1" customHeight="1">
      <c r="C176" s="56"/>
      <c r="D176" s="56"/>
      <c r="E176" s="56"/>
      <c r="F176" s="56"/>
      <c r="G176" s="56"/>
      <c r="H176" s="56"/>
      <c r="J176" s="56"/>
      <c r="K176" s="56"/>
      <c r="L176" s="56"/>
      <c r="M176" s="56"/>
      <c r="N176" s="56"/>
      <c r="O176" s="56"/>
    </row>
    <row r="177" spans="3:15" ht="15.95" hidden="1" customHeight="1">
      <c r="C177" s="56"/>
      <c r="D177" s="56"/>
      <c r="E177" s="56"/>
      <c r="F177" s="56"/>
      <c r="G177" s="56"/>
      <c r="H177" s="56"/>
      <c r="J177" s="56"/>
      <c r="K177" s="56"/>
      <c r="L177" s="56"/>
      <c r="M177" s="56"/>
      <c r="N177" s="56"/>
      <c r="O177" s="56"/>
    </row>
    <row r="178" spans="3:15" ht="15.95" hidden="1" customHeight="1">
      <c r="C178" s="56"/>
      <c r="D178" s="56"/>
      <c r="E178" s="56"/>
      <c r="F178" s="56"/>
      <c r="G178" s="56"/>
      <c r="H178" s="56"/>
      <c r="J178" s="56"/>
      <c r="K178" s="56"/>
      <c r="L178" s="56"/>
      <c r="M178" s="56"/>
      <c r="N178" s="56"/>
      <c r="O178" s="56"/>
    </row>
    <row r="179" spans="3:15" ht="15.95" hidden="1" customHeight="1">
      <c r="C179" s="56"/>
      <c r="D179" s="56"/>
      <c r="E179" s="56"/>
      <c r="F179" s="56"/>
      <c r="G179" s="56"/>
      <c r="H179" s="56"/>
      <c r="J179" s="56"/>
      <c r="K179" s="56"/>
      <c r="L179" s="56"/>
      <c r="M179" s="56"/>
      <c r="N179" s="56"/>
      <c r="O179" s="56"/>
    </row>
    <row r="180" spans="3:15" ht="15.95" hidden="1" customHeight="1">
      <c r="C180" s="56"/>
      <c r="D180" s="56"/>
      <c r="E180" s="56"/>
      <c r="F180" s="56"/>
      <c r="G180" s="56"/>
      <c r="H180" s="56"/>
      <c r="J180" s="56"/>
      <c r="K180" s="56"/>
      <c r="L180" s="56"/>
      <c r="M180" s="56"/>
      <c r="N180" s="56"/>
      <c r="O180" s="56"/>
    </row>
    <row r="181" spans="3:15" ht="15.95" hidden="1" customHeight="1">
      <c r="C181" s="56"/>
      <c r="D181" s="56"/>
      <c r="E181" s="56"/>
      <c r="F181" s="56"/>
      <c r="G181" s="56"/>
      <c r="H181" s="56"/>
      <c r="J181" s="56"/>
      <c r="K181" s="56"/>
      <c r="L181" s="56"/>
      <c r="M181" s="56"/>
      <c r="N181" s="56"/>
      <c r="O181" s="56"/>
    </row>
    <row r="182" spans="3:15" ht="15.95" hidden="1" customHeight="1">
      <c r="C182" s="56"/>
      <c r="D182" s="56"/>
      <c r="E182" s="56"/>
      <c r="F182" s="56"/>
      <c r="G182" s="56"/>
      <c r="H182" s="56"/>
      <c r="J182" s="56"/>
      <c r="K182" s="56"/>
      <c r="L182" s="56"/>
      <c r="M182" s="56"/>
      <c r="N182" s="56"/>
      <c r="O182" s="56"/>
    </row>
    <row r="183" spans="3:15" ht="15.95" hidden="1" customHeight="1">
      <c r="C183" s="56"/>
      <c r="D183" s="56"/>
      <c r="E183" s="56"/>
      <c r="F183" s="56"/>
      <c r="G183" s="56"/>
      <c r="H183" s="56"/>
      <c r="J183" s="56"/>
      <c r="K183" s="56"/>
      <c r="L183" s="56"/>
      <c r="M183" s="56"/>
      <c r="N183" s="56"/>
      <c r="O183" s="56"/>
    </row>
    <row r="184" spans="3:15" ht="15.95" hidden="1" customHeight="1">
      <c r="C184" s="56"/>
      <c r="D184" s="56"/>
      <c r="E184" s="56"/>
      <c r="F184" s="56"/>
      <c r="G184" s="56"/>
      <c r="H184" s="56"/>
      <c r="J184" s="56"/>
      <c r="K184" s="56"/>
      <c r="L184" s="56"/>
      <c r="M184" s="56"/>
      <c r="N184" s="56"/>
      <c r="O184" s="56"/>
    </row>
    <row r="185" spans="3:15" ht="15.95" hidden="1" customHeight="1">
      <c r="C185" s="56"/>
      <c r="D185" s="56"/>
      <c r="E185" s="56"/>
      <c r="F185" s="56"/>
      <c r="G185" s="56"/>
      <c r="H185" s="56"/>
      <c r="J185" s="56"/>
      <c r="K185" s="56"/>
      <c r="L185" s="56"/>
      <c r="M185" s="56"/>
      <c r="N185" s="56"/>
      <c r="O185" s="56"/>
    </row>
    <row r="186" spans="3:15" ht="15.95" hidden="1" customHeight="1">
      <c r="C186" s="56"/>
      <c r="D186" s="56"/>
      <c r="E186" s="56"/>
      <c r="F186" s="56"/>
      <c r="G186" s="56"/>
      <c r="H186" s="56"/>
      <c r="J186" s="56"/>
      <c r="K186" s="56"/>
      <c r="L186" s="56"/>
      <c r="M186" s="56"/>
      <c r="N186" s="56"/>
      <c r="O186" s="56"/>
    </row>
    <row r="187" spans="3:15" ht="15.95" hidden="1" customHeight="1">
      <c r="C187" s="56"/>
      <c r="D187" s="56"/>
      <c r="E187" s="56"/>
      <c r="F187" s="56"/>
      <c r="G187" s="56"/>
      <c r="H187" s="56"/>
      <c r="J187" s="56"/>
      <c r="K187" s="56"/>
      <c r="L187" s="56"/>
      <c r="M187" s="56"/>
      <c r="N187" s="56"/>
      <c r="O187" s="56"/>
    </row>
    <row r="188" spans="3:15" ht="15.95" hidden="1" customHeight="1">
      <c r="C188" s="56"/>
      <c r="D188" s="56"/>
      <c r="E188" s="56"/>
      <c r="F188" s="56"/>
      <c r="G188" s="56"/>
      <c r="H188" s="56"/>
      <c r="J188" s="56"/>
      <c r="K188" s="56"/>
      <c r="L188" s="56"/>
      <c r="M188" s="56"/>
      <c r="N188" s="56"/>
      <c r="O188" s="56"/>
    </row>
    <row r="189" spans="3:15" ht="15.95" hidden="1" customHeight="1">
      <c r="C189" s="56"/>
      <c r="D189" s="56"/>
      <c r="E189" s="56"/>
      <c r="F189" s="56"/>
      <c r="G189" s="56"/>
      <c r="H189" s="56"/>
      <c r="J189" s="56"/>
      <c r="K189" s="56"/>
      <c r="L189" s="56"/>
      <c r="M189" s="56"/>
      <c r="N189" s="56"/>
      <c r="O189" s="56"/>
    </row>
    <row r="190" spans="3:15" ht="15.95" hidden="1" customHeight="1">
      <c r="C190" s="56"/>
      <c r="D190" s="56"/>
      <c r="E190" s="56"/>
      <c r="F190" s="56"/>
      <c r="G190" s="56"/>
      <c r="H190" s="56"/>
      <c r="J190" s="56"/>
      <c r="K190" s="56"/>
      <c r="L190" s="56"/>
      <c r="M190" s="56"/>
      <c r="N190" s="56"/>
      <c r="O190" s="56"/>
    </row>
    <row r="191" spans="3:15" ht="15.95" hidden="1" customHeight="1">
      <c r="C191" s="56"/>
      <c r="D191" s="56"/>
      <c r="E191" s="56"/>
      <c r="F191" s="56"/>
      <c r="G191" s="56"/>
      <c r="H191" s="56"/>
      <c r="J191" s="56"/>
      <c r="K191" s="56"/>
      <c r="L191" s="56"/>
      <c r="M191" s="56"/>
      <c r="N191" s="56"/>
      <c r="O191" s="56"/>
    </row>
    <row r="192" spans="3:15" ht="15.95" hidden="1" customHeight="1">
      <c r="C192" s="56"/>
      <c r="D192" s="56"/>
      <c r="E192" s="56"/>
      <c r="F192" s="56"/>
      <c r="G192" s="56"/>
      <c r="H192" s="56"/>
      <c r="J192" s="56"/>
      <c r="K192" s="56"/>
      <c r="L192" s="56"/>
      <c r="M192" s="56"/>
      <c r="N192" s="56"/>
      <c r="O192" s="56"/>
    </row>
    <row r="193" spans="2:44" ht="15.95" hidden="1" customHeight="1">
      <c r="C193" s="56"/>
      <c r="D193" s="56"/>
      <c r="E193" s="56"/>
      <c r="F193" s="56"/>
      <c r="G193" s="56"/>
      <c r="H193" s="56"/>
      <c r="J193" s="56"/>
      <c r="K193" s="56"/>
      <c r="L193" s="56"/>
      <c r="M193" s="56"/>
      <c r="N193" s="56"/>
      <c r="O193" s="56"/>
    </row>
    <row r="194" spans="2:44" ht="15.95" hidden="1" customHeight="1">
      <c r="C194" s="56"/>
      <c r="D194" s="56"/>
      <c r="E194" s="56"/>
      <c r="F194" s="56"/>
      <c r="G194" s="56"/>
      <c r="H194" s="56"/>
      <c r="J194" s="56"/>
      <c r="K194" s="56"/>
      <c r="L194" s="56"/>
      <c r="M194" s="56"/>
      <c r="N194" s="56"/>
      <c r="O194" s="56"/>
    </row>
    <row r="195" spans="2:44" ht="15.95" hidden="1" customHeight="1">
      <c r="C195" s="56"/>
      <c r="D195" s="56"/>
      <c r="E195" s="56"/>
      <c r="F195" s="56"/>
      <c r="G195" s="56"/>
      <c r="H195" s="56"/>
      <c r="J195" s="56"/>
      <c r="K195" s="56"/>
      <c r="L195" s="56"/>
      <c r="M195" s="56"/>
      <c r="N195" s="56"/>
      <c r="O195" s="56"/>
    </row>
    <row r="196" spans="2:44" ht="15.95" hidden="1" customHeight="1">
      <c r="C196" s="56"/>
      <c r="D196" s="56"/>
      <c r="E196" s="56"/>
      <c r="F196" s="56"/>
      <c r="G196" s="56"/>
      <c r="H196" s="56"/>
      <c r="J196" s="56"/>
      <c r="K196" s="56"/>
      <c r="L196" s="56"/>
      <c r="M196" s="56"/>
      <c r="N196" s="56"/>
      <c r="O196" s="56"/>
    </row>
    <row r="197" spans="2:44" ht="15.95" hidden="1" customHeight="1">
      <c r="C197" s="56"/>
      <c r="D197" s="56"/>
      <c r="E197" s="56"/>
      <c r="F197" s="56"/>
      <c r="G197" s="56"/>
      <c r="H197" s="56"/>
      <c r="J197" s="56"/>
      <c r="K197" s="56"/>
      <c r="L197" s="56"/>
      <c r="M197" s="56"/>
      <c r="N197" s="56"/>
      <c r="O197" s="56"/>
    </row>
    <row r="198" spans="2:44" ht="15.95" hidden="1" customHeight="1">
      <c r="C198" s="56"/>
      <c r="D198" s="56"/>
      <c r="E198" s="56"/>
      <c r="F198" s="56"/>
      <c r="G198" s="56"/>
      <c r="H198" s="56"/>
      <c r="J198" s="56"/>
      <c r="K198" s="56"/>
      <c r="L198" s="56"/>
      <c r="M198" s="56"/>
      <c r="N198" s="56"/>
      <c r="O198" s="56"/>
    </row>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56" t="str">
        <f>FOOT4</f>
        <v>NIPSCO’s energy efficiency programs are administered by TRC, a third‐party implementation specialist that helps homes and businesses save energy.</v>
      </c>
      <c r="N200" s="656"/>
      <c r="O200" s="656"/>
      <c r="P200" s="656"/>
      <c r="Q200" s="656"/>
      <c r="R200" s="656"/>
      <c r="S200" s="656"/>
      <c r="T200" s="656"/>
      <c r="U200" s="656"/>
      <c r="V200" s="656"/>
      <c r="W200" s="656"/>
      <c r="X200" s="656"/>
      <c r="Y200" s="656"/>
      <c r="Z200" s="656"/>
      <c r="AA200" s="656"/>
      <c r="AB200" s="656"/>
      <c r="AC200" s="656"/>
      <c r="AD200" s="656"/>
      <c r="AE200" s="656"/>
      <c r="AF200" s="656"/>
      <c r="AG200" s="656"/>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272"/>
      <c r="AI201" s="272"/>
      <c r="AJ201" s="272"/>
      <c r="AK201" s="272"/>
      <c r="AL201" s="272"/>
      <c r="AM201" s="272"/>
      <c r="AN201" s="272"/>
      <c r="AO201" s="272"/>
      <c r="AP201" s="272"/>
      <c r="AQ201" s="272"/>
      <c r="AR201" s="273" t="str">
        <f>FOOT5</f>
        <v/>
      </c>
    </row>
    <row r="202" spans="2:44" ht="15.95" customHeight="1">
      <c r="B202" s="281" t="s">
        <v>1551</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v3.7.0</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8/AWX4lo4dID2ArezhRGhg+aSfK4XnId2o9Caqag6Iq4SUNU9RBeun0YP0SAMtY+rXhUlr560ysa+j3R5H59gQ==" saltValue="Ncx086KFVEIEdyxRh2nskg==" spinCount="100000" sheet="1" objects="1" scenarios="1" selectLockedCells="1"/>
  <mergeCells count="52">
    <mergeCell ref="F10:AN10"/>
    <mergeCell ref="J14:AB17"/>
    <mergeCell ref="AQ1:AR1"/>
    <mergeCell ref="AQ2:AR3"/>
    <mergeCell ref="AH1:AK1"/>
    <mergeCell ref="AL1:AP1"/>
    <mergeCell ref="AH2:AK3"/>
    <mergeCell ref="AL2:AP3"/>
    <mergeCell ref="J18:AJ20"/>
    <mergeCell ref="O21:Y21"/>
    <mergeCell ref="AC21:AJ21"/>
    <mergeCell ref="O41:W41"/>
    <mergeCell ref="X41:AF41"/>
    <mergeCell ref="X35:AF36"/>
    <mergeCell ref="X37:AF38"/>
    <mergeCell ref="K27:AC28"/>
    <mergeCell ref="AD27:AJ28"/>
    <mergeCell ref="J30:AJ31"/>
    <mergeCell ref="O22:Y22"/>
    <mergeCell ref="AC22:AJ22"/>
    <mergeCell ref="AC23:AJ23"/>
    <mergeCell ref="K25:AC26"/>
    <mergeCell ref="AD25:AJ26"/>
    <mergeCell ref="M200:AG201"/>
    <mergeCell ref="K42:N43"/>
    <mergeCell ref="O42:W43"/>
    <mergeCell ref="X42:AF43"/>
    <mergeCell ref="K44:N45"/>
    <mergeCell ref="O44:W45"/>
    <mergeCell ref="X44:AF45"/>
    <mergeCell ref="K46:N47"/>
    <mergeCell ref="O46:W47"/>
    <mergeCell ref="X46:AF47"/>
    <mergeCell ref="J49:AJ50"/>
    <mergeCell ref="T57:Z59"/>
    <mergeCell ref="M61:R61"/>
    <mergeCell ref="V61:AA61"/>
    <mergeCell ref="J71:V72"/>
    <mergeCell ref="J74:AJ75"/>
    <mergeCell ref="J67:AJ68"/>
    <mergeCell ref="J70:V70"/>
    <mergeCell ref="M62:R62"/>
    <mergeCell ref="V62:AA62"/>
    <mergeCell ref="AE62:AJ62"/>
    <mergeCell ref="M63:R63"/>
    <mergeCell ref="V63:AA63"/>
    <mergeCell ref="AE63:AJ63"/>
    <mergeCell ref="J53:S54"/>
    <mergeCell ref="J51:S52"/>
    <mergeCell ref="J55:S55"/>
    <mergeCell ref="J56:S57"/>
    <mergeCell ref="AE61:AJ61"/>
  </mergeCells>
  <conditionalFormatting sqref="AH2 AL2">
    <cfRule type="expression" dxfId="74" priority="1">
      <formula>PROJSTATUS=PROJSTATELI</formula>
    </cfRule>
    <cfRule type="expression" dxfId="73" priority="2">
      <formula>PROJSTATUS=PROJSTATREVIEW</formula>
    </cfRule>
    <cfRule type="expression" dxfId="72" priority="6">
      <formula>PROJSTATUS=PROJSTATPREAPPROVE</formula>
    </cfRule>
    <cfRule type="expression" dxfId="71" priority="7">
      <formula>PROJSTATUS=PROJSTATSTANDARD</formula>
    </cfRule>
    <cfRule type="expression" dxfId="70" priority="8">
      <formula>PROJSTATUS=PROJSTATEXP</formula>
    </cfRule>
  </conditionalFormatting>
  <conditionalFormatting sqref="AQ2:AR3">
    <cfRule type="cellIs" dxfId="69" priority="3" operator="equal">
      <formula>1</formula>
    </cfRule>
    <cfRule type="cellIs" dxfId="68" priority="4" operator="between">
      <formula>0.51</formula>
      <formula>0.99</formula>
    </cfRule>
    <cfRule type="cellIs" dxfId="67" priority="5" operator="lessThanOrEqual">
      <formula>0.5</formula>
    </cfRule>
  </conditionalFormatting>
  <hyperlinks>
    <hyperlink ref="AA72" r:id="rId1" xr:uid="{00000000-0004-0000-2500-000001000000}"/>
    <hyperlink ref="AA70" r:id="rId2" xr:uid="{00000000-0004-0000-2500-000002000000}"/>
    <hyperlink ref="B202" r:id="rId3" xr:uid="{54B8BCBA-E8A1-46AE-8370-A4A947346C14}"/>
  </hyperlinks>
  <printOptions horizontalCentered="1"/>
  <pageMargins left="0.1" right="0.1" top="0.1" bottom="0.1" header="0" footer="0"/>
  <pageSetup scale="80" orientation="portrait" r:id="rId4"/>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pageSetUpPr fitToPage="1"/>
  </sheetPr>
  <dimension ref="A1:AS202"/>
  <sheetViews>
    <sheetView showGridLines="0" showRowColHeaders="0" zoomScale="85" zoomScaleNormal="85" workbookViewId="0">
      <selection activeCell="C6" sqref="C6"/>
    </sheetView>
  </sheetViews>
  <sheetFormatPr defaultColWidth="0" defaultRowHeight="15" customHeight="1" zeroHeight="1"/>
  <cols>
    <col min="1" max="45" width="4.7109375" customWidth="1"/>
    <col min="46" max="78" width="9.140625" hidden="1" customWidth="1"/>
    <col min="79" max="16384" width="9.140625" hidden="1"/>
  </cols>
  <sheetData>
    <row r="1" spans="2:44" ht="15.95" customHeight="1">
      <c r="AH1" s="681" t="s">
        <v>471</v>
      </c>
      <c r="AI1" s="681"/>
      <c r="AJ1" s="681"/>
      <c r="AK1" s="681"/>
      <c r="AL1" s="682" t="s">
        <v>736</v>
      </c>
      <c r="AM1" s="682"/>
      <c r="AN1" s="682"/>
      <c r="AO1" s="682"/>
      <c r="AP1" s="682"/>
      <c r="AQ1" s="678" t="s">
        <v>474</v>
      </c>
      <c r="AR1" s="678"/>
    </row>
    <row r="2" spans="2:44" ht="15.95" customHeight="1">
      <c r="AH2" s="683" t="str">
        <f ca="1">INCENSTATUS</f>
        <v>---</v>
      </c>
      <c r="AI2" s="684"/>
      <c r="AJ2" s="684"/>
      <c r="AK2" s="684"/>
      <c r="AL2" s="685" t="str">
        <f ca="1">PROJSTATUS</f>
        <v>Enter Measures</v>
      </c>
      <c r="AM2" s="685"/>
      <c r="AN2" s="685"/>
      <c r="AO2" s="685"/>
      <c r="AP2" s="685"/>
      <c r="AQ2" s="679">
        <f ca="1">PROGRESSSTATUS</f>
        <v>2.8985507246376812E-2</v>
      </c>
      <c r="AR2" s="680"/>
    </row>
    <row r="3" spans="2:44" ht="15.95" customHeight="1">
      <c r="AH3" s="675"/>
      <c r="AI3" s="676"/>
      <c r="AJ3" s="676"/>
      <c r="AK3" s="676"/>
      <c r="AL3" s="668"/>
      <c r="AM3" s="668"/>
      <c r="AN3" s="668"/>
      <c r="AO3" s="668"/>
      <c r="AP3" s="668"/>
      <c r="AQ3" s="662"/>
      <c r="AR3" s="663"/>
    </row>
    <row r="4" spans="2:44" ht="15.95" customHeight="1">
      <c r="AR4" s="171"/>
    </row>
    <row r="5" spans="2:44" ht="15.95" customHeight="1"/>
    <row r="6" spans="2:44" ht="15.95" customHeight="1">
      <c r="C6" s="30"/>
    </row>
    <row r="7" spans="2:44" ht="15.95" customHeight="1"/>
    <row r="8" spans="2:44" ht="15.95" customHeight="1"/>
    <row r="9" spans="2:44" ht="15.95" customHeight="1">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44" ht="15.95" customHeight="1">
      <c r="B10" s="59"/>
      <c r="C10" s="59"/>
      <c r="D10" s="59"/>
      <c r="E10" s="59"/>
      <c r="F10" s="686" t="s">
        <v>124</v>
      </c>
      <c r="G10" s="686"/>
      <c r="H10" s="686"/>
      <c r="I10" s="686"/>
      <c r="J10" s="686"/>
      <c r="K10" s="686"/>
      <c r="L10" s="686"/>
      <c r="M10" s="686"/>
      <c r="N10" s="686"/>
      <c r="O10" s="686"/>
      <c r="P10" s="686"/>
      <c r="Q10" s="686"/>
      <c r="R10" s="686"/>
      <c r="S10" s="686"/>
      <c r="T10" s="686"/>
      <c r="U10" s="686"/>
      <c r="V10" s="686"/>
      <c r="W10" s="686"/>
      <c r="X10" s="686"/>
      <c r="Y10" s="686"/>
      <c r="Z10" s="686"/>
      <c r="AA10" s="686"/>
      <c r="AB10" s="686"/>
      <c r="AC10" s="686"/>
      <c r="AD10" s="686"/>
      <c r="AE10" s="686"/>
      <c r="AF10" s="686"/>
      <c r="AG10" s="686"/>
      <c r="AH10" s="686"/>
      <c r="AI10" s="686"/>
      <c r="AJ10" s="686"/>
      <c r="AK10" s="686"/>
      <c r="AL10" s="686"/>
      <c r="AM10" s="686"/>
      <c r="AN10" s="686"/>
      <c r="AO10" s="59"/>
      <c r="AP10" s="59"/>
      <c r="AQ10" s="59"/>
      <c r="AR10" s="59"/>
    </row>
    <row r="11" spans="2:44" ht="15.95" customHeight="1">
      <c r="B11" s="59"/>
      <c r="C11" s="59"/>
      <c r="D11" s="59"/>
      <c r="E11" s="59"/>
      <c r="F11" s="793" t="s">
        <v>453</v>
      </c>
      <c r="G11" s="793"/>
      <c r="H11" s="793"/>
      <c r="I11" s="793"/>
      <c r="J11" s="793"/>
      <c r="K11" s="793"/>
      <c r="L11" s="793"/>
      <c r="M11" s="793"/>
      <c r="N11" s="793"/>
      <c r="O11" s="793"/>
      <c r="P11" s="793"/>
      <c r="Q11" s="793"/>
      <c r="R11" s="793"/>
      <c r="S11" s="793"/>
      <c r="T11" s="793"/>
      <c r="U11" s="793"/>
      <c r="V11" s="793"/>
      <c r="W11" s="793"/>
      <c r="X11" s="793"/>
      <c r="Y11" s="793"/>
      <c r="Z11" s="793"/>
      <c r="AA11" s="793"/>
      <c r="AB11" s="793"/>
      <c r="AC11" s="793"/>
      <c r="AD11" s="793"/>
      <c r="AE11" s="793"/>
      <c r="AF11" s="793"/>
      <c r="AG11" s="793"/>
      <c r="AH11" s="793"/>
      <c r="AI11" s="793"/>
      <c r="AJ11" s="793"/>
      <c r="AK11" s="793"/>
      <c r="AL11" s="793"/>
      <c r="AM11" s="793"/>
      <c r="AN11" s="793"/>
      <c r="AO11" s="59"/>
      <c r="AP11" s="59"/>
      <c r="AQ11" s="59"/>
      <c r="AR11" s="59"/>
    </row>
    <row r="12" spans="2:44" ht="15.95" customHeight="1">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2:44" ht="15.95" customHeight="1">
      <c r="B13" s="59"/>
      <c r="C13" s="285" t="s">
        <v>454</v>
      </c>
      <c r="D13" s="286"/>
      <c r="E13" s="286"/>
      <c r="F13" s="286"/>
      <c r="G13" s="286"/>
      <c r="H13" s="286"/>
      <c r="I13" s="286"/>
      <c r="J13" s="286"/>
      <c r="K13" s="286"/>
      <c r="L13" s="286"/>
      <c r="M13" s="286"/>
      <c r="N13" s="286"/>
      <c r="O13" s="59"/>
      <c r="P13" s="59"/>
      <c r="Q13" s="285" t="s">
        <v>455</v>
      </c>
      <c r="R13" s="286"/>
      <c r="S13" s="286"/>
      <c r="T13" s="286"/>
      <c r="U13" s="286"/>
      <c r="V13" s="286"/>
      <c r="W13" s="286"/>
      <c r="X13" s="286"/>
      <c r="Y13" s="286"/>
      <c r="Z13" s="286"/>
      <c r="AA13" s="286"/>
      <c r="AB13" s="286"/>
      <c r="AC13" s="286"/>
      <c r="AD13" s="59"/>
      <c r="AE13" s="59"/>
      <c r="AF13" s="285" t="s">
        <v>456</v>
      </c>
      <c r="AG13" s="286"/>
      <c r="AH13" s="286"/>
      <c r="AI13" s="286"/>
      <c r="AJ13" s="286"/>
      <c r="AK13" s="286"/>
      <c r="AL13" s="286"/>
      <c r="AM13" s="286"/>
      <c r="AN13" s="286"/>
      <c r="AO13" s="286"/>
      <c r="AP13" s="286"/>
      <c r="AQ13" s="286"/>
      <c r="AR13" s="59"/>
    </row>
    <row r="14" spans="2:44" ht="15.95" customHeight="1">
      <c r="B14" s="59"/>
      <c r="C14" s="287"/>
      <c r="D14" s="59"/>
      <c r="E14" s="59"/>
      <c r="F14" s="59"/>
      <c r="G14" s="59"/>
      <c r="H14" s="59"/>
      <c r="I14" s="59"/>
      <c r="J14" s="59"/>
      <c r="K14" s="59"/>
      <c r="L14" s="59"/>
      <c r="M14" s="59"/>
      <c r="N14" s="299"/>
      <c r="O14" s="59"/>
      <c r="P14" s="59"/>
      <c r="Q14" s="287"/>
      <c r="R14" s="59"/>
      <c r="S14" s="59"/>
      <c r="T14" s="59"/>
      <c r="U14" s="59"/>
      <c r="V14" s="59"/>
      <c r="W14" s="59"/>
      <c r="X14" s="59"/>
      <c r="Y14" s="59"/>
      <c r="Z14" s="59"/>
      <c r="AA14" s="59"/>
      <c r="AB14" s="59"/>
      <c r="AC14" s="299"/>
      <c r="AD14" s="59"/>
      <c r="AE14" s="59"/>
      <c r="AF14" s="287"/>
      <c r="AG14" s="59"/>
      <c r="AH14" s="59"/>
      <c r="AI14" s="59"/>
      <c r="AJ14" s="59"/>
      <c r="AK14" s="59"/>
      <c r="AL14" s="59"/>
      <c r="AM14" s="59"/>
      <c r="AN14" s="59"/>
      <c r="AO14" s="59"/>
      <c r="AP14" s="59"/>
      <c r="AQ14" s="299"/>
      <c r="AR14" s="59"/>
    </row>
    <row r="15" spans="2:44" ht="15.95" customHeight="1">
      <c r="B15" s="59"/>
      <c r="C15" s="288" t="s">
        <v>458</v>
      </c>
      <c r="D15" s="1267" t="s">
        <v>819</v>
      </c>
      <c r="E15" s="1267"/>
      <c r="F15" s="1267"/>
      <c r="G15" s="1267"/>
      <c r="H15" s="1267"/>
      <c r="I15" s="1267"/>
      <c r="J15" s="1267"/>
      <c r="K15" s="1268" t="str">
        <f ca="1">IF(TEMPLATE!A74/TEMPLATE!D74=1,"Completed",IF(TEMPLATE!A74/TEMPLATE!D74&gt;0.7,"Almost!","Incomplete"))</f>
        <v>Incomplete</v>
      </c>
      <c r="L15" s="1268"/>
      <c r="M15" s="1268"/>
      <c r="N15" s="300"/>
      <c r="O15" s="59"/>
      <c r="P15" s="59"/>
      <c r="Q15" s="292" t="s">
        <v>458</v>
      </c>
      <c r="R15" s="59" t="s">
        <v>463</v>
      </c>
      <c r="S15" s="59"/>
      <c r="T15" s="59"/>
      <c r="U15" s="59"/>
      <c r="V15" s="59"/>
      <c r="W15" s="59"/>
      <c r="X15" s="59"/>
      <c r="Y15" s="59"/>
      <c r="Z15" s="59"/>
      <c r="AA15" s="59"/>
      <c r="AB15" s="59"/>
      <c r="AC15" s="299"/>
      <c r="AD15" s="59"/>
      <c r="AE15" s="59"/>
      <c r="AF15" s="292" t="s">
        <v>458</v>
      </c>
      <c r="AG15" s="1266" t="s">
        <v>1552</v>
      </c>
      <c r="AH15" s="1266"/>
      <c r="AI15" s="1266"/>
      <c r="AJ15" s="1266"/>
      <c r="AK15" s="1266"/>
      <c r="AL15" s="1266"/>
      <c r="AM15" s="1266"/>
      <c r="AN15" s="1266"/>
      <c r="AO15" s="1266"/>
      <c r="AP15" s="1266"/>
      <c r="AQ15" s="1269"/>
      <c r="AR15" s="59"/>
    </row>
    <row r="16" spans="2:44" ht="15.95" customHeight="1">
      <c r="B16" s="59"/>
      <c r="C16" s="289"/>
      <c r="D16" s="1267"/>
      <c r="E16" s="1267"/>
      <c r="F16" s="1267"/>
      <c r="G16" s="1267"/>
      <c r="H16" s="1267"/>
      <c r="I16" s="1267"/>
      <c r="J16" s="1267"/>
      <c r="K16" s="1268"/>
      <c r="L16" s="1268"/>
      <c r="M16" s="1268"/>
      <c r="N16" s="301"/>
      <c r="O16" s="59"/>
      <c r="P16" s="59"/>
      <c r="Q16" s="290"/>
      <c r="Z16" s="59"/>
      <c r="AA16" s="59"/>
      <c r="AB16" s="59"/>
      <c r="AC16" s="299"/>
      <c r="AD16" s="59"/>
      <c r="AE16" s="59"/>
      <c r="AF16" s="292"/>
      <c r="AG16" s="1266"/>
      <c r="AH16" s="1266"/>
      <c r="AI16" s="1266"/>
      <c r="AJ16" s="1266"/>
      <c r="AK16" s="1266"/>
      <c r="AL16" s="1266"/>
      <c r="AM16" s="1266"/>
      <c r="AN16" s="1266"/>
      <c r="AO16" s="1266"/>
      <c r="AP16" s="1266"/>
      <c r="AQ16" s="1269"/>
      <c r="AR16" s="59"/>
    </row>
    <row r="17" spans="2:44" ht="15.95" customHeight="1">
      <c r="B17" s="59"/>
      <c r="C17" s="290"/>
      <c r="N17" s="302"/>
      <c r="O17" s="59"/>
      <c r="P17" s="59"/>
      <c r="Q17" s="292" t="s">
        <v>459</v>
      </c>
      <c r="R17" s="59" t="s">
        <v>464</v>
      </c>
      <c r="S17" s="59"/>
      <c r="T17" s="59"/>
      <c r="U17" s="59"/>
      <c r="V17" s="59"/>
      <c r="W17" s="59"/>
      <c r="X17" s="59"/>
      <c r="Y17" s="59"/>
      <c r="Z17" s="59"/>
      <c r="AA17" s="59"/>
      <c r="AB17" s="59"/>
      <c r="AC17" s="299"/>
      <c r="AD17" s="59"/>
      <c r="AE17" s="59"/>
      <c r="AF17" s="287"/>
      <c r="AG17" s="1266"/>
      <c r="AH17" s="1266"/>
      <c r="AI17" s="1266"/>
      <c r="AJ17" s="1266"/>
      <c r="AK17" s="1266"/>
      <c r="AL17" s="1266"/>
      <c r="AM17" s="1266"/>
      <c r="AN17" s="1266"/>
      <c r="AO17" s="1266"/>
      <c r="AP17" s="1266"/>
      <c r="AQ17" s="1269"/>
      <c r="AR17" s="59"/>
    </row>
    <row r="18" spans="2:44" ht="15.95" customHeight="1">
      <c r="B18" s="59"/>
      <c r="C18" s="288" t="s">
        <v>459</v>
      </c>
      <c r="D18" s="1270" t="s">
        <v>77</v>
      </c>
      <c r="E18" s="1270"/>
      <c r="F18" s="1270"/>
      <c r="G18" s="1270"/>
      <c r="H18" s="1270"/>
      <c r="I18" s="1270"/>
      <c r="J18" s="1270"/>
      <c r="K18" s="1268" t="str">
        <f ca="1">IF(TEMPLATE!A81/TEMPLATE!D81=1,"Completed",IF(TEMPLATE!A81/TEMPLATE!D81&gt;0.7,"Almost!","Incomplete"))</f>
        <v>Incomplete</v>
      </c>
      <c r="L18" s="1268"/>
      <c r="M18" s="1268"/>
      <c r="N18" s="300"/>
      <c r="O18" s="59"/>
      <c r="P18" s="59"/>
      <c r="Q18" s="292"/>
      <c r="R18" s="1274" t="s">
        <v>475</v>
      </c>
      <c r="S18" s="1274"/>
      <c r="T18" s="1274"/>
      <c r="U18" s="1274" t="s">
        <v>1042</v>
      </c>
      <c r="V18" s="1274"/>
      <c r="W18" s="1274"/>
      <c r="X18" s="1274"/>
      <c r="Y18" s="1274"/>
      <c r="Z18" s="1274"/>
      <c r="AA18" s="1274"/>
      <c r="AB18" s="1274"/>
      <c r="AC18" s="1275"/>
      <c r="AD18" s="59"/>
      <c r="AE18" s="59"/>
      <c r="AF18" s="292" t="s">
        <v>459</v>
      </c>
      <c r="AG18" s="1266" t="s">
        <v>1535</v>
      </c>
      <c r="AH18" s="1266"/>
      <c r="AI18" s="1266"/>
      <c r="AJ18" s="1266"/>
      <c r="AK18" s="1266"/>
      <c r="AL18" s="1266"/>
      <c r="AM18" s="1266"/>
      <c r="AN18" s="1266"/>
      <c r="AO18" s="1266"/>
      <c r="AP18" s="1266"/>
      <c r="AQ18" s="1269"/>
      <c r="AR18" s="59"/>
    </row>
    <row r="19" spans="2:44" ht="15.95" customHeight="1">
      <c r="B19" s="59"/>
      <c r="C19" s="290"/>
      <c r="N19" s="302"/>
      <c r="O19" s="59"/>
      <c r="P19" s="59"/>
      <c r="Q19" s="292"/>
      <c r="R19" s="1276" t="s">
        <v>475</v>
      </c>
      <c r="S19" s="1276"/>
      <c r="T19" s="1276"/>
      <c r="U19" s="1276" t="s">
        <v>1043</v>
      </c>
      <c r="V19" s="1276"/>
      <c r="W19" s="1276"/>
      <c r="X19" s="1276"/>
      <c r="Y19" s="1276"/>
      <c r="Z19" s="1276"/>
      <c r="AA19" s="1276"/>
      <c r="AB19" s="1276"/>
      <c r="AC19" s="1277"/>
      <c r="AD19" s="59"/>
      <c r="AE19" s="59"/>
      <c r="AF19" s="287"/>
      <c r="AG19" s="1266"/>
      <c r="AH19" s="1266"/>
      <c r="AI19" s="1266"/>
      <c r="AJ19" s="1266"/>
      <c r="AK19" s="1266"/>
      <c r="AL19" s="1266"/>
      <c r="AM19" s="1266"/>
      <c r="AN19" s="1266"/>
      <c r="AO19" s="1266"/>
      <c r="AP19" s="1266"/>
      <c r="AQ19" s="1269"/>
      <c r="AR19" s="59"/>
    </row>
    <row r="20" spans="2:44" ht="15.95" customHeight="1">
      <c r="B20" s="59"/>
      <c r="C20" s="288" t="s">
        <v>460</v>
      </c>
      <c r="D20" s="1270" t="s">
        <v>134</v>
      </c>
      <c r="E20" s="1270"/>
      <c r="F20" s="1270"/>
      <c r="G20" s="1270"/>
      <c r="H20" s="1270"/>
      <c r="I20" s="1270"/>
      <c r="J20" s="1270"/>
      <c r="K20" s="1268" t="str">
        <f ca="1">IF(TEMPLATE!A134/TEMPLATE!D134=1,"Completed",IF(TEMPLATE!A134/TEMPLATE!D134&gt;0.7,"Almost!","Incomplete"))</f>
        <v>Incomplete</v>
      </c>
      <c r="L20" s="1268"/>
      <c r="M20" s="1268"/>
      <c r="N20" s="300"/>
      <c r="O20" s="59"/>
      <c r="P20" s="59"/>
      <c r="Q20" s="292"/>
      <c r="R20" s="1276" t="s">
        <v>1045</v>
      </c>
      <c r="S20" s="1276"/>
      <c r="T20" s="1276"/>
      <c r="U20" s="1276" t="s">
        <v>1044</v>
      </c>
      <c r="V20" s="1276"/>
      <c r="W20" s="1276"/>
      <c r="X20" s="1276"/>
      <c r="Y20" s="1276"/>
      <c r="Z20" s="1276"/>
      <c r="AA20" s="1276"/>
      <c r="AB20" s="1276"/>
      <c r="AC20" s="1277"/>
      <c r="AD20" s="59"/>
      <c r="AE20" s="59"/>
      <c r="AF20" s="287"/>
      <c r="AG20" s="1266"/>
      <c r="AH20" s="1266"/>
      <c r="AI20" s="1266"/>
      <c r="AJ20" s="1266"/>
      <c r="AK20" s="1266"/>
      <c r="AL20" s="1266"/>
      <c r="AM20" s="1266"/>
      <c r="AN20" s="1266"/>
      <c r="AO20" s="1266"/>
      <c r="AP20" s="1266"/>
      <c r="AQ20" s="1269"/>
      <c r="AR20" s="59"/>
    </row>
    <row r="21" spans="2:44" ht="15.95" customHeight="1">
      <c r="B21" s="59"/>
      <c r="C21" s="290"/>
      <c r="N21" s="302"/>
      <c r="O21" s="59"/>
      <c r="P21" s="59"/>
      <c r="Q21" s="290"/>
      <c r="R21" s="1276" t="str">
        <f>IF(M02S04F11="Exempt","Required","If applicable")</f>
        <v>If applicable</v>
      </c>
      <c r="S21" s="1276"/>
      <c r="T21" s="1276"/>
      <c r="U21" s="1276" t="s">
        <v>901</v>
      </c>
      <c r="V21" s="1276"/>
      <c r="W21" s="1276"/>
      <c r="X21" s="1276"/>
      <c r="Y21" s="1276"/>
      <c r="Z21" s="1276"/>
      <c r="AA21" s="1276"/>
      <c r="AB21" s="1276"/>
      <c r="AC21" s="1277"/>
      <c r="AD21" s="59"/>
      <c r="AE21" s="59"/>
      <c r="AF21" s="287"/>
      <c r="AG21" s="1266"/>
      <c r="AH21" s="1266"/>
      <c r="AI21" s="1266"/>
      <c r="AJ21" s="1266"/>
      <c r="AK21" s="1266"/>
      <c r="AL21" s="1266"/>
      <c r="AM21" s="1266"/>
      <c r="AN21" s="1266"/>
      <c r="AO21" s="1266"/>
      <c r="AP21" s="1266"/>
      <c r="AQ21" s="1269"/>
      <c r="AR21" s="59"/>
    </row>
    <row r="22" spans="2:44" ht="15.95" customHeight="1">
      <c r="B22" s="59"/>
      <c r="C22" s="288" t="s">
        <v>461</v>
      </c>
      <c r="D22" s="1270" t="s">
        <v>74</v>
      </c>
      <c r="E22" s="1270"/>
      <c r="F22" s="1270"/>
      <c r="G22" s="1270"/>
      <c r="H22" s="1270"/>
      <c r="I22" s="1270"/>
      <c r="J22" s="1270"/>
      <c r="K22" s="1268" t="str">
        <f ca="1">IF(TEMPLATE!A154/TEMPLATE!D154=1,"Completed",IF(TEMPLATE!A154/TEMPLATE!D154&gt;0.7,"Almost!","Incomplete"))</f>
        <v>Incomplete</v>
      </c>
      <c r="L22" s="1268"/>
      <c r="M22" s="1268"/>
      <c r="N22" s="300"/>
      <c r="O22" s="59"/>
      <c r="P22" s="59"/>
      <c r="Q22" s="290"/>
      <c r="R22" s="1276" t="s">
        <v>1045</v>
      </c>
      <c r="S22" s="1276"/>
      <c r="T22" s="1276"/>
      <c r="U22" s="1276" t="s">
        <v>1046</v>
      </c>
      <c r="V22" s="1276"/>
      <c r="W22" s="1276"/>
      <c r="X22" s="1276"/>
      <c r="Y22" s="1276"/>
      <c r="Z22" s="1276"/>
      <c r="AA22" s="1276"/>
      <c r="AB22" s="1276"/>
      <c r="AC22" s="1277"/>
      <c r="AD22" s="59"/>
      <c r="AE22" s="59"/>
      <c r="AF22" s="287"/>
      <c r="AG22" s="1266"/>
      <c r="AH22" s="1266"/>
      <c r="AI22" s="1266"/>
      <c r="AJ22" s="1266"/>
      <c r="AK22" s="1266"/>
      <c r="AL22" s="1266"/>
      <c r="AM22" s="1266"/>
      <c r="AN22" s="1266"/>
      <c r="AO22" s="1266"/>
      <c r="AP22" s="1266"/>
      <c r="AQ22" s="1269"/>
      <c r="AR22" s="59"/>
    </row>
    <row r="23" spans="2:44" ht="15.95" customHeight="1">
      <c r="B23" s="59"/>
      <c r="C23" s="290"/>
      <c r="N23" s="302"/>
      <c r="O23" s="59"/>
      <c r="P23" s="59"/>
      <c r="Q23" s="290"/>
      <c r="R23" s="1276" t="s">
        <v>1045</v>
      </c>
      <c r="S23" s="1276"/>
      <c r="T23" s="1276"/>
      <c r="U23" s="1276" t="s">
        <v>1047</v>
      </c>
      <c r="V23" s="1276"/>
      <c r="W23" s="1276"/>
      <c r="X23" s="1276"/>
      <c r="Y23" s="1276"/>
      <c r="Z23" s="1276"/>
      <c r="AA23" s="1276"/>
      <c r="AB23" s="1276"/>
      <c r="AC23" s="1277"/>
      <c r="AD23" s="59"/>
      <c r="AE23" s="59"/>
      <c r="AF23" s="292" t="s">
        <v>460</v>
      </c>
      <c r="AG23" s="1266" t="s">
        <v>1534</v>
      </c>
      <c r="AH23" s="1266"/>
      <c r="AI23" s="1266"/>
      <c r="AJ23" s="1266"/>
      <c r="AK23" s="1266"/>
      <c r="AL23" s="1266"/>
      <c r="AM23" s="1266"/>
      <c r="AN23" s="1266"/>
      <c r="AO23" s="1266"/>
      <c r="AP23" s="1266"/>
      <c r="AQ23" s="1269"/>
      <c r="AR23" s="59"/>
    </row>
    <row r="24" spans="2:44" ht="15.95" customHeight="1">
      <c r="B24" s="59"/>
      <c r="C24" s="288" t="s">
        <v>462</v>
      </c>
      <c r="D24" s="1267" t="s">
        <v>1519</v>
      </c>
      <c r="E24" s="1267"/>
      <c r="F24" s="1267"/>
      <c r="G24" s="1267"/>
      <c r="H24" s="1267"/>
      <c r="I24" s="1267"/>
      <c r="J24" s="1267"/>
      <c r="K24" s="1268" t="str">
        <f ca="1">IF(TEMPLATE!A173/TEMPLATE!D173=1,"Completed",IF(TEMPLATE!A173/TEMPLATE!D173&gt;0.7,"Almost!","Incomplete"))</f>
        <v>Incomplete</v>
      </c>
      <c r="L24" s="1268"/>
      <c r="M24" s="1268"/>
      <c r="N24" s="300"/>
      <c r="O24" s="59"/>
      <c r="P24" s="59"/>
      <c r="Q24" s="287"/>
      <c r="AC24" s="299"/>
      <c r="AD24" s="59"/>
      <c r="AE24" s="59"/>
      <c r="AF24" s="287"/>
      <c r="AG24" s="1266"/>
      <c r="AH24" s="1266"/>
      <c r="AI24" s="1266"/>
      <c r="AJ24" s="1266"/>
      <c r="AK24" s="1266"/>
      <c r="AL24" s="1266"/>
      <c r="AM24" s="1266"/>
      <c r="AN24" s="1266"/>
      <c r="AO24" s="1266"/>
      <c r="AP24" s="1266"/>
      <c r="AQ24" s="1269"/>
      <c r="AR24" s="59"/>
    </row>
    <row r="25" spans="2:44" ht="15.95" customHeight="1">
      <c r="B25" s="59"/>
      <c r="C25" s="288"/>
      <c r="D25" s="1267"/>
      <c r="E25" s="1267"/>
      <c r="F25" s="1267"/>
      <c r="G25" s="1267"/>
      <c r="H25" s="1267"/>
      <c r="I25" s="1267"/>
      <c r="J25" s="1267"/>
      <c r="K25" s="1268"/>
      <c r="L25" s="1268"/>
      <c r="M25" s="1268"/>
      <c r="N25" s="300"/>
      <c r="O25" s="59"/>
      <c r="P25" s="59"/>
      <c r="Q25" s="292" t="s">
        <v>460</v>
      </c>
      <c r="R25" s="1266" t="s">
        <v>1536</v>
      </c>
      <c r="S25" s="1266"/>
      <c r="T25" s="1266"/>
      <c r="U25" s="1266"/>
      <c r="V25" s="1266"/>
      <c r="W25" s="1266"/>
      <c r="X25" s="1266"/>
      <c r="Y25" s="1266"/>
      <c r="Z25" s="1266"/>
      <c r="AA25" s="1266"/>
      <c r="AB25" s="1266"/>
      <c r="AC25" s="1269"/>
      <c r="AD25" s="59"/>
      <c r="AE25" s="59"/>
      <c r="AF25" s="292"/>
      <c r="AG25" s="1266"/>
      <c r="AH25" s="1266"/>
      <c r="AI25" s="1266"/>
      <c r="AJ25" s="1266"/>
      <c r="AK25" s="1266"/>
      <c r="AL25" s="1266"/>
      <c r="AM25" s="1266"/>
      <c r="AN25" s="1266"/>
      <c r="AO25" s="1266"/>
      <c r="AP25" s="1266"/>
      <c r="AQ25" s="1269"/>
      <c r="AR25" s="59"/>
    </row>
    <row r="26" spans="2:44" ht="15.95" customHeight="1">
      <c r="B26" s="59"/>
      <c r="C26" s="291"/>
      <c r="D26" s="62"/>
      <c r="E26" s="62"/>
      <c r="F26" s="62"/>
      <c r="G26" s="62"/>
      <c r="H26" s="62"/>
      <c r="I26" s="62"/>
      <c r="J26" s="62"/>
      <c r="K26" s="86"/>
      <c r="L26" s="86"/>
      <c r="M26" s="86"/>
      <c r="N26" s="299"/>
      <c r="O26" s="59"/>
      <c r="P26" s="59"/>
      <c r="Q26" s="287"/>
      <c r="R26" s="1266"/>
      <c r="S26" s="1266"/>
      <c r="T26" s="1266"/>
      <c r="U26" s="1266"/>
      <c r="V26" s="1266"/>
      <c r="W26" s="1266"/>
      <c r="X26" s="1266"/>
      <c r="Y26" s="1266"/>
      <c r="Z26" s="1266"/>
      <c r="AA26" s="1266"/>
      <c r="AB26" s="1266"/>
      <c r="AC26" s="1269"/>
      <c r="AD26" s="59"/>
      <c r="AE26" s="59"/>
      <c r="AF26" s="287"/>
      <c r="AG26" s="1266"/>
      <c r="AH26" s="1266"/>
      <c r="AI26" s="1266"/>
      <c r="AJ26" s="1266"/>
      <c r="AK26" s="1266"/>
      <c r="AL26" s="1266"/>
      <c r="AM26" s="1266"/>
      <c r="AN26" s="1266"/>
      <c r="AO26" s="1266"/>
      <c r="AP26" s="1266"/>
      <c r="AQ26" s="1269"/>
      <c r="AR26" s="59"/>
    </row>
    <row r="27" spans="2:44" ht="15.95" customHeight="1">
      <c r="B27" s="59"/>
      <c r="C27" s="288" t="s">
        <v>876</v>
      </c>
      <c r="D27" s="1270" t="s">
        <v>877</v>
      </c>
      <c r="E27" s="1270"/>
      <c r="F27" s="1270"/>
      <c r="G27" s="1270"/>
      <c r="H27" s="1270"/>
      <c r="I27" s="1270"/>
      <c r="J27" s="1270"/>
      <c r="K27" s="1268" t="str">
        <f ca="1">IFERROR(IF(TEMPLATE!A181/TEMPLATE!D181=1,"Completed",IF(TEMPLATE!A181/TEMPLATE!D181&gt;0.7,"Almost!","Incomplete")),"Completed")</f>
        <v>Completed</v>
      </c>
      <c r="L27" s="1268"/>
      <c r="M27" s="1268"/>
      <c r="N27" s="299"/>
      <c r="O27" s="59"/>
      <c r="P27" s="59"/>
      <c r="Q27" s="292"/>
      <c r="S27" s="59"/>
      <c r="T27" s="59"/>
      <c r="U27" s="59"/>
      <c r="V27" s="59"/>
      <c r="W27" s="59"/>
      <c r="X27" s="59"/>
      <c r="Y27" s="59"/>
      <c r="Z27" s="59"/>
      <c r="AA27" s="59"/>
      <c r="AB27" s="59"/>
      <c r="AC27" s="299"/>
      <c r="AD27" s="59"/>
      <c r="AE27" s="59"/>
      <c r="AF27" s="287"/>
      <c r="AG27" s="1266"/>
      <c r="AH27" s="1266"/>
      <c r="AI27" s="1266"/>
      <c r="AJ27" s="1266"/>
      <c r="AK27" s="1266"/>
      <c r="AL27" s="1266"/>
      <c r="AM27" s="1266"/>
      <c r="AN27" s="1266"/>
      <c r="AO27" s="1266"/>
      <c r="AP27" s="1266"/>
      <c r="AQ27" s="1269"/>
      <c r="AR27" s="59"/>
    </row>
    <row r="28" spans="2:44" ht="15.95" customHeight="1">
      <c r="B28" s="59"/>
      <c r="C28" s="291"/>
      <c r="D28" s="59"/>
      <c r="E28" s="62"/>
      <c r="F28" s="62"/>
      <c r="G28" s="62"/>
      <c r="H28" s="62"/>
      <c r="I28" s="62"/>
      <c r="J28" s="62"/>
      <c r="K28" s="86"/>
      <c r="L28" s="86"/>
      <c r="M28" s="86"/>
      <c r="N28" s="299"/>
      <c r="O28" s="59"/>
      <c r="P28" s="59"/>
      <c r="Q28" s="292" t="s">
        <v>461</v>
      </c>
      <c r="R28" s="1266" t="s">
        <v>1037</v>
      </c>
      <c r="S28" s="1266"/>
      <c r="T28" s="1266"/>
      <c r="U28" s="1266"/>
      <c r="V28" s="1266"/>
      <c r="W28" s="1266"/>
      <c r="X28" s="1266"/>
      <c r="Y28" s="1266"/>
      <c r="Z28" s="1266"/>
      <c r="AA28" s="1266"/>
      <c r="AB28" s="1266"/>
      <c r="AC28" s="299"/>
      <c r="AD28" s="59"/>
      <c r="AE28" s="59"/>
      <c r="AF28" s="292" t="s">
        <v>461</v>
      </c>
      <c r="AG28" s="1266" t="s">
        <v>457</v>
      </c>
      <c r="AH28" s="1266"/>
      <c r="AI28" s="1266"/>
      <c r="AJ28" s="1266"/>
      <c r="AK28" s="1266"/>
      <c r="AL28" s="1266"/>
      <c r="AM28" s="1266"/>
      <c r="AN28" s="1266"/>
      <c r="AO28" s="1266"/>
      <c r="AP28" s="1266"/>
      <c r="AQ28" s="1269"/>
      <c r="AR28" s="59"/>
    </row>
    <row r="29" spans="2:44" ht="15.95" customHeight="1">
      <c r="B29" s="59"/>
      <c r="C29" s="287"/>
      <c r="D29" s="59"/>
      <c r="E29" s="59"/>
      <c r="F29" s="59"/>
      <c r="G29" s="59"/>
      <c r="H29" s="59"/>
      <c r="I29" s="59"/>
      <c r="J29" s="59"/>
      <c r="K29" s="59"/>
      <c r="L29" s="59"/>
      <c r="M29" s="59"/>
      <c r="N29" s="299"/>
      <c r="O29" s="59"/>
      <c r="P29" s="59"/>
      <c r="Q29" s="287"/>
      <c r="R29" s="1266"/>
      <c r="S29" s="1266"/>
      <c r="T29" s="1266"/>
      <c r="U29" s="1266"/>
      <c r="V29" s="1266"/>
      <c r="W29" s="1266"/>
      <c r="X29" s="1266"/>
      <c r="Y29" s="1266"/>
      <c r="Z29" s="1266"/>
      <c r="AA29" s="1266"/>
      <c r="AB29" s="1266"/>
      <c r="AC29" s="299"/>
      <c r="AD29" s="59"/>
      <c r="AE29" s="59"/>
      <c r="AF29" s="287"/>
      <c r="AG29" s="1266"/>
      <c r="AH29" s="1266"/>
      <c r="AI29" s="1266"/>
      <c r="AJ29" s="1266"/>
      <c r="AK29" s="1266"/>
      <c r="AL29" s="1266"/>
      <c r="AM29" s="1266"/>
      <c r="AN29" s="1266"/>
      <c r="AO29" s="1266"/>
      <c r="AP29" s="1266"/>
      <c r="AQ29" s="1269"/>
      <c r="AR29" s="59"/>
    </row>
    <row r="30" spans="2:44" ht="15.95" customHeight="1" thickBot="1">
      <c r="B30" s="59"/>
      <c r="C30" s="287"/>
      <c r="D30" s="59"/>
      <c r="E30" s="59"/>
      <c r="F30" s="59"/>
      <c r="G30" s="59"/>
      <c r="H30" s="59"/>
      <c r="I30" s="59"/>
      <c r="J30" s="59"/>
      <c r="K30" s="59"/>
      <c r="L30" s="59"/>
      <c r="M30" s="59"/>
      <c r="N30" s="299"/>
      <c r="O30" s="59"/>
      <c r="P30" s="59"/>
      <c r="Q30" s="287"/>
      <c r="R30" s="59" t="s">
        <v>878</v>
      </c>
      <c r="S30" s="59"/>
      <c r="T30" s="59"/>
      <c r="U30" s="59"/>
      <c r="V30" s="59"/>
      <c r="W30" s="59"/>
      <c r="X30" s="59" t="s">
        <v>875</v>
      </c>
      <c r="Y30" s="59"/>
      <c r="Z30" s="59"/>
      <c r="AA30" s="59"/>
      <c r="AB30" s="59"/>
      <c r="AC30" s="299"/>
      <c r="AD30" s="59"/>
      <c r="AE30" s="59"/>
      <c r="AF30" s="287"/>
      <c r="AG30" s="1266"/>
      <c r="AH30" s="1266"/>
      <c r="AI30" s="1266"/>
      <c r="AJ30" s="1266"/>
      <c r="AK30" s="1266"/>
      <c r="AL30" s="1266"/>
      <c r="AM30" s="1266"/>
      <c r="AN30" s="1266"/>
      <c r="AO30" s="1266"/>
      <c r="AP30" s="1266"/>
      <c r="AQ30" s="1269"/>
      <c r="AR30" s="59"/>
    </row>
    <row r="31" spans="2:44" ht="15.95" customHeight="1" thickBot="1">
      <c r="B31" s="59"/>
      <c r="C31" s="287"/>
      <c r="D31" s="59"/>
      <c r="E31" s="59"/>
      <c r="F31" s="59"/>
      <c r="G31" s="59"/>
      <c r="H31" s="59"/>
      <c r="I31" s="59"/>
      <c r="J31" s="59"/>
      <c r="K31" s="59"/>
      <c r="L31" s="59"/>
      <c r="M31" s="59"/>
      <c r="N31" s="299"/>
      <c r="O31" s="59"/>
      <c r="P31" s="59"/>
      <c r="Q31" s="287"/>
      <c r="R31" s="724"/>
      <c r="S31" s="725"/>
      <c r="T31" s="725"/>
      <c r="U31" s="725"/>
      <c r="V31" s="726"/>
      <c r="W31" s="59"/>
      <c r="X31" s="724"/>
      <c r="Y31" s="725"/>
      <c r="Z31" s="725"/>
      <c r="AA31" s="725"/>
      <c r="AB31" s="726"/>
      <c r="AC31" s="299"/>
      <c r="AD31" s="59"/>
      <c r="AE31" s="59"/>
      <c r="AF31" s="287"/>
      <c r="AG31" s="1266"/>
      <c r="AH31" s="1266"/>
      <c r="AI31" s="1266"/>
      <c r="AJ31" s="1266"/>
      <c r="AK31" s="1266"/>
      <c r="AL31" s="1266"/>
      <c r="AM31" s="1266"/>
      <c r="AN31" s="1266"/>
      <c r="AO31" s="1266"/>
      <c r="AP31" s="1266"/>
      <c r="AQ31" s="1269"/>
      <c r="AR31" s="59"/>
    </row>
    <row r="32" spans="2:44" ht="15.95" customHeight="1">
      <c r="C32" s="293"/>
      <c r="D32" s="294" t="s">
        <v>871</v>
      </c>
      <c r="E32" s="294"/>
      <c r="F32" s="294"/>
      <c r="G32" s="294"/>
      <c r="H32" s="294"/>
      <c r="I32" s="294"/>
      <c r="J32" s="294"/>
      <c r="K32" s="295"/>
      <c r="L32" s="295"/>
      <c r="M32" s="295"/>
      <c r="N32" s="303"/>
      <c r="O32" s="59"/>
      <c r="P32" s="59"/>
      <c r="Q32" s="296"/>
      <c r="R32" s="297"/>
      <c r="S32" s="297"/>
      <c r="T32" s="297"/>
      <c r="U32" s="297"/>
      <c r="V32" s="297"/>
      <c r="W32" s="297"/>
      <c r="X32" s="297"/>
      <c r="Y32" s="297"/>
      <c r="Z32" s="297"/>
      <c r="AA32" s="297"/>
      <c r="AB32" s="297"/>
      <c r="AC32" s="303"/>
      <c r="AD32" s="59"/>
      <c r="AE32" s="59"/>
      <c r="AF32" s="298"/>
      <c r="AG32" s="1271"/>
      <c r="AH32" s="1271"/>
      <c r="AI32" s="1271"/>
      <c r="AJ32" s="1271"/>
      <c r="AK32" s="1271"/>
      <c r="AL32" s="1271"/>
      <c r="AM32" s="1271"/>
      <c r="AN32" s="1271"/>
      <c r="AO32" s="1271"/>
      <c r="AP32" s="1271"/>
      <c r="AQ32" s="1272"/>
    </row>
    <row r="33" spans="3:43" ht="15.95" customHeight="1">
      <c r="O33" s="59"/>
      <c r="P33" s="59"/>
      <c r="Q33" s="59"/>
      <c r="R33" s="59"/>
      <c r="S33" s="59"/>
      <c r="T33" s="59"/>
      <c r="U33" s="59"/>
      <c r="V33" s="59"/>
      <c r="W33" s="59"/>
      <c r="X33" s="59"/>
      <c r="Y33" s="59"/>
      <c r="Z33" s="59"/>
      <c r="AA33" s="59"/>
      <c r="AB33" s="59"/>
      <c r="AC33" s="59"/>
      <c r="AD33" s="59"/>
      <c r="AE33" s="59"/>
      <c r="AF33" s="375"/>
      <c r="AG33" s="375"/>
      <c r="AH33" s="375"/>
      <c r="AI33" s="375"/>
      <c r="AJ33" s="375"/>
      <c r="AK33" s="375"/>
      <c r="AL33" s="375"/>
      <c r="AM33" s="375"/>
      <c r="AN33" s="375"/>
      <c r="AO33" s="375"/>
      <c r="AP33" s="375"/>
      <c r="AQ33" s="375"/>
    </row>
    <row r="34" spans="3:43" ht="15.95" hidden="1" customHeight="1">
      <c r="O34" s="59"/>
      <c r="P34" s="59"/>
      <c r="Q34" s="59"/>
      <c r="R34" s="59"/>
      <c r="S34" s="59"/>
      <c r="T34" s="59"/>
      <c r="U34" s="59"/>
      <c r="V34" s="59"/>
      <c r="W34" s="59"/>
      <c r="X34" s="59"/>
      <c r="Y34" s="59"/>
      <c r="Z34" s="59"/>
      <c r="AA34" s="59"/>
      <c r="AB34" s="59"/>
      <c r="AC34" s="59"/>
      <c r="AD34" s="59"/>
      <c r="AE34" s="59"/>
      <c r="AF34" s="375"/>
      <c r="AG34" s="375"/>
      <c r="AH34" s="375"/>
      <c r="AI34" s="1273"/>
      <c r="AJ34" s="1273"/>
      <c r="AK34" s="1273"/>
      <c r="AL34" s="1273"/>
      <c r="AM34" s="1273"/>
      <c r="AN34" s="1273"/>
      <c r="AO34" s="1273"/>
      <c r="AP34" s="375"/>
      <c r="AQ34" s="375"/>
    </row>
    <row r="35" spans="3:43" ht="15.95" hidden="1" customHeight="1">
      <c r="C35" s="86"/>
      <c r="D35" s="86"/>
      <c r="E35" s="86"/>
      <c r="F35" s="86"/>
      <c r="G35" s="86"/>
      <c r="H35" s="86"/>
      <c r="I35" s="86"/>
      <c r="J35" s="86"/>
      <c r="K35" s="86"/>
      <c r="L35" s="86"/>
      <c r="M35" s="86"/>
      <c r="N35" s="59"/>
      <c r="O35" s="59"/>
      <c r="P35" s="59"/>
      <c r="Q35" s="59"/>
      <c r="R35" s="59"/>
      <c r="S35" s="59"/>
      <c r="T35" s="59"/>
      <c r="U35" s="59"/>
      <c r="V35" s="59"/>
      <c r="W35" s="59"/>
      <c r="X35" s="59"/>
      <c r="Y35" s="59"/>
      <c r="Z35" s="59"/>
      <c r="AA35" s="59"/>
      <c r="AB35" s="59"/>
      <c r="AC35" s="59"/>
      <c r="AD35" s="59"/>
      <c r="AE35" s="59"/>
      <c r="AF35" s="375"/>
      <c r="AG35" s="375"/>
      <c r="AH35" s="375"/>
      <c r="AI35" s="1273"/>
      <c r="AJ35" s="1273"/>
      <c r="AK35" s="1273"/>
      <c r="AL35" s="1273"/>
      <c r="AM35" s="1273"/>
      <c r="AN35" s="1273"/>
      <c r="AO35" s="1273"/>
      <c r="AP35" s="375"/>
      <c r="AQ35" s="375"/>
    </row>
    <row r="36" spans="3:43" ht="15.95" hidden="1" customHeight="1">
      <c r="C36" s="59"/>
      <c r="D36" s="59"/>
      <c r="E36" s="59"/>
      <c r="F36" s="59"/>
      <c r="G36" s="59"/>
      <c r="H36" s="59"/>
      <c r="I36" s="59"/>
      <c r="J36" s="59"/>
      <c r="K36" s="86"/>
      <c r="L36" s="86"/>
      <c r="M36" s="86"/>
      <c r="N36" s="59"/>
      <c r="O36" s="59"/>
      <c r="P36" s="59"/>
      <c r="Q36" s="59"/>
      <c r="R36" s="59"/>
      <c r="S36" s="59"/>
      <c r="T36" s="59"/>
      <c r="U36" s="59"/>
      <c r="V36" s="59"/>
      <c r="W36" s="59"/>
      <c r="X36" s="59"/>
      <c r="Y36" s="59"/>
      <c r="Z36" s="59"/>
      <c r="AA36" s="59"/>
      <c r="AB36" s="59"/>
      <c r="AC36" s="59"/>
      <c r="AD36" s="59"/>
      <c r="AE36" s="59"/>
      <c r="AF36" s="375"/>
      <c r="AG36" s="375"/>
      <c r="AH36" s="375"/>
      <c r="AI36" s="1273"/>
      <c r="AJ36" s="1273"/>
      <c r="AK36" s="1273"/>
      <c r="AL36" s="1273"/>
      <c r="AM36" s="1273"/>
      <c r="AN36" s="1273"/>
      <c r="AO36" s="1273"/>
      <c r="AP36" s="375"/>
      <c r="AQ36" s="375"/>
    </row>
    <row r="37" spans="3:43" ht="15.95" hidden="1" customHeight="1">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375"/>
      <c r="AG37" s="375"/>
      <c r="AH37" s="375"/>
      <c r="AI37" s="375"/>
      <c r="AJ37" s="375"/>
      <c r="AK37" s="375"/>
      <c r="AL37" s="375"/>
      <c r="AM37" s="375"/>
      <c r="AN37" s="375"/>
      <c r="AO37" s="375"/>
      <c r="AP37" s="375"/>
      <c r="AQ37" s="375"/>
    </row>
    <row r="38" spans="3:43" ht="15.95" hidden="1" customHeight="1"/>
    <row r="39" spans="3:43" ht="15.95" hidden="1" customHeight="1"/>
    <row r="40" spans="3:43" ht="15.95" hidden="1" customHeight="1"/>
    <row r="41" spans="3:43" ht="15.95" hidden="1" customHeight="1"/>
    <row r="42" spans="3:43" ht="15.95" hidden="1" customHeight="1"/>
    <row r="43" spans="3:43" ht="15.95" hidden="1" customHeight="1"/>
    <row r="44" spans="3:43" ht="15.95" hidden="1" customHeight="1"/>
    <row r="45" spans="3:43" ht="15.95" hidden="1" customHeight="1"/>
    <row r="46" spans="3:43" ht="15.95" hidden="1" customHeight="1"/>
    <row r="47" spans="3:43" ht="15.95" hidden="1" customHeight="1"/>
    <row r="48" spans="3:43"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56" t="str">
        <f>FOOT4</f>
        <v>NIPSCO’s energy efficiency programs are administered by TRC, a third‐party implementation specialist that helps homes and businesses save energy.</v>
      </c>
      <c r="N200" s="656"/>
      <c r="O200" s="656"/>
      <c r="P200" s="656"/>
      <c r="Q200" s="656"/>
      <c r="R200" s="656"/>
      <c r="S200" s="656"/>
      <c r="T200" s="656"/>
      <c r="U200" s="656"/>
      <c r="V200" s="656"/>
      <c r="W200" s="656"/>
      <c r="X200" s="656"/>
      <c r="Y200" s="656"/>
      <c r="Z200" s="656"/>
      <c r="AA200" s="656"/>
      <c r="AB200" s="656"/>
      <c r="AC200" s="656"/>
      <c r="AD200" s="656"/>
      <c r="AE200" s="656"/>
      <c r="AF200" s="656"/>
      <c r="AG200" s="656"/>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272"/>
      <c r="AI201" s="272"/>
      <c r="AJ201" s="272"/>
      <c r="AK201" s="272"/>
      <c r="AL201" s="272"/>
      <c r="AM201" s="272"/>
      <c r="AN201" s="272"/>
      <c r="AO201" s="272"/>
      <c r="AP201" s="272"/>
      <c r="AQ201" s="272"/>
      <c r="AR201" s="273" t="str">
        <f>FOOT5</f>
        <v/>
      </c>
    </row>
    <row r="202" spans="2:44" ht="15.95" customHeight="1">
      <c r="B202" s="281" t="s">
        <v>1551</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v3.7.0</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FDEQtlGwcdU2cXpUyky+L6ZJJ7GLDZQSQS7n8gOocFAkBsMoAGtJaGX5z00sazFW5IQuSk16KX2FCshQSxmOuw==" saltValue="rKWL9UoFklayulwMbI9MRw==" spinCount="100000" sheet="1" objects="1" scenarios="1" selectLockedCells="1"/>
  <mergeCells count="42">
    <mergeCell ref="R22:T22"/>
    <mergeCell ref="U22:AC22"/>
    <mergeCell ref="R23:T23"/>
    <mergeCell ref="U23:AC23"/>
    <mergeCell ref="R19:T19"/>
    <mergeCell ref="U19:AC19"/>
    <mergeCell ref="R20:T20"/>
    <mergeCell ref="U20:AC20"/>
    <mergeCell ref="R21:T21"/>
    <mergeCell ref="U21:AC21"/>
    <mergeCell ref="R25:AC26"/>
    <mergeCell ref="D27:J27"/>
    <mergeCell ref="K27:M27"/>
    <mergeCell ref="AQ1:AR1"/>
    <mergeCell ref="AQ2:AR3"/>
    <mergeCell ref="D22:J22"/>
    <mergeCell ref="K22:M22"/>
    <mergeCell ref="AH1:AK1"/>
    <mergeCell ref="AL1:AP1"/>
    <mergeCell ref="AH2:AK3"/>
    <mergeCell ref="AL2:AP3"/>
    <mergeCell ref="AG23:AQ27"/>
    <mergeCell ref="D24:J25"/>
    <mergeCell ref="K24:M25"/>
    <mergeCell ref="R18:T18"/>
    <mergeCell ref="U18:AC18"/>
    <mergeCell ref="R28:AB29"/>
    <mergeCell ref="M200:AG201"/>
    <mergeCell ref="F10:AN10"/>
    <mergeCell ref="F11:AN11"/>
    <mergeCell ref="D15:J16"/>
    <mergeCell ref="K15:M16"/>
    <mergeCell ref="AG15:AQ17"/>
    <mergeCell ref="D18:J18"/>
    <mergeCell ref="K18:M18"/>
    <mergeCell ref="AG18:AQ22"/>
    <mergeCell ref="D20:J20"/>
    <mergeCell ref="AG28:AQ32"/>
    <mergeCell ref="AI34:AO36"/>
    <mergeCell ref="K20:M20"/>
    <mergeCell ref="R31:V31"/>
    <mergeCell ref="X31:AB31"/>
  </mergeCells>
  <conditionalFormatting sqref="C27">
    <cfRule type="expression" dxfId="66" priority="4">
      <formula>(AND(INCENTOTALPRESE+INCENTOTALPRESG&gt;0,INCENTOTALPRESE+INCENTOTALPRESG&lt;10000,INCENTOTALCUSE+INCENTOTALCUSG=0))=FALSE</formula>
    </cfRule>
  </conditionalFormatting>
  <conditionalFormatting sqref="D27:M27">
    <cfRule type="expression" dxfId="65" priority="5">
      <formula>(AND(INCENTOTALPRESE+INCENTOTALPRESG&gt;0,INCENTOTALPRESE+INCENTOTALPRESG&lt;10000,INCENTOTALCUSE+INCENTOTALCUSG=0))=FALSE</formula>
    </cfRule>
  </conditionalFormatting>
  <conditionalFormatting sqref="K15 K18 K20 K22 K24 K27">
    <cfRule type="expression" dxfId="64" priority="44">
      <formula>K15="Almost!"</formula>
    </cfRule>
    <cfRule type="expression" dxfId="63" priority="45">
      <formula>K15="Completed"</formula>
    </cfRule>
  </conditionalFormatting>
  <conditionalFormatting sqref="K27 K15 K18 K20 K22 K24">
    <cfRule type="expression" dxfId="62" priority="43">
      <formula>K15="Incomplete"</formula>
    </cfRule>
  </conditionalFormatting>
  <conditionalFormatting sqref="Q28">
    <cfRule type="expression" dxfId="61" priority="2">
      <formula>(AND(INCENTOTALPRESE+INCENTOTALPRESG&gt;0,INCENTOTALPRESE+INCENTOTALPRESG&lt;10000,INCENTOTALCUSE+INCENTOTALCUSG=0))=FALSE</formula>
    </cfRule>
  </conditionalFormatting>
  <conditionalFormatting sqref="R18 R28:AB31">
    <cfRule type="expression" dxfId="60" priority="3">
      <formula>(AND(INCENTOTALPRESE+INCENTOTALPRESG&gt;0,INCENTOTALPRESE+INCENTOTALPRESG&lt;10000,INCENTOTALCUSE+INCENTOTALCUSG=0))=FALSE</formula>
    </cfRule>
  </conditionalFormatting>
  <conditionalFormatting sqref="U18">
    <cfRule type="expression" dxfId="59" priority="1">
      <formula>(AND(INCENTOTALPRESE+INCENTOTALPRESG&gt;0,INCENTOTALPRESE+INCENTOTALPRESG&lt;10000,INCENTOTALCUSE+INCENTOTALCUSG=0))=FALSE</formula>
    </cfRule>
  </conditionalFormatting>
  <conditionalFormatting sqref="AH2 AL2">
    <cfRule type="expression" dxfId="58" priority="6">
      <formula>PROJSTATUS=PROJSTATELI</formula>
    </cfRule>
    <cfRule type="expression" dxfId="57" priority="7">
      <formula>PROJSTATUS=PROJSTATREVIEW</formula>
    </cfRule>
    <cfRule type="expression" dxfId="56" priority="11">
      <formula>PROJSTATUS=PROJSTATPREAPPROVE</formula>
    </cfRule>
    <cfRule type="expression" dxfId="55" priority="12">
      <formula>PROJSTATUS=PROJSTATSTANDARD</formula>
    </cfRule>
    <cfRule type="expression" dxfId="54" priority="13">
      <formula>PROJSTATUS=PROJSTATEXP</formula>
    </cfRule>
  </conditionalFormatting>
  <conditionalFormatting sqref="AQ2:AR3">
    <cfRule type="cellIs" dxfId="53" priority="8" operator="equal">
      <formula>1</formula>
    </cfRule>
    <cfRule type="cellIs" dxfId="52" priority="9" operator="between">
      <formula>0.51</formula>
      <formula>0.99</formula>
    </cfRule>
    <cfRule type="cellIs" dxfId="51" priority="10" operator="lessThanOrEqual">
      <formula>0.5</formula>
    </cfRule>
  </conditionalFormatting>
  <dataValidations count="1">
    <dataValidation type="date" operator="lessThanOrEqual" allowBlank="1" showInputMessage="1" showErrorMessage="1" error="Please purchase and install your equipment first before completing this application." sqref="X31:AB31 R31:V31" xr:uid="{00000000-0002-0000-2600-000000000000}">
      <formula1>TODAY()</formula1>
    </dataValidation>
  </dataValidations>
  <hyperlinks>
    <hyperlink ref="D18:I18" location="'M02-S02'!A1" display="Company and Site Information" xr:uid="{00000000-0004-0000-2600-000001000000}"/>
    <hyperlink ref="D20:I20" location="'M02-S03'!A1" display="Contractor/Vendor Information" xr:uid="{00000000-0004-0000-2600-000002000000}"/>
    <hyperlink ref="D22:I22" location="'M02-S04'!A1" display="Payment Information" xr:uid="{00000000-0004-0000-2600-000003000000}"/>
    <hyperlink ref="D24:J25" location="'M03-S01'!A1" display="Qualifying Prescriptive or Non-Prescriptive Measure entered" xr:uid="{00000000-0004-0000-2600-000004000000}"/>
    <hyperlink ref="D15:J16" location="'M02-S01'!A1" display="Read and Accept Program Terms and Conditions" xr:uid="{00000000-0004-0000-2600-000005000000}"/>
    <hyperlink ref="D27:I27" location="'M02-S04'!A1" display="Payment Information" xr:uid="{00000000-0004-0000-2600-000006000000}"/>
    <hyperlink ref="B202" r:id="rId1" xr:uid="{44112C9B-DE8E-486D-B46E-10E1A082BA68}"/>
  </hyperlinks>
  <pageMargins left="0.25" right="0.25" top="0.25" bottom="0.25" header="0.25" footer="0.25"/>
  <pageSetup scale="62" fitToHeight="0" orientation="landscape"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3">
    <pageSetUpPr fitToPage="1"/>
  </sheetPr>
  <dimension ref="A1:AS203"/>
  <sheetViews>
    <sheetView showGridLines="0" showRowColHeaders="0" showZeros="0" zoomScale="85" zoomScaleNormal="85" workbookViewId="0">
      <selection activeCell="O42" sqref="O42:V42"/>
    </sheetView>
  </sheetViews>
  <sheetFormatPr defaultColWidth="0" defaultRowHeight="15" customHeight="1" zeroHeight="1"/>
  <cols>
    <col min="1" max="45" width="4.7109375" customWidth="1"/>
    <col min="46" max="16384" width="9.140625" hidden="1"/>
  </cols>
  <sheetData>
    <row r="1" spans="6:44" ht="15.95" customHeight="1">
      <c r="AH1" s="681" t="s">
        <v>471</v>
      </c>
      <c r="AI1" s="681"/>
      <c r="AJ1" s="681"/>
      <c r="AK1" s="681"/>
      <c r="AL1" s="682" t="s">
        <v>736</v>
      </c>
      <c r="AM1" s="682"/>
      <c r="AN1" s="682"/>
      <c r="AO1" s="682"/>
      <c r="AP1" s="682"/>
      <c r="AQ1" s="678" t="s">
        <v>474</v>
      </c>
      <c r="AR1" s="678"/>
    </row>
    <row r="2" spans="6:44" ht="15.95" customHeight="1">
      <c r="AH2" s="683" t="str">
        <f ca="1">INCENSTATUS</f>
        <v>---</v>
      </c>
      <c r="AI2" s="684"/>
      <c r="AJ2" s="684"/>
      <c r="AK2" s="684"/>
      <c r="AL2" s="685" t="str">
        <f ca="1">PROJSTATUS</f>
        <v>Enter Measures</v>
      </c>
      <c r="AM2" s="685"/>
      <c r="AN2" s="685"/>
      <c r="AO2" s="685"/>
      <c r="AP2" s="685"/>
      <c r="AQ2" s="1291">
        <f ca="1">PROGRESSSTATUS</f>
        <v>2.8985507246376812E-2</v>
      </c>
      <c r="AR2" s="1292"/>
    </row>
    <row r="3" spans="6:44" ht="15.95" customHeight="1">
      <c r="AH3" s="675"/>
      <c r="AI3" s="676"/>
      <c r="AJ3" s="676"/>
      <c r="AK3" s="676"/>
      <c r="AL3" s="668"/>
      <c r="AM3" s="668"/>
      <c r="AN3" s="668"/>
      <c r="AO3" s="668"/>
      <c r="AP3" s="668"/>
      <c r="AQ3" s="1293"/>
      <c r="AR3" s="1294"/>
    </row>
    <row r="4" spans="6:44" ht="15.95" customHeight="1">
      <c r="AR4" s="171"/>
    </row>
    <row r="5" spans="6:44" ht="15.95" customHeight="1"/>
    <row r="6" spans="6:44" ht="15.95" customHeight="1"/>
    <row r="7" spans="6:44" ht="15.95" customHeight="1"/>
    <row r="8" spans="6:44" ht="15.95" customHeight="1"/>
    <row r="9" spans="6:44" ht="15.95" customHeight="1"/>
    <row r="10" spans="6:44" ht="15.95" customHeight="1">
      <c r="F10" s="686" t="s">
        <v>121</v>
      </c>
      <c r="G10" s="686"/>
      <c r="H10" s="686"/>
      <c r="I10" s="686"/>
      <c r="J10" s="686"/>
      <c r="K10" s="686"/>
      <c r="L10" s="686"/>
      <c r="M10" s="686"/>
      <c r="N10" s="686"/>
      <c r="O10" s="686"/>
      <c r="P10" s="686"/>
      <c r="Q10" s="686"/>
      <c r="R10" s="686"/>
      <c r="S10" s="686"/>
      <c r="T10" s="686"/>
      <c r="U10" s="686"/>
      <c r="V10" s="686"/>
      <c r="W10" s="686"/>
      <c r="X10" s="686"/>
      <c r="Y10" s="686"/>
      <c r="Z10" s="686"/>
      <c r="AA10" s="686"/>
      <c r="AB10" s="686"/>
      <c r="AC10" s="686"/>
      <c r="AD10" s="686"/>
      <c r="AE10" s="686"/>
      <c r="AF10" s="686"/>
      <c r="AG10" s="686"/>
      <c r="AH10" s="686"/>
      <c r="AI10" s="686"/>
      <c r="AJ10" s="686"/>
      <c r="AK10" s="686"/>
      <c r="AL10" s="686"/>
      <c r="AM10" s="686"/>
      <c r="AN10" s="686"/>
    </row>
    <row r="11" spans="6:44" ht="15.95" customHeight="1">
      <c r="F11" s="1290" t="s">
        <v>1048</v>
      </c>
      <c r="G11" s="1290"/>
      <c r="H11" s="1290"/>
      <c r="I11" s="1290"/>
      <c r="J11" s="1290"/>
      <c r="K11" s="1290"/>
      <c r="L11" s="1290"/>
      <c r="M11" s="1290"/>
      <c r="N11" s="1290"/>
      <c r="O11" s="1290"/>
      <c r="P11" s="1290"/>
      <c r="Q11" s="1290"/>
      <c r="R11" s="1290"/>
      <c r="S11" s="1290"/>
      <c r="T11" s="1290"/>
      <c r="U11" s="1290"/>
      <c r="V11" s="1290"/>
      <c r="W11" s="1290"/>
      <c r="X11" s="1290"/>
      <c r="Y11" s="1290"/>
      <c r="Z11" s="1290"/>
      <c r="AA11" s="1290"/>
      <c r="AB11" s="1290"/>
      <c r="AC11" s="1290"/>
      <c r="AD11" s="1290"/>
      <c r="AE11" s="1290"/>
      <c r="AF11" s="1290"/>
      <c r="AG11" s="1290"/>
      <c r="AH11" s="1290"/>
      <c r="AI11" s="1290"/>
      <c r="AJ11" s="1290"/>
      <c r="AK11" s="1290"/>
      <c r="AL11" s="1290"/>
      <c r="AM11" s="1290"/>
      <c r="AN11" s="1290"/>
    </row>
    <row r="12" spans="6:44" ht="15.95" customHeight="1">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row>
    <row r="13" spans="6:44" ht="15.95" customHeight="1">
      <c r="F13" s="59"/>
      <c r="G13" s="59"/>
      <c r="H13" s="59"/>
      <c r="I13" s="101"/>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3"/>
      <c r="AL13" s="59"/>
      <c r="AM13" s="59"/>
      <c r="AN13" s="59"/>
    </row>
    <row r="14" spans="6:44" ht="15.95" customHeight="1">
      <c r="I14" s="153"/>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c r="AJ14" s="307"/>
      <c r="AK14" s="154"/>
    </row>
    <row r="15" spans="6:44" ht="15.95" customHeight="1">
      <c r="I15" s="153"/>
      <c r="J15" s="307"/>
      <c r="K15" s="307"/>
      <c r="L15" s="307"/>
      <c r="M15" s="307"/>
      <c r="N15" s="1295" t="s">
        <v>2132</v>
      </c>
      <c r="O15" s="1295"/>
      <c r="P15" s="1295"/>
      <c r="Q15" s="1295"/>
      <c r="R15" s="1295"/>
      <c r="S15" s="1295"/>
      <c r="T15" s="1295"/>
      <c r="U15" s="1295"/>
      <c r="V15" s="1295"/>
      <c r="W15" s="1295"/>
      <c r="X15" s="1295"/>
      <c r="Y15" s="1295"/>
      <c r="Z15" s="1295"/>
      <c r="AA15" s="1295"/>
      <c r="AB15" s="1295"/>
      <c r="AC15" s="1295"/>
      <c r="AD15" s="307"/>
      <c r="AE15" s="307"/>
      <c r="AF15" s="307"/>
      <c r="AG15" s="307"/>
      <c r="AH15" s="307"/>
      <c r="AI15" s="307"/>
      <c r="AJ15" s="307"/>
      <c r="AK15" s="154"/>
    </row>
    <row r="16" spans="6:44" ht="15.95" customHeight="1">
      <c r="I16" s="153"/>
      <c r="J16" s="307"/>
      <c r="K16" s="307"/>
      <c r="L16" s="307"/>
      <c r="M16" s="307"/>
      <c r="N16" s="1295"/>
      <c r="O16" s="1295"/>
      <c r="P16" s="1295"/>
      <c r="Q16" s="1295"/>
      <c r="R16" s="1295"/>
      <c r="S16" s="1295"/>
      <c r="T16" s="1295"/>
      <c r="U16" s="1295"/>
      <c r="V16" s="1295"/>
      <c r="W16" s="1295"/>
      <c r="X16" s="1295"/>
      <c r="Y16" s="1295"/>
      <c r="Z16" s="1295"/>
      <c r="AA16" s="1295"/>
      <c r="AB16" s="1295"/>
      <c r="AC16" s="1295"/>
      <c r="AD16" s="307"/>
      <c r="AE16" s="307"/>
      <c r="AF16" s="307"/>
      <c r="AG16" s="307"/>
      <c r="AH16" s="307"/>
      <c r="AI16" s="307"/>
      <c r="AJ16" s="307"/>
      <c r="AK16" s="154"/>
    </row>
    <row r="17" spans="9:37" ht="15.95" customHeight="1">
      <c r="I17" s="153"/>
      <c r="J17" s="307"/>
      <c r="K17" s="307"/>
      <c r="L17" s="307"/>
      <c r="M17" s="307"/>
      <c r="N17" s="1295"/>
      <c r="O17" s="1295"/>
      <c r="P17" s="1295"/>
      <c r="Q17" s="1295"/>
      <c r="R17" s="1295"/>
      <c r="S17" s="1295"/>
      <c r="T17" s="1295"/>
      <c r="U17" s="1295"/>
      <c r="V17" s="1295"/>
      <c r="W17" s="1295"/>
      <c r="X17" s="1295"/>
      <c r="Y17" s="1295"/>
      <c r="Z17" s="1295"/>
      <c r="AA17" s="1295"/>
      <c r="AB17" s="1295"/>
      <c r="AC17" s="1295"/>
      <c r="AD17" s="307"/>
      <c r="AE17" s="307"/>
      <c r="AF17" s="307"/>
      <c r="AG17" s="307"/>
      <c r="AH17" s="307"/>
      <c r="AI17" s="307"/>
      <c r="AJ17" s="307"/>
      <c r="AK17" s="154"/>
    </row>
    <row r="18" spans="9:37" ht="15.95" customHeight="1">
      <c r="I18" s="153"/>
      <c r="J18" s="1289" t="s">
        <v>121</v>
      </c>
      <c r="K18" s="1289"/>
      <c r="L18" s="1289"/>
      <c r="M18" s="1289"/>
      <c r="N18" s="575"/>
      <c r="O18" s="575"/>
      <c r="P18" s="575"/>
      <c r="Q18" s="575"/>
      <c r="R18" s="575"/>
      <c r="S18" s="575"/>
      <c r="T18" s="575"/>
      <c r="U18" s="575"/>
      <c r="V18" s="575"/>
      <c r="W18" s="575"/>
      <c r="X18" s="575"/>
      <c r="Y18" s="575"/>
      <c r="Z18" s="575"/>
      <c r="AA18" s="575"/>
      <c r="AB18" s="575"/>
      <c r="AC18" s="1281" t="str">
        <f>CONCATENATE("Project # ",PROJID)</f>
        <v xml:space="preserve">Project # </v>
      </c>
      <c r="AD18" s="1281"/>
      <c r="AE18" s="1281"/>
      <c r="AF18" s="1281"/>
      <c r="AG18" s="1281"/>
      <c r="AH18" s="1281"/>
      <c r="AI18" s="1281"/>
      <c r="AJ18" s="1281"/>
      <c r="AK18" s="154"/>
    </row>
    <row r="19" spans="9:37" ht="15.95" customHeight="1">
      <c r="I19" s="153"/>
      <c r="J19" s="1289"/>
      <c r="K19" s="1289"/>
      <c r="L19" s="1289"/>
      <c r="M19" s="1289"/>
      <c r="N19" s="575"/>
      <c r="O19" s="575"/>
      <c r="P19" s="575"/>
      <c r="Q19" s="575"/>
      <c r="R19" s="575"/>
      <c r="S19" s="575"/>
      <c r="T19" s="575"/>
      <c r="U19" s="575"/>
      <c r="V19" s="575"/>
      <c r="W19" s="575"/>
      <c r="X19" s="575"/>
      <c r="Y19" s="575"/>
      <c r="Z19" s="575"/>
      <c r="AA19" s="575"/>
      <c r="AB19" s="575"/>
      <c r="AC19" s="1281"/>
      <c r="AD19" s="1281"/>
      <c r="AE19" s="1281"/>
      <c r="AF19" s="1281"/>
      <c r="AG19" s="1281"/>
      <c r="AH19" s="1281"/>
      <c r="AI19" s="1281"/>
      <c r="AJ19" s="1281"/>
      <c r="AK19" s="154"/>
    </row>
    <row r="20" spans="9:37" ht="15.95" customHeight="1">
      <c r="I20" s="153"/>
      <c r="J20" s="1289"/>
      <c r="K20" s="1289"/>
      <c r="L20" s="1289"/>
      <c r="M20" s="1289"/>
      <c r="N20" s="575"/>
      <c r="O20" s="575"/>
      <c r="P20" s="575"/>
      <c r="Q20" s="575"/>
      <c r="R20" s="575"/>
      <c r="S20" s="575"/>
      <c r="T20" s="575"/>
      <c r="U20" s="575"/>
      <c r="V20" s="575"/>
      <c r="W20" s="575"/>
      <c r="X20" s="575"/>
      <c r="Y20" s="575"/>
      <c r="Z20" s="575"/>
      <c r="AA20" s="575"/>
      <c r="AB20" s="575"/>
      <c r="AC20" s="1281"/>
      <c r="AD20" s="1281"/>
      <c r="AE20" s="1281"/>
      <c r="AF20" s="1281"/>
      <c r="AG20" s="1281"/>
      <c r="AH20" s="1281"/>
      <c r="AI20" s="1281"/>
      <c r="AJ20" s="1281"/>
      <c r="AK20" s="154"/>
    </row>
    <row r="21" spans="9:37" ht="15.95" customHeight="1">
      <c r="I21" s="153"/>
      <c r="J21" s="1282">
        <f>M02S02F01</f>
        <v>0</v>
      </c>
      <c r="K21" s="1282"/>
      <c r="L21" s="1282"/>
      <c r="M21" s="1282"/>
      <c r="N21" s="1282"/>
      <c r="O21" s="1282"/>
      <c r="P21" s="1282"/>
      <c r="Q21" s="1282"/>
      <c r="R21" s="1282"/>
      <c r="S21" s="1282"/>
      <c r="T21" s="1282"/>
      <c r="U21" s="1282"/>
      <c r="V21" s="1282"/>
      <c r="W21" s="1282"/>
      <c r="X21" s="1283">
        <f>M02S02F13</f>
        <v>0</v>
      </c>
      <c r="Y21" s="1283"/>
      <c r="Z21" s="1283"/>
      <c r="AA21" s="1283"/>
      <c r="AB21" s="1283"/>
      <c r="AC21" s="1283"/>
      <c r="AD21" s="1283"/>
      <c r="AE21" s="1283"/>
      <c r="AF21" s="1283"/>
      <c r="AG21" s="1283"/>
      <c r="AH21" s="1283"/>
      <c r="AI21" s="1283"/>
      <c r="AJ21" s="1283"/>
      <c r="AK21" s="154"/>
    </row>
    <row r="22" spans="9:37" ht="15.95" customHeight="1">
      <c r="I22" s="153"/>
      <c r="J22" s="1282"/>
      <c r="K22" s="1282"/>
      <c r="L22" s="1282"/>
      <c r="M22" s="1282"/>
      <c r="N22" s="1282"/>
      <c r="O22" s="1282"/>
      <c r="P22" s="1282"/>
      <c r="Q22" s="1282"/>
      <c r="R22" s="1282"/>
      <c r="S22" s="1282"/>
      <c r="T22" s="1282"/>
      <c r="U22" s="1282"/>
      <c r="V22" s="1282"/>
      <c r="W22" s="1282"/>
      <c r="X22" s="1283"/>
      <c r="Y22" s="1283"/>
      <c r="Z22" s="1283"/>
      <c r="AA22" s="1283"/>
      <c r="AB22" s="1283"/>
      <c r="AC22" s="1283"/>
      <c r="AD22" s="1283"/>
      <c r="AE22" s="1283"/>
      <c r="AF22" s="1283"/>
      <c r="AG22" s="1283"/>
      <c r="AH22" s="1283"/>
      <c r="AI22" s="1283"/>
      <c r="AJ22" s="1283"/>
      <c r="AK22" s="154"/>
    </row>
    <row r="23" spans="9:37" ht="15.95" customHeight="1">
      <c r="I23" s="153"/>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154"/>
    </row>
    <row r="24" spans="9:37" ht="15.95" customHeight="1">
      <c r="I24" s="153"/>
      <c r="J24" s="1285" t="s">
        <v>1234</v>
      </c>
      <c r="K24" s="1285"/>
      <c r="L24" s="1285"/>
      <c r="M24" s="1285"/>
      <c r="N24" s="1285"/>
      <c r="O24" s="226"/>
      <c r="P24" s="1286" t="s">
        <v>932</v>
      </c>
      <c r="Q24" s="1286"/>
      <c r="R24" s="1286"/>
      <c r="S24" s="1286"/>
      <c r="T24" s="1286"/>
      <c r="U24" s="1286"/>
      <c r="V24" s="227"/>
      <c r="W24" s="1286" t="s">
        <v>933</v>
      </c>
      <c r="X24" s="1286"/>
      <c r="Y24" s="1286"/>
      <c r="Z24" s="1286"/>
      <c r="AA24" s="1286"/>
      <c r="AB24" s="1286"/>
      <c r="AC24" s="227"/>
      <c r="AD24" s="1287" t="str">
        <f>IF(M02S02F14="Yes","","Company Contact")</f>
        <v>Company Contact</v>
      </c>
      <c r="AE24" s="1287"/>
      <c r="AF24" s="1287"/>
      <c r="AG24" s="1287"/>
      <c r="AH24" s="1287"/>
      <c r="AI24" s="1287"/>
      <c r="AJ24" s="227"/>
      <c r="AK24" s="154"/>
    </row>
    <row r="25" spans="9:37" ht="15.95" customHeight="1">
      <c r="I25" s="153"/>
      <c r="J25" s="1285"/>
      <c r="K25" s="1285"/>
      <c r="L25" s="1285"/>
      <c r="M25" s="1285"/>
      <c r="N25" s="1285"/>
      <c r="O25" s="226"/>
      <c r="P25" s="1288" t="str">
        <f>M02S02F34</f>
        <v/>
      </c>
      <c r="Q25" s="1288"/>
      <c r="R25" s="1288"/>
      <c r="S25" s="1288"/>
      <c r="T25" s="1288"/>
      <c r="U25" s="1288"/>
      <c r="V25" s="370"/>
      <c r="W25" s="1288" t="str">
        <f>CONCATENATE(M02S02F16," ",M02S02F17)</f>
        <v xml:space="preserve"> </v>
      </c>
      <c r="X25" s="1288"/>
      <c r="Y25" s="1288"/>
      <c r="Z25" s="1288"/>
      <c r="AA25" s="1288"/>
      <c r="AB25" s="1288"/>
      <c r="AC25" s="370"/>
      <c r="AD25" s="1288" t="str">
        <f>IF(M02S02F14="Yes","",CONCATENATE(M02S02F02," ",M02S02F03))</f>
        <v xml:space="preserve"> </v>
      </c>
      <c r="AE25" s="1288"/>
      <c r="AF25" s="1288"/>
      <c r="AG25" s="1288"/>
      <c r="AH25" s="1288"/>
      <c r="AI25" s="1288"/>
      <c r="AJ25" s="228"/>
      <c r="AK25" s="154"/>
    </row>
    <row r="26" spans="9:37" ht="15.95" customHeight="1">
      <c r="I26" s="153"/>
      <c r="J26" s="1285"/>
      <c r="K26" s="1285"/>
      <c r="L26" s="1285"/>
      <c r="M26" s="1285"/>
      <c r="N26" s="1285"/>
      <c r="O26" s="226"/>
      <c r="P26" s="1288" t="str">
        <f>M02S02F22</f>
        <v/>
      </c>
      <c r="Q26" s="1288"/>
      <c r="R26" s="1288"/>
      <c r="S26" s="1288"/>
      <c r="T26" s="1288"/>
      <c r="U26" s="1288"/>
      <c r="V26" s="370"/>
      <c r="W26" s="1284" t="str">
        <f>M02S02F19</f>
        <v/>
      </c>
      <c r="X26" s="1284"/>
      <c r="Y26" s="1284"/>
      <c r="Z26" s="1284"/>
      <c r="AA26" s="1284"/>
      <c r="AB26" s="1284"/>
      <c r="AC26" s="369"/>
      <c r="AD26" s="1284">
        <f>IF(M02S02F14="Yes","",M02S02F05)</f>
        <v>0</v>
      </c>
      <c r="AE26" s="1284"/>
      <c r="AF26" s="1284"/>
      <c r="AG26" s="1284"/>
      <c r="AH26" s="1284"/>
      <c r="AI26" s="1284"/>
      <c r="AJ26" s="229"/>
      <c r="AK26" s="154"/>
    </row>
    <row r="27" spans="9:37" ht="15.95" customHeight="1">
      <c r="I27" s="153"/>
      <c r="J27" s="1285"/>
      <c r="K27" s="1285"/>
      <c r="L27" s="1285"/>
      <c r="M27" s="1285"/>
      <c r="N27" s="1285"/>
      <c r="O27" s="226"/>
      <c r="P27" s="1288" t="str">
        <f>CONCATENATE(M02S02F23,", ",M02S02F24," ",M02S02F25)</f>
        <v xml:space="preserve">, IN </v>
      </c>
      <c r="Q27" s="1288"/>
      <c r="R27" s="1288"/>
      <c r="S27" s="1288"/>
      <c r="T27" s="1288"/>
      <c r="U27" s="1288"/>
      <c r="V27" s="370"/>
      <c r="W27" s="1288" t="str">
        <f>M02S02F21</f>
        <v/>
      </c>
      <c r="X27" s="1288"/>
      <c r="Y27" s="1288"/>
      <c r="Z27" s="1288"/>
      <c r="AA27" s="1288"/>
      <c r="AB27" s="1288"/>
      <c r="AC27" s="370"/>
      <c r="AD27" s="1288">
        <f>IF(M02S02F14="Yes","",M02S02F07)</f>
        <v>0</v>
      </c>
      <c r="AE27" s="1288"/>
      <c r="AF27" s="1288"/>
      <c r="AG27" s="1288"/>
      <c r="AH27" s="1288"/>
      <c r="AI27" s="1288"/>
      <c r="AJ27" s="228"/>
      <c r="AK27" s="154"/>
    </row>
    <row r="28" spans="9:37" ht="15.95" customHeight="1">
      <c r="I28" s="153"/>
      <c r="J28" s="59"/>
      <c r="K28" s="59"/>
      <c r="L28" s="59"/>
      <c r="M28" s="59"/>
      <c r="N28" s="59"/>
      <c r="O28" s="59"/>
      <c r="P28" s="62"/>
      <c r="Q28" s="62"/>
      <c r="R28" s="62"/>
      <c r="S28" s="62"/>
      <c r="T28" s="62"/>
      <c r="U28" s="62"/>
      <c r="V28" s="62"/>
      <c r="W28" s="62"/>
      <c r="X28" s="62"/>
      <c r="Y28" s="62"/>
      <c r="Z28" s="62"/>
      <c r="AA28" s="62"/>
      <c r="AB28" s="62"/>
      <c r="AC28" s="62"/>
      <c r="AD28" s="62"/>
      <c r="AE28" s="62"/>
      <c r="AF28" s="62"/>
      <c r="AG28" s="62"/>
      <c r="AH28" s="62"/>
      <c r="AI28" s="62"/>
      <c r="AJ28" s="62"/>
      <c r="AK28" s="154"/>
    </row>
    <row r="29" spans="9:37" ht="15.95" customHeight="1">
      <c r="I29" s="153"/>
      <c r="J29" s="1296" t="s">
        <v>1233</v>
      </c>
      <c r="K29" s="1296"/>
      <c r="L29" s="1296"/>
      <c r="M29" s="1296"/>
      <c r="N29" s="1296"/>
      <c r="O29" s="230"/>
      <c r="P29" s="1297" t="s">
        <v>118</v>
      </c>
      <c r="Q29" s="1297"/>
      <c r="R29" s="1297"/>
      <c r="S29" s="1297"/>
      <c r="T29" s="1297"/>
      <c r="U29" s="1297"/>
      <c r="V29" s="231"/>
      <c r="W29" s="1298" t="s">
        <v>128</v>
      </c>
      <c r="X29" s="1298"/>
      <c r="Y29" s="1298"/>
      <c r="Z29" s="1298"/>
      <c r="AA29" s="1298"/>
      <c r="AB29" s="1298"/>
      <c r="AC29" s="231"/>
      <c r="AD29" s="231"/>
      <c r="AE29" s="231"/>
      <c r="AF29" s="231"/>
      <c r="AG29" s="231"/>
      <c r="AH29" s="231"/>
      <c r="AI29" s="231"/>
      <c r="AJ29" s="231"/>
      <c r="AK29" s="154"/>
    </row>
    <row r="30" spans="9:37" ht="15.95" customHeight="1">
      <c r="I30" s="153"/>
      <c r="J30" s="1296"/>
      <c r="K30" s="1296"/>
      <c r="L30" s="1296"/>
      <c r="M30" s="1296"/>
      <c r="N30" s="1296"/>
      <c r="O30" s="230"/>
      <c r="P30" s="1299">
        <f>M02S03F02</f>
        <v>0</v>
      </c>
      <c r="Q30" s="1299"/>
      <c r="R30" s="1299"/>
      <c r="S30" s="1299"/>
      <c r="T30" s="1299"/>
      <c r="U30" s="1299"/>
      <c r="V30" s="254"/>
      <c r="W30" s="1299" t="str">
        <f>CONCATENATE(M02S03F03," ",M02S03F04)</f>
        <v xml:space="preserve"> </v>
      </c>
      <c r="X30" s="1299"/>
      <c r="Y30" s="1299"/>
      <c r="Z30" s="1299"/>
      <c r="AA30" s="1299"/>
      <c r="AB30" s="1299"/>
      <c r="AC30" s="253"/>
      <c r="AD30" s="253"/>
      <c r="AE30" s="254"/>
      <c r="AF30" s="254"/>
      <c r="AG30" s="254"/>
      <c r="AH30" s="254"/>
      <c r="AI30" s="254"/>
      <c r="AJ30" s="233"/>
      <c r="AK30" s="154"/>
    </row>
    <row r="31" spans="9:37" ht="15.95" customHeight="1">
      <c r="I31" s="153"/>
      <c r="J31" s="1296"/>
      <c r="K31" s="1296"/>
      <c r="L31" s="1296"/>
      <c r="M31" s="1296"/>
      <c r="N31" s="1296"/>
      <c r="O31" s="230"/>
      <c r="P31" s="1299">
        <f>M02S03F09</f>
        <v>0</v>
      </c>
      <c r="Q31" s="1299"/>
      <c r="R31" s="1299"/>
      <c r="S31" s="1299"/>
      <c r="T31" s="1299"/>
      <c r="U31" s="1299"/>
      <c r="V31" s="254"/>
      <c r="W31" s="1300">
        <f>M02S03F06</f>
        <v>0</v>
      </c>
      <c r="X31" s="1300"/>
      <c r="Y31" s="1300"/>
      <c r="Z31" s="1300"/>
      <c r="AA31" s="1300"/>
      <c r="AB31" s="1300"/>
      <c r="AC31" s="253"/>
      <c r="AD31" s="253"/>
      <c r="AE31" s="371"/>
      <c r="AF31" s="371"/>
      <c r="AG31" s="371"/>
      <c r="AH31" s="371"/>
      <c r="AI31" s="371"/>
      <c r="AJ31" s="234"/>
      <c r="AK31" s="154"/>
    </row>
    <row r="32" spans="9:37" ht="15.95" customHeight="1">
      <c r="I32" s="153"/>
      <c r="J32" s="1296"/>
      <c r="K32" s="1296"/>
      <c r="L32" s="1296"/>
      <c r="M32" s="1296"/>
      <c r="N32" s="1296"/>
      <c r="O32" s="230"/>
      <c r="P32" s="1299" t="str">
        <f>CONCATENATE(M02S03F10,", ",M02S03F11," ",M02S03F12)</f>
        <v xml:space="preserve">,  </v>
      </c>
      <c r="Q32" s="1299"/>
      <c r="R32" s="1299"/>
      <c r="S32" s="1299"/>
      <c r="T32" s="1299"/>
      <c r="U32" s="1299"/>
      <c r="V32" s="254"/>
      <c r="W32" s="1299">
        <f>M02S03F08</f>
        <v>0</v>
      </c>
      <c r="X32" s="1299"/>
      <c r="Y32" s="1299"/>
      <c r="Z32" s="1299"/>
      <c r="AA32" s="1299"/>
      <c r="AB32" s="1299"/>
      <c r="AC32" s="253"/>
      <c r="AD32" s="253"/>
      <c r="AE32" s="254"/>
      <c r="AF32" s="254"/>
      <c r="AG32" s="254"/>
      <c r="AH32" s="254"/>
      <c r="AI32" s="254"/>
      <c r="AJ32" s="232"/>
      <c r="AK32" s="154"/>
    </row>
    <row r="33" spans="9:45" ht="15.95" customHeight="1">
      <c r="I33" s="153"/>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154"/>
    </row>
    <row r="34" spans="9:45" ht="15.95" customHeight="1">
      <c r="I34" s="153"/>
      <c r="J34" s="1296" t="s">
        <v>1241</v>
      </c>
      <c r="K34" s="1296"/>
      <c r="L34" s="1296"/>
      <c r="M34" s="1296"/>
      <c r="N34" s="1296"/>
      <c r="O34" s="230"/>
      <c r="P34" s="235" t="s">
        <v>935</v>
      </c>
      <c r="Q34" s="235"/>
      <c r="R34" s="235"/>
      <c r="S34" s="235"/>
      <c r="T34" s="1303" t="s">
        <v>1166</v>
      </c>
      <c r="U34" s="1303"/>
      <c r="V34" s="1303"/>
      <c r="W34" s="1303"/>
      <c r="X34" s="1303" t="s">
        <v>1236</v>
      </c>
      <c r="Y34" s="1303"/>
      <c r="Z34" s="1303"/>
      <c r="AA34" s="1303"/>
      <c r="AB34" s="1303" t="s">
        <v>1235</v>
      </c>
      <c r="AC34" s="1303"/>
      <c r="AD34" s="1303"/>
      <c r="AE34" s="1303"/>
      <c r="AF34" s="1303" t="s">
        <v>125</v>
      </c>
      <c r="AG34" s="1303"/>
      <c r="AH34" s="1303"/>
      <c r="AI34" s="1303"/>
      <c r="AJ34" s="235"/>
      <c r="AK34" s="154"/>
    </row>
    <row r="35" spans="9:45" ht="15.95" customHeight="1">
      <c r="I35" s="153"/>
      <c r="J35" s="1296"/>
      <c r="K35" s="1296"/>
      <c r="L35" s="1296"/>
      <c r="M35" s="1296"/>
      <c r="N35" s="1296"/>
      <c r="O35" s="230"/>
      <c r="P35" s="236" t="s">
        <v>947</v>
      </c>
      <c r="Q35" s="236"/>
      <c r="R35" s="236"/>
      <c r="S35" s="237"/>
      <c r="T35" s="1304">
        <f ca="1">SUM(EXPORT!N4:N296)</f>
        <v>0</v>
      </c>
      <c r="U35" s="1304"/>
      <c r="V35" s="1304"/>
      <c r="W35" s="1304"/>
      <c r="X35" s="1305">
        <f>SUM(EXPORT!P215:P306)</f>
        <v>0</v>
      </c>
      <c r="Y35" s="1306"/>
      <c r="Z35" s="1306"/>
      <c r="AA35" s="1307"/>
      <c r="AB35" s="1308">
        <f ca="1">SUM(COSTTOTALPRESE,COSTTOTALPRESG)</f>
        <v>0</v>
      </c>
      <c r="AC35" s="1308"/>
      <c r="AD35" s="1308"/>
      <c r="AE35" s="1308"/>
      <c r="AF35" s="1309">
        <f ca="1">SUM(EXPORT!R4:R280)</f>
        <v>0</v>
      </c>
      <c r="AG35" s="1310"/>
      <c r="AH35" s="1310"/>
      <c r="AI35" s="1310"/>
      <c r="AJ35" s="233"/>
      <c r="AK35" s="154"/>
    </row>
    <row r="36" spans="9:45" ht="15.95" customHeight="1">
      <c r="I36" s="153"/>
      <c r="J36" s="1296"/>
      <c r="K36" s="1296"/>
      <c r="L36" s="1296"/>
      <c r="M36" s="1296"/>
      <c r="N36" s="1296"/>
      <c r="O36" s="230"/>
      <c r="P36" s="238" t="s">
        <v>231</v>
      </c>
      <c r="Q36" s="238"/>
      <c r="R36" s="238"/>
      <c r="S36" s="238"/>
      <c r="T36" s="1311">
        <f ca="1">SUM(EXPORT!N309:N435)</f>
        <v>0</v>
      </c>
      <c r="U36" s="1312"/>
      <c r="V36" s="1312"/>
      <c r="W36" s="1312"/>
      <c r="X36" s="1313">
        <f>SUM(EXPORT!P437:P486)</f>
        <v>0</v>
      </c>
      <c r="Y36" s="1314"/>
      <c r="Z36" s="1314"/>
      <c r="AA36" s="1315"/>
      <c r="AB36" s="1316">
        <f ca="1">SUM(COSTTOTALCUSE,COSTTOTALCUSG)</f>
        <v>0</v>
      </c>
      <c r="AC36" s="1316"/>
      <c r="AD36" s="1316"/>
      <c r="AE36" s="1316"/>
      <c r="AF36" s="1317">
        <f ca="1">SUM(EXPORT!R309:R486)</f>
        <v>0</v>
      </c>
      <c r="AG36" s="1318"/>
      <c r="AH36" s="1318"/>
      <c r="AI36" s="1318"/>
      <c r="AJ36" s="233"/>
      <c r="AK36" s="154"/>
    </row>
    <row r="37" spans="9:45" ht="15.95" customHeight="1">
      <c r="I37" s="153"/>
      <c r="J37" s="1296"/>
      <c r="K37" s="1296"/>
      <c r="L37" s="1296"/>
      <c r="M37" s="1296"/>
      <c r="N37" s="1296"/>
      <c r="O37" s="230"/>
      <c r="P37" s="239" t="s">
        <v>137</v>
      </c>
      <c r="Q37" s="239"/>
      <c r="R37" s="239"/>
      <c r="S37" s="239"/>
      <c r="T37" s="1319">
        <f ca="1">SUM(T35:W36)</f>
        <v>0</v>
      </c>
      <c r="U37" s="1320"/>
      <c r="V37" s="1320"/>
      <c r="W37" s="1320"/>
      <c r="X37" s="1321">
        <f>SUM(X35:AA36)</f>
        <v>0</v>
      </c>
      <c r="Y37" s="1322"/>
      <c r="Z37" s="1322"/>
      <c r="AA37" s="1323"/>
      <c r="AB37" s="1324">
        <f ca="1">SUM(AB35:AE36)</f>
        <v>0</v>
      </c>
      <c r="AC37" s="1324"/>
      <c r="AD37" s="1324"/>
      <c r="AE37" s="1324"/>
      <c r="AF37" s="1301">
        <f ca="1">SUM(AF35:AI36)</f>
        <v>0</v>
      </c>
      <c r="AG37" s="1302"/>
      <c r="AH37" s="1302"/>
      <c r="AI37" s="1302"/>
      <c r="AJ37" s="240"/>
      <c r="AK37" s="154"/>
    </row>
    <row r="38" spans="9:45" ht="15.95" customHeight="1">
      <c r="I38" s="153"/>
      <c r="AK38" s="154"/>
    </row>
    <row r="39" spans="9:45" ht="15.95" customHeight="1">
      <c r="I39" s="153"/>
      <c r="J39" s="1296" t="s">
        <v>1165</v>
      </c>
      <c r="K39" s="1296"/>
      <c r="L39" s="1296"/>
      <c r="M39" s="1296"/>
      <c r="N39" s="1296"/>
      <c r="O39" s="256"/>
      <c r="P39" s="256"/>
      <c r="Q39" s="256"/>
      <c r="R39" s="256"/>
      <c r="S39" s="256"/>
      <c r="T39" s="256"/>
      <c r="U39" s="256"/>
      <c r="V39" s="256"/>
      <c r="W39" s="256"/>
      <c r="X39" s="256"/>
      <c r="Y39" s="256"/>
      <c r="Z39" s="256"/>
      <c r="AA39" s="256"/>
      <c r="AB39" s="256"/>
      <c r="AC39" s="256"/>
      <c r="AD39" s="256"/>
      <c r="AE39" s="256"/>
      <c r="AF39" s="256"/>
      <c r="AG39" s="256"/>
      <c r="AH39" s="258"/>
      <c r="AI39" s="258"/>
      <c r="AJ39" s="258"/>
      <c r="AK39" s="154"/>
      <c r="AS39" s="174"/>
    </row>
    <row r="40" spans="9:45" ht="15.95" customHeight="1">
      <c r="I40" s="153"/>
      <c r="J40" s="1296"/>
      <c r="K40" s="1296"/>
      <c r="L40" s="1296"/>
      <c r="M40" s="1296"/>
      <c r="N40" s="1296"/>
      <c r="O40" s="256"/>
      <c r="P40" s="256"/>
      <c r="Q40" s="256"/>
      <c r="R40" s="256"/>
      <c r="S40" s="256"/>
      <c r="T40" s="256"/>
      <c r="U40" s="256"/>
      <c r="V40" s="256"/>
      <c r="W40" s="256"/>
      <c r="X40" s="256"/>
      <c r="Y40" s="256"/>
      <c r="Z40" s="256"/>
      <c r="AA40" s="256"/>
      <c r="AB40" s="256"/>
      <c r="AC40" s="256"/>
      <c r="AD40" s="256"/>
      <c r="AE40" s="256"/>
      <c r="AF40" s="256"/>
      <c r="AG40" s="256"/>
      <c r="AH40" s="258"/>
      <c r="AI40" s="258"/>
      <c r="AJ40" s="258"/>
      <c r="AK40" s="154"/>
    </row>
    <row r="41" spans="9:45" ht="15.95" customHeight="1">
      <c r="I41" s="153"/>
      <c r="J41" s="1296"/>
      <c r="K41" s="1296"/>
      <c r="L41" s="1296"/>
      <c r="M41" s="1296"/>
      <c r="N41" s="1296"/>
      <c r="O41" s="253" t="s">
        <v>934</v>
      </c>
      <c r="P41" s="254"/>
      <c r="Q41" s="254"/>
      <c r="R41" s="254"/>
      <c r="S41" s="254"/>
      <c r="T41" s="254"/>
      <c r="U41" s="254"/>
      <c r="V41" s="254"/>
      <c r="W41" s="254"/>
      <c r="X41" s="253" t="s">
        <v>123</v>
      </c>
      <c r="Y41" s="253"/>
      <c r="Z41" s="254"/>
      <c r="AA41" s="254"/>
      <c r="AB41" s="254"/>
      <c r="AC41" s="254"/>
      <c r="AD41" s="254"/>
      <c r="AE41" s="254"/>
      <c r="AF41" s="256"/>
      <c r="AG41" s="253" t="s">
        <v>138</v>
      </c>
      <c r="AH41" s="254"/>
      <c r="AI41" s="254"/>
      <c r="AJ41" s="254"/>
      <c r="AK41" s="154"/>
    </row>
    <row r="42" spans="9:45" ht="15.95" customHeight="1">
      <c r="I42" s="153"/>
      <c r="J42" s="1296"/>
      <c r="K42" s="1296"/>
      <c r="L42" s="1296"/>
      <c r="M42" s="1296"/>
      <c r="N42" s="1296"/>
      <c r="O42" s="1327"/>
      <c r="P42" s="1327"/>
      <c r="Q42" s="1327"/>
      <c r="R42" s="1327"/>
      <c r="S42" s="1327"/>
      <c r="T42" s="1327"/>
      <c r="U42" s="1327"/>
      <c r="V42" s="1327"/>
      <c r="W42" s="377"/>
      <c r="X42" s="1325" t="str">
        <f>IF(O42="","",O42)</f>
        <v/>
      </c>
      <c r="Y42" s="1325"/>
      <c r="Z42" s="1325"/>
      <c r="AA42" s="1325"/>
      <c r="AB42" s="1325"/>
      <c r="AC42" s="1325"/>
      <c r="AD42" s="1325"/>
      <c r="AE42" s="1325"/>
      <c r="AF42" s="378"/>
      <c r="AG42" s="1326"/>
      <c r="AH42" s="1326"/>
      <c r="AI42" s="1326"/>
      <c r="AJ42" s="257"/>
      <c r="AK42" s="154"/>
    </row>
    <row r="43" spans="9:45" ht="15.95" customHeight="1">
      <c r="I43" s="153"/>
      <c r="J43" s="1296"/>
      <c r="K43" s="1296"/>
      <c r="L43" s="1296"/>
      <c r="M43" s="1296"/>
      <c r="N43" s="1296"/>
      <c r="O43" s="1328" t="str">
        <f ca="1">IF(CELL("protect",O42)=1,"eSignature Signed","")</f>
        <v/>
      </c>
      <c r="P43" s="1328"/>
      <c r="Q43" s="1328"/>
      <c r="R43" s="1328"/>
      <c r="S43" s="1328"/>
      <c r="T43" s="256"/>
      <c r="U43" s="256"/>
      <c r="V43" s="256"/>
      <c r="W43" s="256"/>
      <c r="X43" s="256"/>
      <c r="Y43" s="256"/>
      <c r="Z43" s="256"/>
      <c r="AA43" s="256"/>
      <c r="AB43" s="256"/>
      <c r="AC43" s="256"/>
      <c r="AD43" s="256"/>
      <c r="AE43" s="256"/>
      <c r="AF43" s="256"/>
      <c r="AG43" s="256"/>
      <c r="AH43" s="256"/>
      <c r="AI43" s="256"/>
      <c r="AJ43" s="256"/>
      <c r="AK43" s="154"/>
    </row>
    <row r="44" spans="9:45" ht="15.95" customHeight="1">
      <c r="I44" s="153"/>
      <c r="AK44" s="154"/>
    </row>
    <row r="45" spans="9:45" ht="15.95" customHeight="1">
      <c r="I45" s="153"/>
      <c r="J45" s="241"/>
      <c r="K45" s="1331" t="s">
        <v>1246</v>
      </c>
      <c r="L45" s="1331"/>
      <c r="M45" s="1331"/>
      <c r="N45" s="1331"/>
      <c r="O45" s="1331"/>
      <c r="P45" s="1331"/>
      <c r="Q45" s="1331"/>
      <c r="R45" s="1331"/>
      <c r="S45" s="1331"/>
      <c r="T45" s="1331"/>
      <c r="U45" s="1331"/>
      <c r="V45" s="243"/>
      <c r="X45" s="241"/>
      <c r="Y45" s="1331" t="s">
        <v>1245</v>
      </c>
      <c r="Z45" s="1331"/>
      <c r="AA45" s="1331"/>
      <c r="AB45" s="1331"/>
      <c r="AC45" s="1331"/>
      <c r="AD45" s="1331"/>
      <c r="AE45" s="1331"/>
      <c r="AF45" s="1331"/>
      <c r="AG45" s="1331"/>
      <c r="AH45" s="1331"/>
      <c r="AI45" s="1331"/>
      <c r="AJ45" s="243"/>
      <c r="AK45" s="154"/>
    </row>
    <row r="46" spans="9:45" ht="15.95" customHeight="1">
      <c r="I46" s="153"/>
      <c r="J46" s="242"/>
      <c r="K46" s="1331"/>
      <c r="L46" s="1331"/>
      <c r="M46" s="1331"/>
      <c r="N46" s="1331"/>
      <c r="O46" s="1331"/>
      <c r="P46" s="1331"/>
      <c r="Q46" s="1331"/>
      <c r="R46" s="1331"/>
      <c r="S46" s="1331"/>
      <c r="T46" s="1331"/>
      <c r="U46" s="1331"/>
      <c r="V46" s="242"/>
      <c r="X46" s="242"/>
      <c r="Y46" s="1331"/>
      <c r="Z46" s="1331"/>
      <c r="AA46" s="1331"/>
      <c r="AB46" s="1331"/>
      <c r="AC46" s="1331"/>
      <c r="AD46" s="1331"/>
      <c r="AE46" s="1331"/>
      <c r="AF46" s="1331"/>
      <c r="AG46" s="1331"/>
      <c r="AH46" s="1331"/>
      <c r="AI46" s="1331"/>
      <c r="AJ46" s="242"/>
      <c r="AK46" s="154"/>
    </row>
    <row r="47" spans="9:45" ht="15.95" customHeight="1">
      <c r="I47" s="153"/>
      <c r="J47" s="1332" t="s">
        <v>1247</v>
      </c>
      <c r="K47" s="1332"/>
      <c r="L47" s="1332"/>
      <c r="M47" s="1332"/>
      <c r="N47" s="1332"/>
      <c r="O47" s="1332"/>
      <c r="P47" s="1332"/>
      <c r="Q47" s="1332"/>
      <c r="R47" s="1332"/>
      <c r="S47" s="1332"/>
      <c r="T47" s="1332"/>
      <c r="U47" s="1332"/>
      <c r="V47" s="1332"/>
      <c r="X47" s="1332" t="s">
        <v>937</v>
      </c>
      <c r="Y47" s="1332"/>
      <c r="Z47" s="1332"/>
      <c r="AA47" s="1332"/>
      <c r="AB47" s="1332"/>
      <c r="AC47" s="1332"/>
      <c r="AD47" s="1332"/>
      <c r="AE47" s="1332"/>
      <c r="AF47" s="1332"/>
      <c r="AG47" s="1332"/>
      <c r="AH47" s="1332"/>
      <c r="AI47" s="1332"/>
      <c r="AJ47" s="1332"/>
      <c r="AK47" s="154"/>
    </row>
    <row r="48" spans="9:45" ht="15.95" customHeight="1">
      <c r="I48" s="153"/>
      <c r="J48" s="1332"/>
      <c r="K48" s="1332"/>
      <c r="L48" s="1332"/>
      <c r="M48" s="1332"/>
      <c r="N48" s="1332"/>
      <c r="O48" s="1332"/>
      <c r="P48" s="1332"/>
      <c r="Q48" s="1332"/>
      <c r="R48" s="1332"/>
      <c r="S48" s="1332"/>
      <c r="T48" s="1332"/>
      <c r="U48" s="1332"/>
      <c r="V48" s="1332"/>
      <c r="X48" s="1332"/>
      <c r="Y48" s="1332"/>
      <c r="Z48" s="1332"/>
      <c r="AA48" s="1332"/>
      <c r="AB48" s="1332"/>
      <c r="AC48" s="1332"/>
      <c r="AD48" s="1332"/>
      <c r="AE48" s="1332"/>
      <c r="AF48" s="1332"/>
      <c r="AG48" s="1332"/>
      <c r="AH48" s="1332"/>
      <c r="AI48" s="1332"/>
      <c r="AJ48" s="1332"/>
      <c r="AK48" s="154"/>
    </row>
    <row r="49" spans="9:37" ht="15.95" customHeight="1">
      <c r="I49" s="153"/>
      <c r="J49" s="1332"/>
      <c r="K49" s="1332"/>
      <c r="L49" s="1332"/>
      <c r="M49" s="1332"/>
      <c r="N49" s="1332"/>
      <c r="O49" s="1332"/>
      <c r="P49" s="1332"/>
      <c r="Q49" s="1332"/>
      <c r="R49" s="1332"/>
      <c r="S49" s="1332"/>
      <c r="T49" s="1332"/>
      <c r="U49" s="1332"/>
      <c r="V49" s="1332"/>
      <c r="X49" s="1332"/>
      <c r="Y49" s="1332"/>
      <c r="Z49" s="1332"/>
      <c r="AA49" s="1332"/>
      <c r="AB49" s="1332"/>
      <c r="AC49" s="1332"/>
      <c r="AD49" s="1332"/>
      <c r="AE49" s="1332"/>
      <c r="AF49" s="1332"/>
      <c r="AG49" s="1332"/>
      <c r="AH49" s="1332"/>
      <c r="AI49" s="1332"/>
      <c r="AJ49" s="1332"/>
      <c r="AK49" s="154"/>
    </row>
    <row r="50" spans="9:37" ht="15.95" customHeight="1">
      <c r="I50" s="153"/>
      <c r="J50" s="1332"/>
      <c r="K50" s="1332"/>
      <c r="L50" s="1332"/>
      <c r="M50" s="1332"/>
      <c r="N50" s="1332"/>
      <c r="O50" s="1332"/>
      <c r="P50" s="1332"/>
      <c r="Q50" s="1332"/>
      <c r="R50" s="1332"/>
      <c r="S50" s="1332"/>
      <c r="T50" s="1332"/>
      <c r="U50" s="1332"/>
      <c r="V50" s="1332"/>
      <c r="X50" s="241"/>
      <c r="Y50" s="241"/>
      <c r="Z50" s="241"/>
      <c r="AA50" s="241"/>
      <c r="AB50" s="241"/>
      <c r="AC50" s="241"/>
      <c r="AD50" s="241"/>
      <c r="AE50" s="241"/>
      <c r="AF50" s="241"/>
      <c r="AG50" s="241"/>
      <c r="AH50" s="241"/>
      <c r="AI50" s="241"/>
      <c r="AJ50" s="241"/>
      <c r="AK50" s="154"/>
    </row>
    <row r="51" spans="9:37" ht="15.95" customHeight="1">
      <c r="I51" s="153"/>
      <c r="J51" s="241"/>
      <c r="K51" s="1333" t="s">
        <v>1515</v>
      </c>
      <c r="L51" s="1333"/>
      <c r="M51" s="1333"/>
      <c r="N51" s="1333"/>
      <c r="O51" s="1333"/>
      <c r="P51" s="241"/>
      <c r="Q51" s="1333" t="s">
        <v>2127</v>
      </c>
      <c r="R51" s="1333"/>
      <c r="S51" s="1333"/>
      <c r="T51" s="1333"/>
      <c r="U51" s="1333"/>
      <c r="V51" s="241"/>
      <c r="X51" s="241"/>
      <c r="Y51" s="1335" t="s">
        <v>1242</v>
      </c>
      <c r="Z51" s="1335"/>
      <c r="AA51" s="1335"/>
      <c r="AB51" s="1335"/>
      <c r="AC51" s="1335"/>
      <c r="AD51" s="1335"/>
      <c r="AE51" s="1335"/>
      <c r="AF51" s="241"/>
      <c r="AG51" s="1333" t="s">
        <v>138</v>
      </c>
      <c r="AH51" s="1333"/>
      <c r="AI51" s="1333"/>
      <c r="AJ51" s="241"/>
      <c r="AK51" s="154"/>
    </row>
    <row r="52" spans="9:37" ht="15.95" customHeight="1">
      <c r="I52" s="153"/>
      <c r="J52" s="241"/>
      <c r="K52" s="1334"/>
      <c r="L52" s="1334"/>
      <c r="M52" s="1334"/>
      <c r="N52" s="1334"/>
      <c r="O52" s="1334"/>
      <c r="P52" s="241"/>
      <c r="Q52" s="1334"/>
      <c r="R52" s="1334"/>
      <c r="S52" s="1334"/>
      <c r="T52" s="1334"/>
      <c r="U52" s="1334"/>
      <c r="V52" s="241"/>
      <c r="X52" s="241"/>
      <c r="Y52" s="1336"/>
      <c r="Z52" s="1336"/>
      <c r="AA52" s="1336"/>
      <c r="AB52" s="1336"/>
      <c r="AC52" s="1336"/>
      <c r="AD52" s="1336"/>
      <c r="AE52" s="1336"/>
      <c r="AF52" s="241"/>
      <c r="AG52" s="1334"/>
      <c r="AH52" s="1334"/>
      <c r="AI52" s="1334"/>
      <c r="AJ52" s="241"/>
      <c r="AK52" s="154"/>
    </row>
    <row r="53" spans="9:37" ht="15.95" customHeight="1">
      <c r="I53" s="153"/>
      <c r="J53" s="241"/>
      <c r="K53" s="241"/>
      <c r="L53" s="241"/>
      <c r="M53" s="241"/>
      <c r="N53" s="241"/>
      <c r="O53" s="241"/>
      <c r="P53" s="241"/>
      <c r="Q53" s="241"/>
      <c r="R53" s="241"/>
      <c r="S53" s="241"/>
      <c r="T53" s="241"/>
      <c r="U53" s="241"/>
      <c r="V53" s="241"/>
      <c r="X53" s="241"/>
      <c r="Y53" s="241"/>
      <c r="Z53" s="241"/>
      <c r="AA53" s="241"/>
      <c r="AB53" s="241"/>
      <c r="AC53" s="241"/>
      <c r="AD53" s="241"/>
      <c r="AE53" s="241"/>
      <c r="AF53" s="241"/>
      <c r="AG53" s="241"/>
      <c r="AH53" s="241"/>
      <c r="AI53" s="241"/>
      <c r="AJ53" s="241"/>
      <c r="AK53" s="154"/>
    </row>
    <row r="54" spans="9:37" ht="15.95" customHeight="1">
      <c r="I54" s="153"/>
      <c r="J54" s="241"/>
      <c r="K54" s="241"/>
      <c r="L54" s="241"/>
      <c r="M54" s="241"/>
      <c r="N54" s="241"/>
      <c r="O54" s="241"/>
      <c r="P54" s="241"/>
      <c r="Q54" s="241"/>
      <c r="R54" s="241"/>
      <c r="S54" s="241"/>
      <c r="T54" s="241"/>
      <c r="U54" s="241"/>
      <c r="V54" s="241"/>
      <c r="X54" s="241"/>
      <c r="Y54" s="241"/>
      <c r="Z54" s="241"/>
      <c r="AA54" s="241"/>
      <c r="AB54" s="241"/>
      <c r="AC54" s="241"/>
      <c r="AD54" s="241"/>
      <c r="AE54" s="241"/>
      <c r="AF54" s="241"/>
      <c r="AG54" s="241"/>
      <c r="AH54" s="241"/>
      <c r="AI54" s="241"/>
      <c r="AJ54" s="241"/>
      <c r="AK54" s="154"/>
    </row>
    <row r="55" spans="9:37" ht="15.95" customHeight="1">
      <c r="I55" s="153"/>
      <c r="AK55" s="154"/>
    </row>
    <row r="56" spans="9:37" ht="15.95" customHeight="1">
      <c r="I56" s="153"/>
      <c r="J56" s="1329" t="s">
        <v>1249</v>
      </c>
      <c r="K56" s="1296" t="s">
        <v>1248</v>
      </c>
      <c r="L56" s="1296"/>
      <c r="M56" s="1296"/>
      <c r="N56" s="1296"/>
      <c r="O56" s="255"/>
      <c r="P56" s="255"/>
      <c r="Q56" s="255"/>
      <c r="R56" s="255"/>
      <c r="S56" s="255"/>
      <c r="T56" s="255"/>
      <c r="U56" s="255"/>
      <c r="V56" s="255"/>
      <c r="W56" s="255"/>
      <c r="X56" s="255"/>
      <c r="Y56" s="255"/>
      <c r="Z56" s="255"/>
      <c r="AA56" s="255"/>
      <c r="AB56" s="255"/>
      <c r="AC56" s="255"/>
      <c r="AD56" s="255"/>
      <c r="AE56" s="255"/>
      <c r="AF56" s="255"/>
      <c r="AG56" s="255"/>
      <c r="AH56" s="255"/>
      <c r="AI56" s="255"/>
      <c r="AJ56" s="255"/>
      <c r="AK56" s="154"/>
    </row>
    <row r="57" spans="9:37" ht="15.95" customHeight="1">
      <c r="I57" s="153"/>
      <c r="J57" s="1329"/>
      <c r="K57" s="1296"/>
      <c r="L57" s="1296"/>
      <c r="M57" s="1296"/>
      <c r="N57" s="1296"/>
      <c r="O57" s="255"/>
      <c r="P57" s="1330" t="s">
        <v>1568</v>
      </c>
      <c r="Q57" s="1330"/>
      <c r="R57" s="1330"/>
      <c r="S57" s="1330"/>
      <c r="T57" s="1330"/>
      <c r="U57" s="1330"/>
      <c r="V57" s="1330"/>
      <c r="W57" s="1330"/>
      <c r="X57" s="1330"/>
      <c r="Y57" s="1330"/>
      <c r="Z57" s="1330"/>
      <c r="AA57" s="1330"/>
      <c r="AB57" s="1330"/>
      <c r="AC57" s="1330"/>
      <c r="AD57" s="1330"/>
      <c r="AE57" s="1330"/>
      <c r="AF57" s="1330"/>
      <c r="AG57" s="1330"/>
      <c r="AH57" s="1330"/>
      <c r="AI57" s="1330"/>
      <c r="AJ57" s="255"/>
      <c r="AK57" s="154"/>
    </row>
    <row r="58" spans="9:37" ht="15.95" customHeight="1">
      <c r="I58" s="153"/>
      <c r="J58" s="1329"/>
      <c r="K58" s="1296"/>
      <c r="L58" s="1296"/>
      <c r="M58" s="1296"/>
      <c r="N58" s="1296"/>
      <c r="O58" s="248"/>
      <c r="P58" s="1330"/>
      <c r="Q58" s="1330"/>
      <c r="R58" s="1330"/>
      <c r="S58" s="1330"/>
      <c r="T58" s="1330"/>
      <c r="U58" s="1330"/>
      <c r="V58" s="1330"/>
      <c r="W58" s="1330"/>
      <c r="X58" s="1330"/>
      <c r="Y58" s="1330"/>
      <c r="Z58" s="1330"/>
      <c r="AA58" s="1330"/>
      <c r="AB58" s="1330"/>
      <c r="AC58" s="1330"/>
      <c r="AD58" s="1330"/>
      <c r="AE58" s="1330"/>
      <c r="AF58" s="1330"/>
      <c r="AG58" s="1330"/>
      <c r="AH58" s="1330"/>
      <c r="AI58" s="1330"/>
      <c r="AJ58" s="241"/>
      <c r="AK58" s="154"/>
    </row>
    <row r="59" spans="9:37" ht="15.95" customHeight="1">
      <c r="I59" s="153"/>
      <c r="J59" s="1329"/>
      <c r="K59" s="1296"/>
      <c r="L59" s="1296"/>
      <c r="M59" s="1296"/>
      <c r="N59" s="1296"/>
      <c r="O59" s="248"/>
      <c r="P59" s="1330"/>
      <c r="Q59" s="1330"/>
      <c r="R59" s="1330"/>
      <c r="S59" s="1330"/>
      <c r="T59" s="1330"/>
      <c r="U59" s="1330"/>
      <c r="V59" s="1330"/>
      <c r="W59" s="1330"/>
      <c r="X59" s="1330"/>
      <c r="Y59" s="1330"/>
      <c r="Z59" s="1330"/>
      <c r="AA59" s="1330"/>
      <c r="AB59" s="1330"/>
      <c r="AC59" s="1330"/>
      <c r="AD59" s="1330"/>
      <c r="AE59" s="1330"/>
      <c r="AF59" s="1330"/>
      <c r="AG59" s="1330"/>
      <c r="AH59" s="1330"/>
      <c r="AI59" s="1330"/>
      <c r="AJ59" s="241"/>
      <c r="AK59" s="154"/>
    </row>
    <row r="60" spans="9:37" ht="15.95" customHeight="1">
      <c r="I60" s="153"/>
      <c r="J60" s="1329"/>
      <c r="K60" s="1296"/>
      <c r="L60" s="1296"/>
      <c r="M60" s="1296"/>
      <c r="N60" s="1296"/>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154"/>
    </row>
    <row r="61" spans="9:37" ht="15.95" customHeight="1">
      <c r="I61" s="153"/>
      <c r="K61" s="259"/>
      <c r="L61" s="259"/>
      <c r="M61" s="259"/>
      <c r="N61" s="259"/>
      <c r="O61" s="259"/>
      <c r="P61" s="259"/>
      <c r="Q61" s="259"/>
      <c r="R61" s="259"/>
      <c r="S61" s="259"/>
      <c r="T61" s="259"/>
      <c r="U61" s="259"/>
      <c r="V61" s="259"/>
      <c r="W61" s="259"/>
      <c r="X61" s="259"/>
      <c r="Y61" s="259"/>
      <c r="Z61" s="259"/>
      <c r="AA61" s="259"/>
      <c r="AB61" s="259"/>
      <c r="AC61" s="259"/>
      <c r="AD61" s="259"/>
      <c r="AE61" s="259"/>
      <c r="AF61" s="259"/>
      <c r="AG61" s="259"/>
      <c r="AH61" s="259"/>
      <c r="AI61" s="259"/>
      <c r="AJ61" s="259"/>
      <c r="AK61" s="154"/>
    </row>
    <row r="62" spans="9:37" ht="15.95" customHeight="1">
      <c r="I62" s="153"/>
      <c r="J62" s="1278" t="s">
        <v>2371</v>
      </c>
      <c r="K62" s="1279"/>
      <c r="L62" s="1279"/>
      <c r="M62" s="1279"/>
      <c r="N62" s="1279"/>
      <c r="O62" s="1279"/>
      <c r="P62" s="1279"/>
      <c r="Q62" s="1279"/>
      <c r="R62" s="1279"/>
      <c r="S62" s="1279"/>
      <c r="T62" s="1279"/>
      <c r="U62" s="1279"/>
      <c r="V62" s="1279"/>
      <c r="W62" s="1279"/>
      <c r="X62" s="1279"/>
      <c r="Y62" s="1279"/>
      <c r="Z62" s="1279"/>
      <c r="AA62" s="1279"/>
      <c r="AB62" s="1279"/>
      <c r="AC62" s="1279"/>
      <c r="AD62" s="1279"/>
      <c r="AE62" s="1279"/>
      <c r="AF62" s="1279"/>
      <c r="AG62" s="1279"/>
      <c r="AH62" s="1279"/>
      <c r="AI62" s="1279"/>
      <c r="AJ62" s="1279"/>
      <c r="AK62" s="154"/>
    </row>
    <row r="63" spans="9:37" ht="15.95" customHeight="1">
      <c r="I63" s="153"/>
      <c r="J63" s="1279"/>
      <c r="K63" s="1279"/>
      <c r="L63" s="1279"/>
      <c r="M63" s="1279"/>
      <c r="N63" s="1279"/>
      <c r="O63" s="1279"/>
      <c r="P63" s="1279"/>
      <c r="Q63" s="1279"/>
      <c r="R63" s="1279"/>
      <c r="S63" s="1279"/>
      <c r="T63" s="1279"/>
      <c r="U63" s="1279"/>
      <c r="V63" s="1279"/>
      <c r="W63" s="1279"/>
      <c r="X63" s="1279"/>
      <c r="Y63" s="1279"/>
      <c r="Z63" s="1279"/>
      <c r="AA63" s="1279"/>
      <c r="AB63" s="1279"/>
      <c r="AC63" s="1279"/>
      <c r="AD63" s="1279"/>
      <c r="AE63" s="1279"/>
      <c r="AF63" s="1279"/>
      <c r="AG63" s="1279"/>
      <c r="AH63" s="1279"/>
      <c r="AI63" s="1279"/>
      <c r="AJ63" s="1279"/>
      <c r="AK63" s="154"/>
    </row>
    <row r="64" spans="9:37" ht="15.95" customHeight="1">
      <c r="I64" s="153"/>
      <c r="J64" s="1279"/>
      <c r="K64" s="1279"/>
      <c r="L64" s="1279"/>
      <c r="M64" s="1279"/>
      <c r="N64" s="1279"/>
      <c r="O64" s="1279"/>
      <c r="P64" s="1279"/>
      <c r="Q64" s="1279"/>
      <c r="R64" s="1279"/>
      <c r="S64" s="1279"/>
      <c r="T64" s="1279"/>
      <c r="U64" s="1279"/>
      <c r="V64" s="1279"/>
      <c r="W64" s="1279"/>
      <c r="X64" s="1279"/>
      <c r="Y64" s="1279"/>
      <c r="Z64" s="1279"/>
      <c r="AA64" s="1279"/>
      <c r="AB64" s="1279"/>
      <c r="AC64" s="1279"/>
      <c r="AD64" s="1279"/>
      <c r="AE64" s="1279"/>
      <c r="AF64" s="1279"/>
      <c r="AG64" s="1279"/>
      <c r="AH64" s="1279"/>
      <c r="AI64" s="1279"/>
      <c r="AJ64" s="1279"/>
      <c r="AK64" s="154"/>
    </row>
    <row r="65" spans="9:37" ht="15.95" customHeight="1">
      <c r="I65" s="153"/>
      <c r="J65" s="1279"/>
      <c r="K65" s="1279"/>
      <c r="L65" s="1279"/>
      <c r="M65" s="1279"/>
      <c r="N65" s="1279"/>
      <c r="O65" s="1279"/>
      <c r="P65" s="1279"/>
      <c r="Q65" s="1279"/>
      <c r="R65" s="1279"/>
      <c r="S65" s="1279"/>
      <c r="T65" s="1279"/>
      <c r="U65" s="1279"/>
      <c r="V65" s="1279"/>
      <c r="W65" s="1279"/>
      <c r="X65" s="1279"/>
      <c r="Y65" s="1279"/>
      <c r="Z65" s="1279"/>
      <c r="AA65" s="1279"/>
      <c r="AB65" s="1279"/>
      <c r="AC65" s="1279"/>
      <c r="AD65" s="1279"/>
      <c r="AE65" s="1279"/>
      <c r="AF65" s="1279"/>
      <c r="AG65" s="1279"/>
      <c r="AH65" s="1279"/>
      <c r="AI65" s="1279"/>
      <c r="AJ65" s="1279"/>
      <c r="AK65" s="154"/>
    </row>
    <row r="66" spans="9:37" ht="15.95" customHeight="1">
      <c r="I66" s="153"/>
      <c r="J66" s="1279"/>
      <c r="K66" s="1279"/>
      <c r="L66" s="1279"/>
      <c r="M66" s="1279"/>
      <c r="N66" s="1279"/>
      <c r="O66" s="1279"/>
      <c r="P66" s="1279"/>
      <c r="Q66" s="1279"/>
      <c r="R66" s="1279"/>
      <c r="S66" s="1279"/>
      <c r="T66" s="1279"/>
      <c r="U66" s="1279"/>
      <c r="V66" s="1279"/>
      <c r="W66" s="1279"/>
      <c r="X66" s="1279"/>
      <c r="Y66" s="1279"/>
      <c r="Z66" s="1279"/>
      <c r="AA66" s="1279"/>
      <c r="AB66" s="1279"/>
      <c r="AC66" s="1279"/>
      <c r="AD66" s="1279"/>
      <c r="AE66" s="1279"/>
      <c r="AF66" s="1279"/>
      <c r="AG66" s="1279"/>
      <c r="AH66" s="1279"/>
      <c r="AI66" s="1279"/>
      <c r="AJ66" s="1279"/>
      <c r="AK66" s="154"/>
    </row>
    <row r="67" spans="9:37" ht="15.95" customHeight="1">
      <c r="I67" s="153"/>
      <c r="J67" s="1279"/>
      <c r="K67" s="1279"/>
      <c r="L67" s="1279"/>
      <c r="M67" s="1279"/>
      <c r="N67" s="1279"/>
      <c r="O67" s="1279"/>
      <c r="P67" s="1279"/>
      <c r="Q67" s="1279"/>
      <c r="R67" s="1279"/>
      <c r="S67" s="1279"/>
      <c r="T67" s="1279"/>
      <c r="U67" s="1279"/>
      <c r="V67" s="1279"/>
      <c r="W67" s="1279"/>
      <c r="X67" s="1279"/>
      <c r="Y67" s="1279"/>
      <c r="Z67" s="1279"/>
      <c r="AA67" s="1279"/>
      <c r="AB67" s="1279"/>
      <c r="AC67" s="1279"/>
      <c r="AD67" s="1279"/>
      <c r="AE67" s="1279"/>
      <c r="AF67" s="1279"/>
      <c r="AG67" s="1279"/>
      <c r="AH67" s="1279"/>
      <c r="AI67" s="1279"/>
      <c r="AJ67" s="1279"/>
      <c r="AK67" s="154"/>
    </row>
    <row r="68" spans="9:37" ht="15.95" customHeight="1">
      <c r="I68" s="153"/>
      <c r="J68" s="1279"/>
      <c r="K68" s="1279"/>
      <c r="L68" s="1279"/>
      <c r="M68" s="1279"/>
      <c r="N68" s="1279"/>
      <c r="O68" s="1279"/>
      <c r="P68" s="1279"/>
      <c r="Q68" s="1279"/>
      <c r="R68" s="1279"/>
      <c r="S68" s="1279"/>
      <c r="T68" s="1279"/>
      <c r="U68" s="1279"/>
      <c r="V68" s="1279"/>
      <c r="W68" s="1279"/>
      <c r="X68" s="1279"/>
      <c r="Y68" s="1279"/>
      <c r="Z68" s="1279"/>
      <c r="AA68" s="1279"/>
      <c r="AB68" s="1279"/>
      <c r="AC68" s="1279"/>
      <c r="AD68" s="1279"/>
      <c r="AE68" s="1279"/>
      <c r="AF68" s="1279"/>
      <c r="AG68" s="1279"/>
      <c r="AH68" s="1279"/>
      <c r="AI68" s="1279"/>
      <c r="AJ68" s="1279"/>
      <c r="AK68" s="154"/>
    </row>
    <row r="69" spans="9:37" ht="15.95" customHeight="1">
      <c r="I69" s="153"/>
      <c r="J69" s="1279"/>
      <c r="K69" s="1279"/>
      <c r="L69" s="1279"/>
      <c r="M69" s="1279"/>
      <c r="N69" s="1279"/>
      <c r="O69" s="1279"/>
      <c r="P69" s="1279"/>
      <c r="Q69" s="1279"/>
      <c r="R69" s="1279"/>
      <c r="S69" s="1279"/>
      <c r="T69" s="1279"/>
      <c r="U69" s="1279"/>
      <c r="V69" s="1279"/>
      <c r="W69" s="1279"/>
      <c r="X69" s="1279"/>
      <c r="Y69" s="1279"/>
      <c r="Z69" s="1279"/>
      <c r="AA69" s="1279"/>
      <c r="AB69" s="1279"/>
      <c r="AC69" s="1279"/>
      <c r="AD69" s="1279"/>
      <c r="AE69" s="1279"/>
      <c r="AF69" s="1279"/>
      <c r="AG69" s="1279"/>
      <c r="AH69" s="1279"/>
      <c r="AI69" s="1279"/>
      <c r="AJ69" s="1279"/>
      <c r="AK69" s="154"/>
    </row>
    <row r="70" spans="9:37" ht="18.75" customHeight="1">
      <c r="I70" s="153"/>
      <c r="J70" s="1279"/>
      <c r="K70" s="1279"/>
      <c r="L70" s="1279"/>
      <c r="M70" s="1279"/>
      <c r="N70" s="1279"/>
      <c r="O70" s="1279"/>
      <c r="P70" s="1279"/>
      <c r="Q70" s="1279"/>
      <c r="R70" s="1279"/>
      <c r="S70" s="1279"/>
      <c r="T70" s="1279"/>
      <c r="U70" s="1279"/>
      <c r="V70" s="1279"/>
      <c r="W70" s="1279"/>
      <c r="X70" s="1279"/>
      <c r="Y70" s="1279"/>
      <c r="Z70" s="1279"/>
      <c r="AA70" s="1279"/>
      <c r="AB70" s="1279"/>
      <c r="AC70" s="1279"/>
      <c r="AD70" s="1279"/>
      <c r="AE70" s="1279"/>
      <c r="AF70" s="1279"/>
      <c r="AG70" s="1279"/>
      <c r="AH70" s="1279"/>
      <c r="AI70" s="1279"/>
      <c r="AJ70" s="1279"/>
      <c r="AK70" s="154"/>
    </row>
    <row r="71" spans="9:37" ht="15.95" customHeight="1">
      <c r="I71" s="153"/>
      <c r="J71" s="1279"/>
      <c r="K71" s="1279"/>
      <c r="L71" s="1279"/>
      <c r="M71" s="1279"/>
      <c r="N71" s="1279"/>
      <c r="O71" s="1279"/>
      <c r="P71" s="1279"/>
      <c r="Q71" s="1279"/>
      <c r="R71" s="1279"/>
      <c r="S71" s="1279"/>
      <c r="T71" s="1279"/>
      <c r="U71" s="1279"/>
      <c r="V71" s="1279"/>
      <c r="W71" s="1279"/>
      <c r="X71" s="1279"/>
      <c r="Y71" s="1279"/>
      <c r="Z71" s="1279"/>
      <c r="AA71" s="1279"/>
      <c r="AB71" s="1279"/>
      <c r="AC71" s="1279"/>
      <c r="AD71" s="1279"/>
      <c r="AE71" s="1279"/>
      <c r="AF71" s="1279"/>
      <c r="AG71" s="1279"/>
      <c r="AH71" s="1279"/>
      <c r="AI71" s="1279"/>
      <c r="AJ71" s="1279"/>
      <c r="AK71" s="154"/>
    </row>
    <row r="72" spans="9:37" ht="15.95" customHeight="1">
      <c r="I72" s="153"/>
      <c r="J72" s="1280" t="s">
        <v>1567</v>
      </c>
      <c r="K72" s="1280"/>
      <c r="L72" s="1280"/>
      <c r="M72" s="1280"/>
      <c r="N72" s="1280"/>
      <c r="O72" s="1280"/>
      <c r="P72" s="1280"/>
      <c r="Q72" s="1280"/>
      <c r="R72" s="1280"/>
      <c r="S72" s="1280"/>
      <c r="T72" s="1280"/>
      <c r="U72" s="1280"/>
      <c r="V72" s="1280"/>
      <c r="W72" s="1280"/>
      <c r="X72" s="1280"/>
      <c r="Y72" s="1280"/>
      <c r="Z72" s="1280"/>
      <c r="AA72" s="1280"/>
      <c r="AB72" s="1280"/>
      <c r="AC72" s="1280"/>
      <c r="AD72" s="1280"/>
      <c r="AE72" s="1280"/>
      <c r="AF72" s="1280"/>
      <c r="AG72" s="1280"/>
      <c r="AH72" s="1280"/>
      <c r="AI72" s="1280"/>
      <c r="AJ72" s="1280"/>
      <c r="AK72" s="154"/>
    </row>
    <row r="73" spans="9:37" ht="15.95" customHeight="1">
      <c r="I73" s="153"/>
      <c r="J73" s="1280"/>
      <c r="K73" s="1280"/>
      <c r="L73" s="1280"/>
      <c r="M73" s="1280"/>
      <c r="N73" s="1280"/>
      <c r="O73" s="1280"/>
      <c r="P73" s="1280"/>
      <c r="Q73" s="1280"/>
      <c r="R73" s="1280"/>
      <c r="S73" s="1280"/>
      <c r="T73" s="1280"/>
      <c r="U73" s="1280"/>
      <c r="V73" s="1280"/>
      <c r="W73" s="1280"/>
      <c r="X73" s="1280"/>
      <c r="Y73" s="1280"/>
      <c r="Z73" s="1280"/>
      <c r="AA73" s="1280"/>
      <c r="AB73" s="1280"/>
      <c r="AC73" s="1280"/>
      <c r="AD73" s="1280"/>
      <c r="AE73" s="1280"/>
      <c r="AF73" s="1280"/>
      <c r="AG73" s="1280"/>
      <c r="AH73" s="1280"/>
      <c r="AI73" s="1280"/>
      <c r="AJ73" s="1280"/>
      <c r="AK73" s="154"/>
    </row>
    <row r="74" spans="9:37" ht="15.95" customHeight="1">
      <c r="I74" s="155"/>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7"/>
    </row>
    <row r="75" spans="9:37" ht="15.95" customHeight="1">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row>
    <row r="76" spans="9:37" ht="15.95" hidden="1" customHeight="1">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row>
    <row r="77" spans="9:37" ht="15.95" hidden="1" customHeight="1"/>
    <row r="78" spans="9:37" ht="15.95" hidden="1" customHeight="1"/>
    <row r="79" spans="9:37" ht="15.95" hidden="1" customHeight="1"/>
    <row r="80" spans="9:37"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56" t="str">
        <f>FOOT4</f>
        <v>NIPSCO’s energy efficiency programs are administered by TRC, a third‐party implementation specialist that helps homes and businesses save energy.</v>
      </c>
      <c r="N200" s="656"/>
      <c r="O200" s="656"/>
      <c r="P200" s="656"/>
      <c r="Q200" s="656"/>
      <c r="R200" s="656"/>
      <c r="S200" s="656"/>
      <c r="T200" s="656"/>
      <c r="U200" s="656"/>
      <c r="V200" s="656"/>
      <c r="W200" s="656"/>
      <c r="X200" s="656"/>
      <c r="Y200" s="656"/>
      <c r="Z200" s="656"/>
      <c r="AA200" s="656"/>
      <c r="AB200" s="656"/>
      <c r="AC200" s="656"/>
      <c r="AD200" s="656"/>
      <c r="AE200" s="656"/>
      <c r="AF200" s="656"/>
      <c r="AG200" s="656"/>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272"/>
      <c r="AI201" s="272"/>
      <c r="AJ201" s="272"/>
      <c r="AK201" s="272"/>
      <c r="AL201" s="272"/>
      <c r="AM201" s="272"/>
      <c r="AN201" s="272"/>
      <c r="AO201" s="272"/>
      <c r="AP201" s="272"/>
      <c r="AQ201" s="272"/>
      <c r="AR201" s="273" t="str">
        <f>FOOT5</f>
        <v/>
      </c>
    </row>
    <row r="202" spans="2:44" ht="15.95" customHeight="1">
      <c r="B202" s="281" t="str">
        <f>FOOT3</f>
        <v>NIPSCO.Savings@TRCcompanies.com</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v3.7.0</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44" ht="15" hidden="1" customHeight="1">
      <c r="B203" s="304"/>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c r="AJ203" s="305"/>
      <c r="AK203" s="305"/>
      <c r="AL203" s="305"/>
      <c r="AM203" s="305"/>
      <c r="AN203" s="305"/>
      <c r="AO203" s="305"/>
      <c r="AP203" s="305"/>
      <c r="AQ203" s="305"/>
      <c r="AR203" s="305"/>
    </row>
  </sheetData>
  <sheetProtection algorithmName="SHA-512" hashValue="CANZ/kE6B4jtRAAey9/5zGAPBqxxkaxLTMmDpkbu+F717/6Mwqf84apoAzG3U2afZdrE2db+3Bz3Jbn4h/QYLw==" saltValue="TPzxFzkAGfj9CPJ2ssRO4A==" spinCount="100000" sheet="1" objects="1" scenarios="1" selectLockedCells="1"/>
  <mergeCells count="71">
    <mergeCell ref="J39:N43"/>
    <mergeCell ref="O42:V42"/>
    <mergeCell ref="O43:S43"/>
    <mergeCell ref="J56:J60"/>
    <mergeCell ref="K56:N60"/>
    <mergeCell ref="P57:AI59"/>
    <mergeCell ref="Y45:AI46"/>
    <mergeCell ref="X47:AJ49"/>
    <mergeCell ref="K51:O52"/>
    <mergeCell ref="Q51:U52"/>
    <mergeCell ref="J47:V50"/>
    <mergeCell ref="K45:U46"/>
    <mergeCell ref="Y51:AE52"/>
    <mergeCell ref="AG51:AI52"/>
    <mergeCell ref="T37:W37"/>
    <mergeCell ref="X37:AA37"/>
    <mergeCell ref="AB37:AE37"/>
    <mergeCell ref="X42:AE42"/>
    <mergeCell ref="AG42:AI42"/>
    <mergeCell ref="AD27:AI27"/>
    <mergeCell ref="AF37:AI37"/>
    <mergeCell ref="P26:U26"/>
    <mergeCell ref="J34:N37"/>
    <mergeCell ref="T34:W34"/>
    <mergeCell ref="X34:AA34"/>
    <mergeCell ref="AB34:AE34"/>
    <mergeCell ref="AF34:AI34"/>
    <mergeCell ref="T35:W35"/>
    <mergeCell ref="X35:AA35"/>
    <mergeCell ref="AB35:AE35"/>
    <mergeCell ref="AF35:AI35"/>
    <mergeCell ref="T36:W36"/>
    <mergeCell ref="X36:AA36"/>
    <mergeCell ref="AB36:AE36"/>
    <mergeCell ref="AF36:AI36"/>
    <mergeCell ref="N15:AC17"/>
    <mergeCell ref="J29:N32"/>
    <mergeCell ref="P29:U29"/>
    <mergeCell ref="W29:AB29"/>
    <mergeCell ref="P30:U30"/>
    <mergeCell ref="W30:AB30"/>
    <mergeCell ref="P31:U31"/>
    <mergeCell ref="W31:AB31"/>
    <mergeCell ref="P32:U32"/>
    <mergeCell ref="W32:AB32"/>
    <mergeCell ref="P27:U27"/>
    <mergeCell ref="W27:AB27"/>
    <mergeCell ref="F11:AN11"/>
    <mergeCell ref="AQ1:AR1"/>
    <mergeCell ref="AQ2:AR3"/>
    <mergeCell ref="AH1:AK1"/>
    <mergeCell ref="AL1:AP1"/>
    <mergeCell ref="AH2:AK3"/>
    <mergeCell ref="AL2:AP3"/>
    <mergeCell ref="F10:AN10"/>
    <mergeCell ref="J62:AJ71"/>
    <mergeCell ref="M200:AG201"/>
    <mergeCell ref="J72:AJ73"/>
    <mergeCell ref="AC18:AJ20"/>
    <mergeCell ref="J21:W22"/>
    <mergeCell ref="X21:AJ22"/>
    <mergeCell ref="W26:AB26"/>
    <mergeCell ref="AD26:AI26"/>
    <mergeCell ref="J24:N27"/>
    <mergeCell ref="P24:U24"/>
    <mergeCell ref="W24:AB24"/>
    <mergeCell ref="AD24:AI24"/>
    <mergeCell ref="P25:U25"/>
    <mergeCell ref="W25:AB25"/>
    <mergeCell ref="AD25:AI25"/>
    <mergeCell ref="J18:M20"/>
  </mergeCells>
  <conditionalFormatting sqref="K51">
    <cfRule type="expression" dxfId="50" priority="14">
      <formula>K51&lt;&gt;"project start date"</formula>
    </cfRule>
  </conditionalFormatting>
  <conditionalFormatting sqref="O42 AG42">
    <cfRule type="containsBlanks" dxfId="49" priority="67">
      <formula>LEN(TRIM(O42))=0</formula>
    </cfRule>
  </conditionalFormatting>
  <conditionalFormatting sqref="Q51 K51">
    <cfRule type="containsBlanks" dxfId="48" priority="13">
      <formula>LEN(TRIM(K51))=0</formula>
    </cfRule>
  </conditionalFormatting>
  <conditionalFormatting sqref="Q51">
    <cfRule type="expression" dxfId="47" priority="11">
      <formula>Q51&lt;&gt;"Estimated Completion Date"</formula>
    </cfRule>
  </conditionalFormatting>
  <conditionalFormatting sqref="Y51">
    <cfRule type="containsBlanks" dxfId="46" priority="7">
      <formula>LEN(TRIM(Y51))=0</formula>
    </cfRule>
    <cfRule type="expression" dxfId="45" priority="8">
      <formula>Y51&lt;&gt;"Customer Signature"</formula>
    </cfRule>
  </conditionalFormatting>
  <conditionalFormatting sqref="AG51">
    <cfRule type="containsBlanks" dxfId="44" priority="5">
      <formula>LEN(TRIM(AG51))=0</formula>
    </cfRule>
    <cfRule type="expression" dxfId="43" priority="6">
      <formula>AG51&lt;&gt;"Date"</formula>
    </cfRule>
  </conditionalFormatting>
  <conditionalFormatting sqref="AH2 AL2">
    <cfRule type="expression" dxfId="42" priority="15">
      <formula>PROJSTATUS=PROJSTATELI</formula>
    </cfRule>
    <cfRule type="expression" dxfId="41" priority="16">
      <formula>PROJSTATUS=PROJSTATREVIEW</formula>
    </cfRule>
    <cfRule type="expression" dxfId="40" priority="20">
      <formula>PROJSTATUS=PROJSTATPREAPPROVE</formula>
    </cfRule>
    <cfRule type="expression" dxfId="39" priority="21">
      <formula>PROJSTATUS=PROJSTATSTANDARD</formula>
    </cfRule>
    <cfRule type="expression" dxfId="38" priority="22">
      <formula>PROJSTATUS=PROJSTATEXP</formula>
    </cfRule>
  </conditionalFormatting>
  <conditionalFormatting sqref="AQ2:AR3">
    <cfRule type="cellIs" dxfId="37" priority="17" operator="equal">
      <formula>1</formula>
    </cfRule>
    <cfRule type="cellIs" dxfId="36" priority="18" operator="between">
      <formula>0.51</formula>
      <formula>0.99</formula>
    </cfRule>
    <cfRule type="cellIs" dxfId="35" priority="19" operator="lessThanOrEqual">
      <formula>0.5</formula>
    </cfRule>
  </conditionalFormatting>
  <hyperlinks>
    <hyperlink ref="B202" r:id="rId1" display="NIPSCO.Savings@TRCcompanies.com" xr:uid="{307AEC28-C16A-4B63-AA5C-34531767AB38}"/>
  </hyperlinks>
  <printOptions horizontalCentered="1" verticalCentered="1"/>
  <pageMargins left="0.3" right="0.3" top="0.3" bottom="0.3" header="0.25" footer="0.25"/>
  <pageSetup scale="78" orientation="portrait" r:id="rId2"/>
  <ignoredErrors>
    <ignoredError sqref="J56" numberStoredAsText="1"/>
  </ignoredErrors>
  <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4">
    <pageSetUpPr fitToPage="1"/>
  </sheetPr>
  <dimension ref="A1:CI208"/>
  <sheetViews>
    <sheetView showGridLines="0" showRowColHeaders="0" showZeros="0" zoomScale="85" zoomScaleNormal="85" workbookViewId="0">
      <selection activeCell="K58" sqref="K58:Q58"/>
    </sheetView>
  </sheetViews>
  <sheetFormatPr defaultColWidth="0" defaultRowHeight="15" customHeight="1" zeroHeight="1"/>
  <cols>
    <col min="1" max="45" width="4.7109375" customWidth="1"/>
    <col min="46" max="78" width="9.140625" hidden="1" customWidth="1"/>
    <col min="79" max="87" width="0" hidden="1" customWidth="1"/>
    <col min="88" max="16384" width="9.140625" hidden="1"/>
  </cols>
  <sheetData>
    <row r="1" spans="6:44" ht="15.95" customHeight="1">
      <c r="AH1" s="681" t="s">
        <v>471</v>
      </c>
      <c r="AI1" s="681"/>
      <c r="AJ1" s="681"/>
      <c r="AK1" s="681"/>
      <c r="AL1" s="682" t="s">
        <v>736</v>
      </c>
      <c r="AM1" s="682"/>
      <c r="AN1" s="682"/>
      <c r="AO1" s="682"/>
      <c r="AP1" s="682"/>
      <c r="AQ1" s="678" t="s">
        <v>474</v>
      </c>
      <c r="AR1" s="678"/>
    </row>
    <row r="2" spans="6:44" ht="15.95" customHeight="1">
      <c r="AH2" s="683" t="str">
        <f ca="1">INCENSTATUS</f>
        <v>---</v>
      </c>
      <c r="AI2" s="684"/>
      <c r="AJ2" s="684"/>
      <c r="AK2" s="684"/>
      <c r="AL2" s="685" t="str">
        <f ca="1">PROJSTATUS</f>
        <v>Enter Measures</v>
      </c>
      <c r="AM2" s="685"/>
      <c r="AN2" s="685"/>
      <c r="AO2" s="685"/>
      <c r="AP2" s="685"/>
      <c r="AQ2" s="1291">
        <f ca="1">PROGRESSSTATUS</f>
        <v>2.8985507246376812E-2</v>
      </c>
      <c r="AR2" s="1292"/>
    </row>
    <row r="3" spans="6:44" ht="15.95" customHeight="1">
      <c r="AH3" s="675"/>
      <c r="AI3" s="676"/>
      <c r="AJ3" s="676"/>
      <c r="AK3" s="676"/>
      <c r="AL3" s="668"/>
      <c r="AM3" s="668"/>
      <c r="AN3" s="668"/>
      <c r="AO3" s="668"/>
      <c r="AP3" s="668"/>
      <c r="AQ3" s="1293"/>
      <c r="AR3" s="1294"/>
    </row>
    <row r="4" spans="6:44" ht="15.95" customHeight="1">
      <c r="AR4" s="171"/>
    </row>
    <row r="5" spans="6:44" ht="15.95" customHeight="1"/>
    <row r="6" spans="6:44" ht="15.95" customHeight="1"/>
    <row r="7" spans="6:44" ht="15.95" customHeight="1"/>
    <row r="8" spans="6:44" ht="15.95" customHeight="1"/>
    <row r="9" spans="6:44" ht="15.95" customHeight="1"/>
    <row r="10" spans="6:44" ht="15.95" customHeight="1">
      <c r="F10" s="686" t="s">
        <v>122</v>
      </c>
      <c r="G10" s="686"/>
      <c r="H10" s="686"/>
      <c r="I10" s="686"/>
      <c r="J10" s="686"/>
      <c r="K10" s="686"/>
      <c r="L10" s="686"/>
      <c r="M10" s="686"/>
      <c r="N10" s="686"/>
      <c r="O10" s="686"/>
      <c r="P10" s="686"/>
      <c r="Q10" s="686"/>
      <c r="R10" s="686"/>
      <c r="S10" s="686"/>
      <c r="T10" s="686"/>
      <c r="U10" s="686"/>
      <c r="V10" s="686"/>
      <c r="W10" s="686"/>
      <c r="X10" s="686"/>
      <c r="Y10" s="686"/>
      <c r="Z10" s="686"/>
      <c r="AA10" s="686"/>
      <c r="AB10" s="686"/>
      <c r="AC10" s="686"/>
      <c r="AD10" s="686"/>
      <c r="AE10" s="686"/>
      <c r="AF10" s="686"/>
      <c r="AG10" s="686"/>
      <c r="AH10" s="686"/>
      <c r="AI10" s="686"/>
      <c r="AJ10" s="686"/>
      <c r="AK10" s="686"/>
      <c r="AL10" s="686"/>
      <c r="AM10" s="686"/>
      <c r="AN10" s="686"/>
    </row>
    <row r="11" spans="6:44" ht="15.95" customHeight="1">
      <c r="F11" s="167"/>
      <c r="G11" s="167"/>
      <c r="H11" s="754" t="s">
        <v>1049</v>
      </c>
      <c r="I11" s="754"/>
      <c r="J11" s="754"/>
      <c r="K11" s="754"/>
      <c r="L11" s="754"/>
      <c r="M11" s="754"/>
      <c r="N11" s="754"/>
      <c r="O11" s="754"/>
      <c r="P11" s="754"/>
      <c r="Q11" s="754"/>
      <c r="R11" s="754"/>
      <c r="S11" s="754"/>
      <c r="T11" s="754"/>
      <c r="U11" s="754"/>
      <c r="V11" s="754"/>
      <c r="W11" s="754"/>
      <c r="X11" s="754"/>
      <c r="Y11" s="754"/>
      <c r="Z11" s="754"/>
      <c r="AA11" s="754"/>
      <c r="AB11" s="754"/>
      <c r="AC11" s="754"/>
      <c r="AD11" s="754"/>
      <c r="AE11" s="754"/>
      <c r="AF11" s="754"/>
      <c r="AG11" s="754"/>
      <c r="AH11" s="754"/>
      <c r="AI11" s="754"/>
      <c r="AJ11" s="754"/>
      <c r="AK11" s="754"/>
      <c r="AL11" s="754"/>
      <c r="AM11" s="167"/>
      <c r="AN11" s="167"/>
    </row>
    <row r="12" spans="6:44" ht="15.95" customHeight="1">
      <c r="F12" s="167"/>
      <c r="G12" s="167"/>
      <c r="H12" s="754"/>
      <c r="I12" s="754"/>
      <c r="J12" s="754"/>
      <c r="K12" s="754"/>
      <c r="L12" s="754"/>
      <c r="M12" s="754"/>
      <c r="N12" s="754"/>
      <c r="O12" s="754"/>
      <c r="P12" s="754"/>
      <c r="Q12" s="754"/>
      <c r="R12" s="754"/>
      <c r="S12" s="754"/>
      <c r="T12" s="754"/>
      <c r="U12" s="754"/>
      <c r="V12" s="754"/>
      <c r="W12" s="754"/>
      <c r="X12" s="754"/>
      <c r="Y12" s="754"/>
      <c r="Z12" s="754"/>
      <c r="AA12" s="754"/>
      <c r="AB12" s="754"/>
      <c r="AC12" s="754"/>
      <c r="AD12" s="754"/>
      <c r="AE12" s="754"/>
      <c r="AF12" s="754"/>
      <c r="AG12" s="754"/>
      <c r="AH12" s="754"/>
      <c r="AI12" s="754"/>
      <c r="AJ12" s="754"/>
      <c r="AK12" s="754"/>
      <c r="AL12" s="754"/>
      <c r="AM12" s="167"/>
      <c r="AN12" s="167"/>
    </row>
    <row r="13" spans="6:44" ht="15.95" customHeight="1">
      <c r="F13" s="151"/>
      <c r="G13" s="151"/>
      <c r="H13" s="151"/>
      <c r="I13" s="151"/>
      <c r="J13" s="151"/>
      <c r="K13" s="151"/>
      <c r="L13" s="151"/>
      <c r="M13" s="151"/>
      <c r="N13" s="151"/>
      <c r="O13" s="151"/>
      <c r="P13" s="151"/>
      <c r="Q13" s="151"/>
      <c r="R13" s="151"/>
      <c r="S13" s="151"/>
      <c r="T13" s="151"/>
      <c r="U13" s="151"/>
      <c r="V13" s="151"/>
      <c r="W13" s="151"/>
      <c r="X13" s="151"/>
      <c r="Y13" s="151"/>
      <c r="Z13" s="151"/>
      <c r="AA13" s="151"/>
      <c r="AB13" s="151"/>
      <c r="AC13" s="151"/>
      <c r="AD13" s="151"/>
      <c r="AE13" s="151"/>
      <c r="AF13" s="151"/>
      <c r="AG13" s="151"/>
      <c r="AH13" s="151"/>
      <c r="AI13" s="151"/>
      <c r="AJ13" s="151"/>
      <c r="AK13" s="151"/>
      <c r="AL13" s="151"/>
      <c r="AM13" s="151"/>
      <c r="AN13" s="151"/>
    </row>
    <row r="14" spans="6:44" ht="15.95" customHeight="1">
      <c r="F14" s="59"/>
      <c r="G14" s="59"/>
      <c r="H14" s="59"/>
      <c r="I14" s="101"/>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3"/>
      <c r="AL14" s="59"/>
      <c r="AM14" s="59"/>
      <c r="AN14" s="59"/>
    </row>
    <row r="15" spans="6:44" ht="15.95" customHeight="1">
      <c r="I15" s="104"/>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c r="AJ15" s="307"/>
      <c r="AK15" s="105"/>
    </row>
    <row r="16" spans="6:44" ht="15.95" customHeight="1">
      <c r="I16" s="104"/>
      <c r="J16" s="307"/>
      <c r="K16" s="307"/>
      <c r="L16" s="307"/>
      <c r="M16" s="307"/>
      <c r="N16" s="1343" t="s">
        <v>2133</v>
      </c>
      <c r="O16" s="1295"/>
      <c r="P16" s="1295"/>
      <c r="Q16" s="1295"/>
      <c r="R16" s="1295"/>
      <c r="S16" s="1295"/>
      <c r="T16" s="1295"/>
      <c r="U16" s="1295"/>
      <c r="V16" s="1295"/>
      <c r="W16" s="1295"/>
      <c r="X16" s="1295"/>
      <c r="Y16" s="1295"/>
      <c r="Z16" s="1295"/>
      <c r="AA16" s="1295"/>
      <c r="AB16" s="1295"/>
      <c r="AC16" s="1295"/>
      <c r="AD16" s="307"/>
      <c r="AE16" s="307"/>
      <c r="AF16" s="307"/>
      <c r="AG16" s="307"/>
      <c r="AH16" s="307"/>
      <c r="AI16" s="307"/>
      <c r="AJ16" s="307"/>
      <c r="AK16" s="105"/>
    </row>
    <row r="17" spans="9:37" ht="15.95" customHeight="1">
      <c r="I17" s="104"/>
      <c r="J17" s="307"/>
      <c r="K17" s="307"/>
      <c r="L17" s="307"/>
      <c r="M17" s="307"/>
      <c r="N17" s="1295"/>
      <c r="O17" s="1295"/>
      <c r="P17" s="1295"/>
      <c r="Q17" s="1295"/>
      <c r="R17" s="1295"/>
      <c r="S17" s="1295"/>
      <c r="T17" s="1295"/>
      <c r="U17" s="1295"/>
      <c r="V17" s="1295"/>
      <c r="W17" s="1295"/>
      <c r="X17" s="1295"/>
      <c r="Y17" s="1295"/>
      <c r="Z17" s="1295"/>
      <c r="AA17" s="1295"/>
      <c r="AB17" s="1295"/>
      <c r="AC17" s="1295"/>
      <c r="AD17" s="307"/>
      <c r="AE17" s="307"/>
      <c r="AF17" s="307"/>
      <c r="AG17" s="307"/>
      <c r="AH17" s="307"/>
      <c r="AI17" s="307"/>
      <c r="AJ17" s="307"/>
      <c r="AK17" s="105"/>
    </row>
    <row r="18" spans="9:37" ht="15.95" customHeight="1">
      <c r="I18" s="104"/>
      <c r="J18" s="307"/>
      <c r="K18" s="307"/>
      <c r="L18" s="307"/>
      <c r="M18" s="307"/>
      <c r="N18" s="1295"/>
      <c r="O18" s="1295"/>
      <c r="P18" s="1295"/>
      <c r="Q18" s="1295"/>
      <c r="R18" s="1295"/>
      <c r="S18" s="1295"/>
      <c r="T18" s="1295"/>
      <c r="U18" s="1295"/>
      <c r="V18" s="1295"/>
      <c r="W18" s="1295"/>
      <c r="X18" s="1295"/>
      <c r="Y18" s="1295"/>
      <c r="Z18" s="1295"/>
      <c r="AA18" s="1295"/>
      <c r="AB18" s="1295"/>
      <c r="AC18" s="1295"/>
      <c r="AD18" s="307"/>
      <c r="AE18" s="307"/>
      <c r="AF18" s="307"/>
      <c r="AG18" s="307"/>
      <c r="AH18" s="307"/>
      <c r="AI18" s="307"/>
      <c r="AJ18" s="307"/>
      <c r="AK18" s="105"/>
    </row>
    <row r="19" spans="9:37" ht="15.95" customHeight="1">
      <c r="I19" s="104"/>
      <c r="J19" s="1289" t="s">
        <v>122</v>
      </c>
      <c r="K19" s="1289"/>
      <c r="L19" s="1289"/>
      <c r="M19" s="1289"/>
      <c r="N19" s="1289"/>
      <c r="O19" s="1289"/>
      <c r="P19" s="1289"/>
      <c r="Q19" s="1289"/>
      <c r="R19" s="1289"/>
      <c r="S19" s="1289"/>
      <c r="T19" s="1289"/>
      <c r="U19" s="1289"/>
      <c r="V19" s="1289"/>
      <c r="W19" s="1289"/>
      <c r="X19" s="308"/>
      <c r="Y19" s="308"/>
      <c r="Z19" s="308"/>
      <c r="AA19" s="308"/>
      <c r="AB19" s="308"/>
      <c r="AC19" s="1281" t="str">
        <f>CONCATENATE("Project # ",PROJID)</f>
        <v xml:space="preserve">Project # </v>
      </c>
      <c r="AD19" s="1281"/>
      <c r="AE19" s="1281"/>
      <c r="AF19" s="1281"/>
      <c r="AG19" s="1281"/>
      <c r="AH19" s="1281"/>
      <c r="AI19" s="1281"/>
      <c r="AJ19" s="1281"/>
      <c r="AK19" s="105"/>
    </row>
    <row r="20" spans="9:37" ht="15.95" customHeight="1">
      <c r="I20" s="104"/>
      <c r="J20" s="1289"/>
      <c r="K20" s="1289"/>
      <c r="L20" s="1289"/>
      <c r="M20" s="1289"/>
      <c r="N20" s="1289"/>
      <c r="O20" s="1289"/>
      <c r="P20" s="1289"/>
      <c r="Q20" s="1289"/>
      <c r="R20" s="1289"/>
      <c r="S20" s="1289"/>
      <c r="T20" s="1289"/>
      <c r="U20" s="1289"/>
      <c r="V20" s="1289"/>
      <c r="W20" s="1289"/>
      <c r="X20" s="308"/>
      <c r="Y20" s="308"/>
      <c r="Z20" s="308"/>
      <c r="AA20" s="308"/>
      <c r="AB20" s="308"/>
      <c r="AC20" s="1281"/>
      <c r="AD20" s="1281"/>
      <c r="AE20" s="1281"/>
      <c r="AF20" s="1281"/>
      <c r="AG20" s="1281"/>
      <c r="AH20" s="1281"/>
      <c r="AI20" s="1281"/>
      <c r="AJ20" s="1281"/>
      <c r="AK20" s="105"/>
    </row>
    <row r="21" spans="9:37" ht="15.95" customHeight="1">
      <c r="I21" s="104"/>
      <c r="J21" s="1289"/>
      <c r="K21" s="1289"/>
      <c r="L21" s="1289"/>
      <c r="M21" s="1289"/>
      <c r="N21" s="1289"/>
      <c r="O21" s="1289"/>
      <c r="P21" s="1289"/>
      <c r="Q21" s="1289"/>
      <c r="R21" s="1289"/>
      <c r="S21" s="1289"/>
      <c r="T21" s="1289"/>
      <c r="U21" s="1289"/>
      <c r="V21" s="1289"/>
      <c r="W21" s="1289"/>
      <c r="X21" s="308"/>
      <c r="Y21" s="308"/>
      <c r="Z21" s="308"/>
      <c r="AA21" s="308"/>
      <c r="AB21" s="308"/>
      <c r="AC21" s="1281"/>
      <c r="AD21" s="1281"/>
      <c r="AE21" s="1281"/>
      <c r="AF21" s="1281"/>
      <c r="AG21" s="1281"/>
      <c r="AH21" s="1281"/>
      <c r="AI21" s="1281"/>
      <c r="AJ21" s="1281"/>
      <c r="AK21" s="105"/>
    </row>
    <row r="22" spans="9:37" ht="15.95" customHeight="1">
      <c r="I22" s="104"/>
      <c r="J22" s="1282">
        <f>M02S02F01</f>
        <v>0</v>
      </c>
      <c r="K22" s="1282"/>
      <c r="L22" s="1282"/>
      <c r="M22" s="1282"/>
      <c r="N22" s="1282"/>
      <c r="O22" s="1282"/>
      <c r="P22" s="1282"/>
      <c r="Q22" s="1282"/>
      <c r="R22" s="1282"/>
      <c r="S22" s="1282"/>
      <c r="T22" s="1282"/>
      <c r="U22" s="1282"/>
      <c r="V22" s="1282"/>
      <c r="W22" s="1282"/>
      <c r="X22" s="1283">
        <f>M02S02F13</f>
        <v>0</v>
      </c>
      <c r="Y22" s="1283"/>
      <c r="Z22" s="1283"/>
      <c r="AA22" s="1283"/>
      <c r="AB22" s="1283"/>
      <c r="AC22" s="1283"/>
      <c r="AD22" s="1283"/>
      <c r="AE22" s="1283"/>
      <c r="AF22" s="1283"/>
      <c r="AG22" s="1283"/>
      <c r="AH22" s="1283"/>
      <c r="AI22" s="1283"/>
      <c r="AJ22" s="1283"/>
      <c r="AK22" s="105"/>
    </row>
    <row r="23" spans="9:37" ht="15.95" customHeight="1">
      <c r="I23" s="104"/>
      <c r="J23" s="1282"/>
      <c r="K23" s="1282"/>
      <c r="L23" s="1282"/>
      <c r="M23" s="1282"/>
      <c r="N23" s="1282"/>
      <c r="O23" s="1282"/>
      <c r="P23" s="1282"/>
      <c r="Q23" s="1282"/>
      <c r="R23" s="1282"/>
      <c r="S23" s="1282"/>
      <c r="T23" s="1282"/>
      <c r="U23" s="1282"/>
      <c r="V23" s="1282"/>
      <c r="W23" s="1282"/>
      <c r="X23" s="1283"/>
      <c r="Y23" s="1283"/>
      <c r="Z23" s="1283"/>
      <c r="AA23" s="1283"/>
      <c r="AB23" s="1283"/>
      <c r="AC23" s="1283"/>
      <c r="AD23" s="1283"/>
      <c r="AE23" s="1283"/>
      <c r="AF23" s="1283"/>
      <c r="AG23" s="1283"/>
      <c r="AH23" s="1283"/>
      <c r="AI23" s="1283"/>
      <c r="AJ23" s="1283"/>
      <c r="AK23" s="105"/>
    </row>
    <row r="24" spans="9:37" ht="15.95" customHeight="1">
      <c r="I24" s="104"/>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105"/>
    </row>
    <row r="25" spans="9:37" ht="15.95" customHeight="1">
      <c r="I25" s="104"/>
      <c r="J25" s="1285" t="s">
        <v>1234</v>
      </c>
      <c r="K25" s="1285"/>
      <c r="L25" s="1285"/>
      <c r="M25" s="1285"/>
      <c r="N25" s="1285"/>
      <c r="O25" s="226"/>
      <c r="P25" s="1286" t="s">
        <v>932</v>
      </c>
      <c r="Q25" s="1286"/>
      <c r="R25" s="1286"/>
      <c r="S25" s="1286"/>
      <c r="T25" s="1286"/>
      <c r="U25" s="1286"/>
      <c r="V25" s="227"/>
      <c r="W25" s="1286" t="s">
        <v>933</v>
      </c>
      <c r="X25" s="1286"/>
      <c r="Y25" s="1286"/>
      <c r="Z25" s="1286"/>
      <c r="AA25" s="1286"/>
      <c r="AB25" s="1286"/>
      <c r="AC25" s="227"/>
      <c r="AD25" s="1287" t="str">
        <f>IF(M02S02F14="Yes","","Company Contact")</f>
        <v>Company Contact</v>
      </c>
      <c r="AE25" s="1287"/>
      <c r="AF25" s="1287"/>
      <c r="AG25" s="1287"/>
      <c r="AH25" s="1287"/>
      <c r="AI25" s="1287"/>
      <c r="AJ25" s="227"/>
      <c r="AK25" s="105"/>
    </row>
    <row r="26" spans="9:37" ht="15.95" customHeight="1">
      <c r="I26" s="104"/>
      <c r="J26" s="1285"/>
      <c r="K26" s="1285"/>
      <c r="L26" s="1285"/>
      <c r="M26" s="1285"/>
      <c r="N26" s="1285"/>
      <c r="O26" s="226"/>
      <c r="P26" s="1341" t="str">
        <f>M02S02F34</f>
        <v/>
      </c>
      <c r="Q26" s="1341"/>
      <c r="R26" s="1341"/>
      <c r="S26" s="1341"/>
      <c r="T26" s="1341"/>
      <c r="U26" s="1341"/>
      <c r="V26" s="228"/>
      <c r="W26" s="1341" t="str">
        <f>CONCATENATE(M02S02F16," ",M02S02F17)</f>
        <v xml:space="preserve"> </v>
      </c>
      <c r="X26" s="1341"/>
      <c r="Y26" s="1341"/>
      <c r="Z26" s="1341"/>
      <c r="AA26" s="1341"/>
      <c r="AB26" s="1341"/>
      <c r="AC26" s="228"/>
      <c r="AD26" s="1341" t="str">
        <f>IF(M02S02F14="Yes","",CONCATENATE(M02S02F02," ",M02S02F03))</f>
        <v xml:space="preserve"> </v>
      </c>
      <c r="AE26" s="1341"/>
      <c r="AF26" s="1341"/>
      <c r="AG26" s="1341"/>
      <c r="AH26" s="1341"/>
      <c r="AI26" s="1341"/>
      <c r="AJ26" s="228"/>
      <c r="AK26" s="105"/>
    </row>
    <row r="27" spans="9:37" ht="15.95" customHeight="1">
      <c r="I27" s="104"/>
      <c r="J27" s="1285"/>
      <c r="K27" s="1285"/>
      <c r="L27" s="1285"/>
      <c r="M27" s="1285"/>
      <c r="N27" s="1285"/>
      <c r="O27" s="226"/>
      <c r="P27" s="1341" t="str">
        <f>M02S02F22</f>
        <v/>
      </c>
      <c r="Q27" s="1341"/>
      <c r="R27" s="1341"/>
      <c r="S27" s="1341"/>
      <c r="T27" s="1341"/>
      <c r="U27" s="1341"/>
      <c r="V27" s="228"/>
      <c r="W27" s="1342" t="str">
        <f>M02S02F19</f>
        <v/>
      </c>
      <c r="X27" s="1342"/>
      <c r="Y27" s="1342"/>
      <c r="Z27" s="1342"/>
      <c r="AA27" s="1342"/>
      <c r="AB27" s="1342"/>
      <c r="AC27" s="229"/>
      <c r="AD27" s="1342">
        <f>IF(M02S02F14="Yes","",M02S02F05)</f>
        <v>0</v>
      </c>
      <c r="AE27" s="1342"/>
      <c r="AF27" s="1342"/>
      <c r="AG27" s="1342"/>
      <c r="AH27" s="1342"/>
      <c r="AI27" s="1342"/>
      <c r="AJ27" s="229"/>
      <c r="AK27" s="105"/>
    </row>
    <row r="28" spans="9:37" ht="15.95" customHeight="1">
      <c r="I28" s="104"/>
      <c r="J28" s="1285"/>
      <c r="K28" s="1285"/>
      <c r="L28" s="1285"/>
      <c r="M28" s="1285"/>
      <c r="N28" s="1285"/>
      <c r="O28" s="226"/>
      <c r="P28" s="1341" t="str">
        <f>CONCATENATE(M02S02F23,", ",M02S02F24," ",M02S02F25)</f>
        <v xml:space="preserve">, IN </v>
      </c>
      <c r="Q28" s="1341"/>
      <c r="R28" s="1341"/>
      <c r="S28" s="1341"/>
      <c r="T28" s="1341"/>
      <c r="U28" s="1341"/>
      <c r="V28" s="228"/>
      <c r="W28" s="1341" t="str">
        <f>M02S02F21</f>
        <v/>
      </c>
      <c r="X28" s="1341"/>
      <c r="Y28" s="1341"/>
      <c r="Z28" s="1341"/>
      <c r="AA28" s="1341"/>
      <c r="AB28" s="1341"/>
      <c r="AC28" s="228"/>
      <c r="AD28" s="1341">
        <f>IF(M02S02F14="Yes","",M02S02F07)</f>
        <v>0</v>
      </c>
      <c r="AE28" s="1341"/>
      <c r="AF28" s="1341"/>
      <c r="AG28" s="1341"/>
      <c r="AH28" s="1341"/>
      <c r="AI28" s="1341"/>
      <c r="AJ28" s="228"/>
      <c r="AK28" s="105"/>
    </row>
    <row r="29" spans="9:37" ht="15.95" customHeight="1">
      <c r="I29" s="104"/>
      <c r="J29" s="59"/>
      <c r="K29" s="59"/>
      <c r="L29" s="59"/>
      <c r="M29" s="59"/>
      <c r="N29" s="59"/>
      <c r="O29" s="59"/>
      <c r="P29" s="62"/>
      <c r="Q29" s="62"/>
      <c r="R29" s="62"/>
      <c r="S29" s="62"/>
      <c r="T29" s="62"/>
      <c r="U29" s="62"/>
      <c r="V29" s="62"/>
      <c r="W29" s="62"/>
      <c r="X29" s="62"/>
      <c r="Y29" s="62"/>
      <c r="Z29" s="62"/>
      <c r="AA29" s="62"/>
      <c r="AB29" s="62"/>
      <c r="AC29" s="62"/>
      <c r="AD29" s="62"/>
      <c r="AE29" s="62"/>
      <c r="AF29" s="62"/>
      <c r="AG29" s="62"/>
      <c r="AH29" s="62"/>
      <c r="AI29" s="62"/>
      <c r="AJ29" s="62"/>
      <c r="AK29" s="105"/>
    </row>
    <row r="30" spans="9:37" ht="15.95" customHeight="1">
      <c r="I30" s="104"/>
      <c r="J30" s="1296" t="s">
        <v>1233</v>
      </c>
      <c r="K30" s="1296"/>
      <c r="L30" s="1296"/>
      <c r="M30" s="1296"/>
      <c r="N30" s="1296"/>
      <c r="O30" s="230"/>
      <c r="P30" s="1297" t="s">
        <v>118</v>
      </c>
      <c r="Q30" s="1297"/>
      <c r="R30" s="1297"/>
      <c r="S30" s="1297"/>
      <c r="T30" s="1297"/>
      <c r="U30" s="1297"/>
      <c r="V30" s="231"/>
      <c r="W30" s="1298" t="s">
        <v>128</v>
      </c>
      <c r="X30" s="1298"/>
      <c r="Y30" s="1298"/>
      <c r="Z30" s="1298"/>
      <c r="AA30" s="1298"/>
      <c r="AB30" s="1298"/>
      <c r="AC30" s="231"/>
      <c r="AD30" s="231"/>
      <c r="AE30" s="231"/>
      <c r="AF30" s="231"/>
      <c r="AG30" s="231"/>
      <c r="AH30" s="231"/>
      <c r="AI30" s="231"/>
      <c r="AJ30" s="231"/>
      <c r="AK30" s="105"/>
    </row>
    <row r="31" spans="9:37" ht="15.95" customHeight="1">
      <c r="I31" s="104"/>
      <c r="J31" s="1296"/>
      <c r="K31" s="1296"/>
      <c r="L31" s="1296"/>
      <c r="M31" s="1296"/>
      <c r="N31" s="1296"/>
      <c r="O31" s="230"/>
      <c r="P31" s="1299">
        <f>M02S03F02</f>
        <v>0</v>
      </c>
      <c r="Q31" s="1299"/>
      <c r="R31" s="1299"/>
      <c r="S31" s="1299"/>
      <c r="T31" s="1299"/>
      <c r="U31" s="1299"/>
      <c r="V31" s="254"/>
      <c r="W31" s="1299" t="str">
        <f>CONCATENATE(M02S03F03," ",M02S03F04)</f>
        <v xml:space="preserve"> </v>
      </c>
      <c r="X31" s="1299"/>
      <c r="Y31" s="1299"/>
      <c r="Z31" s="1299"/>
      <c r="AA31" s="1299"/>
      <c r="AB31" s="1299"/>
      <c r="AC31" s="253"/>
      <c r="AD31" s="253"/>
      <c r="AE31" s="254"/>
      <c r="AF31" s="254"/>
      <c r="AG31" s="254"/>
      <c r="AH31" s="254"/>
      <c r="AI31" s="254"/>
      <c r="AJ31" s="233"/>
      <c r="AK31" s="105"/>
    </row>
    <row r="32" spans="9:37" ht="15.95" customHeight="1">
      <c r="I32" s="104"/>
      <c r="J32" s="1296"/>
      <c r="K32" s="1296"/>
      <c r="L32" s="1296"/>
      <c r="M32" s="1296"/>
      <c r="N32" s="1296"/>
      <c r="O32" s="230"/>
      <c r="P32" s="1299">
        <f>M02S03F09</f>
        <v>0</v>
      </c>
      <c r="Q32" s="1299"/>
      <c r="R32" s="1299"/>
      <c r="S32" s="1299"/>
      <c r="T32" s="1299"/>
      <c r="U32" s="1299"/>
      <c r="V32" s="254"/>
      <c r="W32" s="1300">
        <f>M02S03F06</f>
        <v>0</v>
      </c>
      <c r="X32" s="1300"/>
      <c r="Y32" s="1300"/>
      <c r="Z32" s="1300"/>
      <c r="AA32" s="1300"/>
      <c r="AB32" s="1300"/>
      <c r="AC32" s="253"/>
      <c r="AD32" s="253"/>
      <c r="AE32" s="371"/>
      <c r="AF32" s="371"/>
      <c r="AG32" s="371"/>
      <c r="AH32" s="371"/>
      <c r="AI32" s="371"/>
      <c r="AJ32" s="234"/>
      <c r="AK32" s="105"/>
    </row>
    <row r="33" spans="9:58" ht="15.95" customHeight="1">
      <c r="I33" s="104"/>
      <c r="J33" s="1296"/>
      <c r="K33" s="1296"/>
      <c r="L33" s="1296"/>
      <c r="M33" s="1296"/>
      <c r="N33" s="1296"/>
      <c r="O33" s="230"/>
      <c r="P33" s="1299" t="str">
        <f>CONCATENATE(M02S03F10,", ",M02S03F11," ",M02S03F12)</f>
        <v xml:space="preserve">,  </v>
      </c>
      <c r="Q33" s="1299"/>
      <c r="R33" s="1299"/>
      <c r="S33" s="1299"/>
      <c r="T33" s="1299"/>
      <c r="U33" s="1299"/>
      <c r="V33" s="254"/>
      <c r="W33" s="1299">
        <f>M02S03F08</f>
        <v>0</v>
      </c>
      <c r="X33" s="1299"/>
      <c r="Y33" s="1299"/>
      <c r="Z33" s="1299"/>
      <c r="AA33" s="1299"/>
      <c r="AB33" s="1299"/>
      <c r="AC33" s="253"/>
      <c r="AD33" s="253"/>
      <c r="AE33" s="254"/>
      <c r="AF33" s="254"/>
      <c r="AG33" s="254"/>
      <c r="AH33" s="254"/>
      <c r="AI33" s="254"/>
      <c r="AJ33" s="232"/>
      <c r="AK33" s="105"/>
    </row>
    <row r="34" spans="9:58" ht="15.95" customHeight="1">
      <c r="I34" s="104"/>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105"/>
    </row>
    <row r="35" spans="9:58" ht="15.95" customHeight="1">
      <c r="I35" s="104"/>
      <c r="J35" s="1296" t="s">
        <v>1241</v>
      </c>
      <c r="K35" s="1296"/>
      <c r="L35" s="1296"/>
      <c r="M35" s="1296"/>
      <c r="N35" s="1296"/>
      <c r="O35" s="230"/>
      <c r="P35" s="235" t="s">
        <v>935</v>
      </c>
      <c r="Q35" s="235"/>
      <c r="R35" s="235"/>
      <c r="S35" s="235"/>
      <c r="T35" s="1303" t="s">
        <v>1166</v>
      </c>
      <c r="U35" s="1303"/>
      <c r="V35" s="1303"/>
      <c r="W35" s="1303"/>
      <c r="X35" s="1303" t="s">
        <v>1236</v>
      </c>
      <c r="Y35" s="1303"/>
      <c r="Z35" s="1303"/>
      <c r="AA35" s="1303"/>
      <c r="AB35" s="1303" t="s">
        <v>1235</v>
      </c>
      <c r="AC35" s="1303"/>
      <c r="AD35" s="1303"/>
      <c r="AE35" s="1303"/>
      <c r="AF35" s="1303" t="s">
        <v>125</v>
      </c>
      <c r="AG35" s="1303"/>
      <c r="AH35" s="1303"/>
      <c r="AI35" s="1303"/>
      <c r="AJ35" s="235"/>
      <c r="AK35" s="105"/>
    </row>
    <row r="36" spans="9:58" ht="15.95" customHeight="1">
      <c r="I36" s="104"/>
      <c r="J36" s="1296"/>
      <c r="K36" s="1296"/>
      <c r="L36" s="1296"/>
      <c r="M36" s="1296"/>
      <c r="N36" s="1296"/>
      <c r="O36" s="230"/>
      <c r="P36" s="236" t="s">
        <v>947</v>
      </c>
      <c r="Q36" s="236"/>
      <c r="R36" s="236"/>
      <c r="S36" s="237"/>
      <c r="T36" s="1304">
        <f ca="1">SUM(EXPORT!N4:N296)</f>
        <v>0</v>
      </c>
      <c r="U36" s="1304"/>
      <c r="V36" s="1304"/>
      <c r="W36" s="1304"/>
      <c r="X36" s="1305">
        <f>SUM(EXPORT!P215:P306)</f>
        <v>0</v>
      </c>
      <c r="Y36" s="1306"/>
      <c r="Z36" s="1306"/>
      <c r="AA36" s="1307"/>
      <c r="AB36" s="1308">
        <f ca="1">SUM(COSTTOTALPRESE,COSTTOTALPRESG)</f>
        <v>0</v>
      </c>
      <c r="AC36" s="1308"/>
      <c r="AD36" s="1308"/>
      <c r="AE36" s="1308"/>
      <c r="AF36" s="1309">
        <f ca="1">SUM(EXPORT!R4:R280)</f>
        <v>0</v>
      </c>
      <c r="AG36" s="1310"/>
      <c r="AH36" s="1310"/>
      <c r="AI36" s="1310"/>
      <c r="AJ36" s="233"/>
      <c r="AK36" s="105"/>
    </row>
    <row r="37" spans="9:58" ht="15.95" customHeight="1">
      <c r="I37" s="104"/>
      <c r="J37" s="1296"/>
      <c r="K37" s="1296"/>
      <c r="L37" s="1296"/>
      <c r="M37" s="1296"/>
      <c r="N37" s="1296"/>
      <c r="O37" s="230"/>
      <c r="P37" s="238" t="s">
        <v>231</v>
      </c>
      <c r="Q37" s="238"/>
      <c r="R37" s="238"/>
      <c r="S37" s="238"/>
      <c r="T37" s="1311">
        <f ca="1">SUM(EXPORT!N309:N435)</f>
        <v>0</v>
      </c>
      <c r="U37" s="1312"/>
      <c r="V37" s="1312"/>
      <c r="W37" s="1312"/>
      <c r="X37" s="1313">
        <f>SUM(EXPORT!P436:P487)</f>
        <v>0</v>
      </c>
      <c r="Y37" s="1314"/>
      <c r="Z37" s="1314"/>
      <c r="AA37" s="1315"/>
      <c r="AB37" s="1316">
        <f ca="1">SUM(COSTTOTALCUSE,COSTTOTALCUSG)</f>
        <v>0</v>
      </c>
      <c r="AC37" s="1316"/>
      <c r="AD37" s="1316"/>
      <c r="AE37" s="1316"/>
      <c r="AF37" s="1317">
        <f ca="1">SUM(EXPORT!R308:R487)</f>
        <v>0</v>
      </c>
      <c r="AG37" s="1318"/>
      <c r="AH37" s="1318"/>
      <c r="AI37" s="1318"/>
      <c r="AJ37" s="233"/>
      <c r="AK37" s="105"/>
    </row>
    <row r="38" spans="9:58" ht="15.95" customHeight="1">
      <c r="I38" s="104"/>
      <c r="J38" s="1296"/>
      <c r="K38" s="1296"/>
      <c r="L38" s="1296"/>
      <c r="M38" s="1296"/>
      <c r="N38" s="1296"/>
      <c r="O38" s="230"/>
      <c r="P38" s="239" t="s">
        <v>137</v>
      </c>
      <c r="Q38" s="239"/>
      <c r="R38" s="239"/>
      <c r="S38" s="239"/>
      <c r="T38" s="1319">
        <f ca="1">SUM(T36:W37)</f>
        <v>0</v>
      </c>
      <c r="U38" s="1320"/>
      <c r="V38" s="1320"/>
      <c r="W38" s="1320"/>
      <c r="X38" s="1321">
        <f>SUM(X36:AA37)</f>
        <v>0</v>
      </c>
      <c r="Y38" s="1322"/>
      <c r="Z38" s="1322"/>
      <c r="AA38" s="1323"/>
      <c r="AB38" s="1324">
        <f ca="1">SUM(AB36:AE37)</f>
        <v>0</v>
      </c>
      <c r="AC38" s="1324"/>
      <c r="AD38" s="1324"/>
      <c r="AE38" s="1324"/>
      <c r="AF38" s="1301">
        <f ca="1">SUM(AF36:AI37)</f>
        <v>0</v>
      </c>
      <c r="AG38" s="1302"/>
      <c r="AH38" s="1302"/>
      <c r="AI38" s="1302"/>
      <c r="AJ38" s="240"/>
      <c r="AK38" s="105"/>
    </row>
    <row r="39" spans="9:58" ht="15.95" customHeight="1">
      <c r="I39" s="104"/>
      <c r="L39" s="225"/>
      <c r="M39" s="225"/>
      <c r="N39" s="225"/>
      <c r="O39" s="225"/>
      <c r="P39" s="225"/>
      <c r="Q39" s="225"/>
      <c r="R39" s="225"/>
      <c r="S39" s="225"/>
      <c r="T39" s="225"/>
      <c r="U39" s="225"/>
      <c r="V39" s="158"/>
      <c r="W39" s="59"/>
      <c r="Z39" s="225"/>
      <c r="AA39" s="225"/>
      <c r="AB39" s="225"/>
      <c r="AC39" s="225"/>
      <c r="AD39" s="225"/>
      <c r="AE39" s="225"/>
      <c r="AF39" s="225"/>
      <c r="AG39" s="225"/>
      <c r="AH39" s="225"/>
      <c r="AI39" s="225"/>
      <c r="AJ39" s="158"/>
      <c r="AK39" s="105"/>
    </row>
    <row r="40" spans="9:58" ht="15.95" customHeight="1">
      <c r="I40" s="104"/>
      <c r="J40" s="241"/>
      <c r="K40" s="1331" t="s">
        <v>938</v>
      </c>
      <c r="L40" s="1331"/>
      <c r="M40" s="1331"/>
      <c r="N40" s="1331"/>
      <c r="O40" s="1331"/>
      <c r="P40" s="1331"/>
      <c r="Q40" s="1331"/>
      <c r="R40" s="1331"/>
      <c r="S40" s="1331"/>
      <c r="T40" s="1331"/>
      <c r="U40" s="1331"/>
      <c r="V40" s="242"/>
      <c r="W40" s="59"/>
      <c r="X40" s="241"/>
      <c r="Y40" s="1331" t="s">
        <v>939</v>
      </c>
      <c r="Z40" s="1331"/>
      <c r="AA40" s="1331"/>
      <c r="AB40" s="1331"/>
      <c r="AC40" s="1331"/>
      <c r="AD40" s="1331"/>
      <c r="AE40" s="1331"/>
      <c r="AF40" s="1331"/>
      <c r="AG40" s="1331"/>
      <c r="AH40" s="1331"/>
      <c r="AI40" s="1331"/>
      <c r="AJ40" s="242"/>
      <c r="AK40" s="105"/>
    </row>
    <row r="41" spans="9:58" ht="15.95" customHeight="1">
      <c r="I41" s="104"/>
      <c r="J41" s="242"/>
      <c r="K41" s="1331"/>
      <c r="L41" s="1331"/>
      <c r="M41" s="1331"/>
      <c r="N41" s="1331"/>
      <c r="O41" s="1331"/>
      <c r="P41" s="1331"/>
      <c r="Q41" s="1331"/>
      <c r="R41" s="1331"/>
      <c r="S41" s="1331"/>
      <c r="T41" s="1331"/>
      <c r="U41" s="1331"/>
      <c r="V41" s="242"/>
      <c r="W41" s="59"/>
      <c r="X41" s="242"/>
      <c r="Y41" s="1331"/>
      <c r="Z41" s="1331"/>
      <c r="AA41" s="1331"/>
      <c r="AB41" s="1331"/>
      <c r="AC41" s="1331"/>
      <c r="AD41" s="1331"/>
      <c r="AE41" s="1331"/>
      <c r="AF41" s="1331"/>
      <c r="AG41" s="1331"/>
      <c r="AH41" s="1331"/>
      <c r="AI41" s="1331"/>
      <c r="AJ41" s="242"/>
      <c r="AK41" s="105"/>
    </row>
    <row r="42" spans="9:58" ht="15.95" customHeight="1">
      <c r="I42" s="104"/>
      <c r="J42" s="1332" t="s">
        <v>1238</v>
      </c>
      <c r="K42" s="1332"/>
      <c r="L42" s="1332"/>
      <c r="M42" s="1332"/>
      <c r="N42" s="1332"/>
      <c r="O42" s="1332"/>
      <c r="P42" s="1332"/>
      <c r="Q42" s="1332"/>
      <c r="R42" s="1332"/>
      <c r="S42" s="1332"/>
      <c r="T42" s="1332"/>
      <c r="U42" s="1332"/>
      <c r="V42" s="1332"/>
      <c r="X42" s="1332" t="s">
        <v>942</v>
      </c>
      <c r="Y42" s="1332"/>
      <c r="Z42" s="1332"/>
      <c r="AA42" s="1332"/>
      <c r="AB42" s="1332"/>
      <c r="AC42" s="1332"/>
      <c r="AD42" s="1332"/>
      <c r="AE42" s="1332"/>
      <c r="AF42" s="1332"/>
      <c r="AG42" s="1332"/>
      <c r="AH42" s="1332"/>
      <c r="AI42" s="1332"/>
      <c r="AJ42" s="1332"/>
      <c r="AK42" s="105"/>
      <c r="AM42" s="86"/>
    </row>
    <row r="43" spans="9:58" ht="15.95" customHeight="1">
      <c r="I43" s="104"/>
      <c r="J43" s="1332"/>
      <c r="K43" s="1332"/>
      <c r="L43" s="1332"/>
      <c r="M43" s="1332"/>
      <c r="N43" s="1332"/>
      <c r="O43" s="1332"/>
      <c r="P43" s="1332"/>
      <c r="Q43" s="1332"/>
      <c r="R43" s="1332"/>
      <c r="S43" s="1332"/>
      <c r="T43" s="1332"/>
      <c r="U43" s="1332"/>
      <c r="V43" s="1332"/>
      <c r="X43" s="1332"/>
      <c r="Y43" s="1332"/>
      <c r="Z43" s="1332"/>
      <c r="AA43" s="1332"/>
      <c r="AB43" s="1332"/>
      <c r="AC43" s="1332"/>
      <c r="AD43" s="1332"/>
      <c r="AE43" s="1332"/>
      <c r="AF43" s="1332"/>
      <c r="AG43" s="1332"/>
      <c r="AH43" s="1332"/>
      <c r="AI43" s="1332"/>
      <c r="AJ43" s="1332"/>
      <c r="AK43" s="105"/>
      <c r="AM43" s="86"/>
    </row>
    <row r="44" spans="9:58" ht="15.95" customHeight="1">
      <c r="I44" s="104"/>
      <c r="J44" s="1332"/>
      <c r="K44" s="1332"/>
      <c r="L44" s="1332"/>
      <c r="M44" s="1332"/>
      <c r="N44" s="1332"/>
      <c r="O44" s="1332"/>
      <c r="P44" s="1332"/>
      <c r="Q44" s="1332"/>
      <c r="R44" s="1332"/>
      <c r="S44" s="1332"/>
      <c r="T44" s="1332"/>
      <c r="U44" s="1332"/>
      <c r="V44" s="1332"/>
      <c r="X44" s="231" t="s">
        <v>940</v>
      </c>
      <c r="Y44" s="241"/>
      <c r="Z44" s="231"/>
      <c r="AA44" s="231"/>
      <c r="AB44" s="1345">
        <f>M02S04F01</f>
        <v>0</v>
      </c>
      <c r="AC44" s="1345"/>
      <c r="AD44" s="1345"/>
      <c r="AE44" s="1345"/>
      <c r="AF44" s="1345"/>
      <c r="AG44" s="1345"/>
      <c r="AH44" s="1345"/>
      <c r="AI44" s="1345"/>
      <c r="AJ44" s="233"/>
      <c r="AK44" s="105"/>
    </row>
    <row r="45" spans="9:58" ht="15.95" customHeight="1">
      <c r="I45" s="104"/>
      <c r="J45" s="1332"/>
      <c r="K45" s="1332"/>
      <c r="L45" s="1332"/>
      <c r="M45" s="1332"/>
      <c r="N45" s="1332"/>
      <c r="O45" s="1332"/>
      <c r="P45" s="1332"/>
      <c r="Q45" s="1332"/>
      <c r="R45" s="1332"/>
      <c r="S45" s="1332"/>
      <c r="T45" s="1332"/>
      <c r="U45" s="1332"/>
      <c r="V45" s="1332"/>
      <c r="X45" s="231" t="s">
        <v>941</v>
      </c>
      <c r="Y45" s="241"/>
      <c r="Z45" s="231"/>
      <c r="AA45" s="231"/>
      <c r="AB45" s="1345" t="str">
        <f>M02S04F02</f>
        <v/>
      </c>
      <c r="AC45" s="1345"/>
      <c r="AD45" s="1345"/>
      <c r="AE45" s="1345"/>
      <c r="AF45" s="1345"/>
      <c r="AG45" s="1345"/>
      <c r="AH45" s="233"/>
      <c r="AI45" s="233"/>
      <c r="AJ45" s="233"/>
      <c r="AK45" s="105"/>
    </row>
    <row r="46" spans="9:58" ht="15.95" customHeight="1">
      <c r="I46" s="104"/>
      <c r="J46" s="243"/>
      <c r="K46" s="244"/>
      <c r="L46" s="1338" t="s">
        <v>1240</v>
      </c>
      <c r="M46" s="1338"/>
      <c r="N46" s="1338"/>
      <c r="O46" s="1338"/>
      <c r="P46" s="1338"/>
      <c r="Q46" s="1338"/>
      <c r="R46" s="1338"/>
      <c r="S46" s="1338"/>
      <c r="T46" s="1338"/>
      <c r="U46" s="1338"/>
      <c r="V46" s="243"/>
      <c r="X46" s="232"/>
      <c r="Y46" s="231"/>
      <c r="Z46" s="231"/>
      <c r="AA46" s="231"/>
      <c r="AB46" s="1337" t="str">
        <f>CONCATENATE(M02S04F03," ",M02S04F04)</f>
        <v xml:space="preserve"> </v>
      </c>
      <c r="AC46" s="1337"/>
      <c r="AD46" s="1337"/>
      <c r="AE46" s="1337"/>
      <c r="AF46" s="1337"/>
      <c r="AG46" s="1337"/>
      <c r="AH46" s="233"/>
      <c r="AI46" s="233"/>
      <c r="AJ46" s="233"/>
      <c r="AK46" s="105"/>
    </row>
    <row r="47" spans="9:58" ht="15.95" customHeight="1">
      <c r="I47" s="104"/>
      <c r="J47" s="243"/>
      <c r="K47" s="244"/>
      <c r="L47" s="1338"/>
      <c r="M47" s="1338"/>
      <c r="N47" s="1338"/>
      <c r="O47" s="1338"/>
      <c r="P47" s="1338"/>
      <c r="Q47" s="1338"/>
      <c r="R47" s="1338"/>
      <c r="S47" s="1338"/>
      <c r="T47" s="1338"/>
      <c r="U47" s="1338"/>
      <c r="V47" s="243"/>
      <c r="X47" s="232"/>
      <c r="Y47" s="231"/>
      <c r="Z47" s="231"/>
      <c r="AA47" s="231"/>
      <c r="AB47" s="1337" t="str">
        <f>M02S04F07</f>
        <v/>
      </c>
      <c r="AC47" s="1337"/>
      <c r="AD47" s="1337"/>
      <c r="AE47" s="1337"/>
      <c r="AF47" s="1337"/>
      <c r="AG47" s="1337"/>
      <c r="AH47" s="233"/>
      <c r="AI47" s="233"/>
      <c r="AJ47" s="233"/>
      <c r="AK47" s="105"/>
    </row>
    <row r="48" spans="9:58" ht="15.95" customHeight="1">
      <c r="I48" s="104"/>
      <c r="J48" s="245"/>
      <c r="K48" s="244"/>
      <c r="L48" s="1330" t="s">
        <v>1239</v>
      </c>
      <c r="M48" s="1330"/>
      <c r="N48" s="1330"/>
      <c r="O48" s="1330"/>
      <c r="P48" s="1330"/>
      <c r="Q48" s="1330"/>
      <c r="R48" s="1330"/>
      <c r="S48" s="1330"/>
      <c r="T48" s="1330"/>
      <c r="U48" s="1330"/>
      <c r="V48" s="245"/>
      <c r="X48" s="246"/>
      <c r="Y48" s="231"/>
      <c r="Z48" s="231"/>
      <c r="AA48" s="231"/>
      <c r="AB48" s="1337" t="str">
        <f>CONCATENATE(M02S04F08,", ",M02S04F09," ",M02S04F10)</f>
        <v xml:space="preserve">,  </v>
      </c>
      <c r="AC48" s="1337"/>
      <c r="AD48" s="1337"/>
      <c r="AE48" s="1337"/>
      <c r="AF48" s="1337"/>
      <c r="AG48" s="1337"/>
      <c r="AH48" s="233"/>
      <c r="AI48" s="233"/>
      <c r="AJ48" s="247"/>
      <c r="AK48" s="105"/>
      <c r="AW48" s="224"/>
      <c r="AX48" s="224"/>
      <c r="AY48" s="224"/>
      <c r="AZ48" s="224"/>
      <c r="BA48" s="224"/>
      <c r="BB48" s="224"/>
      <c r="BC48" s="224"/>
      <c r="BD48" s="224"/>
      <c r="BE48" s="224"/>
      <c r="BF48" s="224"/>
    </row>
    <row r="49" spans="9:37" ht="15.95" customHeight="1">
      <c r="I49" s="104"/>
      <c r="J49" s="245"/>
      <c r="K49" s="244"/>
      <c r="L49" s="1330"/>
      <c r="M49" s="1330"/>
      <c r="N49" s="1330"/>
      <c r="O49" s="1330"/>
      <c r="P49" s="1330"/>
      <c r="Q49" s="1330"/>
      <c r="R49" s="1330"/>
      <c r="S49" s="1330"/>
      <c r="T49" s="1330"/>
      <c r="U49" s="1330"/>
      <c r="V49" s="245"/>
      <c r="X49" s="231" t="s">
        <v>1237</v>
      </c>
      <c r="Y49" s="241"/>
      <c r="Z49" s="231"/>
      <c r="AA49" s="231"/>
      <c r="AB49" s="1345">
        <f>M02S04F11</f>
        <v>0</v>
      </c>
      <c r="AC49" s="1345"/>
      <c r="AD49" s="1345"/>
      <c r="AE49" s="1345"/>
      <c r="AF49" s="1345"/>
      <c r="AG49" s="1345"/>
      <c r="AH49" s="1345" t="str">
        <f>IF(ISBLANK(M02S04F12),"",CONCATENATE(M02S04F12,"-",M02S04F12.1))</f>
        <v/>
      </c>
      <c r="AI49" s="1345"/>
      <c r="AJ49" s="1345"/>
      <c r="AK49" s="105"/>
    </row>
    <row r="50" spans="9:37" ht="15.95" customHeight="1">
      <c r="I50" s="104"/>
      <c r="L50" s="225"/>
      <c r="M50" s="225"/>
      <c r="N50" s="225"/>
      <c r="O50" s="225"/>
      <c r="P50" s="225"/>
      <c r="Q50" s="225"/>
      <c r="R50" s="225"/>
      <c r="S50" s="225"/>
      <c r="T50" s="225"/>
      <c r="U50" s="225"/>
      <c r="V50" s="64"/>
      <c r="Z50" s="223"/>
      <c r="AA50" s="223"/>
      <c r="AB50" s="223"/>
      <c r="AC50" s="223"/>
      <c r="AD50" s="223"/>
      <c r="AE50" s="223"/>
      <c r="AF50" s="223"/>
      <c r="AG50" s="223"/>
      <c r="AH50" s="223"/>
      <c r="AI50" s="223"/>
      <c r="AK50" s="105"/>
    </row>
    <row r="51" spans="9:37" ht="15.95" customHeight="1">
      <c r="I51" s="104"/>
      <c r="J51" s="241"/>
      <c r="K51" s="1331" t="s">
        <v>936</v>
      </c>
      <c r="L51" s="1331"/>
      <c r="M51" s="1331"/>
      <c r="N51" s="1331"/>
      <c r="O51" s="1331"/>
      <c r="P51" s="1331"/>
      <c r="Q51" s="1331"/>
      <c r="R51" s="1331"/>
      <c r="S51" s="1331"/>
      <c r="T51" s="1331"/>
      <c r="U51" s="1331"/>
      <c r="V51" s="243"/>
      <c r="X51" s="241"/>
      <c r="Y51" s="1339" t="s">
        <v>1232</v>
      </c>
      <c r="Z51" s="1339"/>
      <c r="AA51" s="1339"/>
      <c r="AB51" s="1339"/>
      <c r="AC51" s="1339"/>
      <c r="AD51" s="1339"/>
      <c r="AE51" s="1339"/>
      <c r="AF51" s="1339"/>
      <c r="AG51" s="1339"/>
      <c r="AH51" s="1339"/>
      <c r="AI51" s="1339"/>
      <c r="AJ51" s="241"/>
      <c r="AK51" s="105"/>
    </row>
    <row r="52" spans="9:37" ht="15.95" customHeight="1">
      <c r="I52" s="104"/>
      <c r="J52" s="242"/>
      <c r="K52" s="1331"/>
      <c r="L52" s="1331"/>
      <c r="M52" s="1331"/>
      <c r="N52" s="1331"/>
      <c r="O52" s="1331"/>
      <c r="P52" s="1331"/>
      <c r="Q52" s="1331"/>
      <c r="R52" s="1331"/>
      <c r="S52" s="1331"/>
      <c r="T52" s="1331"/>
      <c r="U52" s="1331"/>
      <c r="V52" s="242"/>
      <c r="X52" s="241"/>
      <c r="Y52" s="1339"/>
      <c r="Z52" s="1339"/>
      <c r="AA52" s="1339"/>
      <c r="AB52" s="1339"/>
      <c r="AC52" s="1339"/>
      <c r="AD52" s="1339"/>
      <c r="AE52" s="1339"/>
      <c r="AF52" s="1339"/>
      <c r="AG52" s="1339"/>
      <c r="AH52" s="1339"/>
      <c r="AI52" s="1339"/>
      <c r="AJ52" s="241"/>
      <c r="AK52" s="105"/>
    </row>
    <row r="53" spans="9:37" ht="15.95" customHeight="1">
      <c r="I53" s="104"/>
      <c r="J53" s="1332" t="s">
        <v>937</v>
      </c>
      <c r="K53" s="1332"/>
      <c r="L53" s="1332"/>
      <c r="M53" s="1332"/>
      <c r="N53" s="1332"/>
      <c r="O53" s="1332"/>
      <c r="P53" s="1332"/>
      <c r="Q53" s="1332"/>
      <c r="R53" s="1332"/>
      <c r="S53" s="1332"/>
      <c r="T53" s="1332"/>
      <c r="U53" s="1332"/>
      <c r="V53" s="1332"/>
      <c r="X53" s="1332" t="s">
        <v>1566</v>
      </c>
      <c r="Y53" s="1332"/>
      <c r="Z53" s="1332"/>
      <c r="AA53" s="1332"/>
      <c r="AB53" s="1332"/>
      <c r="AC53" s="1332"/>
      <c r="AD53" s="1332"/>
      <c r="AE53" s="1332"/>
      <c r="AF53" s="1332"/>
      <c r="AG53" s="1332"/>
      <c r="AH53" s="1332"/>
      <c r="AI53" s="1332"/>
      <c r="AJ53" s="1332"/>
      <c r="AK53" s="105"/>
    </row>
    <row r="54" spans="9:37" ht="15.95" customHeight="1">
      <c r="I54" s="104"/>
      <c r="J54" s="1332"/>
      <c r="K54" s="1332"/>
      <c r="L54" s="1332"/>
      <c r="M54" s="1332"/>
      <c r="N54" s="1332"/>
      <c r="O54" s="1332"/>
      <c r="P54" s="1332"/>
      <c r="Q54" s="1332"/>
      <c r="R54" s="1332"/>
      <c r="S54" s="1332"/>
      <c r="T54" s="1332"/>
      <c r="U54" s="1332"/>
      <c r="V54" s="1332"/>
      <c r="X54" s="1332"/>
      <c r="Y54" s="1332"/>
      <c r="Z54" s="1332"/>
      <c r="AA54" s="1332"/>
      <c r="AB54" s="1332"/>
      <c r="AC54" s="1332"/>
      <c r="AD54" s="1332"/>
      <c r="AE54" s="1332"/>
      <c r="AF54" s="1332"/>
      <c r="AG54" s="1332"/>
      <c r="AH54" s="1332"/>
      <c r="AI54" s="1332"/>
      <c r="AJ54" s="1332"/>
      <c r="AK54" s="105"/>
    </row>
    <row r="55" spans="9:37" ht="15.95" customHeight="1">
      <c r="I55" s="104"/>
      <c r="J55" s="1332"/>
      <c r="K55" s="1332"/>
      <c r="L55" s="1332"/>
      <c r="M55" s="1332"/>
      <c r="N55" s="1332"/>
      <c r="O55" s="1332"/>
      <c r="P55" s="1332"/>
      <c r="Q55" s="1332"/>
      <c r="R55" s="1332"/>
      <c r="S55" s="1332"/>
      <c r="T55" s="1332"/>
      <c r="U55" s="1332"/>
      <c r="V55" s="1332"/>
      <c r="W55" s="223"/>
      <c r="X55" s="248"/>
      <c r="Y55" s="248"/>
      <c r="Z55" s="248"/>
      <c r="AA55" s="248"/>
      <c r="AB55" s="248"/>
      <c r="AC55" s="248"/>
      <c r="AD55" s="248"/>
      <c r="AE55" s="248"/>
      <c r="AF55" s="248"/>
      <c r="AG55" s="248"/>
      <c r="AH55" s="248"/>
      <c r="AI55" s="248"/>
      <c r="AJ55" s="249"/>
      <c r="AK55" s="105"/>
    </row>
    <row r="56" spans="9:37" ht="15.95" customHeight="1">
      <c r="I56" s="104"/>
      <c r="J56" s="241"/>
      <c r="K56" s="241"/>
      <c r="L56" s="241"/>
      <c r="M56" s="241"/>
      <c r="N56" s="241"/>
      <c r="O56" s="241"/>
      <c r="P56" s="241"/>
      <c r="Q56" s="241"/>
      <c r="R56" s="241"/>
      <c r="S56" s="241"/>
      <c r="T56" s="241"/>
      <c r="U56" s="241"/>
      <c r="V56" s="241"/>
      <c r="W56" s="223"/>
      <c r="X56" s="243"/>
      <c r="Y56" s="250"/>
      <c r="Z56" s="1338" t="s">
        <v>1244</v>
      </c>
      <c r="AA56" s="1338"/>
      <c r="AB56" s="1338"/>
      <c r="AC56" s="1338"/>
      <c r="AD56" s="1338"/>
      <c r="AE56" s="1338"/>
      <c r="AF56" s="1338"/>
      <c r="AG56" s="1338"/>
      <c r="AH56" s="1338"/>
      <c r="AI56" s="1338"/>
      <c r="AJ56" s="241"/>
      <c r="AK56" s="105"/>
    </row>
    <row r="57" spans="9:37" ht="15.95" customHeight="1">
      <c r="I57" s="104"/>
      <c r="J57" s="241"/>
      <c r="K57" s="241"/>
      <c r="L57" s="241"/>
      <c r="M57" s="241"/>
      <c r="N57" s="241"/>
      <c r="O57" s="241"/>
      <c r="P57" s="241"/>
      <c r="Q57" s="241"/>
      <c r="R57" s="241"/>
      <c r="S57" s="241"/>
      <c r="T57" s="241"/>
      <c r="U57" s="241"/>
      <c r="V57" s="241"/>
      <c r="X57" s="241"/>
      <c r="Y57" s="241"/>
      <c r="Z57" s="1338"/>
      <c r="AA57" s="1338"/>
      <c r="AB57" s="1338"/>
      <c r="AC57" s="1338"/>
      <c r="AD57" s="1338"/>
      <c r="AE57" s="1338"/>
      <c r="AF57" s="1338"/>
      <c r="AG57" s="1338"/>
      <c r="AH57" s="1338"/>
      <c r="AI57" s="1338"/>
      <c r="AJ57" s="241"/>
      <c r="AK57" s="105"/>
    </row>
    <row r="58" spans="9:37" ht="15.95" customHeight="1">
      <c r="I58" s="104"/>
      <c r="J58" s="241"/>
      <c r="K58" s="1336" t="s">
        <v>1242</v>
      </c>
      <c r="L58" s="1336"/>
      <c r="M58" s="1336"/>
      <c r="N58" s="1336"/>
      <c r="O58" s="1336"/>
      <c r="P58" s="1336"/>
      <c r="Q58" s="1336"/>
      <c r="R58" s="241"/>
      <c r="S58" s="1334" t="s">
        <v>138</v>
      </c>
      <c r="T58" s="1334"/>
      <c r="U58" s="1334"/>
      <c r="V58" s="241"/>
      <c r="X58" s="241"/>
      <c r="Y58" s="250"/>
      <c r="Z58" s="1340" t="s">
        <v>1243</v>
      </c>
      <c r="AA58" s="1340"/>
      <c r="AB58" s="1340"/>
      <c r="AC58" s="1340"/>
      <c r="AD58" s="1340"/>
      <c r="AE58" s="1340"/>
      <c r="AF58" s="1340"/>
      <c r="AG58" s="1340"/>
      <c r="AH58" s="1340"/>
      <c r="AI58" s="1340"/>
      <c r="AJ58" s="241"/>
      <c r="AK58" s="105"/>
    </row>
    <row r="59" spans="9:37" ht="15.95" customHeight="1">
      <c r="I59" s="104"/>
      <c r="J59" s="241"/>
      <c r="K59" s="241"/>
      <c r="L59" s="241"/>
      <c r="M59" s="241"/>
      <c r="N59" s="241"/>
      <c r="O59" s="241"/>
      <c r="P59" s="241"/>
      <c r="Q59" s="241"/>
      <c r="R59" s="241"/>
      <c r="S59" s="241"/>
      <c r="T59" s="241"/>
      <c r="U59" s="241"/>
      <c r="V59" s="241"/>
      <c r="X59" s="241"/>
      <c r="Y59" s="251"/>
      <c r="Z59" s="1340"/>
      <c r="AA59" s="1340"/>
      <c r="AB59" s="1340"/>
      <c r="AC59" s="1340"/>
      <c r="AD59" s="1340"/>
      <c r="AE59" s="1340"/>
      <c r="AF59" s="1340"/>
      <c r="AG59" s="1340"/>
      <c r="AH59" s="1340"/>
      <c r="AI59" s="1340"/>
      <c r="AJ59" s="241"/>
      <c r="AK59" s="105"/>
    </row>
    <row r="60" spans="9:37" ht="15.95" customHeight="1">
      <c r="I60" s="104"/>
      <c r="J60" s="241"/>
      <c r="K60" s="241"/>
      <c r="L60" s="241"/>
      <c r="M60" s="241"/>
      <c r="N60" s="241"/>
      <c r="O60" s="241"/>
      <c r="P60" s="241"/>
      <c r="Q60" s="241"/>
      <c r="R60" s="241"/>
      <c r="S60" s="241"/>
      <c r="T60" s="241"/>
      <c r="U60" s="241"/>
      <c r="V60" s="241"/>
      <c r="X60" s="241"/>
      <c r="Y60" s="251"/>
      <c r="Z60" s="252"/>
      <c r="AA60" s="252"/>
      <c r="AB60" s="252"/>
      <c r="AC60" s="252"/>
      <c r="AD60" s="252"/>
      <c r="AE60" s="252"/>
      <c r="AF60" s="252"/>
      <c r="AG60" s="252"/>
      <c r="AH60" s="252"/>
      <c r="AI60" s="241"/>
      <c r="AJ60" s="241"/>
      <c r="AK60" s="105"/>
    </row>
    <row r="61" spans="9:37" ht="15.95" customHeight="1">
      <c r="I61" s="104"/>
      <c r="AK61" s="105"/>
    </row>
    <row r="62" spans="9:37" ht="15.95" customHeight="1">
      <c r="I62" s="104"/>
      <c r="J62" s="1344" t="s">
        <v>2372</v>
      </c>
      <c r="K62" s="1344"/>
      <c r="L62" s="1344"/>
      <c r="M62" s="1344"/>
      <c r="N62" s="1344"/>
      <c r="O62" s="1344"/>
      <c r="P62" s="1344"/>
      <c r="Q62" s="1344"/>
      <c r="R62" s="1344"/>
      <c r="S62" s="1344"/>
      <c r="T62" s="1344"/>
      <c r="U62" s="1344"/>
      <c r="V62" s="1344"/>
      <c r="W62" s="1344"/>
      <c r="X62" s="1344"/>
      <c r="Y62" s="1344"/>
      <c r="Z62" s="1344"/>
      <c r="AA62" s="1344"/>
      <c r="AB62" s="1344"/>
      <c r="AC62" s="1344"/>
      <c r="AD62" s="1344"/>
      <c r="AE62" s="1344"/>
      <c r="AF62" s="1344"/>
      <c r="AG62" s="1344"/>
      <c r="AH62" s="1344"/>
      <c r="AI62" s="1344"/>
      <c r="AJ62" s="1344"/>
      <c r="AK62" s="105"/>
    </row>
    <row r="63" spans="9:37" ht="15.95" customHeight="1">
      <c r="I63" s="104"/>
      <c r="J63" s="1344"/>
      <c r="K63" s="1344"/>
      <c r="L63" s="1344"/>
      <c r="M63" s="1344"/>
      <c r="N63" s="1344"/>
      <c r="O63" s="1344"/>
      <c r="P63" s="1344"/>
      <c r="Q63" s="1344"/>
      <c r="R63" s="1344"/>
      <c r="S63" s="1344"/>
      <c r="T63" s="1344"/>
      <c r="U63" s="1344"/>
      <c r="V63" s="1344"/>
      <c r="W63" s="1344"/>
      <c r="X63" s="1344"/>
      <c r="Y63" s="1344"/>
      <c r="Z63" s="1344"/>
      <c r="AA63" s="1344"/>
      <c r="AB63" s="1344"/>
      <c r="AC63" s="1344"/>
      <c r="AD63" s="1344"/>
      <c r="AE63" s="1344"/>
      <c r="AF63" s="1344"/>
      <c r="AG63" s="1344"/>
      <c r="AH63" s="1344"/>
      <c r="AI63" s="1344"/>
      <c r="AJ63" s="1344"/>
      <c r="AK63" s="105"/>
    </row>
    <row r="64" spans="9:37" ht="15.95" customHeight="1">
      <c r="I64" s="104"/>
      <c r="J64" s="1344"/>
      <c r="K64" s="1344"/>
      <c r="L64" s="1344"/>
      <c r="M64" s="1344"/>
      <c r="N64" s="1344"/>
      <c r="O64" s="1344"/>
      <c r="P64" s="1344"/>
      <c r="Q64" s="1344"/>
      <c r="R64" s="1344"/>
      <c r="S64" s="1344"/>
      <c r="T64" s="1344"/>
      <c r="U64" s="1344"/>
      <c r="V64" s="1344"/>
      <c r="W64" s="1344"/>
      <c r="X64" s="1344"/>
      <c r="Y64" s="1344"/>
      <c r="Z64" s="1344"/>
      <c r="AA64" s="1344"/>
      <c r="AB64" s="1344"/>
      <c r="AC64" s="1344"/>
      <c r="AD64" s="1344"/>
      <c r="AE64" s="1344"/>
      <c r="AF64" s="1344"/>
      <c r="AG64" s="1344"/>
      <c r="AH64" s="1344"/>
      <c r="AI64" s="1344"/>
      <c r="AJ64" s="1344"/>
      <c r="AK64" s="105"/>
    </row>
    <row r="65" spans="9:37" ht="15.95" customHeight="1">
      <c r="I65" s="104"/>
      <c r="J65" s="1344"/>
      <c r="K65" s="1344"/>
      <c r="L65" s="1344"/>
      <c r="M65" s="1344"/>
      <c r="N65" s="1344"/>
      <c r="O65" s="1344"/>
      <c r="P65" s="1344"/>
      <c r="Q65" s="1344"/>
      <c r="R65" s="1344"/>
      <c r="S65" s="1344"/>
      <c r="T65" s="1344"/>
      <c r="U65" s="1344"/>
      <c r="V65" s="1344"/>
      <c r="W65" s="1344"/>
      <c r="X65" s="1344"/>
      <c r="Y65" s="1344"/>
      <c r="Z65" s="1344"/>
      <c r="AA65" s="1344"/>
      <c r="AB65" s="1344"/>
      <c r="AC65" s="1344"/>
      <c r="AD65" s="1344"/>
      <c r="AE65" s="1344"/>
      <c r="AF65" s="1344"/>
      <c r="AG65" s="1344"/>
      <c r="AH65" s="1344"/>
      <c r="AI65" s="1344"/>
      <c r="AJ65" s="1344"/>
      <c r="AK65" s="105"/>
    </row>
    <row r="66" spans="9:37" ht="15.95" customHeight="1">
      <c r="I66" s="104"/>
      <c r="J66" s="1344"/>
      <c r="K66" s="1344"/>
      <c r="L66" s="1344"/>
      <c r="M66" s="1344"/>
      <c r="N66" s="1344"/>
      <c r="O66" s="1344"/>
      <c r="P66" s="1344"/>
      <c r="Q66" s="1344"/>
      <c r="R66" s="1344"/>
      <c r="S66" s="1344"/>
      <c r="T66" s="1344"/>
      <c r="U66" s="1344"/>
      <c r="V66" s="1344"/>
      <c r="W66" s="1344"/>
      <c r="X66" s="1344"/>
      <c r="Y66" s="1344"/>
      <c r="Z66" s="1344"/>
      <c r="AA66" s="1344"/>
      <c r="AB66" s="1344"/>
      <c r="AC66" s="1344"/>
      <c r="AD66" s="1344"/>
      <c r="AE66" s="1344"/>
      <c r="AF66" s="1344"/>
      <c r="AG66" s="1344"/>
      <c r="AH66" s="1344"/>
      <c r="AI66" s="1344"/>
      <c r="AJ66" s="1344"/>
      <c r="AK66" s="105"/>
    </row>
    <row r="67" spans="9:37" ht="15.95" customHeight="1">
      <c r="I67" s="104"/>
      <c r="J67" s="1344"/>
      <c r="K67" s="1344"/>
      <c r="L67" s="1344"/>
      <c r="M67" s="1344"/>
      <c r="N67" s="1344"/>
      <c r="O67" s="1344"/>
      <c r="P67" s="1344"/>
      <c r="Q67" s="1344"/>
      <c r="R67" s="1344"/>
      <c r="S67" s="1344"/>
      <c r="T67" s="1344"/>
      <c r="U67" s="1344"/>
      <c r="V67" s="1344"/>
      <c r="W67" s="1344"/>
      <c r="X67" s="1344"/>
      <c r="Y67" s="1344"/>
      <c r="Z67" s="1344"/>
      <c r="AA67" s="1344"/>
      <c r="AB67" s="1344"/>
      <c r="AC67" s="1344"/>
      <c r="AD67" s="1344"/>
      <c r="AE67" s="1344"/>
      <c r="AF67" s="1344"/>
      <c r="AG67" s="1344"/>
      <c r="AH67" s="1344"/>
      <c r="AI67" s="1344"/>
      <c r="AJ67" s="1344"/>
      <c r="AK67" s="105"/>
    </row>
    <row r="68" spans="9:37" ht="15.95" customHeight="1">
      <c r="I68" s="104"/>
      <c r="J68" s="1344"/>
      <c r="K68" s="1344"/>
      <c r="L68" s="1344"/>
      <c r="M68" s="1344"/>
      <c r="N68" s="1344"/>
      <c r="O68" s="1344"/>
      <c r="P68" s="1344"/>
      <c r="Q68" s="1344"/>
      <c r="R68" s="1344"/>
      <c r="S68" s="1344"/>
      <c r="T68" s="1344"/>
      <c r="U68" s="1344"/>
      <c r="V68" s="1344"/>
      <c r="W68" s="1344"/>
      <c r="X68" s="1344"/>
      <c r="Y68" s="1344"/>
      <c r="Z68" s="1344"/>
      <c r="AA68" s="1344"/>
      <c r="AB68" s="1344"/>
      <c r="AC68" s="1344"/>
      <c r="AD68" s="1344"/>
      <c r="AE68" s="1344"/>
      <c r="AF68" s="1344"/>
      <c r="AG68" s="1344"/>
      <c r="AH68" s="1344"/>
      <c r="AI68" s="1344"/>
      <c r="AJ68" s="1344"/>
      <c r="AK68" s="105"/>
    </row>
    <row r="69" spans="9:37" ht="15.95" customHeight="1">
      <c r="I69" s="104"/>
      <c r="J69" s="1344"/>
      <c r="K69" s="1344"/>
      <c r="L69" s="1344"/>
      <c r="M69" s="1344"/>
      <c r="N69" s="1344"/>
      <c r="O69" s="1344"/>
      <c r="P69" s="1344"/>
      <c r="Q69" s="1344"/>
      <c r="R69" s="1344"/>
      <c r="S69" s="1344"/>
      <c r="T69" s="1344"/>
      <c r="U69" s="1344"/>
      <c r="V69" s="1344"/>
      <c r="W69" s="1344"/>
      <c r="X69" s="1344"/>
      <c r="Y69" s="1344"/>
      <c r="Z69" s="1344"/>
      <c r="AA69" s="1344"/>
      <c r="AB69" s="1344"/>
      <c r="AC69" s="1344"/>
      <c r="AD69" s="1344"/>
      <c r="AE69" s="1344"/>
      <c r="AF69" s="1344"/>
      <c r="AG69" s="1344"/>
      <c r="AH69" s="1344"/>
      <c r="AI69" s="1344"/>
      <c r="AJ69" s="1344"/>
      <c r="AK69" s="105"/>
    </row>
    <row r="70" spans="9:37" ht="15.95" customHeight="1">
      <c r="I70" s="104"/>
      <c r="J70" s="1344"/>
      <c r="K70" s="1344"/>
      <c r="L70" s="1344"/>
      <c r="M70" s="1344"/>
      <c r="N70" s="1344"/>
      <c r="O70" s="1344"/>
      <c r="P70" s="1344"/>
      <c r="Q70" s="1344"/>
      <c r="R70" s="1344"/>
      <c r="S70" s="1344"/>
      <c r="T70" s="1344"/>
      <c r="U70" s="1344"/>
      <c r="V70" s="1344"/>
      <c r="W70" s="1344"/>
      <c r="X70" s="1344"/>
      <c r="Y70" s="1344"/>
      <c r="Z70" s="1344"/>
      <c r="AA70" s="1344"/>
      <c r="AB70" s="1344"/>
      <c r="AC70" s="1344"/>
      <c r="AD70" s="1344"/>
      <c r="AE70" s="1344"/>
      <c r="AF70" s="1344"/>
      <c r="AG70" s="1344"/>
      <c r="AH70" s="1344"/>
      <c r="AI70" s="1344"/>
      <c r="AJ70" s="1344"/>
      <c r="AK70" s="105"/>
    </row>
    <row r="71" spans="9:37" ht="15.95" customHeight="1">
      <c r="I71" s="104"/>
      <c r="J71" s="212"/>
      <c r="K71" s="212"/>
      <c r="L71" s="212"/>
      <c r="M71" s="212"/>
      <c r="N71" s="212"/>
      <c r="O71" s="212"/>
      <c r="P71" s="212"/>
      <c r="Q71" s="212"/>
      <c r="R71" s="212"/>
      <c r="S71" s="212"/>
      <c r="T71" s="212"/>
      <c r="U71" s="212"/>
      <c r="V71" s="212"/>
      <c r="W71" s="212"/>
      <c r="X71" s="212"/>
      <c r="Y71" s="212"/>
      <c r="Z71" s="212"/>
      <c r="AA71" s="212"/>
      <c r="AB71" s="212"/>
      <c r="AC71" s="212"/>
      <c r="AD71" s="212"/>
      <c r="AE71" s="212"/>
      <c r="AF71" s="212"/>
      <c r="AG71" s="212"/>
      <c r="AH71" s="212"/>
      <c r="AI71" s="212"/>
      <c r="AJ71" s="212"/>
      <c r="AK71" s="105"/>
    </row>
    <row r="72" spans="9:37" ht="15.95" customHeight="1">
      <c r="I72" s="104"/>
      <c r="J72" s="1280" t="s">
        <v>1567</v>
      </c>
      <c r="K72" s="1280"/>
      <c r="L72" s="1280"/>
      <c r="M72" s="1280"/>
      <c r="N72" s="1280"/>
      <c r="O72" s="1280"/>
      <c r="P72" s="1280"/>
      <c r="Q72" s="1280"/>
      <c r="R72" s="1280"/>
      <c r="S72" s="1280"/>
      <c r="T72" s="1280"/>
      <c r="U72" s="1280"/>
      <c r="V72" s="1280"/>
      <c r="W72" s="1280"/>
      <c r="X72" s="1280"/>
      <c r="Y72" s="1280"/>
      <c r="Z72" s="1280"/>
      <c r="AA72" s="1280"/>
      <c r="AB72" s="1280"/>
      <c r="AC72" s="1280"/>
      <c r="AD72" s="1280"/>
      <c r="AE72" s="1280"/>
      <c r="AF72" s="1280"/>
      <c r="AG72" s="1280"/>
      <c r="AH72" s="1280"/>
      <c r="AI72" s="1280"/>
      <c r="AJ72" s="1280"/>
      <c r="AK72" s="105"/>
    </row>
    <row r="73" spans="9:37" ht="15.95" customHeight="1">
      <c r="I73" s="104"/>
      <c r="J73" s="1280"/>
      <c r="K73" s="1280"/>
      <c r="L73" s="1280"/>
      <c r="M73" s="1280"/>
      <c r="N73" s="1280"/>
      <c r="O73" s="1280"/>
      <c r="P73" s="1280"/>
      <c r="Q73" s="1280"/>
      <c r="R73" s="1280"/>
      <c r="S73" s="1280"/>
      <c r="T73" s="1280"/>
      <c r="U73" s="1280"/>
      <c r="V73" s="1280"/>
      <c r="W73" s="1280"/>
      <c r="X73" s="1280"/>
      <c r="Y73" s="1280"/>
      <c r="Z73" s="1280"/>
      <c r="AA73" s="1280"/>
      <c r="AB73" s="1280"/>
      <c r="AC73" s="1280"/>
      <c r="AD73" s="1280"/>
      <c r="AE73" s="1280"/>
      <c r="AF73" s="1280"/>
      <c r="AG73" s="1280"/>
      <c r="AH73" s="1280"/>
      <c r="AI73" s="1280"/>
      <c r="AJ73" s="1280"/>
      <c r="AK73" s="105"/>
    </row>
    <row r="74" spans="9:37" ht="15.95" customHeight="1">
      <c r="I74" s="106"/>
      <c r="J74" s="107"/>
      <c r="K74" s="108"/>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10"/>
    </row>
    <row r="75" spans="9:37" ht="15.95" customHeight="1">
      <c r="J75" s="28"/>
      <c r="K75" s="29"/>
    </row>
    <row r="76" spans="9:37" ht="15.95" hidden="1" customHeight="1">
      <c r="J76" s="28"/>
      <c r="K76" s="29"/>
    </row>
    <row r="77" spans="9:37" ht="15.95" hidden="1" customHeight="1">
      <c r="J77" s="28"/>
      <c r="K77" s="29"/>
    </row>
    <row r="78" spans="9:37" ht="15.95" hidden="1" customHeight="1">
      <c r="J78" s="28"/>
      <c r="K78" s="29"/>
    </row>
    <row r="79" spans="9:37" ht="15.95" hidden="1" customHeight="1">
      <c r="J79" s="28"/>
      <c r="K79" s="29"/>
    </row>
    <row r="80" spans="9:37" ht="15.95" hidden="1" customHeight="1">
      <c r="J80" s="28"/>
      <c r="K80" s="29"/>
    </row>
    <row r="81" spans="10:11" ht="15.75" hidden="1" customHeight="1">
      <c r="J81" s="28"/>
      <c r="K81" s="29"/>
    </row>
    <row r="82" spans="10:11" ht="15.95" hidden="1" customHeight="1"/>
    <row r="83" spans="10:11" ht="15.95" hidden="1" customHeight="1"/>
    <row r="84" spans="10:11" ht="15.95" hidden="1" customHeight="1"/>
    <row r="85" spans="10:11" ht="15.95" hidden="1" customHeight="1"/>
    <row r="86" spans="10:11" ht="15.95" hidden="1" customHeight="1"/>
    <row r="87" spans="10:11" ht="15.95" hidden="1" customHeight="1"/>
    <row r="88" spans="10:11" ht="15.95" hidden="1" customHeight="1"/>
    <row r="89" spans="10:11" ht="15.95" hidden="1" customHeight="1"/>
    <row r="90" spans="10:11" ht="15.95" hidden="1" customHeight="1"/>
    <row r="91" spans="10:11" ht="15.95" hidden="1" customHeight="1"/>
    <row r="92" spans="10:11" ht="15.95" hidden="1" customHeight="1"/>
    <row r="93" spans="10:11" ht="15.95" hidden="1" customHeight="1"/>
    <row r="94" spans="10:11" ht="15.95" hidden="1" customHeight="1"/>
    <row r="95" spans="10:11" ht="15.95" hidden="1" customHeight="1"/>
    <row r="96" spans="10:11" ht="15.95" hidden="1" customHeight="1"/>
    <row r="97" spans="79:80" ht="15.95" hidden="1" customHeight="1"/>
    <row r="98" spans="79:80" ht="15.95" hidden="1" customHeight="1">
      <c r="CA98" s="159"/>
      <c r="CB98" s="14"/>
    </row>
    <row r="99" spans="79:80" ht="15.95" hidden="1" customHeight="1">
      <c r="CA99" s="159"/>
      <c r="CB99" s="14"/>
    </row>
    <row r="100" spans="79:80" ht="15.95" hidden="1" customHeight="1">
      <c r="CA100" s="159"/>
      <c r="CB100" s="14"/>
    </row>
    <row r="101" spans="79:80" ht="15.95" hidden="1" customHeight="1">
      <c r="CA101" s="159"/>
      <c r="CB101" s="14"/>
    </row>
    <row r="102" spans="79:80" ht="15.95" hidden="1" customHeight="1">
      <c r="CA102" s="159"/>
      <c r="CB102" s="14"/>
    </row>
    <row r="103" spans="79:80" ht="15.95" hidden="1" customHeight="1">
      <c r="CA103" s="159"/>
      <c r="CB103" s="14"/>
    </row>
    <row r="104" spans="79:80" ht="15.95" hidden="1" customHeight="1">
      <c r="CA104" s="159"/>
      <c r="CB104" s="14"/>
    </row>
    <row r="105" spans="79:80" ht="15.95" hidden="1" customHeight="1">
      <c r="CA105" s="159"/>
      <c r="CB105" s="14"/>
    </row>
    <row r="106" spans="79:80" ht="15.95" hidden="1" customHeight="1">
      <c r="CA106" s="159"/>
      <c r="CB106" s="14"/>
    </row>
    <row r="107" spans="79:80" ht="15.95" hidden="1" customHeight="1">
      <c r="CA107" s="159"/>
      <c r="CB107" s="14"/>
    </row>
    <row r="108" spans="79:80" ht="15.95" hidden="1" customHeight="1">
      <c r="CA108" s="159"/>
      <c r="CB108" s="14"/>
    </row>
    <row r="109" spans="79:80" ht="15.95" hidden="1" customHeight="1">
      <c r="CA109" s="159"/>
      <c r="CB109" s="14"/>
    </row>
    <row r="110" spans="79:80" ht="15.95" hidden="1" customHeight="1">
      <c r="CA110" s="159"/>
      <c r="CB110" s="14"/>
    </row>
    <row r="111" spans="79:80" ht="15.95" hidden="1" customHeight="1">
      <c r="CA111" s="159"/>
      <c r="CB111" s="14"/>
    </row>
    <row r="112" spans="79:80" ht="15.95" hidden="1" customHeight="1">
      <c r="CA112" s="159"/>
      <c r="CB112" s="14"/>
    </row>
    <row r="113" spans="79:80" ht="15.95" hidden="1" customHeight="1">
      <c r="CA113" s="159"/>
      <c r="CB113" s="14"/>
    </row>
    <row r="114" spans="79:80" ht="15.95" hidden="1" customHeight="1">
      <c r="CA114" s="159"/>
      <c r="CB114" s="14"/>
    </row>
    <row r="115" spans="79:80" ht="15.95" hidden="1" customHeight="1">
      <c r="CA115" s="159"/>
      <c r="CB115" s="14"/>
    </row>
    <row r="116" spans="79:80" ht="15.95" hidden="1" customHeight="1">
      <c r="CA116" s="159"/>
      <c r="CB116" s="14"/>
    </row>
    <row r="117" spans="79:80" ht="15.95" hidden="1" customHeight="1">
      <c r="CA117" s="159"/>
      <c r="CB117" s="14"/>
    </row>
    <row r="118" spans="79:80" ht="15.95" hidden="1" customHeight="1">
      <c r="CA118" s="159"/>
      <c r="CB118" s="14"/>
    </row>
    <row r="119" spans="79:80" ht="15.95" hidden="1" customHeight="1">
      <c r="CA119" s="159"/>
      <c r="CB119" s="14"/>
    </row>
    <row r="120" spans="79:80" ht="15.95" hidden="1" customHeight="1">
      <c r="CA120" s="159"/>
      <c r="CB120" s="14"/>
    </row>
    <row r="121" spans="79:80" ht="15.95" hidden="1" customHeight="1">
      <c r="CA121" s="159"/>
      <c r="CB121" s="14"/>
    </row>
    <row r="122" spans="79:80" ht="15.95" hidden="1" customHeight="1">
      <c r="CA122" s="159"/>
      <c r="CB122" s="14"/>
    </row>
    <row r="123" spans="79:80" ht="15.95" hidden="1" customHeight="1">
      <c r="CA123" s="159"/>
      <c r="CB123" s="14"/>
    </row>
    <row r="124" spans="79:80" ht="15.95" hidden="1" customHeight="1">
      <c r="CA124" s="159"/>
      <c r="CB124" s="14"/>
    </row>
    <row r="125" spans="79:80" ht="15.95" hidden="1" customHeight="1">
      <c r="CA125" s="159"/>
      <c r="CB125" s="14"/>
    </row>
    <row r="126" spans="79:80" ht="15.95" hidden="1" customHeight="1">
      <c r="CA126" s="159"/>
      <c r="CB126" s="14"/>
    </row>
    <row r="127" spans="79:80" ht="15.95" hidden="1" customHeight="1">
      <c r="CA127" s="159"/>
      <c r="CB127" s="14"/>
    </row>
    <row r="128" spans="79:80" ht="15.95" hidden="1" customHeight="1">
      <c r="CA128" s="159"/>
      <c r="CB128" s="14"/>
    </row>
    <row r="129" spans="79:80" ht="15.95" hidden="1" customHeight="1">
      <c r="CA129" s="159"/>
      <c r="CB129" s="14"/>
    </row>
    <row r="130" spans="79:80" ht="15.95" hidden="1" customHeight="1">
      <c r="CA130" s="159"/>
      <c r="CB130" s="14"/>
    </row>
    <row r="131" spans="79:80" ht="15.95" hidden="1" customHeight="1">
      <c r="CA131" s="159"/>
      <c r="CB131" s="14"/>
    </row>
    <row r="132" spans="79:80" ht="15.95" hidden="1" customHeight="1">
      <c r="CA132" s="159"/>
      <c r="CB132" s="14"/>
    </row>
    <row r="133" spans="79:80" ht="15.95" hidden="1" customHeight="1">
      <c r="CA133" s="159"/>
      <c r="CB133" s="14"/>
    </row>
    <row r="134" spans="79:80" ht="15.95" hidden="1" customHeight="1">
      <c r="CA134" s="159"/>
      <c r="CB134" s="14"/>
    </row>
    <row r="135" spans="79:80" ht="15.95" hidden="1" customHeight="1">
      <c r="CA135" s="159"/>
      <c r="CB135" s="14"/>
    </row>
    <row r="136" spans="79:80" ht="15.95" hidden="1" customHeight="1">
      <c r="CA136" s="159"/>
      <c r="CB136" s="14"/>
    </row>
    <row r="137" spans="79:80" ht="15.95" hidden="1" customHeight="1">
      <c r="CA137" s="159"/>
      <c r="CB137" s="14"/>
    </row>
    <row r="138" spans="79:80" ht="15.95" hidden="1" customHeight="1">
      <c r="CA138" s="159"/>
      <c r="CB138" s="14"/>
    </row>
    <row r="139" spans="79:80" ht="15.95" hidden="1" customHeight="1">
      <c r="CA139" s="159"/>
      <c r="CB139" s="14"/>
    </row>
    <row r="140" spans="79:80" ht="15.95" hidden="1" customHeight="1">
      <c r="CA140" s="159"/>
      <c r="CB140" s="14"/>
    </row>
    <row r="141" spans="79:80" ht="15.95" hidden="1" customHeight="1">
      <c r="CA141" s="159"/>
      <c r="CB141" s="14"/>
    </row>
    <row r="142" spans="79:80" ht="15.95" hidden="1" customHeight="1">
      <c r="CA142" s="159"/>
      <c r="CB142" s="14"/>
    </row>
    <row r="143" spans="79:80" ht="15.95" hidden="1" customHeight="1">
      <c r="CA143" s="159"/>
      <c r="CB143" s="14"/>
    </row>
    <row r="144" spans="79:80" ht="15.95" hidden="1" customHeight="1">
      <c r="CA144" s="159"/>
      <c r="CB144" s="14"/>
    </row>
    <row r="145" spans="79:80" ht="15.95" hidden="1" customHeight="1">
      <c r="CA145" s="159"/>
      <c r="CB145" s="14"/>
    </row>
    <row r="146" spans="79:80" ht="15.95" hidden="1" customHeight="1">
      <c r="CA146" s="159"/>
      <c r="CB146" s="14"/>
    </row>
    <row r="147" spans="79:80" ht="15.95" hidden="1" customHeight="1">
      <c r="CA147" s="159"/>
      <c r="CB147" s="14"/>
    </row>
    <row r="148" spans="79:80" ht="15.95" hidden="1" customHeight="1">
      <c r="CA148" s="159"/>
      <c r="CB148" s="14"/>
    </row>
    <row r="149" spans="79:80" ht="15.95" hidden="1" customHeight="1">
      <c r="CA149" s="159"/>
      <c r="CB149" s="14"/>
    </row>
    <row r="150" spans="79:80" ht="15.95" hidden="1" customHeight="1">
      <c r="CA150" s="159"/>
      <c r="CB150" s="14"/>
    </row>
    <row r="151" spans="79:80" ht="15.95" hidden="1" customHeight="1">
      <c r="CA151" s="159"/>
      <c r="CB151" s="14"/>
    </row>
    <row r="152" spans="79:80" ht="15.95" hidden="1" customHeight="1">
      <c r="CA152" s="159"/>
      <c r="CB152" s="14"/>
    </row>
    <row r="153" spans="79:80" ht="15.95" hidden="1" customHeight="1">
      <c r="CA153" s="159"/>
      <c r="CB153" s="14"/>
    </row>
    <row r="154" spans="79:80" ht="15.95" hidden="1" customHeight="1">
      <c r="CA154" s="159"/>
      <c r="CB154" s="14"/>
    </row>
    <row r="155" spans="79:80" ht="15.95" hidden="1" customHeight="1">
      <c r="CA155" s="159"/>
      <c r="CB155" s="14"/>
    </row>
    <row r="156" spans="79:80" ht="15.95" hidden="1" customHeight="1">
      <c r="CA156" s="159"/>
      <c r="CB156" s="14"/>
    </row>
    <row r="157" spans="79:80" ht="15.95" hidden="1" customHeight="1">
      <c r="CA157" s="159"/>
      <c r="CB157" s="14"/>
    </row>
    <row r="158" spans="79:80" ht="15.95" hidden="1" customHeight="1">
      <c r="CA158" s="159"/>
      <c r="CB158" s="14"/>
    </row>
    <row r="159" spans="79:80" ht="15.95" hidden="1" customHeight="1">
      <c r="CA159" s="159"/>
      <c r="CB159" s="14"/>
    </row>
    <row r="160" spans="79:80" ht="15.95" hidden="1" customHeight="1">
      <c r="CA160" s="159"/>
      <c r="CB160" s="14"/>
    </row>
    <row r="161" spans="79:80" ht="15.95" hidden="1" customHeight="1">
      <c r="CA161" s="159"/>
      <c r="CB161" s="14"/>
    </row>
    <row r="162" spans="79:80" ht="15.95" hidden="1" customHeight="1">
      <c r="CA162" s="159"/>
      <c r="CB162" s="14"/>
    </row>
    <row r="163" spans="79:80" ht="15.95" hidden="1" customHeight="1">
      <c r="CA163" s="159"/>
      <c r="CB163" s="14"/>
    </row>
    <row r="164" spans="79:80" ht="15.95" hidden="1" customHeight="1">
      <c r="CA164" s="159"/>
      <c r="CB164" s="14"/>
    </row>
    <row r="165" spans="79:80" ht="15.95" hidden="1" customHeight="1">
      <c r="CA165" s="159"/>
      <c r="CB165" s="14"/>
    </row>
    <row r="166" spans="79:80" ht="15.95" hidden="1" customHeight="1">
      <c r="CA166" s="159"/>
      <c r="CB166" s="14"/>
    </row>
    <row r="167" spans="79:80" ht="15.95" hidden="1" customHeight="1">
      <c r="CA167" s="159"/>
      <c r="CB167" s="14"/>
    </row>
    <row r="168" spans="79:80" ht="15.95" hidden="1" customHeight="1">
      <c r="CA168" s="159"/>
      <c r="CB168" s="14"/>
    </row>
    <row r="169" spans="79:80" ht="15.95" hidden="1" customHeight="1">
      <c r="CA169" s="159"/>
      <c r="CB169" s="14"/>
    </row>
    <row r="170" spans="79:80" ht="15.95" hidden="1" customHeight="1">
      <c r="CA170" s="159"/>
      <c r="CB170" s="14"/>
    </row>
    <row r="171" spans="79:80" ht="15.95" hidden="1" customHeight="1">
      <c r="CA171" s="159"/>
      <c r="CB171" s="14"/>
    </row>
    <row r="172" spans="79:80" ht="15.95" hidden="1" customHeight="1">
      <c r="CA172" s="159"/>
      <c r="CB172" s="14"/>
    </row>
    <row r="173" spans="79:80" ht="15.95" hidden="1" customHeight="1">
      <c r="CA173" s="159"/>
      <c r="CB173" s="14"/>
    </row>
    <row r="174" spans="79:80" ht="15.95" hidden="1" customHeight="1">
      <c r="CA174" s="159"/>
      <c r="CB174" s="14"/>
    </row>
    <row r="175" spans="79:80" ht="15.95" hidden="1" customHeight="1">
      <c r="CA175" s="159"/>
      <c r="CB175" s="14"/>
    </row>
    <row r="176" spans="79:80" ht="15.95" hidden="1" customHeight="1">
      <c r="CA176" s="159"/>
      <c r="CB176" s="14"/>
    </row>
    <row r="177" spans="79:80" ht="15.95" hidden="1" customHeight="1">
      <c r="CA177" s="159"/>
      <c r="CB177" s="14"/>
    </row>
    <row r="178" spans="79:80" ht="15.95" hidden="1" customHeight="1">
      <c r="CA178" s="159"/>
      <c r="CB178" s="14"/>
    </row>
    <row r="179" spans="79:80" ht="15.95" hidden="1" customHeight="1">
      <c r="CA179" s="159"/>
      <c r="CB179" s="14"/>
    </row>
    <row r="180" spans="79:80" ht="15.95" hidden="1" customHeight="1">
      <c r="CA180" s="159"/>
      <c r="CB180" s="14"/>
    </row>
    <row r="181" spans="79:80" ht="15.95" hidden="1" customHeight="1">
      <c r="CA181" s="159"/>
      <c r="CB181" s="14"/>
    </row>
    <row r="182" spans="79:80" ht="15.95" hidden="1" customHeight="1">
      <c r="CA182" s="159"/>
      <c r="CB182" s="14"/>
    </row>
    <row r="183" spans="79:80" ht="15.95" hidden="1" customHeight="1">
      <c r="CA183" s="159"/>
      <c r="CB183" s="14"/>
    </row>
    <row r="184" spans="79:80" ht="15.95" hidden="1" customHeight="1">
      <c r="CA184" s="159"/>
      <c r="CB184" s="14"/>
    </row>
    <row r="185" spans="79:80" ht="15.95" hidden="1" customHeight="1">
      <c r="CA185" s="159"/>
      <c r="CB185" s="14"/>
    </row>
    <row r="186" spans="79:80" ht="15.95" hidden="1" customHeight="1">
      <c r="CA186" s="159"/>
      <c r="CB186" s="14"/>
    </row>
    <row r="187" spans="79:80" ht="15.95" hidden="1" customHeight="1">
      <c r="CA187" s="159"/>
      <c r="CB187" s="14"/>
    </row>
    <row r="188" spans="79:80" ht="15.95" hidden="1" customHeight="1">
      <c r="CA188" s="159"/>
      <c r="CB188" s="14"/>
    </row>
    <row r="189" spans="79:80" ht="15.95" hidden="1" customHeight="1">
      <c r="CA189" s="159"/>
      <c r="CB189" s="14"/>
    </row>
    <row r="190" spans="79:80" ht="15.95" hidden="1" customHeight="1">
      <c r="CA190" s="159"/>
      <c r="CB190" s="14"/>
    </row>
    <row r="191" spans="79:80" ht="15.95" hidden="1" customHeight="1">
      <c r="CA191" s="159"/>
      <c r="CB191" s="14"/>
    </row>
    <row r="192" spans="79:80" ht="15.95" hidden="1" customHeight="1">
      <c r="CA192" s="159"/>
      <c r="CB192" s="14"/>
    </row>
    <row r="193" spans="2:80" ht="15.95" hidden="1" customHeight="1">
      <c r="CA193" s="159"/>
      <c r="CB193" s="14"/>
    </row>
    <row r="194" spans="2:80" ht="15.95" hidden="1" customHeight="1">
      <c r="CA194" s="159"/>
      <c r="CB194" s="14"/>
    </row>
    <row r="195" spans="2:80" ht="15.95" hidden="1" customHeight="1">
      <c r="CA195" s="159"/>
      <c r="CB195" s="14"/>
    </row>
    <row r="196" spans="2:80" ht="15.95" hidden="1" customHeight="1">
      <c r="CA196" s="159"/>
      <c r="CB196" s="14"/>
    </row>
    <row r="197" spans="2:80" ht="15.95" hidden="1" customHeight="1">
      <c r="CA197" s="159"/>
      <c r="CB197" s="14"/>
    </row>
    <row r="198" spans="2:80" ht="15.95" hidden="1" customHeight="1">
      <c r="CA198" s="159"/>
      <c r="CB198" s="14"/>
    </row>
    <row r="199" spans="2:80" ht="15.95" hidden="1" customHeight="1"/>
    <row r="200" spans="2:80" ht="15.95" customHeight="1">
      <c r="B200" s="272" t="str">
        <f>FOOT1</f>
        <v>NIPSCO Energy Efficiency Program</v>
      </c>
      <c r="C200" s="272"/>
      <c r="D200" s="272"/>
      <c r="E200" s="272"/>
      <c r="F200" s="272"/>
      <c r="G200" s="272"/>
      <c r="H200" s="272"/>
      <c r="I200" s="272"/>
      <c r="J200" s="272"/>
      <c r="K200" s="272"/>
      <c r="L200" s="272"/>
      <c r="M200" s="656" t="str">
        <f>FOOT4</f>
        <v>NIPSCO’s energy efficiency programs are administered by TRC, a third‐party implementation specialist that helps homes and businesses save energy.</v>
      </c>
      <c r="N200" s="656"/>
      <c r="O200" s="656"/>
      <c r="P200" s="656"/>
      <c r="Q200" s="656"/>
      <c r="R200" s="656"/>
      <c r="S200" s="656"/>
      <c r="T200" s="656"/>
      <c r="U200" s="656"/>
      <c r="V200" s="656"/>
      <c r="W200" s="656"/>
      <c r="X200" s="656"/>
      <c r="Y200" s="656"/>
      <c r="Z200" s="656"/>
      <c r="AA200" s="656"/>
      <c r="AB200" s="656"/>
      <c r="AC200" s="656"/>
      <c r="AD200" s="656"/>
      <c r="AE200" s="656"/>
      <c r="AF200" s="656"/>
      <c r="AG200" s="656"/>
      <c r="AH200" s="272"/>
      <c r="AI200" s="272"/>
      <c r="AJ200" s="272"/>
      <c r="AK200" s="272"/>
      <c r="AL200" s="272"/>
      <c r="AM200" s="272"/>
      <c r="AN200" s="272"/>
      <c r="AO200" s="272"/>
      <c r="AP200" s="272"/>
      <c r="AQ200" s="272"/>
      <c r="AR200" s="273" t="str">
        <f>FOOTDISCLAIM</f>
        <v/>
      </c>
    </row>
    <row r="201" spans="2:80" ht="15.95" customHeight="1">
      <c r="B201" s="272" t="str">
        <f>FOOT2</f>
        <v>Toll-Free 800-299-2501</v>
      </c>
      <c r="C201" s="272"/>
      <c r="D201" s="272"/>
      <c r="E201" s="272"/>
      <c r="F201" s="272"/>
      <c r="G201" s="272"/>
      <c r="H201" s="272"/>
      <c r="I201" s="272"/>
      <c r="J201" s="272"/>
      <c r="K201" s="272"/>
      <c r="L201" s="272"/>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272"/>
      <c r="AI201" s="272"/>
      <c r="AJ201" s="272"/>
      <c r="AK201" s="272"/>
      <c r="AL201" s="272"/>
      <c r="AM201" s="272"/>
      <c r="AN201" s="272"/>
      <c r="AO201" s="272"/>
      <c r="AP201" s="272"/>
      <c r="AQ201" s="272"/>
      <c r="AR201" s="273" t="str">
        <f>FOOT5</f>
        <v/>
      </c>
    </row>
    <row r="202" spans="2:80" ht="15.95" customHeight="1">
      <c r="B202" s="281" t="str">
        <f>FOOT3</f>
        <v>NIPSCO.Savings@TRCcompanies.com</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v3.7.0</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6" spans="2:80" ht="15" hidden="1" customHeight="1">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c r="AJ206" s="305"/>
      <c r="AK206" s="305"/>
      <c r="AL206" s="305"/>
      <c r="AM206" s="305"/>
      <c r="AN206" s="305"/>
      <c r="AO206" s="305"/>
      <c r="AP206" s="305"/>
      <c r="AQ206" s="305"/>
      <c r="AR206" s="305"/>
    </row>
    <row r="207" spans="2:80" ht="15" hidden="1" customHeight="1">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c r="AJ207" s="305"/>
      <c r="AK207" s="305"/>
      <c r="AL207" s="305"/>
      <c r="AM207" s="305"/>
      <c r="AN207" s="305"/>
      <c r="AO207" s="305"/>
      <c r="AP207" s="305"/>
      <c r="AQ207" s="305"/>
      <c r="AR207" s="305"/>
    </row>
    <row r="208" spans="2:80" ht="15" hidden="1" customHeight="1">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c r="AJ208" s="305"/>
      <c r="AK208" s="305"/>
      <c r="AL208" s="305"/>
      <c r="AM208" s="305"/>
      <c r="AN208" s="305"/>
      <c r="AO208" s="305"/>
      <c r="AP208" s="305"/>
      <c r="AQ208" s="305"/>
      <c r="AR208" s="305"/>
    </row>
  </sheetData>
  <sheetProtection algorithmName="SHA-512" hashValue="xVniZc1Yt0qCEFf42Na/kauFkOzYhK8pPGBNiOQxvZPkghTzZA6XteccH2Yo0QAzWhfuDoy1gSjzROTuu0Iq8Q==" saltValue="bhPL6sdaFuziw/m3I+XTRA==" spinCount="100000" sheet="1" objects="1" scenarios="1" selectLockedCells="1"/>
  <mergeCells count="76">
    <mergeCell ref="AQ1:AR1"/>
    <mergeCell ref="AQ2:AR3"/>
    <mergeCell ref="J72:AJ73"/>
    <mergeCell ref="J62:AJ70"/>
    <mergeCell ref="X42:AJ43"/>
    <mergeCell ref="AB44:AI44"/>
    <mergeCell ref="X53:AJ54"/>
    <mergeCell ref="AH49:AJ49"/>
    <mergeCell ref="AB49:AG49"/>
    <mergeCell ref="AB45:AG45"/>
    <mergeCell ref="J53:V55"/>
    <mergeCell ref="AF38:AI38"/>
    <mergeCell ref="AB38:AE38"/>
    <mergeCell ref="X38:AA38"/>
    <mergeCell ref="P27:U27"/>
    <mergeCell ref="AH1:AK1"/>
    <mergeCell ref="AL1:AP1"/>
    <mergeCell ref="AH2:AK3"/>
    <mergeCell ref="AL2:AP3"/>
    <mergeCell ref="AD25:AI25"/>
    <mergeCell ref="F10:AN10"/>
    <mergeCell ref="X22:AJ23"/>
    <mergeCell ref="AD26:AI26"/>
    <mergeCell ref="AD27:AI27"/>
    <mergeCell ref="H11:AL12"/>
    <mergeCell ref="J19:W21"/>
    <mergeCell ref="J22:W23"/>
    <mergeCell ref="J25:N28"/>
    <mergeCell ref="P25:U25"/>
    <mergeCell ref="P26:U26"/>
    <mergeCell ref="P28:U28"/>
    <mergeCell ref="AC19:AJ21"/>
    <mergeCell ref="W27:AB27"/>
    <mergeCell ref="W28:AB28"/>
    <mergeCell ref="W26:AB26"/>
    <mergeCell ref="AD28:AI28"/>
    <mergeCell ref="W25:AB25"/>
    <mergeCell ref="N16:AC18"/>
    <mergeCell ref="M200:AG201"/>
    <mergeCell ref="Y40:AI41"/>
    <mergeCell ref="S58:U58"/>
    <mergeCell ref="K58:Q58"/>
    <mergeCell ref="AB48:AG48"/>
    <mergeCell ref="L46:U47"/>
    <mergeCell ref="L48:U49"/>
    <mergeCell ref="J42:V45"/>
    <mergeCell ref="AB47:AG47"/>
    <mergeCell ref="Y51:AI52"/>
    <mergeCell ref="K51:U52"/>
    <mergeCell ref="Z58:AI59"/>
    <mergeCell ref="AB46:AG46"/>
    <mergeCell ref="Z56:AI57"/>
    <mergeCell ref="AF37:AI37"/>
    <mergeCell ref="AB35:AE35"/>
    <mergeCell ref="K40:U41"/>
    <mergeCell ref="P32:U32"/>
    <mergeCell ref="AB36:AE36"/>
    <mergeCell ref="AF35:AI35"/>
    <mergeCell ref="AB37:AE37"/>
    <mergeCell ref="J35:N38"/>
    <mergeCell ref="X35:AA35"/>
    <mergeCell ref="X36:AA36"/>
    <mergeCell ref="X37:AA37"/>
    <mergeCell ref="T35:W35"/>
    <mergeCell ref="T36:W36"/>
    <mergeCell ref="T37:W37"/>
    <mergeCell ref="J30:N33"/>
    <mergeCell ref="T38:W38"/>
    <mergeCell ref="AF36:AI36"/>
    <mergeCell ref="P33:U33"/>
    <mergeCell ref="W30:AB30"/>
    <mergeCell ref="W32:AB32"/>
    <mergeCell ref="W33:AB33"/>
    <mergeCell ref="P30:U30"/>
    <mergeCell ref="P31:U31"/>
    <mergeCell ref="W31:AB31"/>
  </mergeCells>
  <conditionalFormatting sqref="K58">
    <cfRule type="containsBlanks" dxfId="34" priority="4">
      <formula>LEN(TRIM(K58))=0</formula>
    </cfRule>
    <cfRule type="expression" dxfId="33" priority="5">
      <formula>K58&lt;&gt;"Customer Signature"</formula>
    </cfRule>
  </conditionalFormatting>
  <conditionalFormatting sqref="P28:U28">
    <cfRule type="beginsWith" dxfId="32" priority="1" operator="beginsWith" text=", IN ">
      <formula>LEFT(P28,LEN(", IN "))=", IN "</formula>
    </cfRule>
  </conditionalFormatting>
  <conditionalFormatting sqref="S58">
    <cfRule type="containsBlanks" dxfId="31" priority="2">
      <formula>LEN(TRIM(S58))=0</formula>
    </cfRule>
    <cfRule type="expression" dxfId="30" priority="3">
      <formula>S58&lt;&gt;"Date"</formula>
    </cfRule>
  </conditionalFormatting>
  <conditionalFormatting sqref="AH2 AL2">
    <cfRule type="expression" dxfId="29" priority="7">
      <formula>PROJSTATUS=PROJSTATELI</formula>
    </cfRule>
    <cfRule type="expression" dxfId="28" priority="8">
      <formula>PROJSTATUS=PROJSTATREVIEW</formula>
    </cfRule>
    <cfRule type="expression" dxfId="27" priority="12">
      <formula>PROJSTATUS=PROJSTATPREAPPROVE</formula>
    </cfRule>
    <cfRule type="expression" dxfId="26" priority="13">
      <formula>PROJSTATUS=PROJSTATSTANDARD</formula>
    </cfRule>
    <cfRule type="expression" dxfId="25" priority="14">
      <formula>PROJSTATUS=PROJSTATEXP</formula>
    </cfRule>
  </conditionalFormatting>
  <conditionalFormatting sqref="AQ2:AR3">
    <cfRule type="cellIs" dxfId="24" priority="9" operator="equal">
      <formula>1</formula>
    </cfRule>
    <cfRule type="cellIs" dxfId="23" priority="10" operator="between">
      <formula>0.51</formula>
      <formula>0.99</formula>
    </cfRule>
    <cfRule type="cellIs" dxfId="22" priority="11" operator="lessThanOrEqual">
      <formula>0.5</formula>
    </cfRule>
  </conditionalFormatting>
  <hyperlinks>
    <hyperlink ref="B202" r:id="rId1" display="NIPSCO.Savings@TRCcompanies.com" xr:uid="{8E988957-97A9-43D0-85F9-4385588B860E}"/>
  </hyperlinks>
  <printOptions horizontalCentered="1" verticalCentered="1"/>
  <pageMargins left="0.3" right="0.3" top="0.3" bottom="0.3" header="0.25" footer="0.25"/>
  <pageSetup scale="7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0963" r:id="rId5" name="Check Box 3">
              <controlPr defaultSize="0" autoFill="0" autoLine="0" autoPict="0">
                <anchor moveWithCells="1">
                  <from>
                    <xdr:col>24</xdr:col>
                    <xdr:colOff>28575</xdr:colOff>
                    <xdr:row>55</xdr:row>
                    <xdr:rowOff>85725</xdr:rowOff>
                  </from>
                  <to>
                    <xdr:col>25</xdr:col>
                    <xdr:colOff>19050</xdr:colOff>
                    <xdr:row>56</xdr:row>
                    <xdr:rowOff>104775</xdr:rowOff>
                  </to>
                </anchor>
              </controlPr>
            </control>
          </mc:Choice>
        </mc:AlternateContent>
        <mc:AlternateContent xmlns:mc="http://schemas.openxmlformats.org/markup-compatibility/2006">
          <mc:Choice Requires="x14">
            <control shapeId="40964" r:id="rId6" name="Check Box 4">
              <controlPr defaultSize="0" autoFill="0" autoLine="0" autoPict="0">
                <anchor moveWithCells="1">
                  <from>
                    <xdr:col>24</xdr:col>
                    <xdr:colOff>28575</xdr:colOff>
                    <xdr:row>57</xdr:row>
                    <xdr:rowOff>85725</xdr:rowOff>
                  </from>
                  <to>
                    <xdr:col>25</xdr:col>
                    <xdr:colOff>19050</xdr:colOff>
                    <xdr:row>58</xdr:row>
                    <xdr:rowOff>104775</xdr:rowOff>
                  </to>
                </anchor>
              </controlPr>
            </control>
          </mc:Choice>
        </mc:AlternateContent>
        <mc:AlternateContent xmlns:mc="http://schemas.openxmlformats.org/markup-compatibility/2006">
          <mc:Choice Requires="x14">
            <control shapeId="40967" r:id="rId7" name="Check Box 7">
              <controlPr defaultSize="0" autoFill="0" autoLine="0" autoPict="0">
                <anchor moveWithCells="1">
                  <from>
                    <xdr:col>10</xdr:col>
                    <xdr:colOff>28575</xdr:colOff>
                    <xdr:row>45</xdr:row>
                    <xdr:rowOff>95250</xdr:rowOff>
                  </from>
                  <to>
                    <xdr:col>11</xdr:col>
                    <xdr:colOff>19050</xdr:colOff>
                    <xdr:row>46</xdr:row>
                    <xdr:rowOff>114300</xdr:rowOff>
                  </to>
                </anchor>
              </controlPr>
            </control>
          </mc:Choice>
        </mc:AlternateContent>
        <mc:AlternateContent xmlns:mc="http://schemas.openxmlformats.org/markup-compatibility/2006">
          <mc:Choice Requires="x14">
            <control shapeId="40968" r:id="rId8" name="Check Box 8">
              <controlPr defaultSize="0" autoFill="0" autoLine="0" autoPict="0">
                <anchor moveWithCells="1">
                  <from>
                    <xdr:col>10</xdr:col>
                    <xdr:colOff>28575</xdr:colOff>
                    <xdr:row>47</xdr:row>
                    <xdr:rowOff>9525</xdr:rowOff>
                  </from>
                  <to>
                    <xdr:col>11</xdr:col>
                    <xdr:colOff>19050</xdr:colOff>
                    <xdr:row>48</xdr:row>
                    <xdr:rowOff>28575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5">
    <pageSetUpPr fitToPage="1"/>
  </sheetPr>
  <dimension ref="A1:AS202"/>
  <sheetViews>
    <sheetView showGridLines="0" showRowColHeaders="0" zoomScale="85" zoomScaleNormal="85" workbookViewId="0">
      <selection activeCell="J43" sqref="J43:Q43"/>
    </sheetView>
  </sheetViews>
  <sheetFormatPr defaultColWidth="0" defaultRowHeight="15" customHeight="1" zeroHeight="1"/>
  <cols>
    <col min="1" max="45" width="4.7109375" customWidth="1"/>
    <col min="46" max="78" width="9.140625" hidden="1" customWidth="1"/>
    <col min="79" max="16384" width="9.140625" hidden="1"/>
  </cols>
  <sheetData>
    <row r="1" spans="6:44" ht="15.95" customHeight="1">
      <c r="AH1" s="681" t="s">
        <v>471</v>
      </c>
      <c r="AI1" s="681"/>
      <c r="AJ1" s="681"/>
      <c r="AK1" s="681"/>
      <c r="AL1" s="682" t="s">
        <v>736</v>
      </c>
      <c r="AM1" s="682"/>
      <c r="AN1" s="682"/>
      <c r="AO1" s="682"/>
      <c r="AP1" s="682"/>
      <c r="AQ1" s="678" t="s">
        <v>474</v>
      </c>
      <c r="AR1" s="678"/>
    </row>
    <row r="2" spans="6:44" ht="15.95" customHeight="1">
      <c r="AH2" s="683" t="str">
        <f ca="1">INCENSTATUS</f>
        <v>---</v>
      </c>
      <c r="AI2" s="684"/>
      <c r="AJ2" s="684"/>
      <c r="AK2" s="684"/>
      <c r="AL2" s="685" t="str">
        <f ca="1">PROJSTATUS</f>
        <v>Enter Measures</v>
      </c>
      <c r="AM2" s="685"/>
      <c r="AN2" s="685"/>
      <c r="AO2" s="685"/>
      <c r="AP2" s="685"/>
      <c r="AQ2" s="679">
        <f ca="1">PROGRESSSTATUS</f>
        <v>2.8985507246376812E-2</v>
      </c>
      <c r="AR2" s="680"/>
    </row>
    <row r="3" spans="6:44" ht="15.95" customHeight="1">
      <c r="AH3" s="675"/>
      <c r="AI3" s="676"/>
      <c r="AJ3" s="676"/>
      <c r="AK3" s="676"/>
      <c r="AL3" s="668"/>
      <c r="AM3" s="668"/>
      <c r="AN3" s="668"/>
      <c r="AO3" s="668"/>
      <c r="AP3" s="668"/>
      <c r="AQ3" s="662"/>
      <c r="AR3" s="663"/>
    </row>
    <row r="4" spans="6:44" ht="15.95" customHeight="1">
      <c r="AR4" s="171"/>
    </row>
    <row r="5" spans="6:44" ht="15.95" customHeight="1"/>
    <row r="6" spans="6:44" ht="15.95" customHeight="1"/>
    <row r="7" spans="6:44" ht="15.95" customHeight="1"/>
    <row r="8" spans="6:44" ht="15.95" customHeight="1"/>
    <row r="9" spans="6:44" ht="15.95" customHeight="1"/>
    <row r="10" spans="6:44" ht="15.95" customHeight="1">
      <c r="F10" s="686" t="s">
        <v>235</v>
      </c>
      <c r="G10" s="686"/>
      <c r="H10" s="686"/>
      <c r="I10" s="686"/>
      <c r="J10" s="686"/>
      <c r="K10" s="686"/>
      <c r="L10" s="686"/>
      <c r="M10" s="686"/>
      <c r="N10" s="686"/>
      <c r="O10" s="686"/>
      <c r="P10" s="686"/>
      <c r="Q10" s="686"/>
      <c r="R10" s="686"/>
      <c r="S10" s="686"/>
      <c r="T10" s="686"/>
      <c r="U10" s="686"/>
      <c r="V10" s="686"/>
      <c r="W10" s="686"/>
      <c r="X10" s="686"/>
      <c r="Y10" s="686"/>
      <c r="Z10" s="686"/>
      <c r="AA10" s="686"/>
      <c r="AB10" s="686"/>
      <c r="AC10" s="686"/>
      <c r="AD10" s="686"/>
      <c r="AE10" s="686"/>
      <c r="AF10" s="686"/>
      <c r="AG10" s="686"/>
      <c r="AH10" s="686"/>
      <c r="AI10" s="686"/>
      <c r="AJ10" s="686"/>
      <c r="AK10" s="686"/>
      <c r="AL10" s="686"/>
      <c r="AM10" s="686"/>
      <c r="AN10" s="686"/>
    </row>
    <row r="11" spans="6:44" ht="15.95" customHeight="1">
      <c r="F11" s="1290" t="s">
        <v>535</v>
      </c>
      <c r="G11" s="1290"/>
      <c r="H11" s="1290"/>
      <c r="I11" s="1290"/>
      <c r="J11" s="1290"/>
      <c r="K11" s="1290"/>
      <c r="L11" s="1290"/>
      <c r="M11" s="1290"/>
      <c r="N11" s="1290"/>
      <c r="O11" s="1290"/>
      <c r="P11" s="1290"/>
      <c r="Q11" s="1290"/>
      <c r="R11" s="1290"/>
      <c r="S11" s="1290"/>
      <c r="T11" s="1290"/>
      <c r="U11" s="1290"/>
      <c r="V11" s="1290"/>
      <c r="W11" s="1290"/>
      <c r="X11" s="1290"/>
      <c r="Y11" s="1290"/>
      <c r="Z11" s="1290"/>
      <c r="AA11" s="1290"/>
      <c r="AB11" s="1290"/>
      <c r="AC11" s="1290"/>
      <c r="AD11" s="1290"/>
      <c r="AE11" s="1290"/>
      <c r="AF11" s="1290"/>
      <c r="AG11" s="1290"/>
      <c r="AH11" s="1290"/>
      <c r="AI11" s="1290"/>
      <c r="AJ11" s="1290"/>
      <c r="AK11" s="1290"/>
      <c r="AL11" s="1290"/>
      <c r="AM11" s="1290"/>
      <c r="AN11" s="1290"/>
    </row>
    <row r="12" spans="6:44" ht="15.95" customHeight="1">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row>
    <row r="13" spans="6:44" ht="15.95" customHeight="1">
      <c r="F13" s="59"/>
      <c r="G13" s="59"/>
      <c r="H13" s="59"/>
      <c r="I13" s="101"/>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3"/>
      <c r="AL13" s="59"/>
      <c r="AM13" s="59"/>
      <c r="AN13" s="59"/>
    </row>
    <row r="14" spans="6:44" ht="15.95" customHeight="1">
      <c r="I14" s="104"/>
      <c r="J14" s="11" t="s">
        <v>515</v>
      </c>
      <c r="K14" s="26"/>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105"/>
    </row>
    <row r="15" spans="6:44" ht="15.95" customHeight="1">
      <c r="I15" s="104"/>
      <c r="J15" s="42" t="s">
        <v>1060</v>
      </c>
      <c r="K15" s="27"/>
      <c r="L15" s="27"/>
      <c r="M15" s="27"/>
      <c r="N15" s="27"/>
      <c r="O15" s="27"/>
      <c r="P15" s="27"/>
      <c r="T15" s="27"/>
      <c r="U15" s="27"/>
      <c r="V15" s="27"/>
      <c r="W15" s="27"/>
      <c r="X15" s="27"/>
      <c r="Y15" s="27"/>
      <c r="Z15" s="27"/>
      <c r="AA15" s="27"/>
      <c r="AB15" s="27"/>
      <c r="AC15" s="27"/>
      <c r="AD15" s="27"/>
      <c r="AE15" s="27"/>
      <c r="AF15" s="27"/>
      <c r="AG15" s="27"/>
      <c r="AH15" s="27"/>
      <c r="AI15" s="27"/>
      <c r="AJ15" s="27"/>
      <c r="AK15" s="105"/>
    </row>
    <row r="16" spans="6:44" ht="15.95" customHeight="1">
      <c r="I16" s="104"/>
      <c r="J16" s="116" t="s">
        <v>870</v>
      </c>
      <c r="K16" s="43"/>
      <c r="L16" s="43"/>
      <c r="N16" s="1371">
        <f>PROJID</f>
        <v>0</v>
      </c>
      <c r="O16" s="1371"/>
      <c r="P16" s="1371"/>
      <c r="Q16" s="27"/>
      <c r="R16" s="27"/>
      <c r="S16" s="27"/>
      <c r="T16" s="27"/>
      <c r="U16" s="27"/>
      <c r="V16" s="27"/>
      <c r="W16" s="27"/>
      <c r="X16" s="27"/>
      <c r="Y16" s="27"/>
      <c r="Z16" s="27"/>
      <c r="AA16" s="27"/>
      <c r="AB16" s="27"/>
      <c r="AC16" s="27"/>
      <c r="AD16" s="27"/>
      <c r="AE16" s="27"/>
      <c r="AF16" s="27"/>
      <c r="AG16" s="27"/>
      <c r="AH16" s="27"/>
      <c r="AI16" s="27"/>
      <c r="AJ16" s="27"/>
      <c r="AK16" s="105"/>
    </row>
    <row r="17" spans="9:37" ht="15.95" customHeight="1">
      <c r="I17" s="104"/>
      <c r="J17" s="1348" t="s">
        <v>126</v>
      </c>
      <c r="K17" s="1348"/>
      <c r="L17" s="1348"/>
      <c r="M17" s="1348"/>
      <c r="N17" s="1348"/>
      <c r="O17" s="1348"/>
      <c r="P17" s="1348"/>
      <c r="Q17" s="1348"/>
      <c r="R17" s="1348"/>
      <c r="S17" s="1348"/>
      <c r="T17" s="1348"/>
      <c r="U17" s="1348"/>
      <c r="V17" s="1348"/>
      <c r="W17" s="1348"/>
      <c r="X17" s="1348"/>
      <c r="Y17" s="1348"/>
      <c r="Z17" s="1348"/>
      <c r="AA17" s="1348"/>
      <c r="AB17" s="1348"/>
      <c r="AC17" s="1348"/>
      <c r="AD17" s="1348"/>
      <c r="AE17" s="1348"/>
      <c r="AF17" s="1348"/>
      <c r="AG17" s="1348"/>
      <c r="AH17" s="1348"/>
      <c r="AI17" s="1348"/>
      <c r="AJ17" s="1348"/>
      <c r="AK17" s="105"/>
    </row>
    <row r="18" spans="9:37" ht="15.95" customHeight="1">
      <c r="I18" s="104"/>
      <c r="J18" s="1363">
        <f>M02S02F13</f>
        <v>0</v>
      </c>
      <c r="K18" s="1363"/>
      <c r="L18" s="1363"/>
      <c r="M18" s="1363"/>
      <c r="N18" s="1363"/>
      <c r="O18" s="1363"/>
      <c r="P18" s="1363"/>
      <c r="Q18" s="1363"/>
      <c r="R18" s="1363"/>
      <c r="S18" s="1363"/>
      <c r="T18" s="1363"/>
      <c r="U18" s="1363"/>
      <c r="V18" s="1363"/>
      <c r="W18" s="1363"/>
      <c r="X18" s="1363"/>
      <c r="Y18" s="1363"/>
      <c r="Z18" s="1363"/>
      <c r="AA18" s="1363"/>
      <c r="AB18" s="1363"/>
      <c r="AC18" s="1363"/>
      <c r="AD18" s="1363"/>
      <c r="AE18" s="1363"/>
      <c r="AF18" s="1363"/>
      <c r="AG18" s="1363"/>
      <c r="AH18" s="1363"/>
      <c r="AI18" s="1363"/>
      <c r="AJ18" s="1363"/>
      <c r="AK18" s="105"/>
    </row>
    <row r="19" spans="9:37" ht="15.95" customHeight="1">
      <c r="I19" s="104"/>
      <c r="J19" s="1359" t="s">
        <v>127</v>
      </c>
      <c r="K19" s="1359"/>
      <c r="L19" s="1359"/>
      <c r="M19" s="1359"/>
      <c r="N19" s="1359"/>
      <c r="O19" s="1359"/>
      <c r="P19" s="1359"/>
      <c r="Q19" s="1359"/>
      <c r="R19" s="1359"/>
      <c r="S19" s="1359"/>
      <c r="T19" s="1359"/>
      <c r="U19" s="1359"/>
      <c r="V19" s="1359"/>
      <c r="W19" s="1359"/>
      <c r="X19" s="1359"/>
      <c r="Y19" s="1359"/>
      <c r="Z19" s="1359"/>
      <c r="AA19" s="1359"/>
      <c r="AB19" s="1359"/>
      <c r="AC19" s="1359"/>
      <c r="AD19" s="1359"/>
      <c r="AE19" s="1359"/>
      <c r="AF19" s="1359"/>
      <c r="AG19" s="1359"/>
      <c r="AH19" s="1359"/>
      <c r="AI19" s="1359"/>
      <c r="AJ19" s="1359"/>
      <c r="AK19" s="105"/>
    </row>
    <row r="20" spans="9:37" ht="15.95" customHeight="1">
      <c r="I20" s="104"/>
      <c r="J20" s="1363">
        <f>M02S02F01</f>
        <v>0</v>
      </c>
      <c r="K20" s="1363"/>
      <c r="L20" s="1363"/>
      <c r="M20" s="1363"/>
      <c r="N20" s="1363"/>
      <c r="O20" s="1363"/>
      <c r="P20" s="1363"/>
      <c r="Q20" s="1363"/>
      <c r="R20" s="1363"/>
      <c r="S20" s="1363"/>
      <c r="T20" s="1363"/>
      <c r="U20" s="1363"/>
      <c r="V20" s="1363"/>
      <c r="W20" s="1363" t="str">
        <f>CONCATENATE(M02S02F02," ",M02S02F03)</f>
        <v xml:space="preserve"> </v>
      </c>
      <c r="X20" s="1363"/>
      <c r="Y20" s="1363"/>
      <c r="Z20" s="1363"/>
      <c r="AA20" s="1363"/>
      <c r="AB20" s="1363"/>
      <c r="AC20" s="1363"/>
      <c r="AD20" s="1363">
        <f>M02S02F04</f>
        <v>0</v>
      </c>
      <c r="AE20" s="1363"/>
      <c r="AF20" s="1363"/>
      <c r="AG20" s="1363"/>
      <c r="AH20" s="1363"/>
      <c r="AI20" s="1363"/>
      <c r="AJ20" s="1363"/>
      <c r="AK20" s="105"/>
    </row>
    <row r="21" spans="9:37" ht="15.95" customHeight="1">
      <c r="I21" s="104"/>
      <c r="J21" s="1359" t="s">
        <v>117</v>
      </c>
      <c r="K21" s="1359"/>
      <c r="L21" s="1359"/>
      <c r="M21" s="1359"/>
      <c r="N21" s="1359"/>
      <c r="O21" s="1359"/>
      <c r="P21" s="1359"/>
      <c r="Q21" s="1359"/>
      <c r="R21" s="1359"/>
      <c r="S21" s="1359"/>
      <c r="T21" s="1359"/>
      <c r="U21" s="1359"/>
      <c r="V21" s="1359"/>
      <c r="W21" s="1359" t="s">
        <v>128</v>
      </c>
      <c r="X21" s="1359"/>
      <c r="Y21" s="1359"/>
      <c r="Z21" s="1359"/>
      <c r="AA21" s="1359"/>
      <c r="AB21" s="1359"/>
      <c r="AC21" s="1359"/>
      <c r="AD21" s="1360" t="s">
        <v>78</v>
      </c>
      <c r="AE21" s="1360"/>
      <c r="AF21" s="1360"/>
      <c r="AG21" s="1360"/>
      <c r="AH21" s="1360"/>
      <c r="AI21" s="1360"/>
      <c r="AJ21" s="1360"/>
      <c r="AK21" s="105"/>
    </row>
    <row r="22" spans="9:37" ht="15.95" customHeight="1">
      <c r="I22" s="104"/>
      <c r="J22" s="1366">
        <f>M02S02F05</f>
        <v>0</v>
      </c>
      <c r="K22" s="1366"/>
      <c r="L22" s="1366"/>
      <c r="M22" s="1366"/>
      <c r="N22" s="1366"/>
      <c r="O22" s="1366"/>
      <c r="P22" s="1366"/>
      <c r="Q22" s="1366"/>
      <c r="R22" s="1366"/>
      <c r="S22" s="1366">
        <f>M02S02F06</f>
        <v>0</v>
      </c>
      <c r="T22" s="1366"/>
      <c r="U22" s="1366"/>
      <c r="V22" s="1366"/>
      <c r="W22" s="1366"/>
      <c r="X22" s="1366"/>
      <c r="Y22" s="1366"/>
      <c r="Z22" s="1366"/>
      <c r="AA22" s="1366"/>
      <c r="AB22" s="1363">
        <f>M02S02F07</f>
        <v>0</v>
      </c>
      <c r="AC22" s="1363"/>
      <c r="AD22" s="1363"/>
      <c r="AE22" s="1363"/>
      <c r="AF22" s="1363"/>
      <c r="AG22" s="1363"/>
      <c r="AH22" s="1363"/>
      <c r="AI22" s="1363"/>
      <c r="AJ22" s="1363"/>
      <c r="AK22" s="105"/>
    </row>
    <row r="23" spans="9:37" ht="15.95" customHeight="1">
      <c r="I23" s="104"/>
      <c r="J23" s="1359" t="s">
        <v>79</v>
      </c>
      <c r="K23" s="1359"/>
      <c r="L23" s="1359"/>
      <c r="M23" s="1359"/>
      <c r="N23" s="1359"/>
      <c r="O23" s="1359"/>
      <c r="P23" s="1359"/>
      <c r="Q23" s="1359"/>
      <c r="R23" s="1359"/>
      <c r="S23" s="1360" t="s">
        <v>131</v>
      </c>
      <c r="T23" s="1360"/>
      <c r="U23" s="1360"/>
      <c r="V23" s="1360"/>
      <c r="W23" s="1360"/>
      <c r="X23" s="1360"/>
      <c r="Y23" s="1360"/>
      <c r="Z23" s="1360"/>
      <c r="AA23" s="1360"/>
      <c r="AB23" s="1360" t="s">
        <v>129</v>
      </c>
      <c r="AC23" s="1360"/>
      <c r="AD23" s="1360"/>
      <c r="AE23" s="1360"/>
      <c r="AF23" s="1360"/>
      <c r="AG23" s="1360"/>
      <c r="AH23" s="1360"/>
      <c r="AI23" s="1360"/>
      <c r="AJ23" s="1360"/>
      <c r="AK23" s="105"/>
    </row>
    <row r="24" spans="9:37" ht="15.95" customHeight="1">
      <c r="I24" s="104"/>
      <c r="J24" s="1363">
        <f>M02S02F08</f>
        <v>0</v>
      </c>
      <c r="K24" s="1363"/>
      <c r="L24" s="1363"/>
      <c r="M24" s="1363"/>
      <c r="N24" s="1363"/>
      <c r="O24" s="1363"/>
      <c r="P24" s="1363"/>
      <c r="Q24" s="1363"/>
      <c r="R24" s="1363"/>
      <c r="S24" s="1363"/>
      <c r="T24" s="1363"/>
      <c r="U24" s="1363"/>
      <c r="V24" s="1363">
        <f>M02S02F09</f>
        <v>0</v>
      </c>
      <c r="W24" s="1363"/>
      <c r="X24" s="1363"/>
      <c r="Y24" s="1363"/>
      <c r="Z24" s="1363"/>
      <c r="AA24" s="1363"/>
      <c r="AB24" s="1363"/>
      <c r="AC24" s="1363"/>
      <c r="AD24" s="1363"/>
      <c r="AE24" s="1363">
        <f>M02S02F10</f>
        <v>0</v>
      </c>
      <c r="AF24" s="1363"/>
      <c r="AG24" s="1363"/>
      <c r="AH24" s="1364">
        <f>M02S02F11</f>
        <v>0</v>
      </c>
      <c r="AI24" s="1364"/>
      <c r="AJ24" s="1364"/>
      <c r="AK24" s="105"/>
    </row>
    <row r="25" spans="9:37" ht="15.95" customHeight="1">
      <c r="I25" s="104"/>
      <c r="J25" s="1359" t="s">
        <v>86</v>
      </c>
      <c r="K25" s="1359"/>
      <c r="L25" s="1359"/>
      <c r="M25" s="1359"/>
      <c r="N25" s="1359"/>
      <c r="O25" s="1359"/>
      <c r="P25" s="1359"/>
      <c r="Q25" s="1359"/>
      <c r="R25" s="1359"/>
      <c r="S25" s="1359"/>
      <c r="T25" s="1359"/>
      <c r="U25" s="1359"/>
      <c r="V25" s="1360" t="s">
        <v>81</v>
      </c>
      <c r="W25" s="1360"/>
      <c r="X25" s="1360"/>
      <c r="Y25" s="1360"/>
      <c r="Z25" s="1360"/>
      <c r="AA25" s="1360"/>
      <c r="AB25" s="1360"/>
      <c r="AC25" s="1360"/>
      <c r="AD25" s="1360"/>
      <c r="AE25" s="1360" t="s">
        <v>82</v>
      </c>
      <c r="AF25" s="1360"/>
      <c r="AG25" s="1360"/>
      <c r="AH25" s="1360" t="s">
        <v>130</v>
      </c>
      <c r="AI25" s="1360"/>
      <c r="AJ25" s="1360"/>
      <c r="AK25" s="105"/>
    </row>
    <row r="26" spans="9:37" ht="15.95" customHeight="1">
      <c r="I26" s="104"/>
      <c r="J26" s="39"/>
      <c r="K26" s="39"/>
      <c r="L26" s="39"/>
      <c r="M26" s="39"/>
      <c r="N26" s="39"/>
      <c r="O26" s="39"/>
      <c r="P26" s="39"/>
      <c r="Q26" s="39"/>
      <c r="R26" s="39"/>
      <c r="S26" s="39"/>
      <c r="T26" s="39"/>
      <c r="U26" s="39"/>
      <c r="V26" s="38"/>
      <c r="W26" s="38"/>
      <c r="X26" s="38"/>
      <c r="Y26" s="38"/>
      <c r="Z26" s="38"/>
      <c r="AA26" s="38"/>
      <c r="AB26" s="38"/>
      <c r="AC26" s="38"/>
      <c r="AD26" s="38"/>
      <c r="AE26" s="38"/>
      <c r="AG26" s="38"/>
      <c r="AH26" s="40"/>
      <c r="AJ26" s="40"/>
      <c r="AK26" s="105"/>
    </row>
    <row r="27" spans="9:37" ht="15.95" customHeight="1">
      <c r="I27" s="104"/>
      <c r="J27" s="1348" t="s">
        <v>132</v>
      </c>
      <c r="K27" s="1348"/>
      <c r="L27" s="1348"/>
      <c r="M27" s="1348"/>
      <c r="N27" s="1348"/>
      <c r="O27" s="1348"/>
      <c r="P27" s="1348"/>
      <c r="Q27" s="1348"/>
      <c r="R27" s="1348"/>
      <c r="S27" s="1348"/>
      <c r="T27" s="1348"/>
      <c r="U27" s="1348"/>
      <c r="V27" s="1348"/>
      <c r="W27" s="1348"/>
      <c r="X27" s="1348"/>
      <c r="Y27" s="1348"/>
      <c r="Z27" s="1348"/>
      <c r="AA27" s="1348"/>
      <c r="AB27" s="1348"/>
      <c r="AC27" s="1348"/>
      <c r="AD27" s="1348"/>
      <c r="AE27" s="1348"/>
      <c r="AF27" s="1348"/>
      <c r="AG27" s="1348"/>
      <c r="AH27" s="1348"/>
      <c r="AI27" s="1348"/>
      <c r="AJ27" s="1348"/>
      <c r="AK27" s="105"/>
    </row>
    <row r="28" spans="9:37" ht="15.95" customHeight="1">
      <c r="I28" s="104"/>
      <c r="J28" s="1363" t="str">
        <f>CONCATENATE(M02S02F16," ",M02S02F17)</f>
        <v xml:space="preserve"> </v>
      </c>
      <c r="K28" s="1363"/>
      <c r="L28" s="1363"/>
      <c r="M28" s="1363"/>
      <c r="N28" s="1363"/>
      <c r="O28" s="1363"/>
      <c r="P28" s="1363"/>
      <c r="Q28" s="1363"/>
      <c r="R28" s="1363"/>
      <c r="S28" s="1366" t="str">
        <f>M02S02F19</f>
        <v/>
      </c>
      <c r="T28" s="1366"/>
      <c r="U28" s="1366"/>
      <c r="V28" s="1366"/>
      <c r="W28" s="1366"/>
      <c r="X28" s="1366"/>
      <c r="Y28" s="1366"/>
      <c r="Z28" s="1366"/>
      <c r="AA28" s="1366"/>
      <c r="AB28" s="1363" t="str">
        <f>M02S02F21</f>
        <v/>
      </c>
      <c r="AC28" s="1363"/>
      <c r="AD28" s="1363"/>
      <c r="AE28" s="1363"/>
      <c r="AF28" s="1363"/>
      <c r="AG28" s="1363"/>
      <c r="AH28" s="1363"/>
      <c r="AI28" s="1363"/>
      <c r="AJ28" s="1363"/>
      <c r="AK28" s="105"/>
    </row>
    <row r="29" spans="9:37" ht="15.95" customHeight="1">
      <c r="I29" s="104"/>
      <c r="J29" s="1359" t="s">
        <v>128</v>
      </c>
      <c r="K29" s="1359"/>
      <c r="L29" s="1359"/>
      <c r="M29" s="1359"/>
      <c r="N29" s="1359"/>
      <c r="O29" s="1359"/>
      <c r="P29" s="1359"/>
      <c r="Q29" s="1359"/>
      <c r="R29" s="1359"/>
      <c r="S29" s="1359" t="s">
        <v>79</v>
      </c>
      <c r="T29" s="1359"/>
      <c r="U29" s="1359"/>
      <c r="V29" s="1359"/>
      <c r="W29" s="1359"/>
      <c r="X29" s="1359"/>
      <c r="Y29" s="1359"/>
      <c r="Z29" s="1359"/>
      <c r="AA29" s="1359"/>
      <c r="AB29" s="1360" t="s">
        <v>129</v>
      </c>
      <c r="AC29" s="1360"/>
      <c r="AD29" s="1360"/>
      <c r="AE29" s="1360"/>
      <c r="AF29" s="1360"/>
      <c r="AG29" s="1360"/>
      <c r="AH29" s="1360"/>
      <c r="AI29" s="1360"/>
      <c r="AJ29" s="1360"/>
      <c r="AK29" s="105"/>
    </row>
    <row r="30" spans="9:37" ht="15.95" customHeight="1">
      <c r="I30" s="104"/>
      <c r="J30" s="1369" t="str">
        <f>M02S02F22</f>
        <v/>
      </c>
      <c r="K30" s="1369"/>
      <c r="L30" s="1369"/>
      <c r="M30" s="1369"/>
      <c r="N30" s="1369"/>
      <c r="O30" s="1369"/>
      <c r="P30" s="1369"/>
      <c r="Q30" s="1369"/>
      <c r="R30" s="1369"/>
      <c r="S30" s="1369"/>
      <c r="T30" s="1369"/>
      <c r="U30" s="1369"/>
      <c r="V30" s="1369" t="str">
        <f>M02S02F23</f>
        <v/>
      </c>
      <c r="W30" s="1369"/>
      <c r="X30" s="1369"/>
      <c r="Y30" s="1369"/>
      <c r="Z30" s="1369"/>
      <c r="AA30" s="1369"/>
      <c r="AB30" s="1369"/>
      <c r="AC30" s="1369"/>
      <c r="AD30" s="1369"/>
      <c r="AE30" s="1369" t="str">
        <f>M02S02F24</f>
        <v>IN</v>
      </c>
      <c r="AF30" s="1369"/>
      <c r="AG30" s="1369"/>
      <c r="AH30" s="1370" t="str">
        <f>M02S02F25</f>
        <v/>
      </c>
      <c r="AI30" s="1370"/>
      <c r="AJ30" s="1370"/>
      <c r="AK30" s="105"/>
    </row>
    <row r="31" spans="9:37" ht="15.95" customHeight="1">
      <c r="I31" s="104"/>
      <c r="J31" s="1359" t="s">
        <v>133</v>
      </c>
      <c r="K31" s="1359"/>
      <c r="L31" s="1359"/>
      <c r="M31" s="1359"/>
      <c r="N31" s="1359"/>
      <c r="O31" s="1359"/>
      <c r="P31" s="1359"/>
      <c r="Q31" s="1359"/>
      <c r="R31" s="1359"/>
      <c r="S31" s="1359"/>
      <c r="T31" s="1359"/>
      <c r="U31" s="1359"/>
      <c r="V31" s="1367" t="s">
        <v>81</v>
      </c>
      <c r="W31" s="1367"/>
      <c r="X31" s="1367"/>
      <c r="Y31" s="1367"/>
      <c r="Z31" s="1367"/>
      <c r="AA31" s="1367"/>
      <c r="AB31" s="1367"/>
      <c r="AC31" s="1367"/>
      <c r="AD31" s="1367"/>
      <c r="AE31" s="1367" t="s">
        <v>82</v>
      </c>
      <c r="AF31" s="1367"/>
      <c r="AG31" s="1367"/>
      <c r="AH31" s="1367" t="s">
        <v>130</v>
      </c>
      <c r="AI31" s="1367"/>
      <c r="AJ31" s="1367"/>
      <c r="AK31" s="105"/>
    </row>
    <row r="32" spans="9:37" ht="15.95" customHeight="1">
      <c r="I32" s="104"/>
      <c r="J32" s="39"/>
      <c r="K32" s="39"/>
      <c r="L32" s="39"/>
      <c r="M32" s="39"/>
      <c r="N32" s="39"/>
      <c r="O32" s="39"/>
      <c r="P32" s="39"/>
      <c r="Q32" s="39"/>
      <c r="R32" s="39"/>
      <c r="S32" s="39"/>
      <c r="T32" s="39"/>
      <c r="V32" s="44"/>
      <c r="W32" s="44"/>
      <c r="X32" s="44"/>
      <c r="Y32" s="44"/>
      <c r="Z32" s="44"/>
      <c r="AA32" s="44"/>
      <c r="AB32" s="44"/>
      <c r="AC32" s="44"/>
      <c r="AD32" s="44"/>
      <c r="AE32" s="44"/>
      <c r="AF32" s="44"/>
      <c r="AH32" s="44"/>
      <c r="AJ32" s="44"/>
      <c r="AK32" s="105"/>
    </row>
    <row r="33" spans="9:37" ht="15.95" customHeight="1">
      <c r="I33" s="104"/>
      <c r="J33" s="1348" t="s">
        <v>134</v>
      </c>
      <c r="K33" s="1348"/>
      <c r="L33" s="1348"/>
      <c r="M33" s="1348"/>
      <c r="N33" s="1348"/>
      <c r="O33" s="1348"/>
      <c r="P33" s="1348"/>
      <c r="Q33" s="1348"/>
      <c r="R33" s="1348"/>
      <c r="S33" s="1348"/>
      <c r="T33" s="1348"/>
      <c r="U33" s="1348"/>
      <c r="V33" s="1348"/>
      <c r="W33" s="1348"/>
      <c r="X33" s="1348"/>
      <c r="Y33" s="1348"/>
      <c r="Z33" s="1348"/>
      <c r="AA33" s="1348"/>
      <c r="AB33" s="1348"/>
      <c r="AC33" s="1348"/>
      <c r="AD33" s="1348"/>
      <c r="AE33" s="1348"/>
      <c r="AF33" s="1348"/>
      <c r="AG33" s="1348"/>
      <c r="AH33" s="1348"/>
      <c r="AI33" s="1348"/>
      <c r="AJ33" s="1348"/>
      <c r="AK33" s="105"/>
    </row>
    <row r="34" spans="9:37" ht="15.95" customHeight="1">
      <c r="I34" s="104"/>
      <c r="J34" s="1368">
        <f>M02S03F02</f>
        <v>0</v>
      </c>
      <c r="K34" s="1368"/>
      <c r="L34" s="1368"/>
      <c r="M34" s="1368"/>
      <c r="N34" s="1368"/>
      <c r="O34" s="1368"/>
      <c r="P34" s="1368"/>
      <c r="Q34" s="1368"/>
      <c r="R34" s="1368"/>
      <c r="S34" s="1368"/>
      <c r="T34" s="1368"/>
      <c r="U34" s="1368"/>
      <c r="V34" s="1368"/>
      <c r="W34" s="1363" t="str">
        <f>CONCATENATE(M02S03F03," ",M02S03F04)</f>
        <v xml:space="preserve"> </v>
      </c>
      <c r="X34" s="1363"/>
      <c r="Y34" s="1363"/>
      <c r="Z34" s="1363"/>
      <c r="AA34" s="1363"/>
      <c r="AB34" s="1363"/>
      <c r="AC34" s="1363"/>
      <c r="AD34" s="1363">
        <f>M02S03F05</f>
        <v>0</v>
      </c>
      <c r="AE34" s="1363"/>
      <c r="AF34" s="1363"/>
      <c r="AG34" s="1363"/>
      <c r="AH34" s="1363"/>
      <c r="AI34" s="1363"/>
      <c r="AJ34" s="1363"/>
      <c r="AK34" s="105"/>
    </row>
    <row r="35" spans="9:37" ht="15.95" customHeight="1">
      <c r="I35" s="104"/>
      <c r="J35" s="1365" t="s">
        <v>135</v>
      </c>
      <c r="K35" s="1365"/>
      <c r="L35" s="1365"/>
      <c r="M35" s="1365"/>
      <c r="N35" s="1365"/>
      <c r="O35" s="1365"/>
      <c r="P35" s="1365"/>
      <c r="Q35" s="1365"/>
      <c r="R35" s="1365"/>
      <c r="S35" s="1365"/>
      <c r="T35" s="1365"/>
      <c r="U35" s="1365"/>
      <c r="V35" s="1365"/>
      <c r="W35" s="1359" t="s">
        <v>128</v>
      </c>
      <c r="X35" s="1359"/>
      <c r="Y35" s="1359"/>
      <c r="Z35" s="1359"/>
      <c r="AA35" s="1359"/>
      <c r="AB35" s="1359"/>
      <c r="AC35" s="1359"/>
      <c r="AD35" s="1360" t="s">
        <v>78</v>
      </c>
      <c r="AE35" s="1360"/>
      <c r="AF35" s="1360"/>
      <c r="AG35" s="1360"/>
      <c r="AH35" s="1360"/>
      <c r="AI35" s="1360"/>
      <c r="AJ35" s="1360"/>
      <c r="AK35" s="105"/>
    </row>
    <row r="36" spans="9:37" ht="15.95" customHeight="1">
      <c r="I36" s="104"/>
      <c r="J36" s="1366">
        <f>M02S03F06</f>
        <v>0</v>
      </c>
      <c r="K36" s="1366"/>
      <c r="L36" s="1366"/>
      <c r="M36" s="1366"/>
      <c r="N36" s="1366"/>
      <c r="O36" s="1366"/>
      <c r="P36" s="1366"/>
      <c r="Q36" s="1366"/>
      <c r="R36" s="1366"/>
      <c r="S36" s="1366">
        <f>M02S03F07</f>
        <v>0</v>
      </c>
      <c r="T36" s="1366"/>
      <c r="U36" s="1366"/>
      <c r="V36" s="1366"/>
      <c r="W36" s="1366"/>
      <c r="X36" s="1366"/>
      <c r="Y36" s="1366"/>
      <c r="Z36" s="1366"/>
      <c r="AA36" s="1366"/>
      <c r="AB36" s="1363">
        <f>M02S03F08</f>
        <v>0</v>
      </c>
      <c r="AC36" s="1363"/>
      <c r="AD36" s="1363"/>
      <c r="AE36" s="1363"/>
      <c r="AF36" s="1363"/>
      <c r="AG36" s="1363"/>
      <c r="AH36" s="1363"/>
      <c r="AI36" s="1363"/>
      <c r="AJ36" s="1363"/>
      <c r="AK36" s="105"/>
    </row>
    <row r="37" spans="9:37" ht="15.95" customHeight="1">
      <c r="I37" s="104"/>
      <c r="J37" s="1359" t="s">
        <v>79</v>
      </c>
      <c r="K37" s="1359"/>
      <c r="L37" s="1359"/>
      <c r="M37" s="1359"/>
      <c r="N37" s="1359"/>
      <c r="O37" s="1359"/>
      <c r="P37" s="1359"/>
      <c r="Q37" s="1359"/>
      <c r="R37" s="1359"/>
      <c r="S37" s="1361" t="s">
        <v>131</v>
      </c>
      <c r="T37" s="1361"/>
      <c r="U37" s="1361"/>
      <c r="V37" s="1361"/>
      <c r="W37" s="1361"/>
      <c r="X37" s="1361"/>
      <c r="Y37" s="1361"/>
      <c r="Z37" s="1361"/>
      <c r="AA37" s="1361"/>
      <c r="AB37" s="1361" t="s">
        <v>129</v>
      </c>
      <c r="AC37" s="1361"/>
      <c r="AD37" s="1361"/>
      <c r="AE37" s="1361"/>
      <c r="AF37" s="1361"/>
      <c r="AG37" s="1361"/>
      <c r="AH37" s="1361"/>
      <c r="AI37" s="1361"/>
      <c r="AJ37" s="1361"/>
      <c r="AK37" s="105"/>
    </row>
    <row r="38" spans="9:37" ht="15.95" customHeight="1">
      <c r="I38" s="104"/>
      <c r="J38" s="1363">
        <f>M02S03F09</f>
        <v>0</v>
      </c>
      <c r="K38" s="1363"/>
      <c r="L38" s="1363"/>
      <c r="M38" s="1363"/>
      <c r="N38" s="1363"/>
      <c r="O38" s="1363"/>
      <c r="P38" s="1363"/>
      <c r="Q38" s="1363"/>
      <c r="R38" s="1363"/>
      <c r="S38" s="1363"/>
      <c r="T38" s="1363"/>
      <c r="U38" s="1363"/>
      <c r="V38" s="1363">
        <f>M02S03F10</f>
        <v>0</v>
      </c>
      <c r="W38" s="1363"/>
      <c r="X38" s="1363"/>
      <c r="Y38" s="1363"/>
      <c r="Z38" s="1363"/>
      <c r="AA38" s="1363"/>
      <c r="AB38" s="1363"/>
      <c r="AC38" s="1363"/>
      <c r="AD38" s="1363"/>
      <c r="AE38" s="1363">
        <f>M02S03F11</f>
        <v>0</v>
      </c>
      <c r="AF38" s="1363"/>
      <c r="AG38" s="1363"/>
      <c r="AH38" s="1364">
        <f>M02S03F12</f>
        <v>0</v>
      </c>
      <c r="AI38" s="1364"/>
      <c r="AJ38" s="1364"/>
      <c r="AK38" s="105"/>
    </row>
    <row r="39" spans="9:37" ht="15.95" customHeight="1">
      <c r="I39" s="104"/>
      <c r="J39" s="1359" t="s">
        <v>86</v>
      </c>
      <c r="K39" s="1359"/>
      <c r="L39" s="1359"/>
      <c r="M39" s="1359"/>
      <c r="N39" s="1359"/>
      <c r="O39" s="1359"/>
      <c r="P39" s="1359"/>
      <c r="Q39" s="1359"/>
      <c r="R39" s="1359"/>
      <c r="S39" s="1359"/>
      <c r="T39" s="1359"/>
      <c r="U39" s="1359"/>
      <c r="V39" s="1360" t="s">
        <v>81</v>
      </c>
      <c r="W39" s="1360"/>
      <c r="X39" s="1360"/>
      <c r="Y39" s="1360"/>
      <c r="Z39" s="1360"/>
      <c r="AA39" s="1360"/>
      <c r="AB39" s="1360"/>
      <c r="AC39" s="1360"/>
      <c r="AD39" s="1360"/>
      <c r="AE39" s="1360" t="s">
        <v>82</v>
      </c>
      <c r="AF39" s="1360"/>
      <c r="AG39" s="1360"/>
      <c r="AH39" s="1360" t="s">
        <v>130</v>
      </c>
      <c r="AI39" s="1360"/>
      <c r="AJ39" s="1360"/>
      <c r="AK39" s="105"/>
    </row>
    <row r="40" spans="9:37" ht="15.95" customHeight="1">
      <c r="I40" s="104"/>
      <c r="J40" s="39"/>
      <c r="K40" s="39"/>
      <c r="L40" s="39"/>
      <c r="M40" s="39"/>
      <c r="N40" s="39"/>
      <c r="O40" s="39"/>
      <c r="P40" s="39"/>
      <c r="Q40" s="39"/>
      <c r="R40" s="39"/>
      <c r="S40" s="39"/>
      <c r="T40" s="39"/>
      <c r="U40" s="39"/>
      <c r="V40" s="38"/>
      <c r="W40" s="38"/>
      <c r="X40" s="38"/>
      <c r="Y40" s="38"/>
      <c r="Z40" s="38"/>
      <c r="AA40" s="38"/>
      <c r="AB40" s="38"/>
      <c r="AC40" s="38"/>
      <c r="AD40" s="38"/>
      <c r="AE40" s="38"/>
      <c r="AG40" s="38"/>
      <c r="AH40" s="40"/>
      <c r="AJ40" s="40"/>
      <c r="AK40" s="105"/>
    </row>
    <row r="41" spans="9:37" ht="15.95" customHeight="1">
      <c r="I41" s="104"/>
      <c r="J41" s="1348" t="s">
        <v>518</v>
      </c>
      <c r="K41" s="1348"/>
      <c r="L41" s="1348"/>
      <c r="M41" s="1348"/>
      <c r="N41" s="1348"/>
      <c r="O41" s="1348"/>
      <c r="P41" s="1348"/>
      <c r="Q41" s="1348"/>
      <c r="R41" s="1348"/>
      <c r="S41" s="1348"/>
      <c r="T41" s="1348"/>
      <c r="U41" s="1348"/>
      <c r="V41" s="1348"/>
      <c r="W41" s="1348"/>
      <c r="X41" s="1348"/>
      <c r="Y41" s="1348"/>
      <c r="Z41" s="1348"/>
      <c r="AA41" s="1348"/>
      <c r="AB41" s="1348"/>
      <c r="AC41" s="1348"/>
      <c r="AD41" s="1348"/>
      <c r="AE41" s="1348"/>
      <c r="AF41" s="1348"/>
      <c r="AG41" s="1348"/>
      <c r="AH41" s="1348"/>
      <c r="AI41" s="1348"/>
      <c r="AJ41" s="1348"/>
      <c r="AK41" s="105"/>
    </row>
    <row r="42" spans="9:37" ht="15.95" customHeight="1">
      <c r="I42" s="104"/>
      <c r="AK42" s="105"/>
    </row>
    <row r="43" spans="9:37" ht="15.95" customHeight="1">
      <c r="I43" s="104"/>
      <c r="J43" s="1346"/>
      <c r="K43" s="1346"/>
      <c r="L43" s="1346"/>
      <c r="M43" s="1346"/>
      <c r="N43" s="1346"/>
      <c r="O43" s="1346"/>
      <c r="P43" s="1346"/>
      <c r="Q43" s="1346"/>
      <c r="S43" s="1346"/>
      <c r="T43" s="1346"/>
      <c r="U43" s="1346"/>
      <c r="V43" s="1346"/>
      <c r="W43" s="1346"/>
      <c r="X43" s="1346"/>
      <c r="Y43" s="1346"/>
      <c r="Z43" s="1346"/>
      <c r="AB43" s="1346" t="s">
        <v>1052</v>
      </c>
      <c r="AC43" s="1346"/>
      <c r="AD43" s="1346"/>
      <c r="AE43" s="1346"/>
      <c r="AF43" s="1346"/>
      <c r="AG43" s="1346"/>
      <c r="AH43" s="117" t="s">
        <v>521</v>
      </c>
      <c r="AK43" s="105"/>
    </row>
    <row r="44" spans="9:37" ht="15.95" customHeight="1">
      <c r="I44" s="104"/>
      <c r="J44" s="1347" t="s">
        <v>519</v>
      </c>
      <c r="K44" s="1347"/>
      <c r="L44" s="1347"/>
      <c r="M44" s="1347"/>
      <c r="N44" s="1347"/>
      <c r="O44" s="1347"/>
      <c r="P44" s="1347"/>
      <c r="Q44" s="1347"/>
      <c r="S44" s="1347" t="s">
        <v>491</v>
      </c>
      <c r="T44" s="1347"/>
      <c r="U44" s="1347"/>
      <c r="V44" s="1347"/>
      <c r="W44" s="1347"/>
      <c r="X44" s="1347"/>
      <c r="Y44" s="1347"/>
      <c r="Z44" s="1347"/>
      <c r="AB44" s="1347" t="s">
        <v>522</v>
      </c>
      <c r="AC44" s="1347"/>
      <c r="AD44" s="1347"/>
      <c r="AE44" s="1347"/>
      <c r="AF44" s="1347"/>
      <c r="AG44" s="1347"/>
      <c r="AK44" s="105"/>
    </row>
    <row r="45" spans="9:37" ht="15.95" customHeight="1">
      <c r="I45" s="104"/>
      <c r="AK45" s="105"/>
    </row>
    <row r="46" spans="9:37" ht="15.95" customHeight="1">
      <c r="I46" s="104"/>
      <c r="J46" s="1348" t="s">
        <v>517</v>
      </c>
      <c r="K46" s="1348"/>
      <c r="L46" s="1348"/>
      <c r="M46" s="1348"/>
      <c r="N46" s="1348"/>
      <c r="O46" s="1348"/>
      <c r="P46" s="1348"/>
      <c r="Q46" s="1348"/>
      <c r="R46" s="1348"/>
      <c r="S46" s="1348"/>
      <c r="T46" s="1348"/>
      <c r="U46" s="1348"/>
      <c r="V46" s="1348"/>
      <c r="W46" s="1348"/>
      <c r="X46" s="1348"/>
      <c r="Y46" s="1348"/>
      <c r="Z46" s="1348"/>
      <c r="AA46" s="1348"/>
      <c r="AB46" s="1348"/>
      <c r="AC46" s="1348"/>
      <c r="AD46" s="1348"/>
      <c r="AE46" s="1348"/>
      <c r="AF46" s="1348"/>
      <c r="AG46" s="1348"/>
      <c r="AH46" s="1348"/>
      <c r="AI46" s="1348"/>
      <c r="AJ46" s="1348"/>
      <c r="AK46" s="105"/>
    </row>
    <row r="47" spans="9:37" ht="15.95" customHeight="1">
      <c r="I47" s="104"/>
      <c r="J47" s="49" t="s">
        <v>520</v>
      </c>
      <c r="K47" s="13"/>
      <c r="AK47" s="105"/>
    </row>
    <row r="48" spans="9:37" ht="15.95" customHeight="1">
      <c r="I48" s="104"/>
      <c r="J48" s="13"/>
      <c r="K48" s="48"/>
      <c r="L48" s="47" t="s">
        <v>527</v>
      </c>
      <c r="AK48" s="105"/>
    </row>
    <row r="49" spans="9:37" ht="15.95" customHeight="1">
      <c r="I49" s="104"/>
      <c r="J49" s="13"/>
      <c r="K49" s="48"/>
      <c r="L49" s="47" t="s">
        <v>528</v>
      </c>
      <c r="AK49" s="105"/>
    </row>
    <row r="50" spans="9:37" ht="15.95" customHeight="1">
      <c r="I50" s="104"/>
      <c r="K50" s="48"/>
      <c r="L50" s="47" t="s">
        <v>523</v>
      </c>
      <c r="AK50" s="105"/>
    </row>
    <row r="51" spans="9:37" ht="15.95" customHeight="1">
      <c r="I51" s="104"/>
      <c r="K51" s="48"/>
      <c r="L51" s="47" t="s">
        <v>526</v>
      </c>
      <c r="AK51" s="105"/>
    </row>
    <row r="52" spans="9:37" ht="15.95" customHeight="1">
      <c r="I52" s="104"/>
      <c r="J52" s="12" t="s">
        <v>524</v>
      </c>
      <c r="K52" s="13"/>
      <c r="AK52" s="105"/>
    </row>
    <row r="53" spans="9:37" ht="15.95" customHeight="1">
      <c r="I53" s="104"/>
      <c r="J53" s="13"/>
      <c r="K53" s="48"/>
      <c r="L53" s="47" t="s">
        <v>525</v>
      </c>
      <c r="AK53" s="105"/>
    </row>
    <row r="54" spans="9:37" ht="15.95" customHeight="1">
      <c r="I54" s="104"/>
      <c r="J54" s="13"/>
      <c r="K54" s="48"/>
      <c r="L54" s="47" t="s">
        <v>529</v>
      </c>
      <c r="AK54" s="105"/>
    </row>
    <row r="55" spans="9:37" ht="15.95" customHeight="1">
      <c r="I55" s="104"/>
      <c r="K55" s="48"/>
      <c r="L55" s="47" t="s">
        <v>530</v>
      </c>
      <c r="AK55" s="105"/>
    </row>
    <row r="56" spans="9:37" ht="15.95" customHeight="1">
      <c r="I56" s="104"/>
      <c r="K56" s="48"/>
      <c r="L56" s="47" t="s">
        <v>548</v>
      </c>
      <c r="AK56" s="105"/>
    </row>
    <row r="57" spans="9:37" ht="15.95" customHeight="1">
      <c r="I57" s="104"/>
      <c r="AK57" s="105"/>
    </row>
    <row r="58" spans="9:37" ht="15.95" customHeight="1">
      <c r="I58" s="104"/>
      <c r="J58" s="1348" t="s">
        <v>531</v>
      </c>
      <c r="K58" s="1348"/>
      <c r="L58" s="1348"/>
      <c r="M58" s="1348"/>
      <c r="N58" s="1348"/>
      <c r="O58" s="1348"/>
      <c r="P58" s="1348"/>
      <c r="Q58" s="1348"/>
      <c r="R58" s="1348"/>
      <c r="S58" s="1348"/>
      <c r="T58" s="1348"/>
      <c r="U58" s="1348"/>
      <c r="V58" s="1348"/>
      <c r="W58" s="1348"/>
      <c r="X58" s="1348"/>
      <c r="Y58" s="1348"/>
      <c r="Z58" s="1348"/>
      <c r="AA58" s="1348"/>
      <c r="AB58" s="1348"/>
      <c r="AC58" s="1348"/>
      <c r="AD58" s="1348"/>
      <c r="AE58" s="1348"/>
      <c r="AF58" s="1348"/>
      <c r="AG58" s="1348"/>
      <c r="AH58" s="1348"/>
      <c r="AI58" s="1348"/>
      <c r="AJ58" s="1348"/>
      <c r="AK58" s="105"/>
    </row>
    <row r="59" spans="9:37" ht="15.95" customHeight="1" thickBot="1">
      <c r="I59" s="104"/>
      <c r="J59" s="118" t="s">
        <v>532</v>
      </c>
      <c r="AK59" s="105"/>
    </row>
    <row r="60" spans="9:37" ht="15.95" customHeight="1">
      <c r="I60" s="104"/>
      <c r="K60" s="1351"/>
      <c r="L60" s="1352"/>
      <c r="M60" s="1352"/>
      <c r="N60" s="1352"/>
      <c r="O60" s="1352"/>
      <c r="P60" s="1352"/>
      <c r="Q60" s="1352"/>
      <c r="R60" s="1352"/>
      <c r="S60" s="1352"/>
      <c r="T60" s="1352"/>
      <c r="U60" s="1352"/>
      <c r="V60" s="1352"/>
      <c r="W60" s="1352"/>
      <c r="X60" s="1352"/>
      <c r="Y60" s="1352"/>
      <c r="Z60" s="1352"/>
      <c r="AA60" s="1352"/>
      <c r="AB60" s="1352"/>
      <c r="AC60" s="1352"/>
      <c r="AD60" s="1352"/>
      <c r="AE60" s="1352"/>
      <c r="AF60" s="1352"/>
      <c r="AG60" s="1352"/>
      <c r="AH60" s="1352"/>
      <c r="AI60" s="1353"/>
      <c r="AK60" s="105"/>
    </row>
    <row r="61" spans="9:37" ht="15.95" customHeight="1">
      <c r="I61" s="104"/>
      <c r="K61" s="1357"/>
      <c r="L61" s="769"/>
      <c r="M61" s="769"/>
      <c r="N61" s="769"/>
      <c r="O61" s="769"/>
      <c r="P61" s="769"/>
      <c r="Q61" s="769"/>
      <c r="R61" s="769"/>
      <c r="S61" s="769"/>
      <c r="T61" s="769"/>
      <c r="U61" s="769"/>
      <c r="V61" s="769"/>
      <c r="W61" s="769"/>
      <c r="X61" s="769"/>
      <c r="Y61" s="769"/>
      <c r="Z61" s="769"/>
      <c r="AA61" s="769"/>
      <c r="AB61" s="769"/>
      <c r="AC61" s="769"/>
      <c r="AD61" s="769"/>
      <c r="AE61" s="769"/>
      <c r="AF61" s="769"/>
      <c r="AG61" s="769"/>
      <c r="AH61" s="769"/>
      <c r="AI61" s="1358"/>
      <c r="AK61" s="105"/>
    </row>
    <row r="62" spans="9:37" ht="15.95" customHeight="1">
      <c r="I62" s="104"/>
      <c r="K62" s="1357"/>
      <c r="L62" s="769"/>
      <c r="M62" s="769"/>
      <c r="N62" s="769"/>
      <c r="O62" s="769"/>
      <c r="P62" s="769"/>
      <c r="Q62" s="769"/>
      <c r="R62" s="769"/>
      <c r="S62" s="769"/>
      <c r="T62" s="769"/>
      <c r="U62" s="769"/>
      <c r="V62" s="769"/>
      <c r="W62" s="769"/>
      <c r="X62" s="769"/>
      <c r="Y62" s="769"/>
      <c r="Z62" s="769"/>
      <c r="AA62" s="769"/>
      <c r="AB62" s="769"/>
      <c r="AC62" s="769"/>
      <c r="AD62" s="769"/>
      <c r="AE62" s="769"/>
      <c r="AF62" s="769"/>
      <c r="AG62" s="769"/>
      <c r="AH62" s="769"/>
      <c r="AI62" s="1358"/>
      <c r="AK62" s="105"/>
    </row>
    <row r="63" spans="9:37" ht="15.95" customHeight="1">
      <c r="I63" s="104"/>
      <c r="K63" s="1357"/>
      <c r="L63" s="769"/>
      <c r="M63" s="769"/>
      <c r="N63" s="769"/>
      <c r="O63" s="769"/>
      <c r="P63" s="769"/>
      <c r="Q63" s="769"/>
      <c r="R63" s="769"/>
      <c r="S63" s="769"/>
      <c r="T63" s="769"/>
      <c r="U63" s="769"/>
      <c r="V63" s="769"/>
      <c r="W63" s="769"/>
      <c r="X63" s="769"/>
      <c r="Y63" s="769"/>
      <c r="Z63" s="769"/>
      <c r="AA63" s="769"/>
      <c r="AB63" s="769"/>
      <c r="AC63" s="769"/>
      <c r="AD63" s="769"/>
      <c r="AE63" s="769"/>
      <c r="AF63" s="769"/>
      <c r="AG63" s="769"/>
      <c r="AH63" s="769"/>
      <c r="AI63" s="1358"/>
      <c r="AK63" s="105"/>
    </row>
    <row r="64" spans="9:37" ht="15.95" customHeight="1" thickBot="1">
      <c r="I64" s="104"/>
      <c r="K64" s="1354"/>
      <c r="L64" s="1355"/>
      <c r="M64" s="1355"/>
      <c r="N64" s="1355"/>
      <c r="O64" s="1355"/>
      <c r="P64" s="1355"/>
      <c r="Q64" s="1355"/>
      <c r="R64" s="1355"/>
      <c r="S64" s="1355"/>
      <c r="T64" s="1355"/>
      <c r="U64" s="1355"/>
      <c r="V64" s="1355"/>
      <c r="W64" s="1355"/>
      <c r="X64" s="1355"/>
      <c r="Y64" s="1355"/>
      <c r="Z64" s="1355"/>
      <c r="AA64" s="1355"/>
      <c r="AB64" s="1355"/>
      <c r="AC64" s="1355"/>
      <c r="AD64" s="1355"/>
      <c r="AE64" s="1355"/>
      <c r="AF64" s="1355"/>
      <c r="AG64" s="1355"/>
      <c r="AH64" s="1355"/>
      <c r="AI64" s="1356"/>
      <c r="AK64" s="105"/>
    </row>
    <row r="65" spans="9:37" ht="15.95" customHeight="1" thickBot="1">
      <c r="I65" s="104"/>
      <c r="J65" s="118" t="s">
        <v>533</v>
      </c>
      <c r="AK65" s="105"/>
    </row>
    <row r="66" spans="9:37" ht="15.95" customHeight="1">
      <c r="I66" s="104"/>
      <c r="K66" s="1351"/>
      <c r="L66" s="1352"/>
      <c r="M66" s="1352"/>
      <c r="N66" s="1352"/>
      <c r="O66" s="1352"/>
      <c r="P66" s="1352"/>
      <c r="Q66" s="1352"/>
      <c r="R66" s="1352"/>
      <c r="S66" s="1352"/>
      <c r="T66" s="1352"/>
      <c r="U66" s="1352"/>
      <c r="V66" s="1352"/>
      <c r="W66" s="1352"/>
      <c r="X66" s="1352"/>
      <c r="Y66" s="1352"/>
      <c r="Z66" s="1352"/>
      <c r="AA66" s="1352"/>
      <c r="AB66" s="1352"/>
      <c r="AC66" s="1352"/>
      <c r="AD66" s="1352"/>
      <c r="AE66" s="1352"/>
      <c r="AF66" s="1352"/>
      <c r="AG66" s="1352"/>
      <c r="AH66" s="1352"/>
      <c r="AI66" s="1353"/>
      <c r="AK66" s="105"/>
    </row>
    <row r="67" spans="9:37" ht="15.95" customHeight="1" thickBot="1">
      <c r="I67" s="104"/>
      <c r="K67" s="1354"/>
      <c r="L67" s="1355"/>
      <c r="M67" s="1355"/>
      <c r="N67" s="1355"/>
      <c r="O67" s="1355"/>
      <c r="P67" s="1355"/>
      <c r="Q67" s="1355"/>
      <c r="R67" s="1355"/>
      <c r="S67" s="1355"/>
      <c r="T67" s="1355"/>
      <c r="U67" s="1355"/>
      <c r="V67" s="1355"/>
      <c r="W67" s="1355"/>
      <c r="X67" s="1355"/>
      <c r="Y67" s="1355"/>
      <c r="Z67" s="1355"/>
      <c r="AA67" s="1355"/>
      <c r="AB67" s="1355"/>
      <c r="AC67" s="1355"/>
      <c r="AD67" s="1355"/>
      <c r="AE67" s="1355"/>
      <c r="AF67" s="1355"/>
      <c r="AG67" s="1355"/>
      <c r="AH67" s="1355"/>
      <c r="AI67" s="1356"/>
      <c r="AK67" s="105"/>
    </row>
    <row r="68" spans="9:37" ht="15.95" customHeight="1">
      <c r="I68" s="104"/>
      <c r="AK68" s="105"/>
    </row>
    <row r="69" spans="9:37" ht="15.95" customHeight="1">
      <c r="I69" s="104"/>
      <c r="J69" s="1348" t="s">
        <v>123</v>
      </c>
      <c r="K69" s="1348"/>
      <c r="L69" s="1348"/>
      <c r="M69" s="1348"/>
      <c r="N69" s="1348"/>
      <c r="O69" s="1348"/>
      <c r="P69" s="1348"/>
      <c r="Q69" s="1348"/>
      <c r="R69" s="1348"/>
      <c r="S69" s="1348"/>
      <c r="T69" s="1348"/>
      <c r="U69" s="1348"/>
      <c r="V69" s="1348"/>
      <c r="W69" s="1348"/>
      <c r="X69" s="1348"/>
      <c r="Y69" s="1348"/>
      <c r="Z69" s="1348"/>
      <c r="AA69" s="1348"/>
      <c r="AB69" s="1348"/>
      <c r="AC69" s="1348"/>
      <c r="AD69" s="1348"/>
      <c r="AE69" s="1348"/>
      <c r="AF69" s="1348"/>
      <c r="AG69" s="1348"/>
      <c r="AH69" s="1348"/>
      <c r="AI69" s="1348"/>
      <c r="AJ69" s="1348"/>
      <c r="AK69" s="105"/>
    </row>
    <row r="70" spans="9:37" ht="15.95" customHeight="1">
      <c r="I70" s="104"/>
      <c r="J70" s="172"/>
      <c r="AK70" s="105"/>
    </row>
    <row r="71" spans="9:37" ht="15.95" customHeight="1">
      <c r="I71" s="104"/>
      <c r="J71" s="1362"/>
      <c r="K71" s="1362"/>
      <c r="L71" s="1362"/>
      <c r="M71" s="1362"/>
      <c r="N71" s="1362"/>
      <c r="O71" s="1362"/>
      <c r="P71" s="1362"/>
      <c r="Q71" s="1362"/>
      <c r="R71" s="1362"/>
      <c r="S71" s="1362"/>
      <c r="T71" s="1362"/>
      <c r="U71" s="1362"/>
      <c r="V71" s="1362"/>
      <c r="W71" s="1362"/>
      <c r="X71" s="1362"/>
      <c r="Y71" s="1362"/>
      <c r="Z71" s="1362"/>
      <c r="AA71" s="1362"/>
      <c r="AB71" s="1362"/>
      <c r="AC71" s="1362"/>
      <c r="AD71" s="1362"/>
      <c r="AE71" s="1362"/>
      <c r="AF71" s="1362"/>
      <c r="AG71" s="1362"/>
      <c r="AH71" s="1362"/>
      <c r="AI71" s="1362"/>
      <c r="AJ71" s="1362"/>
      <c r="AK71" s="105"/>
    </row>
    <row r="72" spans="9:37" ht="15.95" customHeight="1">
      <c r="I72" s="104"/>
      <c r="J72" s="1349" t="s">
        <v>516</v>
      </c>
      <c r="K72" s="1349"/>
      <c r="L72" s="1349"/>
      <c r="M72" s="1349"/>
      <c r="N72" s="1349"/>
      <c r="O72" s="1349"/>
      <c r="P72" s="1349"/>
      <c r="Q72" s="1349"/>
      <c r="R72" s="1349"/>
      <c r="S72" s="1349"/>
      <c r="T72" s="1349"/>
      <c r="U72" s="1349"/>
      <c r="V72" s="1349"/>
      <c r="W72" s="1349" t="s">
        <v>78</v>
      </c>
      <c r="X72" s="1349"/>
      <c r="Y72" s="1349"/>
      <c r="Z72" s="1349"/>
      <c r="AA72" s="1349"/>
      <c r="AB72" s="1349"/>
      <c r="AC72" s="1349"/>
      <c r="AD72" s="1349"/>
      <c r="AE72" s="1349" t="s">
        <v>534</v>
      </c>
      <c r="AF72" s="1349"/>
      <c r="AG72" s="1349"/>
      <c r="AH72" s="1349"/>
      <c r="AI72" s="1349"/>
      <c r="AJ72" s="1349"/>
      <c r="AK72" s="105"/>
    </row>
    <row r="73" spans="9:37" ht="15.95" customHeight="1">
      <c r="I73" s="104"/>
      <c r="J73" s="1350" t="str">
        <f>IF(J71="","",J71)</f>
        <v/>
      </c>
      <c r="K73" s="1350"/>
      <c r="L73" s="1350"/>
      <c r="M73" s="1350"/>
      <c r="N73" s="1350"/>
      <c r="O73" s="1350"/>
      <c r="P73" s="1350"/>
      <c r="Q73" s="1350"/>
      <c r="R73" s="1350"/>
      <c r="S73" s="1350"/>
      <c r="T73" s="1350"/>
      <c r="U73" s="1350"/>
      <c r="V73" s="1350"/>
      <c r="W73" s="1350"/>
      <c r="X73" s="1350"/>
      <c r="Y73" s="1350"/>
      <c r="Z73" s="1350"/>
      <c r="AA73" s="1350"/>
      <c r="AB73" s="1350"/>
      <c r="AC73" s="1350"/>
      <c r="AD73" s="1350"/>
      <c r="AE73" s="1350"/>
      <c r="AF73" s="1350"/>
      <c r="AG73" s="1350"/>
      <c r="AH73" s="1350"/>
      <c r="AI73" s="1350"/>
      <c r="AJ73" s="1350"/>
      <c r="AK73" s="105"/>
    </row>
    <row r="74" spans="9:37" ht="15.95" customHeight="1">
      <c r="I74" s="104"/>
      <c r="J74" s="1349" t="s">
        <v>123</v>
      </c>
      <c r="K74" s="1349"/>
      <c r="L74" s="1349"/>
      <c r="M74" s="1349"/>
      <c r="N74" s="1349"/>
      <c r="O74" s="1349"/>
      <c r="P74" s="1349"/>
      <c r="Q74" s="1349"/>
      <c r="R74" s="1349"/>
      <c r="S74" s="1349"/>
      <c r="T74" s="1349"/>
      <c r="U74" s="1349"/>
      <c r="V74" s="1349"/>
      <c r="W74" s="1349"/>
      <c r="X74" s="1349"/>
      <c r="Y74" s="1349"/>
      <c r="Z74" s="1349"/>
      <c r="AA74" s="1349"/>
      <c r="AB74" s="1349"/>
      <c r="AC74" s="1349"/>
      <c r="AD74" s="1349"/>
      <c r="AE74" s="1349"/>
      <c r="AF74" s="1349"/>
      <c r="AG74" s="1349"/>
      <c r="AH74" s="1349"/>
      <c r="AI74" s="1349"/>
      <c r="AJ74" s="1349"/>
      <c r="AK74" s="105"/>
    </row>
    <row r="75" spans="9:37" ht="15.95" customHeight="1">
      <c r="I75" s="104"/>
      <c r="J75" s="45"/>
      <c r="K75" s="46"/>
      <c r="AI75" s="46"/>
      <c r="AJ75" s="46"/>
      <c r="AK75" s="105"/>
    </row>
    <row r="76" spans="9:37" ht="15.95" customHeight="1">
      <c r="I76" s="106"/>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10"/>
    </row>
    <row r="77" spans="9:37" ht="15.95" customHeight="1"/>
    <row r="78" spans="9:37" ht="15.95" hidden="1" customHeight="1"/>
    <row r="79" spans="9:37" ht="15.95" hidden="1" customHeight="1"/>
    <row r="80" spans="9:37"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56" t="str">
        <f>FOOT4</f>
        <v>NIPSCO’s energy efficiency programs are administered by TRC, a third‐party implementation specialist that helps homes and businesses save energy.</v>
      </c>
      <c r="N200" s="656"/>
      <c r="O200" s="656"/>
      <c r="P200" s="656"/>
      <c r="Q200" s="656"/>
      <c r="R200" s="656"/>
      <c r="S200" s="656"/>
      <c r="T200" s="656"/>
      <c r="U200" s="656"/>
      <c r="V200" s="656"/>
      <c r="W200" s="656"/>
      <c r="X200" s="656"/>
      <c r="Y200" s="656"/>
      <c r="Z200" s="656"/>
      <c r="AA200" s="656"/>
      <c r="AB200" s="656"/>
      <c r="AC200" s="656"/>
      <c r="AD200" s="656"/>
      <c r="AE200" s="656"/>
      <c r="AF200" s="656"/>
      <c r="AG200" s="656"/>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272"/>
      <c r="AI201" s="272"/>
      <c r="AJ201" s="272"/>
      <c r="AK201" s="272"/>
      <c r="AL201" s="272"/>
      <c r="AM201" s="272"/>
      <c r="AN201" s="272"/>
      <c r="AO201" s="272"/>
      <c r="AP201" s="272"/>
      <c r="AQ201" s="272"/>
      <c r="AR201" s="273" t="str">
        <f>FOOT5</f>
        <v/>
      </c>
    </row>
    <row r="202" spans="2:44" ht="15.95" customHeight="1">
      <c r="B202" s="276" t="str">
        <f>FOOT3</f>
        <v>NIPSCO.Savings@TRCcompanies.com</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v3.7.0</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7oyVaKlo/l12ODbj+9RFsq+RlMa7GCDlMD46Lp4alnazOdQs5gZhAUNkxGhan7q1lBlbsJYg3pUedDLE0ZlmOw==" saltValue="8jtiXV+KGmLzVmlhSgN0Kw==" spinCount="100000" sheet="1" objects="1" scenarios="1" selectLockedCells="1"/>
  <mergeCells count="89">
    <mergeCell ref="AQ1:AR1"/>
    <mergeCell ref="AQ2:AR3"/>
    <mergeCell ref="AH1:AK1"/>
    <mergeCell ref="AL1:AP1"/>
    <mergeCell ref="AH2:AK3"/>
    <mergeCell ref="AL2:AP3"/>
    <mergeCell ref="M200:AG201"/>
    <mergeCell ref="F10:AN10"/>
    <mergeCell ref="F11:AN11"/>
    <mergeCell ref="N16:P16"/>
    <mergeCell ref="J18:AJ18"/>
    <mergeCell ref="J19:AJ19"/>
    <mergeCell ref="J20:V20"/>
    <mergeCell ref="W20:AC20"/>
    <mergeCell ref="AD20:AJ20"/>
    <mergeCell ref="J21:V21"/>
    <mergeCell ref="W21:AC21"/>
    <mergeCell ref="AD21:AJ21"/>
    <mergeCell ref="J22:R22"/>
    <mergeCell ref="S22:AA22"/>
    <mergeCell ref="AB22:AJ22"/>
    <mergeCell ref="J23:R23"/>
    <mergeCell ref="S23:AA23"/>
    <mergeCell ref="AB23:AJ23"/>
    <mergeCell ref="J24:U24"/>
    <mergeCell ref="V24:AD24"/>
    <mergeCell ref="AE24:AG24"/>
    <mergeCell ref="AH24:AJ24"/>
    <mergeCell ref="J25:U25"/>
    <mergeCell ref="V25:AD25"/>
    <mergeCell ref="AE25:AG25"/>
    <mergeCell ref="AH25:AJ25"/>
    <mergeCell ref="J28:R28"/>
    <mergeCell ref="S28:AA28"/>
    <mergeCell ref="AB28:AJ28"/>
    <mergeCell ref="J27:AJ27"/>
    <mergeCell ref="J29:R29"/>
    <mergeCell ref="S29:AA29"/>
    <mergeCell ref="AB29:AJ29"/>
    <mergeCell ref="J30:U30"/>
    <mergeCell ref="V30:AD30"/>
    <mergeCell ref="AE30:AG30"/>
    <mergeCell ref="AH30:AJ30"/>
    <mergeCell ref="J31:U31"/>
    <mergeCell ref="V31:AD31"/>
    <mergeCell ref="AE31:AG31"/>
    <mergeCell ref="AH31:AJ31"/>
    <mergeCell ref="J34:V34"/>
    <mergeCell ref="W34:AC34"/>
    <mergeCell ref="AD34:AJ34"/>
    <mergeCell ref="J33:AJ33"/>
    <mergeCell ref="J35:V35"/>
    <mergeCell ref="W35:AC35"/>
    <mergeCell ref="AD35:AJ35"/>
    <mergeCell ref="J36:R36"/>
    <mergeCell ref="S36:AA36"/>
    <mergeCell ref="AB36:AJ36"/>
    <mergeCell ref="AB37:AJ37"/>
    <mergeCell ref="J38:U38"/>
    <mergeCell ref="V38:AD38"/>
    <mergeCell ref="AE38:AG38"/>
    <mergeCell ref="AH38:AJ38"/>
    <mergeCell ref="J74:AJ74"/>
    <mergeCell ref="J71:V71"/>
    <mergeCell ref="W71:AD71"/>
    <mergeCell ref="AE71:AJ71"/>
    <mergeCell ref="J69:AJ69"/>
    <mergeCell ref="J17:AJ17"/>
    <mergeCell ref="J72:V72"/>
    <mergeCell ref="W72:AD72"/>
    <mergeCell ref="AE72:AJ72"/>
    <mergeCell ref="J73:AJ73"/>
    <mergeCell ref="K66:AI67"/>
    <mergeCell ref="K60:AI64"/>
    <mergeCell ref="J58:AJ58"/>
    <mergeCell ref="J46:AJ46"/>
    <mergeCell ref="J39:U39"/>
    <mergeCell ref="V39:AD39"/>
    <mergeCell ref="AE39:AG39"/>
    <mergeCell ref="AH39:AJ39"/>
    <mergeCell ref="J41:AJ41"/>
    <mergeCell ref="J37:R37"/>
    <mergeCell ref="S37:AA37"/>
    <mergeCell ref="J43:Q43"/>
    <mergeCell ref="J44:Q44"/>
    <mergeCell ref="S43:Z43"/>
    <mergeCell ref="S44:Z44"/>
    <mergeCell ref="AB43:AG43"/>
    <mergeCell ref="AB44:AG44"/>
  </mergeCells>
  <conditionalFormatting sqref="J43:Q43 S43:Z43 AB43:AG43 K60:AI64 K66:AI67 J71:AJ71">
    <cfRule type="containsBlanks" dxfId="21" priority="53">
      <formula>LEN(TRIM(J43))=0</formula>
    </cfRule>
  </conditionalFormatting>
  <conditionalFormatting sqref="AH2 AL2">
    <cfRule type="expression" dxfId="20" priority="1">
      <formula>PROJSTATUS=PROJSTATELI</formula>
    </cfRule>
    <cfRule type="expression" dxfId="19" priority="2">
      <formula>PROJSTATUS=PROJSTATREVIEW</formula>
    </cfRule>
    <cfRule type="expression" dxfId="18" priority="6">
      <formula>PROJSTATUS=PROJSTATPREAPPROVE</formula>
    </cfRule>
    <cfRule type="expression" dxfId="17" priority="7">
      <formula>PROJSTATUS=PROJSTATSTANDARD</formula>
    </cfRule>
    <cfRule type="expression" dxfId="16" priority="8">
      <formula>PROJSTATUS=PROJSTATEXP</formula>
    </cfRule>
  </conditionalFormatting>
  <conditionalFormatting sqref="AQ2:AR3">
    <cfRule type="cellIs" dxfId="15" priority="3" operator="equal">
      <formula>1</formula>
    </cfRule>
    <cfRule type="cellIs" dxfId="14" priority="4" operator="between">
      <formula>0.51</formula>
      <formula>0.99</formula>
    </cfRule>
    <cfRule type="cellIs" dxfId="13" priority="5" operator="lessThanOrEqual">
      <formula>0.5</formula>
    </cfRule>
  </conditionalFormatting>
  <dataValidations count="2">
    <dataValidation type="list" allowBlank="1" showInputMessage="1" showErrorMessage="1" sqref="J43" xr:uid="{00000000-0002-0000-2A00-000000000000}">
      <formula1>"Pre-Installation Inspection,Post-Installation Inspection,Random Inspection,""For Cause"" Inspection,Failed Inspection Follow Up"</formula1>
    </dataValidation>
    <dataValidation type="list" allowBlank="1" showInputMessage="1" showErrorMessage="1" sqref="AB43" xr:uid="{00000000-0002-0000-2A00-000001000000}">
      <formula1>"PASS,FAIL"</formula1>
    </dataValidation>
  </dataValidations>
  <hyperlinks>
    <hyperlink ref="B202" r:id="rId1" display="NIPSCO.Savings@LMCO.com" xr:uid="{00000000-0004-0000-2A00-000000000000}"/>
  </hyperlinks>
  <printOptions horizontalCentered="1" verticalCentered="1"/>
  <pageMargins left="0.3" right="0.3" top="0.3" bottom="0.3" header="0.25" footer="0.25"/>
  <pageSetup scale="76"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1986" r:id="rId5" name="Check Box 2">
              <controlPr defaultSize="0" autoFill="0" autoLine="0" autoPict="0">
                <anchor moveWithCells="1">
                  <from>
                    <xdr:col>10</xdr:col>
                    <xdr:colOff>9525</xdr:colOff>
                    <xdr:row>47</xdr:row>
                    <xdr:rowOff>0</xdr:rowOff>
                  </from>
                  <to>
                    <xdr:col>11</xdr:col>
                    <xdr:colOff>0</xdr:colOff>
                    <xdr:row>47</xdr:row>
                    <xdr:rowOff>190500</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10</xdr:col>
                    <xdr:colOff>9525</xdr:colOff>
                    <xdr:row>48</xdr:row>
                    <xdr:rowOff>0</xdr:rowOff>
                  </from>
                  <to>
                    <xdr:col>11</xdr:col>
                    <xdr:colOff>0</xdr:colOff>
                    <xdr:row>48</xdr:row>
                    <xdr:rowOff>190500</xdr:rowOff>
                  </to>
                </anchor>
              </controlPr>
            </control>
          </mc:Choice>
        </mc:AlternateContent>
        <mc:AlternateContent xmlns:mc="http://schemas.openxmlformats.org/markup-compatibility/2006">
          <mc:Choice Requires="x14">
            <control shapeId="41991" r:id="rId7" name="Check Box 7">
              <controlPr defaultSize="0" autoFill="0" autoLine="0" autoPict="0">
                <anchor moveWithCells="1">
                  <from>
                    <xdr:col>10</xdr:col>
                    <xdr:colOff>9525</xdr:colOff>
                    <xdr:row>52</xdr:row>
                    <xdr:rowOff>0</xdr:rowOff>
                  </from>
                  <to>
                    <xdr:col>11</xdr:col>
                    <xdr:colOff>0</xdr:colOff>
                    <xdr:row>52</xdr:row>
                    <xdr:rowOff>190500</xdr:rowOff>
                  </to>
                </anchor>
              </controlPr>
            </control>
          </mc:Choice>
        </mc:AlternateContent>
        <mc:AlternateContent xmlns:mc="http://schemas.openxmlformats.org/markup-compatibility/2006">
          <mc:Choice Requires="x14">
            <control shapeId="41992" r:id="rId8" name="Check Box 8">
              <controlPr defaultSize="0" autoFill="0" autoLine="0" autoPict="0">
                <anchor moveWithCells="1">
                  <from>
                    <xdr:col>10</xdr:col>
                    <xdr:colOff>9525</xdr:colOff>
                    <xdr:row>53</xdr:row>
                    <xdr:rowOff>0</xdr:rowOff>
                  </from>
                  <to>
                    <xdr:col>11</xdr:col>
                    <xdr:colOff>0</xdr:colOff>
                    <xdr:row>53</xdr:row>
                    <xdr:rowOff>190500</xdr:rowOff>
                  </to>
                </anchor>
              </controlPr>
            </control>
          </mc:Choice>
        </mc:AlternateContent>
        <mc:AlternateContent xmlns:mc="http://schemas.openxmlformats.org/markup-compatibility/2006">
          <mc:Choice Requires="x14">
            <control shapeId="41993" r:id="rId9" name="Check Box 9">
              <controlPr defaultSize="0" autoFill="0" autoLine="0" autoPict="0">
                <anchor moveWithCells="1">
                  <from>
                    <xdr:col>10</xdr:col>
                    <xdr:colOff>9525</xdr:colOff>
                    <xdr:row>49</xdr:row>
                    <xdr:rowOff>0</xdr:rowOff>
                  </from>
                  <to>
                    <xdr:col>11</xdr:col>
                    <xdr:colOff>0</xdr:colOff>
                    <xdr:row>49</xdr:row>
                    <xdr:rowOff>190500</xdr:rowOff>
                  </to>
                </anchor>
              </controlPr>
            </control>
          </mc:Choice>
        </mc:AlternateContent>
        <mc:AlternateContent xmlns:mc="http://schemas.openxmlformats.org/markup-compatibility/2006">
          <mc:Choice Requires="x14">
            <control shapeId="41994" r:id="rId10" name="Check Box 10">
              <controlPr defaultSize="0" autoFill="0" autoLine="0" autoPict="0">
                <anchor moveWithCells="1">
                  <from>
                    <xdr:col>10</xdr:col>
                    <xdr:colOff>9525</xdr:colOff>
                    <xdr:row>50</xdr:row>
                    <xdr:rowOff>0</xdr:rowOff>
                  </from>
                  <to>
                    <xdr:col>11</xdr:col>
                    <xdr:colOff>0</xdr:colOff>
                    <xdr:row>50</xdr:row>
                    <xdr:rowOff>190500</xdr:rowOff>
                  </to>
                </anchor>
              </controlPr>
            </control>
          </mc:Choice>
        </mc:AlternateContent>
        <mc:AlternateContent xmlns:mc="http://schemas.openxmlformats.org/markup-compatibility/2006">
          <mc:Choice Requires="x14">
            <control shapeId="41995" r:id="rId11" name="Check Box 11">
              <controlPr defaultSize="0" autoFill="0" autoLine="0" autoPict="0">
                <anchor moveWithCells="1">
                  <from>
                    <xdr:col>10</xdr:col>
                    <xdr:colOff>9525</xdr:colOff>
                    <xdr:row>54</xdr:row>
                    <xdr:rowOff>0</xdr:rowOff>
                  </from>
                  <to>
                    <xdr:col>11</xdr:col>
                    <xdr:colOff>0</xdr:colOff>
                    <xdr:row>54</xdr:row>
                    <xdr:rowOff>190500</xdr:rowOff>
                  </to>
                </anchor>
              </controlPr>
            </control>
          </mc:Choice>
        </mc:AlternateContent>
        <mc:AlternateContent xmlns:mc="http://schemas.openxmlformats.org/markup-compatibility/2006">
          <mc:Choice Requires="x14">
            <control shapeId="41996" r:id="rId12" name="Check Box 12">
              <controlPr defaultSize="0" autoFill="0" autoLine="0" autoPict="0">
                <anchor moveWithCells="1">
                  <from>
                    <xdr:col>10</xdr:col>
                    <xdr:colOff>9525</xdr:colOff>
                    <xdr:row>55</xdr:row>
                    <xdr:rowOff>0</xdr:rowOff>
                  </from>
                  <to>
                    <xdr:col>11</xdr:col>
                    <xdr:colOff>0</xdr:colOff>
                    <xdr:row>55</xdr:row>
                    <xdr:rowOff>190500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6">
    <pageSetUpPr fitToPage="1"/>
  </sheetPr>
  <dimension ref="A1:AS219"/>
  <sheetViews>
    <sheetView showGridLines="0" showRowColHeaders="0" topLeftCell="B10" zoomScale="85" zoomScaleNormal="85" workbookViewId="0">
      <selection activeCell="AI57" sqref="AI57:AQ57"/>
    </sheetView>
  </sheetViews>
  <sheetFormatPr defaultColWidth="0" defaultRowHeight="0" customHeight="1" zeroHeight="1"/>
  <cols>
    <col min="1" max="45" width="4.7109375" customWidth="1"/>
    <col min="46" max="78" width="9.140625" hidden="1" customWidth="1"/>
    <col min="79" max="16384" width="9.140625" hidden="1"/>
  </cols>
  <sheetData>
    <row r="1" spans="2:44" ht="15.95" customHeight="1">
      <c r="AH1" s="681" t="s">
        <v>471</v>
      </c>
      <c r="AI1" s="681"/>
      <c r="AJ1" s="681"/>
      <c r="AK1" s="681"/>
      <c r="AL1" s="682" t="s">
        <v>736</v>
      </c>
      <c r="AM1" s="682"/>
      <c r="AN1" s="682"/>
      <c r="AO1" s="682"/>
      <c r="AP1" s="682"/>
      <c r="AQ1" s="678" t="s">
        <v>474</v>
      </c>
      <c r="AR1" s="678"/>
    </row>
    <row r="2" spans="2:44" ht="15.95" customHeight="1">
      <c r="AH2" s="683" t="str">
        <f ca="1">INCENSTATUS</f>
        <v>---</v>
      </c>
      <c r="AI2" s="684"/>
      <c r="AJ2" s="684"/>
      <c r="AK2" s="684"/>
      <c r="AL2" s="685" t="str">
        <f ca="1">PROJSTATUS</f>
        <v>Enter Measures</v>
      </c>
      <c r="AM2" s="685"/>
      <c r="AN2" s="685"/>
      <c r="AO2" s="685"/>
      <c r="AP2" s="685"/>
      <c r="AQ2" s="679">
        <f ca="1">PROGRESSSTATUS</f>
        <v>2.8985507246376812E-2</v>
      </c>
      <c r="AR2" s="680"/>
    </row>
    <row r="3" spans="2:44" ht="15.95" customHeight="1">
      <c r="AH3" s="675"/>
      <c r="AI3" s="676"/>
      <c r="AJ3" s="676"/>
      <c r="AK3" s="676"/>
      <c r="AL3" s="668"/>
      <c r="AM3" s="668"/>
      <c r="AN3" s="668"/>
      <c r="AO3" s="668"/>
      <c r="AP3" s="668"/>
      <c r="AQ3" s="662"/>
      <c r="AR3" s="663"/>
    </row>
    <row r="4" spans="2:44" ht="15.95" customHeight="1">
      <c r="AR4" s="171"/>
    </row>
    <row r="5" spans="2:44" ht="15.95" customHeight="1"/>
    <row r="6" spans="2:44" ht="15.95" customHeight="1"/>
    <row r="7" spans="2:44" ht="15.95" customHeight="1"/>
    <row r="8" spans="2:44" ht="15.95" customHeight="1"/>
    <row r="9" spans="2:44" ht="15.95" customHeight="1">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44" ht="15.95" customHeight="1">
      <c r="B10" s="59"/>
      <c r="C10" s="59"/>
      <c r="D10" s="59"/>
      <c r="E10" s="59"/>
      <c r="F10" s="686" t="s">
        <v>868</v>
      </c>
      <c r="G10" s="686"/>
      <c r="H10" s="686"/>
      <c r="I10" s="686"/>
      <c r="J10" s="686"/>
      <c r="K10" s="686"/>
      <c r="L10" s="686"/>
      <c r="M10" s="686"/>
      <c r="N10" s="686"/>
      <c r="O10" s="686"/>
      <c r="P10" s="686"/>
      <c r="Q10" s="686"/>
      <c r="R10" s="686"/>
      <c r="S10" s="686"/>
      <c r="T10" s="686"/>
      <c r="U10" s="686"/>
      <c r="V10" s="686"/>
      <c r="W10" s="686"/>
      <c r="X10" s="686"/>
      <c r="Y10" s="686"/>
      <c r="Z10" s="686"/>
      <c r="AA10" s="686"/>
      <c r="AB10" s="686"/>
      <c r="AC10" s="686"/>
      <c r="AD10" s="686"/>
      <c r="AE10" s="686"/>
      <c r="AF10" s="686"/>
      <c r="AG10" s="686"/>
      <c r="AH10" s="686"/>
      <c r="AI10" s="686"/>
      <c r="AJ10" s="686"/>
      <c r="AK10" s="686"/>
      <c r="AL10" s="686"/>
      <c r="AM10" s="686"/>
      <c r="AN10" s="686"/>
      <c r="AO10" s="59"/>
      <c r="AP10" s="59"/>
      <c r="AQ10" s="59"/>
      <c r="AR10" s="59"/>
    </row>
    <row r="11" spans="2:44" ht="15.95" customHeight="1">
      <c r="B11" s="59"/>
      <c r="C11" s="59"/>
      <c r="D11" s="59"/>
      <c r="E11" s="59"/>
      <c r="F11" s="306"/>
      <c r="G11" s="306"/>
      <c r="H11" s="306"/>
      <c r="I11" s="306"/>
      <c r="J11" s="306"/>
      <c r="K11" s="306"/>
      <c r="L11" s="306"/>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6"/>
      <c r="AL11" s="306"/>
      <c r="AM11" s="306"/>
      <c r="AN11" s="306"/>
      <c r="AO11" s="59"/>
      <c r="AP11" s="59"/>
      <c r="AQ11" s="59"/>
      <c r="AR11" s="59"/>
    </row>
    <row r="12" spans="2:44" ht="15.95" customHeight="1" thickBot="1">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2:44" ht="15.95" customHeight="1" thickBot="1">
      <c r="B13" s="59"/>
      <c r="C13" s="1420" t="s">
        <v>75</v>
      </c>
      <c r="D13" s="1420"/>
      <c r="E13" s="1420"/>
      <c r="F13" s="1420"/>
      <c r="G13" s="1420"/>
      <c r="H13" s="1420"/>
      <c r="I13" s="1420"/>
      <c r="J13" s="1420"/>
      <c r="K13" s="1420"/>
      <c r="L13" s="1420"/>
      <c r="M13" s="1420"/>
      <c r="N13" s="1420"/>
      <c r="O13" s="1420"/>
      <c r="P13" s="214"/>
      <c r="Q13" s="1420" t="s">
        <v>879</v>
      </c>
      <c r="R13" s="1420"/>
      <c r="S13" s="1420"/>
      <c r="T13" s="1420"/>
      <c r="U13" s="1420"/>
      <c r="V13" s="1420"/>
      <c r="W13" s="1420"/>
      <c r="X13" s="1420"/>
      <c r="Y13" s="1420"/>
      <c r="Z13" s="1420"/>
      <c r="AA13" s="1420"/>
      <c r="AB13" s="1420"/>
      <c r="AC13" s="1420"/>
      <c r="AD13" s="214"/>
      <c r="AE13" s="1420" t="s">
        <v>495</v>
      </c>
      <c r="AF13" s="1420"/>
      <c r="AG13" s="1420"/>
      <c r="AH13" s="1420"/>
      <c r="AI13" s="1420"/>
      <c r="AJ13" s="1420"/>
      <c r="AK13" s="1420"/>
      <c r="AL13" s="1420"/>
      <c r="AM13" s="1420"/>
      <c r="AN13" s="1420"/>
      <c r="AO13" s="1420"/>
      <c r="AP13" s="1420"/>
      <c r="AQ13" s="1420"/>
      <c r="AR13" s="59"/>
    </row>
    <row r="14" spans="2:44" ht="15.95" customHeight="1" thickBot="1">
      <c r="B14" s="59"/>
      <c r="C14" s="1426" t="s">
        <v>513</v>
      </c>
      <c r="D14" s="1426"/>
      <c r="E14" s="1426"/>
      <c r="F14" s="1426"/>
      <c r="G14" s="1425" t="str">
        <f>PROPER(M02S02F34)</f>
        <v/>
      </c>
      <c r="H14" s="1425"/>
      <c r="I14" s="1425"/>
      <c r="J14" s="1425"/>
      <c r="K14" s="1425"/>
      <c r="L14" s="1425"/>
      <c r="M14" s="1425"/>
      <c r="N14" s="1425"/>
      <c r="O14" s="1425"/>
      <c r="P14" s="214"/>
      <c r="Q14" s="1389" t="s">
        <v>1054</v>
      </c>
      <c r="R14" s="1389"/>
      <c r="S14" s="1389"/>
      <c r="T14" s="1389"/>
      <c r="U14" s="1406" t="str">
        <f ca="1">IF(TEMPLATE!A74/TEMPLATE!D74=1,"Completed",IF(TEMPLATE!A74/TEMPLATE!D74&gt;0.7,"Almost!","Incomplete"))</f>
        <v>Incomplete</v>
      </c>
      <c r="V14" s="1407"/>
      <c r="W14" s="1407"/>
      <c r="X14" s="1407"/>
      <c r="Y14" s="1430">
        <f>M05S02F01</f>
        <v>0</v>
      </c>
      <c r="Z14" s="1430"/>
      <c r="AA14" s="1430"/>
      <c r="AB14" s="1430"/>
      <c r="AC14" s="1431"/>
      <c r="AD14" s="214"/>
      <c r="AE14" s="1426" t="s">
        <v>497</v>
      </c>
      <c r="AF14" s="1426"/>
      <c r="AG14" s="1426"/>
      <c r="AH14" s="1426"/>
      <c r="AI14" s="1433"/>
      <c r="AJ14" s="1433"/>
      <c r="AK14" s="1433"/>
      <c r="AL14" s="1433"/>
      <c r="AM14" s="1433"/>
      <c r="AN14" s="1433"/>
      <c r="AO14" s="1433"/>
      <c r="AP14" s="1433"/>
      <c r="AQ14" s="1433"/>
      <c r="AR14" s="59"/>
    </row>
    <row r="15" spans="2:44" ht="15.95" customHeight="1" thickBot="1">
      <c r="B15" s="59"/>
      <c r="C15" s="1426" t="s">
        <v>549</v>
      </c>
      <c r="D15" s="1426"/>
      <c r="E15" s="1426"/>
      <c r="F15" s="1426"/>
      <c r="G15" s="1425">
        <f>M02S02F37</f>
        <v>0</v>
      </c>
      <c r="H15" s="1425"/>
      <c r="I15" s="1425"/>
      <c r="J15" s="1425"/>
      <c r="K15" s="1425"/>
      <c r="L15" s="1425">
        <f>M02S02F38</f>
        <v>0</v>
      </c>
      <c r="M15" s="1425"/>
      <c r="N15" s="1425"/>
      <c r="O15" s="1425"/>
      <c r="P15" s="214"/>
      <c r="Q15" s="1389" t="s">
        <v>880</v>
      </c>
      <c r="R15" s="1389"/>
      <c r="S15" s="1389"/>
      <c r="T15" s="1389"/>
      <c r="U15" s="1406" t="str">
        <f ca="1">IF(TEMPLATE!A81/TEMPLATE!D81=1,"Completed",IF(TEMPLATE!A81/TEMPLATE!D81&gt;0.7,"Almost!","Incomplete"))</f>
        <v>Incomplete</v>
      </c>
      <c r="V15" s="1407"/>
      <c r="W15" s="1407"/>
      <c r="X15" s="1407"/>
      <c r="Y15" s="1407"/>
      <c r="Z15" s="1407"/>
      <c r="AA15" s="1407"/>
      <c r="AB15" s="1407"/>
      <c r="AC15" s="1408"/>
      <c r="AD15" s="214"/>
      <c r="AE15" s="1426" t="s">
        <v>900</v>
      </c>
      <c r="AF15" s="1426"/>
      <c r="AG15" s="1426"/>
      <c r="AH15" s="1426"/>
      <c r="AI15" s="1432"/>
      <c r="AJ15" s="1432"/>
      <c r="AK15" s="1432"/>
      <c r="AL15" s="1432"/>
      <c r="AM15" s="1432"/>
      <c r="AN15" s="1432"/>
      <c r="AO15" s="1432"/>
      <c r="AP15" s="1432"/>
      <c r="AQ15" s="1432"/>
      <c r="AR15" s="59"/>
    </row>
    <row r="16" spans="2:44" ht="15.95" customHeight="1" thickBot="1">
      <c r="B16" s="59"/>
      <c r="C16" s="1426" t="s">
        <v>1203</v>
      </c>
      <c r="D16" s="1426"/>
      <c r="E16" s="1426"/>
      <c r="F16" s="1426"/>
      <c r="G16" s="1425">
        <f>M02S02F39</f>
        <v>0</v>
      </c>
      <c r="H16" s="1425"/>
      <c r="I16" s="1425"/>
      <c r="J16" s="1425"/>
      <c r="K16" s="1425"/>
      <c r="L16" s="1425">
        <f>M02S02F40</f>
        <v>0</v>
      </c>
      <c r="M16" s="1425"/>
      <c r="N16" s="1425"/>
      <c r="O16" s="1425"/>
      <c r="P16" s="214"/>
      <c r="Q16" s="1389" t="s">
        <v>881</v>
      </c>
      <c r="R16" s="1389"/>
      <c r="S16" s="1389"/>
      <c r="T16" s="1389"/>
      <c r="U16" s="1406" t="str">
        <f ca="1">IF(TEMPLATE!A134/TEMPLATE!D134=1,"Completed",IF(TEMPLATE!A134/TEMPLATE!D134&gt;0.7,"Almost!","Incomplete"))</f>
        <v>Incomplete</v>
      </c>
      <c r="V16" s="1407"/>
      <c r="W16" s="1407"/>
      <c r="X16" s="1407"/>
      <c r="Y16" s="1407"/>
      <c r="Z16" s="1407"/>
      <c r="AA16" s="1407"/>
      <c r="AB16" s="1407"/>
      <c r="AC16" s="1408"/>
      <c r="AD16" s="214"/>
      <c r="AE16" s="1426" t="s">
        <v>488</v>
      </c>
      <c r="AF16" s="1426"/>
      <c r="AG16" s="1426"/>
      <c r="AH16" s="1426"/>
      <c r="AI16" s="1432"/>
      <c r="AJ16" s="1432"/>
      <c r="AK16" s="1432"/>
      <c r="AL16" s="1432"/>
      <c r="AM16" s="1432"/>
      <c r="AN16" s="1432"/>
      <c r="AO16" s="1432"/>
      <c r="AP16" s="1432"/>
      <c r="AQ16" s="1432"/>
      <c r="AR16" s="59"/>
    </row>
    <row r="17" spans="2:44" ht="15.95" customHeight="1" thickBot="1">
      <c r="B17" s="59"/>
      <c r="C17" s="1426"/>
      <c r="D17" s="1426"/>
      <c r="E17" s="1426"/>
      <c r="F17" s="1426"/>
      <c r="G17" s="1425"/>
      <c r="H17" s="1425"/>
      <c r="I17" s="1425"/>
      <c r="J17" s="1425"/>
      <c r="K17" s="1425"/>
      <c r="L17" s="1425"/>
      <c r="M17" s="1425"/>
      <c r="N17" s="1425"/>
      <c r="O17" s="1425"/>
      <c r="P17" s="214"/>
      <c r="Q17" s="1389" t="s">
        <v>882</v>
      </c>
      <c r="R17" s="1389"/>
      <c r="S17" s="1389"/>
      <c r="T17" s="1389"/>
      <c r="U17" s="1406" t="str">
        <f ca="1">IF(TEMPLATE!A154/TEMPLATE!D154=1,"Completed",IF(TEMPLATE!A154/TEMPLATE!D154&gt;0.7,"Almost!","Incomplete"))</f>
        <v>Incomplete</v>
      </c>
      <c r="V17" s="1407"/>
      <c r="W17" s="1407"/>
      <c r="X17" s="1407"/>
      <c r="Y17" s="1407"/>
      <c r="Z17" s="1407"/>
      <c r="AA17" s="1407"/>
      <c r="AB17" s="1407"/>
      <c r="AC17" s="1408"/>
      <c r="AD17" s="214"/>
      <c r="AE17" s="1426" t="s">
        <v>489</v>
      </c>
      <c r="AF17" s="1426"/>
      <c r="AG17" s="1426"/>
      <c r="AH17" s="1426"/>
      <c r="AI17" s="1432"/>
      <c r="AJ17" s="1432"/>
      <c r="AK17" s="1432"/>
      <c r="AL17" s="1432"/>
      <c r="AM17" s="1432"/>
      <c r="AN17" s="1432"/>
      <c r="AO17" s="1432"/>
      <c r="AP17" s="1432"/>
      <c r="AQ17" s="1432"/>
      <c r="AR17" s="59"/>
    </row>
    <row r="18" spans="2:44" ht="15.95" customHeight="1" thickBot="1">
      <c r="B18" s="59"/>
      <c r="C18" s="1426" t="s">
        <v>0</v>
      </c>
      <c r="D18" s="1426"/>
      <c r="E18" s="1426"/>
      <c r="F18" s="1426"/>
      <c r="G18" s="1425">
        <f>M02S02F12</f>
        <v>0</v>
      </c>
      <c r="H18" s="1425"/>
      <c r="I18" s="1425"/>
      <c r="J18" s="1425"/>
      <c r="K18" s="1425"/>
      <c r="L18" s="1425"/>
      <c r="M18" s="1425"/>
      <c r="N18" s="1425"/>
      <c r="O18" s="1425"/>
      <c r="P18" s="214"/>
      <c r="Q18" s="1389" t="s">
        <v>249</v>
      </c>
      <c r="R18" s="1389"/>
      <c r="S18" s="1389"/>
      <c r="T18" s="1389"/>
      <c r="U18" s="1406" t="str">
        <f ca="1">IF(TEMPLATE!A173/TEMPLATE!D173=1,"Completed",IF(TEMPLATE!A173/TEMPLATE!D173&gt;0.7,"Almost!","Incomplete"))</f>
        <v>Incomplete</v>
      </c>
      <c r="V18" s="1407"/>
      <c r="W18" s="1407"/>
      <c r="X18" s="1407"/>
      <c r="Y18" s="1407"/>
      <c r="Z18" s="1407"/>
      <c r="AA18" s="1407"/>
      <c r="AB18" s="1407"/>
      <c r="AC18" s="1408"/>
      <c r="AD18" s="214"/>
      <c r="AE18" s="1426" t="s">
        <v>490</v>
      </c>
      <c r="AF18" s="1426"/>
      <c r="AG18" s="1426"/>
      <c r="AH18" s="1426"/>
      <c r="AI18" s="1429"/>
      <c r="AJ18" s="1429"/>
      <c r="AK18" s="1429"/>
      <c r="AL18" s="1429"/>
      <c r="AM18" s="1429"/>
      <c r="AN18" s="1429"/>
      <c r="AO18" s="1429"/>
      <c r="AP18" s="1429"/>
      <c r="AQ18" s="1429"/>
      <c r="AR18" s="59"/>
    </row>
    <row r="19" spans="2:44" ht="15.95" customHeight="1" thickBot="1">
      <c r="B19" s="59"/>
      <c r="C19" s="1426" t="s">
        <v>486</v>
      </c>
      <c r="D19" s="1426"/>
      <c r="E19" s="1426"/>
      <c r="F19" s="1426"/>
      <c r="G19" s="1425" t="str">
        <f>VERSION</f>
        <v>Custom Prescriptive Application v3.7.0</v>
      </c>
      <c r="H19" s="1425"/>
      <c r="I19" s="1425"/>
      <c r="J19" s="1425"/>
      <c r="K19" s="1425"/>
      <c r="L19" s="1425"/>
      <c r="M19" s="1425"/>
      <c r="N19" s="1425"/>
      <c r="O19" s="1425"/>
      <c r="P19" s="214"/>
      <c r="Q19" s="1389" t="s">
        <v>883</v>
      </c>
      <c r="R19" s="1389"/>
      <c r="S19" s="1389"/>
      <c r="T19" s="1389"/>
      <c r="U19" s="1406" t="str">
        <f ca="1">IFERROR(IF(TEMPLATE!A181/TEMPLATE!D181=1,"Completed",IF(TEMPLATE!A181/TEMPLATE!D181&gt;0.7,"Almost!","Incomplete")),"")</f>
        <v/>
      </c>
      <c r="V19" s="1407"/>
      <c r="W19" s="1407"/>
      <c r="X19" s="1407"/>
      <c r="Y19" s="1407"/>
      <c r="Z19" s="1407"/>
      <c r="AA19" s="1407"/>
      <c r="AB19" s="1407"/>
      <c r="AC19" s="1408"/>
      <c r="AD19" s="214"/>
      <c r="AE19" s="1426" t="s">
        <v>491</v>
      </c>
      <c r="AF19" s="1426"/>
      <c r="AG19" s="1426"/>
      <c r="AH19" s="1426"/>
      <c r="AI19" s="1429"/>
      <c r="AJ19" s="1429"/>
      <c r="AK19" s="1429"/>
      <c r="AL19" s="1429"/>
      <c r="AM19" s="1429"/>
      <c r="AN19" s="1429"/>
      <c r="AO19" s="1429"/>
      <c r="AP19" s="1429"/>
      <c r="AQ19" s="1429"/>
      <c r="AR19" s="59"/>
    </row>
    <row r="20" spans="2:44" ht="15.95" customHeight="1" thickBot="1">
      <c r="B20" s="59"/>
      <c r="C20" s="214"/>
      <c r="D20" s="214"/>
      <c r="E20" s="214"/>
      <c r="F20" s="214"/>
      <c r="G20" s="214"/>
      <c r="H20" s="214"/>
      <c r="I20" s="214"/>
      <c r="J20" s="214"/>
      <c r="K20" s="214"/>
      <c r="L20" s="214"/>
      <c r="M20" s="214"/>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c r="AL20" s="214"/>
      <c r="AM20" s="214"/>
      <c r="AN20" s="214"/>
      <c r="AO20" s="214"/>
      <c r="AP20" s="214"/>
      <c r="AQ20" s="214"/>
      <c r="AR20" s="59"/>
    </row>
    <row r="21" spans="2:44" ht="15.95" customHeight="1" thickBot="1">
      <c r="B21" s="59"/>
      <c r="C21" s="1420" t="s">
        <v>493</v>
      </c>
      <c r="D21" s="1420"/>
      <c r="E21" s="1420"/>
      <c r="F21" s="1420"/>
      <c r="G21" s="1420"/>
      <c r="H21" s="1420"/>
      <c r="I21" s="1420"/>
      <c r="J21" s="1420"/>
      <c r="K21" s="1420"/>
      <c r="L21" s="1420"/>
      <c r="M21" s="1420"/>
      <c r="N21" s="1420"/>
      <c r="O21" s="1420"/>
      <c r="P21" s="214"/>
      <c r="Q21" s="1420" t="s">
        <v>492</v>
      </c>
      <c r="R21" s="1420"/>
      <c r="S21" s="1420"/>
      <c r="T21" s="1420"/>
      <c r="U21" s="1420"/>
      <c r="V21" s="1420"/>
      <c r="W21" s="1420"/>
      <c r="X21" s="1420"/>
      <c r="Y21" s="1420"/>
      <c r="Z21" s="1420"/>
      <c r="AA21" s="1420"/>
      <c r="AB21" s="1420"/>
      <c r="AC21" s="1420"/>
      <c r="AD21" s="214"/>
      <c r="AE21" s="1420" t="s">
        <v>494</v>
      </c>
      <c r="AF21" s="1420"/>
      <c r="AG21" s="1420"/>
      <c r="AH21" s="1420"/>
      <c r="AI21" s="1420"/>
      <c r="AJ21" s="1420"/>
      <c r="AK21" s="1420"/>
      <c r="AL21" s="1420"/>
      <c r="AM21" s="1420"/>
      <c r="AN21" s="1420"/>
      <c r="AO21" s="1420"/>
      <c r="AP21" s="1420"/>
      <c r="AQ21" s="1420"/>
      <c r="AR21" s="59"/>
    </row>
    <row r="22" spans="2:44" ht="15.95" customHeight="1" thickBot="1">
      <c r="B22" s="59"/>
      <c r="C22" s="1421" t="s">
        <v>117</v>
      </c>
      <c r="D22" s="1421"/>
      <c r="E22" s="1421"/>
      <c r="F22" s="1421"/>
      <c r="G22" s="1413" t="str">
        <f>PROPER(M02S02F01)</f>
        <v/>
      </c>
      <c r="H22" s="1413"/>
      <c r="I22" s="1413"/>
      <c r="J22" s="1413"/>
      <c r="K22" s="1413"/>
      <c r="L22" s="1413"/>
      <c r="M22" s="1413"/>
      <c r="N22" s="1413"/>
      <c r="O22" s="1413"/>
      <c r="P22" s="214"/>
      <c r="Q22" s="1427" t="s">
        <v>496</v>
      </c>
      <c r="R22" s="1427"/>
      <c r="S22" s="1427"/>
      <c r="T22" s="1427"/>
      <c r="U22" s="1415" t="str">
        <f>PROPER(M02S02F16)</f>
        <v/>
      </c>
      <c r="V22" s="1415"/>
      <c r="W22" s="1415"/>
      <c r="X22" s="1415"/>
      <c r="Y22" s="1415"/>
      <c r="Z22" s="1415" t="str">
        <f>PROPER(M02S02F17)</f>
        <v/>
      </c>
      <c r="AA22" s="1415"/>
      <c r="AB22" s="1415"/>
      <c r="AC22" s="1415"/>
      <c r="AD22" s="214"/>
      <c r="AE22" s="1414" t="s">
        <v>117</v>
      </c>
      <c r="AF22" s="1414"/>
      <c r="AG22" s="1414"/>
      <c r="AH22" s="1414"/>
      <c r="AI22" s="1417" t="str">
        <f>PROPER(M02S03F02)</f>
        <v/>
      </c>
      <c r="AJ22" s="1417"/>
      <c r="AK22" s="1417"/>
      <c r="AL22" s="1417"/>
      <c r="AM22" s="1417"/>
      <c r="AN22" s="1417"/>
      <c r="AO22" s="1417"/>
      <c r="AP22" s="1417"/>
      <c r="AQ22" s="1417"/>
      <c r="AR22" s="59"/>
    </row>
    <row r="23" spans="2:44" ht="15.95" customHeight="1" thickBot="1">
      <c r="B23" s="59"/>
      <c r="C23" s="1421" t="s">
        <v>507</v>
      </c>
      <c r="D23" s="1421"/>
      <c r="E23" s="1421"/>
      <c r="F23" s="1421"/>
      <c r="G23" s="1413" t="str">
        <f>PROPER(M02S02F02)</f>
        <v/>
      </c>
      <c r="H23" s="1413"/>
      <c r="I23" s="1413"/>
      <c r="J23" s="1413"/>
      <c r="K23" s="1413"/>
      <c r="L23" s="1413" t="str">
        <f>PROPER(M02S02F03)</f>
        <v/>
      </c>
      <c r="M23" s="1413"/>
      <c r="N23" s="1413"/>
      <c r="O23" s="1413"/>
      <c r="P23" s="214"/>
      <c r="Q23" s="1427" t="s">
        <v>78</v>
      </c>
      <c r="R23" s="1427"/>
      <c r="S23" s="1427"/>
      <c r="T23" s="1427"/>
      <c r="U23" s="1415" t="str">
        <f>PROPER(M02S02F18)</f>
        <v/>
      </c>
      <c r="V23" s="1415"/>
      <c r="W23" s="1415"/>
      <c r="X23" s="1415"/>
      <c r="Y23" s="1415"/>
      <c r="Z23" s="1415"/>
      <c r="AA23" s="1415"/>
      <c r="AB23" s="1415"/>
      <c r="AC23" s="1415"/>
      <c r="AD23" s="214"/>
      <c r="AE23" s="1414" t="s">
        <v>507</v>
      </c>
      <c r="AF23" s="1414"/>
      <c r="AG23" s="1414"/>
      <c r="AH23" s="1414"/>
      <c r="AI23" s="1417" t="str">
        <f>PROPER(M02S03F03)</f>
        <v/>
      </c>
      <c r="AJ23" s="1417"/>
      <c r="AK23" s="1417"/>
      <c r="AL23" s="1417"/>
      <c r="AM23" s="1417"/>
      <c r="AN23" s="1417" t="str">
        <f>PROPER(M02S03F04)</f>
        <v/>
      </c>
      <c r="AO23" s="1417"/>
      <c r="AP23" s="1417"/>
      <c r="AQ23" s="1417"/>
      <c r="AR23" s="59"/>
    </row>
    <row r="24" spans="2:44" ht="15.95" customHeight="1" thickBot="1">
      <c r="B24" s="59"/>
      <c r="C24" s="1421" t="s">
        <v>78</v>
      </c>
      <c r="D24" s="1421"/>
      <c r="E24" s="1421"/>
      <c r="F24" s="1421"/>
      <c r="G24" s="1413" t="str">
        <f>PROPER(M02S02F04)</f>
        <v/>
      </c>
      <c r="H24" s="1413"/>
      <c r="I24" s="1413"/>
      <c r="J24" s="1413"/>
      <c r="K24" s="1413"/>
      <c r="L24" s="1413"/>
      <c r="M24" s="1413"/>
      <c r="N24" s="1413"/>
      <c r="O24" s="1413"/>
      <c r="P24" s="214"/>
      <c r="Q24" s="1427" t="s">
        <v>500</v>
      </c>
      <c r="R24" s="1427"/>
      <c r="S24" s="1427"/>
      <c r="T24" s="1427"/>
      <c r="U24" s="1428" t="str">
        <f>M02S02F19</f>
        <v/>
      </c>
      <c r="V24" s="1428"/>
      <c r="W24" s="1428"/>
      <c r="X24" s="1428"/>
      <c r="Y24" s="1428"/>
      <c r="Z24" s="1428" t="str">
        <f>M02S02F20</f>
        <v/>
      </c>
      <c r="AA24" s="1428"/>
      <c r="AB24" s="1428"/>
      <c r="AC24" s="1428"/>
      <c r="AD24" s="214"/>
      <c r="AE24" s="1414" t="s">
        <v>78</v>
      </c>
      <c r="AF24" s="1414"/>
      <c r="AG24" s="1414"/>
      <c r="AH24" s="1414"/>
      <c r="AI24" s="1417" t="str">
        <f>PROPER(M02S03F05)</f>
        <v/>
      </c>
      <c r="AJ24" s="1417"/>
      <c r="AK24" s="1417"/>
      <c r="AL24" s="1417"/>
      <c r="AM24" s="1417"/>
      <c r="AN24" s="1417"/>
      <c r="AO24" s="1417"/>
      <c r="AP24" s="1417"/>
      <c r="AQ24" s="1417"/>
      <c r="AR24" s="59"/>
    </row>
    <row r="25" spans="2:44" ht="15.95" customHeight="1" thickBot="1">
      <c r="B25" s="59"/>
      <c r="C25" s="1421" t="s">
        <v>500</v>
      </c>
      <c r="D25" s="1421"/>
      <c r="E25" s="1421"/>
      <c r="F25" s="1421"/>
      <c r="G25" s="1434">
        <f>M02S02F05</f>
        <v>0</v>
      </c>
      <c r="H25" s="1434"/>
      <c r="I25" s="1434"/>
      <c r="J25" s="1434"/>
      <c r="K25" s="1434"/>
      <c r="L25" s="1434">
        <f>M02S02F06</f>
        <v>0</v>
      </c>
      <c r="M25" s="1434"/>
      <c r="N25" s="1434"/>
      <c r="O25" s="1434"/>
      <c r="P25" s="214"/>
      <c r="Q25" s="1427" t="s">
        <v>236</v>
      </c>
      <c r="R25" s="1427"/>
      <c r="S25" s="1427"/>
      <c r="T25" s="1427"/>
      <c r="U25" s="1415" t="str">
        <f>M02S02F21</f>
        <v/>
      </c>
      <c r="V25" s="1415"/>
      <c r="W25" s="1415"/>
      <c r="X25" s="1415"/>
      <c r="Y25" s="1415"/>
      <c r="Z25" s="1415"/>
      <c r="AA25" s="1415"/>
      <c r="AB25" s="1415"/>
      <c r="AC25" s="1415"/>
      <c r="AD25" s="214"/>
      <c r="AE25" s="1414" t="s">
        <v>500</v>
      </c>
      <c r="AF25" s="1414"/>
      <c r="AG25" s="1414"/>
      <c r="AH25" s="1414"/>
      <c r="AI25" s="1436">
        <f>M02S03F06</f>
        <v>0</v>
      </c>
      <c r="AJ25" s="1436"/>
      <c r="AK25" s="1436"/>
      <c r="AL25" s="1436"/>
      <c r="AM25" s="1436"/>
      <c r="AN25" s="1436">
        <f>M02S03F07</f>
        <v>0</v>
      </c>
      <c r="AO25" s="1436"/>
      <c r="AP25" s="1436"/>
      <c r="AQ25" s="1436"/>
      <c r="AR25" s="59"/>
    </row>
    <row r="26" spans="2:44" ht="15.95" customHeight="1" thickBot="1">
      <c r="B26" s="59"/>
      <c r="C26" s="1421" t="s">
        <v>236</v>
      </c>
      <c r="D26" s="1421"/>
      <c r="E26" s="1421"/>
      <c r="F26" s="1421"/>
      <c r="G26" s="1413">
        <f>M02S02F07</f>
        <v>0</v>
      </c>
      <c r="H26" s="1413"/>
      <c r="I26" s="1413"/>
      <c r="J26" s="1413"/>
      <c r="K26" s="1413"/>
      <c r="L26" s="1413"/>
      <c r="M26" s="1413"/>
      <c r="N26" s="1413"/>
      <c r="O26" s="1413"/>
      <c r="P26" s="214"/>
      <c r="Q26" s="1427"/>
      <c r="R26" s="1427"/>
      <c r="S26" s="1427"/>
      <c r="T26" s="1427"/>
      <c r="U26" s="1415"/>
      <c r="V26" s="1415"/>
      <c r="W26" s="1415"/>
      <c r="X26" s="1415"/>
      <c r="Y26" s="1415"/>
      <c r="Z26" s="1415"/>
      <c r="AA26" s="1415"/>
      <c r="AB26" s="1415"/>
      <c r="AC26" s="1415"/>
      <c r="AD26" s="214"/>
      <c r="AE26" s="1414" t="s">
        <v>236</v>
      </c>
      <c r="AF26" s="1414"/>
      <c r="AG26" s="1414"/>
      <c r="AH26" s="1414"/>
      <c r="AI26" s="1417">
        <f>M02S03F08</f>
        <v>0</v>
      </c>
      <c r="AJ26" s="1417"/>
      <c r="AK26" s="1417"/>
      <c r="AL26" s="1417"/>
      <c r="AM26" s="1417"/>
      <c r="AN26" s="1417"/>
      <c r="AO26" s="1417"/>
      <c r="AP26" s="1417"/>
      <c r="AQ26" s="1417"/>
      <c r="AR26" s="59"/>
    </row>
    <row r="27" spans="2:44" ht="15.95" customHeight="1" thickBot="1">
      <c r="B27" s="59"/>
      <c r="C27" s="1421" t="s">
        <v>237</v>
      </c>
      <c r="D27" s="1421"/>
      <c r="E27" s="1421"/>
      <c r="F27" s="1421"/>
      <c r="G27" s="1413" t="str">
        <f>PROPER(M02S02F08)</f>
        <v/>
      </c>
      <c r="H27" s="1413"/>
      <c r="I27" s="1413"/>
      <c r="J27" s="1413"/>
      <c r="K27" s="1413"/>
      <c r="L27" s="1413"/>
      <c r="M27" s="1413"/>
      <c r="N27" s="1413"/>
      <c r="O27" s="1413"/>
      <c r="P27" s="214"/>
      <c r="Q27" s="1427" t="s">
        <v>898</v>
      </c>
      <c r="R27" s="1427"/>
      <c r="S27" s="1427"/>
      <c r="T27" s="1427"/>
      <c r="U27" s="1416">
        <f>M05S02F04</f>
        <v>0</v>
      </c>
      <c r="V27" s="1416"/>
      <c r="W27" s="1416"/>
      <c r="X27" s="1416"/>
      <c r="Y27" s="1416"/>
      <c r="Z27" s="1416"/>
      <c r="AA27" s="1416"/>
      <c r="AB27" s="1416"/>
      <c r="AC27" s="1416"/>
      <c r="AD27" s="214"/>
      <c r="AE27" s="1414" t="s">
        <v>237</v>
      </c>
      <c r="AF27" s="1414"/>
      <c r="AG27" s="1414"/>
      <c r="AH27" s="1414"/>
      <c r="AI27" s="1417" t="str">
        <f>PROPER(M02S03F09)</f>
        <v/>
      </c>
      <c r="AJ27" s="1417"/>
      <c r="AK27" s="1417"/>
      <c r="AL27" s="1417"/>
      <c r="AM27" s="1417"/>
      <c r="AN27" s="1417"/>
      <c r="AO27" s="1417"/>
      <c r="AP27" s="1417"/>
      <c r="AQ27" s="1417"/>
      <c r="AR27" s="59"/>
    </row>
    <row r="28" spans="2:44" ht="15.95" customHeight="1" thickBot="1">
      <c r="B28" s="59"/>
      <c r="C28" s="1421" t="s">
        <v>499</v>
      </c>
      <c r="D28" s="1421"/>
      <c r="E28" s="1421"/>
      <c r="F28" s="1421"/>
      <c r="G28" s="1413" t="str">
        <f>PROPER(M02S02F09)</f>
        <v/>
      </c>
      <c r="H28" s="1413"/>
      <c r="I28" s="1413"/>
      <c r="J28" s="1413"/>
      <c r="K28" s="1413"/>
      <c r="L28" s="1413">
        <f>M02S02F10</f>
        <v>0</v>
      </c>
      <c r="M28" s="1413"/>
      <c r="N28" s="1442">
        <f>M02S02F11</f>
        <v>0</v>
      </c>
      <c r="O28" s="1442"/>
      <c r="P28" s="214"/>
      <c r="Q28" s="1427" t="s">
        <v>899</v>
      </c>
      <c r="R28" s="1427"/>
      <c r="S28" s="1427"/>
      <c r="T28" s="1427"/>
      <c r="U28" s="1416">
        <f>M05S03F01</f>
        <v>0</v>
      </c>
      <c r="V28" s="1416"/>
      <c r="W28" s="1416"/>
      <c r="X28" s="1416"/>
      <c r="Y28" s="1416"/>
      <c r="Z28" s="1416"/>
      <c r="AA28" s="1416"/>
      <c r="AB28" s="1416"/>
      <c r="AC28" s="1416"/>
      <c r="AD28" s="214"/>
      <c r="AE28" s="1414" t="s">
        <v>499</v>
      </c>
      <c r="AF28" s="1414"/>
      <c r="AG28" s="1414"/>
      <c r="AH28" s="1414"/>
      <c r="AI28" s="1417" t="str">
        <f>PROPER(M02S03F10)</f>
        <v/>
      </c>
      <c r="AJ28" s="1417"/>
      <c r="AK28" s="1417"/>
      <c r="AL28" s="1417"/>
      <c r="AM28" s="1417"/>
      <c r="AN28" s="1417">
        <f>M02S03F11</f>
        <v>0</v>
      </c>
      <c r="AO28" s="1417"/>
      <c r="AP28" s="1435">
        <f>M02S03F12</f>
        <v>0</v>
      </c>
      <c r="AQ28" s="1435"/>
      <c r="AR28" s="59"/>
    </row>
    <row r="29" spans="2:44" ht="15.95" customHeight="1" thickBot="1">
      <c r="B29" s="59"/>
      <c r="C29" s="1421" t="s">
        <v>313</v>
      </c>
      <c r="D29" s="1421"/>
      <c r="E29" s="1421"/>
      <c r="F29" s="1421"/>
      <c r="G29" s="1413">
        <f>M02S02F52</f>
        <v>0</v>
      </c>
      <c r="H29" s="1413"/>
      <c r="I29" s="1413"/>
      <c r="J29" s="1413"/>
      <c r="K29" s="1413"/>
      <c r="L29" s="1413"/>
      <c r="M29" s="1413"/>
      <c r="N29" s="1413"/>
      <c r="O29" s="1413"/>
      <c r="P29" s="214"/>
      <c r="Q29" s="1427"/>
      <c r="R29" s="1427"/>
      <c r="S29" s="1427"/>
      <c r="T29" s="1427"/>
      <c r="U29" s="1415"/>
      <c r="V29" s="1415"/>
      <c r="W29" s="1415"/>
      <c r="X29" s="1415"/>
      <c r="Y29" s="1415"/>
      <c r="Z29" s="1415"/>
      <c r="AA29" s="1415"/>
      <c r="AB29" s="1415"/>
      <c r="AC29" s="1415"/>
      <c r="AD29" s="214"/>
      <c r="AE29" s="1414"/>
      <c r="AF29" s="1414"/>
      <c r="AG29" s="1414"/>
      <c r="AH29" s="1414"/>
      <c r="AI29" s="1412"/>
      <c r="AJ29" s="1412"/>
      <c r="AK29" s="1412"/>
      <c r="AL29" s="1412"/>
      <c r="AM29" s="1412"/>
      <c r="AN29" s="1412"/>
      <c r="AO29" s="1412"/>
      <c r="AP29" s="1412"/>
      <c r="AQ29" s="1412"/>
      <c r="AR29" s="59"/>
    </row>
    <row r="30" spans="2:44" ht="15.95" customHeight="1" thickBot="1">
      <c r="B30" s="59"/>
      <c r="C30" s="1421" t="s">
        <v>1204</v>
      </c>
      <c r="D30" s="1421"/>
      <c r="E30" s="1421"/>
      <c r="F30" s="1421"/>
      <c r="G30" s="1413">
        <f>M02S02F11.1</f>
        <v>0</v>
      </c>
      <c r="H30" s="1413"/>
      <c r="I30" s="1413"/>
      <c r="J30" s="1413"/>
      <c r="K30" s="1413"/>
      <c r="L30" s="1413"/>
      <c r="M30" s="1413"/>
      <c r="N30" s="1413"/>
      <c r="O30" s="1413"/>
      <c r="P30" s="214"/>
      <c r="Q30" s="1443" t="s">
        <v>1053</v>
      </c>
      <c r="R30" s="1443"/>
      <c r="S30" s="1443"/>
      <c r="T30" s="1443"/>
      <c r="U30" s="1418">
        <f>M02S02F35</f>
        <v>0.1087</v>
      </c>
      <c r="V30" s="1418"/>
      <c r="W30" s="1418"/>
      <c r="X30" s="1418"/>
      <c r="Y30" s="1418"/>
      <c r="Z30" s="1418"/>
      <c r="AA30" s="1418"/>
      <c r="AB30" s="1418"/>
      <c r="AC30" s="1418"/>
      <c r="AD30" s="214"/>
      <c r="AE30" s="1414"/>
      <c r="AF30" s="1414"/>
      <c r="AG30" s="1414"/>
      <c r="AH30" s="1414"/>
      <c r="AI30" s="1412"/>
      <c r="AJ30" s="1412"/>
      <c r="AK30" s="1412"/>
      <c r="AL30" s="1412"/>
      <c r="AM30" s="1412"/>
      <c r="AN30" s="1412"/>
      <c r="AO30" s="1412"/>
      <c r="AP30" s="1412"/>
      <c r="AQ30" s="1412"/>
      <c r="AR30" s="59"/>
    </row>
    <row r="31" spans="2:44" ht="15.95" customHeight="1" thickBot="1">
      <c r="B31" s="59"/>
      <c r="C31" s="1421" t="s">
        <v>2110</v>
      </c>
      <c r="D31" s="1421"/>
      <c r="E31" s="1421"/>
      <c r="F31" s="1421"/>
      <c r="G31" s="1413">
        <f>M02S02F47</f>
        <v>0</v>
      </c>
      <c r="H31" s="1413"/>
      <c r="I31" s="1413"/>
      <c r="J31" s="1413"/>
      <c r="K31" s="1413"/>
      <c r="L31" s="1413"/>
      <c r="M31" s="1413"/>
      <c r="N31" s="1413"/>
      <c r="O31" s="1413"/>
      <c r="P31" s="214"/>
      <c r="Q31" s="1419" t="s">
        <v>1205</v>
      </c>
      <c r="R31" s="1419"/>
      <c r="S31" s="1419"/>
      <c r="T31" s="1419"/>
      <c r="U31" s="1437">
        <f>M02S02F36</f>
        <v>0.95799999999999996</v>
      </c>
      <c r="V31" s="1438"/>
      <c r="W31" s="1438"/>
      <c r="X31" s="1438"/>
      <c r="Y31" s="1438"/>
      <c r="Z31" s="1438"/>
      <c r="AA31" s="1438"/>
      <c r="AB31" s="1438"/>
      <c r="AC31" s="1438"/>
      <c r="AD31" s="214"/>
      <c r="AE31" s="1414" t="s">
        <v>2110</v>
      </c>
      <c r="AF31" s="1414"/>
      <c r="AG31" s="1414"/>
      <c r="AH31" s="1414"/>
      <c r="AI31" s="1412">
        <f>M02S03F13</f>
        <v>0</v>
      </c>
      <c r="AJ31" s="1412"/>
      <c r="AK31" s="1412"/>
      <c r="AL31" s="1412"/>
      <c r="AM31" s="1412"/>
      <c r="AN31" s="1412"/>
      <c r="AO31" s="1412"/>
      <c r="AP31" s="1412"/>
      <c r="AQ31" s="1412"/>
      <c r="AR31" s="59"/>
    </row>
    <row r="32" spans="2:44" ht="15.95" customHeight="1" thickBot="1">
      <c r="B32" s="59"/>
      <c r="C32" s="214"/>
      <c r="D32" s="214"/>
      <c r="E32" s="214"/>
      <c r="F32" s="214"/>
      <c r="G32" s="214"/>
      <c r="H32" s="214"/>
      <c r="I32" s="214"/>
      <c r="J32" s="214"/>
      <c r="K32" s="214"/>
      <c r="L32" s="214"/>
      <c r="M32" s="214"/>
      <c r="N32" s="21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c r="AR32" s="59"/>
    </row>
    <row r="33" spans="2:44" ht="15.95" customHeight="1" thickBot="1">
      <c r="B33" s="59"/>
      <c r="C33" s="1420" t="s">
        <v>132</v>
      </c>
      <c r="D33" s="1420"/>
      <c r="E33" s="1420"/>
      <c r="F33" s="1420"/>
      <c r="G33" s="1420"/>
      <c r="H33" s="1420"/>
      <c r="I33" s="1420"/>
      <c r="J33" s="1420"/>
      <c r="K33" s="1420"/>
      <c r="L33" s="1420"/>
      <c r="M33" s="1420"/>
      <c r="N33" s="1420"/>
      <c r="O33" s="1420"/>
      <c r="P33" s="214"/>
      <c r="Q33" s="1420" t="s">
        <v>509</v>
      </c>
      <c r="R33" s="1420"/>
      <c r="S33" s="1420"/>
      <c r="T33" s="1420"/>
      <c r="U33" s="1420"/>
      <c r="V33" s="1420"/>
      <c r="W33" s="1420"/>
      <c r="X33" s="1420"/>
      <c r="Y33" s="1420"/>
      <c r="Z33" s="1420"/>
      <c r="AA33" s="1420"/>
      <c r="AB33" s="1420"/>
      <c r="AC33" s="1420"/>
      <c r="AD33" s="214"/>
      <c r="AE33" s="1420" t="s">
        <v>514</v>
      </c>
      <c r="AF33" s="1420"/>
      <c r="AG33" s="1420"/>
      <c r="AH33" s="1420"/>
      <c r="AI33" s="1420"/>
      <c r="AJ33" s="1420"/>
      <c r="AK33" s="1420"/>
      <c r="AL33" s="1420"/>
      <c r="AM33" s="1420"/>
      <c r="AN33" s="1420"/>
      <c r="AO33" s="1420"/>
      <c r="AP33" s="1420"/>
      <c r="AQ33" s="1420"/>
      <c r="AR33" s="59"/>
    </row>
    <row r="34" spans="2:44" ht="15.95" customHeight="1" thickBot="1">
      <c r="B34" s="59"/>
      <c r="C34" s="1410" t="s">
        <v>888</v>
      </c>
      <c r="D34" s="1410"/>
      <c r="E34" s="1410"/>
      <c r="F34" s="1410"/>
      <c r="G34" s="1439">
        <f>M02S02F13</f>
        <v>0</v>
      </c>
      <c r="H34" s="1440"/>
      <c r="I34" s="1440"/>
      <c r="J34" s="1440"/>
      <c r="K34" s="1441"/>
      <c r="L34" s="1439" t="str">
        <f>PROPER(M02S02F34)</f>
        <v/>
      </c>
      <c r="M34" s="1440"/>
      <c r="N34" s="1440"/>
      <c r="O34" s="1441"/>
      <c r="P34" s="214"/>
      <c r="Q34" s="1409" t="s">
        <v>87</v>
      </c>
      <c r="R34" s="1409"/>
      <c r="S34" s="1409"/>
      <c r="T34" s="1409"/>
      <c r="U34" s="1384" t="str">
        <f>PROPER(M02S04F02)</f>
        <v/>
      </c>
      <c r="V34" s="1384"/>
      <c r="W34" s="1384"/>
      <c r="X34" s="1384"/>
      <c r="Y34" s="1384"/>
      <c r="Z34" s="1384"/>
      <c r="AA34" s="1384"/>
      <c r="AB34" s="1384"/>
      <c r="AC34" s="1384"/>
      <c r="AD34" s="214"/>
      <c r="AE34" s="1389" t="s">
        <v>487</v>
      </c>
      <c r="AF34" s="1389"/>
      <c r="AG34" s="1389"/>
      <c r="AH34" s="1389"/>
      <c r="AI34" s="1422">
        <f ca="1">SUM(EXPORT!R3:R644)</f>
        <v>0</v>
      </c>
      <c r="AJ34" s="1422"/>
      <c r="AK34" s="1422"/>
      <c r="AL34" s="1422"/>
      <c r="AM34" s="1422"/>
      <c r="AN34" s="1422"/>
      <c r="AO34" s="1422"/>
      <c r="AP34" s="1422"/>
      <c r="AQ34" s="1422"/>
      <c r="AR34" s="59"/>
    </row>
    <row r="35" spans="2:44" ht="15.95" customHeight="1" thickBot="1">
      <c r="B35" s="59"/>
      <c r="C35" s="1410" t="s">
        <v>498</v>
      </c>
      <c r="D35" s="1410"/>
      <c r="E35" s="1410"/>
      <c r="F35" s="1410"/>
      <c r="G35" s="1386" t="str">
        <f>PROPER(M02S02F22)</f>
        <v/>
      </c>
      <c r="H35" s="1386"/>
      <c r="I35" s="1386"/>
      <c r="J35" s="1386"/>
      <c r="K35" s="1386"/>
      <c r="L35" s="1386"/>
      <c r="M35" s="1386"/>
      <c r="N35" s="1386"/>
      <c r="O35" s="1386"/>
      <c r="P35" s="214"/>
      <c r="Q35" s="1409" t="s">
        <v>510</v>
      </c>
      <c r="R35" s="1409"/>
      <c r="S35" s="1409"/>
      <c r="T35" s="1409"/>
      <c r="U35" s="1384" t="str">
        <f>PROPER(M02S04F03)</f>
        <v/>
      </c>
      <c r="V35" s="1384"/>
      <c r="W35" s="1384"/>
      <c r="X35" s="1384"/>
      <c r="Y35" s="1384"/>
      <c r="Z35" s="1384" t="str">
        <f>PROPER(M02S04F04)</f>
        <v/>
      </c>
      <c r="AA35" s="1384"/>
      <c r="AB35" s="1384"/>
      <c r="AC35" s="1384"/>
      <c r="AD35" s="214"/>
      <c r="AE35" s="1389" t="s">
        <v>1437</v>
      </c>
      <c r="AF35" s="1389"/>
      <c r="AG35" s="1389"/>
      <c r="AH35" s="1389"/>
      <c r="AI35" s="1424">
        <f ca="1">SUM(EXPORT!N3:N644)</f>
        <v>0</v>
      </c>
      <c r="AJ35" s="1424"/>
      <c r="AK35" s="1424"/>
      <c r="AL35" s="1424"/>
      <c r="AM35" s="1424"/>
      <c r="AN35" s="1424"/>
      <c r="AO35" s="1424"/>
      <c r="AP35" s="1424"/>
      <c r="AQ35" s="1424"/>
      <c r="AR35" s="59"/>
    </row>
    <row r="36" spans="2:44" ht="15.95" customHeight="1" thickBot="1">
      <c r="B36" s="59"/>
      <c r="C36" s="1410" t="s">
        <v>499</v>
      </c>
      <c r="D36" s="1410"/>
      <c r="E36" s="1410"/>
      <c r="F36" s="1410"/>
      <c r="G36" s="1386" t="str">
        <f>PROPER(M02S02F23)</f>
        <v/>
      </c>
      <c r="H36" s="1386"/>
      <c r="I36" s="1386"/>
      <c r="J36" s="1386"/>
      <c r="K36" s="1386"/>
      <c r="L36" s="1386" t="str">
        <f>M02S02F24</f>
        <v>IN</v>
      </c>
      <c r="M36" s="1386"/>
      <c r="N36" s="1444" t="str">
        <f>M02S02F25</f>
        <v/>
      </c>
      <c r="O36" s="1444"/>
      <c r="P36" s="214"/>
      <c r="Q36" s="1409" t="s">
        <v>511</v>
      </c>
      <c r="R36" s="1409"/>
      <c r="S36" s="1409"/>
      <c r="T36" s="1409"/>
      <c r="U36" s="1384" t="str">
        <f>PROPER(M02S04F07)</f>
        <v/>
      </c>
      <c r="V36" s="1384"/>
      <c r="W36" s="1384"/>
      <c r="X36" s="1384"/>
      <c r="Y36" s="1384"/>
      <c r="Z36" s="1384"/>
      <c r="AA36" s="1384"/>
      <c r="AB36" s="1384"/>
      <c r="AC36" s="1384"/>
      <c r="AD36" s="214"/>
      <c r="AE36" s="1389" t="s">
        <v>1438</v>
      </c>
      <c r="AF36" s="1389"/>
      <c r="AG36" s="1389"/>
      <c r="AH36" s="1389"/>
      <c r="AI36" s="1398">
        <f ca="1">SUM(EXPORT!O3:O644)</f>
        <v>0</v>
      </c>
      <c r="AJ36" s="1398"/>
      <c r="AK36" s="1398"/>
      <c r="AL36" s="1398"/>
      <c r="AM36" s="1398"/>
      <c r="AN36" s="1398"/>
      <c r="AO36" s="1398"/>
      <c r="AP36" s="1398"/>
      <c r="AQ36" s="1398"/>
      <c r="AR36" s="59"/>
    </row>
    <row r="37" spans="2:44" ht="15.95" customHeight="1" thickBot="1">
      <c r="B37" s="59"/>
      <c r="C37" s="1410" t="s">
        <v>1328</v>
      </c>
      <c r="D37" s="1410"/>
      <c r="E37" s="1410"/>
      <c r="F37" s="1410"/>
      <c r="G37" s="1386">
        <f>M02S02F26</f>
        <v>0</v>
      </c>
      <c r="H37" s="1386"/>
      <c r="I37" s="1386"/>
      <c r="J37" s="1386"/>
      <c r="K37" s="1386"/>
      <c r="L37" s="1386"/>
      <c r="M37" s="1386"/>
      <c r="N37" s="1386"/>
      <c r="O37" s="1386"/>
      <c r="P37" s="214"/>
      <c r="Q37" s="1409" t="s">
        <v>499</v>
      </c>
      <c r="R37" s="1409"/>
      <c r="S37" s="1409"/>
      <c r="T37" s="1409"/>
      <c r="U37" s="1384" t="str">
        <f>PROPER(M02S04F08)</f>
        <v/>
      </c>
      <c r="V37" s="1384"/>
      <c r="W37" s="1384"/>
      <c r="X37" s="1384"/>
      <c r="Y37" s="1384"/>
      <c r="Z37" s="1384" t="str">
        <f>M02S04F09</f>
        <v/>
      </c>
      <c r="AA37" s="1384"/>
      <c r="AB37" s="1411" t="str">
        <f>M02S04F10</f>
        <v/>
      </c>
      <c r="AC37" s="1411"/>
      <c r="AD37" s="214"/>
      <c r="AE37" s="1389" t="s">
        <v>1439</v>
      </c>
      <c r="AF37" s="1389"/>
      <c r="AG37" s="1389"/>
      <c r="AH37" s="1389"/>
      <c r="AI37" s="1387">
        <f>SUM(EXPORT!P3:P644)</f>
        <v>0</v>
      </c>
      <c r="AJ37" s="1387"/>
      <c r="AK37" s="1387"/>
      <c r="AL37" s="1387"/>
      <c r="AM37" s="1387"/>
      <c r="AN37" s="1387"/>
      <c r="AO37" s="1387"/>
      <c r="AP37" s="1387"/>
      <c r="AQ37" s="1387"/>
      <c r="AR37" s="59"/>
    </row>
    <row r="38" spans="2:44" ht="15.95" customHeight="1" thickBot="1">
      <c r="B38" s="59"/>
      <c r="C38" s="1410" t="s">
        <v>167</v>
      </c>
      <c r="D38" s="1410"/>
      <c r="E38" s="1410"/>
      <c r="F38" s="1410"/>
      <c r="G38" s="1386">
        <f>M02S02F30</f>
        <v>0</v>
      </c>
      <c r="H38" s="1386"/>
      <c r="I38" s="1386"/>
      <c r="J38" s="1386"/>
      <c r="K38" s="1386"/>
      <c r="L38" s="1386"/>
      <c r="M38" s="1386"/>
      <c r="N38" s="1386"/>
      <c r="O38" s="1386"/>
      <c r="P38" s="214"/>
      <c r="Q38" s="1409" t="s">
        <v>140</v>
      </c>
      <c r="R38" s="1409"/>
      <c r="S38" s="1409"/>
      <c r="T38" s="1409"/>
      <c r="U38" s="1385" t="str">
        <f>M02S04F05</f>
        <v/>
      </c>
      <c r="V38" s="1385"/>
      <c r="W38" s="1385"/>
      <c r="X38" s="1385"/>
      <c r="Y38" s="1385"/>
      <c r="Z38" s="1385"/>
      <c r="AA38" s="1385"/>
      <c r="AB38" s="1385"/>
      <c r="AC38" s="1385"/>
      <c r="AD38" s="214"/>
      <c r="AE38" s="1389" t="s">
        <v>1440</v>
      </c>
      <c r="AF38" s="1389"/>
      <c r="AG38" s="1389"/>
      <c r="AH38" s="1389"/>
      <c r="AI38" s="1399">
        <f ca="1">SUM(EXPORT!M3:M644)</f>
        <v>0</v>
      </c>
      <c r="AJ38" s="1399"/>
      <c r="AK38" s="1399"/>
      <c r="AL38" s="1399"/>
      <c r="AM38" s="1399"/>
      <c r="AN38" s="1399"/>
      <c r="AO38" s="1399"/>
      <c r="AP38" s="1399"/>
      <c r="AQ38" s="1399"/>
      <c r="AR38" s="59"/>
    </row>
    <row r="39" spans="2:44" ht="15.95" customHeight="1" thickBot="1">
      <c r="B39" s="59"/>
      <c r="C39" s="1410" t="s">
        <v>505</v>
      </c>
      <c r="D39" s="1410"/>
      <c r="E39" s="1410"/>
      <c r="F39" s="1410"/>
      <c r="G39" s="1386">
        <f>M02S02F27</f>
        <v>0</v>
      </c>
      <c r="H39" s="1386"/>
      <c r="I39" s="1386"/>
      <c r="J39" s="1386"/>
      <c r="K39" s="1386"/>
      <c r="L39" s="1386"/>
      <c r="M39" s="1386"/>
      <c r="N39" s="1386"/>
      <c r="O39" s="1386"/>
      <c r="P39" s="214"/>
      <c r="Q39" s="1409" t="s">
        <v>139</v>
      </c>
      <c r="R39" s="1409"/>
      <c r="S39" s="1409"/>
      <c r="T39" s="1409"/>
      <c r="U39" s="1384" t="str">
        <f>M02S04F06</f>
        <v/>
      </c>
      <c r="V39" s="1384"/>
      <c r="W39" s="1384"/>
      <c r="X39" s="1384"/>
      <c r="Y39" s="1384"/>
      <c r="Z39" s="1384"/>
      <c r="AA39" s="1384"/>
      <c r="AB39" s="1384"/>
      <c r="AC39" s="1384"/>
      <c r="AD39" s="214"/>
      <c r="AE39" s="1403" t="s">
        <v>1443</v>
      </c>
      <c r="AF39" s="1404"/>
      <c r="AG39" s="1404"/>
      <c r="AH39" s="1405"/>
      <c r="AI39" s="1406">
        <f ca="1">SUM(EXPORT!I$3:I$644)</f>
        <v>0</v>
      </c>
      <c r="AJ39" s="1407"/>
      <c r="AK39" s="1407"/>
      <c r="AL39" s="1407"/>
      <c r="AM39" s="1407"/>
      <c r="AN39" s="1407"/>
      <c r="AO39" s="1407"/>
      <c r="AP39" s="1407"/>
      <c r="AQ39" s="1408"/>
      <c r="AR39" s="59"/>
    </row>
    <row r="40" spans="2:44" ht="15.95" customHeight="1" thickBot="1">
      <c r="B40" s="59"/>
      <c r="C40" s="1410" t="s">
        <v>506</v>
      </c>
      <c r="D40" s="1410"/>
      <c r="E40" s="1410"/>
      <c r="F40" s="1410"/>
      <c r="G40" s="1386">
        <f>M02S02F28</f>
        <v>0</v>
      </c>
      <c r="H40" s="1386"/>
      <c r="I40" s="1386"/>
      <c r="J40" s="1386"/>
      <c r="K40" s="1386"/>
      <c r="L40" s="1386"/>
      <c r="M40" s="1386"/>
      <c r="N40" s="1386"/>
      <c r="O40" s="1386"/>
      <c r="P40" s="214"/>
      <c r="Q40" s="1409" t="s">
        <v>447</v>
      </c>
      <c r="R40" s="1409"/>
      <c r="S40" s="1409"/>
      <c r="T40" s="1409"/>
      <c r="U40" s="1384">
        <f>M02S04F11</f>
        <v>0</v>
      </c>
      <c r="V40" s="1384"/>
      <c r="W40" s="1384"/>
      <c r="X40" s="1384"/>
      <c r="Y40" s="1384"/>
      <c r="Z40" s="1384"/>
      <c r="AA40" s="1384"/>
      <c r="AB40" s="1384"/>
      <c r="AC40" s="1384"/>
      <c r="AD40" s="214"/>
      <c r="AE40" s="1403" t="s">
        <v>1441</v>
      </c>
      <c r="AF40" s="1404"/>
      <c r="AG40" s="1404"/>
      <c r="AH40" s="1405"/>
      <c r="AI40" s="1406">
        <f ca="1">SUM(EXPORT!J3:J644)</f>
        <v>0</v>
      </c>
      <c r="AJ40" s="1407"/>
      <c r="AK40" s="1407"/>
      <c r="AL40" s="1407"/>
      <c r="AM40" s="1407"/>
      <c r="AN40" s="1407"/>
      <c r="AO40" s="1407"/>
      <c r="AP40" s="1407"/>
      <c r="AQ40" s="1408"/>
      <c r="AR40" s="59"/>
    </row>
    <row r="41" spans="2:44" ht="15.95" customHeight="1" thickBot="1">
      <c r="B41" s="59"/>
      <c r="C41" s="1410" t="s">
        <v>83</v>
      </c>
      <c r="D41" s="1410"/>
      <c r="E41" s="1410"/>
      <c r="F41" s="1410"/>
      <c r="G41" s="1386">
        <f>M02S02F29</f>
        <v>0</v>
      </c>
      <c r="H41" s="1386"/>
      <c r="I41" s="1386"/>
      <c r="J41" s="1386"/>
      <c r="K41" s="1386"/>
      <c r="L41" s="1386"/>
      <c r="M41" s="1386"/>
      <c r="N41" s="1386"/>
      <c r="O41" s="1386"/>
      <c r="P41" s="214"/>
      <c r="Q41" s="1409" t="s">
        <v>512</v>
      </c>
      <c r="R41" s="1409"/>
      <c r="S41" s="1409"/>
      <c r="T41" s="1409"/>
      <c r="U41" s="1384" t="str">
        <f>CONCATENATE(M02S04F12,"-",M02S04F12.1)</f>
        <v>-</v>
      </c>
      <c r="V41" s="1384"/>
      <c r="W41" s="1384"/>
      <c r="X41" s="1384"/>
      <c r="Y41" s="1384"/>
      <c r="Z41" s="1384"/>
      <c r="AA41" s="1384"/>
      <c r="AB41" s="1384"/>
      <c r="AC41" s="1384"/>
      <c r="AD41" s="214"/>
      <c r="AE41" s="1372" t="s">
        <v>1442</v>
      </c>
      <c r="AF41" s="1373"/>
      <c r="AG41" s="1373"/>
      <c r="AH41" s="1374"/>
      <c r="AI41" s="1375">
        <f ca="1">SUM(EXPORT!K4:K644)</f>
        <v>0</v>
      </c>
      <c r="AJ41" s="1376"/>
      <c r="AK41" s="1376"/>
      <c r="AL41" s="1376"/>
      <c r="AM41" s="1376"/>
      <c r="AN41" s="1376"/>
      <c r="AO41" s="1376"/>
      <c r="AP41" s="1376"/>
      <c r="AQ41" s="1377"/>
      <c r="AR41" s="59"/>
    </row>
    <row r="42" spans="2:44" ht="15.95" customHeight="1" thickBot="1">
      <c r="B42" s="59"/>
      <c r="C42" s="1410" t="s">
        <v>85</v>
      </c>
      <c r="D42" s="1410"/>
      <c r="E42" s="1410"/>
      <c r="F42" s="1410"/>
      <c r="G42" s="1386">
        <f>M02S02F31</f>
        <v>0</v>
      </c>
      <c r="H42" s="1386"/>
      <c r="I42" s="1386"/>
      <c r="J42" s="1386"/>
      <c r="K42" s="1386"/>
      <c r="L42" s="1386"/>
      <c r="M42" s="1386"/>
      <c r="N42" s="1386"/>
      <c r="O42" s="1386"/>
      <c r="P42" s="214"/>
      <c r="Q42" s="1409" t="s">
        <v>896</v>
      </c>
      <c r="R42" s="1409"/>
      <c r="S42" s="1409"/>
      <c r="T42" s="1409"/>
      <c r="U42" s="1384">
        <f>M02S04F06.1</f>
        <v>0</v>
      </c>
      <c r="V42" s="1384"/>
      <c r="W42" s="1384"/>
      <c r="X42" s="1384"/>
      <c r="Y42" s="1384"/>
      <c r="Z42" s="1384"/>
      <c r="AA42" s="1384"/>
      <c r="AB42" s="1384"/>
      <c r="AC42" s="1384"/>
      <c r="AD42" s="214"/>
      <c r="AE42" s="1400" t="s">
        <v>884</v>
      </c>
      <c r="AF42" s="1400"/>
      <c r="AG42" s="1400"/>
      <c r="AH42" s="1400"/>
      <c r="AI42" s="1401">
        <f ca="1">SUMIF(EXPORT!C$3:C$644,"000001",EXPORT!T3:T644)</f>
        <v>0</v>
      </c>
      <c r="AJ42" s="1401"/>
      <c r="AK42" s="1401"/>
      <c r="AL42" s="1401"/>
      <c r="AM42" s="1401"/>
      <c r="AN42" s="1401"/>
      <c r="AO42" s="1401"/>
      <c r="AP42" s="1401"/>
      <c r="AQ42" s="1401"/>
      <c r="AR42" s="59"/>
    </row>
    <row r="43" spans="2:44" ht="15.95" customHeight="1" thickBot="1">
      <c r="B43" s="59"/>
      <c r="C43" s="1410" t="s">
        <v>503</v>
      </c>
      <c r="D43" s="1410"/>
      <c r="E43" s="1410"/>
      <c r="F43" s="1410"/>
      <c r="G43" s="1386">
        <f>M02S02F32</f>
        <v>0</v>
      </c>
      <c r="H43" s="1386"/>
      <c r="I43" s="1386"/>
      <c r="J43" s="1386"/>
      <c r="K43" s="1386"/>
      <c r="L43" s="1386"/>
      <c r="M43" s="1386"/>
      <c r="N43" s="1386"/>
      <c r="O43" s="1386"/>
      <c r="P43" s="214"/>
      <c r="Q43" s="1409" t="s">
        <v>916</v>
      </c>
      <c r="R43" s="1409"/>
      <c r="S43" s="1409"/>
      <c r="T43" s="1409"/>
      <c r="U43" s="1384">
        <f>M02S04F01</f>
        <v>0</v>
      </c>
      <c r="V43" s="1384"/>
      <c r="W43" s="1384"/>
      <c r="X43" s="1384"/>
      <c r="Y43" s="1384"/>
      <c r="Z43" s="1384"/>
      <c r="AA43" s="1384"/>
      <c r="AB43" s="1384"/>
      <c r="AC43" s="1384"/>
      <c r="AD43" s="214"/>
      <c r="AE43" s="1389" t="s">
        <v>885</v>
      </c>
      <c r="AF43" s="1389"/>
      <c r="AG43" s="1389"/>
      <c r="AH43" s="1389"/>
      <c r="AI43" s="1402">
        <f ca="1">SUMIF(EXPORT!C$3:C$644,"000001",EXPORT!U3:U644)</f>
        <v>0</v>
      </c>
      <c r="AJ43" s="1402"/>
      <c r="AK43" s="1402"/>
      <c r="AL43" s="1402"/>
      <c r="AM43" s="1402"/>
      <c r="AN43" s="1402"/>
      <c r="AO43" s="1402"/>
      <c r="AP43" s="1402"/>
      <c r="AQ43" s="1402"/>
      <c r="AR43" s="59"/>
    </row>
    <row r="44" spans="2:44" ht="15.95" customHeight="1" thickBot="1">
      <c r="B44" s="59"/>
      <c r="C44" s="1410" t="s">
        <v>504</v>
      </c>
      <c r="D44" s="1410"/>
      <c r="E44" s="1410"/>
      <c r="F44" s="1410"/>
      <c r="G44" s="1386">
        <f>M02S02F33</f>
        <v>0</v>
      </c>
      <c r="H44" s="1386"/>
      <c r="I44" s="1386"/>
      <c r="J44" s="1386"/>
      <c r="K44" s="1386"/>
      <c r="L44" s="1386"/>
      <c r="M44" s="1386"/>
      <c r="N44" s="1386"/>
      <c r="O44" s="1386"/>
      <c r="P44" s="214"/>
      <c r="Q44" s="1409"/>
      <c r="R44" s="1409"/>
      <c r="S44" s="1409"/>
      <c r="T44" s="1409"/>
      <c r="U44" s="1458"/>
      <c r="V44" s="1458"/>
      <c r="W44" s="1458"/>
      <c r="X44" s="1458"/>
      <c r="Y44" s="1458"/>
      <c r="Z44" s="1458"/>
      <c r="AA44" s="1458"/>
      <c r="AB44" s="1458"/>
      <c r="AC44" s="1458"/>
      <c r="AD44" s="214"/>
      <c r="AE44" s="1389" t="s">
        <v>1206</v>
      </c>
      <c r="AF44" s="1389"/>
      <c r="AG44" s="1389"/>
      <c r="AH44" s="1389"/>
      <c r="AI44" s="1388">
        <f ca="1">SUMIF(EXPORT!C$3:C$644,"000001",EXPORT!V3:V644)</f>
        <v>0</v>
      </c>
      <c r="AJ44" s="1388"/>
      <c r="AK44" s="1388"/>
      <c r="AL44" s="1388"/>
      <c r="AM44" s="1388"/>
      <c r="AN44" s="1388"/>
      <c r="AO44" s="1388"/>
      <c r="AP44" s="1388"/>
      <c r="AQ44" s="1388"/>
      <c r="AR44" s="59"/>
    </row>
    <row r="45" spans="2:44" ht="15.95" customHeight="1" thickBot="1">
      <c r="B45" s="59"/>
      <c r="C45" s="214"/>
      <c r="D45" s="214"/>
      <c r="E45" s="214"/>
      <c r="F45" s="214"/>
      <c r="G45" s="214"/>
      <c r="H45" s="214"/>
      <c r="I45" s="214"/>
      <c r="J45" s="214"/>
      <c r="K45" s="214"/>
      <c r="L45" s="214"/>
      <c r="M45" s="214"/>
      <c r="N45" s="214"/>
      <c r="O45" s="214"/>
      <c r="P45" s="214"/>
      <c r="Q45" s="214"/>
      <c r="R45" s="214"/>
      <c r="S45" s="214"/>
      <c r="T45" s="214"/>
      <c r="U45" s="214"/>
      <c r="V45" s="214"/>
      <c r="W45" s="214"/>
      <c r="X45" s="214"/>
      <c r="Y45" s="214"/>
      <c r="Z45" s="214"/>
      <c r="AA45" s="214"/>
      <c r="AB45" s="214"/>
      <c r="AC45" s="214"/>
      <c r="AD45" s="214"/>
      <c r="AE45" s="1389" t="s">
        <v>1436</v>
      </c>
      <c r="AF45" s="1389"/>
      <c r="AG45" s="1389"/>
      <c r="AH45" s="1389"/>
      <c r="AI45" s="1399">
        <f ca="1">SUMIF(EXPORT!C$3:C$644,"000001",EXPORT!S$3:S$644)</f>
        <v>0</v>
      </c>
      <c r="AJ45" s="1399"/>
      <c r="AK45" s="1399"/>
      <c r="AL45" s="1399"/>
      <c r="AM45" s="1399"/>
      <c r="AN45" s="1399"/>
      <c r="AO45" s="1399"/>
      <c r="AP45" s="1399"/>
      <c r="AQ45" s="1399"/>
      <c r="AR45" s="59"/>
    </row>
    <row r="46" spans="2:44" ht="15.95" customHeight="1" thickBot="1">
      <c r="B46" s="59"/>
      <c r="C46" s="1390" t="s">
        <v>508</v>
      </c>
      <c r="D46" s="1391"/>
      <c r="E46" s="1391"/>
      <c r="F46" s="1391"/>
      <c r="G46" s="1391"/>
      <c r="H46" s="1391"/>
      <c r="I46" s="1391"/>
      <c r="J46" s="1391"/>
      <c r="K46" s="1391"/>
      <c r="L46" s="1391"/>
      <c r="M46" s="1391"/>
      <c r="N46" s="1391"/>
      <c r="O46" s="1391"/>
      <c r="P46" s="1391"/>
      <c r="Q46" s="1391"/>
      <c r="R46" s="1391"/>
      <c r="S46" s="1391"/>
      <c r="T46" s="1391"/>
      <c r="U46" s="1391"/>
      <c r="V46" s="1391"/>
      <c r="W46" s="1391"/>
      <c r="X46" s="1391"/>
      <c r="Y46" s="1391"/>
      <c r="Z46" s="1391"/>
      <c r="AA46" s="1391"/>
      <c r="AB46" s="1391"/>
      <c r="AC46" s="1391"/>
      <c r="AD46" s="218"/>
      <c r="AE46" s="1389" t="s">
        <v>1446</v>
      </c>
      <c r="AF46" s="1389"/>
      <c r="AG46" s="1389"/>
      <c r="AH46" s="1389"/>
      <c r="AI46" s="1406">
        <f ca="1">SUMIF(EXPORT!C$3:C$644,"000001",EXPORT!AL$3:AL$644)</f>
        <v>0</v>
      </c>
      <c r="AJ46" s="1407"/>
      <c r="AK46" s="1407"/>
      <c r="AL46" s="1407"/>
      <c r="AM46" s="1407"/>
      <c r="AN46" s="1407"/>
      <c r="AO46" s="1407"/>
      <c r="AP46" s="1407"/>
      <c r="AQ46" s="1408"/>
      <c r="AR46" s="59"/>
    </row>
    <row r="47" spans="2:44" ht="15.95" customHeight="1" thickBot="1">
      <c r="B47" s="59"/>
      <c r="C47" s="1392">
        <f>M02S02F45</f>
        <v>0</v>
      </c>
      <c r="D47" s="1393"/>
      <c r="E47" s="1393"/>
      <c r="F47" s="1393"/>
      <c r="G47" s="1393"/>
      <c r="H47" s="1393"/>
      <c r="I47" s="1393"/>
      <c r="J47" s="1393"/>
      <c r="K47" s="1393"/>
      <c r="L47" s="1393"/>
      <c r="M47" s="1393"/>
      <c r="N47" s="1393"/>
      <c r="O47" s="1393"/>
      <c r="P47" s="1393"/>
      <c r="Q47" s="1393"/>
      <c r="R47" s="1393"/>
      <c r="S47" s="1393"/>
      <c r="T47" s="1393"/>
      <c r="U47" s="1393"/>
      <c r="V47" s="1393"/>
      <c r="W47" s="1393"/>
      <c r="X47" s="1393"/>
      <c r="Y47" s="1393"/>
      <c r="Z47" s="1393"/>
      <c r="AA47" s="1393"/>
      <c r="AB47" s="1393"/>
      <c r="AC47" s="1393"/>
      <c r="AD47" s="218"/>
      <c r="AE47" s="1389" t="s">
        <v>1405</v>
      </c>
      <c r="AF47" s="1389"/>
      <c r="AG47" s="1389"/>
      <c r="AH47" s="1389"/>
      <c r="AI47" s="1406">
        <f ca="1">SUMIF(EXPORT!C$3:C$644,"000001",EXPORT!AM$3:AM$644)</f>
        <v>0</v>
      </c>
      <c r="AJ47" s="1407"/>
      <c r="AK47" s="1407"/>
      <c r="AL47" s="1407"/>
      <c r="AM47" s="1407"/>
      <c r="AN47" s="1407"/>
      <c r="AO47" s="1407"/>
      <c r="AP47" s="1407"/>
      <c r="AQ47" s="1408"/>
      <c r="AR47" s="59"/>
    </row>
    <row r="48" spans="2:44" ht="15.95" customHeight="1" thickBot="1">
      <c r="B48" s="59"/>
      <c r="C48" s="1394"/>
      <c r="D48" s="1395"/>
      <c r="E48" s="1395"/>
      <c r="F48" s="1395"/>
      <c r="G48" s="1395"/>
      <c r="H48" s="1395"/>
      <c r="I48" s="1395"/>
      <c r="J48" s="1395"/>
      <c r="K48" s="1395"/>
      <c r="L48" s="1395"/>
      <c r="M48" s="1395"/>
      <c r="N48" s="1395"/>
      <c r="O48" s="1395"/>
      <c r="P48" s="1395"/>
      <c r="Q48" s="1395"/>
      <c r="R48" s="1395"/>
      <c r="S48" s="1395"/>
      <c r="T48" s="1395"/>
      <c r="U48" s="1395"/>
      <c r="V48" s="1395"/>
      <c r="W48" s="1395"/>
      <c r="X48" s="1395"/>
      <c r="Y48" s="1395"/>
      <c r="Z48" s="1395"/>
      <c r="AA48" s="1395"/>
      <c r="AB48" s="1395"/>
      <c r="AC48" s="1395"/>
      <c r="AD48" s="218"/>
      <c r="AE48" s="1445" t="s">
        <v>1435</v>
      </c>
      <c r="AF48" s="1445"/>
      <c r="AG48" s="1445"/>
      <c r="AH48" s="1445"/>
      <c r="AI48" s="1446">
        <f ca="1">SUMIF(EXPORT!C$3:C$644,"000001",EXPORT!AN$3:AN$644)</f>
        <v>0</v>
      </c>
      <c r="AJ48" s="1447"/>
      <c r="AK48" s="1447"/>
      <c r="AL48" s="1447"/>
      <c r="AM48" s="1447"/>
      <c r="AN48" s="1447"/>
      <c r="AO48" s="1447"/>
      <c r="AP48" s="1447"/>
      <c r="AQ48" s="1448"/>
      <c r="AR48" s="59"/>
    </row>
    <row r="49" spans="2:44" ht="15.95" customHeight="1" thickBot="1">
      <c r="B49" s="59"/>
      <c r="C49" s="1394"/>
      <c r="D49" s="1395"/>
      <c r="E49" s="1395"/>
      <c r="F49" s="1395"/>
      <c r="G49" s="1395"/>
      <c r="H49" s="1395"/>
      <c r="I49" s="1395"/>
      <c r="J49" s="1395"/>
      <c r="K49" s="1395"/>
      <c r="L49" s="1395"/>
      <c r="M49" s="1395"/>
      <c r="N49" s="1395"/>
      <c r="O49" s="1395"/>
      <c r="P49" s="1395"/>
      <c r="Q49" s="1395"/>
      <c r="R49" s="1395"/>
      <c r="S49" s="1395"/>
      <c r="T49" s="1395"/>
      <c r="U49" s="1395"/>
      <c r="V49" s="1395"/>
      <c r="W49" s="1395"/>
      <c r="X49" s="1395"/>
      <c r="Y49" s="1395"/>
      <c r="Z49" s="1395"/>
      <c r="AA49" s="1395"/>
      <c r="AB49" s="1395"/>
      <c r="AC49" s="1395"/>
      <c r="AD49" s="218"/>
      <c r="AE49" s="1400" t="s">
        <v>1431</v>
      </c>
      <c r="AF49" s="1400"/>
      <c r="AG49" s="1400"/>
      <c r="AH49" s="1400"/>
      <c r="AI49" s="1423">
        <f t="shared" ref="AI49:AI51" ca="1" si="0">AI35+AI42</f>
        <v>0</v>
      </c>
      <c r="AJ49" s="1423"/>
      <c r="AK49" s="1423"/>
      <c r="AL49" s="1423"/>
      <c r="AM49" s="1423"/>
      <c r="AN49" s="1423"/>
      <c r="AO49" s="1423"/>
      <c r="AP49" s="1423"/>
      <c r="AQ49" s="1423"/>
      <c r="AR49" s="59"/>
    </row>
    <row r="50" spans="2:44" ht="15.95" customHeight="1" thickBot="1">
      <c r="B50" s="59"/>
      <c r="C50" s="1394"/>
      <c r="D50" s="1395"/>
      <c r="E50" s="1395"/>
      <c r="F50" s="1395"/>
      <c r="G50" s="1395"/>
      <c r="H50" s="1395"/>
      <c r="I50" s="1395"/>
      <c r="J50" s="1395"/>
      <c r="K50" s="1395"/>
      <c r="L50" s="1395"/>
      <c r="M50" s="1395"/>
      <c r="N50" s="1395"/>
      <c r="O50" s="1395"/>
      <c r="P50" s="1395"/>
      <c r="Q50" s="1395"/>
      <c r="R50" s="1395"/>
      <c r="S50" s="1395"/>
      <c r="T50" s="1395"/>
      <c r="U50" s="1395"/>
      <c r="V50" s="1395"/>
      <c r="W50" s="1395"/>
      <c r="X50" s="1395"/>
      <c r="Y50" s="1395"/>
      <c r="Z50" s="1395"/>
      <c r="AA50" s="1395"/>
      <c r="AB50" s="1395"/>
      <c r="AC50" s="1395"/>
      <c r="AD50" s="218"/>
      <c r="AE50" s="1389" t="s">
        <v>1432</v>
      </c>
      <c r="AF50" s="1389"/>
      <c r="AG50" s="1389"/>
      <c r="AH50" s="1389"/>
      <c r="AI50" s="1402">
        <f t="shared" ca="1" si="0"/>
        <v>0</v>
      </c>
      <c r="AJ50" s="1402"/>
      <c r="AK50" s="1402"/>
      <c r="AL50" s="1402"/>
      <c r="AM50" s="1402"/>
      <c r="AN50" s="1402"/>
      <c r="AO50" s="1402"/>
      <c r="AP50" s="1402"/>
      <c r="AQ50" s="1402"/>
      <c r="AR50" s="59"/>
    </row>
    <row r="51" spans="2:44" ht="15.95" customHeight="1" thickBot="1">
      <c r="B51" s="59"/>
      <c r="C51" s="1394"/>
      <c r="D51" s="1395"/>
      <c r="E51" s="1395"/>
      <c r="F51" s="1395"/>
      <c r="G51" s="1395"/>
      <c r="H51" s="1395"/>
      <c r="I51" s="1395"/>
      <c r="J51" s="1395"/>
      <c r="K51" s="1395"/>
      <c r="L51" s="1395"/>
      <c r="M51" s="1395"/>
      <c r="N51" s="1395"/>
      <c r="O51" s="1395"/>
      <c r="P51" s="1395"/>
      <c r="Q51" s="1395"/>
      <c r="R51" s="1395"/>
      <c r="S51" s="1395"/>
      <c r="T51" s="1395"/>
      <c r="U51" s="1395"/>
      <c r="V51" s="1395"/>
      <c r="W51" s="1395"/>
      <c r="X51" s="1395"/>
      <c r="Y51" s="1395"/>
      <c r="Z51" s="1395"/>
      <c r="AA51" s="1395"/>
      <c r="AB51" s="1395"/>
      <c r="AC51" s="1395"/>
      <c r="AD51" s="218"/>
      <c r="AE51" s="1389" t="s">
        <v>1433</v>
      </c>
      <c r="AF51" s="1389"/>
      <c r="AG51" s="1389"/>
      <c r="AH51" s="1389"/>
      <c r="AI51" s="1388">
        <f t="shared" ca="1" si="0"/>
        <v>0</v>
      </c>
      <c r="AJ51" s="1388"/>
      <c r="AK51" s="1388"/>
      <c r="AL51" s="1388"/>
      <c r="AM51" s="1388"/>
      <c r="AN51" s="1388"/>
      <c r="AO51" s="1388"/>
      <c r="AP51" s="1388"/>
      <c r="AQ51" s="1388"/>
      <c r="AR51" s="59"/>
    </row>
    <row r="52" spans="2:44" ht="15.95" customHeight="1" thickBot="1">
      <c r="B52" s="59"/>
      <c r="C52" s="1396"/>
      <c r="D52" s="1397"/>
      <c r="E52" s="1397"/>
      <c r="F52" s="1397"/>
      <c r="G52" s="1397"/>
      <c r="H52" s="1397"/>
      <c r="I52" s="1397"/>
      <c r="J52" s="1397"/>
      <c r="K52" s="1397"/>
      <c r="L52" s="1397"/>
      <c r="M52" s="1397"/>
      <c r="N52" s="1397"/>
      <c r="O52" s="1397"/>
      <c r="P52" s="1397"/>
      <c r="Q52" s="1397"/>
      <c r="R52" s="1397"/>
      <c r="S52" s="1397"/>
      <c r="T52" s="1397"/>
      <c r="U52" s="1397"/>
      <c r="V52" s="1397"/>
      <c r="W52" s="1397"/>
      <c r="X52" s="1397"/>
      <c r="Y52" s="1397"/>
      <c r="Z52" s="1397"/>
      <c r="AA52" s="1397"/>
      <c r="AB52" s="1397"/>
      <c r="AC52" s="1397"/>
      <c r="AD52" s="218"/>
      <c r="AE52" s="1389" t="s">
        <v>2397</v>
      </c>
      <c r="AF52" s="1389"/>
      <c r="AG52" s="1389"/>
      <c r="AH52" s="1389"/>
      <c r="AI52" s="1388">
        <f>SUM(EXPORT!Q3:Q659)</f>
        <v>0</v>
      </c>
      <c r="AJ52" s="1388"/>
      <c r="AK52" s="1388"/>
      <c r="AL52" s="1388"/>
      <c r="AM52" s="1388"/>
      <c r="AN52" s="1388"/>
      <c r="AO52" s="1388"/>
      <c r="AP52" s="1388"/>
      <c r="AQ52" s="1388"/>
      <c r="AR52" s="59"/>
    </row>
    <row r="53" spans="2:44" ht="15.95" customHeight="1" thickBot="1">
      <c r="B53" s="59"/>
      <c r="C53" s="214"/>
      <c r="D53" s="214"/>
      <c r="E53" s="214"/>
      <c r="F53" s="214"/>
      <c r="G53" s="214"/>
      <c r="H53" s="214"/>
      <c r="I53" s="214"/>
      <c r="J53" s="214"/>
      <c r="K53" s="214"/>
      <c r="L53" s="214"/>
      <c r="M53" s="214"/>
      <c r="N53" s="214"/>
      <c r="O53" s="214"/>
      <c r="P53" s="214"/>
      <c r="Q53" s="214"/>
      <c r="R53" s="214"/>
      <c r="S53" s="214"/>
      <c r="T53" s="214"/>
      <c r="U53" s="214"/>
      <c r="V53" s="214"/>
      <c r="W53" s="214"/>
      <c r="X53" s="214"/>
      <c r="Y53" s="214"/>
      <c r="Z53" s="214"/>
      <c r="AA53" s="214"/>
      <c r="AB53" s="214"/>
      <c r="AC53" s="214"/>
      <c r="AD53" s="214"/>
      <c r="AE53" s="1389" t="s">
        <v>1445</v>
      </c>
      <c r="AF53" s="1389"/>
      <c r="AG53" s="1389"/>
      <c r="AH53" s="1389"/>
      <c r="AI53" s="1399">
        <f ca="1">AI38+AI45</f>
        <v>0</v>
      </c>
      <c r="AJ53" s="1399"/>
      <c r="AK53" s="1399"/>
      <c r="AL53" s="1399"/>
      <c r="AM53" s="1399"/>
      <c r="AN53" s="1399"/>
      <c r="AO53" s="1399"/>
      <c r="AP53" s="1399"/>
      <c r="AQ53" s="1399"/>
      <c r="AR53" s="59"/>
    </row>
    <row r="54" spans="2:44" ht="15.95" customHeight="1" thickBot="1">
      <c r="B54" s="59"/>
      <c r="C54" s="214"/>
      <c r="D54" s="214"/>
      <c r="E54" s="214"/>
      <c r="F54" s="214"/>
      <c r="G54" s="214"/>
      <c r="H54" s="214"/>
      <c r="I54" s="214"/>
      <c r="J54" s="214"/>
      <c r="K54" s="214"/>
      <c r="L54" s="214"/>
      <c r="M54" s="214"/>
      <c r="N54" s="214"/>
      <c r="O54" s="214"/>
      <c r="P54" s="214"/>
      <c r="Q54" s="214"/>
      <c r="R54" s="214"/>
      <c r="S54" s="214"/>
      <c r="T54" s="214"/>
      <c r="U54" s="214"/>
      <c r="V54" s="214"/>
      <c r="W54" s="214"/>
      <c r="X54" s="214"/>
      <c r="Y54" s="214"/>
      <c r="Z54" s="214"/>
      <c r="AA54" s="214"/>
      <c r="AB54" s="214"/>
      <c r="AC54" s="214"/>
      <c r="AD54" s="214"/>
      <c r="AE54" s="1403" t="s">
        <v>1444</v>
      </c>
      <c r="AF54" s="1404"/>
      <c r="AG54" s="1404"/>
      <c r="AH54" s="1405"/>
      <c r="AI54" s="1406">
        <f ca="1">AI39+AI46</f>
        <v>0</v>
      </c>
      <c r="AJ54" s="1407"/>
      <c r="AK54" s="1407"/>
      <c r="AL54" s="1407"/>
      <c r="AM54" s="1407"/>
      <c r="AN54" s="1407"/>
      <c r="AO54" s="1407"/>
      <c r="AP54" s="1407"/>
      <c r="AQ54" s="1408"/>
      <c r="AR54" s="59"/>
    </row>
    <row r="55" spans="2:44" ht="15.95" customHeight="1" thickBot="1">
      <c r="B55" s="59"/>
      <c r="C55" s="214"/>
      <c r="D55" s="214"/>
      <c r="E55" s="214"/>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1403" t="s">
        <v>1434</v>
      </c>
      <c r="AF55" s="1404"/>
      <c r="AG55" s="1404"/>
      <c r="AH55" s="1405"/>
      <c r="AI55" s="1406">
        <f ca="1">AI40+AI47</f>
        <v>0</v>
      </c>
      <c r="AJ55" s="1407"/>
      <c r="AK55" s="1407"/>
      <c r="AL55" s="1407"/>
      <c r="AM55" s="1407"/>
      <c r="AN55" s="1407"/>
      <c r="AO55" s="1407"/>
      <c r="AP55" s="1407"/>
      <c r="AQ55" s="1408"/>
      <c r="AR55" s="59"/>
    </row>
    <row r="56" spans="2:44" ht="15.95" customHeight="1" thickBot="1">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1372" t="s">
        <v>1447</v>
      </c>
      <c r="AF56" s="1373"/>
      <c r="AG56" s="1373"/>
      <c r="AH56" s="1374"/>
      <c r="AI56" s="1375">
        <f ca="1">AI41+AI48</f>
        <v>0</v>
      </c>
      <c r="AJ56" s="1376"/>
      <c r="AK56" s="1376"/>
      <c r="AL56" s="1376"/>
      <c r="AM56" s="1376"/>
      <c r="AN56" s="1376"/>
      <c r="AO56" s="1376"/>
      <c r="AP56" s="1376"/>
      <c r="AQ56" s="1377"/>
      <c r="AR56" s="59"/>
    </row>
    <row r="57" spans="2:44" ht="15.95" customHeight="1" thickBot="1">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1455" t="s">
        <v>1633</v>
      </c>
      <c r="AF57" s="1456"/>
      <c r="AG57" s="1456"/>
      <c r="AH57" s="1457"/>
      <c r="AI57" s="1452">
        <f ca="1">SUM(EXPORT!R3:R644)-(EXPORT!R53+EXPORT!R74+EXPORT!R125+EXPORT!R172+EXPORT!R197+EXPORT!R213+EXPORT!R307+EXPORT!R358+EXPORT!R434)</f>
        <v>0</v>
      </c>
      <c r="AJ57" s="1453"/>
      <c r="AK57" s="1453"/>
      <c r="AL57" s="1453"/>
      <c r="AM57" s="1453"/>
      <c r="AN57" s="1453"/>
      <c r="AO57" s="1453"/>
      <c r="AP57" s="1453"/>
      <c r="AQ57" s="1454"/>
      <c r="AR57" s="59"/>
    </row>
    <row r="58" spans="2:44" ht="15.95" customHeight="1" thickBot="1">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1403" t="s">
        <v>1632</v>
      </c>
      <c r="AF58" s="1404"/>
      <c r="AG58" s="1404"/>
      <c r="AH58" s="1405"/>
      <c r="AI58" s="1449">
        <f ca="1">EXPORT!R53++EXPORT!R52+EXPORT!R74+EXPORT!R125+EXPORT!R172+EXPORT!R197+EXPORT!R213+EXPORT!R307</f>
        <v>0</v>
      </c>
      <c r="AJ58" s="1450"/>
      <c r="AK58" s="1450"/>
      <c r="AL58" s="1450"/>
      <c r="AM58" s="1450"/>
      <c r="AN58" s="1450"/>
      <c r="AO58" s="1450"/>
      <c r="AP58" s="1450"/>
      <c r="AQ58" s="1451"/>
      <c r="AR58" s="59"/>
    </row>
    <row r="59" spans="2:44" ht="15.95" customHeight="1" thickBot="1">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475" t="s">
        <v>1630</v>
      </c>
      <c r="AF59" s="476"/>
      <c r="AG59" s="476"/>
      <c r="AH59" s="477"/>
      <c r="AI59" s="1449">
        <f ca="1">EXPORT!R358+EXPORT!R434</f>
        <v>0</v>
      </c>
      <c r="AJ59" s="1450"/>
      <c r="AK59" s="1450"/>
      <c r="AL59" s="1450"/>
      <c r="AM59" s="1450"/>
      <c r="AN59" s="1450"/>
      <c r="AO59" s="1450"/>
      <c r="AP59" s="1450"/>
      <c r="AQ59" s="1451"/>
      <c r="AR59" s="59"/>
    </row>
    <row r="60" spans="2:44" ht="15.95" customHeight="1" thickBot="1">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475" t="s">
        <v>1631</v>
      </c>
      <c r="AF60" s="476"/>
      <c r="AG60" s="476"/>
      <c r="AH60" s="477"/>
      <c r="AI60" s="1449">
        <f>EXPORT!R366+EXPORT!R435</f>
        <v>0</v>
      </c>
      <c r="AJ60" s="1450"/>
      <c r="AK60" s="1450"/>
      <c r="AL60" s="1450"/>
      <c r="AM60" s="1450"/>
      <c r="AN60" s="1450"/>
      <c r="AO60" s="1450"/>
      <c r="AP60" s="1450"/>
      <c r="AQ60" s="1451"/>
      <c r="AR60" s="59"/>
    </row>
    <row r="61" spans="2:44" ht="15.95" customHeight="1" thickBot="1">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1372" t="s">
        <v>1633</v>
      </c>
      <c r="AF61" s="1373"/>
      <c r="AG61" s="1373"/>
      <c r="AH61" s="1374"/>
      <c r="AI61" s="1375">
        <f ca="1">SUM(EXPORT!R7:R648)-(EXPORT!R57+EXPORT!R108+EXPORT!R159+EXPORT!R175+EXPORT!R201+EXPORT!R216+EXPORT!R362+EXPORT!R370+EXPORT!R438+EXPORT!R439)</f>
        <v>0</v>
      </c>
      <c r="AJ61" s="1376"/>
      <c r="AK61" s="1376"/>
      <c r="AL61" s="1376"/>
      <c r="AM61" s="1376"/>
      <c r="AN61" s="1376"/>
      <c r="AO61" s="1376"/>
      <c r="AP61" s="1376"/>
      <c r="AQ61" s="1377"/>
      <c r="AR61" s="59"/>
    </row>
    <row r="62" spans="2:44" ht="15.95" customHeight="1" thickBot="1">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1378" t="s">
        <v>2155</v>
      </c>
      <c r="AF62" s="1379"/>
      <c r="AG62" s="1379"/>
      <c r="AH62" s="1380"/>
      <c r="AI62" s="1381" t="str">
        <f>IF(M05S02F07="","",M05S02F07)</f>
        <v/>
      </c>
      <c r="AJ62" s="1382"/>
      <c r="AK62" s="1382"/>
      <c r="AL62" s="1382"/>
      <c r="AM62" s="1382"/>
      <c r="AN62" s="1382"/>
      <c r="AO62" s="1382"/>
      <c r="AP62" s="1382"/>
      <c r="AQ62" s="1383"/>
      <c r="AR62" s="59"/>
    </row>
    <row r="63" spans="2:44" ht="15.95" customHeight="1">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row>
    <row r="64" spans="2:44" ht="15.95" hidden="1" customHeight="1">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row>
    <row r="65" spans="31:43" ht="15.95" hidden="1" customHeight="1">
      <c r="AE65" s="59"/>
      <c r="AF65" s="59"/>
      <c r="AG65" s="59"/>
      <c r="AH65" s="59"/>
      <c r="AI65" s="59"/>
      <c r="AJ65" s="59"/>
      <c r="AK65" s="59"/>
      <c r="AL65" s="59"/>
      <c r="AM65" s="59"/>
      <c r="AN65" s="59"/>
      <c r="AO65" s="59"/>
      <c r="AP65" s="59"/>
      <c r="AQ65" s="59"/>
    </row>
    <row r="66" spans="31:43" ht="15.95" hidden="1" customHeight="1"/>
    <row r="67" spans="31:43" ht="15.95" hidden="1" customHeight="1"/>
    <row r="68" spans="31:43" ht="15.95" hidden="1" customHeight="1"/>
    <row r="69" spans="31:43" ht="15.95" hidden="1" customHeight="1"/>
    <row r="70" spans="31:43" ht="15.95" hidden="1" customHeight="1"/>
    <row r="71" spans="31:43" ht="15.95" hidden="1" customHeight="1"/>
    <row r="72" spans="31:43" ht="15.95" hidden="1" customHeight="1"/>
    <row r="73" spans="31:43" ht="15.95" hidden="1" customHeight="1"/>
    <row r="74" spans="31:43" ht="15.95" hidden="1" customHeight="1"/>
    <row r="75" spans="31:43" ht="15.95" hidden="1" customHeight="1"/>
    <row r="76" spans="31:43" ht="15.95" hidden="1" customHeight="1"/>
    <row r="77" spans="31:43" ht="15.95" hidden="1" customHeight="1"/>
    <row r="78" spans="31:43" ht="15.95" hidden="1" customHeight="1"/>
    <row r="79" spans="31:43" ht="15.95" hidden="1" customHeight="1"/>
    <row r="80" spans="31:43"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75" hidden="1" customHeight="1"/>
    <row r="200" spans="2:44" ht="15.95" customHeight="1">
      <c r="B200" s="272" t="str">
        <f>FOOT1</f>
        <v>NIPSCO Energy Efficiency Program</v>
      </c>
      <c r="C200" s="272"/>
      <c r="D200" s="272"/>
      <c r="E200" s="272"/>
      <c r="F200" s="272"/>
      <c r="G200" s="272"/>
      <c r="H200" s="272"/>
      <c r="I200" s="272"/>
      <c r="J200" s="272"/>
      <c r="K200" s="272"/>
      <c r="L200" s="272"/>
      <c r="M200" s="656" t="str">
        <f>FOOT4</f>
        <v>NIPSCO’s energy efficiency programs are administered by TRC, a third‐party implementation specialist that helps homes and businesses save energy.</v>
      </c>
      <c r="N200" s="656"/>
      <c r="O200" s="656"/>
      <c r="P200" s="656"/>
      <c r="Q200" s="656"/>
      <c r="R200" s="656"/>
      <c r="S200" s="656"/>
      <c r="T200" s="656"/>
      <c r="U200" s="656"/>
      <c r="V200" s="656"/>
      <c r="W200" s="656"/>
      <c r="X200" s="656"/>
      <c r="Y200" s="656"/>
      <c r="Z200" s="656"/>
      <c r="AA200" s="656"/>
      <c r="AB200" s="656"/>
      <c r="AC200" s="656"/>
      <c r="AD200" s="656"/>
      <c r="AE200" s="656"/>
      <c r="AF200" s="656"/>
      <c r="AG200" s="656"/>
      <c r="AH200" s="656"/>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656"/>
      <c r="AI201" s="272"/>
      <c r="AJ201" s="272"/>
      <c r="AK201" s="272"/>
      <c r="AL201" s="272"/>
      <c r="AM201" s="272"/>
      <c r="AN201" s="272"/>
      <c r="AO201" s="272"/>
      <c r="AP201" s="272"/>
      <c r="AQ201" s="272"/>
      <c r="AR201" s="273" t="str">
        <f>FOOT5</f>
        <v/>
      </c>
    </row>
    <row r="202" spans="2:44" ht="15.95" customHeight="1">
      <c r="B202" s="464" t="str">
        <f>FOOT3</f>
        <v>NIPSCO.Savings@TRCcompanies.com</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v3.7.0</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44" ht="15" hidden="1" customHeight="1"/>
    <row r="204" spans="2:44" ht="15" hidden="1" customHeight="1"/>
    <row r="205" spans="2:44" ht="15" hidden="1" customHeight="1"/>
    <row r="206" spans="2:44" ht="15" hidden="1" customHeight="1"/>
    <row r="207" spans="2:44" ht="15" hidden="1" customHeight="1"/>
    <row r="208" spans="2:44"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sheetData>
  <sheetProtection algorithmName="SHA-512" hashValue="a9yWgmJd53iT4tscUn2wUgc0tL5Rm5s3SKC9jTX7kyfStAkoQ+s1+GzLd/22eC+mCYT+FSjM6U3+kwkZt3K7IQ==" saltValue="cXklzx+9/4lDXauklL3Bmg==" spinCount="100000" sheet="1" objects="1" scenarios="1"/>
  <mergeCells count="234">
    <mergeCell ref="AI60:AQ60"/>
    <mergeCell ref="AI58:AQ58"/>
    <mergeCell ref="AE58:AH58"/>
    <mergeCell ref="AI57:AQ57"/>
    <mergeCell ref="AE57:AH57"/>
    <mergeCell ref="AI59:AQ59"/>
    <mergeCell ref="AE52:AH52"/>
    <mergeCell ref="AI52:AQ52"/>
    <mergeCell ref="C42:F42"/>
    <mergeCell ref="C44:F44"/>
    <mergeCell ref="Q44:T44"/>
    <mergeCell ref="U44:AC44"/>
    <mergeCell ref="AE44:AH44"/>
    <mergeCell ref="AE45:AH45"/>
    <mergeCell ref="AI45:AQ45"/>
    <mergeCell ref="G39:O39"/>
    <mergeCell ref="U39:AC39"/>
    <mergeCell ref="U40:AC40"/>
    <mergeCell ref="N36:O36"/>
    <mergeCell ref="AE46:AH46"/>
    <mergeCell ref="AI46:AQ46"/>
    <mergeCell ref="AE47:AH47"/>
    <mergeCell ref="AI47:AQ47"/>
    <mergeCell ref="AE48:AH48"/>
    <mergeCell ref="AI48:AQ48"/>
    <mergeCell ref="C27:F27"/>
    <mergeCell ref="U31:AC31"/>
    <mergeCell ref="C28:F28"/>
    <mergeCell ref="C34:F34"/>
    <mergeCell ref="L34:O34"/>
    <mergeCell ref="G34:K34"/>
    <mergeCell ref="C29:F29"/>
    <mergeCell ref="C30:F30"/>
    <mergeCell ref="Q34:T34"/>
    <mergeCell ref="Q33:AC33"/>
    <mergeCell ref="U34:AC34"/>
    <mergeCell ref="L28:M28"/>
    <mergeCell ref="N28:O28"/>
    <mergeCell ref="G29:O29"/>
    <mergeCell ref="Q30:T30"/>
    <mergeCell ref="G23:K23"/>
    <mergeCell ref="AI29:AQ29"/>
    <mergeCell ref="L23:O23"/>
    <mergeCell ref="G25:K25"/>
    <mergeCell ref="L25:O25"/>
    <mergeCell ref="AE28:AH28"/>
    <mergeCell ref="Q23:T23"/>
    <mergeCell ref="AE24:AH24"/>
    <mergeCell ref="AE25:AH25"/>
    <mergeCell ref="AI27:AQ27"/>
    <mergeCell ref="AI28:AM28"/>
    <mergeCell ref="AN28:AO28"/>
    <mergeCell ref="AP28:AQ28"/>
    <mergeCell ref="G28:K28"/>
    <mergeCell ref="U28:AC28"/>
    <mergeCell ref="Q27:T27"/>
    <mergeCell ref="Q29:T29"/>
    <mergeCell ref="U29:AC29"/>
    <mergeCell ref="Q28:T28"/>
    <mergeCell ref="Q26:T26"/>
    <mergeCell ref="Q25:T25"/>
    <mergeCell ref="AN25:AQ25"/>
    <mergeCell ref="AI25:AM25"/>
    <mergeCell ref="AL1:AP1"/>
    <mergeCell ref="AH2:AK3"/>
    <mergeCell ref="AL2:AP3"/>
    <mergeCell ref="U14:X14"/>
    <mergeCell ref="Y14:AC14"/>
    <mergeCell ref="Q14:T14"/>
    <mergeCell ref="Q15:T15"/>
    <mergeCell ref="Q16:T16"/>
    <mergeCell ref="Q17:T17"/>
    <mergeCell ref="AH1:AK1"/>
    <mergeCell ref="AI17:AQ17"/>
    <mergeCell ref="AQ2:AR3"/>
    <mergeCell ref="U15:AC15"/>
    <mergeCell ref="U16:AC16"/>
    <mergeCell ref="U17:AC17"/>
    <mergeCell ref="AE14:AH14"/>
    <mergeCell ref="AE16:AH16"/>
    <mergeCell ref="AE17:AH17"/>
    <mergeCell ref="AQ1:AR1"/>
    <mergeCell ref="AI14:AQ14"/>
    <mergeCell ref="AI15:AQ15"/>
    <mergeCell ref="AI16:AQ16"/>
    <mergeCell ref="F10:AN10"/>
    <mergeCell ref="AE15:AH15"/>
    <mergeCell ref="C14:F14"/>
    <mergeCell ref="C16:F16"/>
    <mergeCell ref="G15:K15"/>
    <mergeCell ref="G16:K16"/>
    <mergeCell ref="L15:O15"/>
    <mergeCell ref="L16:O16"/>
    <mergeCell ref="G17:O17"/>
    <mergeCell ref="C15:F15"/>
    <mergeCell ref="G14:O14"/>
    <mergeCell ref="C17:F17"/>
    <mergeCell ref="Z22:AC22"/>
    <mergeCell ref="AI22:AQ22"/>
    <mergeCell ref="AI24:AQ24"/>
    <mergeCell ref="Q21:AC21"/>
    <mergeCell ref="U24:Y24"/>
    <mergeCell ref="Z24:AC24"/>
    <mergeCell ref="AN23:AQ23"/>
    <mergeCell ref="AE23:AH23"/>
    <mergeCell ref="AE18:AH18"/>
    <mergeCell ref="AI18:AQ18"/>
    <mergeCell ref="AI19:AQ19"/>
    <mergeCell ref="AE21:AQ21"/>
    <mergeCell ref="AI23:AM23"/>
    <mergeCell ref="AE19:AH19"/>
    <mergeCell ref="U18:AC18"/>
    <mergeCell ref="U19:AC19"/>
    <mergeCell ref="Q24:T24"/>
    <mergeCell ref="G19:O19"/>
    <mergeCell ref="C13:O13"/>
    <mergeCell ref="Q13:AC13"/>
    <mergeCell ref="AE13:AQ13"/>
    <mergeCell ref="C38:F38"/>
    <mergeCell ref="AE30:AH30"/>
    <mergeCell ref="C19:F19"/>
    <mergeCell ref="C21:O21"/>
    <mergeCell ref="C18:F18"/>
    <mergeCell ref="C25:F25"/>
    <mergeCell ref="G22:O22"/>
    <mergeCell ref="G24:O24"/>
    <mergeCell ref="C22:F22"/>
    <mergeCell ref="C23:F23"/>
    <mergeCell ref="U25:AC25"/>
    <mergeCell ref="Q19:T19"/>
    <mergeCell ref="U23:AC23"/>
    <mergeCell ref="C24:F24"/>
    <mergeCell ref="Q18:T18"/>
    <mergeCell ref="G18:O18"/>
    <mergeCell ref="AE33:AQ33"/>
    <mergeCell ref="Q22:T22"/>
    <mergeCell ref="AE22:AH22"/>
    <mergeCell ref="U22:Y22"/>
    <mergeCell ref="M200:AH201"/>
    <mergeCell ref="AI34:AQ34"/>
    <mergeCell ref="AE35:AH35"/>
    <mergeCell ref="AE49:AH49"/>
    <mergeCell ref="AE50:AH50"/>
    <mergeCell ref="AE51:AH51"/>
    <mergeCell ref="AE53:AH53"/>
    <mergeCell ref="AE54:AH54"/>
    <mergeCell ref="AE55:AH55"/>
    <mergeCell ref="AE56:AH56"/>
    <mergeCell ref="AI49:AQ49"/>
    <mergeCell ref="AI50:AQ50"/>
    <mergeCell ref="AI51:AQ51"/>
    <mergeCell ref="AI53:AQ53"/>
    <mergeCell ref="AI54:AQ54"/>
    <mergeCell ref="AI55:AQ55"/>
    <mergeCell ref="AI56:AQ56"/>
    <mergeCell ref="AI35:AQ35"/>
    <mergeCell ref="AI40:AQ40"/>
    <mergeCell ref="AE41:AH41"/>
    <mergeCell ref="AI41:AQ41"/>
    <mergeCell ref="G42:O42"/>
    <mergeCell ref="G43:O43"/>
    <mergeCell ref="Q42:T42"/>
    <mergeCell ref="AE34:AH34"/>
    <mergeCell ref="AI30:AQ30"/>
    <mergeCell ref="Q36:T36"/>
    <mergeCell ref="G26:O26"/>
    <mergeCell ref="G27:O27"/>
    <mergeCell ref="AE29:AH29"/>
    <mergeCell ref="U26:AC26"/>
    <mergeCell ref="U27:AC27"/>
    <mergeCell ref="AI26:AQ26"/>
    <mergeCell ref="AE26:AH26"/>
    <mergeCell ref="AE27:AH27"/>
    <mergeCell ref="U30:AC30"/>
    <mergeCell ref="Q31:T31"/>
    <mergeCell ref="C33:O33"/>
    <mergeCell ref="C26:F26"/>
    <mergeCell ref="C36:F36"/>
    <mergeCell ref="G36:K36"/>
    <mergeCell ref="L36:M36"/>
    <mergeCell ref="G30:O30"/>
    <mergeCell ref="Z35:AC35"/>
    <mergeCell ref="C31:F31"/>
    <mergeCell ref="G31:O31"/>
    <mergeCell ref="AE31:AH31"/>
    <mergeCell ref="AI31:AQ31"/>
    <mergeCell ref="U35:Y35"/>
    <mergeCell ref="Q35:T35"/>
    <mergeCell ref="G35:O35"/>
    <mergeCell ref="C35:F35"/>
    <mergeCell ref="U41:AC41"/>
    <mergeCell ref="U42:AC42"/>
    <mergeCell ref="U43:AC43"/>
    <mergeCell ref="U37:Y37"/>
    <mergeCell ref="Z37:AA37"/>
    <mergeCell ref="AB37:AC37"/>
    <mergeCell ref="Q41:T41"/>
    <mergeCell ref="C43:F43"/>
    <mergeCell ref="G41:O41"/>
    <mergeCell ref="G37:O37"/>
    <mergeCell ref="C39:F39"/>
    <mergeCell ref="C40:F40"/>
    <mergeCell ref="C41:F41"/>
    <mergeCell ref="G40:O40"/>
    <mergeCell ref="Q37:T37"/>
    <mergeCell ref="Q38:T38"/>
    <mergeCell ref="Q39:T39"/>
    <mergeCell ref="Q40:T40"/>
    <mergeCell ref="Q43:T43"/>
    <mergeCell ref="C37:F37"/>
    <mergeCell ref="AE61:AH61"/>
    <mergeCell ref="AI61:AQ61"/>
    <mergeCell ref="AE62:AH62"/>
    <mergeCell ref="AI62:AQ62"/>
    <mergeCell ref="U36:AC36"/>
    <mergeCell ref="U38:AC38"/>
    <mergeCell ref="G44:O44"/>
    <mergeCell ref="AI37:AQ37"/>
    <mergeCell ref="AI44:AQ44"/>
    <mergeCell ref="AE37:AH37"/>
    <mergeCell ref="C46:AC46"/>
    <mergeCell ref="C47:AC52"/>
    <mergeCell ref="AE36:AH36"/>
    <mergeCell ref="AI36:AQ36"/>
    <mergeCell ref="AE38:AH38"/>
    <mergeCell ref="AI38:AQ38"/>
    <mergeCell ref="AE42:AH42"/>
    <mergeCell ref="AI42:AQ42"/>
    <mergeCell ref="AE43:AH43"/>
    <mergeCell ref="AI43:AQ43"/>
    <mergeCell ref="AE39:AH39"/>
    <mergeCell ref="AI39:AQ39"/>
    <mergeCell ref="AE40:AH40"/>
    <mergeCell ref="G38:O38"/>
  </mergeCells>
  <conditionalFormatting sqref="U14 Y14">
    <cfRule type="containsText" dxfId="12" priority="7" operator="containsText" text="Almost">
      <formula>NOT(ISERROR(SEARCH("Almost",U14)))</formula>
    </cfRule>
    <cfRule type="containsText" dxfId="11" priority="9" operator="containsText" text="Incomplete">
      <formula>NOT(ISERROR(SEARCH("Incomplete",U14)))</formula>
    </cfRule>
  </conditionalFormatting>
  <conditionalFormatting sqref="U15:AC19">
    <cfRule type="containsText" dxfId="10" priority="1" operator="containsText" text="Almost">
      <formula>NOT(ISERROR(SEARCH("Almost",U15)))</formula>
    </cfRule>
    <cfRule type="containsText" dxfId="9" priority="2" operator="containsText" text="Incomplete">
      <formula>NOT(ISERROR(SEARCH("Incomplete",U15)))</formula>
    </cfRule>
  </conditionalFormatting>
  <conditionalFormatting sqref="AH2 AL2">
    <cfRule type="expression" dxfId="8" priority="11">
      <formula>PROJSTATUS=PROJSTATELI</formula>
    </cfRule>
    <cfRule type="expression" dxfId="7" priority="12">
      <formula>PROJSTATUS=PROJSTATREVIEW</formula>
    </cfRule>
    <cfRule type="expression" dxfId="6" priority="16">
      <formula>PROJSTATUS=PROJSTATPREAPPROVE</formula>
    </cfRule>
    <cfRule type="expression" dxfId="5" priority="17">
      <formula>PROJSTATUS=PROJSTATSTANDARD</formula>
    </cfRule>
    <cfRule type="expression" dxfId="4" priority="18">
      <formula>PROJSTATUS=PROJSTATEXP</formula>
    </cfRule>
  </conditionalFormatting>
  <conditionalFormatting sqref="AI14:AQ19">
    <cfRule type="containsBlanks" dxfId="3" priority="10">
      <formula>LEN(TRIM(AI14))=0</formula>
    </cfRule>
  </conditionalFormatting>
  <conditionalFormatting sqref="AQ2:AR3">
    <cfRule type="cellIs" dxfId="2" priority="13" operator="equal">
      <formula>1</formula>
    </cfRule>
    <cfRule type="cellIs" dxfId="1" priority="14" operator="between">
      <formula>0.51</formula>
      <formula>0.99</formula>
    </cfRule>
    <cfRule type="cellIs" dxfId="0" priority="15" operator="lessThanOrEqual">
      <formula>0.5</formula>
    </cfRule>
  </conditionalFormatting>
  <dataValidations disablePrompts="1" count="3">
    <dataValidation type="list" allowBlank="1" showInputMessage="1" sqref="AI15:AQ15" xr:uid="{00000000-0002-0000-2B00-000000000000}">
      <formula1>IMPLSPECNAME</formula1>
    </dataValidation>
    <dataValidation type="list" allowBlank="1" showInputMessage="1" sqref="AI16:AQ16" xr:uid="{00000000-0002-0000-2B00-000001000000}">
      <formula1>ENGINEERZNAME</formula1>
    </dataValidation>
    <dataValidation type="list" allowBlank="1" showInputMessage="1" showErrorMessage="1" sqref="AI17:AQ17" xr:uid="{00000000-0002-0000-2B00-000002000000}">
      <formula1>"Submitted,Reviewed,Final"</formula1>
    </dataValidation>
  </dataValidations>
  <hyperlinks>
    <hyperlink ref="B202" r:id="rId1" display="NIPSCO.Savings@LMCO.com" xr:uid="{00000000-0004-0000-2B00-000000000000}"/>
    <hyperlink ref="B202:H202" r:id="rId2" display="mailto:IM.EnergyEfficiency@TRCcompanies.com" xr:uid="{02FD868E-9E75-499F-9DC4-C50747713DA2}"/>
  </hyperlinks>
  <printOptions horizontalCentered="1" verticalCentered="1"/>
  <pageMargins left="0.3" right="0.3" top="0.3" bottom="0.3" header="0.25" footer="0.25"/>
  <pageSetup scale="68" fitToHeight="0" orientation="landscape"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2">
    <tabColor theme="0" tint="-0.249977111117893"/>
  </sheetPr>
  <dimension ref="A1:DK768"/>
  <sheetViews>
    <sheetView zoomScale="80" zoomScaleNormal="80" workbookViewId="0">
      <pane ySplit="1" topLeftCell="A2" activePane="bottomLeft" state="frozen"/>
      <selection activeCell="AU16" sqref="AU16:AU17"/>
      <selection pane="bottomLeft" activeCell="AA45" sqref="AA45"/>
    </sheetView>
  </sheetViews>
  <sheetFormatPr defaultColWidth="8.7109375" defaultRowHeight="15"/>
  <cols>
    <col min="1" max="3" width="8.7109375" style="57"/>
    <col min="4" max="4" width="11.7109375" customWidth="1"/>
    <col min="5" max="5" width="8.7109375" customWidth="1"/>
    <col min="6" max="6" width="8.7109375" style="111" customWidth="1"/>
    <col min="7" max="8" width="8.7109375" customWidth="1"/>
    <col min="9" max="12" width="8.7109375" style="52" customWidth="1"/>
    <col min="13" max="13" width="9.28515625" style="111" bestFit="1" customWidth="1"/>
    <col min="14" max="14" width="9.28515625" style="52" bestFit="1" customWidth="1"/>
    <col min="15" max="15" width="8.7109375" style="23" customWidth="1"/>
    <col min="16" max="18" width="8.7109375" style="52" customWidth="1"/>
    <col min="19" max="19" width="8.7109375" style="111" customWidth="1"/>
    <col min="20" max="20" width="8.7109375" style="52" customWidth="1"/>
    <col min="21" max="21" width="8.7109375" style="136" customWidth="1"/>
    <col min="22" max="22" width="8.7109375" style="52" customWidth="1"/>
    <col min="23" max="23" width="8.7109375" customWidth="1"/>
    <col min="24" max="24" width="9.5703125" style="52" bestFit="1" customWidth="1"/>
    <col min="25" max="25" width="8.7109375" style="52" customWidth="1"/>
    <col min="26" max="26" width="8.7109375" style="111" customWidth="1"/>
    <col min="27" max="27" width="11.85546875" customWidth="1"/>
    <col min="28" max="28" width="10.5703125" customWidth="1"/>
    <col min="29" max="30" width="8.7109375" customWidth="1"/>
    <col min="31" max="32" width="8.7109375" style="23" customWidth="1"/>
    <col min="33" max="36" width="8.7109375" style="111" customWidth="1"/>
    <col min="37" max="37" width="8.7109375" style="52" customWidth="1"/>
    <col min="38" max="38" width="14.7109375" style="98" customWidth="1"/>
    <col min="39" max="40" width="8.7109375" style="98" customWidth="1"/>
    <col min="41" max="41" width="10.5703125" style="98" bestFit="1" customWidth="1"/>
    <col min="42" max="46" width="8.7109375" style="98"/>
    <col min="47" max="47" width="9.5703125" style="98" customWidth="1"/>
    <col min="84" max="84" width="8.7109375" customWidth="1"/>
    <col min="94" max="94" width="8.7109375" customWidth="1"/>
    <col min="105" max="105" width="8.7109375" customWidth="1"/>
    <col min="113" max="113" width="12" customWidth="1"/>
  </cols>
  <sheetData>
    <row r="1" spans="1:115" ht="45" customHeight="1">
      <c r="A1" s="182" t="s">
        <v>536</v>
      </c>
      <c r="B1" s="266" t="s">
        <v>538</v>
      </c>
      <c r="C1" s="270" t="s">
        <v>537</v>
      </c>
      <c r="D1" s="267" t="s">
        <v>0</v>
      </c>
      <c r="E1" s="9"/>
      <c r="F1" s="264" t="s">
        <v>1258</v>
      </c>
      <c r="G1" s="265" t="s">
        <v>95</v>
      </c>
      <c r="H1" s="265" t="s">
        <v>2166</v>
      </c>
      <c r="I1" s="263" t="s">
        <v>1254</v>
      </c>
      <c r="J1" s="263" t="s">
        <v>1253</v>
      </c>
      <c r="K1" s="263" t="s">
        <v>1257</v>
      </c>
      <c r="L1" s="263" t="s">
        <v>2167</v>
      </c>
      <c r="M1" s="264" t="s">
        <v>688</v>
      </c>
      <c r="N1" s="263" t="s">
        <v>1269</v>
      </c>
      <c r="O1" s="465" t="s">
        <v>1270</v>
      </c>
      <c r="P1" s="263" t="s">
        <v>1271</v>
      </c>
      <c r="Q1" s="263" t="s">
        <v>2168</v>
      </c>
      <c r="R1" s="263" t="s">
        <v>1268</v>
      </c>
      <c r="S1" s="268" t="s">
        <v>1267</v>
      </c>
      <c r="T1" s="309" t="s">
        <v>1263</v>
      </c>
      <c r="U1" s="269" t="s">
        <v>1264</v>
      </c>
      <c r="V1" s="309" t="s">
        <v>1265</v>
      </c>
      <c r="W1" s="267" t="s">
        <v>1266</v>
      </c>
      <c r="X1" s="263" t="s">
        <v>1255</v>
      </c>
      <c r="Y1" s="263" t="s">
        <v>1256</v>
      </c>
      <c r="Z1" s="268" t="s">
        <v>547</v>
      </c>
      <c r="AA1" s="267" t="s">
        <v>1251</v>
      </c>
      <c r="AB1" s="267" t="s">
        <v>1250</v>
      </c>
      <c r="AC1" s="267" t="s">
        <v>1280</v>
      </c>
      <c r="AD1" s="267" t="s">
        <v>1252</v>
      </c>
      <c r="AE1" s="465" t="s">
        <v>1278</v>
      </c>
      <c r="AF1" s="465" t="s">
        <v>1279</v>
      </c>
      <c r="AG1" s="264" t="s">
        <v>1259</v>
      </c>
      <c r="AH1" s="264" t="s">
        <v>1260</v>
      </c>
      <c r="AI1" s="264" t="s">
        <v>1261</v>
      </c>
      <c r="AJ1" s="264" t="s">
        <v>1262</v>
      </c>
      <c r="AK1" s="309" t="s">
        <v>539</v>
      </c>
      <c r="AL1" s="263" t="s">
        <v>1448</v>
      </c>
      <c r="AM1" s="263" t="s">
        <v>1449</v>
      </c>
      <c r="AN1" s="263" t="s">
        <v>1450</v>
      </c>
      <c r="AO1" s="263" t="s">
        <v>1455</v>
      </c>
      <c r="AP1" s="97"/>
      <c r="AQ1" s="97"/>
      <c r="AR1" s="97"/>
      <c r="AS1" s="97"/>
      <c r="AT1" s="97"/>
      <c r="AU1" t="s">
        <v>441</v>
      </c>
      <c r="AV1" s="9" t="s">
        <v>902</v>
      </c>
      <c r="AW1" s="9" t="s">
        <v>840</v>
      </c>
      <c r="AX1" s="9" t="s">
        <v>841</v>
      </c>
      <c r="AY1" s="9" t="s">
        <v>1277</v>
      </c>
      <c r="AZ1" s="94" t="s">
        <v>842</v>
      </c>
      <c r="BA1" s="95"/>
      <c r="BB1" s="93" t="s">
        <v>540</v>
      </c>
      <c r="BC1" s="9" t="s">
        <v>541</v>
      </c>
      <c r="BD1" s="9" t="s">
        <v>542</v>
      </c>
      <c r="BE1" s="9" t="s">
        <v>543</v>
      </c>
      <c r="BF1" s="93" t="s">
        <v>544</v>
      </c>
      <c r="BG1" s="9" t="s">
        <v>545</v>
      </c>
      <c r="BH1" s="9" t="s">
        <v>546</v>
      </c>
      <c r="BI1" s="9" t="s">
        <v>1274</v>
      </c>
      <c r="BJ1" s="9" t="s">
        <v>1275</v>
      </c>
      <c r="BK1" s="9" t="s">
        <v>1273</v>
      </c>
      <c r="BL1" s="95"/>
      <c r="BM1" s="9" t="s">
        <v>908</v>
      </c>
      <c r="BN1" s="9" t="s">
        <v>167</v>
      </c>
      <c r="BO1" s="9" t="s">
        <v>843</v>
      </c>
      <c r="BP1" s="9" t="s">
        <v>844</v>
      </c>
      <c r="BQ1" s="9" t="s">
        <v>845</v>
      </c>
      <c r="BR1" s="9" t="s">
        <v>505</v>
      </c>
      <c r="BS1" s="9" t="s">
        <v>2401</v>
      </c>
      <c r="BT1" s="9" t="s">
        <v>2169</v>
      </c>
      <c r="BU1" s="9" t="s">
        <v>846</v>
      </c>
      <c r="BV1" s="9" t="s">
        <v>847</v>
      </c>
      <c r="BW1" s="9" t="s">
        <v>1272</v>
      </c>
      <c r="BX1" s="95"/>
      <c r="BY1" s="9" t="s">
        <v>874</v>
      </c>
      <c r="BZ1" s="9" t="s">
        <v>1276</v>
      </c>
      <c r="CA1" s="95"/>
      <c r="CB1" s="168" t="s">
        <v>550</v>
      </c>
      <c r="CC1" s="168" t="s">
        <v>551</v>
      </c>
      <c r="CD1" s="168" t="s">
        <v>552</v>
      </c>
      <c r="CE1" s="168" t="s">
        <v>553</v>
      </c>
      <c r="CF1" s="168" t="s">
        <v>554</v>
      </c>
      <c r="CG1" s="168" t="s">
        <v>555</v>
      </c>
      <c r="CH1" s="168" t="s">
        <v>556</v>
      </c>
      <c r="CI1" s="168" t="s">
        <v>557</v>
      </c>
      <c r="CJ1" s="168" t="s">
        <v>558</v>
      </c>
      <c r="CK1" s="168" t="s">
        <v>559</v>
      </c>
      <c r="CL1" s="168" t="s">
        <v>560</v>
      </c>
      <c r="CM1" s="168" t="s">
        <v>561</v>
      </c>
      <c r="CN1" s="168" t="s">
        <v>562</v>
      </c>
      <c r="CO1" s="168" t="s">
        <v>563</v>
      </c>
      <c r="CP1" s="168" t="s">
        <v>564</v>
      </c>
      <c r="CQ1" s="168" t="s">
        <v>565</v>
      </c>
      <c r="CR1" s="168" t="s">
        <v>566</v>
      </c>
      <c r="CS1" s="168" t="s">
        <v>567</v>
      </c>
      <c r="CT1" s="168" t="s">
        <v>568</v>
      </c>
      <c r="CU1" s="168" t="s">
        <v>569</v>
      </c>
      <c r="CV1" s="95"/>
      <c r="CW1" s="168" t="s">
        <v>570</v>
      </c>
      <c r="CX1" s="168" t="s">
        <v>571</v>
      </c>
      <c r="CY1" s="168" t="s">
        <v>572</v>
      </c>
      <c r="CZ1" s="168" t="s">
        <v>573</v>
      </c>
      <c r="DA1" s="168" t="s">
        <v>574</v>
      </c>
      <c r="DB1" s="168" t="s">
        <v>575</v>
      </c>
      <c r="DC1" s="168" t="s">
        <v>576</v>
      </c>
      <c r="DD1" s="168" t="s">
        <v>577</v>
      </c>
      <c r="DE1" s="168" t="s">
        <v>578</v>
      </c>
      <c r="DF1" s="168" t="s">
        <v>579</v>
      </c>
      <c r="DG1" s="168" t="s">
        <v>2097</v>
      </c>
      <c r="DH1" s="168" t="s">
        <v>2098</v>
      </c>
      <c r="DI1" s="168" t="s">
        <v>2170</v>
      </c>
      <c r="DJ1" s="168" t="s">
        <v>1057</v>
      </c>
      <c r="DK1" s="168" t="s">
        <v>1057</v>
      </c>
    </row>
    <row r="2" spans="1:115">
      <c r="A2" s="57">
        <f t="shared" ref="A2:A53" si="0">PROJID</f>
        <v>0</v>
      </c>
      <c r="AL2" s="52"/>
      <c r="AM2" s="52"/>
      <c r="AN2" s="52"/>
      <c r="AO2" s="52"/>
      <c r="AU2" t="str">
        <f>IF(M02S03F01="Yes","Contractor-Installed",IF(M02S03F01="No","Self-Installed",""))</f>
        <v/>
      </c>
      <c r="AV2" t="str">
        <f>IF(M05S07F02=0,"",M05S07F02)</f>
        <v/>
      </c>
      <c r="AW2" s="57">
        <f>PROJID</f>
        <v>0</v>
      </c>
      <c r="AX2">
        <f>M02S02F13</f>
        <v>0</v>
      </c>
      <c r="AY2" t="str">
        <f>VERSION</f>
        <v>Custom Prescriptive Application v3.7.0</v>
      </c>
      <c r="AZ2" t="s">
        <v>236</v>
      </c>
      <c r="BA2" s="92"/>
      <c r="BB2" t="str">
        <f>PROPER(M02S04F02)</f>
        <v/>
      </c>
      <c r="BC2" t="str">
        <f>PROPER(CONCATENATE(M02S04F03," ",M02S04F04))</f>
        <v xml:space="preserve"> </v>
      </c>
      <c r="BD2" t="str">
        <f>PROPER(M02S04F07)</f>
        <v/>
      </c>
      <c r="BE2" t="str">
        <f>PROPER(M02S04F08)</f>
        <v/>
      </c>
      <c r="BF2" t="str">
        <f>M02S04F09</f>
        <v/>
      </c>
      <c r="BG2" t="str">
        <f>M02S04F10</f>
        <v/>
      </c>
      <c r="BH2" s="51" t="str">
        <f>M02S04F05</f>
        <v/>
      </c>
      <c r="BI2" t="str">
        <f>IFERROR(INDEX(TAXENTITY[System Text],MATCH(M02S04F11,TAXENTITY[Tax Entity],0)),"")</f>
        <v/>
      </c>
      <c r="BJ2" t="str">
        <f>CONCATENATE(M02S04F12,"-",M02S04F12.1)</f>
        <v>-</v>
      </c>
      <c r="BK2" t="str">
        <f>IFERROR(INDEX(PAYMENT[Payment Preference],MATCH(M02S04F01,PAYMENT[Payment to],0)),"")</f>
        <v/>
      </c>
      <c r="BL2" s="92"/>
      <c r="BM2">
        <f>M02S02F12</f>
        <v>0</v>
      </c>
      <c r="BN2" s="111">
        <f>M02S02F30</f>
        <v>0</v>
      </c>
      <c r="BO2" s="111">
        <f>M02S02F28</f>
        <v>0</v>
      </c>
      <c r="BP2" s="111">
        <f>M02S02F29</f>
        <v>0</v>
      </c>
      <c r="BQ2" s="111">
        <f>M02S02F31</f>
        <v>0</v>
      </c>
      <c r="BR2">
        <f>M02S02F27</f>
        <v>0</v>
      </c>
      <c r="BS2">
        <f>M02S02F52</f>
        <v>0</v>
      </c>
      <c r="BT2">
        <f>M02S02F26</f>
        <v>0</v>
      </c>
      <c r="BU2">
        <f>M02S02F33</f>
        <v>0</v>
      </c>
      <c r="BV2">
        <f>M02S02F32</f>
        <v>0</v>
      </c>
      <c r="BW2">
        <f>M02S02F11.1</f>
        <v>0</v>
      </c>
      <c r="BX2" s="92"/>
      <c r="BY2" s="50" t="str">
        <f>IF(M05S02F04=0,"",M05S02F04)</f>
        <v/>
      </c>
      <c r="BZ2" s="50" t="str">
        <f>IF(M05S03F01=0,"",M05S03F01)</f>
        <v/>
      </c>
      <c r="CA2" s="92"/>
      <c r="CB2" s="169" t="str">
        <f>M02S02F16</f>
        <v/>
      </c>
      <c r="CC2" s="169" t="str">
        <f>M02S02F17</f>
        <v/>
      </c>
      <c r="CD2" s="169" t="str">
        <f>M02S02F18</f>
        <v/>
      </c>
      <c r="CE2" s="169" t="str">
        <f>M02S02F34</f>
        <v/>
      </c>
      <c r="CF2" s="170" t="str">
        <f>M02S02F19</f>
        <v/>
      </c>
      <c r="CG2" s="169" t="str">
        <f>M02S02F21</f>
        <v/>
      </c>
      <c r="CH2" s="169" t="str">
        <f>M02S02F22</f>
        <v/>
      </c>
      <c r="CI2" s="169" t="str">
        <f>M02S02F23</f>
        <v/>
      </c>
      <c r="CJ2" s="169" t="str">
        <f>M02S02F24</f>
        <v>IN</v>
      </c>
      <c r="CK2" s="169" t="str">
        <f>M02S02F25</f>
        <v/>
      </c>
      <c r="CL2" s="169">
        <f>M02S02F02</f>
        <v>0</v>
      </c>
      <c r="CM2" s="169">
        <f>M02S02F03</f>
        <v>0</v>
      </c>
      <c r="CN2" s="169">
        <f>M02S02F04</f>
        <v>0</v>
      </c>
      <c r="CO2" s="169">
        <f>M02S02F01</f>
        <v>0</v>
      </c>
      <c r="CP2" s="170">
        <f>M02S02F05</f>
        <v>0</v>
      </c>
      <c r="CQ2" s="169">
        <f>M02S02F07</f>
        <v>0</v>
      </c>
      <c r="CR2" s="169">
        <f>M02S02F08</f>
        <v>0</v>
      </c>
      <c r="CS2" s="169">
        <f>M02S02F09</f>
        <v>0</v>
      </c>
      <c r="CT2" s="169">
        <f>M02S02F10</f>
        <v>0</v>
      </c>
      <c r="CU2" s="169">
        <f>M02S02F11</f>
        <v>0</v>
      </c>
      <c r="CV2" s="92"/>
      <c r="CW2" s="169">
        <f>M02S03F03</f>
        <v>0</v>
      </c>
      <c r="CX2" s="169">
        <f>M02S03F04</f>
        <v>0</v>
      </c>
      <c r="CY2" s="169">
        <f>M02S03F05</f>
        <v>0</v>
      </c>
      <c r="CZ2" s="169">
        <f>M02S03F02</f>
        <v>0</v>
      </c>
      <c r="DA2" s="170">
        <f>M02S03F06</f>
        <v>0</v>
      </c>
      <c r="DB2" s="169">
        <f>M02S03F08</f>
        <v>0</v>
      </c>
      <c r="DC2" s="169">
        <f>M02S03F09</f>
        <v>0</v>
      </c>
      <c r="DD2" s="169">
        <f>M02S03F10</f>
        <v>0</v>
      </c>
      <c r="DE2" s="169">
        <f>M02S03F11</f>
        <v>0</v>
      </c>
      <c r="DF2" s="169">
        <f>M02S03F12</f>
        <v>0</v>
      </c>
      <c r="DG2" s="168">
        <f>M02S02F47</f>
        <v>0</v>
      </c>
      <c r="DH2" s="168">
        <f>M02S03F13</f>
        <v>0</v>
      </c>
      <c r="DI2" s="637" t="str">
        <f>IF(M05S02F07="","",M05S02F07)</f>
        <v/>
      </c>
      <c r="DJ2" s="168"/>
      <c r="DK2" s="168"/>
    </row>
    <row r="3" spans="1:115">
      <c r="A3" s="146" t="str">
        <f>CONCATENATE(MAIN3," ",M3S1)</f>
        <v>PRESCRIPTIVE MEASURES INPUT Lighting</v>
      </c>
      <c r="B3" s="147"/>
      <c r="C3" s="147"/>
      <c r="D3" s="120"/>
      <c r="E3" s="120"/>
      <c r="F3" s="121"/>
      <c r="G3" s="122"/>
      <c r="H3" s="122"/>
      <c r="I3" s="123"/>
      <c r="J3" s="123"/>
      <c r="K3" s="123"/>
      <c r="L3" s="123"/>
      <c r="M3" s="121"/>
      <c r="N3" s="123"/>
      <c r="O3" s="466"/>
      <c r="P3" s="123"/>
      <c r="Q3" s="123"/>
      <c r="R3" s="123"/>
      <c r="S3" s="121"/>
      <c r="T3" s="123"/>
      <c r="U3" s="137"/>
      <c r="V3" s="123"/>
      <c r="W3" s="122"/>
      <c r="X3" s="123"/>
      <c r="Y3" s="123"/>
      <c r="Z3" s="121"/>
      <c r="AA3" s="121"/>
      <c r="AB3" s="121"/>
      <c r="AC3" s="122"/>
      <c r="AD3" s="122"/>
      <c r="AE3" s="466"/>
      <c r="AF3" s="466"/>
      <c r="AG3" s="121"/>
      <c r="AH3" s="121"/>
      <c r="AI3" s="121"/>
      <c r="AJ3" s="121"/>
      <c r="AK3" s="123"/>
      <c r="AL3" s="123"/>
      <c r="AM3" s="123"/>
      <c r="AN3" s="123"/>
      <c r="AO3" s="123"/>
      <c r="AU3"/>
    </row>
    <row r="4" spans="1:115">
      <c r="A4" s="57">
        <f>PROJID</f>
        <v>0</v>
      </c>
      <c r="B4" s="183" t="str">
        <f t="shared" ref="B4:B51" si="1">IF(C4="","",CONCATENATE(ROW(),"-",C4))</f>
        <v/>
      </c>
      <c r="C4" t="str">
        <f>IFERROR(IF(R4&gt;0,INDEX(PMELIGHT[Measure '#],MATCH(AB4,PMELIGHT[Eff Desc 1],0)),""),"")</f>
        <v/>
      </c>
      <c r="D4" t="s">
        <v>947</v>
      </c>
      <c r="F4" s="185">
        <f>INDEX('M03-S01'!$AB$16:$AB$198,2*(ROWS($F$4:F4)-1)+1)</f>
        <v>0</v>
      </c>
      <c r="G4" s="186">
        <f>INDEX('M03-S01'!$Y$16:$Y$198,2*(ROWS($G$4:G4)-1)+1)</f>
        <v>0</v>
      </c>
      <c r="H4" s="186" t="str">
        <f>IF(ISNUMBER(INDEX('M03-S01'!$AN$16:$AN$198,2*(ROWS($R$4:R4)-1)+1)),"Total","")</f>
        <v/>
      </c>
      <c r="I4" s="184">
        <f>IFERROR(ROUND(INDEX('M03-S01'!$S$16:$S$198,2*(ROWS($I$4:I4)-1)+1)*INDEX('M03-S01'!$AE$16:$AE$198,2*(ROWS($I$4:I4)-1)+1),2),0)</f>
        <v>0</v>
      </c>
      <c r="J4" s="184">
        <f>IFERROR(ROUND(INDEX('M03-S01'!$S$16:$S$198,2*(ROWS($J$4:J4)-1)+1)*INDEX('M03-S01'!$AG$16:$AG$198,2*(ROWS($J$4:J4)-1)+1),2),0)</f>
        <v>0</v>
      </c>
      <c r="K4" s="52">
        <f>IFERROR(ROUND(INDEX('M03-S01'!$AU$16:$AU$198,2*(ROWS($K$4:K4)-1)+1),2),0)</f>
        <v>0</v>
      </c>
      <c r="L4" s="52" t="str">
        <f>IFERROR(IF(R4&gt;0,M4*INDEX(PMELIGHT[Incremental Cost],MATCH(AB4,PMELIGHT[Eff Desc 1],0)),""),"")</f>
        <v/>
      </c>
      <c r="M4" s="456">
        <f>IF(ISNUMBER(SEARCH("8ft",INDEX('M03-S01'!$K$16:$K$198,2*(ROWS($M$4:M4)-1)+1))),INDEX('M03-S01'!$S$16:$S$198,2*(ROWS($M$4:M4)-1)+1)*2,INDEX('M03-S01'!$S$16:$S$198,2*(ROWS($M$4:M4)-1)+1))</f>
        <v>0</v>
      </c>
      <c r="N4" s="184" t="str">
        <f>IF(ISNUMBER(INDEX('M03-S01'!$AN$16:$AN$198,2*(ROWS($R$4:R4)-1)+1)),INDEX('M03-S01'!$AK$16:$AK$198,2*(ROWS($N$4:N4)-1)+1),"")</f>
        <v/>
      </c>
      <c r="O4" s="456" t="str">
        <f>IFERROR(IF(ISNUMBER(INDEX('M03-S01'!$AN$16:$AN$198,2*(ROWS($R$4:R4)-1)+1)),INDEX('M03-S01'!$AV$16:$AV$198,2*(ROWS($O$4:O4)-1)+1),""),"")</f>
        <v/>
      </c>
      <c r="P4" s="459"/>
      <c r="Q4" s="184" t="str">
        <f>IFERROR(IF(ISNUMBER(INDEX('M03-S01'!$AN$16:$AN$198,2*(ROWS($R$4:R4)-1)+1)),INDEX('M03-S01'!$AY$16:$AY$198,2*(ROWS($Q$4:Q4)-1)+1),""),"")</f>
        <v/>
      </c>
      <c r="R4" s="184">
        <f>IF(ISNUMBER(INDEX('M03-S01'!$AN$16:$AN$198,2*(ROWS($R$4:R4)-1)+1)),INDEX('M03-S01'!$AN$16:$AN$198,2*(ROWS($R$4:R4)-1)+1),0)</f>
        <v>0</v>
      </c>
      <c r="S4" s="459"/>
      <c r="T4" s="113"/>
      <c r="U4" s="140"/>
      <c r="V4" s="113"/>
      <c r="W4" s="96" t="str">
        <f>IFERROR(IF(NOT(ISNUMBER(INDEX('M03-S01'!$AN$16:$AN$198,2*(ROWS($R$4:R4)-1)+1))),INDEX('M03-S01'!$BC$16:$BC$198,2*(ROWS($R$4:R4)-1)+1),""),"")</f>
        <v/>
      </c>
      <c r="X4" s="184" t="str">
        <f>IFERROR(ROUND(IF(ISNUMBER(SEARCH("8ft",INDEX('M03-S01'!$K$16:$K$198,2*(ROWS($X$4:X4)-1)+1))),INDEX('M03-S01'!$I$16:$I$198,2*(ROWS($X$4:X4)-1)+1)/2,INDEX('M03-S01'!$I$16:$I$198,2*(ROWS($X$4:X4)-1)+1)),3),"")</f>
        <v/>
      </c>
      <c r="Y4" s="184" t="str">
        <f>IFERROR(ROUND(IF(ISNUMBER(SEARCH("8ft",INDEX('M03-S01'!$K$16:$K$198,2*(ROWS($Y$4:Y4)-1)+1))),INDEX('M03-S01'!$Q$16:$Q$198,2*(ROWS($Y$4:Y4)-1)+1)/2,INDEX('M03-S01'!$Q$16:$Q$198,2*(ROWS($Y$4:Y4)-1)+1)),3),"")</f>
        <v/>
      </c>
      <c r="Z4" s="111">
        <f>INDEX('M03-S01'!$B$16:$B$198,2*(ROWS($Z$4:Z4)-1)+1)</f>
        <v>1</v>
      </c>
      <c r="AA4" s="111">
        <f>IF(ISNUMBER(SEARCH("8ft",INDEX('M03-S01'!$C$16:$C$199,2*(ROWS($Z$4:AA4)-1)+1))),SUBSTITUTE(INDEX('M03-S01'!$C$16:$C$199,2*(ROWS($Z$4:AA4)-1)+1),"8ft","4ft"),INDEX('M03-S01'!$C$16:$C$199,2*(ROWS($Z$4:AA4)-1)+1))</f>
        <v>0</v>
      </c>
      <c r="AB4" s="111">
        <f>IF(ISNUMBER(SEARCH("8ft",INDEX('M03-S01'!$K$16:$K$199,2*(ROWS($Z$4:AB4)-1)+1))),SUBSTITUTE(INDEX('M03-S01'!$K$16:$K$199,2*(ROWS($Z$4:AB4)-1)+1),"8ft","4ft"),INDEX('M03-S01'!$K$16:$K$199,2*(ROWS($Z$4:AB4)-1)+1))</f>
        <v>0</v>
      </c>
      <c r="AC4" s="96"/>
      <c r="AD4">
        <f>INDEX('M03-S01'!$U$16:$U$198,2*(ROWS($AD$4:AD4)-1)+1)</f>
        <v>0</v>
      </c>
      <c r="AE4" s="459"/>
      <c r="AF4" s="459"/>
      <c r="AG4" s="111" t="str">
        <f>INDEX('M03-S01'!$AW$16:$AW$198,2*(ROWS($AG$4:AG4)-1)+1)</f>
        <v/>
      </c>
      <c r="AH4" s="111" t="str">
        <f>INDEX('M03-S01'!$AX$16:$AX$198,2*(ROWS($AH$4:AH4)-1)+1)</f>
        <v/>
      </c>
      <c r="AI4" s="113"/>
      <c r="AJ4" s="113"/>
      <c r="AK4" s="113"/>
      <c r="AL4" s="113"/>
      <c r="AM4" s="113"/>
      <c r="AN4" s="113"/>
      <c r="AO4" s="52" t="str">
        <f>IFERROR(INDEX(PMELIGHT[Program Design],MATCH(AB4,PMELIGHT[Eff Desc 1])),"")</f>
        <v/>
      </c>
      <c r="AU4"/>
    </row>
    <row r="5" spans="1:115">
      <c r="A5" s="57">
        <f t="shared" si="0"/>
        <v>0</v>
      </c>
      <c r="B5" s="183" t="str">
        <f t="shared" si="1"/>
        <v/>
      </c>
      <c r="C5" t="str">
        <f>IFERROR(IF(R5&gt;0,INDEX(PMELIGHT[Measure '#],MATCH(AB5,PMELIGHT[Eff Desc 1],0)),""),"")</f>
        <v/>
      </c>
      <c r="D5" t="s">
        <v>947</v>
      </c>
      <c r="F5" s="185">
        <f>INDEX('M03-S01'!$AB$16:$AB$198,2*(ROWS($F$4:F5)-1)+1)</f>
        <v>0</v>
      </c>
      <c r="G5" s="186">
        <f>INDEX('M03-S01'!$Y$16:$Y$198,2*(ROWS($G$4:G5)-1)+1)</f>
        <v>0</v>
      </c>
      <c r="H5" s="186" t="str">
        <f>IF(ISNUMBER(INDEX('M03-S01'!$AN$16:$AN$198,2*(ROWS($R$4:R5)-1)+1)),"Total","")</f>
        <v/>
      </c>
      <c r="I5" s="184">
        <f>IFERROR(ROUND(INDEX('M03-S01'!$S$16:$S$198,2*(ROWS($I$4:I5)-1)+1)*INDEX('M03-S01'!$AE$16:$AE$198,2*(ROWS($I$4:I5)-1)+1),2),0)</f>
        <v>0</v>
      </c>
      <c r="J5" s="184">
        <f>IFERROR(ROUND(INDEX('M03-S01'!$S$16:$S$198,2*(ROWS($J$4:J5)-1)+1)*INDEX('M03-S01'!$AG$16:$AG$198,2*(ROWS($J$4:J5)-1)+1),2),0)</f>
        <v>0</v>
      </c>
      <c r="K5" s="52">
        <f>IFERROR(ROUND(INDEX('M03-S01'!$AU$16:$AU$198,2*(ROWS($K$4:K5)-1)+1),2),0)</f>
        <v>0</v>
      </c>
      <c r="L5" s="52" t="str">
        <f>IFERROR(IF(R5&gt;0,M5*INDEX(PMELIGHT[Incremental Cost],MATCH(AB5,PMELIGHT[Eff Desc 1],0)),""),"")</f>
        <v/>
      </c>
      <c r="M5" s="456">
        <f>IF(ISNUMBER(SEARCH("8ft",INDEX('M03-S01'!$K$16:$K$198,2*(ROWS($M$4:M5)-1)+1))),INDEX('M03-S01'!$S$16:$S$198,2*(ROWS($M$4:M5)-1)+1)*2,INDEX('M03-S01'!$S$16:$S$198,2*(ROWS($M$4:M5)-1)+1))</f>
        <v>0</v>
      </c>
      <c r="N5" s="184" t="str">
        <f>IF(ISNUMBER(INDEX('M03-S01'!$AN$16:$AN$198,2*(ROWS($R$4:R5)-1)+1)),INDEX('M03-S01'!$AK$16:$AK$198,2*(ROWS($N$4:N5)-1)+1),"")</f>
        <v/>
      </c>
      <c r="O5" s="456" t="str">
        <f>IFERROR(IF(ISNUMBER(INDEX('M03-S01'!$AN$16:$AN$198,2*(ROWS($R$4:R5)-1)+1)),INDEX('M03-S01'!$AV$16:$AV$198,2*(ROWS($O$4:O5)-1)+1),""),"")</f>
        <v/>
      </c>
      <c r="P5" s="459"/>
      <c r="Q5" s="184" t="str">
        <f>IFERROR(IF(ISNUMBER(INDEX('M03-S01'!$AN$16:$AN$198,2*(ROWS($R$4:R5)-1)+1)),INDEX('M03-S01'!$AY$16:$AY$198,2*(ROWS($Q$4:Q5)-1)+1),""),"")</f>
        <v/>
      </c>
      <c r="R5" s="184">
        <f>IF(ISNUMBER(INDEX('M03-S01'!$AN$16:$AN$198,2*(ROWS($R$4:R5)-1)+1)),INDEX('M03-S01'!$AN$16:$AN$198,2*(ROWS($R$4:R5)-1)+1),0)</f>
        <v>0</v>
      </c>
      <c r="S5" s="459"/>
      <c r="T5" s="113"/>
      <c r="U5" s="140"/>
      <c r="V5" s="113"/>
      <c r="W5" s="96" t="str">
        <f>IFERROR(IF(NOT(ISNUMBER(INDEX('M03-S01'!$AN$16:$AN$198,2*(ROWS($R$4:R5)-1)+1))),INDEX('M03-S01'!$BC$16:$BC$198,2*(ROWS($R$4:R5)-1)+1),""),"")</f>
        <v/>
      </c>
      <c r="X5" s="184" t="str">
        <f>IFERROR(ROUND(IF(ISNUMBER(SEARCH("8ft",INDEX('M03-S01'!$K$16:$K$198,2*(ROWS($X$4:X5)-1)+1))),INDEX('M03-S01'!$I$16:$I$198,2*(ROWS($X$4:X5)-1)+1)/2,INDEX('M03-S01'!$I$16:$I$198,2*(ROWS($X$4:X5)-1)+1)),3),"")</f>
        <v/>
      </c>
      <c r="Y5" s="184" t="str">
        <f>IFERROR(ROUND(IF(ISNUMBER(SEARCH("8ft",INDEX('M03-S01'!$K$16:$K$198,2*(ROWS($Y$4:Y5)-1)+1))),INDEX('M03-S01'!$Q$16:$Q$198,2*(ROWS($Y$4:Y5)-1)+1)/2,INDEX('M03-S01'!$Q$16:$Q$198,2*(ROWS($Y$4:Y5)-1)+1)),3),"")</f>
        <v/>
      </c>
      <c r="Z5" s="111">
        <f>INDEX('M03-S01'!$B$16:$B$198,2*(ROWS($Z$4:Z5)-1)+1)</f>
        <v>2</v>
      </c>
      <c r="AA5" s="111">
        <f>IF(ISNUMBER(SEARCH("8ft",INDEX('M03-S01'!$C$16:$C$199,2*(ROWS($Z$4:AA5)-1)+1))),SUBSTITUTE(INDEX('M03-S01'!$C$16:$C$199,2*(ROWS($Z$4:AA5)-1)+1),"8ft","4ft"),INDEX('M03-S01'!$C$16:$C$199,2*(ROWS($Z$4:AA5)-1)+1))</f>
        <v>0</v>
      </c>
      <c r="AB5" s="111">
        <f>IF(ISNUMBER(SEARCH("8ft",INDEX('M03-S01'!$K$16:$K$199,2*(ROWS($Z$4:AB5)-1)+1))),SUBSTITUTE(INDEX('M03-S01'!$K$16:$K$199,2*(ROWS($Z$4:AB5)-1)+1),"8ft","4ft"),INDEX('M03-S01'!$K$16:$K$199,2*(ROWS($Z$4:AB5)-1)+1))</f>
        <v>0</v>
      </c>
      <c r="AC5" s="96"/>
      <c r="AD5">
        <f>INDEX('M03-S01'!$U$16:$U$198,2*(ROWS($AD$4:AD5)-1)+1)</f>
        <v>0</v>
      </c>
      <c r="AE5" s="459"/>
      <c r="AF5" s="459"/>
      <c r="AG5" s="111" t="str">
        <f>INDEX('M03-S01'!$AW$16:$AW$198,2*(ROWS($AG$4:AG5)-1)+1)</f>
        <v/>
      </c>
      <c r="AH5" s="111" t="str">
        <f>INDEX('M03-S01'!$AX$16:$AX$198,2*(ROWS($AH$4:AH5)-1)+1)</f>
        <v/>
      </c>
      <c r="AI5" s="113"/>
      <c r="AJ5" s="113"/>
      <c r="AK5" s="113"/>
      <c r="AL5" s="113"/>
      <c r="AM5" s="113"/>
      <c r="AN5" s="113"/>
      <c r="AO5" s="52" t="str">
        <f>IFERROR(INDEX(PMELIGHT[Program Design],MATCH(AB5,PMELIGHT[Eff Desc 1])),"")</f>
        <v/>
      </c>
      <c r="AU5"/>
    </row>
    <row r="6" spans="1:115">
      <c r="A6" s="57">
        <f t="shared" si="0"/>
        <v>0</v>
      </c>
      <c r="B6" s="183" t="str">
        <f t="shared" si="1"/>
        <v/>
      </c>
      <c r="C6" t="str">
        <f>IFERROR(IF(R6&gt;0,INDEX(PMELIGHT[Measure '#],MATCH(AB6,PMELIGHT[Eff Desc 1],0)),""),"")</f>
        <v/>
      </c>
      <c r="D6" t="s">
        <v>947</v>
      </c>
      <c r="F6" s="185">
        <f>INDEX('M03-S01'!$AB$16:$AB$198,2*(ROWS($F$4:F6)-1)+1)</f>
        <v>0</v>
      </c>
      <c r="G6" s="186">
        <f>INDEX('M03-S01'!$Y$16:$Y$198,2*(ROWS($G$4:G6)-1)+1)</f>
        <v>0</v>
      </c>
      <c r="H6" s="186" t="str">
        <f>IF(ISNUMBER(INDEX('M03-S01'!$AN$16:$AN$198,2*(ROWS($R$4:R6)-1)+1)),"Total","")</f>
        <v/>
      </c>
      <c r="I6" s="184">
        <f>IFERROR(ROUND(INDEX('M03-S01'!$S$16:$S$198,2*(ROWS($I$4:I6)-1)+1)*INDEX('M03-S01'!$AE$16:$AE$198,2*(ROWS($I$4:I6)-1)+1),2),0)</f>
        <v>0</v>
      </c>
      <c r="J6" s="184">
        <f>IFERROR(ROUND(INDEX('M03-S01'!$S$16:$S$198,2*(ROWS($J$4:J6)-1)+1)*INDEX('M03-S01'!$AG$16:$AG$198,2*(ROWS($J$4:J6)-1)+1),2),0)</f>
        <v>0</v>
      </c>
      <c r="K6" s="52">
        <f>IFERROR(ROUND(INDEX('M03-S01'!$AU$16:$AU$198,2*(ROWS($K$4:K6)-1)+1),2),0)</f>
        <v>0</v>
      </c>
      <c r="L6" s="52" t="str">
        <f>IFERROR(IF(R6&gt;0,M6*INDEX(PMELIGHT[Incremental Cost],MATCH(AB6,PMELIGHT[Eff Desc 1],0)),""),"")</f>
        <v/>
      </c>
      <c r="M6" s="456">
        <f>IF(ISNUMBER(SEARCH("8ft",INDEX('M03-S01'!$K$16:$K$198,2*(ROWS($M$4:M6)-1)+1))),INDEX('M03-S01'!$S$16:$S$198,2*(ROWS($M$4:M6)-1)+1)*2,INDEX('M03-S01'!$S$16:$S$198,2*(ROWS($M$4:M6)-1)+1))</f>
        <v>0</v>
      </c>
      <c r="N6" s="184" t="str">
        <f>IF(ISNUMBER(INDEX('M03-S01'!$AN$16:$AN$198,2*(ROWS($R$4:R6)-1)+1)),INDEX('M03-S01'!$AK$16:$AK$198,2*(ROWS($N$4:N6)-1)+1),"")</f>
        <v/>
      </c>
      <c r="O6" s="456" t="str">
        <f>IFERROR(IF(ISNUMBER(INDEX('M03-S01'!$AN$16:$AN$198,2*(ROWS($R$4:R6)-1)+1)),INDEX('M03-S01'!$AV$16:$AV$198,2*(ROWS($O$4:O6)-1)+1),""),"")</f>
        <v/>
      </c>
      <c r="P6" s="459"/>
      <c r="Q6" s="184" t="str">
        <f>IFERROR(IF(ISNUMBER(INDEX('M03-S01'!$AN$16:$AN$198,2*(ROWS($R$4:R6)-1)+1)),INDEX('M03-S01'!$AY$16:$AY$198,2*(ROWS($Q$4:Q6)-1)+1),""),"")</f>
        <v/>
      </c>
      <c r="R6" s="184">
        <f>IF(ISNUMBER(INDEX('M03-S01'!$AN$16:$AN$198,2*(ROWS($R$4:R6)-1)+1)),INDEX('M03-S01'!$AN$16:$AN$198,2*(ROWS($R$4:R6)-1)+1),0)</f>
        <v>0</v>
      </c>
      <c r="S6" s="459"/>
      <c r="T6" s="113"/>
      <c r="U6" s="140"/>
      <c r="V6" s="113"/>
      <c r="W6" s="96" t="str">
        <f>IFERROR(IF(NOT(ISNUMBER(INDEX('M03-S01'!$AN$16:$AN$198,2*(ROWS($R$4:R6)-1)+1))),INDEX('M03-S01'!$BC$16:$BC$198,2*(ROWS($R$4:R6)-1)+1),""),"")</f>
        <v/>
      </c>
      <c r="X6" s="184" t="str">
        <f>IFERROR(ROUND(IF(ISNUMBER(SEARCH("8ft",INDEX('M03-S01'!$K$16:$K$198,2*(ROWS($X$4:X6)-1)+1))),INDEX('M03-S01'!$I$16:$I$198,2*(ROWS($X$4:X6)-1)+1)/2,INDEX('M03-S01'!$I$16:$I$198,2*(ROWS($X$4:X6)-1)+1)),3),"")</f>
        <v/>
      </c>
      <c r="Y6" s="184" t="str">
        <f>IFERROR(ROUND(IF(ISNUMBER(SEARCH("8ft",INDEX('M03-S01'!$K$16:$K$198,2*(ROWS($Y$4:Y6)-1)+1))),INDEX('M03-S01'!$Q$16:$Q$198,2*(ROWS($Y$4:Y6)-1)+1)/2,INDEX('M03-S01'!$Q$16:$Q$198,2*(ROWS($Y$4:Y6)-1)+1)),3),"")</f>
        <v/>
      </c>
      <c r="Z6" s="111">
        <f>INDEX('M03-S01'!$B$16:$B$198,2*(ROWS($Z$4:Z6)-1)+1)</f>
        <v>3</v>
      </c>
      <c r="AA6" s="111">
        <f>IF(ISNUMBER(SEARCH("8ft",INDEX('M03-S01'!$C$16:$C$199,2*(ROWS($Z$4:AA6)-1)+1))),SUBSTITUTE(INDEX('M03-S01'!$C$16:$C$199,2*(ROWS($Z$4:AA6)-1)+1),"8ft","4ft"),INDEX('M03-S01'!$C$16:$C$199,2*(ROWS($Z$4:AA6)-1)+1))</f>
        <v>0</v>
      </c>
      <c r="AB6" s="111">
        <f>IF(ISNUMBER(SEARCH("8ft",INDEX('M03-S01'!$K$16:$K$199,2*(ROWS($Z$4:AB6)-1)+1))),SUBSTITUTE(INDEX('M03-S01'!$K$16:$K$199,2*(ROWS($Z$4:AB6)-1)+1),"8ft","4ft"),INDEX('M03-S01'!$K$16:$K$199,2*(ROWS($Z$4:AB6)-1)+1))</f>
        <v>0</v>
      </c>
      <c r="AC6" s="96"/>
      <c r="AD6">
        <f>INDEX('M03-S01'!$U$16:$U$198,2*(ROWS($AD$4:AD6)-1)+1)</f>
        <v>0</v>
      </c>
      <c r="AE6" s="459"/>
      <c r="AF6" s="459"/>
      <c r="AG6" s="111" t="str">
        <f>INDEX('M03-S01'!$AW$16:$AW$198,2*(ROWS($AG$4:AG6)-1)+1)</f>
        <v/>
      </c>
      <c r="AH6" s="111" t="str">
        <f>INDEX('M03-S01'!$AX$16:$AX$198,2*(ROWS($AH$4:AH6)-1)+1)</f>
        <v/>
      </c>
      <c r="AI6" s="113"/>
      <c r="AJ6" s="113"/>
      <c r="AK6" s="113"/>
      <c r="AL6" s="113"/>
      <c r="AM6" s="113"/>
      <c r="AN6" s="113"/>
      <c r="AO6" s="52" t="str">
        <f>IFERROR(INDEX(PMELIGHT[Program Design],MATCH(AB6,PMELIGHT[Eff Desc 1])),"")</f>
        <v/>
      </c>
      <c r="AU6"/>
    </row>
    <row r="7" spans="1:115">
      <c r="A7" s="57">
        <f t="shared" si="0"/>
        <v>0</v>
      </c>
      <c r="B7" s="183" t="str">
        <f t="shared" si="1"/>
        <v/>
      </c>
      <c r="C7" t="str">
        <f>IFERROR(IF(R7&gt;0,INDEX(PMELIGHT[Measure '#],MATCH(AB7,PMELIGHT[Eff Desc 1],0)),""),"")</f>
        <v/>
      </c>
      <c r="D7" t="s">
        <v>947</v>
      </c>
      <c r="F7" s="185">
        <f>INDEX('M03-S01'!$AB$16:$AB$198,2*(ROWS($F$4:F7)-1)+1)</f>
        <v>0</v>
      </c>
      <c r="G7" s="186">
        <f>INDEX('M03-S01'!$Y$16:$Y$198,2*(ROWS($G$4:G7)-1)+1)</f>
        <v>0</v>
      </c>
      <c r="H7" s="186" t="str">
        <f>IF(ISNUMBER(INDEX('M03-S01'!$AN$16:$AN$198,2*(ROWS($R$4:R7)-1)+1)),"Total","")</f>
        <v/>
      </c>
      <c r="I7" s="184">
        <f>IFERROR(ROUND(INDEX('M03-S01'!$S$16:$S$198,2*(ROWS($I$4:I7)-1)+1)*INDEX('M03-S01'!$AE$16:$AE$198,2*(ROWS($I$4:I7)-1)+1),2),0)</f>
        <v>0</v>
      </c>
      <c r="J7" s="184">
        <f>IFERROR(ROUND(INDEX('M03-S01'!$S$16:$S$198,2*(ROWS($J$4:J7)-1)+1)*INDEX('M03-S01'!$AG$16:$AG$198,2*(ROWS($J$4:J7)-1)+1),2),0)</f>
        <v>0</v>
      </c>
      <c r="K7" s="52">
        <f>IFERROR(ROUND(INDEX('M03-S01'!$AU$16:$AU$198,2*(ROWS($K$4:K7)-1)+1),2),0)</f>
        <v>0</v>
      </c>
      <c r="L7" s="52" t="str">
        <f>IFERROR(IF(R7&gt;0,M7*INDEX(PMELIGHT[Incremental Cost],MATCH(AB7,PMELIGHT[Eff Desc 1],0)),""),"")</f>
        <v/>
      </c>
      <c r="M7" s="456">
        <f>IF(ISNUMBER(SEARCH("8ft",INDEX('M03-S01'!$K$16:$K$198,2*(ROWS($M$4:M7)-1)+1))),INDEX('M03-S01'!$S$16:$S$198,2*(ROWS($M$4:M7)-1)+1)*2,INDEX('M03-S01'!$S$16:$S$198,2*(ROWS($M$4:M7)-1)+1))</f>
        <v>0</v>
      </c>
      <c r="N7" s="184" t="str">
        <f>IF(ISNUMBER(INDEX('M03-S01'!$AN$16:$AN$198,2*(ROWS($R$4:R7)-1)+1)),INDEX('M03-S01'!$AK$16:$AK$198,2*(ROWS($N$4:N7)-1)+1),"")</f>
        <v/>
      </c>
      <c r="O7" s="456" t="str">
        <f>IFERROR(IF(ISNUMBER(INDEX('M03-S01'!$AN$16:$AN$198,2*(ROWS($R$4:R7)-1)+1)),INDEX('M03-S01'!$AV$16:$AV$198,2*(ROWS($O$4:O7)-1)+1),""),"")</f>
        <v/>
      </c>
      <c r="P7" s="459"/>
      <c r="Q7" s="184" t="str">
        <f>IFERROR(IF(ISNUMBER(INDEX('M03-S01'!$AN$16:$AN$198,2*(ROWS($R$4:R7)-1)+1)),INDEX('M03-S01'!$AY$16:$AY$198,2*(ROWS($Q$4:Q7)-1)+1),""),"")</f>
        <v/>
      </c>
      <c r="R7" s="184">
        <f>IF(ISNUMBER(INDEX('M03-S01'!$AN$16:$AN$198,2*(ROWS($R$4:R7)-1)+1)),INDEX('M03-S01'!$AN$16:$AN$198,2*(ROWS($R$4:R7)-1)+1),0)</f>
        <v>0</v>
      </c>
      <c r="S7" s="459"/>
      <c r="T7" s="113"/>
      <c r="U7" s="140"/>
      <c r="V7" s="113"/>
      <c r="W7" s="96" t="str">
        <f>IFERROR(IF(NOT(ISNUMBER(INDEX('M03-S01'!$AN$16:$AN$198,2*(ROWS($R$4:R7)-1)+1))),INDEX('M03-S01'!$BC$16:$BC$198,2*(ROWS($R$4:R7)-1)+1),""),"")</f>
        <v/>
      </c>
      <c r="X7" s="184" t="str">
        <f>IFERROR(ROUND(IF(ISNUMBER(SEARCH("8ft",INDEX('M03-S01'!$K$16:$K$198,2*(ROWS($X$4:X7)-1)+1))),INDEX('M03-S01'!$I$16:$I$198,2*(ROWS($X$4:X7)-1)+1)/2,INDEX('M03-S01'!$I$16:$I$198,2*(ROWS($X$4:X7)-1)+1)),3),"")</f>
        <v/>
      </c>
      <c r="Y7" s="184" t="str">
        <f>IFERROR(ROUND(IF(ISNUMBER(SEARCH("8ft",INDEX('M03-S01'!$K$16:$K$198,2*(ROWS($Y$4:Y7)-1)+1))),INDEX('M03-S01'!$Q$16:$Q$198,2*(ROWS($Y$4:Y7)-1)+1)/2,INDEX('M03-S01'!$Q$16:$Q$198,2*(ROWS($Y$4:Y7)-1)+1)),3),"")</f>
        <v/>
      </c>
      <c r="Z7" s="111">
        <f>INDEX('M03-S01'!$B$16:$B$198,2*(ROWS($Z$4:Z7)-1)+1)</f>
        <v>4</v>
      </c>
      <c r="AA7" s="111">
        <f>IF(ISNUMBER(SEARCH("8ft",INDEX('M03-S01'!$C$16:$C$199,2*(ROWS($Z$4:AA7)-1)+1))),SUBSTITUTE(INDEX('M03-S01'!$C$16:$C$199,2*(ROWS($Z$4:AA7)-1)+1),"8ft","4ft"),INDEX('M03-S01'!$C$16:$C$199,2*(ROWS($Z$4:AA7)-1)+1))</f>
        <v>0</v>
      </c>
      <c r="AB7" s="111">
        <f>IF(ISNUMBER(SEARCH("8ft",INDEX('M03-S01'!$K$16:$K$199,2*(ROWS($Z$4:AB7)-1)+1))),SUBSTITUTE(INDEX('M03-S01'!$K$16:$K$199,2*(ROWS($Z$4:AB7)-1)+1),"8ft","4ft"),INDEX('M03-S01'!$K$16:$K$199,2*(ROWS($Z$4:AB7)-1)+1))</f>
        <v>0</v>
      </c>
      <c r="AC7" s="96"/>
      <c r="AD7">
        <f>INDEX('M03-S01'!$U$16:$U$198,2*(ROWS($AD$4:AD7)-1)+1)</f>
        <v>0</v>
      </c>
      <c r="AE7" s="459"/>
      <c r="AF7" s="459"/>
      <c r="AG7" s="111" t="str">
        <f>INDEX('M03-S01'!$AW$16:$AW$198,2*(ROWS($AG$4:AG7)-1)+1)</f>
        <v/>
      </c>
      <c r="AH7" s="111" t="str">
        <f>INDEX('M03-S01'!$AX$16:$AX$198,2*(ROWS($AH$4:AH7)-1)+1)</f>
        <v/>
      </c>
      <c r="AI7" s="113"/>
      <c r="AJ7" s="113"/>
      <c r="AK7" s="113"/>
      <c r="AL7" s="113"/>
      <c r="AM7" s="113"/>
      <c r="AN7" s="113"/>
      <c r="AO7" s="52" t="str">
        <f>IFERROR(INDEX(PMELIGHT[Program Design],MATCH(AB7,PMELIGHT[Eff Desc 1])),"")</f>
        <v/>
      </c>
      <c r="AU7"/>
    </row>
    <row r="8" spans="1:115">
      <c r="A8" s="57">
        <f t="shared" si="0"/>
        <v>0</v>
      </c>
      <c r="B8" s="183" t="str">
        <f t="shared" si="1"/>
        <v/>
      </c>
      <c r="C8" t="str">
        <f>IFERROR(IF(R8&gt;0,INDEX(PMELIGHT[Measure '#],MATCH(AB8,PMELIGHT[Eff Desc 1],0)),""),"")</f>
        <v/>
      </c>
      <c r="D8" t="s">
        <v>947</v>
      </c>
      <c r="F8" s="185">
        <f>INDEX('M03-S01'!$AB$16:$AB$198,2*(ROWS($F$4:F8)-1)+1)</f>
        <v>0</v>
      </c>
      <c r="G8" s="186">
        <f>INDEX('M03-S01'!$Y$16:$Y$198,2*(ROWS($G$4:G8)-1)+1)</f>
        <v>0</v>
      </c>
      <c r="H8" s="186" t="str">
        <f>IF(ISNUMBER(INDEX('M03-S01'!$AN$16:$AN$198,2*(ROWS($R$4:R8)-1)+1)),"Total","")</f>
        <v/>
      </c>
      <c r="I8" s="184">
        <f>IFERROR(ROUND(INDEX('M03-S01'!$S$16:$S$198,2*(ROWS($I$4:I8)-1)+1)*INDEX('M03-S01'!$AE$16:$AE$198,2*(ROWS($I$4:I8)-1)+1),2),0)</f>
        <v>0</v>
      </c>
      <c r="J8" s="184">
        <f>IFERROR(ROUND(INDEX('M03-S01'!$S$16:$S$198,2*(ROWS($J$4:J8)-1)+1)*INDEX('M03-S01'!$AG$16:$AG$198,2*(ROWS($J$4:J8)-1)+1),2),0)</f>
        <v>0</v>
      </c>
      <c r="K8" s="52">
        <f>IFERROR(ROUND(INDEX('M03-S01'!$AU$16:$AU$198,2*(ROWS($K$4:K8)-1)+1),2),0)</f>
        <v>0</v>
      </c>
      <c r="L8" s="52" t="str">
        <f>IFERROR(IF(R8&gt;0,M8*INDEX(PMELIGHT[Incremental Cost],MATCH(AB8,PMELIGHT[Eff Desc 1],0)),""),"")</f>
        <v/>
      </c>
      <c r="M8" s="456">
        <f>IF(ISNUMBER(SEARCH("8ft",INDEX('M03-S01'!$K$16:$K$198,2*(ROWS($M$4:M8)-1)+1))),INDEX('M03-S01'!$S$16:$S$198,2*(ROWS($M$4:M8)-1)+1)*2,INDEX('M03-S01'!$S$16:$S$198,2*(ROWS($M$4:M8)-1)+1))</f>
        <v>0</v>
      </c>
      <c r="N8" s="184" t="str">
        <f>IF(ISNUMBER(INDEX('M03-S01'!$AN$16:$AN$198,2*(ROWS($R$4:R8)-1)+1)),INDEX('M03-S01'!$AK$16:$AK$198,2*(ROWS($N$4:N8)-1)+1),"")</f>
        <v/>
      </c>
      <c r="O8" s="456" t="str">
        <f>IFERROR(IF(ISNUMBER(INDEX('M03-S01'!$AN$16:$AN$198,2*(ROWS($R$4:R8)-1)+1)),INDEX('M03-S01'!$AV$16:$AV$198,2*(ROWS($O$4:O8)-1)+1),""),"")</f>
        <v/>
      </c>
      <c r="P8" s="459"/>
      <c r="Q8" s="184" t="str">
        <f>IFERROR(IF(ISNUMBER(INDEX('M03-S01'!$AN$16:$AN$198,2*(ROWS($R$4:R8)-1)+1)),INDEX('M03-S01'!$AY$16:$AY$198,2*(ROWS($Q$4:Q8)-1)+1),""),"")</f>
        <v/>
      </c>
      <c r="R8" s="184">
        <f>IF(ISNUMBER(INDEX('M03-S01'!$AN$16:$AN$198,2*(ROWS($R$4:R8)-1)+1)),INDEX('M03-S01'!$AN$16:$AN$198,2*(ROWS($R$4:R8)-1)+1),0)</f>
        <v>0</v>
      </c>
      <c r="S8" s="459"/>
      <c r="T8" s="113"/>
      <c r="U8" s="140"/>
      <c r="V8" s="113"/>
      <c r="W8" s="96" t="str">
        <f>IFERROR(IF(NOT(ISNUMBER(INDEX('M03-S01'!$AN$16:$AN$198,2*(ROWS($R$4:R8)-1)+1))),INDEX('M03-S01'!$BC$16:$BC$198,2*(ROWS($R$4:R8)-1)+1),""),"")</f>
        <v/>
      </c>
      <c r="X8" s="184" t="str">
        <f>IFERROR(ROUND(IF(ISNUMBER(SEARCH("8ft",INDEX('M03-S01'!$K$16:$K$198,2*(ROWS($X$4:X8)-1)+1))),INDEX('M03-S01'!$I$16:$I$198,2*(ROWS($X$4:X8)-1)+1)/2,INDEX('M03-S01'!$I$16:$I$198,2*(ROWS($X$4:X8)-1)+1)),3),"")</f>
        <v/>
      </c>
      <c r="Y8" s="184" t="str">
        <f>IFERROR(ROUND(IF(ISNUMBER(SEARCH("8ft",INDEX('M03-S01'!$K$16:$K$198,2*(ROWS($Y$4:Y8)-1)+1))),INDEX('M03-S01'!$Q$16:$Q$198,2*(ROWS($Y$4:Y8)-1)+1)/2,INDEX('M03-S01'!$Q$16:$Q$198,2*(ROWS($Y$4:Y8)-1)+1)),3),"")</f>
        <v/>
      </c>
      <c r="Z8" s="111">
        <f>INDEX('M03-S01'!$B$16:$B$198,2*(ROWS($Z$4:Z8)-1)+1)</f>
        <v>5</v>
      </c>
      <c r="AA8" s="111">
        <f>IF(ISNUMBER(SEARCH("8ft",INDEX('M03-S01'!$C$16:$C$199,2*(ROWS($Z$4:AA8)-1)+1))),SUBSTITUTE(INDEX('M03-S01'!$C$16:$C$199,2*(ROWS($Z$4:AA8)-1)+1),"8ft","4ft"),INDEX('M03-S01'!$C$16:$C$199,2*(ROWS($Z$4:AA8)-1)+1))</f>
        <v>0</v>
      </c>
      <c r="AB8" s="111">
        <f>IF(ISNUMBER(SEARCH("8ft",INDEX('M03-S01'!$K$16:$K$199,2*(ROWS($Z$4:AB8)-1)+1))),SUBSTITUTE(INDEX('M03-S01'!$K$16:$K$199,2*(ROWS($Z$4:AB8)-1)+1),"8ft","4ft"),INDEX('M03-S01'!$K$16:$K$199,2*(ROWS($Z$4:AB8)-1)+1))</f>
        <v>0</v>
      </c>
      <c r="AC8" s="96"/>
      <c r="AD8">
        <f>INDEX('M03-S01'!$U$16:$U$198,2*(ROWS($AD$4:AD8)-1)+1)</f>
        <v>0</v>
      </c>
      <c r="AE8" s="459"/>
      <c r="AF8" s="459"/>
      <c r="AG8" s="111" t="str">
        <f>INDEX('M03-S01'!$AW$16:$AW$198,2*(ROWS($AG$4:AG8)-1)+1)</f>
        <v/>
      </c>
      <c r="AH8" s="111" t="str">
        <f>INDEX('M03-S01'!$AX$16:$AX$198,2*(ROWS($AH$4:AH8)-1)+1)</f>
        <v/>
      </c>
      <c r="AI8" s="113"/>
      <c r="AJ8" s="113"/>
      <c r="AK8" s="113"/>
      <c r="AL8" s="113"/>
      <c r="AM8" s="113"/>
      <c r="AN8" s="113"/>
      <c r="AO8" s="52" t="str">
        <f>IFERROR(INDEX(PMELIGHT[Program Design],MATCH(AB8,PMELIGHT[Eff Desc 1])),"")</f>
        <v/>
      </c>
      <c r="AU8"/>
    </row>
    <row r="9" spans="1:115">
      <c r="A9" s="57">
        <f t="shared" si="0"/>
        <v>0</v>
      </c>
      <c r="B9" s="183" t="str">
        <f t="shared" si="1"/>
        <v/>
      </c>
      <c r="C9" t="str">
        <f>IFERROR(IF(R9&gt;0,INDEX(PMELIGHT[Measure '#],MATCH(AB9,PMELIGHT[Eff Desc 1],0)),""),"")</f>
        <v/>
      </c>
      <c r="D9" t="s">
        <v>947</v>
      </c>
      <c r="F9" s="185">
        <f>INDEX('M03-S01'!$AB$16:$AB$198,2*(ROWS($F$4:F9)-1)+1)</f>
        <v>0</v>
      </c>
      <c r="G9" s="186">
        <f>INDEX('M03-S01'!$Y$16:$Y$198,2*(ROWS($G$4:G9)-1)+1)</f>
        <v>0</v>
      </c>
      <c r="H9" s="186" t="str">
        <f>IF(ISNUMBER(INDEX('M03-S01'!$AN$16:$AN$198,2*(ROWS($R$4:R9)-1)+1)),"Total","")</f>
        <v/>
      </c>
      <c r="I9" s="184">
        <f>IFERROR(ROUND(INDEX('M03-S01'!$S$16:$S$198,2*(ROWS($I$4:I9)-1)+1)*INDEX('M03-S01'!$AE$16:$AE$198,2*(ROWS($I$4:I9)-1)+1),2),0)</f>
        <v>0</v>
      </c>
      <c r="J9" s="184">
        <f>IFERROR(ROUND(INDEX('M03-S01'!$S$16:$S$198,2*(ROWS($J$4:J9)-1)+1)*INDEX('M03-S01'!$AG$16:$AG$198,2*(ROWS($J$4:J9)-1)+1),2),0)</f>
        <v>0</v>
      </c>
      <c r="K9" s="52">
        <f>IFERROR(ROUND(INDEX('M03-S01'!$AU$16:$AU$198,2*(ROWS($K$4:K9)-1)+1),2),0)</f>
        <v>0</v>
      </c>
      <c r="L9" s="52" t="str">
        <f>IFERROR(IF(R9&gt;0,M9*INDEX(PMELIGHT[Incremental Cost],MATCH(AB9,PMELIGHT[Eff Desc 1],0)),""),"")</f>
        <v/>
      </c>
      <c r="M9" s="456">
        <f>IF(ISNUMBER(SEARCH("8ft",INDEX('M03-S01'!$K$16:$K$198,2*(ROWS($M$4:M9)-1)+1))),INDEX('M03-S01'!$S$16:$S$198,2*(ROWS($M$4:M9)-1)+1)*2,INDEX('M03-S01'!$S$16:$S$198,2*(ROWS($M$4:M9)-1)+1))</f>
        <v>0</v>
      </c>
      <c r="N9" s="184" t="str">
        <f>IF(ISNUMBER(INDEX('M03-S01'!$AN$16:$AN$198,2*(ROWS($R$4:R9)-1)+1)),INDEX('M03-S01'!$AK$16:$AK$198,2*(ROWS($N$4:N9)-1)+1),"")</f>
        <v/>
      </c>
      <c r="O9" s="456" t="str">
        <f>IFERROR(IF(ISNUMBER(INDEX('M03-S01'!$AN$16:$AN$198,2*(ROWS($R$4:R9)-1)+1)),INDEX('M03-S01'!$AV$16:$AV$198,2*(ROWS($O$4:O9)-1)+1),""),"")</f>
        <v/>
      </c>
      <c r="P9" s="459"/>
      <c r="Q9" s="184" t="str">
        <f>IFERROR(IF(ISNUMBER(INDEX('M03-S01'!$AN$16:$AN$198,2*(ROWS($R$4:R9)-1)+1)),INDEX('M03-S01'!$AY$16:$AY$198,2*(ROWS($Q$4:Q9)-1)+1),""),"")</f>
        <v/>
      </c>
      <c r="R9" s="184">
        <f>IF(ISNUMBER(INDEX('M03-S01'!$AN$16:$AN$198,2*(ROWS($R$4:R9)-1)+1)),INDEX('M03-S01'!$AN$16:$AN$198,2*(ROWS($R$4:R9)-1)+1),0)</f>
        <v>0</v>
      </c>
      <c r="S9" s="459"/>
      <c r="T9" s="113"/>
      <c r="U9" s="140"/>
      <c r="V9" s="113"/>
      <c r="W9" s="96" t="str">
        <f>IFERROR(IF(NOT(ISNUMBER(INDEX('M03-S01'!$AN$16:$AN$198,2*(ROWS($R$4:R9)-1)+1))),INDEX('M03-S01'!$BC$16:$BC$198,2*(ROWS($R$4:R9)-1)+1),""),"")</f>
        <v/>
      </c>
      <c r="X9" s="184" t="str">
        <f>IFERROR(ROUND(IF(ISNUMBER(SEARCH("8ft",INDEX('M03-S01'!$K$16:$K$198,2*(ROWS($X$4:X9)-1)+1))),INDEX('M03-S01'!$I$16:$I$198,2*(ROWS($X$4:X9)-1)+1)/2,INDEX('M03-S01'!$I$16:$I$198,2*(ROWS($X$4:X9)-1)+1)),3),"")</f>
        <v/>
      </c>
      <c r="Y9" s="184" t="str">
        <f>IFERROR(ROUND(IF(ISNUMBER(SEARCH("8ft",INDEX('M03-S01'!$K$16:$K$198,2*(ROWS($Y$4:Y9)-1)+1))),INDEX('M03-S01'!$Q$16:$Q$198,2*(ROWS($Y$4:Y9)-1)+1)/2,INDEX('M03-S01'!$Q$16:$Q$198,2*(ROWS($Y$4:Y9)-1)+1)),3),"")</f>
        <v/>
      </c>
      <c r="Z9" s="111">
        <f>INDEX('M03-S01'!$B$16:$B$198,2*(ROWS($Z$4:Z9)-1)+1)</f>
        <v>6</v>
      </c>
      <c r="AA9" s="111">
        <f>IF(ISNUMBER(SEARCH("8ft",INDEX('M03-S01'!$C$16:$C$199,2*(ROWS($Z$4:AA9)-1)+1))),SUBSTITUTE(INDEX('M03-S01'!$C$16:$C$199,2*(ROWS($Z$4:AA9)-1)+1),"8ft","4ft"),INDEX('M03-S01'!$C$16:$C$199,2*(ROWS($Z$4:AA9)-1)+1))</f>
        <v>0</v>
      </c>
      <c r="AB9" s="111">
        <f>IF(ISNUMBER(SEARCH("8ft",INDEX('M03-S01'!$K$16:$K$199,2*(ROWS($Z$4:AB9)-1)+1))),SUBSTITUTE(INDEX('M03-S01'!$K$16:$K$199,2*(ROWS($Z$4:AB9)-1)+1),"8ft","4ft"),INDEX('M03-S01'!$K$16:$K$199,2*(ROWS($Z$4:AB9)-1)+1))</f>
        <v>0</v>
      </c>
      <c r="AC9" s="96"/>
      <c r="AD9">
        <f>INDEX('M03-S01'!$U$16:$U$198,2*(ROWS($AD$4:AD9)-1)+1)</f>
        <v>0</v>
      </c>
      <c r="AE9" s="459"/>
      <c r="AF9" s="459"/>
      <c r="AG9" s="111" t="str">
        <f>INDEX('M03-S01'!$AW$16:$AW$198,2*(ROWS($AG$4:AG9)-1)+1)</f>
        <v/>
      </c>
      <c r="AH9" s="111" t="str">
        <f>INDEX('M03-S01'!$AX$16:$AX$198,2*(ROWS($AH$4:AH9)-1)+1)</f>
        <v/>
      </c>
      <c r="AI9" s="113"/>
      <c r="AJ9" s="113"/>
      <c r="AK9" s="113"/>
      <c r="AL9" s="113"/>
      <c r="AM9" s="113"/>
      <c r="AN9" s="113"/>
      <c r="AO9" s="52" t="str">
        <f>IFERROR(INDEX(PMELIGHT[Program Design],MATCH(AB9,PMELIGHT[Eff Desc 1])),"")</f>
        <v/>
      </c>
      <c r="AU9"/>
    </row>
    <row r="10" spans="1:115">
      <c r="A10" s="57">
        <f t="shared" si="0"/>
        <v>0</v>
      </c>
      <c r="B10" s="183" t="str">
        <f t="shared" si="1"/>
        <v/>
      </c>
      <c r="C10" t="str">
        <f>IFERROR(IF(R10&gt;0,INDEX(PMELIGHT[Measure '#],MATCH(AB10,PMELIGHT[Eff Desc 1],0)),""),"")</f>
        <v/>
      </c>
      <c r="D10" t="s">
        <v>947</v>
      </c>
      <c r="F10" s="185">
        <f>INDEX('M03-S01'!$AB$16:$AB$198,2*(ROWS($F$4:F10)-1)+1)</f>
        <v>0</v>
      </c>
      <c r="G10" s="186">
        <f>INDEX('M03-S01'!$Y$16:$Y$198,2*(ROWS($G$4:G10)-1)+1)</f>
        <v>0</v>
      </c>
      <c r="H10" s="186" t="str">
        <f>IF(ISNUMBER(INDEX('M03-S01'!$AN$16:$AN$198,2*(ROWS($R$4:R10)-1)+1)),"Total","")</f>
        <v/>
      </c>
      <c r="I10" s="184">
        <f>IFERROR(ROUND(INDEX('M03-S01'!$S$16:$S$198,2*(ROWS($I$4:I10)-1)+1)*INDEX('M03-S01'!$AE$16:$AE$198,2*(ROWS($I$4:I10)-1)+1),2),0)</f>
        <v>0</v>
      </c>
      <c r="J10" s="184">
        <f>IFERROR(ROUND(INDEX('M03-S01'!$S$16:$S$198,2*(ROWS($J$4:J10)-1)+1)*INDEX('M03-S01'!$AG$16:$AG$198,2*(ROWS($J$4:J10)-1)+1),2),0)</f>
        <v>0</v>
      </c>
      <c r="K10" s="52">
        <f>IFERROR(ROUND(INDEX('M03-S01'!$AU$16:$AU$198,2*(ROWS($K$4:K10)-1)+1),2),0)</f>
        <v>0</v>
      </c>
      <c r="L10" s="52" t="str">
        <f>IFERROR(IF(R10&gt;0,M10*INDEX(PMELIGHT[Incremental Cost],MATCH(AB10,PMELIGHT[Eff Desc 1],0)),""),"")</f>
        <v/>
      </c>
      <c r="M10" s="456">
        <f>IF(ISNUMBER(SEARCH("8ft",INDEX('M03-S01'!$K$16:$K$198,2*(ROWS($M$4:M10)-1)+1))),INDEX('M03-S01'!$S$16:$S$198,2*(ROWS($M$4:M10)-1)+1)*2,INDEX('M03-S01'!$S$16:$S$198,2*(ROWS($M$4:M10)-1)+1))</f>
        <v>0</v>
      </c>
      <c r="N10" s="184" t="str">
        <f>IF(ISNUMBER(INDEX('M03-S01'!$AN$16:$AN$198,2*(ROWS($R$4:R10)-1)+1)),INDEX('M03-S01'!$AK$16:$AK$198,2*(ROWS($N$4:N10)-1)+1),"")</f>
        <v/>
      </c>
      <c r="O10" s="456" t="str">
        <f>IFERROR(IF(ISNUMBER(INDEX('M03-S01'!$AN$16:$AN$198,2*(ROWS($R$4:R10)-1)+1)),INDEX('M03-S01'!$AV$16:$AV$198,2*(ROWS($O$4:O10)-1)+1),""),"")</f>
        <v/>
      </c>
      <c r="P10" s="459"/>
      <c r="Q10" s="184" t="str">
        <f>IFERROR(IF(ISNUMBER(INDEX('M03-S01'!$AN$16:$AN$198,2*(ROWS($R$4:R10)-1)+1)),INDEX('M03-S01'!$AY$16:$AY$198,2*(ROWS($Q$4:Q10)-1)+1),""),"")</f>
        <v/>
      </c>
      <c r="R10" s="184">
        <f>IF(ISNUMBER(INDEX('M03-S01'!$AN$16:$AN$198,2*(ROWS($R$4:R10)-1)+1)),INDEX('M03-S01'!$AN$16:$AN$198,2*(ROWS($R$4:R10)-1)+1),0)</f>
        <v>0</v>
      </c>
      <c r="S10" s="459"/>
      <c r="T10" s="113"/>
      <c r="U10" s="140"/>
      <c r="V10" s="113"/>
      <c r="W10" s="96" t="str">
        <f>IFERROR(IF(NOT(ISNUMBER(INDEX('M03-S01'!$AN$16:$AN$198,2*(ROWS($R$4:R10)-1)+1))),INDEX('M03-S01'!$BC$16:$BC$198,2*(ROWS($R$4:R10)-1)+1),""),"")</f>
        <v/>
      </c>
      <c r="X10" s="184" t="str">
        <f>IFERROR(ROUND(IF(ISNUMBER(SEARCH("8ft",INDEX('M03-S01'!$K$16:$K$198,2*(ROWS($X$4:X10)-1)+1))),INDEX('M03-S01'!$I$16:$I$198,2*(ROWS($X$4:X10)-1)+1)/2,INDEX('M03-S01'!$I$16:$I$198,2*(ROWS($X$4:X10)-1)+1)),3),"")</f>
        <v/>
      </c>
      <c r="Y10" s="184" t="str">
        <f>IFERROR(ROUND(IF(ISNUMBER(SEARCH("8ft",INDEX('M03-S01'!$K$16:$K$198,2*(ROWS($Y$4:Y10)-1)+1))),INDEX('M03-S01'!$Q$16:$Q$198,2*(ROWS($Y$4:Y10)-1)+1)/2,INDEX('M03-S01'!$Q$16:$Q$198,2*(ROWS($Y$4:Y10)-1)+1)),3),"")</f>
        <v/>
      </c>
      <c r="Z10" s="111">
        <f>INDEX('M03-S01'!$B$16:$B$198,2*(ROWS($Z$4:Z10)-1)+1)</f>
        <v>7</v>
      </c>
      <c r="AA10" s="111">
        <f>IF(ISNUMBER(SEARCH("8ft",INDEX('M03-S01'!$C$16:$C$199,2*(ROWS($Z$4:AA10)-1)+1))),SUBSTITUTE(INDEX('M03-S01'!$C$16:$C$199,2*(ROWS($Z$4:AA10)-1)+1),"8ft","4ft"),INDEX('M03-S01'!$C$16:$C$199,2*(ROWS($Z$4:AA10)-1)+1))</f>
        <v>0</v>
      </c>
      <c r="AB10" s="111">
        <f>IF(ISNUMBER(SEARCH("8ft",INDEX('M03-S01'!$K$16:$K$199,2*(ROWS($Z$4:AB10)-1)+1))),SUBSTITUTE(INDEX('M03-S01'!$K$16:$K$199,2*(ROWS($Z$4:AB10)-1)+1),"8ft","4ft"),INDEX('M03-S01'!$K$16:$K$199,2*(ROWS($Z$4:AB10)-1)+1))</f>
        <v>0</v>
      </c>
      <c r="AC10" s="96"/>
      <c r="AD10">
        <f>INDEX('M03-S01'!$U$16:$U$198,2*(ROWS($AD$4:AD10)-1)+1)</f>
        <v>0</v>
      </c>
      <c r="AE10" s="459"/>
      <c r="AF10" s="459"/>
      <c r="AG10" s="111" t="str">
        <f>INDEX('M03-S01'!$AW$16:$AW$198,2*(ROWS($AG$4:AG10)-1)+1)</f>
        <v/>
      </c>
      <c r="AH10" s="111" t="str">
        <f>INDEX('M03-S01'!$AX$16:$AX$198,2*(ROWS($AH$4:AH10)-1)+1)</f>
        <v/>
      </c>
      <c r="AI10" s="113"/>
      <c r="AJ10" s="113"/>
      <c r="AK10" s="113"/>
      <c r="AL10" s="113"/>
      <c r="AM10" s="113"/>
      <c r="AN10" s="113"/>
      <c r="AO10" s="52" t="str">
        <f>IFERROR(INDEX(PMELIGHT[Program Design],MATCH(AB10,PMELIGHT[Eff Desc 1])),"")</f>
        <v/>
      </c>
      <c r="AU10"/>
    </row>
    <row r="11" spans="1:115">
      <c r="A11" s="57">
        <f t="shared" si="0"/>
        <v>0</v>
      </c>
      <c r="B11" s="183" t="str">
        <f t="shared" si="1"/>
        <v/>
      </c>
      <c r="C11" t="str">
        <f>IFERROR(IF(R11&gt;0,INDEX(PMELIGHT[Measure '#],MATCH(AB11,PMELIGHT[Eff Desc 1],0)),""),"")</f>
        <v/>
      </c>
      <c r="D11" t="s">
        <v>947</v>
      </c>
      <c r="F11" s="185">
        <f>INDEX('M03-S01'!$AB$16:$AB$198,2*(ROWS($F$4:F11)-1)+1)</f>
        <v>0</v>
      </c>
      <c r="G11" s="186">
        <f>INDEX('M03-S01'!$Y$16:$Y$198,2*(ROWS($G$4:G11)-1)+1)</f>
        <v>0</v>
      </c>
      <c r="H11" s="186" t="str">
        <f>IF(ISNUMBER(INDEX('M03-S01'!$AN$16:$AN$198,2*(ROWS($R$4:R11)-1)+1)),"Total","")</f>
        <v/>
      </c>
      <c r="I11" s="184">
        <f>IFERROR(ROUND(INDEX('M03-S01'!$S$16:$S$198,2*(ROWS($I$4:I11)-1)+1)*INDEX('M03-S01'!$AE$16:$AE$198,2*(ROWS($I$4:I11)-1)+1),2),0)</f>
        <v>0</v>
      </c>
      <c r="J11" s="184">
        <f>IFERROR(ROUND(INDEX('M03-S01'!$S$16:$S$198,2*(ROWS($J$4:J11)-1)+1)*INDEX('M03-S01'!$AG$16:$AG$198,2*(ROWS($J$4:J11)-1)+1),2),0)</f>
        <v>0</v>
      </c>
      <c r="K11" s="52">
        <f>IFERROR(ROUND(INDEX('M03-S01'!$AU$16:$AU$198,2*(ROWS($K$4:K11)-1)+1),2),0)</f>
        <v>0</v>
      </c>
      <c r="L11" s="52" t="str">
        <f>IFERROR(IF(R11&gt;0,M11*INDEX(PMELIGHT[Incremental Cost],MATCH(AB11,PMELIGHT[Eff Desc 1],0)),""),"")</f>
        <v/>
      </c>
      <c r="M11" s="456">
        <f>IF(ISNUMBER(SEARCH("8ft",INDEX('M03-S01'!$K$16:$K$198,2*(ROWS($M$4:M11)-1)+1))),INDEX('M03-S01'!$S$16:$S$198,2*(ROWS($M$4:M11)-1)+1)*2,INDEX('M03-S01'!$S$16:$S$198,2*(ROWS($M$4:M11)-1)+1))</f>
        <v>0</v>
      </c>
      <c r="N11" s="184" t="str">
        <f>IF(ISNUMBER(INDEX('M03-S01'!$AN$16:$AN$198,2*(ROWS($R$4:R11)-1)+1)),INDEX('M03-S01'!$AK$16:$AK$198,2*(ROWS($N$4:N11)-1)+1),"")</f>
        <v/>
      </c>
      <c r="O11" s="456" t="str">
        <f>IFERROR(IF(ISNUMBER(INDEX('M03-S01'!$AN$16:$AN$198,2*(ROWS($R$4:R11)-1)+1)),INDEX('M03-S01'!$AV$16:$AV$198,2*(ROWS($O$4:O11)-1)+1),""),"")</f>
        <v/>
      </c>
      <c r="P11" s="459"/>
      <c r="Q11" s="184" t="str">
        <f>IFERROR(IF(ISNUMBER(INDEX('M03-S01'!$AN$16:$AN$198,2*(ROWS($R$4:R11)-1)+1)),INDEX('M03-S01'!$AY$16:$AY$198,2*(ROWS($Q$4:Q11)-1)+1),""),"")</f>
        <v/>
      </c>
      <c r="R11" s="184">
        <f>IF(ISNUMBER(INDEX('M03-S01'!$AN$16:$AN$198,2*(ROWS($R$4:R11)-1)+1)),INDEX('M03-S01'!$AN$16:$AN$198,2*(ROWS($R$4:R11)-1)+1),0)</f>
        <v>0</v>
      </c>
      <c r="S11" s="459"/>
      <c r="T11" s="113"/>
      <c r="U11" s="140"/>
      <c r="V11" s="113"/>
      <c r="W11" s="96" t="str">
        <f>IFERROR(IF(NOT(ISNUMBER(INDEX('M03-S01'!$AN$16:$AN$198,2*(ROWS($R$4:R11)-1)+1))),INDEX('M03-S01'!$BC$16:$BC$198,2*(ROWS($R$4:R11)-1)+1),""),"")</f>
        <v/>
      </c>
      <c r="X11" s="184" t="str">
        <f>IFERROR(ROUND(IF(ISNUMBER(SEARCH("8ft",INDEX('M03-S01'!$K$16:$K$198,2*(ROWS($X$4:X11)-1)+1))),INDEX('M03-S01'!$I$16:$I$198,2*(ROWS($X$4:X11)-1)+1)/2,INDEX('M03-S01'!$I$16:$I$198,2*(ROWS($X$4:X11)-1)+1)),3),"")</f>
        <v/>
      </c>
      <c r="Y11" s="184" t="str">
        <f>IFERROR(ROUND(IF(ISNUMBER(SEARCH("8ft",INDEX('M03-S01'!$K$16:$K$198,2*(ROWS($Y$4:Y11)-1)+1))),INDEX('M03-S01'!$Q$16:$Q$198,2*(ROWS($Y$4:Y11)-1)+1)/2,INDEX('M03-S01'!$Q$16:$Q$198,2*(ROWS($Y$4:Y11)-1)+1)),3),"")</f>
        <v/>
      </c>
      <c r="Z11" s="111">
        <f>INDEX('M03-S01'!$B$16:$B$198,2*(ROWS($Z$4:Z11)-1)+1)</f>
        <v>8</v>
      </c>
      <c r="AA11" s="111">
        <f>IF(ISNUMBER(SEARCH("8ft",INDEX('M03-S01'!$C$16:$C$199,2*(ROWS($Z$4:AA11)-1)+1))),SUBSTITUTE(INDEX('M03-S01'!$C$16:$C$199,2*(ROWS($Z$4:AA11)-1)+1),"8ft","4ft"),INDEX('M03-S01'!$C$16:$C$199,2*(ROWS($Z$4:AA11)-1)+1))</f>
        <v>0</v>
      </c>
      <c r="AB11" s="111">
        <f>IF(ISNUMBER(SEARCH("8ft",INDEX('M03-S01'!$K$16:$K$199,2*(ROWS($Z$4:AB11)-1)+1))),SUBSTITUTE(INDEX('M03-S01'!$K$16:$K$199,2*(ROWS($Z$4:AB11)-1)+1),"8ft","4ft"),INDEX('M03-S01'!$K$16:$K$199,2*(ROWS($Z$4:AB11)-1)+1))</f>
        <v>0</v>
      </c>
      <c r="AC11" s="96"/>
      <c r="AD11">
        <f>INDEX('M03-S01'!$U$16:$U$198,2*(ROWS($AD$4:AD11)-1)+1)</f>
        <v>0</v>
      </c>
      <c r="AE11" s="459"/>
      <c r="AF11" s="459"/>
      <c r="AG11" s="111" t="str">
        <f>INDEX('M03-S01'!$AW$16:$AW$198,2*(ROWS($AG$4:AG11)-1)+1)</f>
        <v/>
      </c>
      <c r="AH11" s="111" t="str">
        <f>INDEX('M03-S01'!$AX$16:$AX$198,2*(ROWS($AH$4:AH11)-1)+1)</f>
        <v/>
      </c>
      <c r="AI11" s="113"/>
      <c r="AJ11" s="113"/>
      <c r="AK11" s="113"/>
      <c r="AL11" s="113"/>
      <c r="AM11" s="113"/>
      <c r="AN11" s="113"/>
      <c r="AO11" s="52" t="str">
        <f>IFERROR(INDEX(PMELIGHT[Program Design],MATCH(AB11,PMELIGHT[Eff Desc 1])),"")</f>
        <v/>
      </c>
      <c r="AU11"/>
    </row>
    <row r="12" spans="1:115">
      <c r="A12" s="57">
        <f t="shared" si="0"/>
        <v>0</v>
      </c>
      <c r="B12" s="183" t="str">
        <f t="shared" si="1"/>
        <v/>
      </c>
      <c r="C12" t="str">
        <f>IFERROR(IF(R12&gt;0,INDEX(PMELIGHT[Measure '#],MATCH(AB12,PMELIGHT[Eff Desc 1],0)),""),"")</f>
        <v/>
      </c>
      <c r="D12" t="s">
        <v>947</v>
      </c>
      <c r="F12" s="185">
        <f>INDEX('M03-S01'!$AB$16:$AB$198,2*(ROWS($F$4:F12)-1)+1)</f>
        <v>0</v>
      </c>
      <c r="G12" s="186">
        <f>INDEX('M03-S01'!$Y$16:$Y$198,2*(ROWS($G$4:G12)-1)+1)</f>
        <v>0</v>
      </c>
      <c r="H12" s="186" t="str">
        <f>IF(ISNUMBER(INDEX('M03-S01'!$AN$16:$AN$198,2*(ROWS($R$4:R12)-1)+1)),"Total","")</f>
        <v/>
      </c>
      <c r="I12" s="184">
        <f>IFERROR(ROUND(INDEX('M03-S01'!$S$16:$S$198,2*(ROWS($I$4:I12)-1)+1)*INDEX('M03-S01'!$AE$16:$AE$198,2*(ROWS($I$4:I12)-1)+1),2),0)</f>
        <v>0</v>
      </c>
      <c r="J12" s="184">
        <f>IFERROR(ROUND(INDEX('M03-S01'!$S$16:$S$198,2*(ROWS($J$4:J12)-1)+1)*INDEX('M03-S01'!$AG$16:$AG$198,2*(ROWS($J$4:J12)-1)+1),2),0)</f>
        <v>0</v>
      </c>
      <c r="K12" s="52">
        <f>IFERROR(ROUND(INDEX('M03-S01'!$AU$16:$AU$198,2*(ROWS($K$4:K12)-1)+1),2),0)</f>
        <v>0</v>
      </c>
      <c r="L12" s="52" t="str">
        <f>IFERROR(IF(R12&gt;0,M12*INDEX(PMELIGHT[Incremental Cost],MATCH(AB12,PMELIGHT[Eff Desc 1],0)),""),"")</f>
        <v/>
      </c>
      <c r="M12" s="456">
        <f>IF(ISNUMBER(SEARCH("8ft",INDEX('M03-S01'!$K$16:$K$198,2*(ROWS($M$4:M12)-1)+1))),INDEX('M03-S01'!$S$16:$S$198,2*(ROWS($M$4:M12)-1)+1)*2,INDEX('M03-S01'!$S$16:$S$198,2*(ROWS($M$4:M12)-1)+1))</f>
        <v>0</v>
      </c>
      <c r="N12" s="184" t="str">
        <f>IF(ISNUMBER(INDEX('M03-S01'!$AN$16:$AN$198,2*(ROWS($R$4:R12)-1)+1)),INDEX('M03-S01'!$AK$16:$AK$198,2*(ROWS($N$4:N12)-1)+1),"")</f>
        <v/>
      </c>
      <c r="O12" s="456" t="str">
        <f>IFERROR(IF(ISNUMBER(INDEX('M03-S01'!$AN$16:$AN$198,2*(ROWS($R$4:R12)-1)+1)),INDEX('M03-S01'!$AV$16:$AV$198,2*(ROWS($O$4:O12)-1)+1),""),"")</f>
        <v/>
      </c>
      <c r="P12" s="459"/>
      <c r="Q12" s="184" t="str">
        <f>IFERROR(IF(ISNUMBER(INDEX('M03-S01'!$AN$16:$AN$198,2*(ROWS($R$4:R12)-1)+1)),INDEX('M03-S01'!$AY$16:$AY$198,2*(ROWS($Q$4:Q12)-1)+1),""),"")</f>
        <v/>
      </c>
      <c r="R12" s="184">
        <f>IF(ISNUMBER(INDEX('M03-S01'!$AN$16:$AN$198,2*(ROWS($R$4:R12)-1)+1)),INDEX('M03-S01'!$AN$16:$AN$198,2*(ROWS($R$4:R12)-1)+1),0)</f>
        <v>0</v>
      </c>
      <c r="S12" s="459"/>
      <c r="T12" s="113"/>
      <c r="U12" s="140"/>
      <c r="V12" s="113"/>
      <c r="W12" s="96" t="str">
        <f>IFERROR(IF(NOT(ISNUMBER(INDEX('M03-S01'!$AN$16:$AN$198,2*(ROWS($R$4:R12)-1)+1))),INDEX('M03-S01'!$BC$16:$BC$198,2*(ROWS($R$4:R12)-1)+1),""),"")</f>
        <v/>
      </c>
      <c r="X12" s="184" t="str">
        <f>IFERROR(ROUND(IF(ISNUMBER(SEARCH("8ft",INDEX('M03-S01'!$K$16:$K$198,2*(ROWS($X$4:X12)-1)+1))),INDEX('M03-S01'!$I$16:$I$198,2*(ROWS($X$4:X12)-1)+1)/2,INDEX('M03-S01'!$I$16:$I$198,2*(ROWS($X$4:X12)-1)+1)),3),"")</f>
        <v/>
      </c>
      <c r="Y12" s="184" t="str">
        <f>IFERROR(ROUND(IF(ISNUMBER(SEARCH("8ft",INDEX('M03-S01'!$K$16:$K$198,2*(ROWS($Y$4:Y12)-1)+1))),INDEX('M03-S01'!$Q$16:$Q$198,2*(ROWS($Y$4:Y12)-1)+1)/2,INDEX('M03-S01'!$Q$16:$Q$198,2*(ROWS($Y$4:Y12)-1)+1)),3),"")</f>
        <v/>
      </c>
      <c r="Z12" s="111">
        <f>INDEX('M03-S01'!$B$16:$B$198,2*(ROWS($Z$4:Z12)-1)+1)</f>
        <v>9</v>
      </c>
      <c r="AA12" s="111">
        <f>IF(ISNUMBER(SEARCH("8ft",INDEX('M03-S01'!$C$16:$C$199,2*(ROWS($Z$4:AA12)-1)+1))),SUBSTITUTE(INDEX('M03-S01'!$C$16:$C$199,2*(ROWS($Z$4:AA12)-1)+1),"8ft","4ft"),INDEX('M03-S01'!$C$16:$C$199,2*(ROWS($Z$4:AA12)-1)+1))</f>
        <v>0</v>
      </c>
      <c r="AB12" s="111">
        <f>IF(ISNUMBER(SEARCH("8ft",INDEX('M03-S01'!$K$16:$K$199,2*(ROWS($Z$4:AB12)-1)+1))),SUBSTITUTE(INDEX('M03-S01'!$K$16:$K$199,2*(ROWS($Z$4:AB12)-1)+1),"8ft","4ft"),INDEX('M03-S01'!$K$16:$K$199,2*(ROWS($Z$4:AB12)-1)+1))</f>
        <v>0</v>
      </c>
      <c r="AC12" s="96"/>
      <c r="AD12">
        <f>INDEX('M03-S01'!$U$16:$U$198,2*(ROWS($AD$4:AD12)-1)+1)</f>
        <v>0</v>
      </c>
      <c r="AE12" s="459"/>
      <c r="AF12" s="459"/>
      <c r="AG12" s="111" t="str">
        <f>INDEX('M03-S01'!$AW$16:$AW$198,2*(ROWS($AG$4:AG12)-1)+1)</f>
        <v/>
      </c>
      <c r="AH12" s="111" t="str">
        <f>INDEX('M03-S01'!$AX$16:$AX$198,2*(ROWS($AH$4:AH12)-1)+1)</f>
        <v/>
      </c>
      <c r="AI12" s="113"/>
      <c r="AJ12" s="113"/>
      <c r="AK12" s="113"/>
      <c r="AL12" s="113"/>
      <c r="AM12" s="113"/>
      <c r="AN12" s="113"/>
      <c r="AO12" s="52" t="str">
        <f>IFERROR(INDEX(PMELIGHT[Program Design],MATCH(AB12,PMELIGHT[Eff Desc 1])),"")</f>
        <v/>
      </c>
      <c r="AU12"/>
    </row>
    <row r="13" spans="1:115">
      <c r="A13" s="57">
        <f t="shared" si="0"/>
        <v>0</v>
      </c>
      <c r="B13" s="183" t="str">
        <f t="shared" si="1"/>
        <v/>
      </c>
      <c r="C13" t="str">
        <f>IFERROR(IF(R13&gt;0,INDEX(PMELIGHT[Measure '#],MATCH(AB13,PMELIGHT[Eff Desc 1],0)),""),"")</f>
        <v/>
      </c>
      <c r="D13" t="s">
        <v>947</v>
      </c>
      <c r="F13" s="185">
        <f>INDEX('M03-S01'!$AB$16:$AB$198,2*(ROWS($F$4:F13)-1)+1)</f>
        <v>0</v>
      </c>
      <c r="G13" s="186">
        <f>INDEX('M03-S01'!$Y$16:$Y$198,2*(ROWS($G$4:G13)-1)+1)</f>
        <v>0</v>
      </c>
      <c r="H13" s="186" t="str">
        <f>IF(ISNUMBER(INDEX('M03-S01'!$AN$16:$AN$198,2*(ROWS($R$4:R13)-1)+1)),"Total","")</f>
        <v/>
      </c>
      <c r="I13" s="184">
        <f>IFERROR(ROUND(INDEX('M03-S01'!$S$16:$S$198,2*(ROWS($I$4:I13)-1)+1)*INDEX('M03-S01'!$AE$16:$AE$198,2*(ROWS($I$4:I13)-1)+1),2),0)</f>
        <v>0</v>
      </c>
      <c r="J13" s="184">
        <f>IFERROR(ROUND(INDEX('M03-S01'!$S$16:$S$198,2*(ROWS($J$4:J13)-1)+1)*INDEX('M03-S01'!$AG$16:$AG$198,2*(ROWS($J$4:J13)-1)+1),2),0)</f>
        <v>0</v>
      </c>
      <c r="K13" s="52">
        <f>IFERROR(ROUND(INDEX('M03-S01'!$AU$16:$AU$198,2*(ROWS($K$4:K13)-1)+1),2),0)</f>
        <v>0</v>
      </c>
      <c r="L13" s="52" t="str">
        <f>IFERROR(IF(R13&gt;0,M13*INDEX(PMELIGHT[Incremental Cost],MATCH(AB13,PMELIGHT[Eff Desc 1],0)),""),"")</f>
        <v/>
      </c>
      <c r="M13" s="456">
        <f>IF(ISNUMBER(SEARCH("8ft",INDEX('M03-S01'!$K$16:$K$198,2*(ROWS($M$4:M13)-1)+1))),INDEX('M03-S01'!$S$16:$S$198,2*(ROWS($M$4:M13)-1)+1)*2,INDEX('M03-S01'!$S$16:$S$198,2*(ROWS($M$4:M13)-1)+1))</f>
        <v>0</v>
      </c>
      <c r="N13" s="184" t="str">
        <f>IF(ISNUMBER(INDEX('M03-S01'!$AN$16:$AN$198,2*(ROWS($R$4:R13)-1)+1)),INDEX('M03-S01'!$AK$16:$AK$198,2*(ROWS($N$4:N13)-1)+1),"")</f>
        <v/>
      </c>
      <c r="O13" s="456" t="str">
        <f>IFERROR(IF(ISNUMBER(INDEX('M03-S01'!$AN$16:$AN$198,2*(ROWS($R$4:R13)-1)+1)),INDEX('M03-S01'!$AV$16:$AV$198,2*(ROWS($O$4:O13)-1)+1),""),"")</f>
        <v/>
      </c>
      <c r="P13" s="459"/>
      <c r="Q13" s="184" t="str">
        <f>IFERROR(IF(ISNUMBER(INDEX('M03-S01'!$AN$16:$AN$198,2*(ROWS($R$4:R13)-1)+1)),INDEX('M03-S01'!$AY$16:$AY$198,2*(ROWS($Q$4:Q13)-1)+1),""),"")</f>
        <v/>
      </c>
      <c r="R13" s="184">
        <f>IF(ISNUMBER(INDEX('M03-S01'!$AN$16:$AN$198,2*(ROWS($R$4:R13)-1)+1)),INDEX('M03-S01'!$AN$16:$AN$198,2*(ROWS($R$4:R13)-1)+1),0)</f>
        <v>0</v>
      </c>
      <c r="S13" s="459"/>
      <c r="T13" s="113"/>
      <c r="U13" s="140"/>
      <c r="V13" s="113"/>
      <c r="W13" s="96" t="str">
        <f>IFERROR(IF(NOT(ISNUMBER(INDEX('M03-S01'!$AN$16:$AN$198,2*(ROWS($R$4:R13)-1)+1))),INDEX('M03-S01'!$BC$16:$BC$198,2*(ROWS($R$4:R13)-1)+1),""),"")</f>
        <v/>
      </c>
      <c r="X13" s="184" t="str">
        <f>IFERROR(ROUND(IF(ISNUMBER(SEARCH("8ft",INDEX('M03-S01'!$K$16:$K$198,2*(ROWS($X$4:X13)-1)+1))),INDEX('M03-S01'!$I$16:$I$198,2*(ROWS($X$4:X13)-1)+1)/2,INDEX('M03-S01'!$I$16:$I$198,2*(ROWS($X$4:X13)-1)+1)),3),"")</f>
        <v/>
      </c>
      <c r="Y13" s="184" t="str">
        <f>IFERROR(ROUND(IF(ISNUMBER(SEARCH("8ft",INDEX('M03-S01'!$K$16:$K$198,2*(ROWS($Y$4:Y13)-1)+1))),INDEX('M03-S01'!$Q$16:$Q$198,2*(ROWS($Y$4:Y13)-1)+1)/2,INDEX('M03-S01'!$Q$16:$Q$198,2*(ROWS($Y$4:Y13)-1)+1)),3),"")</f>
        <v/>
      </c>
      <c r="Z13" s="111">
        <f>INDEX('M03-S01'!$B$16:$B$198,2*(ROWS($Z$4:Z13)-1)+1)</f>
        <v>10</v>
      </c>
      <c r="AA13" s="111">
        <f>IF(ISNUMBER(SEARCH("8ft",INDEX('M03-S01'!$C$16:$C$199,2*(ROWS($Z$4:AA13)-1)+1))),SUBSTITUTE(INDEX('M03-S01'!$C$16:$C$199,2*(ROWS($Z$4:AA13)-1)+1),"8ft","4ft"),INDEX('M03-S01'!$C$16:$C$199,2*(ROWS($Z$4:AA13)-1)+1))</f>
        <v>0</v>
      </c>
      <c r="AB13" s="111">
        <f>IF(ISNUMBER(SEARCH("8ft",INDEX('M03-S01'!$K$16:$K$199,2*(ROWS($Z$4:AB13)-1)+1))),SUBSTITUTE(INDEX('M03-S01'!$K$16:$K$199,2*(ROWS($Z$4:AB13)-1)+1),"8ft","4ft"),INDEX('M03-S01'!$K$16:$K$199,2*(ROWS($Z$4:AB13)-1)+1))</f>
        <v>0</v>
      </c>
      <c r="AC13" s="96"/>
      <c r="AD13">
        <f>INDEX('M03-S01'!$U$16:$U$198,2*(ROWS($AD$4:AD13)-1)+1)</f>
        <v>0</v>
      </c>
      <c r="AE13" s="459"/>
      <c r="AF13" s="459"/>
      <c r="AG13" s="111" t="str">
        <f>INDEX('M03-S01'!$AW$16:$AW$198,2*(ROWS($AG$4:AG13)-1)+1)</f>
        <v/>
      </c>
      <c r="AH13" s="111" t="str">
        <f>INDEX('M03-S01'!$AX$16:$AX$198,2*(ROWS($AH$4:AH13)-1)+1)</f>
        <v/>
      </c>
      <c r="AI13" s="113"/>
      <c r="AJ13" s="113"/>
      <c r="AK13" s="113"/>
      <c r="AL13" s="113"/>
      <c r="AM13" s="113"/>
      <c r="AN13" s="113"/>
      <c r="AO13" s="52" t="str">
        <f>IFERROR(INDEX(PMELIGHT[Program Design],MATCH(AB13,PMELIGHT[Eff Desc 1])),"")</f>
        <v/>
      </c>
      <c r="AU13"/>
    </row>
    <row r="14" spans="1:115">
      <c r="A14" s="57">
        <f t="shared" si="0"/>
        <v>0</v>
      </c>
      <c r="B14" s="183" t="str">
        <f t="shared" si="1"/>
        <v/>
      </c>
      <c r="C14" t="str">
        <f>IFERROR(IF(R14&gt;0,INDEX(PMELIGHT[Measure '#],MATCH(AB14,PMELIGHT[Eff Desc 1],0)),""),"")</f>
        <v/>
      </c>
      <c r="D14" t="s">
        <v>947</v>
      </c>
      <c r="F14" s="185">
        <f>INDEX('M03-S01'!$AB$16:$AB$198,2*(ROWS($F$4:F14)-1)+1)</f>
        <v>0</v>
      </c>
      <c r="G14" s="186">
        <f>INDEX('M03-S01'!$Y$16:$Y$198,2*(ROWS($G$4:G14)-1)+1)</f>
        <v>0</v>
      </c>
      <c r="H14" s="186" t="str">
        <f>IF(ISNUMBER(INDEX('M03-S01'!$AN$16:$AN$198,2*(ROWS($R$4:R14)-1)+1)),"Total","")</f>
        <v/>
      </c>
      <c r="I14" s="184">
        <f>IFERROR(ROUND(INDEX('M03-S01'!$S$16:$S$198,2*(ROWS($I$4:I14)-1)+1)*INDEX('M03-S01'!$AE$16:$AE$198,2*(ROWS($I$4:I14)-1)+1),2),0)</f>
        <v>0</v>
      </c>
      <c r="J14" s="184">
        <f>IFERROR(ROUND(INDEX('M03-S01'!$S$16:$S$198,2*(ROWS($J$4:J14)-1)+1)*INDEX('M03-S01'!$AG$16:$AG$198,2*(ROWS($J$4:J14)-1)+1),2),0)</f>
        <v>0</v>
      </c>
      <c r="K14" s="52">
        <f>IFERROR(ROUND(INDEX('M03-S01'!$AU$16:$AU$198,2*(ROWS($K$4:K14)-1)+1),2),0)</f>
        <v>0</v>
      </c>
      <c r="L14" s="52" t="str">
        <f>IFERROR(IF(R14&gt;0,M14*INDEX(PMELIGHT[Incremental Cost],MATCH(AB14,PMELIGHT[Eff Desc 1],0)),""),"")</f>
        <v/>
      </c>
      <c r="M14" s="456">
        <f>IF(ISNUMBER(SEARCH("8ft",INDEX('M03-S01'!$K$16:$K$198,2*(ROWS($M$4:M14)-1)+1))),INDEX('M03-S01'!$S$16:$S$198,2*(ROWS($M$4:M14)-1)+1)*2,INDEX('M03-S01'!$S$16:$S$198,2*(ROWS($M$4:M14)-1)+1))</f>
        <v>0</v>
      </c>
      <c r="N14" s="184" t="str">
        <f>IF(ISNUMBER(INDEX('M03-S01'!$AN$16:$AN$198,2*(ROWS($R$4:R14)-1)+1)),INDEX('M03-S01'!$AK$16:$AK$198,2*(ROWS($N$4:N14)-1)+1),"")</f>
        <v/>
      </c>
      <c r="O14" s="456" t="str">
        <f>IFERROR(IF(ISNUMBER(INDEX('M03-S01'!$AN$16:$AN$198,2*(ROWS($R$4:R14)-1)+1)),INDEX('M03-S01'!$AV$16:$AV$198,2*(ROWS($O$4:O14)-1)+1),""),"")</f>
        <v/>
      </c>
      <c r="P14" s="459"/>
      <c r="Q14" s="184" t="str">
        <f>IFERROR(IF(ISNUMBER(INDEX('M03-S01'!$AN$16:$AN$198,2*(ROWS($R$4:R14)-1)+1)),INDEX('M03-S01'!$AY$16:$AY$198,2*(ROWS($Q$4:Q14)-1)+1),""),"")</f>
        <v/>
      </c>
      <c r="R14" s="184">
        <f>IF(ISNUMBER(INDEX('M03-S01'!$AN$16:$AN$198,2*(ROWS($R$4:R14)-1)+1)),INDEX('M03-S01'!$AN$16:$AN$198,2*(ROWS($R$4:R14)-1)+1),0)</f>
        <v>0</v>
      </c>
      <c r="S14" s="459"/>
      <c r="T14" s="113"/>
      <c r="U14" s="140"/>
      <c r="V14" s="113"/>
      <c r="W14" s="96" t="str">
        <f>IFERROR(IF(NOT(ISNUMBER(INDEX('M03-S01'!$AN$16:$AN$198,2*(ROWS($R$4:R14)-1)+1))),INDEX('M03-S01'!$BC$16:$BC$198,2*(ROWS($R$4:R14)-1)+1),""),"")</f>
        <v/>
      </c>
      <c r="X14" s="184" t="str">
        <f>IFERROR(ROUND(IF(ISNUMBER(SEARCH("8ft",INDEX('M03-S01'!$K$16:$K$198,2*(ROWS($X$4:X14)-1)+1))),INDEX('M03-S01'!$I$16:$I$198,2*(ROWS($X$4:X14)-1)+1)/2,INDEX('M03-S01'!$I$16:$I$198,2*(ROWS($X$4:X14)-1)+1)),3),"")</f>
        <v/>
      </c>
      <c r="Y14" s="184" t="str">
        <f>IFERROR(ROUND(IF(ISNUMBER(SEARCH("8ft",INDEX('M03-S01'!$K$16:$K$198,2*(ROWS($Y$4:Y14)-1)+1))),INDEX('M03-S01'!$Q$16:$Q$198,2*(ROWS($Y$4:Y14)-1)+1)/2,INDEX('M03-S01'!$Q$16:$Q$198,2*(ROWS($Y$4:Y14)-1)+1)),3),"")</f>
        <v/>
      </c>
      <c r="Z14" s="111">
        <f>INDEX('M03-S01'!$B$16:$B$198,2*(ROWS($Z$4:Z14)-1)+1)</f>
        <v>11</v>
      </c>
      <c r="AA14" s="111">
        <f>IF(ISNUMBER(SEARCH("8ft",INDEX('M03-S01'!$C$16:$C$199,2*(ROWS($Z$4:AA14)-1)+1))),SUBSTITUTE(INDEX('M03-S01'!$C$16:$C$199,2*(ROWS($Z$4:AA14)-1)+1),"8ft","4ft"),INDEX('M03-S01'!$C$16:$C$199,2*(ROWS($Z$4:AA14)-1)+1))</f>
        <v>0</v>
      </c>
      <c r="AB14" s="111">
        <f>IF(ISNUMBER(SEARCH("8ft",INDEX('M03-S01'!$K$16:$K$199,2*(ROWS($Z$4:AB14)-1)+1))),SUBSTITUTE(INDEX('M03-S01'!$K$16:$K$199,2*(ROWS($Z$4:AB14)-1)+1),"8ft","4ft"),INDEX('M03-S01'!$K$16:$K$199,2*(ROWS($Z$4:AB14)-1)+1))</f>
        <v>0</v>
      </c>
      <c r="AC14" s="96"/>
      <c r="AD14">
        <f>INDEX('M03-S01'!$U$16:$U$198,2*(ROWS($AD$4:AD14)-1)+1)</f>
        <v>0</v>
      </c>
      <c r="AE14" s="459"/>
      <c r="AF14" s="459"/>
      <c r="AG14" s="111" t="str">
        <f>INDEX('M03-S01'!$AW$16:$AW$198,2*(ROWS($AG$4:AG14)-1)+1)</f>
        <v/>
      </c>
      <c r="AH14" s="111" t="str">
        <f>INDEX('M03-S01'!$AX$16:$AX$198,2*(ROWS($AH$4:AH14)-1)+1)</f>
        <v/>
      </c>
      <c r="AI14" s="113"/>
      <c r="AJ14" s="113"/>
      <c r="AK14" s="113"/>
      <c r="AL14" s="113"/>
      <c r="AM14" s="113"/>
      <c r="AN14" s="113"/>
      <c r="AO14" s="52" t="str">
        <f>IFERROR(INDEX(PMELIGHT[Program Design],MATCH(AB14,PMELIGHT[Eff Desc 1])),"")</f>
        <v/>
      </c>
      <c r="AU14"/>
    </row>
    <row r="15" spans="1:115">
      <c r="A15" s="57">
        <f t="shared" si="0"/>
        <v>0</v>
      </c>
      <c r="B15" s="183" t="str">
        <f t="shared" si="1"/>
        <v/>
      </c>
      <c r="C15" t="str">
        <f>IFERROR(IF(R15&gt;0,INDEX(PMELIGHT[Measure '#],MATCH(AB15,PMELIGHT[Eff Desc 1],0)),""),"")</f>
        <v/>
      </c>
      <c r="D15" t="s">
        <v>947</v>
      </c>
      <c r="F15" s="185">
        <f>INDEX('M03-S01'!$AB$16:$AB$198,2*(ROWS($F$4:F15)-1)+1)</f>
        <v>0</v>
      </c>
      <c r="G15" s="186">
        <f>INDEX('M03-S01'!$Y$16:$Y$198,2*(ROWS($G$4:G15)-1)+1)</f>
        <v>0</v>
      </c>
      <c r="H15" s="186" t="str">
        <f>IF(ISNUMBER(INDEX('M03-S01'!$AN$16:$AN$198,2*(ROWS($R$4:R15)-1)+1)),"Total","")</f>
        <v/>
      </c>
      <c r="I15" s="184">
        <f>IFERROR(ROUND(INDEX('M03-S01'!$S$16:$S$198,2*(ROWS($I$4:I15)-1)+1)*INDEX('M03-S01'!$AE$16:$AE$198,2*(ROWS($I$4:I15)-1)+1),2),0)</f>
        <v>0</v>
      </c>
      <c r="J15" s="184">
        <f>IFERROR(ROUND(INDEX('M03-S01'!$S$16:$S$198,2*(ROWS($J$4:J15)-1)+1)*INDEX('M03-S01'!$AG$16:$AG$198,2*(ROWS($J$4:J15)-1)+1),2),0)</f>
        <v>0</v>
      </c>
      <c r="K15" s="52">
        <f>IFERROR(ROUND(INDEX('M03-S01'!$AU$16:$AU$198,2*(ROWS($K$4:K15)-1)+1),2),0)</f>
        <v>0</v>
      </c>
      <c r="L15" s="52" t="str">
        <f>IFERROR(IF(R15&gt;0,M15*INDEX(PMELIGHT[Incremental Cost],MATCH(AB15,PMELIGHT[Eff Desc 1],0)),""),"")</f>
        <v/>
      </c>
      <c r="M15" s="456">
        <f>IF(ISNUMBER(SEARCH("8ft",INDEX('M03-S01'!$K$16:$K$198,2*(ROWS($M$4:M15)-1)+1))),INDEX('M03-S01'!$S$16:$S$198,2*(ROWS($M$4:M15)-1)+1)*2,INDEX('M03-S01'!$S$16:$S$198,2*(ROWS($M$4:M15)-1)+1))</f>
        <v>0</v>
      </c>
      <c r="N15" s="184" t="str">
        <f>IF(ISNUMBER(INDEX('M03-S01'!$AN$16:$AN$198,2*(ROWS($R$4:R15)-1)+1)),INDEX('M03-S01'!$AK$16:$AK$198,2*(ROWS($N$4:N15)-1)+1),"")</f>
        <v/>
      </c>
      <c r="O15" s="456" t="str">
        <f>IFERROR(IF(ISNUMBER(INDEX('M03-S01'!$AN$16:$AN$198,2*(ROWS($R$4:R15)-1)+1)),INDEX('M03-S01'!$AV$16:$AV$198,2*(ROWS($O$4:O15)-1)+1),""),"")</f>
        <v/>
      </c>
      <c r="P15" s="459"/>
      <c r="Q15" s="184" t="str">
        <f>IFERROR(IF(ISNUMBER(INDEX('M03-S01'!$AN$16:$AN$198,2*(ROWS($R$4:R15)-1)+1)),INDEX('M03-S01'!$AY$16:$AY$198,2*(ROWS($Q$4:Q15)-1)+1),""),"")</f>
        <v/>
      </c>
      <c r="R15" s="184">
        <f>IF(ISNUMBER(INDEX('M03-S01'!$AN$16:$AN$198,2*(ROWS($R$4:R15)-1)+1)),INDEX('M03-S01'!$AN$16:$AN$198,2*(ROWS($R$4:R15)-1)+1),0)</f>
        <v>0</v>
      </c>
      <c r="S15" s="459"/>
      <c r="T15" s="113"/>
      <c r="U15" s="140"/>
      <c r="V15" s="113"/>
      <c r="W15" s="96" t="str">
        <f>IFERROR(IF(NOT(ISNUMBER(INDEX('M03-S01'!$AN$16:$AN$198,2*(ROWS($R$4:R15)-1)+1))),INDEX('M03-S01'!$BC$16:$BC$198,2*(ROWS($R$4:R15)-1)+1),""),"")</f>
        <v/>
      </c>
      <c r="X15" s="184" t="str">
        <f>IFERROR(ROUND(IF(ISNUMBER(SEARCH("8ft",INDEX('M03-S01'!$K$16:$K$198,2*(ROWS($X$4:X15)-1)+1))),INDEX('M03-S01'!$I$16:$I$198,2*(ROWS($X$4:X15)-1)+1)/2,INDEX('M03-S01'!$I$16:$I$198,2*(ROWS($X$4:X15)-1)+1)),3),"")</f>
        <v/>
      </c>
      <c r="Y15" s="184" t="str">
        <f>IFERROR(ROUND(IF(ISNUMBER(SEARCH("8ft",INDEX('M03-S01'!$K$16:$K$198,2*(ROWS($Y$4:Y15)-1)+1))),INDEX('M03-S01'!$Q$16:$Q$198,2*(ROWS($Y$4:Y15)-1)+1)/2,INDEX('M03-S01'!$Q$16:$Q$198,2*(ROWS($Y$4:Y15)-1)+1)),3),"")</f>
        <v/>
      </c>
      <c r="Z15" s="111">
        <f>INDEX('M03-S01'!$B$16:$B$198,2*(ROWS($Z$4:Z15)-1)+1)</f>
        <v>12</v>
      </c>
      <c r="AA15" s="111">
        <f>IF(ISNUMBER(SEARCH("8ft",INDEX('M03-S01'!$C$16:$C$199,2*(ROWS($Z$4:AA15)-1)+1))),SUBSTITUTE(INDEX('M03-S01'!$C$16:$C$199,2*(ROWS($Z$4:AA15)-1)+1),"8ft","4ft"),INDEX('M03-S01'!$C$16:$C$199,2*(ROWS($Z$4:AA15)-1)+1))</f>
        <v>0</v>
      </c>
      <c r="AB15" s="111">
        <f>IF(ISNUMBER(SEARCH("8ft",INDEX('M03-S01'!$K$16:$K$199,2*(ROWS($Z$4:AB15)-1)+1))),SUBSTITUTE(INDEX('M03-S01'!$K$16:$K$199,2*(ROWS($Z$4:AB15)-1)+1),"8ft","4ft"),INDEX('M03-S01'!$K$16:$K$199,2*(ROWS($Z$4:AB15)-1)+1))</f>
        <v>0</v>
      </c>
      <c r="AC15" s="96"/>
      <c r="AD15">
        <f>INDEX('M03-S01'!$U$16:$U$198,2*(ROWS($AD$4:AD15)-1)+1)</f>
        <v>0</v>
      </c>
      <c r="AE15" s="459"/>
      <c r="AF15" s="459"/>
      <c r="AG15" s="111" t="str">
        <f>INDEX('M03-S01'!$AW$16:$AW$198,2*(ROWS($AG$4:AG15)-1)+1)</f>
        <v/>
      </c>
      <c r="AH15" s="111" t="str">
        <f>INDEX('M03-S01'!$AX$16:$AX$198,2*(ROWS($AH$4:AH15)-1)+1)</f>
        <v/>
      </c>
      <c r="AI15" s="113"/>
      <c r="AJ15" s="113"/>
      <c r="AK15" s="113"/>
      <c r="AL15" s="113"/>
      <c r="AM15" s="113"/>
      <c r="AN15" s="113"/>
      <c r="AO15" s="52" t="str">
        <f>IFERROR(INDEX(PMELIGHT[Program Design],MATCH(AB15,PMELIGHT[Eff Desc 1])),"")</f>
        <v/>
      </c>
      <c r="AU15"/>
    </row>
    <row r="16" spans="1:115">
      <c r="A16" s="57">
        <f t="shared" si="0"/>
        <v>0</v>
      </c>
      <c r="B16" s="183" t="str">
        <f t="shared" si="1"/>
        <v/>
      </c>
      <c r="C16" t="str">
        <f>IFERROR(IF(R16&gt;0,INDEX(PMELIGHT[Measure '#],MATCH(AB16,PMELIGHT[Eff Desc 1],0)),""),"")</f>
        <v/>
      </c>
      <c r="D16" t="s">
        <v>947</v>
      </c>
      <c r="F16" s="185">
        <f>INDEX('M03-S01'!$AB$16:$AB$198,2*(ROWS($F$4:F16)-1)+1)</f>
        <v>0</v>
      </c>
      <c r="G16" s="186">
        <f>INDEX('M03-S01'!$Y$16:$Y$198,2*(ROWS($G$4:G16)-1)+1)</f>
        <v>0</v>
      </c>
      <c r="H16" s="186" t="str">
        <f>IF(ISNUMBER(INDEX('M03-S01'!$AN$16:$AN$198,2*(ROWS($R$4:R16)-1)+1)),"Total","")</f>
        <v/>
      </c>
      <c r="I16" s="184">
        <f>IFERROR(ROUND(INDEX('M03-S01'!$S$16:$S$198,2*(ROWS($I$4:I16)-1)+1)*INDEX('M03-S01'!$AE$16:$AE$198,2*(ROWS($I$4:I16)-1)+1),2),0)</f>
        <v>0</v>
      </c>
      <c r="J16" s="184">
        <f>IFERROR(ROUND(INDEX('M03-S01'!$S$16:$S$198,2*(ROWS($J$4:J16)-1)+1)*INDEX('M03-S01'!$AG$16:$AG$198,2*(ROWS($J$4:J16)-1)+1),2),0)</f>
        <v>0</v>
      </c>
      <c r="K16" s="52">
        <f>IFERROR(ROUND(INDEX('M03-S01'!$AU$16:$AU$198,2*(ROWS($K$4:K16)-1)+1),2),0)</f>
        <v>0</v>
      </c>
      <c r="L16" s="52" t="str">
        <f>IFERROR(IF(R16&gt;0,M16*INDEX(PMELIGHT[Incremental Cost],MATCH(AB16,PMELIGHT[Eff Desc 1],0)),""),"")</f>
        <v/>
      </c>
      <c r="M16" s="456">
        <f>IF(ISNUMBER(SEARCH("8ft",INDEX('M03-S01'!$K$16:$K$198,2*(ROWS($M$4:M16)-1)+1))),INDEX('M03-S01'!$S$16:$S$198,2*(ROWS($M$4:M16)-1)+1)*2,INDEX('M03-S01'!$S$16:$S$198,2*(ROWS($M$4:M16)-1)+1))</f>
        <v>0</v>
      </c>
      <c r="N16" s="184" t="str">
        <f>IF(ISNUMBER(INDEX('M03-S01'!$AN$16:$AN$198,2*(ROWS($R$4:R16)-1)+1)),INDEX('M03-S01'!$AK$16:$AK$198,2*(ROWS($N$4:N16)-1)+1),"")</f>
        <v/>
      </c>
      <c r="O16" s="456" t="str">
        <f>IFERROR(IF(ISNUMBER(INDEX('M03-S01'!$AN$16:$AN$198,2*(ROWS($R$4:R16)-1)+1)),INDEX('M03-S01'!$AV$16:$AV$198,2*(ROWS($O$4:O16)-1)+1),""),"")</f>
        <v/>
      </c>
      <c r="P16" s="459"/>
      <c r="Q16" s="184" t="str">
        <f>IFERROR(IF(ISNUMBER(INDEX('M03-S01'!$AN$16:$AN$198,2*(ROWS($R$4:R16)-1)+1)),INDEX('M03-S01'!$AY$16:$AY$198,2*(ROWS($Q$4:Q16)-1)+1),""),"")</f>
        <v/>
      </c>
      <c r="R16" s="184">
        <f>IF(ISNUMBER(INDEX('M03-S01'!$AN$16:$AN$198,2*(ROWS($R$4:R16)-1)+1)),INDEX('M03-S01'!$AN$16:$AN$198,2*(ROWS($R$4:R16)-1)+1),0)</f>
        <v>0</v>
      </c>
      <c r="S16" s="459"/>
      <c r="T16" s="113"/>
      <c r="U16" s="140"/>
      <c r="V16" s="113"/>
      <c r="W16" s="96" t="str">
        <f>IFERROR(IF(NOT(ISNUMBER(INDEX('M03-S01'!$AN$16:$AN$198,2*(ROWS($R$4:R16)-1)+1))),INDEX('M03-S01'!$BC$16:$BC$198,2*(ROWS($R$4:R16)-1)+1),""),"")</f>
        <v/>
      </c>
      <c r="X16" s="184" t="str">
        <f>IFERROR(ROUND(IF(ISNUMBER(SEARCH("8ft",INDEX('M03-S01'!$K$16:$K$198,2*(ROWS($X$4:X16)-1)+1))),INDEX('M03-S01'!$I$16:$I$198,2*(ROWS($X$4:X16)-1)+1)/2,INDEX('M03-S01'!$I$16:$I$198,2*(ROWS($X$4:X16)-1)+1)),3),"")</f>
        <v/>
      </c>
      <c r="Y16" s="184" t="str">
        <f>IFERROR(ROUND(IF(ISNUMBER(SEARCH("8ft",INDEX('M03-S01'!$K$16:$K$198,2*(ROWS($Y$4:Y16)-1)+1))),INDEX('M03-S01'!$Q$16:$Q$198,2*(ROWS($Y$4:Y16)-1)+1)/2,INDEX('M03-S01'!$Q$16:$Q$198,2*(ROWS($Y$4:Y16)-1)+1)),3),"")</f>
        <v/>
      </c>
      <c r="Z16" s="111">
        <f>INDEX('M03-S01'!$B$16:$B$198,2*(ROWS($Z$4:Z16)-1)+1)</f>
        <v>13</v>
      </c>
      <c r="AA16" s="111">
        <f>IF(ISNUMBER(SEARCH("8ft",INDEX('M03-S01'!$C$16:$C$199,2*(ROWS($Z$4:AA16)-1)+1))),SUBSTITUTE(INDEX('M03-S01'!$C$16:$C$199,2*(ROWS($Z$4:AA16)-1)+1),"8ft","4ft"),INDEX('M03-S01'!$C$16:$C$199,2*(ROWS($Z$4:AA16)-1)+1))</f>
        <v>0</v>
      </c>
      <c r="AB16" s="111">
        <f>IF(ISNUMBER(SEARCH("8ft",INDEX('M03-S01'!$K$16:$K$199,2*(ROWS($Z$4:AB16)-1)+1))),SUBSTITUTE(INDEX('M03-S01'!$K$16:$K$199,2*(ROWS($Z$4:AB16)-1)+1),"8ft","4ft"),INDEX('M03-S01'!$K$16:$K$199,2*(ROWS($Z$4:AB16)-1)+1))</f>
        <v>0</v>
      </c>
      <c r="AC16" s="96"/>
      <c r="AD16">
        <f>INDEX('M03-S01'!$U$16:$U$198,2*(ROWS($AD$4:AD16)-1)+1)</f>
        <v>0</v>
      </c>
      <c r="AE16" s="459"/>
      <c r="AF16" s="459"/>
      <c r="AG16" s="111" t="str">
        <f>INDEX('M03-S01'!$AW$16:$AW$198,2*(ROWS($AG$4:AG16)-1)+1)</f>
        <v/>
      </c>
      <c r="AH16" s="111" t="str">
        <f>INDEX('M03-S01'!$AX$16:$AX$198,2*(ROWS($AH$4:AH16)-1)+1)</f>
        <v/>
      </c>
      <c r="AI16" s="113"/>
      <c r="AJ16" s="113"/>
      <c r="AK16" s="113"/>
      <c r="AL16" s="113"/>
      <c r="AM16" s="113"/>
      <c r="AN16" s="113"/>
      <c r="AO16" s="52" t="str">
        <f>IFERROR(INDEX(PMELIGHT[Program Design],MATCH(AB16,PMELIGHT[Eff Desc 1])),"")</f>
        <v/>
      </c>
      <c r="AU16"/>
    </row>
    <row r="17" spans="1:47">
      <c r="A17" s="57">
        <f t="shared" si="0"/>
        <v>0</v>
      </c>
      <c r="B17" s="183" t="str">
        <f t="shared" si="1"/>
        <v/>
      </c>
      <c r="C17" t="str">
        <f>IFERROR(IF(R17&gt;0,INDEX(PMELIGHT[Measure '#],MATCH(AB17,PMELIGHT[Eff Desc 1],0)),""),"")</f>
        <v/>
      </c>
      <c r="D17" t="s">
        <v>947</v>
      </c>
      <c r="F17" s="185">
        <f>INDEX('M03-S01'!$AB$16:$AB$198,2*(ROWS($F$4:F17)-1)+1)</f>
        <v>0</v>
      </c>
      <c r="G17" s="186">
        <f>INDEX('M03-S01'!$Y$16:$Y$198,2*(ROWS($G$4:G17)-1)+1)</f>
        <v>0</v>
      </c>
      <c r="H17" s="186" t="str">
        <f>IF(ISNUMBER(INDEX('M03-S01'!$AN$16:$AN$198,2*(ROWS($R$4:R17)-1)+1)),"Total","")</f>
        <v/>
      </c>
      <c r="I17" s="184">
        <f>IFERROR(ROUND(INDEX('M03-S01'!$S$16:$S$198,2*(ROWS($I$4:I17)-1)+1)*INDEX('M03-S01'!$AE$16:$AE$198,2*(ROWS($I$4:I17)-1)+1),2),0)</f>
        <v>0</v>
      </c>
      <c r="J17" s="184">
        <f>IFERROR(ROUND(INDEX('M03-S01'!$S$16:$S$198,2*(ROWS($J$4:J17)-1)+1)*INDEX('M03-S01'!$AG$16:$AG$198,2*(ROWS($J$4:J17)-1)+1),2),0)</f>
        <v>0</v>
      </c>
      <c r="K17" s="52">
        <f>IFERROR(ROUND(INDEX('M03-S01'!$AU$16:$AU$198,2*(ROWS($K$4:K17)-1)+1),2),0)</f>
        <v>0</v>
      </c>
      <c r="L17" s="52" t="str">
        <f>IFERROR(IF(R17&gt;0,M17*INDEX(PMELIGHT[Incremental Cost],MATCH(AB17,PMELIGHT[Eff Desc 1],0)),""),"")</f>
        <v/>
      </c>
      <c r="M17" s="456">
        <f>IF(ISNUMBER(SEARCH("8ft",INDEX('M03-S01'!$K$16:$K$198,2*(ROWS($M$4:M17)-1)+1))),INDEX('M03-S01'!$S$16:$S$198,2*(ROWS($M$4:M17)-1)+1)*2,INDEX('M03-S01'!$S$16:$S$198,2*(ROWS($M$4:M17)-1)+1))</f>
        <v>0</v>
      </c>
      <c r="N17" s="184" t="str">
        <f>IF(ISNUMBER(INDEX('M03-S01'!$AN$16:$AN$198,2*(ROWS($R$4:R17)-1)+1)),INDEX('M03-S01'!$AK$16:$AK$198,2*(ROWS($N$4:N17)-1)+1),"")</f>
        <v/>
      </c>
      <c r="O17" s="456" t="str">
        <f>IFERROR(IF(ISNUMBER(INDEX('M03-S01'!$AN$16:$AN$198,2*(ROWS($R$4:R17)-1)+1)),INDEX('M03-S01'!$AV$16:$AV$198,2*(ROWS($O$4:O17)-1)+1),""),"")</f>
        <v/>
      </c>
      <c r="P17" s="459"/>
      <c r="Q17" s="184" t="str">
        <f>IFERROR(IF(ISNUMBER(INDEX('M03-S01'!$AN$16:$AN$198,2*(ROWS($R$4:R17)-1)+1)),INDEX('M03-S01'!$AY$16:$AY$198,2*(ROWS($Q$4:Q17)-1)+1),""),"")</f>
        <v/>
      </c>
      <c r="R17" s="184">
        <f>IF(ISNUMBER(INDEX('M03-S01'!$AN$16:$AN$198,2*(ROWS($R$4:R17)-1)+1)),INDEX('M03-S01'!$AN$16:$AN$198,2*(ROWS($R$4:R17)-1)+1),0)</f>
        <v>0</v>
      </c>
      <c r="S17" s="459"/>
      <c r="T17" s="113"/>
      <c r="U17" s="140"/>
      <c r="V17" s="113"/>
      <c r="W17" s="96" t="str">
        <f>IFERROR(IF(NOT(ISNUMBER(INDEX('M03-S01'!$AN$16:$AN$198,2*(ROWS($R$4:R17)-1)+1))),INDEX('M03-S01'!$BC$16:$BC$198,2*(ROWS($R$4:R17)-1)+1),""),"")</f>
        <v/>
      </c>
      <c r="X17" s="184" t="str">
        <f>IFERROR(ROUND(IF(ISNUMBER(SEARCH("8ft",INDEX('M03-S01'!$K$16:$K$198,2*(ROWS($X$4:X17)-1)+1))),INDEX('M03-S01'!$I$16:$I$198,2*(ROWS($X$4:X17)-1)+1)/2,INDEX('M03-S01'!$I$16:$I$198,2*(ROWS($X$4:X17)-1)+1)),3),"")</f>
        <v/>
      </c>
      <c r="Y17" s="184" t="str">
        <f>IFERROR(ROUND(IF(ISNUMBER(SEARCH("8ft",INDEX('M03-S01'!$K$16:$K$198,2*(ROWS($Y$4:Y17)-1)+1))),INDEX('M03-S01'!$Q$16:$Q$198,2*(ROWS($Y$4:Y17)-1)+1)/2,INDEX('M03-S01'!$Q$16:$Q$198,2*(ROWS($Y$4:Y17)-1)+1)),3),"")</f>
        <v/>
      </c>
      <c r="Z17" s="111">
        <f>INDEX('M03-S01'!$B$16:$B$198,2*(ROWS($Z$4:Z17)-1)+1)</f>
        <v>14</v>
      </c>
      <c r="AA17" s="111">
        <f>IF(ISNUMBER(SEARCH("8ft",INDEX('M03-S01'!$C$16:$C$199,2*(ROWS($Z$4:AA17)-1)+1))),SUBSTITUTE(INDEX('M03-S01'!$C$16:$C$199,2*(ROWS($Z$4:AA17)-1)+1),"8ft","4ft"),INDEX('M03-S01'!$C$16:$C$199,2*(ROWS($Z$4:AA17)-1)+1))</f>
        <v>0</v>
      </c>
      <c r="AB17" s="111">
        <f>IF(ISNUMBER(SEARCH("8ft",INDEX('M03-S01'!$K$16:$K$199,2*(ROWS($Z$4:AB17)-1)+1))),SUBSTITUTE(INDEX('M03-S01'!$K$16:$K$199,2*(ROWS($Z$4:AB17)-1)+1),"8ft","4ft"),INDEX('M03-S01'!$K$16:$K$199,2*(ROWS($Z$4:AB17)-1)+1))</f>
        <v>0</v>
      </c>
      <c r="AC17" s="96"/>
      <c r="AD17">
        <f>INDEX('M03-S01'!$U$16:$U$198,2*(ROWS($AD$4:AD17)-1)+1)</f>
        <v>0</v>
      </c>
      <c r="AE17" s="459"/>
      <c r="AF17" s="459"/>
      <c r="AG17" s="111" t="str">
        <f>INDEX('M03-S01'!$AW$16:$AW$198,2*(ROWS($AG$4:AG17)-1)+1)</f>
        <v/>
      </c>
      <c r="AH17" s="111" t="str">
        <f>INDEX('M03-S01'!$AX$16:$AX$198,2*(ROWS($AH$4:AH17)-1)+1)</f>
        <v/>
      </c>
      <c r="AI17" s="113"/>
      <c r="AJ17" s="113"/>
      <c r="AK17" s="113"/>
      <c r="AL17" s="113"/>
      <c r="AM17" s="113"/>
      <c r="AN17" s="113"/>
      <c r="AO17" s="52" t="str">
        <f>IFERROR(INDEX(PMELIGHT[Program Design],MATCH(AB17,PMELIGHT[Eff Desc 1])),"")</f>
        <v/>
      </c>
      <c r="AU17"/>
    </row>
    <row r="18" spans="1:47">
      <c r="A18" s="57">
        <f t="shared" si="0"/>
        <v>0</v>
      </c>
      <c r="B18" s="183" t="str">
        <f t="shared" si="1"/>
        <v/>
      </c>
      <c r="C18" t="str">
        <f>IFERROR(IF(R18&gt;0,INDEX(PMELIGHT[Measure '#],MATCH(AB18,PMELIGHT[Eff Desc 1],0)),""),"")</f>
        <v/>
      </c>
      <c r="D18" t="s">
        <v>947</v>
      </c>
      <c r="F18" s="185">
        <f>INDEX('M03-S01'!$AB$16:$AB$198,2*(ROWS($F$4:F18)-1)+1)</f>
        <v>0</v>
      </c>
      <c r="G18" s="186">
        <f>INDEX('M03-S01'!$Y$16:$Y$198,2*(ROWS($G$4:G18)-1)+1)</f>
        <v>0</v>
      </c>
      <c r="H18" s="186" t="str">
        <f>IF(ISNUMBER(INDEX('M03-S01'!$AN$16:$AN$198,2*(ROWS($R$4:R18)-1)+1)),"Total","")</f>
        <v/>
      </c>
      <c r="I18" s="184">
        <f>IFERROR(ROUND(INDEX('M03-S01'!$S$16:$S$198,2*(ROWS($I$4:I18)-1)+1)*INDEX('M03-S01'!$AE$16:$AE$198,2*(ROWS($I$4:I18)-1)+1),2),0)</f>
        <v>0</v>
      </c>
      <c r="J18" s="184">
        <f>IFERROR(ROUND(INDEX('M03-S01'!$S$16:$S$198,2*(ROWS($J$4:J18)-1)+1)*INDEX('M03-S01'!$AG$16:$AG$198,2*(ROWS($J$4:J18)-1)+1),2),0)</f>
        <v>0</v>
      </c>
      <c r="K18" s="52">
        <f>IFERROR(ROUND(INDEX('M03-S01'!$AU$16:$AU$198,2*(ROWS($K$4:K18)-1)+1),2),0)</f>
        <v>0</v>
      </c>
      <c r="L18" s="52" t="str">
        <f>IFERROR(IF(R18&gt;0,M18*INDEX(PMELIGHT[Incremental Cost],MATCH(AB18,PMELIGHT[Eff Desc 1],0)),""),"")</f>
        <v/>
      </c>
      <c r="M18" s="456">
        <f>IF(ISNUMBER(SEARCH("8ft",INDEX('M03-S01'!$K$16:$K$198,2*(ROWS($M$4:M18)-1)+1))),INDEX('M03-S01'!$S$16:$S$198,2*(ROWS($M$4:M18)-1)+1)*2,INDEX('M03-S01'!$S$16:$S$198,2*(ROWS($M$4:M18)-1)+1))</f>
        <v>0</v>
      </c>
      <c r="N18" s="184" t="str">
        <f>IF(ISNUMBER(INDEX('M03-S01'!$AN$16:$AN$198,2*(ROWS($R$4:R18)-1)+1)),INDEX('M03-S01'!$AK$16:$AK$198,2*(ROWS($N$4:N18)-1)+1),"")</f>
        <v/>
      </c>
      <c r="O18" s="456" t="str">
        <f>IFERROR(IF(ISNUMBER(INDEX('M03-S01'!$AN$16:$AN$198,2*(ROWS($R$4:R18)-1)+1)),INDEX('M03-S01'!$AV$16:$AV$198,2*(ROWS($O$4:O18)-1)+1),""),"")</f>
        <v/>
      </c>
      <c r="P18" s="459"/>
      <c r="Q18" s="184" t="str">
        <f>IFERROR(IF(ISNUMBER(INDEX('M03-S01'!$AN$16:$AN$198,2*(ROWS($R$4:R18)-1)+1)),INDEX('M03-S01'!$AY$16:$AY$198,2*(ROWS($Q$4:Q18)-1)+1),""),"")</f>
        <v/>
      </c>
      <c r="R18" s="184">
        <f>IF(ISNUMBER(INDEX('M03-S01'!$AN$16:$AN$198,2*(ROWS($R$4:R18)-1)+1)),INDEX('M03-S01'!$AN$16:$AN$198,2*(ROWS($R$4:R18)-1)+1),0)</f>
        <v>0</v>
      </c>
      <c r="S18" s="459"/>
      <c r="T18" s="113"/>
      <c r="U18" s="140"/>
      <c r="V18" s="113"/>
      <c r="W18" s="96" t="str">
        <f>IFERROR(IF(NOT(ISNUMBER(INDEX('M03-S01'!$AN$16:$AN$198,2*(ROWS($R$4:R18)-1)+1))),INDEX('M03-S01'!$BC$16:$BC$198,2*(ROWS($R$4:R18)-1)+1),""),"")</f>
        <v/>
      </c>
      <c r="X18" s="184" t="str">
        <f>IFERROR(ROUND(IF(ISNUMBER(SEARCH("8ft",INDEX('M03-S01'!$K$16:$K$198,2*(ROWS($X$4:X18)-1)+1))),INDEX('M03-S01'!$I$16:$I$198,2*(ROWS($X$4:X18)-1)+1)/2,INDEX('M03-S01'!$I$16:$I$198,2*(ROWS($X$4:X18)-1)+1)),3),"")</f>
        <v/>
      </c>
      <c r="Y18" s="184" t="str">
        <f>IFERROR(ROUND(IF(ISNUMBER(SEARCH("8ft",INDEX('M03-S01'!$K$16:$K$198,2*(ROWS($Y$4:Y18)-1)+1))),INDEX('M03-S01'!$Q$16:$Q$198,2*(ROWS($Y$4:Y18)-1)+1)/2,INDEX('M03-S01'!$Q$16:$Q$198,2*(ROWS($Y$4:Y18)-1)+1)),3),"")</f>
        <v/>
      </c>
      <c r="Z18" s="111">
        <f>INDEX('M03-S01'!$B$16:$B$198,2*(ROWS($Z$4:Z18)-1)+1)</f>
        <v>15</v>
      </c>
      <c r="AA18" s="111">
        <f>IF(ISNUMBER(SEARCH("8ft",INDEX('M03-S01'!$C$16:$C$199,2*(ROWS($Z$4:AA18)-1)+1))),SUBSTITUTE(INDEX('M03-S01'!$C$16:$C$199,2*(ROWS($Z$4:AA18)-1)+1),"8ft","4ft"),INDEX('M03-S01'!$C$16:$C$199,2*(ROWS($Z$4:AA18)-1)+1))</f>
        <v>0</v>
      </c>
      <c r="AB18" s="111">
        <f>IF(ISNUMBER(SEARCH("8ft",INDEX('M03-S01'!$K$16:$K$199,2*(ROWS($Z$4:AB18)-1)+1))),SUBSTITUTE(INDEX('M03-S01'!$K$16:$K$199,2*(ROWS($Z$4:AB18)-1)+1),"8ft","4ft"),INDEX('M03-S01'!$K$16:$K$199,2*(ROWS($Z$4:AB18)-1)+1))</f>
        <v>0</v>
      </c>
      <c r="AC18" s="96"/>
      <c r="AD18">
        <f>INDEX('M03-S01'!$U$16:$U$198,2*(ROWS($AD$4:AD18)-1)+1)</f>
        <v>0</v>
      </c>
      <c r="AE18" s="459"/>
      <c r="AF18" s="459"/>
      <c r="AG18" s="111" t="str">
        <f>INDEX('M03-S01'!$AW$16:$AW$198,2*(ROWS($AG$4:AG18)-1)+1)</f>
        <v/>
      </c>
      <c r="AH18" s="111" t="str">
        <f>INDEX('M03-S01'!$AX$16:$AX$198,2*(ROWS($AH$4:AH18)-1)+1)</f>
        <v/>
      </c>
      <c r="AI18" s="113"/>
      <c r="AJ18" s="113"/>
      <c r="AK18" s="113"/>
      <c r="AL18" s="113"/>
      <c r="AM18" s="113"/>
      <c r="AN18" s="113"/>
      <c r="AO18" s="52" t="str">
        <f>IFERROR(INDEX(PMELIGHT[Program Design],MATCH(AB18,PMELIGHT[Eff Desc 1])),"")</f>
        <v/>
      </c>
      <c r="AU18"/>
    </row>
    <row r="19" spans="1:47">
      <c r="A19" s="57">
        <f t="shared" si="0"/>
        <v>0</v>
      </c>
      <c r="B19" s="183" t="str">
        <f t="shared" si="1"/>
        <v/>
      </c>
      <c r="C19" t="str">
        <f>IFERROR(IF(R19&gt;0,INDEX(PMELIGHT[Measure '#],MATCH(AB19,PMELIGHT[Eff Desc 1],0)),""),"")</f>
        <v/>
      </c>
      <c r="D19" t="s">
        <v>947</v>
      </c>
      <c r="F19" s="185">
        <f>INDEX('M03-S01'!$AB$16:$AB$198,2*(ROWS($F$4:F19)-1)+1)</f>
        <v>0</v>
      </c>
      <c r="G19" s="186">
        <f>INDEX('M03-S01'!$Y$16:$Y$198,2*(ROWS($G$4:G19)-1)+1)</f>
        <v>0</v>
      </c>
      <c r="H19" s="186" t="str">
        <f>IF(ISNUMBER(INDEX('M03-S01'!$AN$16:$AN$198,2*(ROWS($R$4:R19)-1)+1)),"Total","")</f>
        <v/>
      </c>
      <c r="I19" s="184">
        <f>IFERROR(ROUND(INDEX('M03-S01'!$S$16:$S$198,2*(ROWS($I$4:I19)-1)+1)*INDEX('M03-S01'!$AE$16:$AE$198,2*(ROWS($I$4:I19)-1)+1),2),0)</f>
        <v>0</v>
      </c>
      <c r="J19" s="184">
        <f>IFERROR(ROUND(INDEX('M03-S01'!$S$16:$S$198,2*(ROWS($J$4:J19)-1)+1)*INDEX('M03-S01'!$AG$16:$AG$198,2*(ROWS($J$4:J19)-1)+1),2),0)</f>
        <v>0</v>
      </c>
      <c r="K19" s="52">
        <f>IFERROR(ROUND(INDEX('M03-S01'!$AU$16:$AU$198,2*(ROWS($K$4:K19)-1)+1),2),0)</f>
        <v>0</v>
      </c>
      <c r="L19" s="52" t="str">
        <f>IFERROR(IF(R19&gt;0,M19*INDEX(PMELIGHT[Incremental Cost],MATCH(AB19,PMELIGHT[Eff Desc 1],0)),""),"")</f>
        <v/>
      </c>
      <c r="M19" s="456">
        <f>IF(ISNUMBER(SEARCH("8ft",INDEX('M03-S01'!$K$16:$K$198,2*(ROWS($M$4:M19)-1)+1))),INDEX('M03-S01'!$S$16:$S$198,2*(ROWS($M$4:M19)-1)+1)*2,INDEX('M03-S01'!$S$16:$S$198,2*(ROWS($M$4:M19)-1)+1))</f>
        <v>0</v>
      </c>
      <c r="N19" s="184" t="str">
        <f>IF(ISNUMBER(INDEX('M03-S01'!$AN$16:$AN$198,2*(ROWS($R$4:R19)-1)+1)),INDEX('M03-S01'!$AK$16:$AK$198,2*(ROWS($N$4:N19)-1)+1),"")</f>
        <v/>
      </c>
      <c r="O19" s="456" t="str">
        <f>IFERROR(IF(ISNUMBER(INDEX('M03-S01'!$AN$16:$AN$198,2*(ROWS($R$4:R19)-1)+1)),INDEX('M03-S01'!$AV$16:$AV$198,2*(ROWS($O$4:O19)-1)+1),""),"")</f>
        <v/>
      </c>
      <c r="P19" s="459"/>
      <c r="Q19" s="184" t="str">
        <f>IFERROR(IF(ISNUMBER(INDEX('M03-S01'!$AN$16:$AN$198,2*(ROWS($R$4:R19)-1)+1)),INDEX('M03-S01'!$AY$16:$AY$198,2*(ROWS($Q$4:Q19)-1)+1),""),"")</f>
        <v/>
      </c>
      <c r="R19" s="184">
        <f>IF(ISNUMBER(INDEX('M03-S01'!$AN$16:$AN$198,2*(ROWS($R$4:R19)-1)+1)),INDEX('M03-S01'!$AN$16:$AN$198,2*(ROWS($R$4:R19)-1)+1),0)</f>
        <v>0</v>
      </c>
      <c r="S19" s="459"/>
      <c r="T19" s="113"/>
      <c r="U19" s="140"/>
      <c r="V19" s="113"/>
      <c r="W19" s="96" t="str">
        <f>IFERROR(IF(NOT(ISNUMBER(INDEX('M03-S01'!$AN$16:$AN$198,2*(ROWS($R$4:R19)-1)+1))),INDEX('M03-S01'!$BC$16:$BC$198,2*(ROWS($R$4:R19)-1)+1),""),"")</f>
        <v/>
      </c>
      <c r="X19" s="184" t="str">
        <f>IFERROR(ROUND(IF(ISNUMBER(SEARCH("8ft",INDEX('M03-S01'!$K$16:$K$198,2*(ROWS($X$4:X19)-1)+1))),INDEX('M03-S01'!$I$16:$I$198,2*(ROWS($X$4:X19)-1)+1)/2,INDEX('M03-S01'!$I$16:$I$198,2*(ROWS($X$4:X19)-1)+1)),3),"")</f>
        <v/>
      </c>
      <c r="Y19" s="184" t="str">
        <f>IFERROR(ROUND(IF(ISNUMBER(SEARCH("8ft",INDEX('M03-S01'!$K$16:$K$198,2*(ROWS($Y$4:Y19)-1)+1))),INDEX('M03-S01'!$Q$16:$Q$198,2*(ROWS($Y$4:Y19)-1)+1)/2,INDEX('M03-S01'!$Q$16:$Q$198,2*(ROWS($Y$4:Y19)-1)+1)),3),"")</f>
        <v/>
      </c>
      <c r="Z19" s="111">
        <f>INDEX('M03-S01'!$B$16:$B$198,2*(ROWS($Z$4:Z19)-1)+1)</f>
        <v>16</v>
      </c>
      <c r="AA19" s="111">
        <f>IF(ISNUMBER(SEARCH("8ft",INDEX('M03-S01'!$C$16:$C$199,2*(ROWS($Z$4:AA19)-1)+1))),SUBSTITUTE(INDEX('M03-S01'!$C$16:$C$199,2*(ROWS($Z$4:AA19)-1)+1),"8ft","4ft"),INDEX('M03-S01'!$C$16:$C$199,2*(ROWS($Z$4:AA19)-1)+1))</f>
        <v>0</v>
      </c>
      <c r="AB19" s="111">
        <f>IF(ISNUMBER(SEARCH("8ft",INDEX('M03-S01'!$K$16:$K$199,2*(ROWS($Z$4:AB19)-1)+1))),SUBSTITUTE(INDEX('M03-S01'!$K$16:$K$199,2*(ROWS($Z$4:AB19)-1)+1),"8ft","4ft"),INDEX('M03-S01'!$K$16:$K$199,2*(ROWS($Z$4:AB19)-1)+1))</f>
        <v>0</v>
      </c>
      <c r="AC19" s="96"/>
      <c r="AD19">
        <f>INDEX('M03-S01'!$U$16:$U$198,2*(ROWS($AD$4:AD19)-1)+1)</f>
        <v>0</v>
      </c>
      <c r="AE19" s="459"/>
      <c r="AF19" s="459"/>
      <c r="AG19" s="111" t="str">
        <f>INDEX('M03-S01'!$AW$16:$AW$198,2*(ROWS($AG$4:AG19)-1)+1)</f>
        <v/>
      </c>
      <c r="AH19" s="111" t="str">
        <f>INDEX('M03-S01'!$AX$16:$AX$198,2*(ROWS($AH$4:AH19)-1)+1)</f>
        <v/>
      </c>
      <c r="AI19" s="113"/>
      <c r="AJ19" s="113"/>
      <c r="AK19" s="113"/>
      <c r="AL19" s="113"/>
      <c r="AM19" s="113"/>
      <c r="AN19" s="113"/>
      <c r="AO19" s="52" t="str">
        <f>IFERROR(INDEX(PMELIGHT[Program Design],MATCH(AB19,PMELIGHT[Eff Desc 1])),"")</f>
        <v/>
      </c>
      <c r="AU19"/>
    </row>
    <row r="20" spans="1:47">
      <c r="A20" s="57">
        <f t="shared" si="0"/>
        <v>0</v>
      </c>
      <c r="B20" s="183" t="str">
        <f t="shared" si="1"/>
        <v/>
      </c>
      <c r="C20" t="str">
        <f>IFERROR(IF(R20&gt;0,INDEX(PMELIGHT[Measure '#],MATCH(AB20,PMELIGHT[Eff Desc 1],0)),""),"")</f>
        <v/>
      </c>
      <c r="D20" t="s">
        <v>947</v>
      </c>
      <c r="F20" s="185">
        <f>INDEX('M03-S01'!$AB$16:$AB$198,2*(ROWS($F$4:F20)-1)+1)</f>
        <v>0</v>
      </c>
      <c r="G20" s="186">
        <f>INDEX('M03-S01'!$Y$16:$Y$198,2*(ROWS($G$4:G20)-1)+1)</f>
        <v>0</v>
      </c>
      <c r="H20" s="186" t="str">
        <f>IF(ISNUMBER(INDEX('M03-S01'!$AN$16:$AN$198,2*(ROWS($R$4:R20)-1)+1)),"Total","")</f>
        <v/>
      </c>
      <c r="I20" s="184">
        <f>IFERROR(ROUND(INDEX('M03-S01'!$S$16:$S$198,2*(ROWS($I$4:I20)-1)+1)*INDEX('M03-S01'!$AE$16:$AE$198,2*(ROWS($I$4:I20)-1)+1),2),0)</f>
        <v>0</v>
      </c>
      <c r="J20" s="184">
        <f>IFERROR(ROUND(INDEX('M03-S01'!$S$16:$S$198,2*(ROWS($J$4:J20)-1)+1)*INDEX('M03-S01'!$AG$16:$AG$198,2*(ROWS($J$4:J20)-1)+1),2),0)</f>
        <v>0</v>
      </c>
      <c r="K20" s="52">
        <f>IFERROR(ROUND(INDEX('M03-S01'!$AU$16:$AU$198,2*(ROWS($K$4:K20)-1)+1),2),0)</f>
        <v>0</v>
      </c>
      <c r="L20" s="52" t="str">
        <f>IFERROR(IF(R20&gt;0,M20*INDEX(PMELIGHT[Incremental Cost],MATCH(AB20,PMELIGHT[Eff Desc 1],0)),""),"")</f>
        <v/>
      </c>
      <c r="M20" s="456">
        <f>IF(ISNUMBER(SEARCH("8ft",INDEX('M03-S01'!$K$16:$K$198,2*(ROWS($M$4:M20)-1)+1))),INDEX('M03-S01'!$S$16:$S$198,2*(ROWS($M$4:M20)-1)+1)*2,INDEX('M03-S01'!$S$16:$S$198,2*(ROWS($M$4:M20)-1)+1))</f>
        <v>0</v>
      </c>
      <c r="N20" s="184" t="str">
        <f>IF(ISNUMBER(INDEX('M03-S01'!$AN$16:$AN$198,2*(ROWS($R$4:R20)-1)+1)),INDEX('M03-S01'!$AK$16:$AK$198,2*(ROWS($N$4:N20)-1)+1),"")</f>
        <v/>
      </c>
      <c r="O20" s="456" t="str">
        <f>IFERROR(IF(ISNUMBER(INDEX('M03-S01'!$AN$16:$AN$198,2*(ROWS($R$4:R20)-1)+1)),INDEX('M03-S01'!$AV$16:$AV$198,2*(ROWS($O$4:O20)-1)+1),""),"")</f>
        <v/>
      </c>
      <c r="P20" s="459"/>
      <c r="Q20" s="184" t="str">
        <f>IFERROR(IF(ISNUMBER(INDEX('M03-S01'!$AN$16:$AN$198,2*(ROWS($R$4:R20)-1)+1)),INDEX('M03-S01'!$AY$16:$AY$198,2*(ROWS($Q$4:Q20)-1)+1),""),"")</f>
        <v/>
      </c>
      <c r="R20" s="184">
        <f>IF(ISNUMBER(INDEX('M03-S01'!$AN$16:$AN$198,2*(ROWS($R$4:R20)-1)+1)),INDEX('M03-S01'!$AN$16:$AN$198,2*(ROWS($R$4:R20)-1)+1),0)</f>
        <v>0</v>
      </c>
      <c r="S20" s="459"/>
      <c r="T20" s="113"/>
      <c r="U20" s="140"/>
      <c r="V20" s="113"/>
      <c r="W20" s="96" t="str">
        <f>IFERROR(IF(NOT(ISNUMBER(INDEX('M03-S01'!$AN$16:$AN$198,2*(ROWS($R$4:R20)-1)+1))),INDEX('M03-S01'!$BC$16:$BC$198,2*(ROWS($R$4:R20)-1)+1),""),"")</f>
        <v/>
      </c>
      <c r="X20" s="184" t="str">
        <f>IFERROR(ROUND(IF(ISNUMBER(SEARCH("8ft",INDEX('M03-S01'!$K$16:$K$198,2*(ROWS($X$4:X20)-1)+1))),INDEX('M03-S01'!$I$16:$I$198,2*(ROWS($X$4:X20)-1)+1)/2,INDEX('M03-S01'!$I$16:$I$198,2*(ROWS($X$4:X20)-1)+1)),3),"")</f>
        <v/>
      </c>
      <c r="Y20" s="184" t="str">
        <f>IFERROR(ROUND(IF(ISNUMBER(SEARCH("8ft",INDEX('M03-S01'!$K$16:$K$198,2*(ROWS($Y$4:Y20)-1)+1))),INDEX('M03-S01'!$Q$16:$Q$198,2*(ROWS($Y$4:Y20)-1)+1)/2,INDEX('M03-S01'!$Q$16:$Q$198,2*(ROWS($Y$4:Y20)-1)+1)),3),"")</f>
        <v/>
      </c>
      <c r="Z20" s="111">
        <f>INDEX('M03-S01'!$B$16:$B$198,2*(ROWS($Z$4:Z20)-1)+1)</f>
        <v>17</v>
      </c>
      <c r="AA20" s="111">
        <f>IF(ISNUMBER(SEARCH("8ft",INDEX('M03-S01'!$C$16:$C$199,2*(ROWS($Z$4:AA20)-1)+1))),SUBSTITUTE(INDEX('M03-S01'!$C$16:$C$199,2*(ROWS($Z$4:AA20)-1)+1),"8ft","4ft"),INDEX('M03-S01'!$C$16:$C$199,2*(ROWS($Z$4:AA20)-1)+1))</f>
        <v>0</v>
      </c>
      <c r="AB20" s="111">
        <f>IF(ISNUMBER(SEARCH("8ft",INDEX('M03-S01'!$K$16:$K$199,2*(ROWS($Z$4:AB20)-1)+1))),SUBSTITUTE(INDEX('M03-S01'!$K$16:$K$199,2*(ROWS($Z$4:AB20)-1)+1),"8ft","4ft"),INDEX('M03-S01'!$K$16:$K$199,2*(ROWS($Z$4:AB20)-1)+1))</f>
        <v>0</v>
      </c>
      <c r="AC20" s="96"/>
      <c r="AD20">
        <f>INDEX('M03-S01'!$U$16:$U$198,2*(ROWS($AD$4:AD20)-1)+1)</f>
        <v>0</v>
      </c>
      <c r="AE20" s="459"/>
      <c r="AF20" s="459"/>
      <c r="AG20" s="111" t="str">
        <f>INDEX('M03-S01'!$AW$16:$AW$198,2*(ROWS($AG$4:AG20)-1)+1)</f>
        <v/>
      </c>
      <c r="AH20" s="111" t="str">
        <f>INDEX('M03-S01'!$AX$16:$AX$198,2*(ROWS($AH$4:AH20)-1)+1)</f>
        <v/>
      </c>
      <c r="AI20" s="113"/>
      <c r="AJ20" s="113"/>
      <c r="AK20" s="113"/>
      <c r="AL20" s="113"/>
      <c r="AM20" s="113"/>
      <c r="AN20" s="113"/>
      <c r="AO20" s="52" t="str">
        <f>IFERROR(INDEX(PMELIGHT[Program Design],MATCH(AB20,PMELIGHT[Eff Desc 1])),"")</f>
        <v/>
      </c>
      <c r="AU20"/>
    </row>
    <row r="21" spans="1:47">
      <c r="A21" s="57">
        <f t="shared" si="0"/>
        <v>0</v>
      </c>
      <c r="B21" s="183" t="str">
        <f t="shared" si="1"/>
        <v/>
      </c>
      <c r="C21" t="str">
        <f>IFERROR(IF(R21&gt;0,INDEX(PMELIGHT[Measure '#],MATCH(AB21,PMELIGHT[Eff Desc 1],0)),""),"")</f>
        <v/>
      </c>
      <c r="D21" t="s">
        <v>947</v>
      </c>
      <c r="F21" s="185">
        <f>INDEX('M03-S01'!$AB$16:$AB$198,2*(ROWS($F$4:F21)-1)+1)</f>
        <v>0</v>
      </c>
      <c r="G21" s="186">
        <f>INDEX('M03-S01'!$Y$16:$Y$198,2*(ROWS($G$4:G21)-1)+1)</f>
        <v>0</v>
      </c>
      <c r="H21" s="186" t="str">
        <f>IF(ISNUMBER(INDEX('M03-S01'!$AN$16:$AN$198,2*(ROWS($R$4:R21)-1)+1)),"Total","")</f>
        <v/>
      </c>
      <c r="I21" s="184">
        <f>IFERROR(ROUND(INDEX('M03-S01'!$S$16:$S$198,2*(ROWS($I$4:I21)-1)+1)*INDEX('M03-S01'!$AE$16:$AE$198,2*(ROWS($I$4:I21)-1)+1),2),0)</f>
        <v>0</v>
      </c>
      <c r="J21" s="184">
        <f>IFERROR(ROUND(INDEX('M03-S01'!$S$16:$S$198,2*(ROWS($J$4:J21)-1)+1)*INDEX('M03-S01'!$AG$16:$AG$198,2*(ROWS($J$4:J21)-1)+1),2),0)</f>
        <v>0</v>
      </c>
      <c r="K21" s="52">
        <f>IFERROR(ROUND(INDEX('M03-S01'!$AU$16:$AU$198,2*(ROWS($K$4:K21)-1)+1),2),0)</f>
        <v>0</v>
      </c>
      <c r="L21" s="52" t="str">
        <f>IFERROR(IF(R21&gt;0,M21*INDEX(PMELIGHT[Incremental Cost],MATCH(AB21,PMELIGHT[Eff Desc 1],0)),""),"")</f>
        <v/>
      </c>
      <c r="M21" s="456">
        <f>IF(ISNUMBER(SEARCH("8ft",INDEX('M03-S01'!$K$16:$K$198,2*(ROWS($M$4:M21)-1)+1))),INDEX('M03-S01'!$S$16:$S$198,2*(ROWS($M$4:M21)-1)+1)*2,INDEX('M03-S01'!$S$16:$S$198,2*(ROWS($M$4:M21)-1)+1))</f>
        <v>0</v>
      </c>
      <c r="N21" s="184" t="str">
        <f>IF(ISNUMBER(INDEX('M03-S01'!$AN$16:$AN$198,2*(ROWS($R$4:R21)-1)+1)),INDEX('M03-S01'!$AK$16:$AK$198,2*(ROWS($N$4:N21)-1)+1),"")</f>
        <v/>
      </c>
      <c r="O21" s="456" t="str">
        <f>IFERROR(IF(ISNUMBER(INDEX('M03-S01'!$AN$16:$AN$198,2*(ROWS($R$4:R21)-1)+1)),INDEX('M03-S01'!$AV$16:$AV$198,2*(ROWS($O$4:O21)-1)+1),""),"")</f>
        <v/>
      </c>
      <c r="P21" s="459"/>
      <c r="Q21" s="184" t="str">
        <f>IFERROR(IF(ISNUMBER(INDEX('M03-S01'!$AN$16:$AN$198,2*(ROWS($R$4:R21)-1)+1)),INDEX('M03-S01'!$AY$16:$AY$198,2*(ROWS($Q$4:Q21)-1)+1),""),"")</f>
        <v/>
      </c>
      <c r="R21" s="184">
        <f>IF(ISNUMBER(INDEX('M03-S01'!$AN$16:$AN$198,2*(ROWS($R$4:R21)-1)+1)),INDEX('M03-S01'!$AN$16:$AN$198,2*(ROWS($R$4:R21)-1)+1),0)</f>
        <v>0</v>
      </c>
      <c r="S21" s="459"/>
      <c r="T21" s="113"/>
      <c r="U21" s="140"/>
      <c r="V21" s="113"/>
      <c r="W21" s="96" t="str">
        <f>IFERROR(IF(NOT(ISNUMBER(INDEX('M03-S01'!$AN$16:$AN$198,2*(ROWS($R$4:R21)-1)+1))),INDEX('M03-S01'!$BC$16:$BC$198,2*(ROWS($R$4:R21)-1)+1),""),"")</f>
        <v/>
      </c>
      <c r="X21" s="184" t="str">
        <f>IFERROR(ROUND(IF(ISNUMBER(SEARCH("8ft",INDEX('M03-S01'!$K$16:$K$198,2*(ROWS($X$4:X21)-1)+1))),INDEX('M03-S01'!$I$16:$I$198,2*(ROWS($X$4:X21)-1)+1)/2,INDEX('M03-S01'!$I$16:$I$198,2*(ROWS($X$4:X21)-1)+1)),3),"")</f>
        <v/>
      </c>
      <c r="Y21" s="184" t="str">
        <f>IFERROR(ROUND(IF(ISNUMBER(SEARCH("8ft",INDEX('M03-S01'!$K$16:$K$198,2*(ROWS($Y$4:Y21)-1)+1))),INDEX('M03-S01'!$Q$16:$Q$198,2*(ROWS($Y$4:Y21)-1)+1)/2,INDEX('M03-S01'!$Q$16:$Q$198,2*(ROWS($Y$4:Y21)-1)+1)),3),"")</f>
        <v/>
      </c>
      <c r="Z21" s="111">
        <f>INDEX('M03-S01'!$B$16:$B$198,2*(ROWS($Z$4:Z21)-1)+1)</f>
        <v>18</v>
      </c>
      <c r="AA21" s="111">
        <f>IF(ISNUMBER(SEARCH("8ft",INDEX('M03-S01'!$C$16:$C$199,2*(ROWS($Z$4:AA21)-1)+1))),SUBSTITUTE(INDEX('M03-S01'!$C$16:$C$199,2*(ROWS($Z$4:AA21)-1)+1),"8ft","4ft"),INDEX('M03-S01'!$C$16:$C$199,2*(ROWS($Z$4:AA21)-1)+1))</f>
        <v>0</v>
      </c>
      <c r="AB21" s="111">
        <f>IF(ISNUMBER(SEARCH("8ft",INDEX('M03-S01'!$K$16:$K$199,2*(ROWS($Z$4:AB21)-1)+1))),SUBSTITUTE(INDEX('M03-S01'!$K$16:$K$199,2*(ROWS($Z$4:AB21)-1)+1),"8ft","4ft"),INDEX('M03-S01'!$K$16:$K$199,2*(ROWS($Z$4:AB21)-1)+1))</f>
        <v>0</v>
      </c>
      <c r="AC21" s="96"/>
      <c r="AD21">
        <f>INDEX('M03-S01'!$U$16:$U$198,2*(ROWS($AD$4:AD21)-1)+1)</f>
        <v>0</v>
      </c>
      <c r="AE21" s="459"/>
      <c r="AF21" s="459"/>
      <c r="AG21" s="111" t="str">
        <f>INDEX('M03-S01'!$AW$16:$AW$198,2*(ROWS($AG$4:AG21)-1)+1)</f>
        <v/>
      </c>
      <c r="AH21" s="111" t="str">
        <f>INDEX('M03-S01'!$AX$16:$AX$198,2*(ROWS($AH$4:AH21)-1)+1)</f>
        <v/>
      </c>
      <c r="AI21" s="113"/>
      <c r="AJ21" s="113"/>
      <c r="AK21" s="113"/>
      <c r="AL21" s="113"/>
      <c r="AM21" s="113"/>
      <c r="AN21" s="113"/>
      <c r="AO21" s="52" t="str">
        <f>IFERROR(INDEX(PMELIGHT[Program Design],MATCH(AB21,PMELIGHT[Eff Desc 1])),"")</f>
        <v/>
      </c>
      <c r="AU21"/>
    </row>
    <row r="22" spans="1:47">
      <c r="A22" s="57">
        <f t="shared" si="0"/>
        <v>0</v>
      </c>
      <c r="B22" s="183" t="str">
        <f t="shared" ref="B22:B37" si="2">IF(C22="","",CONCATENATE(ROW(),"-",C22))</f>
        <v/>
      </c>
      <c r="C22" t="str">
        <f>IFERROR(IF(R22&gt;0,INDEX(PMELIGHT[Measure '#],MATCH(AB22,PMELIGHT[Eff Desc 1],0)),""),"")</f>
        <v/>
      </c>
      <c r="D22" t="s">
        <v>947</v>
      </c>
      <c r="F22" s="185">
        <f>INDEX('M03-S01'!$AB$16:$AB$198,2*(ROWS($F$4:F22)-1)+1)</f>
        <v>0</v>
      </c>
      <c r="G22" s="186">
        <f>INDEX('M03-S01'!$Y$16:$Y$198,2*(ROWS($G$4:G22)-1)+1)</f>
        <v>0</v>
      </c>
      <c r="H22" s="186" t="str">
        <f>IF(ISNUMBER(INDEX('M03-S01'!$AN$16:$AN$198,2*(ROWS($R$4:R22)-1)+1)),"Total","")</f>
        <v/>
      </c>
      <c r="I22" s="184">
        <f>IFERROR(ROUND(INDEX('M03-S01'!$S$16:$S$198,2*(ROWS($I$4:I22)-1)+1)*INDEX('M03-S01'!$AE$16:$AE$198,2*(ROWS($I$4:I22)-1)+1),2),0)</f>
        <v>0</v>
      </c>
      <c r="J22" s="184">
        <f>IFERROR(ROUND(INDEX('M03-S01'!$S$16:$S$198,2*(ROWS($J$4:J22)-1)+1)*INDEX('M03-S01'!$AG$16:$AG$198,2*(ROWS($J$4:J22)-1)+1),2),0)</f>
        <v>0</v>
      </c>
      <c r="K22" s="52">
        <f>IFERROR(ROUND(INDEX('M03-S01'!$AU$16:$AU$198,2*(ROWS($K$4:K22)-1)+1),2),0)</f>
        <v>0</v>
      </c>
      <c r="L22" s="52" t="str">
        <f>IFERROR(IF(R22&gt;0,M22*INDEX(PMELIGHT[Incremental Cost],MATCH(AB22,PMELIGHT[Eff Desc 1],0)),""),"")</f>
        <v/>
      </c>
      <c r="M22" s="456">
        <f>IF(ISNUMBER(SEARCH("8ft",INDEX('M03-S01'!$K$16:$K$198,2*(ROWS($M$4:M22)-1)+1))),INDEX('M03-S01'!$S$16:$S$198,2*(ROWS($M$4:M22)-1)+1)*2,INDEX('M03-S01'!$S$16:$S$198,2*(ROWS($M$4:M22)-1)+1))</f>
        <v>0</v>
      </c>
      <c r="N22" s="184" t="str">
        <f>IF(ISNUMBER(INDEX('M03-S01'!$AN$16:$AN$198,2*(ROWS($R$4:R22)-1)+1)),INDEX('M03-S01'!$AK$16:$AK$198,2*(ROWS($N$4:N22)-1)+1),"")</f>
        <v/>
      </c>
      <c r="O22" s="456" t="str">
        <f>IFERROR(IF(ISNUMBER(INDEX('M03-S01'!$AN$16:$AN$198,2*(ROWS($R$4:R22)-1)+1)),INDEX('M03-S01'!$AV$16:$AV$198,2*(ROWS($O$4:O22)-1)+1),""),"")</f>
        <v/>
      </c>
      <c r="P22" s="459"/>
      <c r="Q22" s="184" t="str">
        <f>IFERROR(IF(ISNUMBER(INDEX('M03-S01'!$AN$16:$AN$198,2*(ROWS($R$4:R22)-1)+1)),INDEX('M03-S01'!$AY$16:$AY$198,2*(ROWS($Q$4:Q22)-1)+1),""),"")</f>
        <v/>
      </c>
      <c r="R22" s="184">
        <f>IF(ISNUMBER(INDEX('M03-S01'!$AN$16:$AN$198,2*(ROWS($R$4:R22)-1)+1)),INDEX('M03-S01'!$AN$16:$AN$198,2*(ROWS($R$4:R22)-1)+1),0)</f>
        <v>0</v>
      </c>
      <c r="S22" s="459"/>
      <c r="T22" s="113"/>
      <c r="U22" s="140"/>
      <c r="V22" s="113"/>
      <c r="W22" s="96" t="str">
        <f>IFERROR(IF(NOT(ISNUMBER(INDEX('M03-S01'!$AN$16:$AN$198,2*(ROWS($R$4:R22)-1)+1))),INDEX('M03-S01'!$BC$16:$BC$198,2*(ROWS($R$4:R22)-1)+1),""),"")</f>
        <v/>
      </c>
      <c r="X22" s="184" t="str">
        <f>IFERROR(ROUND(IF(ISNUMBER(SEARCH("8ft",INDEX('M03-S01'!$K$16:$K$198,2*(ROWS($X$4:X22)-1)+1))),INDEX('M03-S01'!$I$16:$I$198,2*(ROWS($X$4:X22)-1)+1)/2,INDEX('M03-S01'!$I$16:$I$198,2*(ROWS($X$4:X22)-1)+1)),3),"")</f>
        <v/>
      </c>
      <c r="Y22" s="184" t="str">
        <f>IFERROR(ROUND(IF(ISNUMBER(SEARCH("8ft",INDEX('M03-S01'!$K$16:$K$198,2*(ROWS($Y$4:Y22)-1)+1))),INDEX('M03-S01'!$Q$16:$Q$198,2*(ROWS($Y$4:Y22)-1)+1)/2,INDEX('M03-S01'!$Q$16:$Q$198,2*(ROWS($Y$4:Y22)-1)+1)),3),"")</f>
        <v/>
      </c>
      <c r="Z22" s="111">
        <f>INDEX('M03-S01'!$B$16:$B$198,2*(ROWS($Z$4:Z22)-1)+1)</f>
        <v>19</v>
      </c>
      <c r="AA22" s="111">
        <f>IF(ISNUMBER(SEARCH("8ft",INDEX('M03-S01'!$C$16:$C$199,2*(ROWS($Z$4:AA22)-1)+1))),SUBSTITUTE(INDEX('M03-S01'!$C$16:$C$199,2*(ROWS($Z$4:AA22)-1)+1),"8ft","4ft"),INDEX('M03-S01'!$C$16:$C$199,2*(ROWS($Z$4:AA22)-1)+1))</f>
        <v>0</v>
      </c>
      <c r="AB22" s="111">
        <f>IF(ISNUMBER(SEARCH("8ft",INDEX('M03-S01'!$K$16:$K$199,2*(ROWS($Z$4:AB22)-1)+1))),SUBSTITUTE(INDEX('M03-S01'!$K$16:$K$199,2*(ROWS($Z$4:AB22)-1)+1),"8ft","4ft"),INDEX('M03-S01'!$K$16:$K$199,2*(ROWS($Z$4:AB22)-1)+1))</f>
        <v>0</v>
      </c>
      <c r="AC22" s="96"/>
      <c r="AD22">
        <f>INDEX('M03-S01'!$U$16:$U$198,2*(ROWS($AD$4:AD22)-1)+1)</f>
        <v>0</v>
      </c>
      <c r="AE22" s="459"/>
      <c r="AF22" s="459"/>
      <c r="AG22" s="111" t="str">
        <f>INDEX('M03-S01'!$AW$16:$AW$198,2*(ROWS($AG$4:AG22)-1)+1)</f>
        <v/>
      </c>
      <c r="AH22" s="111" t="str">
        <f>INDEX('M03-S01'!$AX$16:$AX$198,2*(ROWS($AH$4:AH22)-1)+1)</f>
        <v/>
      </c>
      <c r="AI22" s="113"/>
      <c r="AJ22" s="113"/>
      <c r="AK22" s="113"/>
      <c r="AL22" s="113"/>
      <c r="AM22" s="113"/>
      <c r="AN22" s="113"/>
      <c r="AO22" s="52" t="str">
        <f>IFERROR(INDEX(PMELIGHT[Program Design],MATCH(AB22,PMELIGHT[Eff Desc 1])),"")</f>
        <v/>
      </c>
      <c r="AU22"/>
    </row>
    <row r="23" spans="1:47">
      <c r="A23" s="57">
        <f t="shared" si="0"/>
        <v>0</v>
      </c>
      <c r="B23" s="183" t="str">
        <f t="shared" si="2"/>
        <v/>
      </c>
      <c r="C23" t="str">
        <f>IFERROR(IF(R23&gt;0,INDEX(PMELIGHT[Measure '#],MATCH(AB23,PMELIGHT[Eff Desc 1],0)),""),"")</f>
        <v/>
      </c>
      <c r="D23" t="s">
        <v>947</v>
      </c>
      <c r="F23" s="185">
        <f>INDEX('M03-S01'!$AB$16:$AB$198,2*(ROWS($F$4:F23)-1)+1)</f>
        <v>0</v>
      </c>
      <c r="G23" s="186">
        <f>INDEX('M03-S01'!$Y$16:$Y$198,2*(ROWS($G$4:G23)-1)+1)</f>
        <v>0</v>
      </c>
      <c r="H23" s="186" t="str">
        <f>IF(ISNUMBER(INDEX('M03-S01'!$AN$16:$AN$198,2*(ROWS($R$4:R23)-1)+1)),"Total","")</f>
        <v/>
      </c>
      <c r="I23" s="184">
        <f>IFERROR(ROUND(INDEX('M03-S01'!$S$16:$S$198,2*(ROWS($I$4:I23)-1)+1)*INDEX('M03-S01'!$AE$16:$AE$198,2*(ROWS($I$4:I23)-1)+1),2),0)</f>
        <v>0</v>
      </c>
      <c r="J23" s="184">
        <f>IFERROR(ROUND(INDEX('M03-S01'!$S$16:$S$198,2*(ROWS($J$4:J23)-1)+1)*INDEX('M03-S01'!$AG$16:$AG$198,2*(ROWS($J$4:J23)-1)+1),2),0)</f>
        <v>0</v>
      </c>
      <c r="K23" s="52">
        <f>IFERROR(ROUND(INDEX('M03-S01'!$AU$16:$AU$198,2*(ROWS($K$4:K23)-1)+1),2),0)</f>
        <v>0</v>
      </c>
      <c r="L23" s="52" t="str">
        <f>IFERROR(IF(R23&gt;0,M23*INDEX(PMELIGHT[Incremental Cost],MATCH(AB23,PMELIGHT[Eff Desc 1],0)),""),"")</f>
        <v/>
      </c>
      <c r="M23" s="456">
        <f>IF(ISNUMBER(SEARCH("8ft",INDEX('M03-S01'!$K$16:$K$198,2*(ROWS($M$4:M23)-1)+1))),INDEX('M03-S01'!$S$16:$S$198,2*(ROWS($M$4:M23)-1)+1)*2,INDEX('M03-S01'!$S$16:$S$198,2*(ROWS($M$4:M23)-1)+1))</f>
        <v>0</v>
      </c>
      <c r="N23" s="184" t="str">
        <f>IF(ISNUMBER(INDEX('M03-S01'!$AN$16:$AN$198,2*(ROWS($R$4:R23)-1)+1)),INDEX('M03-S01'!$AK$16:$AK$198,2*(ROWS($N$4:N23)-1)+1),"")</f>
        <v/>
      </c>
      <c r="O23" s="456" t="str">
        <f>IFERROR(IF(ISNUMBER(INDEX('M03-S01'!$AN$16:$AN$198,2*(ROWS($R$4:R23)-1)+1)),INDEX('M03-S01'!$AV$16:$AV$198,2*(ROWS($O$4:O23)-1)+1),""),"")</f>
        <v/>
      </c>
      <c r="P23" s="459"/>
      <c r="Q23" s="184" t="str">
        <f>IFERROR(IF(ISNUMBER(INDEX('M03-S01'!$AN$16:$AN$198,2*(ROWS($R$4:R23)-1)+1)),INDEX('M03-S01'!$AY$16:$AY$198,2*(ROWS($Q$4:Q23)-1)+1),""),"")</f>
        <v/>
      </c>
      <c r="R23" s="184">
        <f>IF(ISNUMBER(INDEX('M03-S01'!$AN$16:$AN$198,2*(ROWS($R$4:R23)-1)+1)),INDEX('M03-S01'!$AN$16:$AN$198,2*(ROWS($R$4:R23)-1)+1),0)</f>
        <v>0</v>
      </c>
      <c r="S23" s="459"/>
      <c r="T23" s="113"/>
      <c r="U23" s="140"/>
      <c r="V23" s="113"/>
      <c r="W23" s="96" t="str">
        <f>IFERROR(IF(NOT(ISNUMBER(INDEX('M03-S01'!$AN$16:$AN$198,2*(ROWS($R$4:R23)-1)+1))),INDEX('M03-S01'!$BC$16:$BC$198,2*(ROWS($R$4:R23)-1)+1),""),"")</f>
        <v/>
      </c>
      <c r="X23" s="184" t="str">
        <f>IFERROR(ROUND(IF(ISNUMBER(SEARCH("8ft",INDEX('M03-S01'!$K$16:$K$198,2*(ROWS($X$4:X23)-1)+1))),INDEX('M03-S01'!$I$16:$I$198,2*(ROWS($X$4:X23)-1)+1)/2,INDEX('M03-S01'!$I$16:$I$198,2*(ROWS($X$4:X23)-1)+1)),3),"")</f>
        <v/>
      </c>
      <c r="Y23" s="184" t="str">
        <f>IFERROR(ROUND(IF(ISNUMBER(SEARCH("8ft",INDEX('M03-S01'!$K$16:$K$198,2*(ROWS($Y$4:Y23)-1)+1))),INDEX('M03-S01'!$Q$16:$Q$198,2*(ROWS($Y$4:Y23)-1)+1)/2,INDEX('M03-S01'!$Q$16:$Q$198,2*(ROWS($Y$4:Y23)-1)+1)),3),"")</f>
        <v/>
      </c>
      <c r="Z23" s="111">
        <f>INDEX('M03-S01'!$B$16:$B$198,2*(ROWS($Z$4:Z23)-1)+1)</f>
        <v>20</v>
      </c>
      <c r="AA23" s="111">
        <f>IF(ISNUMBER(SEARCH("8ft",INDEX('M03-S01'!$C$16:$C$199,2*(ROWS($Z$4:AA23)-1)+1))),SUBSTITUTE(INDEX('M03-S01'!$C$16:$C$199,2*(ROWS($Z$4:AA23)-1)+1),"8ft","4ft"),INDEX('M03-S01'!$C$16:$C$199,2*(ROWS($Z$4:AA23)-1)+1))</f>
        <v>0</v>
      </c>
      <c r="AB23" s="111">
        <f>IF(ISNUMBER(SEARCH("8ft",INDEX('M03-S01'!$K$16:$K$199,2*(ROWS($Z$4:AB23)-1)+1))),SUBSTITUTE(INDEX('M03-S01'!$K$16:$K$199,2*(ROWS($Z$4:AB23)-1)+1),"8ft","4ft"),INDEX('M03-S01'!$K$16:$K$199,2*(ROWS($Z$4:AB23)-1)+1))</f>
        <v>0</v>
      </c>
      <c r="AC23" s="96"/>
      <c r="AD23">
        <f>INDEX('M03-S01'!$U$16:$U$198,2*(ROWS($AD$4:AD23)-1)+1)</f>
        <v>0</v>
      </c>
      <c r="AE23" s="459"/>
      <c r="AF23" s="459"/>
      <c r="AG23" s="111" t="str">
        <f>INDEX('M03-S01'!$AW$16:$AW$198,2*(ROWS($AG$4:AG23)-1)+1)</f>
        <v/>
      </c>
      <c r="AH23" s="111" t="str">
        <f>INDEX('M03-S01'!$AX$16:$AX$198,2*(ROWS($AH$4:AH23)-1)+1)</f>
        <v/>
      </c>
      <c r="AI23" s="113"/>
      <c r="AJ23" s="113"/>
      <c r="AK23" s="113"/>
      <c r="AL23" s="113"/>
      <c r="AM23" s="113"/>
      <c r="AN23" s="113"/>
      <c r="AO23" s="52" t="str">
        <f>IFERROR(INDEX(PMELIGHT[Program Design],MATCH(AB23,PMELIGHT[Eff Desc 1])),"")</f>
        <v/>
      </c>
      <c r="AU23"/>
    </row>
    <row r="24" spans="1:47">
      <c r="A24" s="57">
        <f t="shared" si="0"/>
        <v>0</v>
      </c>
      <c r="B24" s="183" t="str">
        <f t="shared" si="2"/>
        <v/>
      </c>
      <c r="C24" t="str">
        <f>IFERROR(IF(R24&gt;0,INDEX(PMELIGHT[Measure '#],MATCH(AB24,PMELIGHT[Eff Desc 1],0)),""),"")</f>
        <v/>
      </c>
      <c r="D24" t="s">
        <v>947</v>
      </c>
      <c r="F24" s="185">
        <f>INDEX('M03-S01'!$AB$16:$AB$198,2*(ROWS($F$4:F24)-1)+1)</f>
        <v>0</v>
      </c>
      <c r="G24" s="186">
        <f>INDEX('M03-S01'!$Y$16:$Y$198,2*(ROWS($G$4:G24)-1)+1)</f>
        <v>0</v>
      </c>
      <c r="H24" s="186" t="str">
        <f>IF(ISNUMBER(INDEX('M03-S01'!$AN$16:$AN$198,2*(ROWS($R$4:R24)-1)+1)),"Total","")</f>
        <v/>
      </c>
      <c r="I24" s="184">
        <f>IFERROR(ROUND(INDEX('M03-S01'!$S$16:$S$198,2*(ROWS($I$4:I24)-1)+1)*INDEX('M03-S01'!$AE$16:$AE$198,2*(ROWS($I$4:I24)-1)+1),2),0)</f>
        <v>0</v>
      </c>
      <c r="J24" s="184">
        <f>IFERROR(ROUND(INDEX('M03-S01'!$S$16:$S$198,2*(ROWS($J$4:J24)-1)+1)*INDEX('M03-S01'!$AG$16:$AG$198,2*(ROWS($J$4:J24)-1)+1),2),0)</f>
        <v>0</v>
      </c>
      <c r="K24" s="52">
        <f>IFERROR(ROUND(INDEX('M03-S01'!$AU$16:$AU$198,2*(ROWS($K$4:K24)-1)+1),2),0)</f>
        <v>0</v>
      </c>
      <c r="L24" s="52" t="str">
        <f>IFERROR(IF(R24&gt;0,M24*INDEX(PMELIGHT[Incremental Cost],MATCH(AB24,PMELIGHT[Eff Desc 1],0)),""),"")</f>
        <v/>
      </c>
      <c r="M24" s="456">
        <f>IF(ISNUMBER(SEARCH("8ft",INDEX('M03-S01'!$K$16:$K$198,2*(ROWS($M$4:M24)-1)+1))),INDEX('M03-S01'!$S$16:$S$198,2*(ROWS($M$4:M24)-1)+1)*2,INDEX('M03-S01'!$S$16:$S$198,2*(ROWS($M$4:M24)-1)+1))</f>
        <v>0</v>
      </c>
      <c r="N24" s="184" t="str">
        <f>IF(ISNUMBER(INDEX('M03-S01'!$AN$16:$AN$198,2*(ROWS($R$4:R24)-1)+1)),INDEX('M03-S01'!$AK$16:$AK$198,2*(ROWS($N$4:N24)-1)+1),"")</f>
        <v/>
      </c>
      <c r="O24" s="456" t="str">
        <f>IFERROR(IF(ISNUMBER(INDEX('M03-S01'!$AN$16:$AN$198,2*(ROWS($R$4:R24)-1)+1)),INDEX('M03-S01'!$AV$16:$AV$198,2*(ROWS($O$4:O24)-1)+1),""),"")</f>
        <v/>
      </c>
      <c r="P24" s="459"/>
      <c r="Q24" s="184" t="str">
        <f>IFERROR(IF(ISNUMBER(INDEX('M03-S01'!$AN$16:$AN$198,2*(ROWS($R$4:R24)-1)+1)),INDEX('M03-S01'!$AY$16:$AY$198,2*(ROWS($Q$4:Q24)-1)+1),""),"")</f>
        <v/>
      </c>
      <c r="R24" s="184">
        <f>IF(ISNUMBER(INDEX('M03-S01'!$AN$16:$AN$198,2*(ROWS($R$4:R24)-1)+1)),INDEX('M03-S01'!$AN$16:$AN$198,2*(ROWS($R$4:R24)-1)+1),0)</f>
        <v>0</v>
      </c>
      <c r="S24" s="459"/>
      <c r="T24" s="113"/>
      <c r="U24" s="140"/>
      <c r="V24" s="113"/>
      <c r="W24" s="96" t="str">
        <f>IFERROR(IF(NOT(ISNUMBER(INDEX('M03-S01'!$AN$16:$AN$198,2*(ROWS($R$4:R24)-1)+1))),INDEX('M03-S01'!$BC$16:$BC$198,2*(ROWS($R$4:R24)-1)+1),""),"")</f>
        <v/>
      </c>
      <c r="X24" s="184" t="str">
        <f>IFERROR(ROUND(IF(ISNUMBER(SEARCH("8ft",INDEX('M03-S01'!$K$16:$K$198,2*(ROWS($X$4:X24)-1)+1))),INDEX('M03-S01'!$I$16:$I$198,2*(ROWS($X$4:X24)-1)+1)/2,INDEX('M03-S01'!$I$16:$I$198,2*(ROWS($X$4:X24)-1)+1)),3),"")</f>
        <v/>
      </c>
      <c r="Y24" s="184" t="str">
        <f>IFERROR(ROUND(IF(ISNUMBER(SEARCH("8ft",INDEX('M03-S01'!$K$16:$K$198,2*(ROWS($Y$4:Y24)-1)+1))),INDEX('M03-S01'!$Q$16:$Q$198,2*(ROWS($Y$4:Y24)-1)+1)/2,INDEX('M03-S01'!$Q$16:$Q$198,2*(ROWS($Y$4:Y24)-1)+1)),3),"")</f>
        <v/>
      </c>
      <c r="Z24" s="111">
        <f>INDEX('M03-S01'!$B$16:$B$198,2*(ROWS($Z$4:Z24)-1)+1)</f>
        <v>21</v>
      </c>
      <c r="AA24" s="111">
        <f>IF(ISNUMBER(SEARCH("8ft",INDEX('M03-S01'!$C$16:$C$199,2*(ROWS($Z$4:AA24)-1)+1))),SUBSTITUTE(INDEX('M03-S01'!$C$16:$C$199,2*(ROWS($Z$4:AA24)-1)+1),"8ft","4ft"),INDEX('M03-S01'!$C$16:$C$199,2*(ROWS($Z$4:AA24)-1)+1))</f>
        <v>0</v>
      </c>
      <c r="AB24" s="111">
        <f>IF(ISNUMBER(SEARCH("8ft",INDEX('M03-S01'!$K$16:$K$199,2*(ROWS($Z$4:AB24)-1)+1))),SUBSTITUTE(INDEX('M03-S01'!$K$16:$K$199,2*(ROWS($Z$4:AB24)-1)+1),"8ft","4ft"),INDEX('M03-S01'!$K$16:$K$199,2*(ROWS($Z$4:AB24)-1)+1))</f>
        <v>0</v>
      </c>
      <c r="AC24" s="96"/>
      <c r="AD24">
        <f>INDEX('M03-S01'!$U$16:$U$198,2*(ROWS($AD$4:AD24)-1)+1)</f>
        <v>0</v>
      </c>
      <c r="AE24" s="459"/>
      <c r="AF24" s="459"/>
      <c r="AG24" s="111" t="str">
        <f>INDEX('M03-S01'!$AW$16:$AW$198,2*(ROWS($AG$4:AG24)-1)+1)</f>
        <v/>
      </c>
      <c r="AH24" s="111" t="str">
        <f>INDEX('M03-S01'!$AX$16:$AX$198,2*(ROWS($AH$4:AH24)-1)+1)</f>
        <v/>
      </c>
      <c r="AI24" s="113"/>
      <c r="AJ24" s="113"/>
      <c r="AK24" s="113"/>
      <c r="AL24" s="113"/>
      <c r="AM24" s="113"/>
      <c r="AN24" s="113"/>
      <c r="AO24" s="52" t="str">
        <f>IFERROR(INDEX(PMELIGHT[Program Design],MATCH(AB24,PMELIGHT[Eff Desc 1])),"")</f>
        <v/>
      </c>
      <c r="AU24"/>
    </row>
    <row r="25" spans="1:47">
      <c r="A25" s="57">
        <f t="shared" si="0"/>
        <v>0</v>
      </c>
      <c r="B25" s="183" t="str">
        <f t="shared" si="2"/>
        <v/>
      </c>
      <c r="C25" t="str">
        <f>IFERROR(IF(R25&gt;0,INDEX(PMELIGHT[Measure '#],MATCH(AB25,PMELIGHT[Eff Desc 1],0)),""),"")</f>
        <v/>
      </c>
      <c r="D25" t="s">
        <v>947</v>
      </c>
      <c r="F25" s="185">
        <f>INDEX('M03-S01'!$AB$16:$AB$198,2*(ROWS($F$4:F25)-1)+1)</f>
        <v>0</v>
      </c>
      <c r="G25" s="186">
        <f>INDEX('M03-S01'!$Y$16:$Y$198,2*(ROWS($G$4:G25)-1)+1)</f>
        <v>0</v>
      </c>
      <c r="H25" s="186" t="str">
        <f>IF(ISNUMBER(INDEX('M03-S01'!$AN$16:$AN$198,2*(ROWS($R$4:R25)-1)+1)),"Total","")</f>
        <v/>
      </c>
      <c r="I25" s="184">
        <f>IFERROR(ROUND(INDEX('M03-S01'!$S$16:$S$198,2*(ROWS($I$4:I25)-1)+1)*INDEX('M03-S01'!$AE$16:$AE$198,2*(ROWS($I$4:I25)-1)+1),2),0)</f>
        <v>0</v>
      </c>
      <c r="J25" s="184">
        <f>IFERROR(ROUND(INDEX('M03-S01'!$S$16:$S$198,2*(ROWS($J$4:J25)-1)+1)*INDEX('M03-S01'!$AG$16:$AG$198,2*(ROWS($J$4:J25)-1)+1),2),0)</f>
        <v>0</v>
      </c>
      <c r="K25" s="52">
        <f>IFERROR(ROUND(INDEX('M03-S01'!$AU$16:$AU$198,2*(ROWS($K$4:K25)-1)+1),2),0)</f>
        <v>0</v>
      </c>
      <c r="L25" s="52" t="str">
        <f>IFERROR(IF(R25&gt;0,M25*INDEX(PMELIGHT[Incremental Cost],MATCH(AB25,PMELIGHT[Eff Desc 1],0)),""),"")</f>
        <v/>
      </c>
      <c r="M25" s="456">
        <f>IF(ISNUMBER(SEARCH("8ft",INDEX('M03-S01'!$K$16:$K$198,2*(ROWS($M$4:M25)-1)+1))),INDEX('M03-S01'!$S$16:$S$198,2*(ROWS($M$4:M25)-1)+1)*2,INDEX('M03-S01'!$S$16:$S$198,2*(ROWS($M$4:M25)-1)+1))</f>
        <v>0</v>
      </c>
      <c r="N25" s="184" t="str">
        <f>IF(ISNUMBER(INDEX('M03-S01'!$AN$16:$AN$198,2*(ROWS($R$4:R25)-1)+1)),INDEX('M03-S01'!$AK$16:$AK$198,2*(ROWS($N$4:N25)-1)+1),"")</f>
        <v/>
      </c>
      <c r="O25" s="456" t="str">
        <f>IFERROR(IF(ISNUMBER(INDEX('M03-S01'!$AN$16:$AN$198,2*(ROWS($R$4:R25)-1)+1)),INDEX('M03-S01'!$AV$16:$AV$198,2*(ROWS($O$4:O25)-1)+1),""),"")</f>
        <v/>
      </c>
      <c r="P25" s="459"/>
      <c r="Q25" s="184" t="str">
        <f>IFERROR(IF(ISNUMBER(INDEX('M03-S01'!$AN$16:$AN$198,2*(ROWS($R$4:R25)-1)+1)),INDEX('M03-S01'!$AY$16:$AY$198,2*(ROWS($Q$4:Q25)-1)+1),""),"")</f>
        <v/>
      </c>
      <c r="R25" s="184">
        <f>IF(ISNUMBER(INDEX('M03-S01'!$AN$16:$AN$198,2*(ROWS($R$4:R25)-1)+1)),INDEX('M03-S01'!$AN$16:$AN$198,2*(ROWS($R$4:R25)-1)+1),0)</f>
        <v>0</v>
      </c>
      <c r="S25" s="459"/>
      <c r="T25" s="113"/>
      <c r="U25" s="140"/>
      <c r="V25" s="113"/>
      <c r="W25" s="96" t="str">
        <f>IFERROR(IF(NOT(ISNUMBER(INDEX('M03-S01'!$AN$16:$AN$198,2*(ROWS($R$4:R25)-1)+1))),INDEX('M03-S01'!$BC$16:$BC$198,2*(ROWS($R$4:R25)-1)+1),""),"")</f>
        <v/>
      </c>
      <c r="X25" s="184" t="str">
        <f>IFERROR(ROUND(IF(ISNUMBER(SEARCH("8ft",INDEX('M03-S01'!$K$16:$K$198,2*(ROWS($X$4:X25)-1)+1))),INDEX('M03-S01'!$I$16:$I$198,2*(ROWS($X$4:X25)-1)+1)/2,INDEX('M03-S01'!$I$16:$I$198,2*(ROWS($X$4:X25)-1)+1)),3),"")</f>
        <v/>
      </c>
      <c r="Y25" s="184" t="str">
        <f>IFERROR(ROUND(IF(ISNUMBER(SEARCH("8ft",INDEX('M03-S01'!$K$16:$K$198,2*(ROWS($Y$4:Y25)-1)+1))),INDEX('M03-S01'!$Q$16:$Q$198,2*(ROWS($Y$4:Y25)-1)+1)/2,INDEX('M03-S01'!$Q$16:$Q$198,2*(ROWS($Y$4:Y25)-1)+1)),3),"")</f>
        <v/>
      </c>
      <c r="Z25" s="111">
        <f>INDEX('M03-S01'!$B$16:$B$198,2*(ROWS($Z$4:Z25)-1)+1)</f>
        <v>22</v>
      </c>
      <c r="AA25" s="111">
        <f>IF(ISNUMBER(SEARCH("8ft",INDEX('M03-S01'!$C$16:$C$199,2*(ROWS($Z$4:AA25)-1)+1))),SUBSTITUTE(INDEX('M03-S01'!$C$16:$C$199,2*(ROWS($Z$4:AA25)-1)+1),"8ft","4ft"),INDEX('M03-S01'!$C$16:$C$199,2*(ROWS($Z$4:AA25)-1)+1))</f>
        <v>0</v>
      </c>
      <c r="AB25" s="111">
        <f>IF(ISNUMBER(SEARCH("8ft",INDEX('M03-S01'!$K$16:$K$199,2*(ROWS($Z$4:AB25)-1)+1))),SUBSTITUTE(INDEX('M03-S01'!$K$16:$K$199,2*(ROWS($Z$4:AB25)-1)+1),"8ft","4ft"),INDEX('M03-S01'!$K$16:$K$199,2*(ROWS($Z$4:AB25)-1)+1))</f>
        <v>0</v>
      </c>
      <c r="AC25" s="96"/>
      <c r="AD25">
        <f>INDEX('M03-S01'!$U$16:$U$198,2*(ROWS($AD$4:AD25)-1)+1)</f>
        <v>0</v>
      </c>
      <c r="AE25" s="459"/>
      <c r="AF25" s="459"/>
      <c r="AG25" s="111" t="str">
        <f>INDEX('M03-S01'!$AW$16:$AW$198,2*(ROWS($AG$4:AG25)-1)+1)</f>
        <v/>
      </c>
      <c r="AH25" s="111" t="str">
        <f>INDEX('M03-S01'!$AX$16:$AX$198,2*(ROWS($AH$4:AH25)-1)+1)</f>
        <v/>
      </c>
      <c r="AI25" s="113"/>
      <c r="AJ25" s="113"/>
      <c r="AK25" s="113"/>
      <c r="AL25" s="113"/>
      <c r="AM25" s="113"/>
      <c r="AN25" s="113"/>
      <c r="AO25" s="52" t="str">
        <f>IFERROR(INDEX(PMELIGHT[Program Design],MATCH(AB25,PMELIGHT[Eff Desc 1])),"")</f>
        <v/>
      </c>
      <c r="AU25"/>
    </row>
    <row r="26" spans="1:47">
      <c r="A26" s="57">
        <f t="shared" si="0"/>
        <v>0</v>
      </c>
      <c r="B26" s="183" t="str">
        <f t="shared" si="2"/>
        <v/>
      </c>
      <c r="C26" t="str">
        <f>IFERROR(IF(R26&gt;0,INDEX(PMELIGHT[Measure '#],MATCH(AB26,PMELIGHT[Eff Desc 1],0)),""),"")</f>
        <v/>
      </c>
      <c r="D26" t="s">
        <v>947</v>
      </c>
      <c r="F26" s="185">
        <f>INDEX('M03-S01'!$AB$16:$AB$198,2*(ROWS($F$4:F26)-1)+1)</f>
        <v>0</v>
      </c>
      <c r="G26" s="186">
        <f>INDEX('M03-S01'!$Y$16:$Y$198,2*(ROWS($G$4:G26)-1)+1)</f>
        <v>0</v>
      </c>
      <c r="H26" s="186" t="str">
        <f>IF(ISNUMBER(INDEX('M03-S01'!$AN$16:$AN$198,2*(ROWS($R$4:R26)-1)+1)),"Total","")</f>
        <v/>
      </c>
      <c r="I26" s="184">
        <f>IFERROR(ROUND(INDEX('M03-S01'!$S$16:$S$198,2*(ROWS($I$4:I26)-1)+1)*INDEX('M03-S01'!$AE$16:$AE$198,2*(ROWS($I$4:I26)-1)+1),2),0)</f>
        <v>0</v>
      </c>
      <c r="J26" s="184">
        <f>IFERROR(ROUND(INDEX('M03-S01'!$S$16:$S$198,2*(ROWS($J$4:J26)-1)+1)*INDEX('M03-S01'!$AG$16:$AG$198,2*(ROWS($J$4:J26)-1)+1),2),0)</f>
        <v>0</v>
      </c>
      <c r="K26" s="52">
        <f>IFERROR(ROUND(INDEX('M03-S01'!$AU$16:$AU$198,2*(ROWS($K$4:K26)-1)+1),2),0)</f>
        <v>0</v>
      </c>
      <c r="L26" s="52" t="str">
        <f>IFERROR(IF(R26&gt;0,M26*INDEX(PMELIGHT[Incremental Cost],MATCH(AB26,PMELIGHT[Eff Desc 1],0)),""),"")</f>
        <v/>
      </c>
      <c r="M26" s="456">
        <f>IF(ISNUMBER(SEARCH("8ft",INDEX('M03-S01'!$K$16:$K$198,2*(ROWS($M$4:M26)-1)+1))),INDEX('M03-S01'!$S$16:$S$198,2*(ROWS($M$4:M26)-1)+1)*2,INDEX('M03-S01'!$S$16:$S$198,2*(ROWS($M$4:M26)-1)+1))</f>
        <v>0</v>
      </c>
      <c r="N26" s="184" t="str">
        <f>IF(ISNUMBER(INDEX('M03-S01'!$AN$16:$AN$198,2*(ROWS($R$4:R26)-1)+1)),INDEX('M03-S01'!$AK$16:$AK$198,2*(ROWS($N$4:N26)-1)+1),"")</f>
        <v/>
      </c>
      <c r="O26" s="456" t="str">
        <f>IFERROR(IF(ISNUMBER(INDEX('M03-S01'!$AN$16:$AN$198,2*(ROWS($R$4:R26)-1)+1)),INDEX('M03-S01'!$AV$16:$AV$198,2*(ROWS($O$4:O26)-1)+1),""),"")</f>
        <v/>
      </c>
      <c r="P26" s="459"/>
      <c r="Q26" s="184" t="str">
        <f>IFERROR(IF(ISNUMBER(INDEX('M03-S01'!$AN$16:$AN$198,2*(ROWS($R$4:R26)-1)+1)),INDEX('M03-S01'!$AY$16:$AY$198,2*(ROWS($Q$4:Q26)-1)+1),""),"")</f>
        <v/>
      </c>
      <c r="R26" s="184">
        <f>IF(ISNUMBER(INDEX('M03-S01'!$AN$16:$AN$198,2*(ROWS($R$4:R26)-1)+1)),INDEX('M03-S01'!$AN$16:$AN$198,2*(ROWS($R$4:R26)-1)+1),0)</f>
        <v>0</v>
      </c>
      <c r="S26" s="459"/>
      <c r="T26" s="113"/>
      <c r="U26" s="140"/>
      <c r="V26" s="113"/>
      <c r="W26" s="96" t="str">
        <f>IFERROR(IF(NOT(ISNUMBER(INDEX('M03-S01'!$AN$16:$AN$198,2*(ROWS($R$4:R26)-1)+1))),INDEX('M03-S01'!$BC$16:$BC$198,2*(ROWS($R$4:R26)-1)+1),""),"")</f>
        <v/>
      </c>
      <c r="X26" s="184" t="str">
        <f>IFERROR(ROUND(IF(ISNUMBER(SEARCH("8ft",INDEX('M03-S01'!$K$16:$K$198,2*(ROWS($X$4:X26)-1)+1))),INDEX('M03-S01'!$I$16:$I$198,2*(ROWS($X$4:X26)-1)+1)/2,INDEX('M03-S01'!$I$16:$I$198,2*(ROWS($X$4:X26)-1)+1)),3),"")</f>
        <v/>
      </c>
      <c r="Y26" s="184" t="str">
        <f>IFERROR(ROUND(IF(ISNUMBER(SEARCH("8ft",INDEX('M03-S01'!$K$16:$K$198,2*(ROWS($Y$4:Y26)-1)+1))),INDEX('M03-S01'!$Q$16:$Q$198,2*(ROWS($Y$4:Y26)-1)+1)/2,INDEX('M03-S01'!$Q$16:$Q$198,2*(ROWS($Y$4:Y26)-1)+1)),3),"")</f>
        <v/>
      </c>
      <c r="Z26" s="111">
        <f>INDEX('M03-S01'!$B$16:$B$198,2*(ROWS($Z$4:Z26)-1)+1)</f>
        <v>23</v>
      </c>
      <c r="AA26" s="111">
        <f>IF(ISNUMBER(SEARCH("8ft",INDEX('M03-S01'!$C$16:$C$199,2*(ROWS($Z$4:AA26)-1)+1))),SUBSTITUTE(INDEX('M03-S01'!$C$16:$C$199,2*(ROWS($Z$4:AA26)-1)+1),"8ft","4ft"),INDEX('M03-S01'!$C$16:$C$199,2*(ROWS($Z$4:AA26)-1)+1))</f>
        <v>0</v>
      </c>
      <c r="AB26" s="111">
        <f>IF(ISNUMBER(SEARCH("8ft",INDEX('M03-S01'!$K$16:$K$199,2*(ROWS($Z$4:AB26)-1)+1))),SUBSTITUTE(INDEX('M03-S01'!$K$16:$K$199,2*(ROWS($Z$4:AB26)-1)+1),"8ft","4ft"),INDEX('M03-S01'!$K$16:$K$199,2*(ROWS($Z$4:AB26)-1)+1))</f>
        <v>0</v>
      </c>
      <c r="AC26" s="96"/>
      <c r="AD26">
        <f>INDEX('M03-S01'!$U$16:$U$198,2*(ROWS($AD$4:AD26)-1)+1)</f>
        <v>0</v>
      </c>
      <c r="AE26" s="459"/>
      <c r="AF26" s="459"/>
      <c r="AG26" s="111" t="str">
        <f>INDEX('M03-S01'!$AW$16:$AW$198,2*(ROWS($AG$4:AG26)-1)+1)</f>
        <v/>
      </c>
      <c r="AH26" s="111" t="str">
        <f>INDEX('M03-S01'!$AX$16:$AX$198,2*(ROWS($AH$4:AH26)-1)+1)</f>
        <v/>
      </c>
      <c r="AI26" s="113"/>
      <c r="AJ26" s="113"/>
      <c r="AK26" s="113"/>
      <c r="AL26" s="113"/>
      <c r="AM26" s="113"/>
      <c r="AN26" s="113"/>
      <c r="AO26" s="52" t="str">
        <f>IFERROR(INDEX(PMELIGHT[Program Design],MATCH(AB26,PMELIGHT[Eff Desc 1])),"")</f>
        <v/>
      </c>
      <c r="AU26"/>
    </row>
    <row r="27" spans="1:47">
      <c r="A27" s="57">
        <f t="shared" si="0"/>
        <v>0</v>
      </c>
      <c r="B27" s="183" t="str">
        <f t="shared" si="2"/>
        <v/>
      </c>
      <c r="C27" t="str">
        <f>IFERROR(IF(R27&gt;0,INDEX(PMELIGHT[Measure '#],MATCH(AB27,PMELIGHT[Eff Desc 1],0)),""),"")</f>
        <v/>
      </c>
      <c r="D27" t="s">
        <v>947</v>
      </c>
      <c r="F27" s="185">
        <f>INDEX('M03-S01'!$AB$16:$AB$198,2*(ROWS($F$4:F27)-1)+1)</f>
        <v>0</v>
      </c>
      <c r="G27" s="186">
        <f>INDEX('M03-S01'!$Y$16:$Y$198,2*(ROWS($G$4:G27)-1)+1)</f>
        <v>0</v>
      </c>
      <c r="H27" s="186" t="str">
        <f>IF(ISNUMBER(INDEX('M03-S01'!$AN$16:$AN$198,2*(ROWS($R$4:R27)-1)+1)),"Total","")</f>
        <v/>
      </c>
      <c r="I27" s="184">
        <f>IFERROR(ROUND(INDEX('M03-S01'!$S$16:$S$198,2*(ROWS($I$4:I27)-1)+1)*INDEX('M03-S01'!$AE$16:$AE$198,2*(ROWS($I$4:I27)-1)+1),2),0)</f>
        <v>0</v>
      </c>
      <c r="J27" s="184">
        <f>IFERROR(ROUND(INDEX('M03-S01'!$S$16:$S$198,2*(ROWS($J$4:J27)-1)+1)*INDEX('M03-S01'!$AG$16:$AG$198,2*(ROWS($J$4:J27)-1)+1),2),0)</f>
        <v>0</v>
      </c>
      <c r="K27" s="52">
        <f>IFERROR(ROUND(INDEX('M03-S01'!$AU$16:$AU$198,2*(ROWS($K$4:K27)-1)+1),2),0)</f>
        <v>0</v>
      </c>
      <c r="L27" s="52" t="str">
        <f>IFERROR(IF(R27&gt;0,M27*INDEX(PMELIGHT[Incremental Cost],MATCH(AB27,PMELIGHT[Eff Desc 1],0)),""),"")</f>
        <v/>
      </c>
      <c r="M27" s="456">
        <f>IF(ISNUMBER(SEARCH("8ft",INDEX('M03-S01'!$K$16:$K$198,2*(ROWS($M$4:M27)-1)+1))),INDEX('M03-S01'!$S$16:$S$198,2*(ROWS($M$4:M27)-1)+1)*2,INDEX('M03-S01'!$S$16:$S$198,2*(ROWS($M$4:M27)-1)+1))</f>
        <v>0</v>
      </c>
      <c r="N27" s="184" t="str">
        <f>IF(ISNUMBER(INDEX('M03-S01'!$AN$16:$AN$198,2*(ROWS($R$4:R27)-1)+1)),INDEX('M03-S01'!$AK$16:$AK$198,2*(ROWS($N$4:N27)-1)+1),"")</f>
        <v/>
      </c>
      <c r="O27" s="456" t="str">
        <f>IFERROR(IF(ISNUMBER(INDEX('M03-S01'!$AN$16:$AN$198,2*(ROWS($R$4:R27)-1)+1)),INDEX('M03-S01'!$AV$16:$AV$198,2*(ROWS($O$4:O27)-1)+1),""),"")</f>
        <v/>
      </c>
      <c r="P27" s="459"/>
      <c r="Q27" s="184" t="str">
        <f>IFERROR(IF(ISNUMBER(INDEX('M03-S01'!$AN$16:$AN$198,2*(ROWS($R$4:R27)-1)+1)),INDEX('M03-S01'!$AY$16:$AY$198,2*(ROWS($Q$4:Q27)-1)+1),""),"")</f>
        <v/>
      </c>
      <c r="R27" s="184">
        <f>IF(ISNUMBER(INDEX('M03-S01'!$AN$16:$AN$198,2*(ROWS($R$4:R27)-1)+1)),INDEX('M03-S01'!$AN$16:$AN$198,2*(ROWS($R$4:R27)-1)+1),0)</f>
        <v>0</v>
      </c>
      <c r="S27" s="459"/>
      <c r="T27" s="113"/>
      <c r="U27" s="140"/>
      <c r="V27" s="113"/>
      <c r="W27" s="96" t="str">
        <f>IFERROR(IF(NOT(ISNUMBER(INDEX('M03-S01'!$AN$16:$AN$198,2*(ROWS($R$4:R27)-1)+1))),INDEX('M03-S01'!$BC$16:$BC$198,2*(ROWS($R$4:R27)-1)+1),""),"")</f>
        <v/>
      </c>
      <c r="X27" s="184" t="str">
        <f>IFERROR(ROUND(IF(ISNUMBER(SEARCH("8ft",INDEX('M03-S01'!$K$16:$K$198,2*(ROWS($X$4:X27)-1)+1))),INDEX('M03-S01'!$I$16:$I$198,2*(ROWS($X$4:X27)-1)+1)/2,INDEX('M03-S01'!$I$16:$I$198,2*(ROWS($X$4:X27)-1)+1)),3),"")</f>
        <v/>
      </c>
      <c r="Y27" s="184" t="str">
        <f>IFERROR(ROUND(IF(ISNUMBER(SEARCH("8ft",INDEX('M03-S01'!$K$16:$K$198,2*(ROWS($Y$4:Y27)-1)+1))),INDEX('M03-S01'!$Q$16:$Q$198,2*(ROWS($Y$4:Y27)-1)+1)/2,INDEX('M03-S01'!$Q$16:$Q$198,2*(ROWS($Y$4:Y27)-1)+1)),3),"")</f>
        <v/>
      </c>
      <c r="Z27" s="111">
        <f>INDEX('M03-S01'!$B$16:$B$198,2*(ROWS($Z$4:Z27)-1)+1)</f>
        <v>24</v>
      </c>
      <c r="AA27" s="111">
        <f>IF(ISNUMBER(SEARCH("8ft",INDEX('M03-S01'!$C$16:$C$199,2*(ROWS($Z$4:AA27)-1)+1))),SUBSTITUTE(INDEX('M03-S01'!$C$16:$C$199,2*(ROWS($Z$4:AA27)-1)+1),"8ft","4ft"),INDEX('M03-S01'!$C$16:$C$199,2*(ROWS($Z$4:AA27)-1)+1))</f>
        <v>0</v>
      </c>
      <c r="AB27" s="111">
        <f>IF(ISNUMBER(SEARCH("8ft",INDEX('M03-S01'!$K$16:$K$199,2*(ROWS($Z$4:AB27)-1)+1))),SUBSTITUTE(INDEX('M03-S01'!$K$16:$K$199,2*(ROWS($Z$4:AB27)-1)+1),"8ft","4ft"),INDEX('M03-S01'!$K$16:$K$199,2*(ROWS($Z$4:AB27)-1)+1))</f>
        <v>0</v>
      </c>
      <c r="AC27" s="96"/>
      <c r="AD27">
        <f>INDEX('M03-S01'!$U$16:$U$198,2*(ROWS($AD$4:AD27)-1)+1)</f>
        <v>0</v>
      </c>
      <c r="AE27" s="459"/>
      <c r="AF27" s="459"/>
      <c r="AG27" s="111" t="str">
        <f>INDEX('M03-S01'!$AW$16:$AW$198,2*(ROWS($AG$4:AG27)-1)+1)</f>
        <v/>
      </c>
      <c r="AH27" s="111" t="str">
        <f>INDEX('M03-S01'!$AX$16:$AX$198,2*(ROWS($AH$4:AH27)-1)+1)</f>
        <v/>
      </c>
      <c r="AI27" s="113"/>
      <c r="AJ27" s="113"/>
      <c r="AK27" s="113"/>
      <c r="AL27" s="113"/>
      <c r="AM27" s="113"/>
      <c r="AN27" s="113"/>
      <c r="AO27" s="52" t="str">
        <f>IFERROR(INDEX(PMELIGHT[Program Design],MATCH(AB27,PMELIGHT[Eff Desc 1])),"")</f>
        <v/>
      </c>
      <c r="AU27"/>
    </row>
    <row r="28" spans="1:47">
      <c r="A28" s="57">
        <f t="shared" si="0"/>
        <v>0</v>
      </c>
      <c r="B28" s="183" t="str">
        <f t="shared" si="2"/>
        <v/>
      </c>
      <c r="C28" t="str">
        <f>IFERROR(IF(R28&gt;0,INDEX(PMELIGHT[Measure '#],MATCH(AB28,PMELIGHT[Eff Desc 1],0)),""),"")</f>
        <v/>
      </c>
      <c r="D28" t="s">
        <v>947</v>
      </c>
      <c r="F28" s="185">
        <f>INDEX('M03-S01'!$AB$16:$AB$198,2*(ROWS($F$4:F28)-1)+1)</f>
        <v>0</v>
      </c>
      <c r="G28" s="186">
        <f>INDEX('M03-S01'!$Y$16:$Y$198,2*(ROWS($G$4:G28)-1)+1)</f>
        <v>0</v>
      </c>
      <c r="H28" s="186" t="str">
        <f>IF(ISNUMBER(INDEX('M03-S01'!$AN$16:$AN$198,2*(ROWS($R$4:R28)-1)+1)),"Total","")</f>
        <v/>
      </c>
      <c r="I28" s="184">
        <f>IFERROR(ROUND(INDEX('M03-S01'!$S$16:$S$198,2*(ROWS($I$4:I28)-1)+1)*INDEX('M03-S01'!$AE$16:$AE$198,2*(ROWS($I$4:I28)-1)+1),2),0)</f>
        <v>0</v>
      </c>
      <c r="J28" s="184">
        <f>IFERROR(ROUND(INDEX('M03-S01'!$S$16:$S$198,2*(ROWS($J$4:J28)-1)+1)*INDEX('M03-S01'!$AG$16:$AG$198,2*(ROWS($J$4:J28)-1)+1),2),0)</f>
        <v>0</v>
      </c>
      <c r="K28" s="52">
        <f>IFERROR(ROUND(INDEX('M03-S01'!$AU$16:$AU$198,2*(ROWS($K$4:K28)-1)+1),2),0)</f>
        <v>0</v>
      </c>
      <c r="L28" s="52" t="str">
        <f>IFERROR(IF(R28&gt;0,M28*INDEX(PMELIGHT[Incremental Cost],MATCH(AB28,PMELIGHT[Eff Desc 1],0)),""),"")</f>
        <v/>
      </c>
      <c r="M28" s="456">
        <f>IF(ISNUMBER(SEARCH("8ft",INDEX('M03-S01'!$K$16:$K$198,2*(ROWS($M$4:M28)-1)+1))),INDEX('M03-S01'!$S$16:$S$198,2*(ROWS($M$4:M28)-1)+1)*2,INDEX('M03-S01'!$S$16:$S$198,2*(ROWS($M$4:M28)-1)+1))</f>
        <v>0</v>
      </c>
      <c r="N28" s="184" t="str">
        <f>IF(ISNUMBER(INDEX('M03-S01'!$AN$16:$AN$198,2*(ROWS($R$4:R28)-1)+1)),INDEX('M03-S01'!$AK$16:$AK$198,2*(ROWS($N$4:N28)-1)+1),"")</f>
        <v/>
      </c>
      <c r="O28" s="456" t="str">
        <f>IFERROR(IF(ISNUMBER(INDEX('M03-S01'!$AN$16:$AN$198,2*(ROWS($R$4:R28)-1)+1)),INDEX('M03-S01'!$AV$16:$AV$198,2*(ROWS($O$4:O28)-1)+1),""),"")</f>
        <v/>
      </c>
      <c r="P28" s="459"/>
      <c r="Q28" s="184" t="str">
        <f>IFERROR(IF(ISNUMBER(INDEX('M03-S01'!$AN$16:$AN$198,2*(ROWS($R$4:R28)-1)+1)),INDEX('M03-S01'!$AY$16:$AY$198,2*(ROWS($Q$4:Q28)-1)+1),""),"")</f>
        <v/>
      </c>
      <c r="R28" s="184">
        <f>IF(ISNUMBER(INDEX('M03-S01'!$AN$16:$AN$198,2*(ROWS($R$4:R28)-1)+1)),INDEX('M03-S01'!$AN$16:$AN$198,2*(ROWS($R$4:R28)-1)+1),0)</f>
        <v>0</v>
      </c>
      <c r="S28" s="459"/>
      <c r="T28" s="113"/>
      <c r="U28" s="140"/>
      <c r="V28" s="113"/>
      <c r="W28" s="96" t="str">
        <f>IFERROR(IF(NOT(ISNUMBER(INDEX('M03-S01'!$AN$16:$AN$198,2*(ROWS($R$4:R28)-1)+1))),INDEX('M03-S01'!$BC$16:$BC$198,2*(ROWS($R$4:R28)-1)+1),""),"")</f>
        <v/>
      </c>
      <c r="X28" s="184" t="str">
        <f>IFERROR(ROUND(IF(ISNUMBER(SEARCH("8ft",INDEX('M03-S01'!$K$16:$K$198,2*(ROWS($X$4:X28)-1)+1))),INDEX('M03-S01'!$I$16:$I$198,2*(ROWS($X$4:X28)-1)+1)/2,INDEX('M03-S01'!$I$16:$I$198,2*(ROWS($X$4:X28)-1)+1)),3),"")</f>
        <v/>
      </c>
      <c r="Y28" s="184" t="str">
        <f>IFERROR(ROUND(IF(ISNUMBER(SEARCH("8ft",INDEX('M03-S01'!$K$16:$K$198,2*(ROWS($Y$4:Y28)-1)+1))),INDEX('M03-S01'!$Q$16:$Q$198,2*(ROWS($Y$4:Y28)-1)+1)/2,INDEX('M03-S01'!$Q$16:$Q$198,2*(ROWS($Y$4:Y28)-1)+1)),3),"")</f>
        <v/>
      </c>
      <c r="Z28" s="111">
        <f>INDEX('M03-S01'!$B$16:$B$198,2*(ROWS($Z$4:Z28)-1)+1)</f>
        <v>25</v>
      </c>
      <c r="AA28" s="111">
        <f>IF(ISNUMBER(SEARCH("8ft",INDEX('M03-S01'!$C$16:$C$199,2*(ROWS($Z$4:AA28)-1)+1))),SUBSTITUTE(INDEX('M03-S01'!$C$16:$C$199,2*(ROWS($Z$4:AA28)-1)+1),"8ft","4ft"),INDEX('M03-S01'!$C$16:$C$199,2*(ROWS($Z$4:AA28)-1)+1))</f>
        <v>0</v>
      </c>
      <c r="AB28" s="111">
        <f>IF(ISNUMBER(SEARCH("8ft",INDEX('M03-S01'!$K$16:$K$199,2*(ROWS($Z$4:AB28)-1)+1))),SUBSTITUTE(INDEX('M03-S01'!$K$16:$K$199,2*(ROWS($Z$4:AB28)-1)+1),"8ft","4ft"),INDEX('M03-S01'!$K$16:$K$199,2*(ROWS($Z$4:AB28)-1)+1))</f>
        <v>0</v>
      </c>
      <c r="AC28" s="96"/>
      <c r="AD28">
        <f>INDEX('M03-S01'!$U$16:$U$198,2*(ROWS($AD$4:AD28)-1)+1)</f>
        <v>0</v>
      </c>
      <c r="AE28" s="459"/>
      <c r="AF28" s="459"/>
      <c r="AG28" s="111" t="str">
        <f>INDEX('M03-S01'!$AW$16:$AW$198,2*(ROWS($AG$4:AG28)-1)+1)</f>
        <v/>
      </c>
      <c r="AH28" s="111" t="str">
        <f>INDEX('M03-S01'!$AX$16:$AX$198,2*(ROWS($AH$4:AH28)-1)+1)</f>
        <v/>
      </c>
      <c r="AI28" s="113"/>
      <c r="AJ28" s="113"/>
      <c r="AK28" s="113"/>
      <c r="AL28" s="113"/>
      <c r="AM28" s="113"/>
      <c r="AN28" s="113"/>
      <c r="AO28" s="52" t="str">
        <f>IFERROR(INDEX(PMELIGHT[Program Design],MATCH(AB28,PMELIGHT[Eff Desc 1])),"")</f>
        <v/>
      </c>
      <c r="AU28"/>
    </row>
    <row r="29" spans="1:47">
      <c r="A29" s="57">
        <f t="shared" si="0"/>
        <v>0</v>
      </c>
      <c r="B29" s="183" t="str">
        <f t="shared" si="2"/>
        <v/>
      </c>
      <c r="C29" t="str">
        <f>IFERROR(IF(R29&gt;0,INDEX(PMELIGHT[Measure '#],MATCH(AB29,PMELIGHT[Eff Desc 1],0)),""),"")</f>
        <v/>
      </c>
      <c r="D29" t="s">
        <v>947</v>
      </c>
      <c r="F29" s="185">
        <f>INDEX('M03-S01'!$AB$16:$AB$198,2*(ROWS($F$4:F29)-1)+1)</f>
        <v>0</v>
      </c>
      <c r="G29" s="186">
        <f>INDEX('M03-S01'!$Y$16:$Y$198,2*(ROWS($G$4:G29)-1)+1)</f>
        <v>0</v>
      </c>
      <c r="H29" s="186" t="str">
        <f>IF(ISNUMBER(INDEX('M03-S01'!$AN$16:$AN$198,2*(ROWS($R$4:R29)-1)+1)),"Total","")</f>
        <v/>
      </c>
      <c r="I29" s="184">
        <f>IFERROR(ROUND(INDEX('M03-S01'!$S$16:$S$198,2*(ROWS($I$4:I29)-1)+1)*INDEX('M03-S01'!$AE$16:$AE$198,2*(ROWS($I$4:I29)-1)+1),2),0)</f>
        <v>0</v>
      </c>
      <c r="J29" s="184">
        <f>IFERROR(ROUND(INDEX('M03-S01'!$S$16:$S$198,2*(ROWS($J$4:J29)-1)+1)*INDEX('M03-S01'!$AG$16:$AG$198,2*(ROWS($J$4:J29)-1)+1),2),0)</f>
        <v>0</v>
      </c>
      <c r="K29" s="52">
        <f>IFERROR(ROUND(INDEX('M03-S01'!$AU$16:$AU$198,2*(ROWS($K$4:K29)-1)+1),2),0)</f>
        <v>0</v>
      </c>
      <c r="L29" s="52" t="str">
        <f>IFERROR(IF(R29&gt;0,M29*INDEX(PMELIGHT[Incremental Cost],MATCH(AB29,PMELIGHT[Eff Desc 1],0)),""),"")</f>
        <v/>
      </c>
      <c r="M29" s="456">
        <f>IF(ISNUMBER(SEARCH("8ft",INDEX('M03-S01'!$K$16:$K$198,2*(ROWS($M$4:M29)-1)+1))),INDEX('M03-S01'!$S$16:$S$198,2*(ROWS($M$4:M29)-1)+1)*2,INDEX('M03-S01'!$S$16:$S$198,2*(ROWS($M$4:M29)-1)+1))</f>
        <v>0</v>
      </c>
      <c r="N29" s="184" t="str">
        <f>IF(ISNUMBER(INDEX('M03-S01'!$AN$16:$AN$198,2*(ROWS($R$4:R29)-1)+1)),INDEX('M03-S01'!$AK$16:$AK$198,2*(ROWS($N$4:N29)-1)+1),"")</f>
        <v/>
      </c>
      <c r="O29" s="456" t="str">
        <f>IFERROR(IF(ISNUMBER(INDEX('M03-S01'!$AN$16:$AN$198,2*(ROWS($R$4:R29)-1)+1)),INDEX('M03-S01'!$AV$16:$AV$198,2*(ROWS($O$4:O29)-1)+1),""),"")</f>
        <v/>
      </c>
      <c r="P29" s="459"/>
      <c r="Q29" s="184" t="str">
        <f>IFERROR(IF(ISNUMBER(INDEX('M03-S01'!$AN$16:$AN$198,2*(ROWS($R$4:R29)-1)+1)),INDEX('M03-S01'!$AY$16:$AY$198,2*(ROWS($Q$4:Q29)-1)+1),""),"")</f>
        <v/>
      </c>
      <c r="R29" s="184">
        <f>IF(ISNUMBER(INDEX('M03-S01'!$AN$16:$AN$198,2*(ROWS($R$4:R29)-1)+1)),INDEX('M03-S01'!$AN$16:$AN$198,2*(ROWS($R$4:R29)-1)+1),0)</f>
        <v>0</v>
      </c>
      <c r="S29" s="459"/>
      <c r="T29" s="113"/>
      <c r="U29" s="140"/>
      <c r="V29" s="113"/>
      <c r="W29" s="96" t="str">
        <f>IFERROR(IF(NOT(ISNUMBER(INDEX('M03-S01'!$AN$16:$AN$198,2*(ROWS($R$4:R29)-1)+1))),INDEX('M03-S01'!$BC$16:$BC$198,2*(ROWS($R$4:R29)-1)+1),""),"")</f>
        <v/>
      </c>
      <c r="X29" s="184" t="str">
        <f>IFERROR(ROUND(IF(ISNUMBER(SEARCH("8ft",INDEX('M03-S01'!$K$16:$K$198,2*(ROWS($X$4:X29)-1)+1))),INDEX('M03-S01'!$I$16:$I$198,2*(ROWS($X$4:X29)-1)+1)/2,INDEX('M03-S01'!$I$16:$I$198,2*(ROWS($X$4:X29)-1)+1)),3),"")</f>
        <v/>
      </c>
      <c r="Y29" s="184" t="str">
        <f>IFERROR(ROUND(IF(ISNUMBER(SEARCH("8ft",INDEX('M03-S01'!$K$16:$K$198,2*(ROWS($Y$4:Y29)-1)+1))),INDEX('M03-S01'!$Q$16:$Q$198,2*(ROWS($Y$4:Y29)-1)+1)/2,INDEX('M03-S01'!$Q$16:$Q$198,2*(ROWS($Y$4:Y29)-1)+1)),3),"")</f>
        <v/>
      </c>
      <c r="Z29" s="111">
        <f>INDEX('M03-S01'!$B$16:$B$198,2*(ROWS($Z$4:Z29)-1)+1)</f>
        <v>26</v>
      </c>
      <c r="AA29" s="111">
        <f>IF(ISNUMBER(SEARCH("8ft",INDEX('M03-S01'!$C$16:$C$199,2*(ROWS($Z$4:AA29)-1)+1))),SUBSTITUTE(INDEX('M03-S01'!$C$16:$C$199,2*(ROWS($Z$4:AA29)-1)+1),"8ft","4ft"),INDEX('M03-S01'!$C$16:$C$199,2*(ROWS($Z$4:AA29)-1)+1))</f>
        <v>0</v>
      </c>
      <c r="AB29" s="111">
        <f>IF(ISNUMBER(SEARCH("8ft",INDEX('M03-S01'!$K$16:$K$199,2*(ROWS($Z$4:AB29)-1)+1))),SUBSTITUTE(INDEX('M03-S01'!$K$16:$K$199,2*(ROWS($Z$4:AB29)-1)+1),"8ft","4ft"),INDEX('M03-S01'!$K$16:$K$199,2*(ROWS($Z$4:AB29)-1)+1))</f>
        <v>0</v>
      </c>
      <c r="AC29" s="96"/>
      <c r="AD29">
        <f>INDEX('M03-S01'!$U$16:$U$198,2*(ROWS($AD$4:AD29)-1)+1)</f>
        <v>0</v>
      </c>
      <c r="AE29" s="459"/>
      <c r="AF29" s="459"/>
      <c r="AG29" s="111" t="str">
        <f>INDEX('M03-S01'!$AW$16:$AW$198,2*(ROWS($AG$4:AG29)-1)+1)</f>
        <v/>
      </c>
      <c r="AH29" s="111" t="str">
        <f>INDEX('M03-S01'!$AX$16:$AX$198,2*(ROWS($AH$4:AH29)-1)+1)</f>
        <v/>
      </c>
      <c r="AI29" s="113"/>
      <c r="AJ29" s="113"/>
      <c r="AK29" s="113"/>
      <c r="AL29" s="113"/>
      <c r="AM29" s="113"/>
      <c r="AN29" s="113"/>
      <c r="AO29" s="52" t="str">
        <f>IFERROR(INDEX(PMELIGHT[Program Design],MATCH(AB29,PMELIGHT[Eff Desc 1])),"")</f>
        <v/>
      </c>
      <c r="AU29"/>
    </row>
    <row r="30" spans="1:47">
      <c r="A30" s="57">
        <f t="shared" si="0"/>
        <v>0</v>
      </c>
      <c r="B30" s="183" t="str">
        <f t="shared" si="2"/>
        <v/>
      </c>
      <c r="C30" t="str">
        <f>IFERROR(IF(R30&gt;0,INDEX(PMELIGHT[Measure '#],MATCH(AB30,PMELIGHT[Eff Desc 1],0)),""),"")</f>
        <v/>
      </c>
      <c r="D30" t="s">
        <v>947</v>
      </c>
      <c r="F30" s="185">
        <f>INDEX('M03-S01'!$AB$16:$AB$198,2*(ROWS($F$4:F30)-1)+1)</f>
        <v>0</v>
      </c>
      <c r="G30" s="186">
        <f>INDEX('M03-S01'!$Y$16:$Y$198,2*(ROWS($G$4:G30)-1)+1)</f>
        <v>0</v>
      </c>
      <c r="H30" s="186" t="str">
        <f>IF(ISNUMBER(INDEX('M03-S01'!$AN$16:$AN$198,2*(ROWS($R$4:R30)-1)+1)),"Total","")</f>
        <v/>
      </c>
      <c r="I30" s="184">
        <f>IFERROR(ROUND(INDEX('M03-S01'!$S$16:$S$198,2*(ROWS($I$4:I30)-1)+1)*INDEX('M03-S01'!$AE$16:$AE$198,2*(ROWS($I$4:I30)-1)+1),2),0)</f>
        <v>0</v>
      </c>
      <c r="J30" s="184">
        <f>IFERROR(ROUND(INDEX('M03-S01'!$S$16:$S$198,2*(ROWS($J$4:J30)-1)+1)*INDEX('M03-S01'!$AG$16:$AG$198,2*(ROWS($J$4:J30)-1)+1),2),0)</f>
        <v>0</v>
      </c>
      <c r="K30" s="52">
        <f>IFERROR(ROUND(INDEX('M03-S01'!$AU$16:$AU$198,2*(ROWS($K$4:K30)-1)+1),2),0)</f>
        <v>0</v>
      </c>
      <c r="L30" s="52" t="str">
        <f>IFERROR(IF(R30&gt;0,M30*INDEX(PMELIGHT[Incremental Cost],MATCH(AB30,PMELIGHT[Eff Desc 1],0)),""),"")</f>
        <v/>
      </c>
      <c r="M30" s="456">
        <f>IF(ISNUMBER(SEARCH("8ft",INDEX('M03-S01'!$K$16:$K$198,2*(ROWS($M$4:M30)-1)+1))),INDEX('M03-S01'!$S$16:$S$198,2*(ROWS($M$4:M30)-1)+1)*2,INDEX('M03-S01'!$S$16:$S$198,2*(ROWS($M$4:M30)-1)+1))</f>
        <v>0</v>
      </c>
      <c r="N30" s="184" t="str">
        <f>IF(ISNUMBER(INDEX('M03-S01'!$AN$16:$AN$198,2*(ROWS($R$4:R30)-1)+1)),INDEX('M03-S01'!$AK$16:$AK$198,2*(ROWS($N$4:N30)-1)+1),"")</f>
        <v/>
      </c>
      <c r="O30" s="456" t="str">
        <f>IFERROR(IF(ISNUMBER(INDEX('M03-S01'!$AN$16:$AN$198,2*(ROWS($R$4:R30)-1)+1)),INDEX('M03-S01'!$AV$16:$AV$198,2*(ROWS($O$4:O30)-1)+1),""),"")</f>
        <v/>
      </c>
      <c r="P30" s="459"/>
      <c r="Q30" s="184" t="str">
        <f>IFERROR(IF(ISNUMBER(INDEX('M03-S01'!$AN$16:$AN$198,2*(ROWS($R$4:R30)-1)+1)),INDEX('M03-S01'!$AY$16:$AY$198,2*(ROWS($Q$4:Q30)-1)+1),""),"")</f>
        <v/>
      </c>
      <c r="R30" s="184">
        <f>IF(ISNUMBER(INDEX('M03-S01'!$AN$16:$AN$198,2*(ROWS($R$4:R30)-1)+1)),INDEX('M03-S01'!$AN$16:$AN$198,2*(ROWS($R$4:R30)-1)+1),0)</f>
        <v>0</v>
      </c>
      <c r="S30" s="459"/>
      <c r="T30" s="113"/>
      <c r="U30" s="140"/>
      <c r="V30" s="113"/>
      <c r="W30" s="96" t="str">
        <f>IFERROR(IF(NOT(ISNUMBER(INDEX('M03-S01'!$AN$16:$AN$198,2*(ROWS($R$4:R30)-1)+1))),INDEX('M03-S01'!$BC$16:$BC$198,2*(ROWS($R$4:R30)-1)+1),""),"")</f>
        <v/>
      </c>
      <c r="X30" s="184" t="str">
        <f>IFERROR(ROUND(IF(ISNUMBER(SEARCH("8ft",INDEX('M03-S01'!$K$16:$K$198,2*(ROWS($X$4:X30)-1)+1))),INDEX('M03-S01'!$I$16:$I$198,2*(ROWS($X$4:X30)-1)+1)/2,INDEX('M03-S01'!$I$16:$I$198,2*(ROWS($X$4:X30)-1)+1)),3),"")</f>
        <v/>
      </c>
      <c r="Y30" s="184" t="str">
        <f>IFERROR(ROUND(IF(ISNUMBER(SEARCH("8ft",INDEX('M03-S01'!$K$16:$K$198,2*(ROWS($Y$4:Y30)-1)+1))),INDEX('M03-S01'!$Q$16:$Q$198,2*(ROWS($Y$4:Y30)-1)+1)/2,INDEX('M03-S01'!$Q$16:$Q$198,2*(ROWS($Y$4:Y30)-1)+1)),3),"")</f>
        <v/>
      </c>
      <c r="Z30" s="111">
        <f>INDEX('M03-S01'!$B$16:$B$198,2*(ROWS($Z$4:Z30)-1)+1)</f>
        <v>27</v>
      </c>
      <c r="AA30" s="111">
        <f>IF(ISNUMBER(SEARCH("8ft",INDEX('M03-S01'!$C$16:$C$199,2*(ROWS($Z$4:AA30)-1)+1))),SUBSTITUTE(INDEX('M03-S01'!$C$16:$C$199,2*(ROWS($Z$4:AA30)-1)+1),"8ft","4ft"),INDEX('M03-S01'!$C$16:$C$199,2*(ROWS($Z$4:AA30)-1)+1))</f>
        <v>0</v>
      </c>
      <c r="AB30" s="111">
        <f>IF(ISNUMBER(SEARCH("8ft",INDEX('M03-S01'!$K$16:$K$199,2*(ROWS($Z$4:AB30)-1)+1))),SUBSTITUTE(INDEX('M03-S01'!$K$16:$K$199,2*(ROWS($Z$4:AB30)-1)+1),"8ft","4ft"),INDEX('M03-S01'!$K$16:$K$199,2*(ROWS($Z$4:AB30)-1)+1))</f>
        <v>0</v>
      </c>
      <c r="AC30" s="96"/>
      <c r="AD30">
        <f>INDEX('M03-S01'!$U$16:$U$198,2*(ROWS($AD$4:AD30)-1)+1)</f>
        <v>0</v>
      </c>
      <c r="AE30" s="459"/>
      <c r="AF30" s="459"/>
      <c r="AG30" s="111" t="str">
        <f>INDEX('M03-S01'!$AW$16:$AW$198,2*(ROWS($AG$4:AG30)-1)+1)</f>
        <v/>
      </c>
      <c r="AH30" s="111" t="str">
        <f>INDEX('M03-S01'!$AX$16:$AX$198,2*(ROWS($AH$4:AH30)-1)+1)</f>
        <v/>
      </c>
      <c r="AI30" s="113"/>
      <c r="AJ30" s="113"/>
      <c r="AK30" s="113"/>
      <c r="AL30" s="113"/>
      <c r="AM30" s="113"/>
      <c r="AN30" s="113"/>
      <c r="AO30" s="52" t="str">
        <f>IFERROR(INDEX(PMELIGHT[Program Design],MATCH(AB30,PMELIGHT[Eff Desc 1])),"")</f>
        <v/>
      </c>
      <c r="AU30"/>
    </row>
    <row r="31" spans="1:47">
      <c r="A31" s="57">
        <f t="shared" si="0"/>
        <v>0</v>
      </c>
      <c r="B31" s="183" t="str">
        <f t="shared" si="2"/>
        <v/>
      </c>
      <c r="C31" t="str">
        <f>IFERROR(IF(R31&gt;0,INDEX(PMELIGHT[Measure '#],MATCH(AB31,PMELIGHT[Eff Desc 1],0)),""),"")</f>
        <v/>
      </c>
      <c r="D31" t="s">
        <v>947</v>
      </c>
      <c r="F31" s="185">
        <f>INDEX('M03-S01'!$AB$16:$AB$198,2*(ROWS($F$4:F31)-1)+1)</f>
        <v>0</v>
      </c>
      <c r="G31" s="186">
        <f>INDEX('M03-S01'!$Y$16:$Y$198,2*(ROWS($G$4:G31)-1)+1)</f>
        <v>0</v>
      </c>
      <c r="H31" s="186" t="str">
        <f>IF(ISNUMBER(INDEX('M03-S01'!$AN$16:$AN$198,2*(ROWS($R$4:R31)-1)+1)),"Total","")</f>
        <v/>
      </c>
      <c r="I31" s="184">
        <f>IFERROR(ROUND(INDEX('M03-S01'!$S$16:$S$198,2*(ROWS($I$4:I31)-1)+1)*INDEX('M03-S01'!$AE$16:$AE$198,2*(ROWS($I$4:I31)-1)+1),2),0)</f>
        <v>0</v>
      </c>
      <c r="J31" s="184">
        <f>IFERROR(ROUND(INDEX('M03-S01'!$S$16:$S$198,2*(ROWS($J$4:J31)-1)+1)*INDEX('M03-S01'!$AG$16:$AG$198,2*(ROWS($J$4:J31)-1)+1),2),0)</f>
        <v>0</v>
      </c>
      <c r="K31" s="52">
        <f>IFERROR(ROUND(INDEX('M03-S01'!$AU$16:$AU$198,2*(ROWS($K$4:K31)-1)+1),2),0)</f>
        <v>0</v>
      </c>
      <c r="L31" s="52" t="str">
        <f>IFERROR(IF(R31&gt;0,M31*INDEX(PMELIGHT[Incremental Cost],MATCH(AB31,PMELIGHT[Eff Desc 1],0)),""),"")</f>
        <v/>
      </c>
      <c r="M31" s="456">
        <f>IF(ISNUMBER(SEARCH("8ft",INDEX('M03-S01'!$K$16:$K$198,2*(ROWS($M$4:M31)-1)+1))),INDEX('M03-S01'!$S$16:$S$198,2*(ROWS($M$4:M31)-1)+1)*2,INDEX('M03-S01'!$S$16:$S$198,2*(ROWS($M$4:M31)-1)+1))</f>
        <v>0</v>
      </c>
      <c r="N31" s="184" t="str">
        <f>IF(ISNUMBER(INDEX('M03-S01'!$AN$16:$AN$198,2*(ROWS($R$4:R31)-1)+1)),INDEX('M03-S01'!$AK$16:$AK$198,2*(ROWS($N$4:N31)-1)+1),"")</f>
        <v/>
      </c>
      <c r="O31" s="456" t="str">
        <f>IFERROR(IF(ISNUMBER(INDEX('M03-S01'!$AN$16:$AN$198,2*(ROWS($R$4:R31)-1)+1)),INDEX('M03-S01'!$AV$16:$AV$198,2*(ROWS($O$4:O31)-1)+1),""),"")</f>
        <v/>
      </c>
      <c r="P31" s="459"/>
      <c r="Q31" s="184" t="str">
        <f>IFERROR(IF(ISNUMBER(INDEX('M03-S01'!$AN$16:$AN$198,2*(ROWS($R$4:R31)-1)+1)),INDEX('M03-S01'!$AY$16:$AY$198,2*(ROWS($Q$4:Q31)-1)+1),""),"")</f>
        <v/>
      </c>
      <c r="R31" s="184">
        <f>IF(ISNUMBER(INDEX('M03-S01'!$AN$16:$AN$198,2*(ROWS($R$4:R31)-1)+1)),INDEX('M03-S01'!$AN$16:$AN$198,2*(ROWS($R$4:R31)-1)+1),0)</f>
        <v>0</v>
      </c>
      <c r="S31" s="459"/>
      <c r="T31" s="113"/>
      <c r="U31" s="140"/>
      <c r="V31" s="113"/>
      <c r="W31" s="96" t="str">
        <f>IFERROR(IF(NOT(ISNUMBER(INDEX('M03-S01'!$AN$16:$AN$198,2*(ROWS($R$4:R31)-1)+1))),INDEX('M03-S01'!$BC$16:$BC$198,2*(ROWS($R$4:R31)-1)+1),""),"")</f>
        <v/>
      </c>
      <c r="X31" s="184" t="str">
        <f>IFERROR(ROUND(IF(ISNUMBER(SEARCH("8ft",INDEX('M03-S01'!$K$16:$K$198,2*(ROWS($X$4:X31)-1)+1))),INDEX('M03-S01'!$I$16:$I$198,2*(ROWS($X$4:X31)-1)+1)/2,INDEX('M03-S01'!$I$16:$I$198,2*(ROWS($X$4:X31)-1)+1)),3),"")</f>
        <v/>
      </c>
      <c r="Y31" s="184" t="str">
        <f>IFERROR(ROUND(IF(ISNUMBER(SEARCH("8ft",INDEX('M03-S01'!$K$16:$K$198,2*(ROWS($Y$4:Y31)-1)+1))),INDEX('M03-S01'!$Q$16:$Q$198,2*(ROWS($Y$4:Y31)-1)+1)/2,INDEX('M03-S01'!$Q$16:$Q$198,2*(ROWS($Y$4:Y31)-1)+1)),3),"")</f>
        <v/>
      </c>
      <c r="Z31" s="111">
        <f>INDEX('M03-S01'!$B$16:$B$198,2*(ROWS($Z$4:Z31)-1)+1)</f>
        <v>28</v>
      </c>
      <c r="AA31" s="111">
        <f>IF(ISNUMBER(SEARCH("8ft",INDEX('M03-S01'!$C$16:$C$199,2*(ROWS($Z$4:AA31)-1)+1))),SUBSTITUTE(INDEX('M03-S01'!$C$16:$C$199,2*(ROWS($Z$4:AA31)-1)+1),"8ft","4ft"),INDEX('M03-S01'!$C$16:$C$199,2*(ROWS($Z$4:AA31)-1)+1))</f>
        <v>0</v>
      </c>
      <c r="AB31" s="111">
        <f>IF(ISNUMBER(SEARCH("8ft",INDEX('M03-S01'!$K$16:$K$199,2*(ROWS($Z$4:AB31)-1)+1))),SUBSTITUTE(INDEX('M03-S01'!$K$16:$K$199,2*(ROWS($Z$4:AB31)-1)+1),"8ft","4ft"),INDEX('M03-S01'!$K$16:$K$199,2*(ROWS($Z$4:AB31)-1)+1))</f>
        <v>0</v>
      </c>
      <c r="AC31" s="96"/>
      <c r="AD31">
        <f>INDEX('M03-S01'!$U$16:$U$198,2*(ROWS($AD$4:AD31)-1)+1)</f>
        <v>0</v>
      </c>
      <c r="AE31" s="459"/>
      <c r="AF31" s="459"/>
      <c r="AG31" s="111" t="str">
        <f>INDEX('M03-S01'!$AW$16:$AW$198,2*(ROWS($AG$4:AG31)-1)+1)</f>
        <v/>
      </c>
      <c r="AH31" s="111" t="str">
        <f>INDEX('M03-S01'!$AX$16:$AX$198,2*(ROWS($AH$4:AH31)-1)+1)</f>
        <v/>
      </c>
      <c r="AI31" s="113"/>
      <c r="AJ31" s="113"/>
      <c r="AK31" s="113"/>
      <c r="AL31" s="113"/>
      <c r="AM31" s="113"/>
      <c r="AN31" s="113"/>
      <c r="AO31" s="52" t="str">
        <f>IFERROR(INDEX(PMELIGHT[Program Design],MATCH(AB31,PMELIGHT[Eff Desc 1])),"")</f>
        <v/>
      </c>
      <c r="AU31"/>
    </row>
    <row r="32" spans="1:47">
      <c r="A32" s="57">
        <f t="shared" si="0"/>
        <v>0</v>
      </c>
      <c r="B32" s="183" t="str">
        <f t="shared" si="2"/>
        <v/>
      </c>
      <c r="C32" t="str">
        <f>IFERROR(IF(R32&gt;0,INDEX(PMELIGHT[Measure '#],MATCH(AB32,PMELIGHT[Eff Desc 1],0)),""),"")</f>
        <v/>
      </c>
      <c r="D32" t="s">
        <v>947</v>
      </c>
      <c r="F32" s="185">
        <f>INDEX('M03-S01'!$AB$16:$AB$198,2*(ROWS($F$4:F32)-1)+1)</f>
        <v>0</v>
      </c>
      <c r="G32" s="186">
        <f>INDEX('M03-S01'!$Y$16:$Y$198,2*(ROWS($G$4:G32)-1)+1)</f>
        <v>0</v>
      </c>
      <c r="H32" s="186" t="str">
        <f>IF(ISNUMBER(INDEX('M03-S01'!$AN$16:$AN$198,2*(ROWS($R$4:R32)-1)+1)),"Total","")</f>
        <v/>
      </c>
      <c r="I32" s="184">
        <f>IFERROR(ROUND(INDEX('M03-S01'!$S$16:$S$198,2*(ROWS($I$4:I32)-1)+1)*INDEX('M03-S01'!$AE$16:$AE$198,2*(ROWS($I$4:I32)-1)+1),2),0)</f>
        <v>0</v>
      </c>
      <c r="J32" s="184">
        <f>IFERROR(ROUND(INDEX('M03-S01'!$S$16:$S$198,2*(ROWS($J$4:J32)-1)+1)*INDEX('M03-S01'!$AG$16:$AG$198,2*(ROWS($J$4:J32)-1)+1),2),0)</f>
        <v>0</v>
      </c>
      <c r="K32" s="52">
        <f>IFERROR(ROUND(INDEX('M03-S01'!$AU$16:$AU$198,2*(ROWS($K$4:K32)-1)+1),2),0)</f>
        <v>0</v>
      </c>
      <c r="L32" s="52" t="str">
        <f>IFERROR(IF(R32&gt;0,M32*INDEX(PMELIGHT[Incremental Cost],MATCH(AB32,PMELIGHT[Eff Desc 1],0)),""),"")</f>
        <v/>
      </c>
      <c r="M32" s="456">
        <f>IF(ISNUMBER(SEARCH("8ft",INDEX('M03-S01'!$K$16:$K$198,2*(ROWS($M$4:M32)-1)+1))),INDEX('M03-S01'!$S$16:$S$198,2*(ROWS($M$4:M32)-1)+1)*2,INDEX('M03-S01'!$S$16:$S$198,2*(ROWS($M$4:M32)-1)+1))</f>
        <v>0</v>
      </c>
      <c r="N32" s="184" t="str">
        <f>IF(ISNUMBER(INDEX('M03-S01'!$AN$16:$AN$198,2*(ROWS($R$4:R32)-1)+1)),INDEX('M03-S01'!$AK$16:$AK$198,2*(ROWS($N$4:N32)-1)+1),"")</f>
        <v/>
      </c>
      <c r="O32" s="456" t="str">
        <f>IFERROR(IF(ISNUMBER(INDEX('M03-S01'!$AN$16:$AN$198,2*(ROWS($R$4:R32)-1)+1)),INDEX('M03-S01'!$AV$16:$AV$198,2*(ROWS($O$4:O32)-1)+1),""),"")</f>
        <v/>
      </c>
      <c r="P32" s="459"/>
      <c r="Q32" s="184" t="str">
        <f>IFERROR(IF(ISNUMBER(INDEX('M03-S01'!$AN$16:$AN$198,2*(ROWS($R$4:R32)-1)+1)),INDEX('M03-S01'!$AY$16:$AY$198,2*(ROWS($Q$4:Q32)-1)+1),""),"")</f>
        <v/>
      </c>
      <c r="R32" s="184">
        <f>IF(ISNUMBER(INDEX('M03-S01'!$AN$16:$AN$198,2*(ROWS($R$4:R32)-1)+1)),INDEX('M03-S01'!$AN$16:$AN$198,2*(ROWS($R$4:R32)-1)+1),0)</f>
        <v>0</v>
      </c>
      <c r="S32" s="459"/>
      <c r="T32" s="113"/>
      <c r="U32" s="140"/>
      <c r="V32" s="113"/>
      <c r="W32" s="96" t="str">
        <f>IFERROR(IF(NOT(ISNUMBER(INDEX('M03-S01'!$AN$16:$AN$198,2*(ROWS($R$4:R32)-1)+1))),INDEX('M03-S01'!$BC$16:$BC$198,2*(ROWS($R$4:R32)-1)+1),""),"")</f>
        <v/>
      </c>
      <c r="X32" s="184" t="str">
        <f>IFERROR(ROUND(IF(ISNUMBER(SEARCH("8ft",INDEX('M03-S01'!$K$16:$K$198,2*(ROWS($X$4:X32)-1)+1))),INDEX('M03-S01'!$I$16:$I$198,2*(ROWS($X$4:X32)-1)+1)/2,INDEX('M03-S01'!$I$16:$I$198,2*(ROWS($X$4:X32)-1)+1)),3),"")</f>
        <v/>
      </c>
      <c r="Y32" s="184" t="str">
        <f>IFERROR(ROUND(IF(ISNUMBER(SEARCH("8ft",INDEX('M03-S01'!$K$16:$K$198,2*(ROWS($Y$4:Y32)-1)+1))),INDEX('M03-S01'!$Q$16:$Q$198,2*(ROWS($Y$4:Y32)-1)+1)/2,INDEX('M03-S01'!$Q$16:$Q$198,2*(ROWS($Y$4:Y32)-1)+1)),3),"")</f>
        <v/>
      </c>
      <c r="Z32" s="111">
        <f>INDEX('M03-S01'!$B$16:$B$198,2*(ROWS($Z$4:Z32)-1)+1)</f>
        <v>29</v>
      </c>
      <c r="AA32" s="111">
        <f>IF(ISNUMBER(SEARCH("8ft",INDEX('M03-S01'!$C$16:$C$199,2*(ROWS($Z$4:AA32)-1)+1))),SUBSTITUTE(INDEX('M03-S01'!$C$16:$C$199,2*(ROWS($Z$4:AA32)-1)+1),"8ft","4ft"),INDEX('M03-S01'!$C$16:$C$199,2*(ROWS($Z$4:AA32)-1)+1))</f>
        <v>0</v>
      </c>
      <c r="AB32" s="111">
        <f>IF(ISNUMBER(SEARCH("8ft",INDEX('M03-S01'!$K$16:$K$199,2*(ROWS($Z$4:AB32)-1)+1))),SUBSTITUTE(INDEX('M03-S01'!$K$16:$K$199,2*(ROWS($Z$4:AB32)-1)+1),"8ft","4ft"),INDEX('M03-S01'!$K$16:$K$199,2*(ROWS($Z$4:AB32)-1)+1))</f>
        <v>0</v>
      </c>
      <c r="AC32" s="96"/>
      <c r="AD32">
        <f>INDEX('M03-S01'!$U$16:$U$198,2*(ROWS($AD$4:AD32)-1)+1)</f>
        <v>0</v>
      </c>
      <c r="AE32" s="459"/>
      <c r="AF32" s="459"/>
      <c r="AG32" s="111" t="str">
        <f>INDEX('M03-S01'!$AW$16:$AW$198,2*(ROWS($AG$4:AG32)-1)+1)</f>
        <v/>
      </c>
      <c r="AH32" s="111" t="str">
        <f>INDEX('M03-S01'!$AX$16:$AX$198,2*(ROWS($AH$4:AH32)-1)+1)</f>
        <v/>
      </c>
      <c r="AI32" s="113"/>
      <c r="AJ32" s="113"/>
      <c r="AK32" s="113"/>
      <c r="AL32" s="113"/>
      <c r="AM32" s="113"/>
      <c r="AN32" s="113"/>
      <c r="AO32" s="52" t="str">
        <f>IFERROR(INDEX(PMELIGHT[Program Design],MATCH(AB32,PMELIGHT[Eff Desc 1])),"")</f>
        <v/>
      </c>
      <c r="AU32"/>
    </row>
    <row r="33" spans="1:47">
      <c r="A33" s="57">
        <f t="shared" si="0"/>
        <v>0</v>
      </c>
      <c r="B33" s="183" t="str">
        <f t="shared" si="2"/>
        <v/>
      </c>
      <c r="C33" t="str">
        <f>IFERROR(IF(R33&gt;0,INDEX(PMELIGHT[Measure '#],MATCH(AB33,PMELIGHT[Eff Desc 1],0)),""),"")</f>
        <v/>
      </c>
      <c r="D33" t="s">
        <v>947</v>
      </c>
      <c r="F33" s="185">
        <f>INDEX('M03-S01'!$AB$16:$AB$198,2*(ROWS($F$4:F33)-1)+1)</f>
        <v>0</v>
      </c>
      <c r="G33" s="186">
        <f>INDEX('M03-S01'!$Y$16:$Y$198,2*(ROWS($G$4:G33)-1)+1)</f>
        <v>0</v>
      </c>
      <c r="H33" s="186" t="str">
        <f>IF(ISNUMBER(INDEX('M03-S01'!$AN$16:$AN$198,2*(ROWS($R$4:R33)-1)+1)),"Total","")</f>
        <v/>
      </c>
      <c r="I33" s="184">
        <f>IFERROR(ROUND(INDEX('M03-S01'!$S$16:$S$198,2*(ROWS($I$4:I33)-1)+1)*INDEX('M03-S01'!$AE$16:$AE$198,2*(ROWS($I$4:I33)-1)+1),2),0)</f>
        <v>0</v>
      </c>
      <c r="J33" s="184">
        <f>IFERROR(ROUND(INDEX('M03-S01'!$S$16:$S$198,2*(ROWS($J$4:J33)-1)+1)*INDEX('M03-S01'!$AG$16:$AG$198,2*(ROWS($J$4:J33)-1)+1),2),0)</f>
        <v>0</v>
      </c>
      <c r="K33" s="52">
        <f>IFERROR(ROUND(INDEX('M03-S01'!$AU$16:$AU$198,2*(ROWS($K$4:K33)-1)+1),2),0)</f>
        <v>0</v>
      </c>
      <c r="L33" s="52" t="str">
        <f>IFERROR(IF(R33&gt;0,M33*INDEX(PMELIGHT[Incremental Cost],MATCH(AB33,PMELIGHT[Eff Desc 1],0)),""),"")</f>
        <v/>
      </c>
      <c r="M33" s="456">
        <f>IF(ISNUMBER(SEARCH("8ft",INDEX('M03-S01'!$K$16:$K$198,2*(ROWS($M$4:M33)-1)+1))),INDEX('M03-S01'!$S$16:$S$198,2*(ROWS($M$4:M33)-1)+1)*2,INDEX('M03-S01'!$S$16:$S$198,2*(ROWS($M$4:M33)-1)+1))</f>
        <v>0</v>
      </c>
      <c r="N33" s="184" t="str">
        <f>IF(ISNUMBER(INDEX('M03-S01'!$AN$16:$AN$198,2*(ROWS($R$4:R33)-1)+1)),INDEX('M03-S01'!$AK$16:$AK$198,2*(ROWS($N$4:N33)-1)+1),"")</f>
        <v/>
      </c>
      <c r="O33" s="456" t="str">
        <f>IFERROR(IF(ISNUMBER(INDEX('M03-S01'!$AN$16:$AN$198,2*(ROWS($R$4:R33)-1)+1)),INDEX('M03-S01'!$AV$16:$AV$198,2*(ROWS($O$4:O33)-1)+1),""),"")</f>
        <v/>
      </c>
      <c r="P33" s="459"/>
      <c r="Q33" s="184" t="str">
        <f>IFERROR(IF(ISNUMBER(INDEX('M03-S01'!$AN$16:$AN$198,2*(ROWS($R$4:R33)-1)+1)),INDEX('M03-S01'!$AY$16:$AY$198,2*(ROWS($Q$4:Q33)-1)+1),""),"")</f>
        <v/>
      </c>
      <c r="R33" s="184">
        <f>IF(ISNUMBER(INDEX('M03-S01'!$AN$16:$AN$198,2*(ROWS($R$4:R33)-1)+1)),INDEX('M03-S01'!$AN$16:$AN$198,2*(ROWS($R$4:R33)-1)+1),0)</f>
        <v>0</v>
      </c>
      <c r="S33" s="459"/>
      <c r="T33" s="113"/>
      <c r="U33" s="140"/>
      <c r="V33" s="113"/>
      <c r="W33" s="96" t="str">
        <f>IFERROR(IF(NOT(ISNUMBER(INDEX('M03-S01'!$AN$16:$AN$198,2*(ROWS($R$4:R33)-1)+1))),INDEX('M03-S01'!$BC$16:$BC$198,2*(ROWS($R$4:R33)-1)+1),""),"")</f>
        <v/>
      </c>
      <c r="X33" s="184" t="str">
        <f>IFERROR(ROUND(IF(ISNUMBER(SEARCH("8ft",INDEX('M03-S01'!$K$16:$K$198,2*(ROWS($X$4:X33)-1)+1))),INDEX('M03-S01'!$I$16:$I$198,2*(ROWS($X$4:X33)-1)+1)/2,INDEX('M03-S01'!$I$16:$I$198,2*(ROWS($X$4:X33)-1)+1)),3),"")</f>
        <v/>
      </c>
      <c r="Y33" s="184" t="str">
        <f>IFERROR(ROUND(IF(ISNUMBER(SEARCH("8ft",INDEX('M03-S01'!$K$16:$K$198,2*(ROWS($Y$4:Y33)-1)+1))),INDEX('M03-S01'!$Q$16:$Q$198,2*(ROWS($Y$4:Y33)-1)+1)/2,INDEX('M03-S01'!$Q$16:$Q$198,2*(ROWS($Y$4:Y33)-1)+1)),3),"")</f>
        <v/>
      </c>
      <c r="Z33" s="111">
        <f>INDEX('M03-S01'!$B$16:$B$198,2*(ROWS($Z$4:Z33)-1)+1)</f>
        <v>30</v>
      </c>
      <c r="AA33" s="111">
        <f>IF(ISNUMBER(SEARCH("8ft",INDEX('M03-S01'!$C$16:$C$199,2*(ROWS($Z$4:AA33)-1)+1))),SUBSTITUTE(INDEX('M03-S01'!$C$16:$C$199,2*(ROWS($Z$4:AA33)-1)+1),"8ft","4ft"),INDEX('M03-S01'!$C$16:$C$199,2*(ROWS($Z$4:AA33)-1)+1))</f>
        <v>0</v>
      </c>
      <c r="AB33" s="111">
        <f>IF(ISNUMBER(SEARCH("8ft",INDEX('M03-S01'!$K$16:$K$199,2*(ROWS($Z$4:AB33)-1)+1))),SUBSTITUTE(INDEX('M03-S01'!$K$16:$K$199,2*(ROWS($Z$4:AB33)-1)+1),"8ft","4ft"),INDEX('M03-S01'!$K$16:$K$199,2*(ROWS($Z$4:AB33)-1)+1))</f>
        <v>0</v>
      </c>
      <c r="AC33" s="96"/>
      <c r="AD33">
        <f>INDEX('M03-S01'!$U$16:$U$198,2*(ROWS($AD$4:AD33)-1)+1)</f>
        <v>0</v>
      </c>
      <c r="AE33" s="459"/>
      <c r="AF33" s="459"/>
      <c r="AG33" s="111" t="str">
        <f>INDEX('M03-S01'!$AW$16:$AW$198,2*(ROWS($AG$4:AG33)-1)+1)</f>
        <v/>
      </c>
      <c r="AH33" s="111" t="str">
        <f>INDEX('M03-S01'!$AX$16:$AX$198,2*(ROWS($AH$4:AH33)-1)+1)</f>
        <v/>
      </c>
      <c r="AI33" s="113"/>
      <c r="AJ33" s="113"/>
      <c r="AK33" s="113"/>
      <c r="AL33" s="113"/>
      <c r="AM33" s="113"/>
      <c r="AN33" s="113"/>
      <c r="AO33" s="52" t="str">
        <f>IFERROR(INDEX(PMELIGHT[Program Design],MATCH(AB33,PMELIGHT[Eff Desc 1])),"")</f>
        <v/>
      </c>
      <c r="AU33"/>
    </row>
    <row r="34" spans="1:47">
      <c r="A34" s="57">
        <f t="shared" si="0"/>
        <v>0</v>
      </c>
      <c r="B34" s="183" t="str">
        <f t="shared" si="2"/>
        <v/>
      </c>
      <c r="C34" t="str">
        <f>IFERROR(IF(R34&gt;0,INDEX(PMELIGHT[Measure '#],MATCH(AB34,PMELIGHT[Eff Desc 1],0)),""),"")</f>
        <v/>
      </c>
      <c r="D34" t="s">
        <v>947</v>
      </c>
      <c r="F34" s="185">
        <f>INDEX('M03-S01'!$AB$16:$AB$198,2*(ROWS($F$4:F34)-1)+1)</f>
        <v>0</v>
      </c>
      <c r="G34" s="186">
        <f>INDEX('M03-S01'!$Y$16:$Y$198,2*(ROWS($G$4:G34)-1)+1)</f>
        <v>0</v>
      </c>
      <c r="H34" s="186" t="str">
        <f>IF(ISNUMBER(INDEX('M03-S01'!$AN$16:$AN$198,2*(ROWS($R$4:R34)-1)+1)),"Total","")</f>
        <v/>
      </c>
      <c r="I34" s="184">
        <f>IFERROR(ROUND(INDEX('M03-S01'!$S$16:$S$198,2*(ROWS($I$4:I34)-1)+1)*INDEX('M03-S01'!$AE$16:$AE$198,2*(ROWS($I$4:I34)-1)+1),2),0)</f>
        <v>0</v>
      </c>
      <c r="J34" s="184">
        <f>IFERROR(ROUND(INDEX('M03-S01'!$S$16:$S$198,2*(ROWS($J$4:J34)-1)+1)*INDEX('M03-S01'!$AG$16:$AG$198,2*(ROWS($J$4:J34)-1)+1),2),0)</f>
        <v>0</v>
      </c>
      <c r="K34" s="52">
        <f>IFERROR(ROUND(INDEX('M03-S01'!$AU$16:$AU$198,2*(ROWS($K$4:K34)-1)+1),2),0)</f>
        <v>0</v>
      </c>
      <c r="L34" s="52" t="str">
        <f>IFERROR(IF(R34&gt;0,M34*INDEX(PMELIGHT[Incremental Cost],MATCH(AB34,PMELIGHT[Eff Desc 1],0)),""),"")</f>
        <v/>
      </c>
      <c r="M34" s="456">
        <f>IF(ISNUMBER(SEARCH("8ft",INDEX('M03-S01'!$K$16:$K$198,2*(ROWS($M$4:M34)-1)+1))),INDEX('M03-S01'!$S$16:$S$198,2*(ROWS($M$4:M34)-1)+1)*2,INDEX('M03-S01'!$S$16:$S$198,2*(ROWS($M$4:M34)-1)+1))</f>
        <v>0</v>
      </c>
      <c r="N34" s="184" t="str">
        <f>IF(ISNUMBER(INDEX('M03-S01'!$AN$16:$AN$198,2*(ROWS($R$4:R34)-1)+1)),INDEX('M03-S01'!$AK$16:$AK$198,2*(ROWS($N$4:N34)-1)+1),"")</f>
        <v/>
      </c>
      <c r="O34" s="456" t="str">
        <f>IFERROR(IF(ISNUMBER(INDEX('M03-S01'!$AN$16:$AN$198,2*(ROWS($R$4:R34)-1)+1)),INDEX('M03-S01'!$AV$16:$AV$198,2*(ROWS($O$4:O34)-1)+1),""),"")</f>
        <v/>
      </c>
      <c r="P34" s="459"/>
      <c r="Q34" s="184" t="str">
        <f>IFERROR(IF(ISNUMBER(INDEX('M03-S01'!$AN$16:$AN$198,2*(ROWS($R$4:R34)-1)+1)),INDEX('M03-S01'!$AY$16:$AY$198,2*(ROWS($Q$4:Q34)-1)+1),""),"")</f>
        <v/>
      </c>
      <c r="R34" s="184">
        <f>IF(ISNUMBER(INDEX('M03-S01'!$AN$16:$AN$198,2*(ROWS($R$4:R34)-1)+1)),INDEX('M03-S01'!$AN$16:$AN$198,2*(ROWS($R$4:R34)-1)+1),0)</f>
        <v>0</v>
      </c>
      <c r="S34" s="459"/>
      <c r="T34" s="113"/>
      <c r="U34" s="140"/>
      <c r="V34" s="113"/>
      <c r="W34" s="96" t="str">
        <f>IFERROR(IF(NOT(ISNUMBER(INDEX('M03-S01'!$AN$16:$AN$198,2*(ROWS($R$4:R34)-1)+1))),INDEX('M03-S01'!$BC$16:$BC$198,2*(ROWS($R$4:R34)-1)+1),""),"")</f>
        <v/>
      </c>
      <c r="X34" s="184" t="str">
        <f>IFERROR(ROUND(IF(ISNUMBER(SEARCH("8ft",INDEX('M03-S01'!$K$16:$K$198,2*(ROWS($X$4:X34)-1)+1))),INDEX('M03-S01'!$I$16:$I$198,2*(ROWS($X$4:X34)-1)+1)/2,INDEX('M03-S01'!$I$16:$I$198,2*(ROWS($X$4:X34)-1)+1)),3),"")</f>
        <v/>
      </c>
      <c r="Y34" s="184" t="str">
        <f>IFERROR(ROUND(IF(ISNUMBER(SEARCH("8ft",INDEX('M03-S01'!$K$16:$K$198,2*(ROWS($Y$4:Y34)-1)+1))),INDEX('M03-S01'!$Q$16:$Q$198,2*(ROWS($Y$4:Y34)-1)+1)/2,INDEX('M03-S01'!$Q$16:$Q$198,2*(ROWS($Y$4:Y34)-1)+1)),3),"")</f>
        <v/>
      </c>
      <c r="Z34" s="111">
        <f>INDEX('M03-S01'!$B$16:$B$198,2*(ROWS($Z$4:Z34)-1)+1)</f>
        <v>31</v>
      </c>
      <c r="AA34" s="111">
        <f>IF(ISNUMBER(SEARCH("8ft",INDEX('M03-S01'!$C$16:$C$199,2*(ROWS($Z$4:AA34)-1)+1))),SUBSTITUTE(INDEX('M03-S01'!$C$16:$C$199,2*(ROWS($Z$4:AA34)-1)+1),"8ft","4ft"),INDEX('M03-S01'!$C$16:$C$199,2*(ROWS($Z$4:AA34)-1)+1))</f>
        <v>0</v>
      </c>
      <c r="AB34" s="111">
        <f>IF(ISNUMBER(SEARCH("8ft",INDEX('M03-S01'!$K$16:$K$199,2*(ROWS($Z$4:AB34)-1)+1))),SUBSTITUTE(INDEX('M03-S01'!$K$16:$K$199,2*(ROWS($Z$4:AB34)-1)+1),"8ft","4ft"),INDEX('M03-S01'!$K$16:$K$199,2*(ROWS($Z$4:AB34)-1)+1))</f>
        <v>0</v>
      </c>
      <c r="AC34" s="96"/>
      <c r="AD34">
        <f>INDEX('M03-S01'!$U$16:$U$198,2*(ROWS($AD$4:AD34)-1)+1)</f>
        <v>0</v>
      </c>
      <c r="AE34" s="459"/>
      <c r="AF34" s="459"/>
      <c r="AG34" s="111" t="str">
        <f>INDEX('M03-S01'!$AW$16:$AW$198,2*(ROWS($AG$4:AG34)-1)+1)</f>
        <v/>
      </c>
      <c r="AH34" s="111" t="str">
        <f>INDEX('M03-S01'!$AX$16:$AX$198,2*(ROWS($AH$4:AH34)-1)+1)</f>
        <v/>
      </c>
      <c r="AI34" s="113"/>
      <c r="AJ34" s="113"/>
      <c r="AK34" s="113"/>
      <c r="AL34" s="113"/>
      <c r="AM34" s="113"/>
      <c r="AN34" s="113"/>
      <c r="AO34" s="52" t="str">
        <f>IFERROR(INDEX(PMELIGHT[Program Design],MATCH(AB34,PMELIGHT[Eff Desc 1])),"")</f>
        <v/>
      </c>
      <c r="AU34"/>
    </row>
    <row r="35" spans="1:47">
      <c r="A35" s="57">
        <f t="shared" si="0"/>
        <v>0</v>
      </c>
      <c r="B35" s="183" t="str">
        <f t="shared" si="2"/>
        <v/>
      </c>
      <c r="C35" t="str">
        <f>IFERROR(IF(R35&gt;0,INDEX(PMELIGHT[Measure '#],MATCH(AB35,PMELIGHT[Eff Desc 1],0)),""),"")</f>
        <v/>
      </c>
      <c r="D35" t="s">
        <v>947</v>
      </c>
      <c r="F35" s="185">
        <f>INDEX('M03-S01'!$AB$16:$AB$198,2*(ROWS($F$4:F35)-1)+1)</f>
        <v>0</v>
      </c>
      <c r="G35" s="186">
        <f>INDEX('M03-S01'!$Y$16:$Y$198,2*(ROWS($G$4:G35)-1)+1)</f>
        <v>0</v>
      </c>
      <c r="H35" s="186" t="str">
        <f>IF(ISNUMBER(INDEX('M03-S01'!$AN$16:$AN$198,2*(ROWS($R$4:R35)-1)+1)),"Total","")</f>
        <v/>
      </c>
      <c r="I35" s="184">
        <f>IFERROR(ROUND(INDEX('M03-S01'!$S$16:$S$198,2*(ROWS($I$4:I35)-1)+1)*INDEX('M03-S01'!$AE$16:$AE$198,2*(ROWS($I$4:I35)-1)+1),2),0)</f>
        <v>0</v>
      </c>
      <c r="J35" s="184">
        <f>IFERROR(ROUND(INDEX('M03-S01'!$S$16:$S$198,2*(ROWS($J$4:J35)-1)+1)*INDEX('M03-S01'!$AG$16:$AG$198,2*(ROWS($J$4:J35)-1)+1),2),0)</f>
        <v>0</v>
      </c>
      <c r="K35" s="52">
        <f>IFERROR(ROUND(INDEX('M03-S01'!$AU$16:$AU$198,2*(ROWS($K$4:K35)-1)+1),2),0)</f>
        <v>0</v>
      </c>
      <c r="L35" s="52" t="str">
        <f>IFERROR(IF(R35&gt;0,M35*INDEX(PMELIGHT[Incremental Cost],MATCH(AB35,PMELIGHT[Eff Desc 1],0)),""),"")</f>
        <v/>
      </c>
      <c r="M35" s="456">
        <f>IF(ISNUMBER(SEARCH("8ft",INDEX('M03-S01'!$K$16:$K$198,2*(ROWS($M$4:M35)-1)+1))),INDEX('M03-S01'!$S$16:$S$198,2*(ROWS($M$4:M35)-1)+1)*2,INDEX('M03-S01'!$S$16:$S$198,2*(ROWS($M$4:M35)-1)+1))</f>
        <v>0</v>
      </c>
      <c r="N35" s="184" t="str">
        <f>IF(ISNUMBER(INDEX('M03-S01'!$AN$16:$AN$198,2*(ROWS($R$4:R35)-1)+1)),INDEX('M03-S01'!$AK$16:$AK$198,2*(ROWS($N$4:N35)-1)+1),"")</f>
        <v/>
      </c>
      <c r="O35" s="456" t="str">
        <f>IFERROR(IF(ISNUMBER(INDEX('M03-S01'!$AN$16:$AN$198,2*(ROWS($R$4:R35)-1)+1)),INDEX('M03-S01'!$AV$16:$AV$198,2*(ROWS($O$4:O35)-1)+1),""),"")</f>
        <v/>
      </c>
      <c r="P35" s="459"/>
      <c r="Q35" s="184" t="str">
        <f>IFERROR(IF(ISNUMBER(INDEX('M03-S01'!$AN$16:$AN$198,2*(ROWS($R$4:R35)-1)+1)),INDEX('M03-S01'!$AY$16:$AY$198,2*(ROWS($Q$4:Q35)-1)+1),""),"")</f>
        <v/>
      </c>
      <c r="R35" s="184">
        <f>IF(ISNUMBER(INDEX('M03-S01'!$AN$16:$AN$198,2*(ROWS($R$4:R35)-1)+1)),INDEX('M03-S01'!$AN$16:$AN$198,2*(ROWS($R$4:R35)-1)+1),0)</f>
        <v>0</v>
      </c>
      <c r="S35" s="459"/>
      <c r="T35" s="113"/>
      <c r="U35" s="140"/>
      <c r="V35" s="113"/>
      <c r="W35" s="96" t="str">
        <f>IFERROR(IF(NOT(ISNUMBER(INDEX('M03-S01'!$AN$16:$AN$198,2*(ROWS($R$4:R35)-1)+1))),INDEX('M03-S01'!$BC$16:$BC$198,2*(ROWS($R$4:R35)-1)+1),""),"")</f>
        <v/>
      </c>
      <c r="X35" s="184" t="str">
        <f>IFERROR(ROUND(IF(ISNUMBER(SEARCH("8ft",INDEX('M03-S01'!$K$16:$K$198,2*(ROWS($X$4:X35)-1)+1))),INDEX('M03-S01'!$I$16:$I$198,2*(ROWS($X$4:X35)-1)+1)/2,INDEX('M03-S01'!$I$16:$I$198,2*(ROWS($X$4:X35)-1)+1)),3),"")</f>
        <v/>
      </c>
      <c r="Y35" s="184" t="str">
        <f>IFERROR(ROUND(IF(ISNUMBER(SEARCH("8ft",INDEX('M03-S01'!$K$16:$K$198,2*(ROWS($Y$4:Y35)-1)+1))),INDEX('M03-S01'!$Q$16:$Q$198,2*(ROWS($Y$4:Y35)-1)+1)/2,INDEX('M03-S01'!$Q$16:$Q$198,2*(ROWS($Y$4:Y35)-1)+1)),3),"")</f>
        <v/>
      </c>
      <c r="Z35" s="111">
        <f>INDEX('M03-S01'!$B$16:$B$198,2*(ROWS($Z$4:Z35)-1)+1)</f>
        <v>32</v>
      </c>
      <c r="AA35" s="111">
        <f>IF(ISNUMBER(SEARCH("8ft",INDEX('M03-S01'!$C$16:$C$199,2*(ROWS($Z$4:AA35)-1)+1))),SUBSTITUTE(INDEX('M03-S01'!$C$16:$C$199,2*(ROWS($Z$4:AA35)-1)+1),"8ft","4ft"),INDEX('M03-S01'!$C$16:$C$199,2*(ROWS($Z$4:AA35)-1)+1))</f>
        <v>0</v>
      </c>
      <c r="AB35" s="111">
        <f>IF(ISNUMBER(SEARCH("8ft",INDEX('M03-S01'!$K$16:$K$199,2*(ROWS($Z$4:AB35)-1)+1))),SUBSTITUTE(INDEX('M03-S01'!$K$16:$K$199,2*(ROWS($Z$4:AB35)-1)+1),"8ft","4ft"),INDEX('M03-S01'!$K$16:$K$199,2*(ROWS($Z$4:AB35)-1)+1))</f>
        <v>0</v>
      </c>
      <c r="AC35" s="96"/>
      <c r="AD35">
        <f>INDEX('M03-S01'!$U$16:$U$198,2*(ROWS($AD$4:AD35)-1)+1)</f>
        <v>0</v>
      </c>
      <c r="AE35" s="459"/>
      <c r="AF35" s="459"/>
      <c r="AG35" s="111" t="str">
        <f>INDEX('M03-S01'!$AW$16:$AW$198,2*(ROWS($AG$4:AG35)-1)+1)</f>
        <v/>
      </c>
      <c r="AH35" s="111" t="str">
        <f>INDEX('M03-S01'!$AX$16:$AX$198,2*(ROWS($AH$4:AH35)-1)+1)</f>
        <v/>
      </c>
      <c r="AI35" s="113"/>
      <c r="AJ35" s="113"/>
      <c r="AK35" s="113"/>
      <c r="AL35" s="113"/>
      <c r="AM35" s="113"/>
      <c r="AN35" s="113"/>
      <c r="AO35" s="52" t="str">
        <f>IFERROR(INDEX(PMELIGHT[Program Design],MATCH(AB35,PMELIGHT[Eff Desc 1])),"")</f>
        <v/>
      </c>
      <c r="AU35"/>
    </row>
    <row r="36" spans="1:47">
      <c r="A36" s="57">
        <f t="shared" si="0"/>
        <v>0</v>
      </c>
      <c r="B36" s="183" t="str">
        <f t="shared" si="2"/>
        <v/>
      </c>
      <c r="C36" t="str">
        <f>IFERROR(IF(R36&gt;0,INDEX(PMELIGHT[Measure '#],MATCH(AB36,PMELIGHT[Eff Desc 1],0)),""),"")</f>
        <v/>
      </c>
      <c r="D36" t="s">
        <v>947</v>
      </c>
      <c r="F36" s="185">
        <f>INDEX('M03-S01'!$AB$16:$AB$198,2*(ROWS($F$4:F36)-1)+1)</f>
        <v>0</v>
      </c>
      <c r="G36" s="186">
        <f>INDEX('M03-S01'!$Y$16:$Y$198,2*(ROWS($G$4:G36)-1)+1)</f>
        <v>0</v>
      </c>
      <c r="H36" s="186" t="str">
        <f>IF(ISNUMBER(INDEX('M03-S01'!$AN$16:$AN$198,2*(ROWS($R$4:R36)-1)+1)),"Total","")</f>
        <v/>
      </c>
      <c r="I36" s="184">
        <f>IFERROR(ROUND(INDEX('M03-S01'!$S$16:$S$198,2*(ROWS($I$4:I36)-1)+1)*INDEX('M03-S01'!$AE$16:$AE$198,2*(ROWS($I$4:I36)-1)+1),2),0)</f>
        <v>0</v>
      </c>
      <c r="J36" s="184">
        <f>IFERROR(ROUND(INDEX('M03-S01'!$S$16:$S$198,2*(ROWS($J$4:J36)-1)+1)*INDEX('M03-S01'!$AG$16:$AG$198,2*(ROWS($J$4:J36)-1)+1),2),0)</f>
        <v>0</v>
      </c>
      <c r="K36" s="52">
        <f>IFERROR(ROUND(INDEX('M03-S01'!$AU$16:$AU$198,2*(ROWS($K$4:K36)-1)+1),2),0)</f>
        <v>0</v>
      </c>
      <c r="L36" s="52" t="str">
        <f>IFERROR(IF(R36&gt;0,M36*INDEX(PMELIGHT[Incremental Cost],MATCH(AB36,PMELIGHT[Eff Desc 1],0)),""),"")</f>
        <v/>
      </c>
      <c r="M36" s="456">
        <f>IF(ISNUMBER(SEARCH("8ft",INDEX('M03-S01'!$K$16:$K$198,2*(ROWS($M$4:M36)-1)+1))),INDEX('M03-S01'!$S$16:$S$198,2*(ROWS($M$4:M36)-1)+1)*2,INDEX('M03-S01'!$S$16:$S$198,2*(ROWS($M$4:M36)-1)+1))</f>
        <v>0</v>
      </c>
      <c r="N36" s="184" t="str">
        <f>IF(ISNUMBER(INDEX('M03-S01'!$AN$16:$AN$198,2*(ROWS($R$4:R36)-1)+1)),INDEX('M03-S01'!$AK$16:$AK$198,2*(ROWS($N$4:N36)-1)+1),"")</f>
        <v/>
      </c>
      <c r="O36" s="456" t="str">
        <f>IFERROR(IF(ISNUMBER(INDEX('M03-S01'!$AN$16:$AN$198,2*(ROWS($R$4:R36)-1)+1)),INDEX('M03-S01'!$AV$16:$AV$198,2*(ROWS($O$4:O36)-1)+1),""),"")</f>
        <v/>
      </c>
      <c r="P36" s="459"/>
      <c r="Q36" s="184" t="str">
        <f>IFERROR(IF(ISNUMBER(INDEX('M03-S01'!$AN$16:$AN$198,2*(ROWS($R$4:R36)-1)+1)),INDEX('M03-S01'!$AY$16:$AY$198,2*(ROWS($Q$4:Q36)-1)+1),""),"")</f>
        <v/>
      </c>
      <c r="R36" s="184">
        <f>IF(ISNUMBER(INDEX('M03-S01'!$AN$16:$AN$198,2*(ROWS($R$4:R36)-1)+1)),INDEX('M03-S01'!$AN$16:$AN$198,2*(ROWS($R$4:R36)-1)+1),0)</f>
        <v>0</v>
      </c>
      <c r="S36" s="459"/>
      <c r="T36" s="113"/>
      <c r="U36" s="140"/>
      <c r="V36" s="113"/>
      <c r="W36" s="96" t="str">
        <f>IFERROR(IF(NOT(ISNUMBER(INDEX('M03-S01'!$AN$16:$AN$198,2*(ROWS($R$4:R36)-1)+1))),INDEX('M03-S01'!$BC$16:$BC$198,2*(ROWS($R$4:R36)-1)+1),""),"")</f>
        <v/>
      </c>
      <c r="X36" s="184" t="str">
        <f>IFERROR(ROUND(IF(ISNUMBER(SEARCH("8ft",INDEX('M03-S01'!$K$16:$K$198,2*(ROWS($X$4:X36)-1)+1))),INDEX('M03-S01'!$I$16:$I$198,2*(ROWS($X$4:X36)-1)+1)/2,INDEX('M03-S01'!$I$16:$I$198,2*(ROWS($X$4:X36)-1)+1)),3),"")</f>
        <v/>
      </c>
      <c r="Y36" s="184" t="str">
        <f>IFERROR(ROUND(IF(ISNUMBER(SEARCH("8ft",INDEX('M03-S01'!$K$16:$K$198,2*(ROWS($Y$4:Y36)-1)+1))),INDEX('M03-S01'!$Q$16:$Q$198,2*(ROWS($Y$4:Y36)-1)+1)/2,INDEX('M03-S01'!$Q$16:$Q$198,2*(ROWS($Y$4:Y36)-1)+1)),3),"")</f>
        <v/>
      </c>
      <c r="Z36" s="111">
        <f>INDEX('M03-S01'!$B$16:$B$198,2*(ROWS($Z$4:Z36)-1)+1)</f>
        <v>33</v>
      </c>
      <c r="AA36" s="111">
        <f>IF(ISNUMBER(SEARCH("8ft",INDEX('M03-S01'!$C$16:$C$199,2*(ROWS($Z$4:AA36)-1)+1))),SUBSTITUTE(INDEX('M03-S01'!$C$16:$C$199,2*(ROWS($Z$4:AA36)-1)+1),"8ft","4ft"),INDEX('M03-S01'!$C$16:$C$199,2*(ROWS($Z$4:AA36)-1)+1))</f>
        <v>0</v>
      </c>
      <c r="AB36" s="111">
        <f>IF(ISNUMBER(SEARCH("8ft",INDEX('M03-S01'!$K$16:$K$199,2*(ROWS($Z$4:AB36)-1)+1))),SUBSTITUTE(INDEX('M03-S01'!$K$16:$K$199,2*(ROWS($Z$4:AB36)-1)+1),"8ft","4ft"),INDEX('M03-S01'!$K$16:$K$199,2*(ROWS($Z$4:AB36)-1)+1))</f>
        <v>0</v>
      </c>
      <c r="AC36" s="96"/>
      <c r="AD36">
        <f>INDEX('M03-S01'!$U$16:$U$198,2*(ROWS($AD$4:AD36)-1)+1)</f>
        <v>0</v>
      </c>
      <c r="AE36" s="459"/>
      <c r="AF36" s="459"/>
      <c r="AG36" s="111" t="str">
        <f>INDEX('M03-S01'!$AW$16:$AW$198,2*(ROWS($AG$4:AG36)-1)+1)</f>
        <v/>
      </c>
      <c r="AH36" s="111" t="str">
        <f>INDEX('M03-S01'!$AX$16:$AX$198,2*(ROWS($AH$4:AH36)-1)+1)</f>
        <v/>
      </c>
      <c r="AI36" s="113"/>
      <c r="AJ36" s="113"/>
      <c r="AK36" s="113"/>
      <c r="AL36" s="113"/>
      <c r="AM36" s="113"/>
      <c r="AN36" s="113"/>
      <c r="AO36" s="52" t="str">
        <f>IFERROR(INDEX(PMELIGHT[Program Design],MATCH(AB36,PMELIGHT[Eff Desc 1])),"")</f>
        <v/>
      </c>
      <c r="AU36"/>
    </row>
    <row r="37" spans="1:47">
      <c r="A37" s="57">
        <f t="shared" si="0"/>
        <v>0</v>
      </c>
      <c r="B37" s="183" t="str">
        <f t="shared" si="2"/>
        <v/>
      </c>
      <c r="C37" t="str">
        <f>IFERROR(IF(R37&gt;0,INDEX(PMELIGHT[Measure '#],MATCH(AB37,PMELIGHT[Eff Desc 1],0)),""),"")</f>
        <v/>
      </c>
      <c r="D37" t="s">
        <v>947</v>
      </c>
      <c r="F37" s="185">
        <f>INDEX('M03-S01'!$AB$16:$AB$198,2*(ROWS($F$4:F37)-1)+1)</f>
        <v>0</v>
      </c>
      <c r="G37" s="186">
        <f>INDEX('M03-S01'!$Y$16:$Y$198,2*(ROWS($G$4:G37)-1)+1)</f>
        <v>0</v>
      </c>
      <c r="H37" s="186" t="str">
        <f>IF(ISNUMBER(INDEX('M03-S01'!$AN$16:$AN$198,2*(ROWS($R$4:R37)-1)+1)),"Total","")</f>
        <v/>
      </c>
      <c r="I37" s="184">
        <f>IFERROR(ROUND(INDEX('M03-S01'!$S$16:$S$198,2*(ROWS($I$4:I37)-1)+1)*INDEX('M03-S01'!$AE$16:$AE$198,2*(ROWS($I$4:I37)-1)+1),2),0)</f>
        <v>0</v>
      </c>
      <c r="J37" s="184">
        <f>IFERROR(ROUND(INDEX('M03-S01'!$S$16:$S$198,2*(ROWS($J$4:J37)-1)+1)*INDEX('M03-S01'!$AG$16:$AG$198,2*(ROWS($J$4:J37)-1)+1),2),0)</f>
        <v>0</v>
      </c>
      <c r="K37" s="52">
        <f>IFERROR(ROUND(INDEX('M03-S01'!$AU$16:$AU$198,2*(ROWS($K$4:K37)-1)+1),2),0)</f>
        <v>0</v>
      </c>
      <c r="L37" s="52" t="str">
        <f>IFERROR(IF(R37&gt;0,M37*INDEX(PMELIGHT[Incremental Cost],MATCH(AB37,PMELIGHT[Eff Desc 1],0)),""),"")</f>
        <v/>
      </c>
      <c r="M37" s="456">
        <f>IF(ISNUMBER(SEARCH("8ft",INDEX('M03-S01'!$K$16:$K$198,2*(ROWS($M$4:M37)-1)+1))),INDEX('M03-S01'!$S$16:$S$198,2*(ROWS($M$4:M37)-1)+1)*2,INDEX('M03-S01'!$S$16:$S$198,2*(ROWS($M$4:M37)-1)+1))</f>
        <v>0</v>
      </c>
      <c r="N37" s="184" t="str">
        <f>IF(ISNUMBER(INDEX('M03-S01'!$AN$16:$AN$198,2*(ROWS($R$4:R37)-1)+1)),INDEX('M03-S01'!$AK$16:$AK$198,2*(ROWS($N$4:N37)-1)+1),"")</f>
        <v/>
      </c>
      <c r="O37" s="456" t="str">
        <f>IFERROR(IF(ISNUMBER(INDEX('M03-S01'!$AN$16:$AN$198,2*(ROWS($R$4:R37)-1)+1)),INDEX('M03-S01'!$AV$16:$AV$198,2*(ROWS($O$4:O37)-1)+1),""),"")</f>
        <v/>
      </c>
      <c r="P37" s="459"/>
      <c r="Q37" s="184" t="str">
        <f>IFERROR(IF(ISNUMBER(INDEX('M03-S01'!$AN$16:$AN$198,2*(ROWS($R$4:R37)-1)+1)),INDEX('M03-S01'!$AY$16:$AY$198,2*(ROWS($Q$4:Q37)-1)+1),""),"")</f>
        <v/>
      </c>
      <c r="R37" s="184">
        <f>IF(ISNUMBER(INDEX('M03-S01'!$AN$16:$AN$198,2*(ROWS($R$4:R37)-1)+1)),INDEX('M03-S01'!$AN$16:$AN$198,2*(ROWS($R$4:R37)-1)+1),0)</f>
        <v>0</v>
      </c>
      <c r="S37" s="459"/>
      <c r="T37" s="113"/>
      <c r="U37" s="140"/>
      <c r="V37" s="113"/>
      <c r="W37" s="96" t="str">
        <f>IFERROR(IF(NOT(ISNUMBER(INDEX('M03-S01'!$AN$16:$AN$198,2*(ROWS($R$4:R37)-1)+1))),INDEX('M03-S01'!$BC$16:$BC$198,2*(ROWS($R$4:R37)-1)+1),""),"")</f>
        <v/>
      </c>
      <c r="X37" s="184" t="str">
        <f>IFERROR(ROUND(IF(ISNUMBER(SEARCH("8ft",INDEX('M03-S01'!$K$16:$K$198,2*(ROWS($X$4:X37)-1)+1))),INDEX('M03-S01'!$I$16:$I$198,2*(ROWS($X$4:X37)-1)+1)/2,INDEX('M03-S01'!$I$16:$I$198,2*(ROWS($X$4:X37)-1)+1)),3),"")</f>
        <v/>
      </c>
      <c r="Y37" s="184" t="str">
        <f>IFERROR(ROUND(IF(ISNUMBER(SEARCH("8ft",INDEX('M03-S01'!$K$16:$K$198,2*(ROWS($Y$4:Y37)-1)+1))),INDEX('M03-S01'!$Q$16:$Q$198,2*(ROWS($Y$4:Y37)-1)+1)/2,INDEX('M03-S01'!$Q$16:$Q$198,2*(ROWS($Y$4:Y37)-1)+1)),3),"")</f>
        <v/>
      </c>
      <c r="Z37" s="111">
        <f>INDEX('M03-S01'!$B$16:$B$198,2*(ROWS($Z$4:Z37)-1)+1)</f>
        <v>34</v>
      </c>
      <c r="AA37" s="111">
        <f>IF(ISNUMBER(SEARCH("8ft",INDEX('M03-S01'!$C$16:$C$199,2*(ROWS($Z$4:AA37)-1)+1))),SUBSTITUTE(INDEX('M03-S01'!$C$16:$C$199,2*(ROWS($Z$4:AA37)-1)+1),"8ft","4ft"),INDEX('M03-S01'!$C$16:$C$199,2*(ROWS($Z$4:AA37)-1)+1))</f>
        <v>0</v>
      </c>
      <c r="AB37" s="111">
        <f>IF(ISNUMBER(SEARCH("8ft",INDEX('M03-S01'!$K$16:$K$199,2*(ROWS($Z$4:AB37)-1)+1))),SUBSTITUTE(INDEX('M03-S01'!$K$16:$K$199,2*(ROWS($Z$4:AB37)-1)+1),"8ft","4ft"),INDEX('M03-S01'!$K$16:$K$199,2*(ROWS($Z$4:AB37)-1)+1))</f>
        <v>0</v>
      </c>
      <c r="AC37" s="96"/>
      <c r="AD37">
        <f>INDEX('M03-S01'!$U$16:$U$198,2*(ROWS($AD$4:AD37)-1)+1)</f>
        <v>0</v>
      </c>
      <c r="AE37" s="459"/>
      <c r="AF37" s="459"/>
      <c r="AG37" s="111" t="str">
        <f>INDEX('M03-S01'!$AW$16:$AW$198,2*(ROWS($AG$4:AG37)-1)+1)</f>
        <v/>
      </c>
      <c r="AH37" s="111" t="str">
        <f>INDEX('M03-S01'!$AX$16:$AX$198,2*(ROWS($AH$4:AH37)-1)+1)</f>
        <v/>
      </c>
      <c r="AI37" s="113"/>
      <c r="AJ37" s="113"/>
      <c r="AK37" s="113"/>
      <c r="AL37" s="113"/>
      <c r="AM37" s="113"/>
      <c r="AN37" s="113"/>
      <c r="AO37" s="52" t="str">
        <f>IFERROR(INDEX(PMELIGHT[Program Design],MATCH(AB37,PMELIGHT[Eff Desc 1])),"")</f>
        <v/>
      </c>
      <c r="AU37"/>
    </row>
    <row r="38" spans="1:47">
      <c r="A38" s="57">
        <f t="shared" si="0"/>
        <v>0</v>
      </c>
      <c r="B38" s="183" t="str">
        <f t="shared" si="1"/>
        <v/>
      </c>
      <c r="C38" t="str">
        <f>IFERROR(IF(R38&gt;0,INDEX(PMELIGHT[Measure '#],MATCH(AB38,PMELIGHT[Eff Desc 1],0)),""),"")</f>
        <v/>
      </c>
      <c r="D38" t="s">
        <v>947</v>
      </c>
      <c r="F38" s="185">
        <f>INDEX('M03-S01'!$AB$16:$AB$198,2*(ROWS($F$4:F38)-1)+1)</f>
        <v>0</v>
      </c>
      <c r="G38" s="186">
        <f>INDEX('M03-S01'!$Y$16:$Y$198,2*(ROWS($G$4:G38)-1)+1)</f>
        <v>0</v>
      </c>
      <c r="H38" s="186" t="str">
        <f>IF(ISNUMBER(INDEX('M03-S01'!$AN$16:$AN$198,2*(ROWS($R$4:R38)-1)+1)),"Total","")</f>
        <v/>
      </c>
      <c r="I38" s="184">
        <f>IFERROR(ROUND(INDEX('M03-S01'!$S$16:$S$198,2*(ROWS($I$4:I38)-1)+1)*INDEX('M03-S01'!$AE$16:$AE$198,2*(ROWS($I$4:I38)-1)+1),2),0)</f>
        <v>0</v>
      </c>
      <c r="J38" s="184">
        <f>IFERROR(ROUND(INDEX('M03-S01'!$S$16:$S$198,2*(ROWS($J$4:J38)-1)+1)*INDEX('M03-S01'!$AG$16:$AG$198,2*(ROWS($J$4:J38)-1)+1),2),0)</f>
        <v>0</v>
      </c>
      <c r="K38" s="52">
        <f>IFERROR(ROUND(INDEX('M03-S01'!$AU$16:$AU$198,2*(ROWS($K$4:K38)-1)+1),2),0)</f>
        <v>0</v>
      </c>
      <c r="L38" s="52" t="str">
        <f>IFERROR(IF(R38&gt;0,M38*INDEX(PMELIGHT[Incremental Cost],MATCH(AB38,PMELIGHT[Eff Desc 1],0)),""),"")</f>
        <v/>
      </c>
      <c r="M38" s="456">
        <f>IF(ISNUMBER(SEARCH("8ft",INDEX('M03-S01'!$K$16:$K$198,2*(ROWS($M$4:M38)-1)+1))),INDEX('M03-S01'!$S$16:$S$198,2*(ROWS($M$4:M38)-1)+1)*2,INDEX('M03-S01'!$S$16:$S$198,2*(ROWS($M$4:M38)-1)+1))</f>
        <v>0</v>
      </c>
      <c r="N38" s="184" t="str">
        <f>IF(ISNUMBER(INDEX('M03-S01'!$AN$16:$AN$198,2*(ROWS($R$4:R38)-1)+1)),INDEX('M03-S01'!$AK$16:$AK$198,2*(ROWS($N$4:N38)-1)+1),"")</f>
        <v/>
      </c>
      <c r="O38" s="456" t="str">
        <f>IFERROR(IF(ISNUMBER(INDEX('M03-S01'!$AN$16:$AN$198,2*(ROWS($R$4:R38)-1)+1)),INDEX('M03-S01'!$AV$16:$AV$198,2*(ROWS($O$4:O38)-1)+1),""),"")</f>
        <v/>
      </c>
      <c r="P38" s="459"/>
      <c r="Q38" s="184" t="str">
        <f>IFERROR(IF(ISNUMBER(INDEX('M03-S01'!$AN$16:$AN$198,2*(ROWS($R$4:R38)-1)+1)),INDEX('M03-S01'!$AY$16:$AY$198,2*(ROWS($Q$4:Q38)-1)+1),""),"")</f>
        <v/>
      </c>
      <c r="R38" s="184">
        <f>IF(ISNUMBER(INDEX('M03-S01'!$AN$16:$AN$198,2*(ROWS($R$4:R38)-1)+1)),INDEX('M03-S01'!$AN$16:$AN$198,2*(ROWS($R$4:R38)-1)+1),0)</f>
        <v>0</v>
      </c>
      <c r="S38" s="459"/>
      <c r="T38" s="113"/>
      <c r="U38" s="140"/>
      <c r="V38" s="113"/>
      <c r="W38" s="96" t="str">
        <f>IFERROR(IF(NOT(ISNUMBER(INDEX('M03-S01'!$AN$16:$AN$198,2*(ROWS($R$4:R38)-1)+1))),INDEX('M03-S01'!$BC$16:$BC$198,2*(ROWS($R$4:R38)-1)+1),""),"")</f>
        <v/>
      </c>
      <c r="X38" s="184" t="str">
        <f>IFERROR(ROUND(IF(ISNUMBER(SEARCH("8ft",INDEX('M03-S01'!$K$16:$K$198,2*(ROWS($X$4:X38)-1)+1))),INDEX('M03-S01'!$I$16:$I$198,2*(ROWS($X$4:X38)-1)+1)/2,INDEX('M03-S01'!$I$16:$I$198,2*(ROWS($X$4:X38)-1)+1)),3),"")</f>
        <v/>
      </c>
      <c r="Y38" s="184" t="str">
        <f>IFERROR(ROUND(IF(ISNUMBER(SEARCH("8ft",INDEX('M03-S01'!$K$16:$K$198,2*(ROWS($Y$4:Y38)-1)+1))),INDEX('M03-S01'!$Q$16:$Q$198,2*(ROWS($Y$4:Y38)-1)+1)/2,INDEX('M03-S01'!$Q$16:$Q$198,2*(ROWS($Y$4:Y38)-1)+1)),3),"")</f>
        <v/>
      </c>
      <c r="Z38" s="111">
        <f>INDEX('M03-S01'!$B$16:$B$198,2*(ROWS($Z$4:Z38)-1)+1)</f>
        <v>35</v>
      </c>
      <c r="AA38" s="111">
        <f>IF(ISNUMBER(SEARCH("8ft",INDEX('M03-S01'!$C$16:$C$199,2*(ROWS($Z$4:AA38)-1)+1))),SUBSTITUTE(INDEX('M03-S01'!$C$16:$C$199,2*(ROWS($Z$4:AA38)-1)+1),"8ft","4ft"),INDEX('M03-S01'!$C$16:$C$199,2*(ROWS($Z$4:AA38)-1)+1))</f>
        <v>0</v>
      </c>
      <c r="AB38" s="111">
        <f>IF(ISNUMBER(SEARCH("8ft",INDEX('M03-S01'!$K$16:$K$199,2*(ROWS($Z$4:AB38)-1)+1))),SUBSTITUTE(INDEX('M03-S01'!$K$16:$K$199,2*(ROWS($Z$4:AB38)-1)+1),"8ft","4ft"),INDEX('M03-S01'!$K$16:$K$199,2*(ROWS($Z$4:AB38)-1)+1))</f>
        <v>0</v>
      </c>
      <c r="AC38" s="96"/>
      <c r="AD38">
        <f>INDEX('M03-S01'!$U$16:$U$198,2*(ROWS($AD$4:AD38)-1)+1)</f>
        <v>0</v>
      </c>
      <c r="AE38" s="459"/>
      <c r="AF38" s="459"/>
      <c r="AG38" s="111" t="str">
        <f>INDEX('M03-S01'!$AW$16:$AW$198,2*(ROWS($AG$4:AG38)-1)+1)</f>
        <v/>
      </c>
      <c r="AH38" s="111" t="str">
        <f>INDEX('M03-S01'!$AX$16:$AX$198,2*(ROWS($AH$4:AH38)-1)+1)</f>
        <v/>
      </c>
      <c r="AI38" s="113"/>
      <c r="AJ38" s="113"/>
      <c r="AK38" s="113"/>
      <c r="AL38" s="113"/>
      <c r="AM38" s="113"/>
      <c r="AN38" s="113"/>
      <c r="AO38" s="52" t="str">
        <f>IFERROR(INDEX(PMELIGHT[Program Design],MATCH(AB38,PMELIGHT[Eff Desc 1])),"")</f>
        <v/>
      </c>
      <c r="AU38"/>
    </row>
    <row r="39" spans="1:47">
      <c r="A39" s="57">
        <f t="shared" si="0"/>
        <v>0</v>
      </c>
      <c r="B39" s="183" t="str">
        <f t="shared" si="1"/>
        <v/>
      </c>
      <c r="C39" t="str">
        <f>IFERROR(IF(R39&gt;0,INDEX(PMELIGHT[Measure '#],MATCH(AB39,PMELIGHT[Eff Desc 1],0)),""),"")</f>
        <v/>
      </c>
      <c r="D39" t="s">
        <v>947</v>
      </c>
      <c r="F39" s="185">
        <f>INDEX('M03-S01'!$AB$16:$AB$198,2*(ROWS($F$4:F39)-1)+1)</f>
        <v>0</v>
      </c>
      <c r="G39" s="186">
        <f>INDEX('M03-S01'!$Y$16:$Y$198,2*(ROWS($G$4:G39)-1)+1)</f>
        <v>0</v>
      </c>
      <c r="H39" s="186" t="str">
        <f>IF(ISNUMBER(INDEX('M03-S01'!$AN$16:$AN$198,2*(ROWS($R$4:R39)-1)+1)),"Total","")</f>
        <v/>
      </c>
      <c r="I39" s="184">
        <f>IFERROR(ROUND(INDEX('M03-S01'!$S$16:$S$198,2*(ROWS($I$4:I39)-1)+1)*INDEX('M03-S01'!$AE$16:$AE$198,2*(ROWS($I$4:I39)-1)+1),2),0)</f>
        <v>0</v>
      </c>
      <c r="J39" s="184">
        <f>IFERROR(ROUND(INDEX('M03-S01'!$S$16:$S$198,2*(ROWS($J$4:J39)-1)+1)*INDEX('M03-S01'!$AG$16:$AG$198,2*(ROWS($J$4:J39)-1)+1),2),0)</f>
        <v>0</v>
      </c>
      <c r="K39" s="52">
        <f>IFERROR(ROUND(INDEX('M03-S01'!$AU$16:$AU$198,2*(ROWS($K$4:K39)-1)+1),2),0)</f>
        <v>0</v>
      </c>
      <c r="L39" s="52" t="str">
        <f>IFERROR(IF(R39&gt;0,M39*INDEX(PMELIGHT[Incremental Cost],MATCH(AB39,PMELIGHT[Eff Desc 1],0)),""),"")</f>
        <v/>
      </c>
      <c r="M39" s="456">
        <f>IF(ISNUMBER(SEARCH("8ft",INDEX('M03-S01'!$K$16:$K$198,2*(ROWS($M$4:M39)-1)+1))),INDEX('M03-S01'!$S$16:$S$198,2*(ROWS($M$4:M39)-1)+1)*2,INDEX('M03-S01'!$S$16:$S$198,2*(ROWS($M$4:M39)-1)+1))</f>
        <v>0</v>
      </c>
      <c r="N39" s="184" t="str">
        <f>IF(ISNUMBER(INDEX('M03-S01'!$AN$16:$AN$198,2*(ROWS($R$4:R39)-1)+1)),INDEX('M03-S01'!$AK$16:$AK$198,2*(ROWS($N$4:N39)-1)+1),"")</f>
        <v/>
      </c>
      <c r="O39" s="456" t="str">
        <f>IFERROR(IF(ISNUMBER(INDEX('M03-S01'!$AN$16:$AN$198,2*(ROWS($R$4:R39)-1)+1)),INDEX('M03-S01'!$AV$16:$AV$198,2*(ROWS($O$4:O39)-1)+1),""),"")</f>
        <v/>
      </c>
      <c r="P39" s="459"/>
      <c r="Q39" s="184" t="str">
        <f>IFERROR(IF(ISNUMBER(INDEX('M03-S01'!$AN$16:$AN$198,2*(ROWS($R$4:R39)-1)+1)),INDEX('M03-S01'!$AY$16:$AY$198,2*(ROWS($Q$4:Q39)-1)+1),""),"")</f>
        <v/>
      </c>
      <c r="R39" s="184">
        <f>IF(ISNUMBER(INDEX('M03-S01'!$AN$16:$AN$198,2*(ROWS($R$4:R39)-1)+1)),INDEX('M03-S01'!$AN$16:$AN$198,2*(ROWS($R$4:R39)-1)+1),0)</f>
        <v>0</v>
      </c>
      <c r="S39" s="459"/>
      <c r="T39" s="113"/>
      <c r="U39" s="140"/>
      <c r="V39" s="113"/>
      <c r="W39" s="96" t="str">
        <f>IFERROR(IF(NOT(ISNUMBER(INDEX('M03-S01'!$AN$16:$AN$198,2*(ROWS($R$4:R39)-1)+1))),INDEX('M03-S01'!$BC$16:$BC$198,2*(ROWS($R$4:R39)-1)+1),""),"")</f>
        <v/>
      </c>
      <c r="X39" s="184" t="str">
        <f>IFERROR(ROUND(IF(ISNUMBER(SEARCH("8ft",INDEX('M03-S01'!$K$16:$K$198,2*(ROWS($X$4:X39)-1)+1))),INDEX('M03-S01'!$I$16:$I$198,2*(ROWS($X$4:X39)-1)+1)/2,INDEX('M03-S01'!$I$16:$I$198,2*(ROWS($X$4:X39)-1)+1)),3),"")</f>
        <v/>
      </c>
      <c r="Y39" s="184" t="str">
        <f>IFERROR(ROUND(IF(ISNUMBER(SEARCH("8ft",INDEX('M03-S01'!$K$16:$K$198,2*(ROWS($Y$4:Y39)-1)+1))),INDEX('M03-S01'!$Q$16:$Q$198,2*(ROWS($Y$4:Y39)-1)+1)/2,INDEX('M03-S01'!$Q$16:$Q$198,2*(ROWS($Y$4:Y39)-1)+1)),3),"")</f>
        <v/>
      </c>
      <c r="Z39" s="111">
        <f>INDEX('M03-S01'!$B$16:$B$198,2*(ROWS($Z$4:Z39)-1)+1)</f>
        <v>36</v>
      </c>
      <c r="AA39" s="111">
        <f>IF(ISNUMBER(SEARCH("8ft",INDEX('M03-S01'!$C$16:$C$199,2*(ROWS($Z$4:AA39)-1)+1))),SUBSTITUTE(INDEX('M03-S01'!$C$16:$C$199,2*(ROWS($Z$4:AA39)-1)+1),"8ft","4ft"),INDEX('M03-S01'!$C$16:$C$199,2*(ROWS($Z$4:AA39)-1)+1))</f>
        <v>0</v>
      </c>
      <c r="AB39" s="111">
        <f>IF(ISNUMBER(SEARCH("8ft",INDEX('M03-S01'!$K$16:$K$199,2*(ROWS($Z$4:AB39)-1)+1))),SUBSTITUTE(INDEX('M03-S01'!$K$16:$K$199,2*(ROWS($Z$4:AB39)-1)+1),"8ft","4ft"),INDEX('M03-S01'!$K$16:$K$199,2*(ROWS($Z$4:AB39)-1)+1))</f>
        <v>0</v>
      </c>
      <c r="AC39" s="96"/>
      <c r="AD39">
        <f>INDEX('M03-S01'!$U$16:$U$198,2*(ROWS($AD$4:AD39)-1)+1)</f>
        <v>0</v>
      </c>
      <c r="AE39" s="459"/>
      <c r="AF39" s="459"/>
      <c r="AG39" s="111" t="str">
        <f>INDEX('M03-S01'!$AW$16:$AW$198,2*(ROWS($AG$4:AG39)-1)+1)</f>
        <v/>
      </c>
      <c r="AH39" s="111" t="str">
        <f>INDEX('M03-S01'!$AX$16:$AX$198,2*(ROWS($AH$4:AH39)-1)+1)</f>
        <v/>
      </c>
      <c r="AI39" s="113"/>
      <c r="AJ39" s="113"/>
      <c r="AK39" s="113"/>
      <c r="AL39" s="113"/>
      <c r="AM39" s="113"/>
      <c r="AN39" s="113"/>
      <c r="AO39" s="52" t="str">
        <f>IFERROR(INDEX(PMELIGHT[Program Design],MATCH(AB39,PMELIGHT[Eff Desc 1])),"")</f>
        <v/>
      </c>
      <c r="AU39"/>
    </row>
    <row r="40" spans="1:47">
      <c r="A40" s="57">
        <f t="shared" si="0"/>
        <v>0</v>
      </c>
      <c r="B40" s="183" t="str">
        <f t="shared" si="1"/>
        <v/>
      </c>
      <c r="C40" t="str">
        <f>IFERROR(IF(R40&gt;0,INDEX(PMELIGHT[Measure '#],MATCH(AB40,PMELIGHT[Eff Desc 1],0)),""),"")</f>
        <v/>
      </c>
      <c r="D40" t="s">
        <v>947</v>
      </c>
      <c r="F40" s="185">
        <f>INDEX('M03-S01'!$AB$16:$AB$198,2*(ROWS($F$4:F40)-1)+1)</f>
        <v>0</v>
      </c>
      <c r="G40" s="186">
        <f>INDEX('M03-S01'!$Y$16:$Y$198,2*(ROWS($G$4:G40)-1)+1)</f>
        <v>0</v>
      </c>
      <c r="H40" s="186" t="str">
        <f>IF(ISNUMBER(INDEX('M03-S01'!$AN$16:$AN$198,2*(ROWS($R$4:R40)-1)+1)),"Total","")</f>
        <v/>
      </c>
      <c r="I40" s="184">
        <f>IFERROR(ROUND(INDEX('M03-S01'!$S$16:$S$198,2*(ROWS($I$4:I40)-1)+1)*INDEX('M03-S01'!$AE$16:$AE$198,2*(ROWS($I$4:I40)-1)+1),2),0)</f>
        <v>0</v>
      </c>
      <c r="J40" s="184">
        <f>IFERROR(ROUND(INDEX('M03-S01'!$S$16:$S$198,2*(ROWS($J$4:J40)-1)+1)*INDEX('M03-S01'!$AG$16:$AG$198,2*(ROWS($J$4:J40)-1)+1),2),0)</f>
        <v>0</v>
      </c>
      <c r="K40" s="52">
        <f>IFERROR(ROUND(INDEX('M03-S01'!$AU$16:$AU$198,2*(ROWS($K$4:K40)-1)+1),2),0)</f>
        <v>0</v>
      </c>
      <c r="L40" s="52" t="str">
        <f>IFERROR(IF(R40&gt;0,M40*INDEX(PMELIGHT[Incremental Cost],MATCH(AB40,PMELIGHT[Eff Desc 1],0)),""),"")</f>
        <v/>
      </c>
      <c r="M40" s="456">
        <f>IF(ISNUMBER(SEARCH("8ft",INDEX('M03-S01'!$K$16:$K$198,2*(ROWS($M$4:M40)-1)+1))),INDEX('M03-S01'!$S$16:$S$198,2*(ROWS($M$4:M40)-1)+1)*2,INDEX('M03-S01'!$S$16:$S$198,2*(ROWS($M$4:M40)-1)+1))</f>
        <v>0</v>
      </c>
      <c r="N40" s="184" t="str">
        <f>IF(ISNUMBER(INDEX('M03-S01'!$AN$16:$AN$198,2*(ROWS($R$4:R40)-1)+1)),INDEX('M03-S01'!$AK$16:$AK$198,2*(ROWS($N$4:N40)-1)+1),"")</f>
        <v/>
      </c>
      <c r="O40" s="456" t="str">
        <f>IFERROR(IF(ISNUMBER(INDEX('M03-S01'!$AN$16:$AN$198,2*(ROWS($R$4:R40)-1)+1)),INDEX('M03-S01'!$AV$16:$AV$198,2*(ROWS($O$4:O40)-1)+1),""),"")</f>
        <v/>
      </c>
      <c r="P40" s="459"/>
      <c r="Q40" s="184" t="str">
        <f>IFERROR(IF(ISNUMBER(INDEX('M03-S01'!$AN$16:$AN$198,2*(ROWS($R$4:R40)-1)+1)),INDEX('M03-S01'!$AY$16:$AY$198,2*(ROWS($Q$4:Q40)-1)+1),""),"")</f>
        <v/>
      </c>
      <c r="R40" s="184">
        <f>IF(ISNUMBER(INDEX('M03-S01'!$AN$16:$AN$198,2*(ROWS($R$4:R40)-1)+1)),INDEX('M03-S01'!$AN$16:$AN$198,2*(ROWS($R$4:R40)-1)+1),0)</f>
        <v>0</v>
      </c>
      <c r="S40" s="459"/>
      <c r="T40" s="113"/>
      <c r="U40" s="140"/>
      <c r="V40" s="113"/>
      <c r="W40" s="96" t="str">
        <f>IFERROR(IF(NOT(ISNUMBER(INDEX('M03-S01'!$AN$16:$AN$198,2*(ROWS($R$4:R40)-1)+1))),INDEX('M03-S01'!$BC$16:$BC$198,2*(ROWS($R$4:R40)-1)+1),""),"")</f>
        <v/>
      </c>
      <c r="X40" s="184" t="str">
        <f>IFERROR(ROUND(IF(ISNUMBER(SEARCH("8ft",INDEX('M03-S01'!$K$16:$K$198,2*(ROWS($X$4:X40)-1)+1))),INDEX('M03-S01'!$I$16:$I$198,2*(ROWS($X$4:X40)-1)+1)/2,INDEX('M03-S01'!$I$16:$I$198,2*(ROWS($X$4:X40)-1)+1)),3),"")</f>
        <v/>
      </c>
      <c r="Y40" s="184" t="str">
        <f>IFERROR(ROUND(IF(ISNUMBER(SEARCH("8ft",INDEX('M03-S01'!$K$16:$K$198,2*(ROWS($Y$4:Y40)-1)+1))),INDEX('M03-S01'!$Q$16:$Q$198,2*(ROWS($Y$4:Y40)-1)+1)/2,INDEX('M03-S01'!$Q$16:$Q$198,2*(ROWS($Y$4:Y40)-1)+1)),3),"")</f>
        <v/>
      </c>
      <c r="Z40" s="111">
        <f>INDEX('M03-S01'!$B$16:$B$198,2*(ROWS($Z$4:Z40)-1)+1)</f>
        <v>37</v>
      </c>
      <c r="AA40" s="111">
        <f>IF(ISNUMBER(SEARCH("8ft",INDEX('M03-S01'!$C$16:$C$199,2*(ROWS($Z$4:AA40)-1)+1))),SUBSTITUTE(INDEX('M03-S01'!$C$16:$C$199,2*(ROWS($Z$4:AA40)-1)+1),"8ft","4ft"),INDEX('M03-S01'!$C$16:$C$199,2*(ROWS($Z$4:AA40)-1)+1))</f>
        <v>0</v>
      </c>
      <c r="AB40" s="111">
        <f>IF(ISNUMBER(SEARCH("8ft",INDEX('M03-S01'!$K$16:$K$199,2*(ROWS($Z$4:AB40)-1)+1))),SUBSTITUTE(INDEX('M03-S01'!$K$16:$K$199,2*(ROWS($Z$4:AB40)-1)+1),"8ft","4ft"),INDEX('M03-S01'!$K$16:$K$199,2*(ROWS($Z$4:AB40)-1)+1))</f>
        <v>0</v>
      </c>
      <c r="AC40" s="96"/>
      <c r="AD40">
        <f>INDEX('M03-S01'!$U$16:$U$198,2*(ROWS($AD$4:AD40)-1)+1)</f>
        <v>0</v>
      </c>
      <c r="AE40" s="459"/>
      <c r="AF40" s="459"/>
      <c r="AG40" s="111" t="str">
        <f>INDEX('M03-S01'!$AW$16:$AW$198,2*(ROWS($AG$4:AG40)-1)+1)</f>
        <v/>
      </c>
      <c r="AH40" s="111" t="str">
        <f>INDEX('M03-S01'!$AX$16:$AX$198,2*(ROWS($AH$4:AH40)-1)+1)</f>
        <v/>
      </c>
      <c r="AI40" s="113"/>
      <c r="AJ40" s="113"/>
      <c r="AK40" s="113"/>
      <c r="AL40" s="113"/>
      <c r="AM40" s="113"/>
      <c r="AN40" s="113"/>
      <c r="AO40" s="52" t="str">
        <f>IFERROR(INDEX(PMELIGHT[Program Design],MATCH(AB40,PMELIGHT[Eff Desc 1])),"")</f>
        <v/>
      </c>
      <c r="AU40"/>
    </row>
    <row r="41" spans="1:47">
      <c r="A41" s="57">
        <f t="shared" si="0"/>
        <v>0</v>
      </c>
      <c r="B41" s="183" t="str">
        <f t="shared" si="1"/>
        <v/>
      </c>
      <c r="C41" t="str">
        <f>IFERROR(IF(R41&gt;0,INDEX(PMELIGHT[Measure '#],MATCH(AB41,PMELIGHT[Eff Desc 1],0)),""),"")</f>
        <v/>
      </c>
      <c r="D41" t="s">
        <v>947</v>
      </c>
      <c r="F41" s="185">
        <f>INDEX('M03-S01'!$AB$16:$AB$198,2*(ROWS($F$4:F41)-1)+1)</f>
        <v>0</v>
      </c>
      <c r="G41" s="186">
        <f>INDEX('M03-S01'!$Y$16:$Y$198,2*(ROWS($G$4:G41)-1)+1)</f>
        <v>0</v>
      </c>
      <c r="H41" s="186" t="str">
        <f>IF(ISNUMBER(INDEX('M03-S01'!$AN$16:$AN$198,2*(ROWS($R$4:R41)-1)+1)),"Total","")</f>
        <v/>
      </c>
      <c r="I41" s="184">
        <f>IFERROR(ROUND(INDEX('M03-S01'!$S$16:$S$198,2*(ROWS($I$4:I41)-1)+1)*INDEX('M03-S01'!$AE$16:$AE$198,2*(ROWS($I$4:I41)-1)+1),2),0)</f>
        <v>0</v>
      </c>
      <c r="J41" s="184">
        <f>IFERROR(ROUND(INDEX('M03-S01'!$S$16:$S$198,2*(ROWS($J$4:J41)-1)+1)*INDEX('M03-S01'!$AG$16:$AG$198,2*(ROWS($J$4:J41)-1)+1),2),0)</f>
        <v>0</v>
      </c>
      <c r="K41" s="52">
        <f>IFERROR(ROUND(INDEX('M03-S01'!$AU$16:$AU$198,2*(ROWS($K$4:K41)-1)+1),2),0)</f>
        <v>0</v>
      </c>
      <c r="L41" s="52" t="str">
        <f>IFERROR(IF(R41&gt;0,M41*INDEX(PMELIGHT[Incremental Cost],MATCH(AB41,PMELIGHT[Eff Desc 1],0)),""),"")</f>
        <v/>
      </c>
      <c r="M41" s="456">
        <f>IF(ISNUMBER(SEARCH("8ft",INDEX('M03-S01'!$K$16:$K$198,2*(ROWS($M$4:M41)-1)+1))),INDEX('M03-S01'!$S$16:$S$198,2*(ROWS($M$4:M41)-1)+1)*2,INDEX('M03-S01'!$S$16:$S$198,2*(ROWS($M$4:M41)-1)+1))</f>
        <v>0</v>
      </c>
      <c r="N41" s="184" t="str">
        <f>IF(ISNUMBER(INDEX('M03-S01'!$AN$16:$AN$198,2*(ROWS($R$4:R41)-1)+1)),INDEX('M03-S01'!$AK$16:$AK$198,2*(ROWS($N$4:N41)-1)+1),"")</f>
        <v/>
      </c>
      <c r="O41" s="456" t="str">
        <f>IFERROR(IF(ISNUMBER(INDEX('M03-S01'!$AN$16:$AN$198,2*(ROWS($R$4:R41)-1)+1)),INDEX('M03-S01'!$AV$16:$AV$198,2*(ROWS($O$4:O41)-1)+1),""),"")</f>
        <v/>
      </c>
      <c r="P41" s="459"/>
      <c r="Q41" s="184" t="str">
        <f>IFERROR(IF(ISNUMBER(INDEX('M03-S01'!$AN$16:$AN$198,2*(ROWS($R$4:R41)-1)+1)),INDEX('M03-S01'!$AY$16:$AY$198,2*(ROWS($Q$4:Q41)-1)+1),""),"")</f>
        <v/>
      </c>
      <c r="R41" s="184">
        <f>IF(ISNUMBER(INDEX('M03-S01'!$AN$16:$AN$198,2*(ROWS($R$4:R41)-1)+1)),INDEX('M03-S01'!$AN$16:$AN$198,2*(ROWS($R$4:R41)-1)+1),0)</f>
        <v>0</v>
      </c>
      <c r="S41" s="459"/>
      <c r="T41" s="113"/>
      <c r="U41" s="140"/>
      <c r="V41" s="113"/>
      <c r="W41" s="96" t="str">
        <f>IFERROR(IF(NOT(ISNUMBER(INDEX('M03-S01'!$AN$16:$AN$198,2*(ROWS($R$4:R41)-1)+1))),INDEX('M03-S01'!$BC$16:$BC$198,2*(ROWS($R$4:R41)-1)+1),""),"")</f>
        <v/>
      </c>
      <c r="X41" s="184" t="str">
        <f>IFERROR(ROUND(IF(ISNUMBER(SEARCH("8ft",INDEX('M03-S01'!$K$16:$K$198,2*(ROWS($X$4:X41)-1)+1))),INDEX('M03-S01'!$I$16:$I$198,2*(ROWS($X$4:X41)-1)+1)/2,INDEX('M03-S01'!$I$16:$I$198,2*(ROWS($X$4:X41)-1)+1)),3),"")</f>
        <v/>
      </c>
      <c r="Y41" s="184" t="str">
        <f>IFERROR(ROUND(IF(ISNUMBER(SEARCH("8ft",INDEX('M03-S01'!$K$16:$K$198,2*(ROWS($Y$4:Y41)-1)+1))),INDEX('M03-S01'!$Q$16:$Q$198,2*(ROWS($Y$4:Y41)-1)+1)/2,INDEX('M03-S01'!$Q$16:$Q$198,2*(ROWS($Y$4:Y41)-1)+1)),3),"")</f>
        <v/>
      </c>
      <c r="Z41" s="111">
        <f>INDEX('M03-S01'!$B$16:$B$198,2*(ROWS($Z$4:Z41)-1)+1)</f>
        <v>38</v>
      </c>
      <c r="AA41" s="111">
        <f>IF(ISNUMBER(SEARCH("8ft",INDEX('M03-S01'!$C$16:$C$199,2*(ROWS($Z$4:AA41)-1)+1))),SUBSTITUTE(INDEX('M03-S01'!$C$16:$C$199,2*(ROWS($Z$4:AA41)-1)+1),"8ft","4ft"),INDEX('M03-S01'!$C$16:$C$199,2*(ROWS($Z$4:AA41)-1)+1))</f>
        <v>0</v>
      </c>
      <c r="AB41" s="111">
        <f>IF(ISNUMBER(SEARCH("8ft",INDEX('M03-S01'!$K$16:$K$199,2*(ROWS($Z$4:AB41)-1)+1))),SUBSTITUTE(INDEX('M03-S01'!$K$16:$K$199,2*(ROWS($Z$4:AB41)-1)+1),"8ft","4ft"),INDEX('M03-S01'!$K$16:$K$199,2*(ROWS($Z$4:AB41)-1)+1))</f>
        <v>0</v>
      </c>
      <c r="AC41" s="96"/>
      <c r="AD41">
        <f>INDEX('M03-S01'!$U$16:$U$198,2*(ROWS($AD$4:AD41)-1)+1)</f>
        <v>0</v>
      </c>
      <c r="AE41" s="459"/>
      <c r="AF41" s="459"/>
      <c r="AG41" s="111" t="str">
        <f>INDEX('M03-S01'!$AW$16:$AW$198,2*(ROWS($AG$4:AG41)-1)+1)</f>
        <v/>
      </c>
      <c r="AH41" s="111" t="str">
        <f>INDEX('M03-S01'!$AX$16:$AX$198,2*(ROWS($AH$4:AH41)-1)+1)</f>
        <v/>
      </c>
      <c r="AI41" s="113"/>
      <c r="AJ41" s="113"/>
      <c r="AK41" s="113"/>
      <c r="AL41" s="113"/>
      <c r="AM41" s="113"/>
      <c r="AN41" s="113"/>
      <c r="AO41" s="52" t="str">
        <f>IFERROR(INDEX(PMELIGHT[Program Design],MATCH(AB41,PMELIGHT[Eff Desc 1])),"")</f>
        <v/>
      </c>
      <c r="AU41"/>
    </row>
    <row r="42" spans="1:47">
      <c r="A42" s="57">
        <f t="shared" si="0"/>
        <v>0</v>
      </c>
      <c r="B42" s="183" t="str">
        <f t="shared" si="1"/>
        <v/>
      </c>
      <c r="C42" t="str">
        <f>IFERROR(IF(R42&gt;0,INDEX(PMELIGHT[Measure '#],MATCH(AB42,PMELIGHT[Eff Desc 1],0)),""),"")</f>
        <v/>
      </c>
      <c r="D42" t="s">
        <v>947</v>
      </c>
      <c r="F42" s="185">
        <f>INDEX('M03-S01'!$AB$16:$AB$198,2*(ROWS($F$4:F42)-1)+1)</f>
        <v>0</v>
      </c>
      <c r="G42" s="186">
        <f>INDEX('M03-S01'!$Y$16:$Y$198,2*(ROWS($G$4:G42)-1)+1)</f>
        <v>0</v>
      </c>
      <c r="H42" s="186" t="str">
        <f>IF(ISNUMBER(INDEX('M03-S01'!$AN$16:$AN$198,2*(ROWS($R$4:R42)-1)+1)),"Total","")</f>
        <v/>
      </c>
      <c r="I42" s="184">
        <f>IFERROR(ROUND(INDEX('M03-S01'!$S$16:$S$198,2*(ROWS($I$4:I42)-1)+1)*INDEX('M03-S01'!$AE$16:$AE$198,2*(ROWS($I$4:I42)-1)+1),2),0)</f>
        <v>0</v>
      </c>
      <c r="J42" s="184">
        <f>IFERROR(ROUND(INDEX('M03-S01'!$S$16:$S$198,2*(ROWS($J$4:J42)-1)+1)*INDEX('M03-S01'!$AG$16:$AG$198,2*(ROWS($J$4:J42)-1)+1),2),0)</f>
        <v>0</v>
      </c>
      <c r="K42" s="52">
        <f>IFERROR(ROUND(INDEX('M03-S01'!$AU$16:$AU$198,2*(ROWS($K$4:K42)-1)+1),2),0)</f>
        <v>0</v>
      </c>
      <c r="L42" s="52" t="str">
        <f>IFERROR(IF(R42&gt;0,M42*INDEX(PMELIGHT[Incremental Cost],MATCH(AB42,PMELIGHT[Eff Desc 1],0)),""),"")</f>
        <v/>
      </c>
      <c r="M42" s="456">
        <f>IF(ISNUMBER(SEARCH("8ft",INDEX('M03-S01'!$K$16:$K$198,2*(ROWS($M$4:M42)-1)+1))),INDEX('M03-S01'!$S$16:$S$198,2*(ROWS($M$4:M42)-1)+1)*2,INDEX('M03-S01'!$S$16:$S$198,2*(ROWS($M$4:M42)-1)+1))</f>
        <v>0</v>
      </c>
      <c r="N42" s="184" t="str">
        <f>IF(ISNUMBER(INDEX('M03-S01'!$AN$16:$AN$198,2*(ROWS($R$4:R42)-1)+1)),INDEX('M03-S01'!$AK$16:$AK$198,2*(ROWS($N$4:N42)-1)+1),"")</f>
        <v/>
      </c>
      <c r="O42" s="456" t="str">
        <f>IFERROR(IF(ISNUMBER(INDEX('M03-S01'!$AN$16:$AN$198,2*(ROWS($R$4:R42)-1)+1)),INDEX('M03-S01'!$AV$16:$AV$198,2*(ROWS($O$4:O42)-1)+1),""),"")</f>
        <v/>
      </c>
      <c r="P42" s="459"/>
      <c r="Q42" s="184" t="str">
        <f>IFERROR(IF(ISNUMBER(INDEX('M03-S01'!$AN$16:$AN$198,2*(ROWS($R$4:R42)-1)+1)),INDEX('M03-S01'!$AY$16:$AY$198,2*(ROWS($Q$4:Q42)-1)+1),""),"")</f>
        <v/>
      </c>
      <c r="R42" s="184">
        <f>IF(ISNUMBER(INDEX('M03-S01'!$AN$16:$AN$198,2*(ROWS($R$4:R42)-1)+1)),INDEX('M03-S01'!$AN$16:$AN$198,2*(ROWS($R$4:R42)-1)+1),0)</f>
        <v>0</v>
      </c>
      <c r="S42" s="459"/>
      <c r="T42" s="113"/>
      <c r="U42" s="140"/>
      <c r="V42" s="113"/>
      <c r="W42" s="96" t="str">
        <f>IFERROR(IF(NOT(ISNUMBER(INDEX('M03-S01'!$AN$16:$AN$198,2*(ROWS($R$4:R42)-1)+1))),INDEX('M03-S01'!$BC$16:$BC$198,2*(ROWS($R$4:R42)-1)+1),""),"")</f>
        <v/>
      </c>
      <c r="X42" s="184" t="str">
        <f>IFERROR(ROUND(IF(ISNUMBER(SEARCH("8ft",INDEX('M03-S01'!$K$16:$K$198,2*(ROWS($X$4:X42)-1)+1))),INDEX('M03-S01'!$I$16:$I$198,2*(ROWS($X$4:X42)-1)+1)/2,INDEX('M03-S01'!$I$16:$I$198,2*(ROWS($X$4:X42)-1)+1)),3),"")</f>
        <v/>
      </c>
      <c r="Y42" s="184" t="str">
        <f>IFERROR(ROUND(IF(ISNUMBER(SEARCH("8ft",INDEX('M03-S01'!$K$16:$K$198,2*(ROWS($Y$4:Y42)-1)+1))),INDEX('M03-S01'!$Q$16:$Q$198,2*(ROWS($Y$4:Y42)-1)+1)/2,INDEX('M03-S01'!$Q$16:$Q$198,2*(ROWS($Y$4:Y42)-1)+1)),3),"")</f>
        <v/>
      </c>
      <c r="Z42" s="111">
        <f>INDEX('M03-S01'!$B$16:$B$198,2*(ROWS($Z$4:Z42)-1)+1)</f>
        <v>39</v>
      </c>
      <c r="AA42" s="111">
        <f>IF(ISNUMBER(SEARCH("8ft",INDEX('M03-S01'!$C$16:$C$199,2*(ROWS($Z$4:AA42)-1)+1))),SUBSTITUTE(INDEX('M03-S01'!$C$16:$C$199,2*(ROWS($Z$4:AA42)-1)+1),"8ft","4ft"),INDEX('M03-S01'!$C$16:$C$199,2*(ROWS($Z$4:AA42)-1)+1))</f>
        <v>0</v>
      </c>
      <c r="AB42" s="111">
        <f>IF(ISNUMBER(SEARCH("8ft",INDEX('M03-S01'!$K$16:$K$199,2*(ROWS($Z$4:AB42)-1)+1))),SUBSTITUTE(INDEX('M03-S01'!$K$16:$K$199,2*(ROWS($Z$4:AB42)-1)+1),"8ft","4ft"),INDEX('M03-S01'!$K$16:$K$199,2*(ROWS($Z$4:AB42)-1)+1))</f>
        <v>0</v>
      </c>
      <c r="AC42" s="96"/>
      <c r="AD42">
        <f>INDEX('M03-S01'!$U$16:$U$198,2*(ROWS($AD$4:AD42)-1)+1)</f>
        <v>0</v>
      </c>
      <c r="AE42" s="459"/>
      <c r="AF42" s="459"/>
      <c r="AG42" s="111" t="str">
        <f>INDEX('M03-S01'!$AW$16:$AW$198,2*(ROWS($AG$4:AG42)-1)+1)</f>
        <v/>
      </c>
      <c r="AH42" s="111" t="str">
        <f>INDEX('M03-S01'!$AX$16:$AX$198,2*(ROWS($AH$4:AH42)-1)+1)</f>
        <v/>
      </c>
      <c r="AI42" s="113"/>
      <c r="AJ42" s="113"/>
      <c r="AK42" s="113"/>
      <c r="AL42" s="113"/>
      <c r="AM42" s="113"/>
      <c r="AN42" s="113"/>
      <c r="AO42" s="52" t="str">
        <f>IFERROR(INDEX(PMELIGHT[Program Design],MATCH(AB42,PMELIGHT[Eff Desc 1])),"")</f>
        <v/>
      </c>
      <c r="AU42"/>
    </row>
    <row r="43" spans="1:47">
      <c r="A43" s="57">
        <f t="shared" si="0"/>
        <v>0</v>
      </c>
      <c r="B43" s="183" t="str">
        <f t="shared" si="1"/>
        <v/>
      </c>
      <c r="C43" t="str">
        <f>IFERROR(IF(R43&gt;0,INDEX(PMELIGHT[Measure '#],MATCH(AB43,PMELIGHT[Eff Desc 1],0)),""),"")</f>
        <v/>
      </c>
      <c r="D43" t="s">
        <v>947</v>
      </c>
      <c r="F43" s="185">
        <f>INDEX('M03-S01'!$AB$16:$AB$198,2*(ROWS($F$4:F43)-1)+1)</f>
        <v>0</v>
      </c>
      <c r="G43" s="186">
        <f>INDEX('M03-S01'!$Y$16:$Y$198,2*(ROWS($G$4:G43)-1)+1)</f>
        <v>0</v>
      </c>
      <c r="H43" s="186" t="str">
        <f>IF(ISNUMBER(INDEX('M03-S01'!$AN$16:$AN$198,2*(ROWS($R$4:R43)-1)+1)),"Total","")</f>
        <v/>
      </c>
      <c r="I43" s="184">
        <f>IFERROR(ROUND(INDEX('M03-S01'!$S$16:$S$198,2*(ROWS($I$4:I43)-1)+1)*INDEX('M03-S01'!$AE$16:$AE$198,2*(ROWS($I$4:I43)-1)+1),2),0)</f>
        <v>0</v>
      </c>
      <c r="J43" s="184">
        <f>IFERROR(ROUND(INDEX('M03-S01'!$S$16:$S$198,2*(ROWS($J$4:J43)-1)+1)*INDEX('M03-S01'!$AG$16:$AG$198,2*(ROWS($J$4:J43)-1)+1),2),0)</f>
        <v>0</v>
      </c>
      <c r="K43" s="52">
        <f>IFERROR(ROUND(INDEX('M03-S01'!$AU$16:$AU$198,2*(ROWS($K$4:K43)-1)+1),2),0)</f>
        <v>0</v>
      </c>
      <c r="L43" s="52" t="str">
        <f>IFERROR(IF(R43&gt;0,M43*INDEX(PMELIGHT[Incremental Cost],MATCH(AB43,PMELIGHT[Eff Desc 1],0)),""),"")</f>
        <v/>
      </c>
      <c r="M43" s="456">
        <f>IF(ISNUMBER(SEARCH("8ft",INDEX('M03-S01'!$K$16:$K$198,2*(ROWS($M$4:M43)-1)+1))),INDEX('M03-S01'!$S$16:$S$198,2*(ROWS($M$4:M43)-1)+1)*2,INDEX('M03-S01'!$S$16:$S$198,2*(ROWS($M$4:M43)-1)+1))</f>
        <v>0</v>
      </c>
      <c r="N43" s="184" t="str">
        <f>IF(ISNUMBER(INDEX('M03-S01'!$AN$16:$AN$198,2*(ROWS($R$4:R43)-1)+1)),INDEX('M03-S01'!$AK$16:$AK$198,2*(ROWS($N$4:N43)-1)+1),"")</f>
        <v/>
      </c>
      <c r="O43" s="456" t="str">
        <f>IFERROR(IF(ISNUMBER(INDEX('M03-S01'!$AN$16:$AN$198,2*(ROWS($R$4:R43)-1)+1)),INDEX('M03-S01'!$AV$16:$AV$198,2*(ROWS($O$4:O43)-1)+1),""),"")</f>
        <v/>
      </c>
      <c r="P43" s="459"/>
      <c r="Q43" s="184" t="str">
        <f>IFERROR(IF(ISNUMBER(INDEX('M03-S01'!$AN$16:$AN$198,2*(ROWS($R$4:R43)-1)+1)),INDEX('M03-S01'!$AY$16:$AY$198,2*(ROWS($Q$4:Q43)-1)+1),""),"")</f>
        <v/>
      </c>
      <c r="R43" s="184">
        <f>IF(ISNUMBER(INDEX('M03-S01'!$AN$16:$AN$198,2*(ROWS($R$4:R43)-1)+1)),INDEX('M03-S01'!$AN$16:$AN$198,2*(ROWS($R$4:R43)-1)+1),0)</f>
        <v>0</v>
      </c>
      <c r="S43" s="459"/>
      <c r="T43" s="113"/>
      <c r="U43" s="140"/>
      <c r="V43" s="113"/>
      <c r="W43" s="96" t="str">
        <f>IFERROR(IF(NOT(ISNUMBER(INDEX('M03-S01'!$AN$16:$AN$198,2*(ROWS($R$4:R43)-1)+1))),INDEX('M03-S01'!$BC$16:$BC$198,2*(ROWS($R$4:R43)-1)+1),""),"")</f>
        <v/>
      </c>
      <c r="X43" s="184" t="str">
        <f>IFERROR(ROUND(IF(ISNUMBER(SEARCH("8ft",INDEX('M03-S01'!$K$16:$K$198,2*(ROWS($X$4:X43)-1)+1))),INDEX('M03-S01'!$I$16:$I$198,2*(ROWS($X$4:X43)-1)+1)/2,INDEX('M03-S01'!$I$16:$I$198,2*(ROWS($X$4:X43)-1)+1)),3),"")</f>
        <v/>
      </c>
      <c r="Y43" s="184" t="str">
        <f>IFERROR(ROUND(IF(ISNUMBER(SEARCH("8ft",INDEX('M03-S01'!$K$16:$K$198,2*(ROWS($Y$4:Y43)-1)+1))),INDEX('M03-S01'!$Q$16:$Q$198,2*(ROWS($Y$4:Y43)-1)+1)/2,INDEX('M03-S01'!$Q$16:$Q$198,2*(ROWS($Y$4:Y43)-1)+1)),3),"")</f>
        <v/>
      </c>
      <c r="Z43" s="111">
        <f>INDEX('M03-S01'!$B$16:$B$198,2*(ROWS($Z$4:Z43)-1)+1)</f>
        <v>40</v>
      </c>
      <c r="AA43" s="111">
        <f>IF(ISNUMBER(SEARCH("8ft",INDEX('M03-S01'!$C$16:$C$199,2*(ROWS($Z$4:AA43)-1)+1))),SUBSTITUTE(INDEX('M03-S01'!$C$16:$C$199,2*(ROWS($Z$4:AA43)-1)+1),"8ft","4ft"),INDEX('M03-S01'!$C$16:$C$199,2*(ROWS($Z$4:AA43)-1)+1))</f>
        <v>0</v>
      </c>
      <c r="AB43" s="111">
        <f>IF(ISNUMBER(SEARCH("8ft",INDEX('M03-S01'!$K$16:$K$199,2*(ROWS($Z$4:AB43)-1)+1))),SUBSTITUTE(INDEX('M03-S01'!$K$16:$K$199,2*(ROWS($Z$4:AB43)-1)+1),"8ft","4ft"),INDEX('M03-S01'!$K$16:$K$199,2*(ROWS($Z$4:AB43)-1)+1))</f>
        <v>0</v>
      </c>
      <c r="AC43" s="96"/>
      <c r="AD43">
        <f>INDEX('M03-S01'!$U$16:$U$198,2*(ROWS($AD$4:AD43)-1)+1)</f>
        <v>0</v>
      </c>
      <c r="AE43" s="459"/>
      <c r="AF43" s="459"/>
      <c r="AG43" s="111" t="str">
        <f>INDEX('M03-S01'!$AW$16:$AW$198,2*(ROWS($AG$4:AG43)-1)+1)</f>
        <v/>
      </c>
      <c r="AH43" s="111" t="str">
        <f>INDEX('M03-S01'!$AX$16:$AX$198,2*(ROWS($AH$4:AH43)-1)+1)</f>
        <v/>
      </c>
      <c r="AI43" s="113"/>
      <c r="AJ43" s="113"/>
      <c r="AK43" s="113"/>
      <c r="AL43" s="113"/>
      <c r="AM43" s="113"/>
      <c r="AN43" s="113"/>
      <c r="AO43" s="52" t="str">
        <f>IFERROR(INDEX(PMELIGHT[Program Design],MATCH(AB43,PMELIGHT[Eff Desc 1])),"")</f>
        <v/>
      </c>
      <c r="AU43"/>
    </row>
    <row r="44" spans="1:47">
      <c r="A44" s="57">
        <f t="shared" si="0"/>
        <v>0</v>
      </c>
      <c r="B44" s="183" t="str">
        <f t="shared" si="1"/>
        <v/>
      </c>
      <c r="C44" t="str">
        <f>IFERROR(IF(R44&gt;0,INDEX(PMELIGHT[Measure '#],MATCH(AB44,PMELIGHT[Eff Desc 1],0)),""),"")</f>
        <v/>
      </c>
      <c r="D44" t="s">
        <v>947</v>
      </c>
      <c r="F44" s="185">
        <f>INDEX('M03-S01'!$AB$16:$AB$198,2*(ROWS($F$4:F44)-1)+1)</f>
        <v>0</v>
      </c>
      <c r="G44" s="186">
        <f>INDEX('M03-S01'!$Y$16:$Y$198,2*(ROWS($G$4:G44)-1)+1)</f>
        <v>0</v>
      </c>
      <c r="H44" s="186" t="str">
        <f>IF(ISNUMBER(INDEX('M03-S01'!$AN$16:$AN$198,2*(ROWS($R$4:R44)-1)+1)),"Total","")</f>
        <v/>
      </c>
      <c r="I44" s="184">
        <f>IFERROR(ROUND(INDEX('M03-S01'!$S$16:$S$198,2*(ROWS($I$4:I44)-1)+1)*INDEX('M03-S01'!$AE$16:$AE$198,2*(ROWS($I$4:I44)-1)+1),2),0)</f>
        <v>0</v>
      </c>
      <c r="J44" s="184">
        <f>IFERROR(ROUND(INDEX('M03-S01'!$S$16:$S$198,2*(ROWS($J$4:J44)-1)+1)*INDEX('M03-S01'!$AG$16:$AG$198,2*(ROWS($J$4:J44)-1)+1),2),0)</f>
        <v>0</v>
      </c>
      <c r="K44" s="52">
        <f>IFERROR(ROUND(INDEX('M03-S01'!$AU$16:$AU$198,2*(ROWS($K$4:K44)-1)+1),2),0)</f>
        <v>0</v>
      </c>
      <c r="L44" s="52" t="str">
        <f>IFERROR(IF(R44&gt;0,M44*INDEX(PMELIGHT[Incremental Cost],MATCH(AB44,PMELIGHT[Eff Desc 1],0)),""),"")</f>
        <v/>
      </c>
      <c r="M44" s="456">
        <f>IF(ISNUMBER(SEARCH("8ft",INDEX('M03-S01'!$K$16:$K$198,2*(ROWS($M$4:M44)-1)+1))),INDEX('M03-S01'!$S$16:$S$198,2*(ROWS($M$4:M44)-1)+1)*2,INDEX('M03-S01'!$S$16:$S$198,2*(ROWS($M$4:M44)-1)+1))</f>
        <v>0</v>
      </c>
      <c r="N44" s="184" t="str">
        <f>IF(ISNUMBER(INDEX('M03-S01'!$AN$16:$AN$198,2*(ROWS($R$4:R44)-1)+1)),INDEX('M03-S01'!$AK$16:$AK$198,2*(ROWS($N$4:N44)-1)+1),"")</f>
        <v/>
      </c>
      <c r="O44" s="456" t="str">
        <f>IFERROR(IF(ISNUMBER(INDEX('M03-S01'!$AN$16:$AN$198,2*(ROWS($R$4:R44)-1)+1)),INDEX('M03-S01'!$AV$16:$AV$198,2*(ROWS($O$4:O44)-1)+1),""),"")</f>
        <v/>
      </c>
      <c r="P44" s="459"/>
      <c r="Q44" s="184" t="str">
        <f>IFERROR(IF(ISNUMBER(INDEX('M03-S01'!$AN$16:$AN$198,2*(ROWS($R$4:R44)-1)+1)),INDEX('M03-S01'!$AY$16:$AY$198,2*(ROWS($Q$4:Q44)-1)+1),""),"")</f>
        <v/>
      </c>
      <c r="R44" s="184">
        <f>IF(ISNUMBER(INDEX('M03-S01'!$AN$16:$AN$198,2*(ROWS($R$4:R44)-1)+1)),INDEX('M03-S01'!$AN$16:$AN$198,2*(ROWS($R$4:R44)-1)+1),0)</f>
        <v>0</v>
      </c>
      <c r="S44" s="459"/>
      <c r="T44" s="113"/>
      <c r="U44" s="140"/>
      <c r="V44" s="113"/>
      <c r="W44" s="96" t="str">
        <f>IFERROR(IF(NOT(ISNUMBER(INDEX('M03-S01'!$AN$16:$AN$198,2*(ROWS($R$4:R44)-1)+1))),INDEX('M03-S01'!$BC$16:$BC$198,2*(ROWS($R$4:R44)-1)+1),""),"")</f>
        <v/>
      </c>
      <c r="X44" s="184" t="str">
        <f>IFERROR(ROUND(IF(ISNUMBER(SEARCH("8ft",INDEX('M03-S01'!$K$16:$K$198,2*(ROWS($X$4:X44)-1)+1))),INDEX('M03-S01'!$I$16:$I$198,2*(ROWS($X$4:X44)-1)+1)/2,INDEX('M03-S01'!$I$16:$I$198,2*(ROWS($X$4:X44)-1)+1)),3),"")</f>
        <v/>
      </c>
      <c r="Y44" s="184" t="str">
        <f>IFERROR(ROUND(IF(ISNUMBER(SEARCH("8ft",INDEX('M03-S01'!$K$16:$K$198,2*(ROWS($Y$4:Y44)-1)+1))),INDEX('M03-S01'!$Q$16:$Q$198,2*(ROWS($Y$4:Y44)-1)+1)/2,INDEX('M03-S01'!$Q$16:$Q$198,2*(ROWS($Y$4:Y44)-1)+1)),3),"")</f>
        <v/>
      </c>
      <c r="Z44" s="111">
        <f>INDEX('M03-S01'!$B$16:$B$198,2*(ROWS($Z$4:Z44)-1)+1)</f>
        <v>41</v>
      </c>
      <c r="AA44" s="111">
        <f>IF(ISNUMBER(SEARCH("8ft",INDEX('M03-S01'!$C$16:$C$199,2*(ROWS($Z$4:AA44)-1)+1))),SUBSTITUTE(INDEX('M03-S01'!$C$16:$C$199,2*(ROWS($Z$4:AA44)-1)+1),"8ft","4ft"),INDEX('M03-S01'!$C$16:$C$199,2*(ROWS($Z$4:AA44)-1)+1))</f>
        <v>0</v>
      </c>
      <c r="AB44" s="111">
        <f>IF(ISNUMBER(SEARCH("8ft",INDEX('M03-S01'!$K$16:$K$199,2*(ROWS($Z$4:AB44)-1)+1))),SUBSTITUTE(INDEX('M03-S01'!$K$16:$K$199,2*(ROWS($Z$4:AB44)-1)+1),"8ft","4ft"),INDEX('M03-S01'!$K$16:$K$199,2*(ROWS($Z$4:AB44)-1)+1))</f>
        <v>0</v>
      </c>
      <c r="AC44" s="96"/>
      <c r="AD44">
        <f>INDEX('M03-S01'!$U$16:$U$198,2*(ROWS($AD$4:AD44)-1)+1)</f>
        <v>0</v>
      </c>
      <c r="AE44" s="459"/>
      <c r="AF44" s="459"/>
      <c r="AG44" s="111" t="str">
        <f>INDEX('M03-S01'!$AW$16:$AW$198,2*(ROWS($AG$4:AG44)-1)+1)</f>
        <v/>
      </c>
      <c r="AH44" s="111" t="str">
        <f>INDEX('M03-S01'!$AX$16:$AX$198,2*(ROWS($AH$4:AH44)-1)+1)</f>
        <v/>
      </c>
      <c r="AI44" s="113"/>
      <c r="AJ44" s="113"/>
      <c r="AK44" s="113"/>
      <c r="AL44" s="113"/>
      <c r="AM44" s="113"/>
      <c r="AN44" s="113"/>
      <c r="AO44" s="52" t="str">
        <f>IFERROR(INDEX(PMELIGHT[Program Design],MATCH(AB44,PMELIGHT[Eff Desc 1])),"")</f>
        <v/>
      </c>
      <c r="AU44"/>
    </row>
    <row r="45" spans="1:47">
      <c r="A45" s="57">
        <f t="shared" si="0"/>
        <v>0</v>
      </c>
      <c r="B45" s="183" t="str">
        <f t="shared" si="1"/>
        <v/>
      </c>
      <c r="C45" t="str">
        <f>IFERROR(IF(R45&gt;0,INDEX(PMELIGHT[Measure '#],MATCH(AB45,PMELIGHT[Eff Desc 1],0)),""),"")</f>
        <v/>
      </c>
      <c r="D45" t="s">
        <v>947</v>
      </c>
      <c r="F45" s="185">
        <f>INDEX('M03-S01'!$AB$16:$AB$198,2*(ROWS($F$4:F45)-1)+1)</f>
        <v>0</v>
      </c>
      <c r="G45" s="186">
        <f>INDEX('M03-S01'!$Y$16:$Y$198,2*(ROWS($G$4:G45)-1)+1)</f>
        <v>0</v>
      </c>
      <c r="H45" s="186" t="str">
        <f>IF(ISNUMBER(INDEX('M03-S01'!$AN$16:$AN$198,2*(ROWS($R$4:R45)-1)+1)),"Total","")</f>
        <v/>
      </c>
      <c r="I45" s="184">
        <f>IFERROR(ROUND(INDEX('M03-S01'!$S$16:$S$198,2*(ROWS($I$4:I45)-1)+1)*INDEX('M03-S01'!$AE$16:$AE$198,2*(ROWS($I$4:I45)-1)+1),2),0)</f>
        <v>0</v>
      </c>
      <c r="J45" s="184">
        <f>IFERROR(ROUND(INDEX('M03-S01'!$S$16:$S$198,2*(ROWS($J$4:J45)-1)+1)*INDEX('M03-S01'!$AG$16:$AG$198,2*(ROWS($J$4:J45)-1)+1),2),0)</f>
        <v>0</v>
      </c>
      <c r="K45" s="52">
        <f>IFERROR(ROUND(INDEX('M03-S01'!$AU$16:$AU$198,2*(ROWS($K$4:K45)-1)+1),2),0)</f>
        <v>0</v>
      </c>
      <c r="L45" s="52" t="str">
        <f>IFERROR(IF(R45&gt;0,M45*INDEX(PMELIGHT[Incremental Cost],MATCH(AB45,PMELIGHT[Eff Desc 1],0)),""),"")</f>
        <v/>
      </c>
      <c r="M45" s="456">
        <f>IF(ISNUMBER(SEARCH("8ft",INDEX('M03-S01'!$K$16:$K$198,2*(ROWS($M$4:M45)-1)+1))),INDEX('M03-S01'!$S$16:$S$198,2*(ROWS($M$4:M45)-1)+1)*2,INDEX('M03-S01'!$S$16:$S$198,2*(ROWS($M$4:M45)-1)+1))</f>
        <v>0</v>
      </c>
      <c r="N45" s="184" t="str">
        <f>IF(ISNUMBER(INDEX('M03-S01'!$AN$16:$AN$198,2*(ROWS($R$4:R45)-1)+1)),INDEX('M03-S01'!$AK$16:$AK$198,2*(ROWS($N$4:N45)-1)+1),"")</f>
        <v/>
      </c>
      <c r="O45" s="456" t="str">
        <f>IFERROR(IF(ISNUMBER(INDEX('M03-S01'!$AN$16:$AN$198,2*(ROWS($R$4:R45)-1)+1)),INDEX('M03-S01'!$AV$16:$AV$198,2*(ROWS($O$4:O45)-1)+1),""),"")</f>
        <v/>
      </c>
      <c r="P45" s="459"/>
      <c r="Q45" s="184" t="str">
        <f>IFERROR(IF(ISNUMBER(INDEX('M03-S01'!$AN$16:$AN$198,2*(ROWS($R$4:R45)-1)+1)),INDEX('M03-S01'!$AY$16:$AY$198,2*(ROWS($Q$4:Q45)-1)+1),""),"")</f>
        <v/>
      </c>
      <c r="R45" s="184">
        <f>IF(ISNUMBER(INDEX('M03-S01'!$AN$16:$AN$198,2*(ROWS($R$4:R45)-1)+1)),INDEX('M03-S01'!$AN$16:$AN$198,2*(ROWS($R$4:R45)-1)+1),0)</f>
        <v>0</v>
      </c>
      <c r="S45" s="459"/>
      <c r="T45" s="113"/>
      <c r="U45" s="140"/>
      <c r="V45" s="113"/>
      <c r="W45" s="96" t="str">
        <f>IFERROR(IF(NOT(ISNUMBER(INDEX('M03-S01'!$AN$16:$AN$198,2*(ROWS($R$4:R45)-1)+1))),INDEX('M03-S01'!$BC$16:$BC$198,2*(ROWS($R$4:R45)-1)+1),""),"")</f>
        <v/>
      </c>
      <c r="X45" s="184" t="str">
        <f>IFERROR(ROUND(IF(ISNUMBER(SEARCH("8ft",INDEX('M03-S01'!$K$16:$K$198,2*(ROWS($X$4:X45)-1)+1))),INDEX('M03-S01'!$I$16:$I$198,2*(ROWS($X$4:X45)-1)+1)/2,INDEX('M03-S01'!$I$16:$I$198,2*(ROWS($X$4:X45)-1)+1)),3),"")</f>
        <v/>
      </c>
      <c r="Y45" s="184" t="str">
        <f>IFERROR(ROUND(IF(ISNUMBER(SEARCH("8ft",INDEX('M03-S01'!$K$16:$K$198,2*(ROWS($Y$4:Y45)-1)+1))),INDEX('M03-S01'!$Q$16:$Q$198,2*(ROWS($Y$4:Y45)-1)+1)/2,INDEX('M03-S01'!$Q$16:$Q$198,2*(ROWS($Y$4:Y45)-1)+1)),3),"")</f>
        <v/>
      </c>
      <c r="Z45" s="111">
        <f>INDEX('M03-S01'!$B$16:$B$198,2*(ROWS($Z$4:Z45)-1)+1)</f>
        <v>42</v>
      </c>
      <c r="AA45" s="111">
        <f>IF(ISNUMBER(SEARCH("8ft",INDEX('M03-S01'!$C$16:$C$199,2*(ROWS($Z$4:AA45)-1)+1))),SUBSTITUTE(INDEX('M03-S01'!$C$16:$C$199,2*(ROWS($Z$4:AA45)-1)+1),"8ft","4ft"),INDEX('M03-S01'!$C$16:$C$199,2*(ROWS($Z$4:AA45)-1)+1))</f>
        <v>0</v>
      </c>
      <c r="AB45" s="111">
        <f>IF(ISNUMBER(SEARCH("8ft",INDEX('M03-S01'!$K$16:$K$199,2*(ROWS($Z$4:AB45)-1)+1))),SUBSTITUTE(INDEX('M03-S01'!$K$16:$K$199,2*(ROWS($Z$4:AB45)-1)+1),"8ft","4ft"),INDEX('M03-S01'!$K$16:$K$199,2*(ROWS($Z$4:AB45)-1)+1))</f>
        <v>0</v>
      </c>
      <c r="AC45" s="96"/>
      <c r="AD45">
        <f>INDEX('M03-S01'!$U$16:$U$198,2*(ROWS($AD$4:AD45)-1)+1)</f>
        <v>0</v>
      </c>
      <c r="AE45" s="459"/>
      <c r="AF45" s="459"/>
      <c r="AG45" s="111" t="str">
        <f>INDEX('M03-S01'!$AW$16:$AW$198,2*(ROWS($AG$4:AG45)-1)+1)</f>
        <v/>
      </c>
      <c r="AH45" s="111" t="str">
        <f>INDEX('M03-S01'!$AX$16:$AX$198,2*(ROWS($AH$4:AH45)-1)+1)</f>
        <v/>
      </c>
      <c r="AI45" s="113"/>
      <c r="AJ45" s="113"/>
      <c r="AK45" s="113"/>
      <c r="AL45" s="113"/>
      <c r="AM45" s="113"/>
      <c r="AN45" s="113"/>
      <c r="AO45" s="52" t="str">
        <f>IFERROR(INDEX(PMELIGHT[Program Design],MATCH(AB45,PMELIGHT[Eff Desc 1])),"")</f>
        <v/>
      </c>
      <c r="AU45"/>
    </row>
    <row r="46" spans="1:47">
      <c r="A46" s="57">
        <f t="shared" si="0"/>
        <v>0</v>
      </c>
      <c r="B46" s="183" t="str">
        <f t="shared" ref="B46:B49" si="3">IF(C46="","",CONCATENATE(ROW(),"-",C46))</f>
        <v/>
      </c>
      <c r="C46" t="str">
        <f>IFERROR(IF(R46&gt;0,INDEX(PMELIGHT[Measure '#],MATCH(AB46,PMELIGHT[Eff Desc 1],0)),""),"")</f>
        <v/>
      </c>
      <c r="D46" t="s">
        <v>947</v>
      </c>
      <c r="F46" s="185">
        <f>INDEX('M03-S01'!$AB$16:$AB$198,2*(ROWS($F$4:F46)-1)+1)</f>
        <v>0</v>
      </c>
      <c r="G46" s="186">
        <f>INDEX('M03-S01'!$Y$16:$Y$198,2*(ROWS($G$4:G46)-1)+1)</f>
        <v>0</v>
      </c>
      <c r="H46" s="186" t="str">
        <f>IF(ISNUMBER(INDEX('M03-S01'!$AN$16:$AN$198,2*(ROWS($R$4:R46)-1)+1)),"Total","")</f>
        <v/>
      </c>
      <c r="I46" s="184">
        <f>IFERROR(ROUND(INDEX('M03-S01'!$S$16:$S$198,2*(ROWS($I$4:I46)-1)+1)*INDEX('M03-S01'!$AE$16:$AE$198,2*(ROWS($I$4:I46)-1)+1),2),0)</f>
        <v>0</v>
      </c>
      <c r="J46" s="184">
        <f>IFERROR(ROUND(INDEX('M03-S01'!$S$16:$S$198,2*(ROWS($J$4:J46)-1)+1)*INDEX('M03-S01'!$AG$16:$AG$198,2*(ROWS($J$4:J46)-1)+1),2),0)</f>
        <v>0</v>
      </c>
      <c r="K46" s="52">
        <f>IFERROR(ROUND(INDEX('M03-S01'!$AU$16:$AU$198,2*(ROWS($K$4:K46)-1)+1),2),0)</f>
        <v>0</v>
      </c>
      <c r="L46" s="52" t="str">
        <f>IFERROR(IF(R46&gt;0,M46*INDEX(PMELIGHT[Incremental Cost],MATCH(AB46,PMELIGHT[Eff Desc 1],0)),""),"")</f>
        <v/>
      </c>
      <c r="M46" s="456">
        <f>IF(ISNUMBER(SEARCH("8ft",INDEX('M03-S01'!$K$16:$K$198,2*(ROWS($M$4:M46)-1)+1))),INDEX('M03-S01'!$S$16:$S$198,2*(ROWS($M$4:M46)-1)+1)*2,INDEX('M03-S01'!$S$16:$S$198,2*(ROWS($M$4:M46)-1)+1))</f>
        <v>0</v>
      </c>
      <c r="N46" s="184" t="str">
        <f>IF(ISNUMBER(INDEX('M03-S01'!$AN$16:$AN$198,2*(ROWS($R$4:R46)-1)+1)),INDEX('M03-S01'!$AK$16:$AK$198,2*(ROWS($N$4:N46)-1)+1),"")</f>
        <v/>
      </c>
      <c r="O46" s="456" t="str">
        <f>IFERROR(IF(ISNUMBER(INDEX('M03-S01'!$AN$16:$AN$198,2*(ROWS($R$4:R46)-1)+1)),INDEX('M03-S01'!$AV$16:$AV$198,2*(ROWS($O$4:O46)-1)+1),""),"")</f>
        <v/>
      </c>
      <c r="P46" s="459"/>
      <c r="Q46" s="184" t="str">
        <f>IFERROR(IF(ISNUMBER(INDEX('M03-S01'!$AN$16:$AN$198,2*(ROWS($R$4:R46)-1)+1)),INDEX('M03-S01'!$AY$16:$AY$198,2*(ROWS($Q$4:Q46)-1)+1),""),"")</f>
        <v/>
      </c>
      <c r="R46" s="184">
        <f>IF(ISNUMBER(INDEX('M03-S01'!$AN$16:$AN$198,2*(ROWS($R$4:R46)-1)+1)),INDEX('M03-S01'!$AN$16:$AN$198,2*(ROWS($R$4:R46)-1)+1),0)</f>
        <v>0</v>
      </c>
      <c r="S46" s="459"/>
      <c r="T46" s="113"/>
      <c r="U46" s="140"/>
      <c r="V46" s="113"/>
      <c r="W46" s="96" t="str">
        <f>IFERROR(IF(NOT(ISNUMBER(INDEX('M03-S01'!$AN$16:$AN$198,2*(ROWS($R$4:R46)-1)+1))),INDEX('M03-S01'!$BC$16:$BC$198,2*(ROWS($R$4:R46)-1)+1),""),"")</f>
        <v/>
      </c>
      <c r="X46" s="184" t="str">
        <f>IFERROR(ROUND(IF(ISNUMBER(SEARCH("8ft",INDEX('M03-S01'!$K$16:$K$198,2*(ROWS($X$4:X46)-1)+1))),INDEX('M03-S01'!$I$16:$I$198,2*(ROWS($X$4:X46)-1)+1)/2,INDEX('M03-S01'!$I$16:$I$198,2*(ROWS($X$4:X46)-1)+1)),3),"")</f>
        <v/>
      </c>
      <c r="Y46" s="184" t="str">
        <f>IFERROR(ROUND(IF(ISNUMBER(SEARCH("8ft",INDEX('M03-S01'!$K$16:$K$198,2*(ROWS($Y$4:Y46)-1)+1))),INDEX('M03-S01'!$Q$16:$Q$198,2*(ROWS($Y$4:Y46)-1)+1)/2,INDEX('M03-S01'!$Q$16:$Q$198,2*(ROWS($Y$4:Y46)-1)+1)),3),"")</f>
        <v/>
      </c>
      <c r="Z46" s="111">
        <f>INDEX('M03-S01'!$B$16:$B$198,2*(ROWS($Z$4:Z46)-1)+1)</f>
        <v>43</v>
      </c>
      <c r="AA46" s="111">
        <f>IF(ISNUMBER(SEARCH("8ft",INDEX('M03-S01'!$C$16:$C$199,2*(ROWS($Z$4:AA46)-1)+1))),SUBSTITUTE(INDEX('M03-S01'!$C$16:$C$199,2*(ROWS($Z$4:AA46)-1)+1),"8ft","4ft"),INDEX('M03-S01'!$C$16:$C$199,2*(ROWS($Z$4:AA46)-1)+1))</f>
        <v>0</v>
      </c>
      <c r="AB46" s="111">
        <f>IF(ISNUMBER(SEARCH("8ft",INDEX('M03-S01'!$K$16:$K$199,2*(ROWS($Z$4:AB46)-1)+1))),SUBSTITUTE(INDEX('M03-S01'!$K$16:$K$199,2*(ROWS($Z$4:AB46)-1)+1),"8ft","4ft"),INDEX('M03-S01'!$K$16:$K$199,2*(ROWS($Z$4:AB46)-1)+1))</f>
        <v>0</v>
      </c>
      <c r="AC46" s="96"/>
      <c r="AD46">
        <f>INDEX('M03-S01'!$U$16:$U$198,2*(ROWS($AD$4:AD46)-1)+1)</f>
        <v>0</v>
      </c>
      <c r="AE46" s="459"/>
      <c r="AF46" s="459"/>
      <c r="AG46" s="111" t="str">
        <f>INDEX('M03-S01'!$AW$16:$AW$198,2*(ROWS($AG$4:AG46)-1)+1)</f>
        <v/>
      </c>
      <c r="AH46" s="111" t="str">
        <f>INDEX('M03-S01'!$AX$16:$AX$198,2*(ROWS($AH$4:AH46)-1)+1)</f>
        <v/>
      </c>
      <c r="AI46" s="113"/>
      <c r="AJ46" s="113"/>
      <c r="AK46" s="113"/>
      <c r="AL46" s="113"/>
      <c r="AM46" s="113"/>
      <c r="AN46" s="113"/>
      <c r="AO46" s="52" t="str">
        <f>IFERROR(INDEX(PMELIGHT[Program Design],MATCH(AB46,PMELIGHT[Eff Desc 1])),"")</f>
        <v/>
      </c>
      <c r="AU46"/>
    </row>
    <row r="47" spans="1:47">
      <c r="A47" s="57">
        <f t="shared" si="0"/>
        <v>0</v>
      </c>
      <c r="B47" s="183" t="str">
        <f t="shared" si="3"/>
        <v/>
      </c>
      <c r="C47" t="str">
        <f>IFERROR(IF(R47&gt;0,INDEX(PMELIGHT[Measure '#],MATCH(AB47,PMELIGHT[Eff Desc 1],0)),""),"")</f>
        <v/>
      </c>
      <c r="D47" t="s">
        <v>947</v>
      </c>
      <c r="F47" s="185">
        <f>INDEX('M03-S01'!$AB$16:$AB$198,2*(ROWS($F$4:F47)-1)+1)</f>
        <v>0</v>
      </c>
      <c r="G47" s="186">
        <f>INDEX('M03-S01'!$Y$16:$Y$198,2*(ROWS($G$4:G47)-1)+1)</f>
        <v>0</v>
      </c>
      <c r="H47" s="186" t="str">
        <f>IF(ISNUMBER(INDEX('M03-S01'!$AN$16:$AN$198,2*(ROWS($R$4:R47)-1)+1)),"Total","")</f>
        <v/>
      </c>
      <c r="I47" s="184">
        <f>IFERROR(ROUND(INDEX('M03-S01'!$S$16:$S$198,2*(ROWS($I$4:I47)-1)+1)*INDEX('M03-S01'!$AE$16:$AE$198,2*(ROWS($I$4:I47)-1)+1),2),0)</f>
        <v>0</v>
      </c>
      <c r="J47" s="184">
        <f>IFERROR(ROUND(INDEX('M03-S01'!$S$16:$S$198,2*(ROWS($J$4:J47)-1)+1)*INDEX('M03-S01'!$AG$16:$AG$198,2*(ROWS($J$4:J47)-1)+1),2),0)</f>
        <v>0</v>
      </c>
      <c r="K47" s="52">
        <f>IFERROR(ROUND(INDEX('M03-S01'!$AU$16:$AU$198,2*(ROWS($K$4:K47)-1)+1),2),0)</f>
        <v>0</v>
      </c>
      <c r="L47" s="52" t="str">
        <f>IFERROR(IF(R47&gt;0,M47*INDEX(PMELIGHT[Incremental Cost],MATCH(AB47,PMELIGHT[Eff Desc 1],0)),""),"")</f>
        <v/>
      </c>
      <c r="M47" s="456">
        <f>IF(ISNUMBER(SEARCH("8ft",INDEX('M03-S01'!$K$16:$K$198,2*(ROWS($M$4:M47)-1)+1))),INDEX('M03-S01'!$S$16:$S$198,2*(ROWS($M$4:M47)-1)+1)*2,INDEX('M03-S01'!$S$16:$S$198,2*(ROWS($M$4:M47)-1)+1))</f>
        <v>0</v>
      </c>
      <c r="N47" s="184" t="str">
        <f>IF(ISNUMBER(INDEX('M03-S01'!$AN$16:$AN$198,2*(ROWS($R$4:R47)-1)+1)),INDEX('M03-S01'!$AK$16:$AK$198,2*(ROWS($N$4:N47)-1)+1),"")</f>
        <v/>
      </c>
      <c r="O47" s="456" t="str">
        <f>IFERROR(IF(ISNUMBER(INDEX('M03-S01'!$AN$16:$AN$198,2*(ROWS($R$4:R47)-1)+1)),INDEX('M03-S01'!$AV$16:$AV$198,2*(ROWS($O$4:O47)-1)+1),""),"")</f>
        <v/>
      </c>
      <c r="P47" s="459"/>
      <c r="Q47" s="184" t="str">
        <f>IFERROR(IF(ISNUMBER(INDEX('M03-S01'!$AN$16:$AN$198,2*(ROWS($R$4:R47)-1)+1)),INDEX('M03-S01'!$AY$16:$AY$198,2*(ROWS($Q$4:Q47)-1)+1),""),"")</f>
        <v/>
      </c>
      <c r="R47" s="184">
        <f>IF(ISNUMBER(INDEX('M03-S01'!$AN$16:$AN$198,2*(ROWS($R$4:R47)-1)+1)),INDEX('M03-S01'!$AN$16:$AN$198,2*(ROWS($R$4:R47)-1)+1),0)</f>
        <v>0</v>
      </c>
      <c r="S47" s="459"/>
      <c r="T47" s="113"/>
      <c r="U47" s="140"/>
      <c r="V47" s="113"/>
      <c r="W47" s="96" t="str">
        <f>IFERROR(IF(NOT(ISNUMBER(INDEX('M03-S01'!$AN$16:$AN$198,2*(ROWS($R$4:R47)-1)+1))),INDEX('M03-S01'!$BC$16:$BC$198,2*(ROWS($R$4:R47)-1)+1),""),"")</f>
        <v/>
      </c>
      <c r="X47" s="184" t="str">
        <f>IFERROR(ROUND(IF(ISNUMBER(SEARCH("8ft",INDEX('M03-S01'!$K$16:$K$198,2*(ROWS($X$4:X47)-1)+1))),INDEX('M03-S01'!$I$16:$I$198,2*(ROWS($X$4:X47)-1)+1)/2,INDEX('M03-S01'!$I$16:$I$198,2*(ROWS($X$4:X47)-1)+1)),3),"")</f>
        <v/>
      </c>
      <c r="Y47" s="184" t="str">
        <f>IFERROR(ROUND(IF(ISNUMBER(SEARCH("8ft",INDEX('M03-S01'!$K$16:$K$198,2*(ROWS($Y$4:Y47)-1)+1))),INDEX('M03-S01'!$Q$16:$Q$198,2*(ROWS($Y$4:Y47)-1)+1)/2,INDEX('M03-S01'!$Q$16:$Q$198,2*(ROWS($Y$4:Y47)-1)+1)),3),"")</f>
        <v/>
      </c>
      <c r="Z47" s="111">
        <f>INDEX('M03-S01'!$B$16:$B$198,2*(ROWS($Z$4:Z47)-1)+1)</f>
        <v>44</v>
      </c>
      <c r="AA47" s="111">
        <f>IF(ISNUMBER(SEARCH("8ft",INDEX('M03-S01'!$C$16:$C$199,2*(ROWS($Z$4:AA47)-1)+1))),SUBSTITUTE(INDEX('M03-S01'!$C$16:$C$199,2*(ROWS($Z$4:AA47)-1)+1),"8ft","4ft"),INDEX('M03-S01'!$C$16:$C$199,2*(ROWS($Z$4:AA47)-1)+1))</f>
        <v>0</v>
      </c>
      <c r="AB47" s="111">
        <f>IF(ISNUMBER(SEARCH("8ft",INDEX('M03-S01'!$K$16:$K$199,2*(ROWS($Z$4:AB47)-1)+1))),SUBSTITUTE(INDEX('M03-S01'!$K$16:$K$199,2*(ROWS($Z$4:AB47)-1)+1),"8ft","4ft"),INDEX('M03-S01'!$K$16:$K$199,2*(ROWS($Z$4:AB47)-1)+1))</f>
        <v>0</v>
      </c>
      <c r="AC47" s="96"/>
      <c r="AD47">
        <f>INDEX('M03-S01'!$U$16:$U$198,2*(ROWS($AD$4:AD47)-1)+1)</f>
        <v>0</v>
      </c>
      <c r="AE47" s="459"/>
      <c r="AF47" s="459"/>
      <c r="AG47" s="111" t="str">
        <f>INDEX('M03-S01'!$AW$16:$AW$198,2*(ROWS($AG$4:AG47)-1)+1)</f>
        <v/>
      </c>
      <c r="AH47" s="111" t="str">
        <f>INDEX('M03-S01'!$AX$16:$AX$198,2*(ROWS($AH$4:AH47)-1)+1)</f>
        <v/>
      </c>
      <c r="AI47" s="113"/>
      <c r="AJ47" s="113"/>
      <c r="AK47" s="113"/>
      <c r="AL47" s="113"/>
      <c r="AM47" s="113"/>
      <c r="AN47" s="113"/>
      <c r="AO47" s="52" t="str">
        <f>IFERROR(INDEX(PMELIGHT[Program Design],MATCH(AB47,PMELIGHT[Eff Desc 1])),"")</f>
        <v/>
      </c>
      <c r="AU47"/>
    </row>
    <row r="48" spans="1:47">
      <c r="A48" s="57">
        <f t="shared" si="0"/>
        <v>0</v>
      </c>
      <c r="B48" s="183" t="str">
        <f t="shared" si="3"/>
        <v/>
      </c>
      <c r="C48" t="str">
        <f>IFERROR(IF(R48&gt;0,INDEX(PMELIGHT[Measure '#],MATCH(AB48,PMELIGHT[Eff Desc 1],0)),""),"")</f>
        <v/>
      </c>
      <c r="D48" t="s">
        <v>947</v>
      </c>
      <c r="F48" s="185">
        <f>INDEX('M03-S01'!$AB$16:$AB$198,2*(ROWS($F$4:F48)-1)+1)</f>
        <v>0</v>
      </c>
      <c r="G48" s="186">
        <f>INDEX('M03-S01'!$Y$16:$Y$198,2*(ROWS($G$4:G48)-1)+1)</f>
        <v>0</v>
      </c>
      <c r="H48" s="186" t="str">
        <f>IF(ISNUMBER(INDEX('M03-S01'!$AN$16:$AN$198,2*(ROWS($R$4:R48)-1)+1)),"Total","")</f>
        <v/>
      </c>
      <c r="I48" s="184">
        <f>IFERROR(ROUND(INDEX('M03-S01'!$S$16:$S$198,2*(ROWS($I$4:I48)-1)+1)*INDEX('M03-S01'!$AE$16:$AE$198,2*(ROWS($I$4:I48)-1)+1),2),0)</f>
        <v>0</v>
      </c>
      <c r="J48" s="184">
        <f>IFERROR(ROUND(INDEX('M03-S01'!$S$16:$S$198,2*(ROWS($J$4:J48)-1)+1)*INDEX('M03-S01'!$AG$16:$AG$198,2*(ROWS($J$4:J48)-1)+1),2),0)</f>
        <v>0</v>
      </c>
      <c r="K48" s="52">
        <f>IFERROR(ROUND(INDEX('M03-S01'!$AU$16:$AU$198,2*(ROWS($K$4:K48)-1)+1),2),0)</f>
        <v>0</v>
      </c>
      <c r="L48" s="52" t="str">
        <f>IFERROR(IF(R48&gt;0,M48*INDEX(PMELIGHT[Incremental Cost],MATCH(AB48,PMELIGHT[Eff Desc 1],0)),""),"")</f>
        <v/>
      </c>
      <c r="M48" s="456">
        <f>IF(ISNUMBER(SEARCH("8ft",INDEX('M03-S01'!$K$16:$K$198,2*(ROWS($M$4:M48)-1)+1))),INDEX('M03-S01'!$S$16:$S$198,2*(ROWS($M$4:M48)-1)+1)*2,INDEX('M03-S01'!$S$16:$S$198,2*(ROWS($M$4:M48)-1)+1))</f>
        <v>0</v>
      </c>
      <c r="N48" s="184" t="str">
        <f>IF(ISNUMBER(INDEX('M03-S01'!$AN$16:$AN$198,2*(ROWS($R$4:R48)-1)+1)),INDEX('M03-S01'!$AK$16:$AK$198,2*(ROWS($N$4:N48)-1)+1),"")</f>
        <v/>
      </c>
      <c r="O48" s="456" t="str">
        <f>IFERROR(IF(ISNUMBER(INDEX('M03-S01'!$AN$16:$AN$198,2*(ROWS($R$4:R48)-1)+1)),INDEX('M03-S01'!$AV$16:$AV$198,2*(ROWS($O$4:O48)-1)+1),""),"")</f>
        <v/>
      </c>
      <c r="P48" s="459"/>
      <c r="Q48" s="184" t="str">
        <f>IFERROR(IF(ISNUMBER(INDEX('M03-S01'!$AN$16:$AN$198,2*(ROWS($R$4:R48)-1)+1)),INDEX('M03-S01'!$AY$16:$AY$198,2*(ROWS($Q$4:Q48)-1)+1),""),"")</f>
        <v/>
      </c>
      <c r="R48" s="184">
        <f>IF(ISNUMBER(INDEX('M03-S01'!$AN$16:$AN$198,2*(ROWS($R$4:R48)-1)+1)),INDEX('M03-S01'!$AN$16:$AN$198,2*(ROWS($R$4:R48)-1)+1),0)</f>
        <v>0</v>
      </c>
      <c r="S48" s="459"/>
      <c r="T48" s="113"/>
      <c r="U48" s="140"/>
      <c r="V48" s="113"/>
      <c r="W48" s="96" t="str">
        <f>IFERROR(IF(NOT(ISNUMBER(INDEX('M03-S01'!$AN$16:$AN$198,2*(ROWS($R$4:R48)-1)+1))),INDEX('M03-S01'!$BC$16:$BC$198,2*(ROWS($R$4:R48)-1)+1),""),"")</f>
        <v/>
      </c>
      <c r="X48" s="184" t="str">
        <f>IFERROR(ROUND(IF(ISNUMBER(SEARCH("8ft",INDEX('M03-S01'!$K$16:$K$198,2*(ROWS($X$4:X48)-1)+1))),INDEX('M03-S01'!$I$16:$I$198,2*(ROWS($X$4:X48)-1)+1)/2,INDEX('M03-S01'!$I$16:$I$198,2*(ROWS($X$4:X48)-1)+1)),3),"")</f>
        <v/>
      </c>
      <c r="Y48" s="184" t="str">
        <f>IFERROR(ROUND(IF(ISNUMBER(SEARCH("8ft",INDEX('M03-S01'!$K$16:$K$198,2*(ROWS($Y$4:Y48)-1)+1))),INDEX('M03-S01'!$Q$16:$Q$198,2*(ROWS($Y$4:Y48)-1)+1)/2,INDEX('M03-S01'!$Q$16:$Q$198,2*(ROWS($Y$4:Y48)-1)+1)),3),"")</f>
        <v/>
      </c>
      <c r="Z48" s="111">
        <f>INDEX('M03-S01'!$B$16:$B$198,2*(ROWS($Z$4:Z48)-1)+1)</f>
        <v>45</v>
      </c>
      <c r="AA48" s="111">
        <f>IF(ISNUMBER(SEARCH("8ft",INDEX('M03-S01'!$C$16:$C$199,2*(ROWS($Z$4:AA48)-1)+1))),SUBSTITUTE(INDEX('M03-S01'!$C$16:$C$199,2*(ROWS($Z$4:AA48)-1)+1),"8ft","4ft"),INDEX('M03-S01'!$C$16:$C$199,2*(ROWS($Z$4:AA48)-1)+1))</f>
        <v>0</v>
      </c>
      <c r="AB48" s="111">
        <f>IF(ISNUMBER(SEARCH("8ft",INDEX('M03-S01'!$K$16:$K$199,2*(ROWS($Z$4:AB48)-1)+1))),SUBSTITUTE(INDEX('M03-S01'!$K$16:$K$199,2*(ROWS($Z$4:AB48)-1)+1),"8ft","4ft"),INDEX('M03-S01'!$K$16:$K$199,2*(ROWS($Z$4:AB48)-1)+1))</f>
        <v>0</v>
      </c>
      <c r="AC48" s="96"/>
      <c r="AD48">
        <f>INDEX('M03-S01'!$U$16:$U$198,2*(ROWS($AD$4:AD48)-1)+1)</f>
        <v>0</v>
      </c>
      <c r="AE48" s="459"/>
      <c r="AF48" s="459"/>
      <c r="AG48" s="111" t="str">
        <f>INDEX('M03-S01'!$AW$16:$AW$198,2*(ROWS($AG$4:AG48)-1)+1)</f>
        <v/>
      </c>
      <c r="AH48" s="111" t="str">
        <f>INDEX('M03-S01'!$AX$16:$AX$198,2*(ROWS($AH$4:AH48)-1)+1)</f>
        <v/>
      </c>
      <c r="AI48" s="113"/>
      <c r="AJ48" s="113"/>
      <c r="AK48" s="113"/>
      <c r="AL48" s="113"/>
      <c r="AM48" s="113"/>
      <c r="AN48" s="113"/>
      <c r="AO48" s="52" t="str">
        <f>IFERROR(INDEX(PMELIGHT[Program Design],MATCH(AB48,PMELIGHT[Eff Desc 1])),"")</f>
        <v/>
      </c>
      <c r="AU48"/>
    </row>
    <row r="49" spans="1:47">
      <c r="A49" s="57">
        <f t="shared" si="0"/>
        <v>0</v>
      </c>
      <c r="B49" s="183" t="str">
        <f t="shared" si="3"/>
        <v/>
      </c>
      <c r="C49" t="str">
        <f>IFERROR(IF(R49&gt;0,INDEX(PMELIGHT[Measure '#],MATCH(AB49,PMELIGHT[Eff Desc 1],0)),""),"")</f>
        <v/>
      </c>
      <c r="D49" t="s">
        <v>947</v>
      </c>
      <c r="F49" s="185">
        <f>INDEX('M03-S01'!$AB$16:$AB$198,2*(ROWS($F$4:F49)-1)+1)</f>
        <v>0</v>
      </c>
      <c r="G49" s="186">
        <f>INDEX('M03-S01'!$Y$16:$Y$198,2*(ROWS($G$4:G49)-1)+1)</f>
        <v>0</v>
      </c>
      <c r="H49" s="186" t="str">
        <f>IF(ISNUMBER(INDEX('M03-S01'!$AN$16:$AN$198,2*(ROWS($R$4:R49)-1)+1)),"Total","")</f>
        <v/>
      </c>
      <c r="I49" s="184">
        <f>IFERROR(ROUND(INDEX('M03-S01'!$S$16:$S$198,2*(ROWS($I$4:I49)-1)+1)*INDEX('M03-S01'!$AE$16:$AE$198,2*(ROWS($I$4:I49)-1)+1),2),0)</f>
        <v>0</v>
      </c>
      <c r="J49" s="184">
        <f>IFERROR(ROUND(INDEX('M03-S01'!$S$16:$S$198,2*(ROWS($J$4:J49)-1)+1)*INDEX('M03-S01'!$AG$16:$AG$198,2*(ROWS($J$4:J49)-1)+1),2),0)</f>
        <v>0</v>
      </c>
      <c r="K49" s="52">
        <f>IFERROR(ROUND(INDEX('M03-S01'!$AU$16:$AU$198,2*(ROWS($K$4:K49)-1)+1),2),0)</f>
        <v>0</v>
      </c>
      <c r="L49" s="52" t="str">
        <f>IFERROR(IF(R49&gt;0,M49*INDEX(PMELIGHT[Incremental Cost],MATCH(AB49,PMELIGHT[Eff Desc 1],0)),""),"")</f>
        <v/>
      </c>
      <c r="M49" s="456">
        <f>IF(ISNUMBER(SEARCH("8ft",INDEX('M03-S01'!$K$16:$K$198,2*(ROWS($M$4:M49)-1)+1))),INDEX('M03-S01'!$S$16:$S$198,2*(ROWS($M$4:M49)-1)+1)*2,INDEX('M03-S01'!$S$16:$S$198,2*(ROWS($M$4:M49)-1)+1))</f>
        <v>0</v>
      </c>
      <c r="N49" s="184" t="str">
        <f>IF(ISNUMBER(INDEX('M03-S01'!$AN$16:$AN$198,2*(ROWS($R$4:R49)-1)+1)),INDEX('M03-S01'!$AK$16:$AK$198,2*(ROWS($N$4:N49)-1)+1),"")</f>
        <v/>
      </c>
      <c r="O49" s="456" t="str">
        <f>IFERROR(IF(ISNUMBER(INDEX('M03-S01'!$AN$16:$AN$198,2*(ROWS($R$4:R49)-1)+1)),INDEX('M03-S01'!$AV$16:$AV$198,2*(ROWS($O$4:O49)-1)+1),""),"")</f>
        <v/>
      </c>
      <c r="P49" s="459"/>
      <c r="Q49" s="184" t="str">
        <f>IFERROR(IF(ISNUMBER(INDEX('M03-S01'!$AN$16:$AN$198,2*(ROWS($R$4:R49)-1)+1)),INDEX('M03-S01'!$AY$16:$AY$198,2*(ROWS($Q$4:Q49)-1)+1),""),"")</f>
        <v/>
      </c>
      <c r="R49" s="184">
        <f>IF(ISNUMBER(INDEX('M03-S01'!$AN$16:$AN$198,2*(ROWS($R$4:R49)-1)+1)),INDEX('M03-S01'!$AN$16:$AN$198,2*(ROWS($R$4:R49)-1)+1),0)</f>
        <v>0</v>
      </c>
      <c r="S49" s="459"/>
      <c r="T49" s="113"/>
      <c r="U49" s="140"/>
      <c r="V49" s="113"/>
      <c r="W49" s="96" t="str">
        <f>IFERROR(IF(NOT(ISNUMBER(INDEX('M03-S01'!$AN$16:$AN$198,2*(ROWS($R$4:R49)-1)+1))),INDEX('M03-S01'!$BC$16:$BC$198,2*(ROWS($R$4:R49)-1)+1),""),"")</f>
        <v/>
      </c>
      <c r="X49" s="184" t="str">
        <f>IFERROR(ROUND(IF(ISNUMBER(SEARCH("8ft",INDEX('M03-S01'!$K$16:$K$198,2*(ROWS($X$4:X49)-1)+1))),INDEX('M03-S01'!$I$16:$I$198,2*(ROWS($X$4:X49)-1)+1)/2,INDEX('M03-S01'!$I$16:$I$198,2*(ROWS($X$4:X49)-1)+1)),3),"")</f>
        <v/>
      </c>
      <c r="Y49" s="184" t="str">
        <f>IFERROR(ROUND(IF(ISNUMBER(SEARCH("8ft",INDEX('M03-S01'!$K$16:$K$198,2*(ROWS($Y$4:Y49)-1)+1))),INDEX('M03-S01'!$Q$16:$Q$198,2*(ROWS($Y$4:Y49)-1)+1)/2,INDEX('M03-S01'!$Q$16:$Q$198,2*(ROWS($Y$4:Y49)-1)+1)),3),"")</f>
        <v/>
      </c>
      <c r="Z49" s="111">
        <f>INDEX('M03-S01'!$B$16:$B$198,2*(ROWS($Z$4:Z49)-1)+1)</f>
        <v>46</v>
      </c>
      <c r="AA49" s="111">
        <f>IF(ISNUMBER(SEARCH("8ft",INDEX('M03-S01'!$C$16:$C$199,2*(ROWS($Z$4:AA49)-1)+1))),SUBSTITUTE(INDEX('M03-S01'!$C$16:$C$199,2*(ROWS($Z$4:AA49)-1)+1),"8ft","4ft"),INDEX('M03-S01'!$C$16:$C$199,2*(ROWS($Z$4:AA49)-1)+1))</f>
        <v>0</v>
      </c>
      <c r="AB49" s="111">
        <f>IF(ISNUMBER(SEARCH("8ft",INDEX('M03-S01'!$K$16:$K$199,2*(ROWS($Z$4:AB49)-1)+1))),SUBSTITUTE(INDEX('M03-S01'!$K$16:$K$199,2*(ROWS($Z$4:AB49)-1)+1),"8ft","4ft"),INDEX('M03-S01'!$K$16:$K$199,2*(ROWS($Z$4:AB49)-1)+1))</f>
        <v>0</v>
      </c>
      <c r="AC49" s="96"/>
      <c r="AD49">
        <f>INDEX('M03-S01'!$U$16:$U$198,2*(ROWS($AD$4:AD49)-1)+1)</f>
        <v>0</v>
      </c>
      <c r="AE49" s="459"/>
      <c r="AF49" s="459"/>
      <c r="AG49" s="111" t="str">
        <f>INDEX('M03-S01'!$AW$16:$AW$198,2*(ROWS($AG$4:AG49)-1)+1)</f>
        <v/>
      </c>
      <c r="AH49" s="111" t="str">
        <f>INDEX('M03-S01'!$AX$16:$AX$198,2*(ROWS($AH$4:AH49)-1)+1)</f>
        <v/>
      </c>
      <c r="AI49" s="113"/>
      <c r="AJ49" s="113"/>
      <c r="AK49" s="113"/>
      <c r="AL49" s="113"/>
      <c r="AM49" s="113"/>
      <c r="AN49" s="113"/>
      <c r="AO49" s="52" t="str">
        <f>IFERROR(INDEX(PMELIGHT[Program Design],MATCH(AB49,PMELIGHT[Eff Desc 1])),"")</f>
        <v/>
      </c>
      <c r="AU49"/>
    </row>
    <row r="50" spans="1:47">
      <c r="A50" s="57">
        <f t="shared" si="0"/>
        <v>0</v>
      </c>
      <c r="B50" s="183" t="str">
        <f t="shared" si="1"/>
        <v/>
      </c>
      <c r="C50" t="str">
        <f>IFERROR(IF(R50&gt;0,INDEX(PMELIGHT[Measure '#],MATCH(AB50,PMELIGHT[Eff Desc 1],0)),""),"")</f>
        <v/>
      </c>
      <c r="D50" t="s">
        <v>947</v>
      </c>
      <c r="F50" s="185">
        <f>INDEX('M03-S01'!$AB$16:$AB$198,2*(ROWS($F$4:F50)-1)+1)</f>
        <v>0</v>
      </c>
      <c r="G50" s="186">
        <f>INDEX('M03-S01'!$Y$16:$Y$198,2*(ROWS($G$4:G50)-1)+1)</f>
        <v>0</v>
      </c>
      <c r="H50" s="186" t="str">
        <f>IF(ISNUMBER(INDEX('M03-S01'!$AN$16:$AN$198,2*(ROWS($R$4:R50)-1)+1)),"Total","")</f>
        <v/>
      </c>
      <c r="I50" s="184">
        <f>IFERROR(ROUND(INDEX('M03-S01'!$S$16:$S$198,2*(ROWS($I$4:I50)-1)+1)*INDEX('M03-S01'!$AE$16:$AE$198,2*(ROWS($I$4:I50)-1)+1),2),0)</f>
        <v>0</v>
      </c>
      <c r="J50" s="184">
        <f>IFERROR(ROUND(INDEX('M03-S01'!$S$16:$S$198,2*(ROWS($J$4:J50)-1)+1)*INDEX('M03-S01'!$AG$16:$AG$198,2*(ROWS($J$4:J50)-1)+1),2),0)</f>
        <v>0</v>
      </c>
      <c r="K50" s="52">
        <f>IFERROR(ROUND(INDEX('M03-S01'!$AU$16:$AU$198,2*(ROWS($K$4:K50)-1)+1),2),0)</f>
        <v>0</v>
      </c>
      <c r="L50" s="52" t="str">
        <f>IFERROR(IF(R50&gt;0,M50*INDEX(PMELIGHT[Incremental Cost],MATCH(AB50,PMELIGHT[Eff Desc 1],0)),""),"")</f>
        <v/>
      </c>
      <c r="M50" s="456">
        <f>IF(ISNUMBER(SEARCH("8ft",INDEX('M03-S01'!$K$16:$K$198,2*(ROWS($M$4:M50)-1)+1))),INDEX('M03-S01'!$S$16:$S$198,2*(ROWS($M$4:M50)-1)+1)*2,INDEX('M03-S01'!$S$16:$S$198,2*(ROWS($M$4:M50)-1)+1))</f>
        <v>0</v>
      </c>
      <c r="N50" s="184" t="str">
        <f>IF(ISNUMBER(INDEX('M03-S01'!$AN$16:$AN$198,2*(ROWS($R$4:R50)-1)+1)),INDEX('M03-S01'!$AK$16:$AK$198,2*(ROWS($N$4:N50)-1)+1),"")</f>
        <v/>
      </c>
      <c r="O50" s="456" t="str">
        <f>IFERROR(IF(ISNUMBER(INDEX('M03-S01'!$AN$16:$AN$198,2*(ROWS($R$4:R50)-1)+1)),INDEX('M03-S01'!$AV$16:$AV$198,2*(ROWS($O$4:O50)-1)+1),""),"")</f>
        <v/>
      </c>
      <c r="P50" s="459"/>
      <c r="Q50" s="184" t="str">
        <f>IFERROR(IF(ISNUMBER(INDEX('M03-S01'!$AN$16:$AN$198,2*(ROWS($R$4:R50)-1)+1)),INDEX('M03-S01'!$AY$16:$AY$198,2*(ROWS($Q$4:Q50)-1)+1),""),"")</f>
        <v/>
      </c>
      <c r="R50" s="184">
        <f>IF(ISNUMBER(INDEX('M03-S01'!$AN$16:$AN$198,2*(ROWS($R$4:R50)-1)+1)),INDEX('M03-S01'!$AN$16:$AN$198,2*(ROWS($R$4:R50)-1)+1),0)</f>
        <v>0</v>
      </c>
      <c r="S50" s="459"/>
      <c r="T50" s="113"/>
      <c r="U50" s="140"/>
      <c r="V50" s="113"/>
      <c r="W50" s="96" t="str">
        <f>IFERROR(IF(NOT(ISNUMBER(INDEX('M03-S01'!$AN$16:$AN$198,2*(ROWS($R$4:R50)-1)+1))),INDEX('M03-S01'!$BC$16:$BC$198,2*(ROWS($R$4:R50)-1)+1),""),"")</f>
        <v/>
      </c>
      <c r="X50" s="184" t="str">
        <f>IFERROR(ROUND(IF(ISNUMBER(SEARCH("8ft",INDEX('M03-S01'!$K$16:$K$198,2*(ROWS($X$4:X50)-1)+1))),INDEX('M03-S01'!$I$16:$I$198,2*(ROWS($X$4:X50)-1)+1)/2,INDEX('M03-S01'!$I$16:$I$198,2*(ROWS($X$4:X50)-1)+1)),3),"")</f>
        <v/>
      </c>
      <c r="Y50" s="184" t="str">
        <f>IFERROR(ROUND(IF(ISNUMBER(SEARCH("8ft",INDEX('M03-S01'!$K$16:$K$198,2*(ROWS($Y$4:Y50)-1)+1))),INDEX('M03-S01'!$Q$16:$Q$198,2*(ROWS($Y$4:Y50)-1)+1)/2,INDEX('M03-S01'!$Q$16:$Q$198,2*(ROWS($Y$4:Y50)-1)+1)),3),"")</f>
        <v/>
      </c>
      <c r="Z50" s="111">
        <f>INDEX('M03-S01'!$B$16:$B$198,2*(ROWS($Z$4:Z50)-1)+1)</f>
        <v>47</v>
      </c>
      <c r="AA50" s="111">
        <f>IF(ISNUMBER(SEARCH("8ft",INDEX('M03-S01'!$C$16:$C$199,2*(ROWS($Z$4:AA50)-1)+1))),SUBSTITUTE(INDEX('M03-S01'!$C$16:$C$199,2*(ROWS($Z$4:AA50)-1)+1),"8ft","4ft"),INDEX('M03-S01'!$C$16:$C$199,2*(ROWS($Z$4:AA50)-1)+1))</f>
        <v>0</v>
      </c>
      <c r="AB50" s="111">
        <f>IF(ISNUMBER(SEARCH("8ft",INDEX('M03-S01'!$K$16:$K$199,2*(ROWS($Z$4:AB50)-1)+1))),SUBSTITUTE(INDEX('M03-S01'!$K$16:$K$199,2*(ROWS($Z$4:AB50)-1)+1),"8ft","4ft"),INDEX('M03-S01'!$K$16:$K$199,2*(ROWS($Z$4:AB50)-1)+1))</f>
        <v>0</v>
      </c>
      <c r="AC50" s="96"/>
      <c r="AD50">
        <f>INDEX('M03-S01'!$U$16:$U$198,2*(ROWS($AD$4:AD50)-1)+1)</f>
        <v>0</v>
      </c>
      <c r="AE50" s="459"/>
      <c r="AF50" s="459"/>
      <c r="AG50" s="111" t="str">
        <f>INDEX('M03-S01'!$AW$16:$AW$198,2*(ROWS($AG$4:AG50)-1)+1)</f>
        <v/>
      </c>
      <c r="AH50" s="111" t="str">
        <f>INDEX('M03-S01'!$AX$16:$AX$198,2*(ROWS($AH$4:AH50)-1)+1)</f>
        <v/>
      </c>
      <c r="AI50" s="113"/>
      <c r="AJ50" s="113"/>
      <c r="AK50" s="113"/>
      <c r="AL50" s="113"/>
      <c r="AM50" s="113"/>
      <c r="AN50" s="113"/>
      <c r="AO50" s="52" t="str">
        <f>IFERROR(INDEX(PMELIGHT[Program Design],MATCH(AB50,PMELIGHT[Eff Desc 1])),"")</f>
        <v/>
      </c>
      <c r="AU50"/>
    </row>
    <row r="51" spans="1:47">
      <c r="A51" s="57">
        <f t="shared" si="0"/>
        <v>0</v>
      </c>
      <c r="B51" s="183" t="str">
        <f t="shared" ca="1" si="1"/>
        <v/>
      </c>
      <c r="C51" s="559" t="str">
        <f ca="1">IFERROR(IF(R51&gt;0,INDEX(PMEBONUS[Measure '#],MATCH(AB51,PMEBONUS[Eff Desc 1],0)),""),"")</f>
        <v/>
      </c>
      <c r="D51" t="s">
        <v>947</v>
      </c>
      <c r="F51" s="185">
        <f>INDEX('M03-S01'!$AB$16:$AB$198,2*(ROWS($F$4:F51)-1)+1)</f>
        <v>0</v>
      </c>
      <c r="G51" s="186">
        <f>INDEX('M03-S01'!$Y$16:$Y$198,2*(ROWS($G$4:G51)-1)+1)</f>
        <v>0</v>
      </c>
      <c r="H51" s="112"/>
      <c r="I51" s="184">
        <f ca="1">IFERROR(ROUND(INDEX('M03-S01'!$S$16:$S$198,2*(ROWS($I$4:I51)-1)+1)*INDEX('M03-S01'!$AE$16:$AE$198,2*(ROWS($I$4:I51)-1)+1),2),0)</f>
        <v>0</v>
      </c>
      <c r="J51" s="184">
        <f ca="1">IFERROR(ROUND(INDEX('M03-S01'!$S$16:$S$198,2*(ROWS($J$4:J51)-1)+1)*INDEX('M03-S01'!$AG$16:$AG$198,2*(ROWS($J$4:J51)-1)+1),2),0)</f>
        <v>0</v>
      </c>
      <c r="K51" s="52">
        <f ca="1">IFERROR(ROUND(INDEX('M03-S01'!$AU$16:$AU$198,2*(ROWS($K$4:K51)-1)+1),2),0)</f>
        <v>0</v>
      </c>
      <c r="L51" s="52" t="str">
        <f ca="1">IFERROR(IF(R51&gt;0,M51*INDEX(PMELIGHT[Incremental Cost],MATCH(AB51,PMELIGHT[Eff Desc 1],0)),""),"")</f>
        <v/>
      </c>
      <c r="M51" s="456">
        <f ca="1">IF(ISNUMBER(SEARCH("8ft",INDEX('M03-S01'!$K$16:$K$198,2*(ROWS($M$4:M51)-1)+1))),INDEX('M03-S01'!$S$16:$S$198,2*(ROWS($M$4:M51)-1)+1)*2,INDEX('M03-S01'!$S$16:$S$198,2*(ROWS($M$4:M51)-1)+1))</f>
        <v>0</v>
      </c>
      <c r="N51" s="184" t="str">
        <f ca="1">IF(ISNUMBER(INDEX('M03-S01'!$AN$16:$AN$198,2*(ROWS($R$4:R51)-1)+1)),INDEX('M03-S01'!$AK$16:$AK$198,2*(ROWS($N$4:N51)-1)+1),"")</f>
        <v/>
      </c>
      <c r="O51" s="456" t="str">
        <f ca="1">IFERROR(IF(ISNUMBER(INDEX('M03-S01'!$AN$16:$AN$198,2*(ROWS($R$4:R51)-1)+1)),INDEX('M03-S01'!$AV$16:$AV$198,2*(ROWS($O$4:O51)-1)+1),""),"")</f>
        <v/>
      </c>
      <c r="P51" s="459"/>
      <c r="Q51" s="184"/>
      <c r="R51" s="184">
        <f ca="1">IF(ISNUMBER(INDEX('M03-S01'!$AN$16:$AN$198,2*(ROWS($R$4:R51)-1)+1)),INDEX('M03-S01'!$AN$16:$AN$198,2*(ROWS($R$4:R51)-1)+1),0)</f>
        <v>0</v>
      </c>
      <c r="S51" s="459"/>
      <c r="T51" s="113"/>
      <c r="U51" s="140"/>
      <c r="V51" s="113"/>
      <c r="W51" s="96" t="str">
        <f ca="1">IFERROR(IF(NOT(ISNUMBER(INDEX('M03-S01'!$AN$16:$AN$198,2*(ROWS($R$4:R51)-1)+1))),INDEX('M03-S01'!$BC$16:$BC$198,2*(ROWS($R$4:R51)-1)+1),""),"")</f>
        <v/>
      </c>
      <c r="X51" s="184" t="str">
        <f ca="1">IFERROR(ROUND(IF(ISNUMBER(SEARCH("8ft",INDEX('M03-S01'!$K$16:$K$198,2*(ROWS($X$4:X51)-1)+1))),INDEX('M03-S01'!$I$16:$I$198,2*(ROWS($X$4:X51)-1)+1)/2,INDEX('M03-S01'!$I$16:$I$198,2*(ROWS($X$4:X51)-1)+1)),3),"")</f>
        <v/>
      </c>
      <c r="Y51" s="184" t="str">
        <f ca="1">IFERROR(ROUND(IF(ISNUMBER(SEARCH("8ft",INDEX('M03-S01'!$K$16:$K$198,2*(ROWS($Y$4:Y51)-1)+1))),INDEX('M03-S01'!$Q$16:$Q$198,2*(ROWS($Y$4:Y51)-1)+1)/2,INDEX('M03-S01'!$Q$16:$Q$198,2*(ROWS($Y$4:Y51)-1)+1)),3),"")</f>
        <v/>
      </c>
      <c r="Z51" s="111">
        <f>INDEX('M03-S01'!$B$16:$B$198,2*(ROWS($Z$4:Z51)-1)+1)</f>
        <v>48</v>
      </c>
      <c r="AA51" s="111">
        <f ca="1">IF(ISNUMBER(SEARCH("8ft",INDEX('M03-S01'!$K$16:$K$199,2*(ROWS($Z$4:AA51)-1)+1))),SUBSTITUTE(INDEX('M03-S01'!$K$16:$K$199,2*(ROWS($Z$4:AA51)-1)+1),"8ft","4ft"),INDEX('M03-S01'!$K$16:$K$199,2*(ROWS($Z$4:AA51)-1)+1))</f>
        <v>0</v>
      </c>
      <c r="AB51" s="111">
        <f ca="1">IF(ISNUMBER(SEARCH("8ft",INDEX('M03-S01'!$C$16:$C$199,2*(ROWS($Z$4:AB51)-1)+1))),SUBSTITUTE(INDEX('M03-S01'!$C$16:$C$199,2*(ROWS($Z$4:AB51)-1)+1),"8ft","4ft"),INDEX('M03-S01'!$C$16:$C$199,2*(ROWS($Z$4:AB51)-1)+1))</f>
        <v>0</v>
      </c>
      <c r="AC51" s="96"/>
      <c r="AD51">
        <f>INDEX('M03-S01'!$U$16:$U$198,2*(ROWS($AD$4:AD51)-1)+1)</f>
        <v>0</v>
      </c>
      <c r="AE51" s="459"/>
      <c r="AF51" s="459"/>
      <c r="AG51" s="111" t="str">
        <f ca="1">INDEX('M03-S01'!$AW$16:$AW$198,2*(ROWS($AG$4:AG51)-1)+1)</f>
        <v/>
      </c>
      <c r="AH51" s="111" t="str">
        <f ca="1">INDEX('M03-S01'!$AX$16:$AX$198,2*(ROWS($AH$4:AH51)-1)+1)</f>
        <v/>
      </c>
      <c r="AI51" s="113"/>
      <c r="AJ51" s="113"/>
      <c r="AK51" s="113"/>
      <c r="AL51" s="113"/>
      <c r="AM51" s="113"/>
      <c r="AN51" s="113"/>
      <c r="AO51" s="52" t="str">
        <f ca="1">IFERROR(INDEX(PMEBONUS[Program Design],MATCH(AB51,PMEBONUS[Eff Desc 1])),"")</f>
        <v/>
      </c>
      <c r="AU51"/>
    </row>
    <row r="52" spans="1:47">
      <c r="A52" s="57">
        <f t="shared" si="0"/>
        <v>0</v>
      </c>
      <c r="B52" s="183" t="str">
        <f t="shared" ref="B52:B53" ca="1" si="4">IF(C52="","",CONCATENATE(ROW(),"-",C52))</f>
        <v/>
      </c>
      <c r="C52" s="559" t="str">
        <f ca="1">IFERROR(IF(R52&gt;0,INDEX(PMEBONUS[Measure '#],MATCH(AB52,PMEBONUS[Eff Desc 1],0)),""),"")</f>
        <v/>
      </c>
      <c r="D52" t="s">
        <v>947</v>
      </c>
      <c r="F52" s="185">
        <f>INDEX('M03-S01'!$AB$16:$AB$198,2*(ROWS($F$4:F52)-1)+1)</f>
        <v>0</v>
      </c>
      <c r="G52" s="186">
        <f>INDEX('M03-S01'!$Y$16:$Y$198,2*(ROWS($G$4:G52)-1)+1)</f>
        <v>0</v>
      </c>
      <c r="H52" s="112"/>
      <c r="I52" s="184">
        <f ca="1">IFERROR(ROUND(INDEX('M03-S01'!$S$16:$S$198,2*(ROWS($I$4:I52)-1)+1)*INDEX('M03-S01'!$AE$16:$AE$198,2*(ROWS($I$4:I52)-1)+1),2),0)</f>
        <v>0</v>
      </c>
      <c r="J52" s="184">
        <f ca="1">IFERROR(ROUND(INDEX('M03-S01'!$S$16:$S$198,2*(ROWS($J$4:J52)-1)+1)*INDEX('M03-S01'!$AG$16:$AG$198,2*(ROWS($J$4:J52)-1)+1),2),0)</f>
        <v>0</v>
      </c>
      <c r="K52" s="52">
        <f ca="1">IFERROR(ROUND(INDEX('M03-S01'!$AU$16:$AU$198,2*(ROWS($K$4:K52)-1)+1),2),0)</f>
        <v>0</v>
      </c>
      <c r="M52" s="456">
        <f ca="1">IF(ISNUMBER(SEARCH("8ft",INDEX('M03-S01'!$K$16:$K$198,2*(ROWS($M$4:M52)-1)+1))),INDEX('M03-S01'!$S$16:$S$198,2*(ROWS($M$4:M52)-1)+1)*2,INDEX('M03-S01'!$S$16:$S$198,2*(ROWS($M$4:M52)-1)+1))</f>
        <v>0</v>
      </c>
      <c r="N52" s="184" t="str">
        <f ca="1">IF(ISNUMBER(INDEX('M03-S01'!$AN$16:$AN$198,2*(ROWS($R$4:R52)-1)+1)),INDEX('M03-S01'!$AK$16:$AK$198,2*(ROWS($N$4:N52)-1)+1),"")</f>
        <v/>
      </c>
      <c r="O52" s="456" t="str">
        <f ca="1">IFERROR(IF(ISNUMBER(INDEX('M03-S01'!$AN$16:$AN$198,2*(ROWS($R$4:R52)-1)+1)),INDEX('M03-S01'!$AV$16:$AV$198,2*(ROWS($O$4:O52)-1)+1),""),"")</f>
        <v/>
      </c>
      <c r="P52" s="459"/>
      <c r="Q52" s="184"/>
      <c r="R52" s="184">
        <f ca="1">IF(ISNUMBER(INDEX('M03-S01'!$AN$16:$AN$198,2*(ROWS($R$4:R52)-1)+1)),INDEX('M03-S01'!$AN$16:$AN$198,2*(ROWS($R$4:R52)-1)+1),0)</f>
        <v>0</v>
      </c>
      <c r="S52" s="459"/>
      <c r="T52" s="113"/>
      <c r="U52" s="140"/>
      <c r="V52" s="113"/>
      <c r="W52" s="96" t="str">
        <f ca="1">IFERROR(IF(NOT(ISNUMBER(INDEX('M03-S01'!$AN$16:$AN$198,2*(ROWS($R$4:R52)-1)+1))),INDEX('M03-S01'!$BC$16:$BC$198,2*(ROWS($R$4:R52)-1)+1),""),"")</f>
        <v/>
      </c>
      <c r="X52" s="184" t="str">
        <f ca="1">IFERROR(ROUND(IF(ISNUMBER(SEARCH("8ft",INDEX('M03-S01'!$K$16:$K$198,2*(ROWS($X$4:X52)-1)+1))),INDEX('M03-S01'!$I$16:$I$198,2*(ROWS($X$4:X52)-1)+1)/2,INDEX('M03-S01'!$I$16:$I$198,2*(ROWS($X$4:X52)-1)+1)),3),"")</f>
        <v/>
      </c>
      <c r="Y52" s="184" t="str">
        <f ca="1">IFERROR(ROUND(IF(ISNUMBER(SEARCH("8ft",INDEX('M03-S01'!$K$16:$K$198,2*(ROWS($Y$4:Y52)-1)+1))),INDEX('M03-S01'!$Q$16:$Q$198,2*(ROWS($Y$4:Y52)-1)+1)/2,INDEX('M03-S01'!$Q$16:$Q$198,2*(ROWS($Y$4:Y52)-1)+1)),3),"")</f>
        <v/>
      </c>
      <c r="Z52" s="111">
        <f>INDEX('M03-S01'!$B$16:$B$198,2*(ROWS($Z$4:Z52)-1)+1)</f>
        <v>49</v>
      </c>
      <c r="AA52" s="111">
        <f ca="1">IF(ISNUMBER(SEARCH("8ft",INDEX('M03-S01'!$K$16:$K$199,2*(ROWS($Z$4:AA52)-1)+1))),SUBSTITUTE(INDEX('M03-S01'!$K$16:$K$199,2*(ROWS($Z$4:AA52)-1)+1),"8ft","4ft"),INDEX('M03-S01'!$K$16:$K$199,2*(ROWS($Z$4:AA52)-1)+1))</f>
        <v>0</v>
      </c>
      <c r="AB52" s="111">
        <f ca="1">IF(ISNUMBER(SEARCH("8ft",INDEX('M03-S01'!$C$16:$C$199,2*(ROWS($Z$4:AB52)-1)+1))),SUBSTITUTE(INDEX('M03-S01'!$C$16:$C$199,2*(ROWS($Z$4:AB52)-1)+1),"8ft","4ft"),INDEX('M03-S01'!$C$16:$C$199,2*(ROWS($Z$4:AB52)-1)+1))</f>
        <v>0</v>
      </c>
      <c r="AC52" s="96"/>
      <c r="AD52">
        <f>INDEX('M03-S01'!$U$16:$U$198,2*(ROWS($AD$4:AD52)-1)+1)</f>
        <v>0</v>
      </c>
      <c r="AE52" s="459"/>
      <c r="AF52" s="459"/>
      <c r="AG52" s="111" t="str">
        <f ca="1">INDEX('M03-S01'!$AW$16:$AW$198,2*(ROWS($AG$4:AG52)-1)+1)</f>
        <v/>
      </c>
      <c r="AH52" s="111" t="str">
        <f ca="1">INDEX('M03-S01'!$AX$16:$AX$198,2*(ROWS($AH$4:AH52)-1)+1)</f>
        <v/>
      </c>
      <c r="AI52" s="113"/>
      <c r="AJ52" s="113"/>
      <c r="AK52" s="113"/>
      <c r="AL52" s="113"/>
      <c r="AM52" s="113"/>
      <c r="AN52" s="113"/>
      <c r="AO52" s="52" t="str">
        <f ca="1">IFERROR(INDEX(PMEBONUS[Program Design],MATCH(AB52,PMEBONUS[Eff Desc 1])),"")</f>
        <v/>
      </c>
      <c r="AU52"/>
    </row>
    <row r="53" spans="1:47">
      <c r="A53" s="57">
        <f t="shared" si="0"/>
        <v>0</v>
      </c>
      <c r="B53" s="183" t="str">
        <f t="shared" ca="1" si="4"/>
        <v/>
      </c>
      <c r="C53" s="559" t="str">
        <f ca="1">IFERROR(IF(R53&gt;0,INDEX(PMEBONUS[Measure '#],MATCH(AB53,PMEBONUS[Eff Desc 1],0)),""),"")</f>
        <v/>
      </c>
      <c r="D53" t="s">
        <v>947</v>
      </c>
      <c r="F53" s="185">
        <f>INDEX('M03-S01'!$AB$16:$AB$198,2*(ROWS($F$4:F53)-1)+1)</f>
        <v>0</v>
      </c>
      <c r="G53" s="186">
        <f>INDEX('M03-S01'!$Y$16:$Y$198,2*(ROWS($G$4:G53)-1)+1)</f>
        <v>0</v>
      </c>
      <c r="H53" s="112"/>
      <c r="I53" s="184">
        <f ca="1">IFERROR(ROUND(INDEX('M03-S01'!$S$16:$S$198,2*(ROWS($I$4:I53)-1)+1)*INDEX('M03-S01'!$AE$16:$AE$198,2*(ROWS($I$4:I53)-1)+1),2),0)</f>
        <v>0</v>
      </c>
      <c r="J53" s="184">
        <f ca="1">IFERROR(ROUND(INDEX('M03-S01'!$S$16:$S$198,2*(ROWS($J$4:J53)-1)+1)*INDEX('M03-S01'!$AG$16:$AG$198,2*(ROWS($J$4:J53)-1)+1),2),0)</f>
        <v>0</v>
      </c>
      <c r="K53" s="52">
        <f ca="1">IFERROR(ROUND(INDEX('M03-S01'!$AU$16:$AU$198,2*(ROWS($K$4:K53)-1)+1),2),0)</f>
        <v>0</v>
      </c>
      <c r="M53" s="456">
        <f ca="1">IF(ISNUMBER(SEARCH("8ft",INDEX('M03-S01'!$K$16:$K$198,2*(ROWS($M$4:M53)-1)+1))),INDEX('M03-S01'!$S$16:$S$198,2*(ROWS($M$4:M53)-1)+1)*2,INDEX('M03-S01'!$S$16:$S$198,2*(ROWS($M$4:M53)-1)+1))</f>
        <v>0</v>
      </c>
      <c r="N53" s="184" t="str">
        <f ca="1">IF(ISNUMBER(INDEX('M03-S01'!$AN$16:$AN$198,2*(ROWS($R$4:R53)-1)+1)),INDEX('M03-S01'!$AK$16:$AK$198,2*(ROWS($N$4:N53)-1)+1),"")</f>
        <v/>
      </c>
      <c r="O53" s="456" t="str">
        <f ca="1">IFERROR(IF(ISNUMBER(INDEX('M03-S01'!$AN$16:$AN$198,2*(ROWS($R$4:R53)-1)+1)),INDEX('M03-S01'!$AV$16:$AV$198,2*(ROWS($O$4:O53)-1)+1),""),"")</f>
        <v/>
      </c>
      <c r="P53" s="459"/>
      <c r="Q53" s="184"/>
      <c r="R53" s="184">
        <f ca="1">IF(ISNUMBER(INDEX('M03-S01'!$AN$16:$AN$198,2*(ROWS($R$4:R53)-1)+1)),INDEX('M03-S01'!$AN$16:$AN$198,2*(ROWS($R$4:R53)-1)+1),0)</f>
        <v>0</v>
      </c>
      <c r="S53" s="459"/>
      <c r="T53" s="113"/>
      <c r="U53" s="140"/>
      <c r="V53" s="113"/>
      <c r="W53" s="96" t="str">
        <f ca="1">IFERROR(IF(NOT(ISNUMBER(INDEX('M03-S01'!$AN$16:$AN$198,2*(ROWS($R$4:R53)-1)+1))),INDEX('M03-S01'!$BC$16:$BC$198,2*(ROWS($R$4:R53)-1)+1),""),"")</f>
        <v/>
      </c>
      <c r="X53" s="184" t="str">
        <f ca="1">IFERROR(ROUND(IF(ISNUMBER(SEARCH("8ft",INDEX('M03-S01'!$K$16:$K$198,2*(ROWS($X$4:X53)-1)+1))),INDEX('M03-S01'!$I$16:$I$198,2*(ROWS($X$4:X53)-1)+1)/2,INDEX('M03-S01'!$I$16:$I$198,2*(ROWS($X$4:X53)-1)+1)),3),"")</f>
        <v/>
      </c>
      <c r="Y53" s="184" t="str">
        <f ca="1">IFERROR(ROUND(IF(ISNUMBER(SEARCH("8ft",INDEX('M03-S01'!$K$16:$K$198,2*(ROWS($Y$4:Y53)-1)+1))),INDEX('M03-S01'!$Q$16:$Q$198,2*(ROWS($Y$4:Y53)-1)+1)/2,INDEX('M03-S01'!$Q$16:$Q$198,2*(ROWS($Y$4:Y53)-1)+1)),3),"")</f>
        <v/>
      </c>
      <c r="Z53" s="111">
        <f>INDEX('M03-S01'!$B$16:$B$198,2*(ROWS($Z$4:Z53)-1)+1)</f>
        <v>50</v>
      </c>
      <c r="AA53" s="111">
        <f ca="1">IF(ISNUMBER(SEARCH("8ft",INDEX('M03-S01'!$K$16:$K$199,2*(ROWS($Z$4:AA53)-1)+1))),SUBSTITUTE(INDEX('M03-S01'!$K$16:$K$199,2*(ROWS($Z$4:AA53)-1)+1),"8ft","4ft"),INDEX('M03-S01'!$K$16:$K$199,2*(ROWS($Z$4:AA53)-1)+1))</f>
        <v>0</v>
      </c>
      <c r="AB53" s="111">
        <f ca="1">IF(ISNUMBER(SEARCH("8ft",INDEX('M03-S01'!$C$16:$C$199,2*(ROWS($Z$4:AB53)-1)+1))),SUBSTITUTE(INDEX('M03-S01'!$C$16:$C$199,2*(ROWS($Z$4:AB53)-1)+1),"8ft","4ft"),INDEX('M03-S01'!$C$16:$C$199,2*(ROWS($Z$4:AB53)-1)+1))</f>
        <v>0</v>
      </c>
      <c r="AC53" s="96"/>
      <c r="AD53">
        <f>INDEX('M03-S01'!$U$16:$U$198,2*(ROWS($AD$4:AD53)-1)+1)</f>
        <v>0</v>
      </c>
      <c r="AE53" s="459"/>
      <c r="AF53" s="459"/>
      <c r="AG53" s="111" t="str">
        <f ca="1">INDEX('M03-S01'!$AW$16:$AW$198,2*(ROWS($AG$4:AG53)-1)+1)</f>
        <v/>
      </c>
      <c r="AH53" s="111" t="str">
        <f ca="1">INDEX('M03-S01'!$AX$16:$AX$198,2*(ROWS($AH$4:AH53)-1)+1)</f>
        <v/>
      </c>
      <c r="AI53" s="113"/>
      <c r="AJ53" s="113"/>
      <c r="AK53" s="113"/>
      <c r="AL53" s="113"/>
      <c r="AM53" s="113"/>
      <c r="AN53" s="113"/>
      <c r="AO53" s="52" t="str">
        <f ca="1">IFERROR(INDEX(PMEBONUS[Program Design],MATCH(AB53,PMEBONUS[Eff Desc 1])),"")</f>
        <v/>
      </c>
      <c r="AU53"/>
    </row>
    <row r="54" spans="1:47">
      <c r="A54" s="146" t="str">
        <f>CONCATENATE(MAIN3," ",M3S2)</f>
        <v>PRESCRIPTIVE MEASURES INPUT Lighting Controls</v>
      </c>
      <c r="B54" s="148"/>
      <c r="C54" s="148"/>
      <c r="D54" s="120"/>
      <c r="E54" s="120"/>
      <c r="F54" s="124"/>
      <c r="G54" s="120"/>
      <c r="H54" s="120"/>
      <c r="I54" s="125"/>
      <c r="J54" s="125"/>
      <c r="K54" s="125"/>
      <c r="L54" s="125"/>
      <c r="M54" s="457"/>
      <c r="N54" s="125"/>
      <c r="O54" s="457"/>
      <c r="P54" s="125"/>
      <c r="Q54" s="125"/>
      <c r="R54" s="125"/>
      <c r="S54" s="457"/>
      <c r="T54" s="125"/>
      <c r="U54" s="138"/>
      <c r="V54" s="125"/>
      <c r="W54" s="120"/>
      <c r="X54" s="125"/>
      <c r="Y54" s="125"/>
      <c r="Z54" s="124"/>
      <c r="AA54" s="124"/>
      <c r="AB54" s="124"/>
      <c r="AC54" s="120"/>
      <c r="AD54" s="120"/>
      <c r="AE54" s="457"/>
      <c r="AF54" s="457"/>
      <c r="AG54" s="124"/>
      <c r="AH54" s="124"/>
      <c r="AI54" s="124"/>
      <c r="AJ54" s="124"/>
      <c r="AK54" s="125"/>
      <c r="AL54" s="125"/>
      <c r="AM54" s="125"/>
      <c r="AN54" s="125"/>
      <c r="AO54" s="125"/>
      <c r="AU54"/>
    </row>
    <row r="55" spans="1:47">
      <c r="A55" s="57">
        <f t="shared" ref="A55:A104" si="5">PROJID</f>
        <v>0</v>
      </c>
      <c r="B55" s="183" t="str">
        <f t="shared" ref="B55:B103" si="6">IF(C55="","",CONCATENATE(ROW(),"-",C55))</f>
        <v/>
      </c>
      <c r="C55" t="str">
        <f>IFERROR(IF(R55&gt;0,INDEX(PMELIGHTCON[Measure '#],MATCH(AB55,PMELIGHTCON[Eff Desc 1],0)),""),"")</f>
        <v/>
      </c>
      <c r="D55" t="s">
        <v>947</v>
      </c>
      <c r="F55" s="112"/>
      <c r="G55" s="186">
        <f>INDEX('M03-S02'!$AB$16:$AB$198,2*(ROWS($G$55:G55)-1)+1)</f>
        <v>0</v>
      </c>
      <c r="H55" s="186" t="str">
        <f>IF(ISNUMBER(INDEX('M03-S02'!$AN$16:$AN$198,2*(ROWS($R$55:R55)-1)+1)),"Total","")</f>
        <v/>
      </c>
      <c r="I55" s="184">
        <f>ROUND(INDEX('M03-S02'!$AE$16:$AE$198,2*(ROWS($I$55:I55)-1)+1),2)</f>
        <v>0</v>
      </c>
      <c r="J55" s="184">
        <f>ROUND(INDEX('M03-S02'!$AG$16:$AG$198,2*(ROWS($J$55:J55)-1)+1),2)</f>
        <v>0</v>
      </c>
      <c r="K55" s="52">
        <f>IFERROR(ROUND(INDEX('M03-S02'!$AU$16:$AU$198,2*(ROWS($K$55:K55)-1)+1),2),0)</f>
        <v>0</v>
      </c>
      <c r="L55" s="52" t="str">
        <f>IFERROR(IF(R55&gt;0,M55*INDEX(PMELIGHTCON[Incremental Cost],MATCH(AB55,PMELIGHTCON[Eff Desc 1],0)),""),"")</f>
        <v/>
      </c>
      <c r="M55" s="456">
        <f>INDEX('M03-S02'!$Q$16:$Q$198,2*(ROWS($M$55:M55)-1)+1)</f>
        <v>0</v>
      </c>
      <c r="N55" s="184" t="str">
        <f>IFERROR(INDEX('M03-S02'!$AK$16:$AK$198,2*(ROWS($N$55:N55)-1)+1),"")</f>
        <v/>
      </c>
      <c r="O55" s="456" t="str">
        <f>IFERROR(INDEX('M03-S02'!$AV$16:$AV$198,2*(ROWS($O$55:O55)-1)+1),"")</f>
        <v/>
      </c>
      <c r="P55" s="459"/>
      <c r="Q55" s="184" t="str">
        <f>IFERROR(IF(ISNUMBER(INDEX('M03-S02'!$AN$16:$AN$198,2*(ROWS($R$55:R55)-1)+1)),INDEX('M03-S02'!$AX$16:$AX$198,2*(ROWS($Q$55:Q55)-1)+1),""),"")</f>
        <v/>
      </c>
      <c r="R55" s="184">
        <f>IF(ISNUMBER(INDEX('M03-S02'!$AN$16:$AN$198,2*(ROWS($R$55:R55)-1)+1)),INDEX('M03-S02'!$AN$16:$AN$198,2*(ROWS($R$55:R55)-1)+1),0)</f>
        <v>0</v>
      </c>
      <c r="S55" s="459"/>
      <c r="T55" s="113"/>
      <c r="U55" s="140"/>
      <c r="V55" s="113"/>
      <c r="W55" s="96" t="str">
        <f>IFERROR(IF(NOT(ISNUMBER(INDEX('M03-S02'!$AN$16:$AN$198,2*(ROWS($R$55:R55)-1)+1))),INDEX('M03-S02'!$BC$16:$BC$198,2*(ROWS($R$55:R55)-1)+1),""),"")</f>
        <v/>
      </c>
      <c r="X55" s="113"/>
      <c r="Y55" s="113"/>
      <c r="Z55" s="111">
        <f>INDEX('M03-S02'!$B$16:$B$198,2*(ROWS($Z$55:Z55)-1)+1)</f>
        <v>1</v>
      </c>
      <c r="AA55" s="111" t="str">
        <f>INDEX('M03-S02'!$I$16:$I$199,2*(ROWS($Z$55:AA55)-1)+1)</f>
        <v/>
      </c>
      <c r="AB55" s="111">
        <f>INDEX('M03-S02'!$C$16:$C$198,2*(ROWS($Z$55:AB55)-1)+1)</f>
        <v>0</v>
      </c>
      <c r="AC55" s="96"/>
      <c r="AD55">
        <f>INDEX('M03-S02'!$X$16:$X$198,2*(ROWS($AD$55:AD55)-1)+1)</f>
        <v>0</v>
      </c>
      <c r="AE55" s="459"/>
      <c r="AF55" s="459"/>
      <c r="AG55" s="112"/>
      <c r="AH55" s="112"/>
      <c r="AI55" s="112"/>
      <c r="AJ55" s="112"/>
      <c r="AK55" s="113"/>
      <c r="AL55" s="113"/>
      <c r="AM55" s="113"/>
      <c r="AN55" s="113"/>
      <c r="AO55" s="52" t="str">
        <f>IFERROR(INDEX(PMELIGHTCON[Program Design],MATCH(AB55,PMELIGHTCON[Eff Desc 1],0)),"")</f>
        <v/>
      </c>
      <c r="AU55"/>
    </row>
    <row r="56" spans="1:47">
      <c r="A56" s="57">
        <f t="shared" si="5"/>
        <v>0</v>
      </c>
      <c r="B56" s="183" t="str">
        <f t="shared" ref="B56:B90" si="7">IF(C56="","",CONCATENATE(ROW(),"-",C56))</f>
        <v/>
      </c>
      <c r="C56" t="str">
        <f>IFERROR(IF(R56&gt;0,INDEX(PMELIGHTCON[Measure '#],MATCH(AB56,PMELIGHTCON[Eff Desc 1],0)),""),"")</f>
        <v/>
      </c>
      <c r="D56" t="s">
        <v>947</v>
      </c>
      <c r="F56" s="112"/>
      <c r="G56" s="186">
        <f>INDEX('M03-S02'!$AB$16:$AB$198,2*(ROWS($G$55:G56)-1)+1)</f>
        <v>0</v>
      </c>
      <c r="H56" s="186" t="str">
        <f>IF(ISNUMBER(INDEX('M03-S02'!$AN$16:$AN$198,2*(ROWS($R$55:R56)-1)+1)),"Total","")</f>
        <v/>
      </c>
      <c r="I56" s="184">
        <f>ROUND(INDEX('M03-S02'!$AE$16:$AE$198,2*(ROWS($I$55:I56)-1)+1),2)</f>
        <v>0</v>
      </c>
      <c r="J56" s="184">
        <f>ROUND(INDEX('M03-S02'!$AG$16:$AG$198,2*(ROWS($J$55:J56)-1)+1),2)</f>
        <v>0</v>
      </c>
      <c r="K56" s="52">
        <f>IFERROR(ROUND(INDEX('M03-S02'!$AU$16:$AU$198,2*(ROWS($K$55:K56)-1)+1),2),0)</f>
        <v>0</v>
      </c>
      <c r="L56" s="52" t="str">
        <f>IFERROR(IF(R56&gt;0,M56*INDEX(PMELIGHTCON[Incremental Cost],MATCH(AB56,PMELIGHTCON[Eff Desc 1],0)),""),"")</f>
        <v/>
      </c>
      <c r="M56" s="456">
        <f>INDEX('M03-S02'!$Q$16:$Q$198,2*(ROWS($M$55:M56)-1)+1)</f>
        <v>0</v>
      </c>
      <c r="N56" s="184" t="str">
        <f>IFERROR(INDEX('M03-S02'!$AK$16:$AK$198,2*(ROWS($N$55:N56)-1)+1),"")</f>
        <v/>
      </c>
      <c r="O56" s="456" t="str">
        <f>IFERROR(INDEX('M03-S02'!$AV$16:$AV$198,2*(ROWS($O$55:O56)-1)+1),"")</f>
        <v/>
      </c>
      <c r="P56" s="459"/>
      <c r="Q56" s="184" t="str">
        <f>IFERROR(IF(ISNUMBER(INDEX('M03-S02'!$AN$16:$AN$198,2*(ROWS($R$55:R56)-1)+1)),INDEX('M03-S02'!$AX$16:$AX$198,2*(ROWS($Q$55:Q56)-1)+1),""),"")</f>
        <v/>
      </c>
      <c r="R56" s="184">
        <f>IF(ISNUMBER(INDEX('M03-S02'!$AN$16:$AN$198,2*(ROWS($R$55:R56)-1)+1)),INDEX('M03-S02'!$AN$16:$AN$198,2*(ROWS($R$55:R56)-1)+1),0)</f>
        <v>0</v>
      </c>
      <c r="S56" s="459"/>
      <c r="T56" s="113"/>
      <c r="U56" s="140"/>
      <c r="V56" s="113"/>
      <c r="W56" s="96" t="str">
        <f>IFERROR(IF(NOT(ISNUMBER(INDEX('M03-S02'!$AN$16:$AN$198,2*(ROWS($R$55:R56)-1)+1))),INDEX('M03-S02'!$BC$16:$BC$198,2*(ROWS($R$55:R56)-1)+1),""),"")</f>
        <v/>
      </c>
      <c r="X56" s="113"/>
      <c r="Y56" s="113"/>
      <c r="Z56" s="111">
        <f>INDEX('M03-S02'!$B$16:$B$198,2*(ROWS($Z$55:Z56)-1)+1)</f>
        <v>2</v>
      </c>
      <c r="AA56" s="111" t="str">
        <f>INDEX('M03-S02'!$I$16:$I$199,2*(ROWS($Z$55:AA56)-1)+1)</f>
        <v/>
      </c>
      <c r="AB56" s="111">
        <f>INDEX('M03-S02'!$C$16:$C$198,2*(ROWS($Z$55:AB56)-1)+1)</f>
        <v>0</v>
      </c>
      <c r="AC56" s="96"/>
      <c r="AD56">
        <f>INDEX('M03-S02'!$X$16:$X$198,2*(ROWS($AD$55:AD56)-1)+1)</f>
        <v>0</v>
      </c>
      <c r="AE56" s="459"/>
      <c r="AF56" s="459"/>
      <c r="AG56" s="112"/>
      <c r="AH56" s="112"/>
      <c r="AI56" s="112"/>
      <c r="AJ56" s="112"/>
      <c r="AK56" s="113"/>
      <c r="AL56" s="113"/>
      <c r="AM56" s="113"/>
      <c r="AN56" s="113"/>
      <c r="AO56" s="52" t="str">
        <f>IFERROR(INDEX(PMELIGHTCON[Program Design],MATCH(AB56,PMELIGHTCON[Eff Desc 1],0)),"")</f>
        <v/>
      </c>
      <c r="AU56"/>
    </row>
    <row r="57" spans="1:47">
      <c r="A57" s="57">
        <f t="shared" si="5"/>
        <v>0</v>
      </c>
      <c r="B57" s="183" t="str">
        <f t="shared" si="7"/>
        <v/>
      </c>
      <c r="C57" t="str">
        <f>IFERROR(IF(R57&gt;0,INDEX(PMELIGHTCON[Measure '#],MATCH(AB57,PMELIGHTCON[Eff Desc 1],0)),""),"")</f>
        <v/>
      </c>
      <c r="D57" t="s">
        <v>947</v>
      </c>
      <c r="F57" s="112"/>
      <c r="G57" s="186">
        <f>INDEX('M03-S02'!$AB$16:$AB$198,2*(ROWS($G$55:G57)-1)+1)</f>
        <v>0</v>
      </c>
      <c r="H57" s="186" t="str">
        <f>IF(ISNUMBER(INDEX('M03-S02'!$AN$16:$AN$198,2*(ROWS($R$55:R57)-1)+1)),"Total","")</f>
        <v/>
      </c>
      <c r="I57" s="184">
        <f>ROUND(INDEX('M03-S02'!$AE$16:$AE$198,2*(ROWS($I$55:I57)-1)+1),2)</f>
        <v>0</v>
      </c>
      <c r="J57" s="184">
        <f>ROUND(INDEX('M03-S02'!$AG$16:$AG$198,2*(ROWS($J$55:J57)-1)+1),2)</f>
        <v>0</v>
      </c>
      <c r="K57" s="52">
        <f>IFERROR(ROUND(INDEX('M03-S02'!$AU$16:$AU$198,2*(ROWS($K$55:K57)-1)+1),2),0)</f>
        <v>0</v>
      </c>
      <c r="L57" s="52" t="str">
        <f>IFERROR(IF(R57&gt;0,M57*INDEX(PMELIGHTCON[Incremental Cost],MATCH(AB57,PMELIGHTCON[Eff Desc 1],0)),""),"")</f>
        <v/>
      </c>
      <c r="M57" s="456">
        <f>INDEX('M03-S02'!$Q$16:$Q$198,2*(ROWS($M$55:M57)-1)+1)</f>
        <v>0</v>
      </c>
      <c r="N57" s="184" t="str">
        <f>IFERROR(INDEX('M03-S02'!$AK$16:$AK$198,2*(ROWS($N$55:N57)-1)+1),"")</f>
        <v/>
      </c>
      <c r="O57" s="456" t="str">
        <f>IFERROR(INDEX('M03-S02'!$AV$16:$AV$198,2*(ROWS($O$55:O57)-1)+1),"")</f>
        <v/>
      </c>
      <c r="P57" s="459"/>
      <c r="Q57" s="184" t="str">
        <f>IFERROR(IF(ISNUMBER(INDEX('M03-S02'!$AN$16:$AN$198,2*(ROWS($R$55:R57)-1)+1)),INDEX('M03-S02'!$AX$16:$AX$198,2*(ROWS($Q$55:Q57)-1)+1),""),"")</f>
        <v/>
      </c>
      <c r="R57" s="184">
        <f>IF(ISNUMBER(INDEX('M03-S02'!$AN$16:$AN$198,2*(ROWS($R$55:R57)-1)+1)),INDEX('M03-S02'!$AN$16:$AN$198,2*(ROWS($R$55:R57)-1)+1),0)</f>
        <v>0</v>
      </c>
      <c r="S57" s="459"/>
      <c r="T57" s="113"/>
      <c r="U57" s="140"/>
      <c r="V57" s="113"/>
      <c r="W57" s="96" t="str">
        <f>IFERROR(IF(NOT(ISNUMBER(INDEX('M03-S02'!$AN$16:$AN$198,2*(ROWS($R$55:R57)-1)+1))),INDEX('M03-S02'!$BC$16:$BC$198,2*(ROWS($R$55:R57)-1)+1),""),"")</f>
        <v/>
      </c>
      <c r="X57" s="113"/>
      <c r="Y57" s="113"/>
      <c r="Z57" s="111">
        <f>INDEX('M03-S02'!$B$16:$B$198,2*(ROWS($Z$55:Z57)-1)+1)</f>
        <v>3</v>
      </c>
      <c r="AA57" s="111" t="str">
        <f>INDEX('M03-S02'!$I$16:$I$199,2*(ROWS($Z$55:AA57)-1)+1)</f>
        <v/>
      </c>
      <c r="AB57" s="111">
        <f>INDEX('M03-S02'!$C$16:$C$198,2*(ROWS($Z$55:AB57)-1)+1)</f>
        <v>0</v>
      </c>
      <c r="AC57" s="96"/>
      <c r="AD57">
        <f>INDEX('M03-S02'!$X$16:$X$198,2*(ROWS($AD$55:AD57)-1)+1)</f>
        <v>0</v>
      </c>
      <c r="AE57" s="459"/>
      <c r="AF57" s="459"/>
      <c r="AG57" s="112"/>
      <c r="AH57" s="112"/>
      <c r="AI57" s="112"/>
      <c r="AJ57" s="112"/>
      <c r="AK57" s="113"/>
      <c r="AL57" s="113"/>
      <c r="AM57" s="113"/>
      <c r="AN57" s="113"/>
      <c r="AO57" s="52" t="str">
        <f>IFERROR(INDEX(PMELIGHTCON[Program Design],MATCH(AB57,PMELIGHTCON[Eff Desc 1],0)),"")</f>
        <v/>
      </c>
      <c r="AU57"/>
    </row>
    <row r="58" spans="1:47">
      <c r="A58" s="57">
        <f t="shared" si="5"/>
        <v>0</v>
      </c>
      <c r="B58" s="183" t="str">
        <f t="shared" si="7"/>
        <v/>
      </c>
      <c r="C58" t="str">
        <f>IFERROR(IF(R58&gt;0,INDEX(PMELIGHTCON[Measure '#],MATCH(AB58,PMELIGHTCON[Eff Desc 1],0)),""),"")</f>
        <v/>
      </c>
      <c r="D58" t="s">
        <v>947</v>
      </c>
      <c r="F58" s="112"/>
      <c r="G58" s="186">
        <f>INDEX('M03-S02'!$AB$16:$AB$198,2*(ROWS($G$55:G58)-1)+1)</f>
        <v>0</v>
      </c>
      <c r="H58" s="186" t="str">
        <f>IF(ISNUMBER(INDEX('M03-S02'!$AN$16:$AN$198,2*(ROWS($R$55:R58)-1)+1)),"Total","")</f>
        <v/>
      </c>
      <c r="I58" s="184">
        <f>ROUND(INDEX('M03-S02'!$AE$16:$AE$198,2*(ROWS($I$55:I58)-1)+1),2)</f>
        <v>0</v>
      </c>
      <c r="J58" s="184">
        <f>ROUND(INDEX('M03-S02'!$AG$16:$AG$198,2*(ROWS($J$55:J58)-1)+1),2)</f>
        <v>0</v>
      </c>
      <c r="K58" s="52">
        <f>IFERROR(ROUND(INDEX('M03-S02'!$AU$16:$AU$198,2*(ROWS($K$55:K58)-1)+1),2),0)</f>
        <v>0</v>
      </c>
      <c r="L58" s="52" t="str">
        <f>IFERROR(IF(R58&gt;0,M58*INDEX(PMELIGHTCON[Incremental Cost],MATCH(AB58,PMELIGHTCON[Eff Desc 1],0)),""),"")</f>
        <v/>
      </c>
      <c r="M58" s="456">
        <f>INDEX('M03-S02'!$Q$16:$Q$198,2*(ROWS($M$55:M58)-1)+1)</f>
        <v>0</v>
      </c>
      <c r="N58" s="184" t="str">
        <f>IFERROR(INDEX('M03-S02'!$AK$16:$AK$198,2*(ROWS($N$55:N58)-1)+1),"")</f>
        <v/>
      </c>
      <c r="O58" s="456" t="str">
        <f>IFERROR(INDEX('M03-S02'!$AV$16:$AV$198,2*(ROWS($O$55:O58)-1)+1),"")</f>
        <v/>
      </c>
      <c r="P58" s="459"/>
      <c r="Q58" s="184" t="str">
        <f>IFERROR(IF(ISNUMBER(INDEX('M03-S02'!$AN$16:$AN$198,2*(ROWS($R$55:R58)-1)+1)),INDEX('M03-S02'!$AX$16:$AX$198,2*(ROWS($Q$55:Q58)-1)+1),""),"")</f>
        <v/>
      </c>
      <c r="R58" s="184">
        <f>IF(ISNUMBER(INDEX('M03-S02'!$AN$16:$AN$198,2*(ROWS($R$55:R58)-1)+1)),INDEX('M03-S02'!$AN$16:$AN$198,2*(ROWS($R$55:R58)-1)+1),0)</f>
        <v>0</v>
      </c>
      <c r="S58" s="459"/>
      <c r="T58" s="113"/>
      <c r="U58" s="140"/>
      <c r="V58" s="113"/>
      <c r="W58" s="96" t="str">
        <f>IFERROR(IF(NOT(ISNUMBER(INDEX('M03-S02'!$AN$16:$AN$198,2*(ROWS($R$55:R58)-1)+1))),INDEX('M03-S02'!$BC$16:$BC$198,2*(ROWS($R$55:R58)-1)+1),""),"")</f>
        <v/>
      </c>
      <c r="X58" s="113"/>
      <c r="Y58" s="113"/>
      <c r="Z58" s="111">
        <f>INDEX('M03-S02'!$B$16:$B$198,2*(ROWS($Z$55:Z58)-1)+1)</f>
        <v>4</v>
      </c>
      <c r="AA58" s="111" t="str">
        <f>INDEX('M03-S02'!$I$16:$I$199,2*(ROWS($Z$55:AA58)-1)+1)</f>
        <v/>
      </c>
      <c r="AB58" s="111">
        <f>INDEX('M03-S02'!$C$16:$C$198,2*(ROWS($Z$55:AB58)-1)+1)</f>
        <v>0</v>
      </c>
      <c r="AC58" s="96"/>
      <c r="AD58">
        <f>INDEX('M03-S02'!$X$16:$X$198,2*(ROWS($AD$55:AD58)-1)+1)</f>
        <v>0</v>
      </c>
      <c r="AE58" s="459"/>
      <c r="AF58" s="459"/>
      <c r="AG58" s="112"/>
      <c r="AH58" s="112"/>
      <c r="AI58" s="112"/>
      <c r="AJ58" s="112"/>
      <c r="AK58" s="113"/>
      <c r="AL58" s="113"/>
      <c r="AM58" s="113"/>
      <c r="AN58" s="113"/>
      <c r="AO58" s="52" t="str">
        <f>IFERROR(INDEX(PMELIGHTCON[Program Design],MATCH(AB58,PMELIGHTCON[Eff Desc 1],0)),"")</f>
        <v/>
      </c>
      <c r="AU58"/>
    </row>
    <row r="59" spans="1:47">
      <c r="A59" s="57">
        <f t="shared" si="5"/>
        <v>0</v>
      </c>
      <c r="B59" s="183" t="str">
        <f t="shared" si="7"/>
        <v/>
      </c>
      <c r="C59" t="str">
        <f>IFERROR(IF(R59&gt;0,INDEX(PMELIGHTCON[Measure '#],MATCH(AB59,PMELIGHTCON[Eff Desc 1],0)),""),"")</f>
        <v/>
      </c>
      <c r="D59" t="s">
        <v>947</v>
      </c>
      <c r="F59" s="112"/>
      <c r="G59" s="186">
        <f>INDEX('M03-S02'!$AB$16:$AB$198,2*(ROWS($G$55:G59)-1)+1)</f>
        <v>0</v>
      </c>
      <c r="H59" s="186" t="str">
        <f>IF(ISNUMBER(INDEX('M03-S02'!$AN$16:$AN$198,2*(ROWS($R$55:R59)-1)+1)),"Total","")</f>
        <v/>
      </c>
      <c r="I59" s="184">
        <f>ROUND(INDEX('M03-S02'!$AE$16:$AE$198,2*(ROWS($I$55:I59)-1)+1),2)</f>
        <v>0</v>
      </c>
      <c r="J59" s="184">
        <f>ROUND(INDEX('M03-S02'!$AG$16:$AG$198,2*(ROWS($J$55:J59)-1)+1),2)</f>
        <v>0</v>
      </c>
      <c r="K59" s="52">
        <f>IFERROR(ROUND(INDEX('M03-S02'!$AU$16:$AU$198,2*(ROWS($K$55:K59)-1)+1),2),0)</f>
        <v>0</v>
      </c>
      <c r="L59" s="52" t="str">
        <f>IFERROR(IF(R59&gt;0,M59*INDEX(PMELIGHTCON[Incremental Cost],MATCH(AB59,PMELIGHTCON[Eff Desc 1],0)),""),"")</f>
        <v/>
      </c>
      <c r="M59" s="456">
        <f>INDEX('M03-S02'!$Q$16:$Q$198,2*(ROWS($M$55:M59)-1)+1)</f>
        <v>0</v>
      </c>
      <c r="N59" s="184" t="str">
        <f>IFERROR(INDEX('M03-S02'!$AK$16:$AK$198,2*(ROWS($N$55:N59)-1)+1),"")</f>
        <v/>
      </c>
      <c r="O59" s="456" t="str">
        <f>IFERROR(INDEX('M03-S02'!$AV$16:$AV$198,2*(ROWS($O$55:O59)-1)+1),"")</f>
        <v/>
      </c>
      <c r="P59" s="459"/>
      <c r="Q59" s="184" t="str">
        <f>IFERROR(IF(ISNUMBER(INDEX('M03-S02'!$AN$16:$AN$198,2*(ROWS($R$55:R59)-1)+1)),INDEX('M03-S02'!$AX$16:$AX$198,2*(ROWS($Q$55:Q59)-1)+1),""),"")</f>
        <v/>
      </c>
      <c r="R59" s="184">
        <f>IF(ISNUMBER(INDEX('M03-S02'!$AN$16:$AN$198,2*(ROWS($R$55:R59)-1)+1)),INDEX('M03-S02'!$AN$16:$AN$198,2*(ROWS($R$55:R59)-1)+1),0)</f>
        <v>0</v>
      </c>
      <c r="S59" s="459"/>
      <c r="T59" s="113"/>
      <c r="U59" s="140"/>
      <c r="V59" s="113"/>
      <c r="W59" s="96" t="str">
        <f>IFERROR(IF(NOT(ISNUMBER(INDEX('M03-S02'!$AN$16:$AN$198,2*(ROWS($R$55:R59)-1)+1))),INDEX('M03-S02'!$BC$16:$BC$198,2*(ROWS($R$55:R59)-1)+1),""),"")</f>
        <v/>
      </c>
      <c r="X59" s="113"/>
      <c r="Y59" s="113"/>
      <c r="Z59" s="111">
        <f>INDEX('M03-S02'!$B$16:$B$198,2*(ROWS($Z$55:Z59)-1)+1)</f>
        <v>5</v>
      </c>
      <c r="AA59" s="111" t="str">
        <f>INDEX('M03-S02'!$I$16:$I$199,2*(ROWS($Z$55:AA59)-1)+1)</f>
        <v/>
      </c>
      <c r="AB59" s="111">
        <f>INDEX('M03-S02'!$C$16:$C$198,2*(ROWS($Z$55:AB59)-1)+1)</f>
        <v>0</v>
      </c>
      <c r="AC59" s="96"/>
      <c r="AD59">
        <f>INDEX('M03-S02'!$X$16:$X$198,2*(ROWS($AD$55:AD59)-1)+1)</f>
        <v>0</v>
      </c>
      <c r="AE59" s="459"/>
      <c r="AF59" s="459"/>
      <c r="AG59" s="112"/>
      <c r="AH59" s="112"/>
      <c r="AI59" s="112"/>
      <c r="AJ59" s="112"/>
      <c r="AK59" s="113"/>
      <c r="AL59" s="113"/>
      <c r="AM59" s="113"/>
      <c r="AN59" s="113"/>
      <c r="AO59" s="52" t="str">
        <f>IFERROR(INDEX(PMELIGHTCON[Program Design],MATCH(AB59,PMELIGHTCON[Eff Desc 1],0)),"")</f>
        <v/>
      </c>
      <c r="AU59"/>
    </row>
    <row r="60" spans="1:47">
      <c r="A60" s="57">
        <f t="shared" si="5"/>
        <v>0</v>
      </c>
      <c r="B60" s="183" t="str">
        <f t="shared" si="7"/>
        <v/>
      </c>
      <c r="C60" t="str">
        <f>IFERROR(IF(R60&gt;0,INDEX(PMELIGHTCON[Measure '#],MATCH(AB60,PMELIGHTCON[Eff Desc 1],0)),""),"")</f>
        <v/>
      </c>
      <c r="D60" t="s">
        <v>947</v>
      </c>
      <c r="F60" s="112"/>
      <c r="G60" s="186">
        <f>INDEX('M03-S02'!$AB$16:$AB$198,2*(ROWS($G$55:G60)-1)+1)</f>
        <v>0</v>
      </c>
      <c r="H60" s="186" t="str">
        <f>IF(ISNUMBER(INDEX('M03-S02'!$AN$16:$AN$198,2*(ROWS($R$55:R60)-1)+1)),"Total","")</f>
        <v/>
      </c>
      <c r="I60" s="184">
        <f>ROUND(INDEX('M03-S02'!$AE$16:$AE$198,2*(ROWS($I$55:I60)-1)+1),2)</f>
        <v>0</v>
      </c>
      <c r="J60" s="184">
        <f>ROUND(INDEX('M03-S02'!$AG$16:$AG$198,2*(ROWS($J$55:J60)-1)+1),2)</f>
        <v>0</v>
      </c>
      <c r="K60" s="52">
        <f>IFERROR(ROUND(INDEX('M03-S02'!$AU$16:$AU$198,2*(ROWS($K$55:K60)-1)+1),2),0)</f>
        <v>0</v>
      </c>
      <c r="L60" s="52" t="str">
        <f>IFERROR(IF(R60&gt;0,M60*INDEX(PMELIGHTCON[Incremental Cost],MATCH(AB60,PMELIGHTCON[Eff Desc 1],0)),""),"")</f>
        <v/>
      </c>
      <c r="M60" s="456">
        <f>INDEX('M03-S02'!$Q$16:$Q$198,2*(ROWS($M$55:M60)-1)+1)</f>
        <v>0</v>
      </c>
      <c r="N60" s="184" t="str">
        <f>IFERROR(INDEX('M03-S02'!$AK$16:$AK$198,2*(ROWS($N$55:N60)-1)+1),"")</f>
        <v/>
      </c>
      <c r="O60" s="456" t="str">
        <f>IFERROR(INDEX('M03-S02'!$AV$16:$AV$198,2*(ROWS($O$55:O60)-1)+1),"")</f>
        <v/>
      </c>
      <c r="P60" s="459"/>
      <c r="Q60" s="184" t="str">
        <f>IFERROR(IF(ISNUMBER(INDEX('M03-S02'!$AN$16:$AN$198,2*(ROWS($R$55:R60)-1)+1)),INDEX('M03-S02'!$AX$16:$AX$198,2*(ROWS($Q$55:Q60)-1)+1),""),"")</f>
        <v/>
      </c>
      <c r="R60" s="184">
        <f>IF(ISNUMBER(INDEX('M03-S02'!$AN$16:$AN$198,2*(ROWS($R$55:R60)-1)+1)),INDEX('M03-S02'!$AN$16:$AN$198,2*(ROWS($R$55:R60)-1)+1),0)</f>
        <v>0</v>
      </c>
      <c r="S60" s="459"/>
      <c r="T60" s="113"/>
      <c r="U60" s="140"/>
      <c r="V60" s="113"/>
      <c r="W60" s="96" t="str">
        <f>IFERROR(IF(NOT(ISNUMBER(INDEX('M03-S02'!$AN$16:$AN$198,2*(ROWS($R$55:R60)-1)+1))),INDEX('M03-S02'!$BC$16:$BC$198,2*(ROWS($R$55:R60)-1)+1),""),"")</f>
        <v/>
      </c>
      <c r="X60" s="113"/>
      <c r="Y60" s="113"/>
      <c r="Z60" s="111">
        <f>INDEX('M03-S02'!$B$16:$B$198,2*(ROWS($Z$55:Z60)-1)+1)</f>
        <v>6</v>
      </c>
      <c r="AA60" s="111" t="str">
        <f>INDEX('M03-S02'!$I$16:$I$199,2*(ROWS($Z$55:AA60)-1)+1)</f>
        <v/>
      </c>
      <c r="AB60" s="111">
        <f>INDEX('M03-S02'!$C$16:$C$198,2*(ROWS($Z$55:AB60)-1)+1)</f>
        <v>0</v>
      </c>
      <c r="AC60" s="96"/>
      <c r="AD60">
        <f>INDEX('M03-S02'!$X$16:$X$198,2*(ROWS($AD$55:AD60)-1)+1)</f>
        <v>0</v>
      </c>
      <c r="AE60" s="459"/>
      <c r="AF60" s="459"/>
      <c r="AG60" s="112"/>
      <c r="AH60" s="112"/>
      <c r="AI60" s="112"/>
      <c r="AJ60" s="112"/>
      <c r="AK60" s="113"/>
      <c r="AL60" s="113"/>
      <c r="AM60" s="113"/>
      <c r="AN60" s="113"/>
      <c r="AO60" s="52" t="str">
        <f>IFERROR(INDEX(PMELIGHTCON[Program Design],MATCH(AB60,PMELIGHTCON[Eff Desc 1],0)),"")</f>
        <v/>
      </c>
      <c r="AU60"/>
    </row>
    <row r="61" spans="1:47">
      <c r="A61" s="57">
        <f t="shared" si="5"/>
        <v>0</v>
      </c>
      <c r="B61" s="183" t="str">
        <f t="shared" si="7"/>
        <v/>
      </c>
      <c r="C61" t="str">
        <f>IFERROR(IF(R61&gt;0,INDEX(PMELIGHTCON[Measure '#],MATCH(AB61,PMELIGHTCON[Eff Desc 1],0)),""),"")</f>
        <v/>
      </c>
      <c r="D61" t="s">
        <v>947</v>
      </c>
      <c r="F61" s="112"/>
      <c r="G61" s="186">
        <f>INDEX('M03-S02'!$AB$16:$AB$198,2*(ROWS($G$55:G61)-1)+1)</f>
        <v>0</v>
      </c>
      <c r="H61" s="186" t="str">
        <f>IF(ISNUMBER(INDEX('M03-S02'!$AN$16:$AN$198,2*(ROWS($R$55:R61)-1)+1)),"Total","")</f>
        <v/>
      </c>
      <c r="I61" s="184">
        <f>ROUND(INDEX('M03-S02'!$AE$16:$AE$198,2*(ROWS($I$55:I61)-1)+1),2)</f>
        <v>0</v>
      </c>
      <c r="J61" s="184">
        <f>ROUND(INDEX('M03-S02'!$AG$16:$AG$198,2*(ROWS($J$55:J61)-1)+1),2)</f>
        <v>0</v>
      </c>
      <c r="K61" s="52">
        <f>IFERROR(ROUND(INDEX('M03-S02'!$AU$16:$AU$198,2*(ROWS($K$55:K61)-1)+1),2),0)</f>
        <v>0</v>
      </c>
      <c r="L61" s="52" t="str">
        <f>IFERROR(IF(R61&gt;0,M61*INDEX(PMELIGHTCON[Incremental Cost],MATCH(AB61,PMELIGHTCON[Eff Desc 1],0)),""),"")</f>
        <v/>
      </c>
      <c r="M61" s="456">
        <f>INDEX('M03-S02'!$Q$16:$Q$198,2*(ROWS($M$55:M61)-1)+1)</f>
        <v>0</v>
      </c>
      <c r="N61" s="184" t="str">
        <f>IFERROR(INDEX('M03-S02'!$AK$16:$AK$198,2*(ROWS($N$55:N61)-1)+1),"")</f>
        <v/>
      </c>
      <c r="O61" s="456" t="str">
        <f>IFERROR(INDEX('M03-S02'!$AV$16:$AV$198,2*(ROWS($O$55:O61)-1)+1),"")</f>
        <v/>
      </c>
      <c r="P61" s="459"/>
      <c r="Q61" s="184" t="str">
        <f>IFERROR(IF(ISNUMBER(INDEX('M03-S02'!$AN$16:$AN$198,2*(ROWS($R$55:R61)-1)+1)),INDEX('M03-S02'!$AX$16:$AX$198,2*(ROWS($Q$55:Q61)-1)+1),""),"")</f>
        <v/>
      </c>
      <c r="R61" s="184">
        <f>IF(ISNUMBER(INDEX('M03-S02'!$AN$16:$AN$198,2*(ROWS($R$55:R61)-1)+1)),INDEX('M03-S02'!$AN$16:$AN$198,2*(ROWS($R$55:R61)-1)+1),0)</f>
        <v>0</v>
      </c>
      <c r="S61" s="459"/>
      <c r="T61" s="113"/>
      <c r="U61" s="140"/>
      <c r="V61" s="113"/>
      <c r="W61" s="96" t="str">
        <f>IFERROR(IF(NOT(ISNUMBER(INDEX('M03-S02'!$AN$16:$AN$198,2*(ROWS($R$55:R61)-1)+1))),INDEX('M03-S02'!$BC$16:$BC$198,2*(ROWS($R$55:R61)-1)+1),""),"")</f>
        <v/>
      </c>
      <c r="X61" s="113"/>
      <c r="Y61" s="113"/>
      <c r="Z61" s="111">
        <f>INDEX('M03-S02'!$B$16:$B$198,2*(ROWS($Z$55:Z61)-1)+1)</f>
        <v>7</v>
      </c>
      <c r="AA61" s="111" t="str">
        <f>INDEX('M03-S02'!$I$16:$I$199,2*(ROWS($Z$55:AA61)-1)+1)</f>
        <v/>
      </c>
      <c r="AB61" s="111">
        <f>INDEX('M03-S02'!$C$16:$C$198,2*(ROWS($Z$55:AB61)-1)+1)</f>
        <v>0</v>
      </c>
      <c r="AC61" s="96"/>
      <c r="AD61">
        <f>INDEX('M03-S02'!$X$16:$X$198,2*(ROWS($AD$55:AD61)-1)+1)</f>
        <v>0</v>
      </c>
      <c r="AE61" s="459"/>
      <c r="AF61" s="459"/>
      <c r="AG61" s="112"/>
      <c r="AH61" s="112"/>
      <c r="AI61" s="112"/>
      <c r="AJ61" s="112"/>
      <c r="AK61" s="113"/>
      <c r="AL61" s="113"/>
      <c r="AM61" s="113"/>
      <c r="AN61" s="113"/>
      <c r="AO61" s="52" t="str">
        <f>IFERROR(INDEX(PMELIGHTCON[Program Design],MATCH(AB61,PMELIGHTCON[Eff Desc 1],0)),"")</f>
        <v/>
      </c>
      <c r="AU61"/>
    </row>
    <row r="62" spans="1:47">
      <c r="A62" s="57">
        <f t="shared" si="5"/>
        <v>0</v>
      </c>
      <c r="B62" s="183" t="str">
        <f t="shared" si="7"/>
        <v/>
      </c>
      <c r="C62" t="str">
        <f>IFERROR(IF(R62&gt;0,INDEX(PMELIGHTCON[Measure '#],MATCH(AB62,PMELIGHTCON[Eff Desc 1],0)),""),"")</f>
        <v/>
      </c>
      <c r="D62" t="s">
        <v>947</v>
      </c>
      <c r="F62" s="112"/>
      <c r="G62" s="186">
        <f>INDEX('M03-S02'!$AB$16:$AB$198,2*(ROWS($G$55:G62)-1)+1)</f>
        <v>0</v>
      </c>
      <c r="H62" s="186" t="str">
        <f>IF(ISNUMBER(INDEX('M03-S02'!$AN$16:$AN$198,2*(ROWS($R$55:R62)-1)+1)),"Total","")</f>
        <v/>
      </c>
      <c r="I62" s="184">
        <f>ROUND(INDEX('M03-S02'!$AE$16:$AE$198,2*(ROWS($I$55:I62)-1)+1),2)</f>
        <v>0</v>
      </c>
      <c r="J62" s="184">
        <f>ROUND(INDEX('M03-S02'!$AG$16:$AG$198,2*(ROWS($J$55:J62)-1)+1),2)</f>
        <v>0</v>
      </c>
      <c r="K62" s="52">
        <f>IFERROR(ROUND(INDEX('M03-S02'!$AU$16:$AU$198,2*(ROWS($K$55:K62)-1)+1),2),0)</f>
        <v>0</v>
      </c>
      <c r="L62" s="52" t="str">
        <f>IFERROR(IF(R62&gt;0,M62*INDEX(PMELIGHTCON[Incremental Cost],MATCH(AB62,PMELIGHTCON[Eff Desc 1],0)),""),"")</f>
        <v/>
      </c>
      <c r="M62" s="456">
        <f>INDEX('M03-S02'!$Q$16:$Q$198,2*(ROWS($M$55:M62)-1)+1)</f>
        <v>0</v>
      </c>
      <c r="N62" s="184" t="str">
        <f>IFERROR(INDEX('M03-S02'!$AK$16:$AK$198,2*(ROWS($N$55:N62)-1)+1),"")</f>
        <v/>
      </c>
      <c r="O62" s="456" t="str">
        <f>IFERROR(INDEX('M03-S02'!$AV$16:$AV$198,2*(ROWS($O$55:O62)-1)+1),"")</f>
        <v/>
      </c>
      <c r="P62" s="459"/>
      <c r="Q62" s="184" t="str">
        <f>IFERROR(IF(ISNUMBER(INDEX('M03-S02'!$AN$16:$AN$198,2*(ROWS($R$55:R62)-1)+1)),INDEX('M03-S02'!$AX$16:$AX$198,2*(ROWS($Q$55:Q62)-1)+1),""),"")</f>
        <v/>
      </c>
      <c r="R62" s="184">
        <f>IF(ISNUMBER(INDEX('M03-S02'!$AN$16:$AN$198,2*(ROWS($R$55:R62)-1)+1)),INDEX('M03-S02'!$AN$16:$AN$198,2*(ROWS($R$55:R62)-1)+1),0)</f>
        <v>0</v>
      </c>
      <c r="S62" s="459"/>
      <c r="T62" s="113"/>
      <c r="U62" s="140"/>
      <c r="V62" s="113"/>
      <c r="W62" s="96" t="str">
        <f>IFERROR(IF(NOT(ISNUMBER(INDEX('M03-S02'!$AN$16:$AN$198,2*(ROWS($R$55:R62)-1)+1))),INDEX('M03-S02'!$BC$16:$BC$198,2*(ROWS($R$55:R62)-1)+1),""),"")</f>
        <v/>
      </c>
      <c r="X62" s="113"/>
      <c r="Y62" s="113"/>
      <c r="Z62" s="111">
        <f>INDEX('M03-S02'!$B$16:$B$198,2*(ROWS($Z$55:Z62)-1)+1)</f>
        <v>8</v>
      </c>
      <c r="AA62" s="111" t="str">
        <f>INDEX('M03-S02'!$I$16:$I$199,2*(ROWS($Z$55:AA62)-1)+1)</f>
        <v/>
      </c>
      <c r="AB62" s="111">
        <f>INDEX('M03-S02'!$C$16:$C$198,2*(ROWS($Z$55:AB62)-1)+1)</f>
        <v>0</v>
      </c>
      <c r="AC62" s="96"/>
      <c r="AD62">
        <f>INDEX('M03-S02'!$X$16:$X$198,2*(ROWS($AD$55:AD62)-1)+1)</f>
        <v>0</v>
      </c>
      <c r="AE62" s="459"/>
      <c r="AF62" s="459"/>
      <c r="AG62" s="112"/>
      <c r="AH62" s="112"/>
      <c r="AI62" s="112"/>
      <c r="AJ62" s="112"/>
      <c r="AK62" s="113"/>
      <c r="AL62" s="113"/>
      <c r="AM62" s="113"/>
      <c r="AN62" s="113"/>
      <c r="AO62" s="52" t="str">
        <f>IFERROR(INDEX(PMELIGHTCON[Program Design],MATCH(AB62,PMELIGHTCON[Eff Desc 1],0)),"")</f>
        <v/>
      </c>
      <c r="AU62"/>
    </row>
    <row r="63" spans="1:47">
      <c r="A63" s="57">
        <f t="shared" si="5"/>
        <v>0</v>
      </c>
      <c r="B63" s="183" t="str">
        <f t="shared" si="7"/>
        <v/>
      </c>
      <c r="C63" t="str">
        <f>IFERROR(IF(R63&gt;0,INDEX(PMELIGHTCON[Measure '#],MATCH(AB63,PMELIGHTCON[Eff Desc 1],0)),""),"")</f>
        <v/>
      </c>
      <c r="D63" t="s">
        <v>947</v>
      </c>
      <c r="F63" s="112"/>
      <c r="G63" s="186">
        <f>INDEX('M03-S02'!$AB$16:$AB$198,2*(ROWS($G$55:G63)-1)+1)</f>
        <v>0</v>
      </c>
      <c r="H63" s="186" t="str">
        <f>IF(ISNUMBER(INDEX('M03-S02'!$AN$16:$AN$198,2*(ROWS($R$55:R63)-1)+1)),"Total","")</f>
        <v/>
      </c>
      <c r="I63" s="184">
        <f>ROUND(INDEX('M03-S02'!$AE$16:$AE$198,2*(ROWS($I$55:I63)-1)+1),2)</f>
        <v>0</v>
      </c>
      <c r="J63" s="184">
        <f>ROUND(INDEX('M03-S02'!$AG$16:$AG$198,2*(ROWS($J$55:J63)-1)+1),2)</f>
        <v>0</v>
      </c>
      <c r="K63" s="52">
        <f>IFERROR(ROUND(INDEX('M03-S02'!$AU$16:$AU$198,2*(ROWS($K$55:K63)-1)+1),2),0)</f>
        <v>0</v>
      </c>
      <c r="L63" s="52" t="str">
        <f>IFERROR(IF(R63&gt;0,M63*INDEX(PMELIGHTCON[Incremental Cost],MATCH(AB63,PMELIGHTCON[Eff Desc 1],0)),""),"")</f>
        <v/>
      </c>
      <c r="M63" s="456">
        <f>INDEX('M03-S02'!$Q$16:$Q$198,2*(ROWS($M$55:M63)-1)+1)</f>
        <v>0</v>
      </c>
      <c r="N63" s="184" t="str">
        <f>IFERROR(INDEX('M03-S02'!$AK$16:$AK$198,2*(ROWS($N$55:N63)-1)+1),"")</f>
        <v/>
      </c>
      <c r="O63" s="456" t="str">
        <f>IFERROR(INDEX('M03-S02'!$AV$16:$AV$198,2*(ROWS($O$55:O63)-1)+1),"")</f>
        <v/>
      </c>
      <c r="P63" s="459"/>
      <c r="Q63" s="184" t="str">
        <f>IFERROR(IF(ISNUMBER(INDEX('M03-S02'!$AN$16:$AN$198,2*(ROWS($R$55:R63)-1)+1)),INDEX('M03-S02'!$AX$16:$AX$198,2*(ROWS($Q$55:Q63)-1)+1),""),"")</f>
        <v/>
      </c>
      <c r="R63" s="184">
        <f>IF(ISNUMBER(INDEX('M03-S02'!$AN$16:$AN$198,2*(ROWS($R$55:R63)-1)+1)),INDEX('M03-S02'!$AN$16:$AN$198,2*(ROWS($R$55:R63)-1)+1),0)</f>
        <v>0</v>
      </c>
      <c r="S63" s="459"/>
      <c r="T63" s="113"/>
      <c r="U63" s="140"/>
      <c r="V63" s="113"/>
      <c r="W63" s="96" t="str">
        <f>IFERROR(IF(NOT(ISNUMBER(INDEX('M03-S02'!$AN$16:$AN$198,2*(ROWS($R$55:R63)-1)+1))),INDEX('M03-S02'!$BC$16:$BC$198,2*(ROWS($R$55:R63)-1)+1),""),"")</f>
        <v/>
      </c>
      <c r="X63" s="113"/>
      <c r="Y63" s="113"/>
      <c r="Z63" s="111">
        <f>INDEX('M03-S02'!$B$16:$B$198,2*(ROWS($Z$55:Z63)-1)+1)</f>
        <v>9</v>
      </c>
      <c r="AA63" s="111" t="str">
        <f>INDEX('M03-S02'!$I$16:$I$199,2*(ROWS($Z$55:AA63)-1)+1)</f>
        <v/>
      </c>
      <c r="AB63" s="111">
        <f>INDEX('M03-S02'!$C$16:$C$198,2*(ROWS($Z$55:AB63)-1)+1)</f>
        <v>0</v>
      </c>
      <c r="AC63" s="96"/>
      <c r="AD63">
        <f>INDEX('M03-S02'!$X$16:$X$198,2*(ROWS($AD$55:AD63)-1)+1)</f>
        <v>0</v>
      </c>
      <c r="AE63" s="459"/>
      <c r="AF63" s="459"/>
      <c r="AG63" s="112"/>
      <c r="AH63" s="112"/>
      <c r="AI63" s="112"/>
      <c r="AJ63" s="112"/>
      <c r="AK63" s="113"/>
      <c r="AL63" s="113"/>
      <c r="AM63" s="113"/>
      <c r="AN63" s="113"/>
      <c r="AO63" s="52" t="str">
        <f>IFERROR(INDEX(PMELIGHTCON[Program Design],MATCH(AB63,PMELIGHTCON[Eff Desc 1],0)),"")</f>
        <v/>
      </c>
      <c r="AU63"/>
    </row>
    <row r="64" spans="1:47">
      <c r="A64" s="57">
        <f t="shared" si="5"/>
        <v>0</v>
      </c>
      <c r="B64" s="183" t="str">
        <f t="shared" si="7"/>
        <v/>
      </c>
      <c r="C64" t="str">
        <f>IFERROR(IF(R64&gt;0,INDEX(PMELIGHTCON[Measure '#],MATCH(AB64,PMELIGHTCON[Eff Desc 1],0)),""),"")</f>
        <v/>
      </c>
      <c r="D64" t="s">
        <v>947</v>
      </c>
      <c r="F64" s="112"/>
      <c r="G64" s="186">
        <f>INDEX('M03-S02'!$AB$16:$AB$198,2*(ROWS($G$55:G64)-1)+1)</f>
        <v>0</v>
      </c>
      <c r="H64" s="186" t="str">
        <f>IF(ISNUMBER(INDEX('M03-S02'!$AN$16:$AN$198,2*(ROWS($R$55:R64)-1)+1)),"Total","")</f>
        <v/>
      </c>
      <c r="I64" s="184">
        <f>ROUND(INDEX('M03-S02'!$AE$16:$AE$198,2*(ROWS($I$55:I64)-1)+1),2)</f>
        <v>0</v>
      </c>
      <c r="J64" s="184">
        <f>ROUND(INDEX('M03-S02'!$AG$16:$AG$198,2*(ROWS($J$55:J64)-1)+1),2)</f>
        <v>0</v>
      </c>
      <c r="K64" s="52">
        <f>IFERROR(ROUND(INDEX('M03-S02'!$AU$16:$AU$198,2*(ROWS($K$55:K64)-1)+1),2),0)</f>
        <v>0</v>
      </c>
      <c r="L64" s="52" t="str">
        <f>IFERROR(IF(R64&gt;0,M64*INDEX(PMELIGHTCON[Incremental Cost],MATCH(AB64,PMELIGHTCON[Eff Desc 1],0)),""),"")</f>
        <v/>
      </c>
      <c r="M64" s="456">
        <f>INDEX('M03-S02'!$Q$16:$Q$198,2*(ROWS($M$55:M64)-1)+1)</f>
        <v>0</v>
      </c>
      <c r="N64" s="184" t="str">
        <f>IFERROR(INDEX('M03-S02'!$AK$16:$AK$198,2*(ROWS($N$55:N64)-1)+1),"")</f>
        <v/>
      </c>
      <c r="O64" s="456" t="str">
        <f>IFERROR(INDEX('M03-S02'!$AV$16:$AV$198,2*(ROWS($O$55:O64)-1)+1),"")</f>
        <v/>
      </c>
      <c r="P64" s="459"/>
      <c r="Q64" s="184" t="str">
        <f>IFERROR(IF(ISNUMBER(INDEX('M03-S02'!$AN$16:$AN$198,2*(ROWS($R$55:R64)-1)+1)),INDEX('M03-S02'!$AX$16:$AX$198,2*(ROWS($Q$55:Q64)-1)+1),""),"")</f>
        <v/>
      </c>
      <c r="R64" s="184">
        <f>IF(ISNUMBER(INDEX('M03-S02'!$AN$16:$AN$198,2*(ROWS($R$55:R64)-1)+1)),INDEX('M03-S02'!$AN$16:$AN$198,2*(ROWS($R$55:R64)-1)+1),0)</f>
        <v>0</v>
      </c>
      <c r="S64" s="459"/>
      <c r="T64" s="113"/>
      <c r="U64" s="140"/>
      <c r="V64" s="113"/>
      <c r="W64" s="96" t="str">
        <f>IFERROR(IF(NOT(ISNUMBER(INDEX('M03-S02'!$AN$16:$AN$198,2*(ROWS($R$55:R64)-1)+1))),INDEX('M03-S02'!$BC$16:$BC$198,2*(ROWS($R$55:R64)-1)+1),""),"")</f>
        <v/>
      </c>
      <c r="X64" s="113"/>
      <c r="Y64" s="113"/>
      <c r="Z64" s="111">
        <f>INDEX('M03-S02'!$B$16:$B$198,2*(ROWS($Z$55:Z64)-1)+1)</f>
        <v>10</v>
      </c>
      <c r="AA64" s="111" t="str">
        <f>INDEX('M03-S02'!$I$16:$I$199,2*(ROWS($Z$55:AA64)-1)+1)</f>
        <v/>
      </c>
      <c r="AB64" s="111">
        <f>INDEX('M03-S02'!$C$16:$C$198,2*(ROWS($Z$55:AB64)-1)+1)</f>
        <v>0</v>
      </c>
      <c r="AC64" s="96"/>
      <c r="AD64">
        <f>INDEX('M03-S02'!$X$16:$X$198,2*(ROWS($AD$55:AD64)-1)+1)</f>
        <v>0</v>
      </c>
      <c r="AE64" s="459"/>
      <c r="AF64" s="459"/>
      <c r="AG64" s="112"/>
      <c r="AH64" s="112"/>
      <c r="AI64" s="112"/>
      <c r="AJ64" s="112"/>
      <c r="AK64" s="113"/>
      <c r="AL64" s="113"/>
      <c r="AM64" s="113"/>
      <c r="AN64" s="113"/>
      <c r="AO64" s="52" t="str">
        <f>IFERROR(INDEX(PMELIGHTCON[Program Design],MATCH(AB64,PMELIGHTCON[Eff Desc 1],0)),"")</f>
        <v/>
      </c>
      <c r="AU64"/>
    </row>
    <row r="65" spans="1:47">
      <c r="A65" s="57">
        <f t="shared" si="5"/>
        <v>0</v>
      </c>
      <c r="B65" s="183" t="str">
        <f t="shared" si="7"/>
        <v/>
      </c>
      <c r="C65" t="str">
        <f>IFERROR(IF(R65&gt;0,INDEX(PMELIGHTCON[Measure '#],MATCH(AB65,PMELIGHTCON[Eff Desc 1],0)),""),"")</f>
        <v/>
      </c>
      <c r="D65" t="s">
        <v>947</v>
      </c>
      <c r="F65" s="112"/>
      <c r="G65" s="186">
        <f>INDEX('M03-S02'!$AB$16:$AB$198,2*(ROWS($G$55:G65)-1)+1)</f>
        <v>0</v>
      </c>
      <c r="H65" s="186" t="str">
        <f>IF(ISNUMBER(INDEX('M03-S02'!$AN$16:$AN$198,2*(ROWS($R$55:R65)-1)+1)),"Total","")</f>
        <v/>
      </c>
      <c r="I65" s="184">
        <f>ROUND(INDEX('M03-S02'!$AE$16:$AE$198,2*(ROWS($I$55:I65)-1)+1),2)</f>
        <v>0</v>
      </c>
      <c r="J65" s="184">
        <f>ROUND(INDEX('M03-S02'!$AG$16:$AG$198,2*(ROWS($J$55:J65)-1)+1),2)</f>
        <v>0</v>
      </c>
      <c r="K65" s="52">
        <f>IFERROR(ROUND(INDEX('M03-S02'!$AU$16:$AU$198,2*(ROWS($K$55:K65)-1)+1),2),0)</f>
        <v>0</v>
      </c>
      <c r="L65" s="52" t="str">
        <f>IFERROR(IF(R65&gt;0,M65*INDEX(PMELIGHTCON[Incremental Cost],MATCH(AB65,PMELIGHTCON[Eff Desc 1],0)),""),"")</f>
        <v/>
      </c>
      <c r="M65" s="456">
        <f>INDEX('M03-S02'!$Q$16:$Q$198,2*(ROWS($M$55:M65)-1)+1)</f>
        <v>0</v>
      </c>
      <c r="N65" s="184" t="str">
        <f>IFERROR(INDEX('M03-S02'!$AK$16:$AK$198,2*(ROWS($N$55:N65)-1)+1),"")</f>
        <v/>
      </c>
      <c r="O65" s="456" t="str">
        <f>IFERROR(INDEX('M03-S02'!$AV$16:$AV$198,2*(ROWS($O$55:O65)-1)+1),"")</f>
        <v/>
      </c>
      <c r="P65" s="459"/>
      <c r="Q65" s="184" t="str">
        <f>IFERROR(IF(ISNUMBER(INDEX('M03-S02'!$AN$16:$AN$198,2*(ROWS($R$55:R65)-1)+1)),INDEX('M03-S02'!$AX$16:$AX$198,2*(ROWS($Q$55:Q65)-1)+1),""),"")</f>
        <v/>
      </c>
      <c r="R65" s="184">
        <f>IF(ISNUMBER(INDEX('M03-S02'!$AN$16:$AN$198,2*(ROWS($R$55:R65)-1)+1)),INDEX('M03-S02'!$AN$16:$AN$198,2*(ROWS($R$55:R65)-1)+1),0)</f>
        <v>0</v>
      </c>
      <c r="S65" s="459"/>
      <c r="T65" s="113"/>
      <c r="U65" s="140"/>
      <c r="V65" s="113"/>
      <c r="W65" s="96">
        <f>IFERROR(IF(NOT(ISNUMBER(INDEX('M03-S02'!$AN$16:$AN$198,2*(ROWS($R$55:R65)-1)+1))),INDEX('M03-S02'!$BC$16:$BC$198,2*(ROWS($R$55:R65)-1)+1),""),"")</f>
        <v>0</v>
      </c>
      <c r="X65" s="113"/>
      <c r="Y65" s="113"/>
      <c r="Z65" s="111">
        <f>INDEX('M03-S02'!$B$16:$B$198,2*(ROWS($Z$55:Z65)-1)+1)</f>
        <v>11</v>
      </c>
      <c r="AA65" s="111" t="str">
        <f>INDEX('M03-S02'!$I$16:$I$199,2*(ROWS($Z$55:AA65)-1)+1)</f>
        <v/>
      </c>
      <c r="AB65" s="111">
        <f>INDEX('M03-S02'!$C$16:$C$198,2*(ROWS($Z$55:AB65)-1)+1)</f>
        <v>0</v>
      </c>
      <c r="AC65" s="96"/>
      <c r="AD65">
        <f>INDEX('M03-S02'!$X$16:$X$198,2*(ROWS($AD$55:AD65)-1)+1)</f>
        <v>0</v>
      </c>
      <c r="AE65" s="459"/>
      <c r="AF65" s="459"/>
      <c r="AG65" s="112"/>
      <c r="AH65" s="112"/>
      <c r="AI65" s="112"/>
      <c r="AJ65" s="112"/>
      <c r="AK65" s="113"/>
      <c r="AL65" s="113"/>
      <c r="AM65" s="113"/>
      <c r="AN65" s="113"/>
      <c r="AO65" s="52" t="str">
        <f>IFERROR(INDEX(PMELIGHTCON[Program Design],MATCH(AB65,PMELIGHTCON[Eff Desc 1],0)),"")</f>
        <v/>
      </c>
      <c r="AU65"/>
    </row>
    <row r="66" spans="1:47">
      <c r="A66" s="57">
        <f t="shared" si="5"/>
        <v>0</v>
      </c>
      <c r="B66" s="183" t="str">
        <f t="shared" si="7"/>
        <v/>
      </c>
      <c r="C66" t="str">
        <f>IFERROR(IF(R66&gt;0,INDEX(PMELIGHTCON[Measure '#],MATCH(AB66,PMELIGHTCON[Eff Desc 1],0)),""),"")</f>
        <v/>
      </c>
      <c r="D66" t="s">
        <v>947</v>
      </c>
      <c r="F66" s="112"/>
      <c r="G66" s="186">
        <f>INDEX('M03-S02'!$AB$16:$AB$198,2*(ROWS($G$55:G66)-1)+1)</f>
        <v>0</v>
      </c>
      <c r="H66" s="186" t="str">
        <f>IF(ISNUMBER(INDEX('M03-S02'!$AN$16:$AN$198,2*(ROWS($R$55:R66)-1)+1)),"Total","")</f>
        <v/>
      </c>
      <c r="I66" s="184">
        <f>ROUND(INDEX('M03-S02'!$AE$16:$AE$198,2*(ROWS($I$55:I66)-1)+1),2)</f>
        <v>0</v>
      </c>
      <c r="J66" s="184">
        <f>ROUND(INDEX('M03-S02'!$AG$16:$AG$198,2*(ROWS($J$55:J66)-1)+1),2)</f>
        <v>0</v>
      </c>
      <c r="K66" s="52">
        <f>IFERROR(ROUND(INDEX('M03-S02'!$AU$16:$AU$198,2*(ROWS($K$55:K66)-1)+1),2),0)</f>
        <v>0</v>
      </c>
      <c r="L66" s="52" t="str">
        <f>IFERROR(IF(R66&gt;0,M66*INDEX(PMELIGHTCON[Incremental Cost],MATCH(AB66,PMELIGHTCON[Eff Desc 1],0)),""),"")</f>
        <v/>
      </c>
      <c r="M66" s="456">
        <f>INDEX('M03-S02'!$Q$16:$Q$198,2*(ROWS($M$55:M66)-1)+1)</f>
        <v>0</v>
      </c>
      <c r="N66" s="184" t="str">
        <f>IFERROR(INDEX('M03-S02'!$AK$16:$AK$198,2*(ROWS($N$55:N66)-1)+1),"")</f>
        <v/>
      </c>
      <c r="O66" s="456" t="str">
        <f>IFERROR(INDEX('M03-S02'!$AV$16:$AV$198,2*(ROWS($O$55:O66)-1)+1),"")</f>
        <v/>
      </c>
      <c r="P66" s="459"/>
      <c r="Q66" s="184" t="str">
        <f>IFERROR(IF(ISNUMBER(INDEX('M03-S02'!$AN$16:$AN$198,2*(ROWS($R$55:R66)-1)+1)),INDEX('M03-S02'!$AX$16:$AX$198,2*(ROWS($Q$55:Q66)-1)+1),""),"")</f>
        <v/>
      </c>
      <c r="R66" s="184">
        <f>IF(ISNUMBER(INDEX('M03-S02'!$AN$16:$AN$198,2*(ROWS($R$55:R66)-1)+1)),INDEX('M03-S02'!$AN$16:$AN$198,2*(ROWS($R$55:R66)-1)+1),0)</f>
        <v>0</v>
      </c>
      <c r="S66" s="459"/>
      <c r="T66" s="113"/>
      <c r="U66" s="140"/>
      <c r="V66" s="113"/>
      <c r="W66" s="96">
        <f>IFERROR(IF(NOT(ISNUMBER(INDEX('M03-S02'!$AN$16:$AN$198,2*(ROWS($R$55:R66)-1)+1))),INDEX('M03-S02'!$BC$16:$BC$198,2*(ROWS($R$55:R66)-1)+1),""),"")</f>
        <v>0</v>
      </c>
      <c r="X66" s="113"/>
      <c r="Y66" s="113"/>
      <c r="Z66" s="111">
        <f>INDEX('M03-S02'!$B$16:$B$198,2*(ROWS($Z$55:Z66)-1)+1)</f>
        <v>12</v>
      </c>
      <c r="AA66" s="111" t="str">
        <f>INDEX('M03-S02'!$I$16:$I$199,2*(ROWS($Z$55:AA66)-1)+1)</f>
        <v/>
      </c>
      <c r="AB66" s="111">
        <f>INDEX('M03-S02'!$C$16:$C$198,2*(ROWS($Z$55:AB66)-1)+1)</f>
        <v>0</v>
      </c>
      <c r="AC66" s="96"/>
      <c r="AD66">
        <f>INDEX('M03-S02'!$X$16:$X$198,2*(ROWS($AD$55:AD66)-1)+1)</f>
        <v>0</v>
      </c>
      <c r="AE66" s="459"/>
      <c r="AF66" s="459"/>
      <c r="AG66" s="112"/>
      <c r="AH66" s="112"/>
      <c r="AI66" s="112"/>
      <c r="AJ66" s="112"/>
      <c r="AK66" s="113"/>
      <c r="AL66" s="113"/>
      <c r="AM66" s="113"/>
      <c r="AN66" s="113"/>
      <c r="AO66" s="52" t="str">
        <f>IFERROR(INDEX(PMELIGHTCON[Program Design],MATCH(AB66,PMELIGHTCON[Eff Desc 1],0)),"")</f>
        <v/>
      </c>
      <c r="AU66"/>
    </row>
    <row r="67" spans="1:47">
      <c r="A67" s="57">
        <f t="shared" si="5"/>
        <v>0</v>
      </c>
      <c r="B67" s="183" t="str">
        <f t="shared" si="7"/>
        <v/>
      </c>
      <c r="C67" t="str">
        <f>IFERROR(IF(R67&gt;0,INDEX(PMELIGHTCON[Measure '#],MATCH(AB67,PMELIGHTCON[Eff Desc 1],0)),""),"")</f>
        <v/>
      </c>
      <c r="D67" t="s">
        <v>947</v>
      </c>
      <c r="F67" s="112"/>
      <c r="G67" s="186">
        <f>INDEX('M03-S02'!$AB$16:$AB$198,2*(ROWS($G$55:G67)-1)+1)</f>
        <v>0</v>
      </c>
      <c r="H67" s="186" t="str">
        <f>IF(ISNUMBER(INDEX('M03-S02'!$AN$16:$AN$198,2*(ROWS($R$55:R67)-1)+1)),"Total","")</f>
        <v/>
      </c>
      <c r="I67" s="184">
        <f>ROUND(INDEX('M03-S02'!$AE$16:$AE$198,2*(ROWS($I$55:I67)-1)+1),2)</f>
        <v>0</v>
      </c>
      <c r="J67" s="184">
        <f>ROUND(INDEX('M03-S02'!$AG$16:$AG$198,2*(ROWS($J$55:J67)-1)+1),2)</f>
        <v>0</v>
      </c>
      <c r="K67" s="52">
        <f>IFERROR(ROUND(INDEX('M03-S02'!$AU$16:$AU$198,2*(ROWS($K$55:K67)-1)+1),2),0)</f>
        <v>0</v>
      </c>
      <c r="L67" s="52" t="str">
        <f>IFERROR(IF(R67&gt;0,M67*INDEX(PMELIGHTCON[Incremental Cost],MATCH(AB67,PMELIGHTCON[Eff Desc 1],0)),""),"")</f>
        <v/>
      </c>
      <c r="M67" s="456">
        <f>INDEX('M03-S02'!$Q$16:$Q$198,2*(ROWS($M$55:M67)-1)+1)</f>
        <v>0</v>
      </c>
      <c r="N67" s="184" t="str">
        <f>IFERROR(INDEX('M03-S02'!$AK$16:$AK$198,2*(ROWS($N$55:N67)-1)+1),"")</f>
        <v/>
      </c>
      <c r="O67" s="456" t="str">
        <f>IFERROR(INDEX('M03-S02'!$AV$16:$AV$198,2*(ROWS($O$55:O67)-1)+1),"")</f>
        <v/>
      </c>
      <c r="P67" s="459"/>
      <c r="Q67" s="184" t="str">
        <f>IFERROR(IF(ISNUMBER(INDEX('M03-S02'!$AN$16:$AN$198,2*(ROWS($R$55:R67)-1)+1)),INDEX('M03-S02'!$AX$16:$AX$198,2*(ROWS($Q$55:Q67)-1)+1),""),"")</f>
        <v/>
      </c>
      <c r="R67" s="184">
        <f>IF(ISNUMBER(INDEX('M03-S02'!$AN$16:$AN$198,2*(ROWS($R$55:R67)-1)+1)),INDEX('M03-S02'!$AN$16:$AN$198,2*(ROWS($R$55:R67)-1)+1),0)</f>
        <v>0</v>
      </c>
      <c r="S67" s="459"/>
      <c r="T67" s="113"/>
      <c r="U67" s="140"/>
      <c r="V67" s="113"/>
      <c r="W67" s="96">
        <f>IFERROR(IF(NOT(ISNUMBER(INDEX('M03-S02'!$AN$16:$AN$198,2*(ROWS($R$55:R67)-1)+1))),INDEX('M03-S02'!$BC$16:$BC$198,2*(ROWS($R$55:R67)-1)+1),""),"")</f>
        <v>0</v>
      </c>
      <c r="X67" s="113"/>
      <c r="Y67" s="113"/>
      <c r="Z67" s="111">
        <f>INDEX('M03-S02'!$B$16:$B$198,2*(ROWS($Z$55:Z67)-1)+1)</f>
        <v>13</v>
      </c>
      <c r="AA67" s="111" t="str">
        <f>INDEX('M03-S02'!$I$16:$I$199,2*(ROWS($Z$55:AA67)-1)+1)</f>
        <v/>
      </c>
      <c r="AB67" s="111">
        <f>INDEX('M03-S02'!$C$16:$C$198,2*(ROWS($Z$55:AB67)-1)+1)</f>
        <v>0</v>
      </c>
      <c r="AC67" s="96"/>
      <c r="AD67">
        <f>INDEX('M03-S02'!$X$16:$X$198,2*(ROWS($AD$55:AD67)-1)+1)</f>
        <v>0</v>
      </c>
      <c r="AE67" s="459"/>
      <c r="AF67" s="459"/>
      <c r="AG67" s="112"/>
      <c r="AH67" s="112"/>
      <c r="AI67" s="112"/>
      <c r="AJ67" s="112"/>
      <c r="AK67" s="113"/>
      <c r="AL67" s="113"/>
      <c r="AM67" s="113"/>
      <c r="AN67" s="113"/>
      <c r="AO67" s="52" t="str">
        <f>IFERROR(INDEX(PMELIGHTCON[Program Design],MATCH(AB67,PMELIGHTCON[Eff Desc 1],0)),"")</f>
        <v/>
      </c>
      <c r="AU67"/>
    </row>
    <row r="68" spans="1:47">
      <c r="A68" s="57">
        <f t="shared" si="5"/>
        <v>0</v>
      </c>
      <c r="B68" s="183" t="str">
        <f t="shared" si="7"/>
        <v/>
      </c>
      <c r="C68" t="str">
        <f>IFERROR(IF(R68&gt;0,INDEX(PMELIGHTCON[Measure '#],MATCH(AB68,PMELIGHTCON[Eff Desc 1],0)),""),"")</f>
        <v/>
      </c>
      <c r="D68" t="s">
        <v>947</v>
      </c>
      <c r="F68" s="112"/>
      <c r="G68" s="186">
        <f>INDEX('M03-S02'!$AB$16:$AB$198,2*(ROWS($G$55:G68)-1)+1)</f>
        <v>0</v>
      </c>
      <c r="H68" s="186" t="str">
        <f>IF(ISNUMBER(INDEX('M03-S02'!$AN$16:$AN$198,2*(ROWS($R$55:R68)-1)+1)),"Total","")</f>
        <v/>
      </c>
      <c r="I68" s="184">
        <f>ROUND(INDEX('M03-S02'!$AE$16:$AE$198,2*(ROWS($I$55:I68)-1)+1),2)</f>
        <v>0</v>
      </c>
      <c r="J68" s="184">
        <f>ROUND(INDEX('M03-S02'!$AG$16:$AG$198,2*(ROWS($J$55:J68)-1)+1),2)</f>
        <v>0</v>
      </c>
      <c r="K68" s="52">
        <f>IFERROR(ROUND(INDEX('M03-S02'!$AU$16:$AU$198,2*(ROWS($K$55:K68)-1)+1),2),0)</f>
        <v>0</v>
      </c>
      <c r="L68" s="52" t="str">
        <f>IFERROR(IF(R68&gt;0,M68*INDEX(PMELIGHTCON[Incremental Cost],MATCH(AB68,PMELIGHTCON[Eff Desc 1],0)),""),"")</f>
        <v/>
      </c>
      <c r="M68" s="456">
        <f>INDEX('M03-S02'!$Q$16:$Q$198,2*(ROWS($M$55:M68)-1)+1)</f>
        <v>0</v>
      </c>
      <c r="N68" s="184" t="str">
        <f>IFERROR(INDEX('M03-S02'!$AK$16:$AK$198,2*(ROWS($N$55:N68)-1)+1),"")</f>
        <v/>
      </c>
      <c r="O68" s="456" t="str">
        <f>IFERROR(INDEX('M03-S02'!$AV$16:$AV$198,2*(ROWS($O$55:O68)-1)+1),"")</f>
        <v/>
      </c>
      <c r="P68" s="459"/>
      <c r="Q68" s="184" t="str">
        <f>IFERROR(IF(ISNUMBER(INDEX('M03-S02'!$AN$16:$AN$198,2*(ROWS($R$55:R68)-1)+1)),INDEX('M03-S02'!$AX$16:$AX$198,2*(ROWS($Q$55:Q68)-1)+1),""),"")</f>
        <v/>
      </c>
      <c r="R68" s="184">
        <f>IF(ISNUMBER(INDEX('M03-S02'!$AN$16:$AN$198,2*(ROWS($R$55:R68)-1)+1)),INDEX('M03-S02'!$AN$16:$AN$198,2*(ROWS($R$55:R68)-1)+1),0)</f>
        <v>0</v>
      </c>
      <c r="S68" s="459"/>
      <c r="T68" s="113"/>
      <c r="U68" s="140"/>
      <c r="V68" s="113"/>
      <c r="W68" s="96">
        <f>IFERROR(IF(NOT(ISNUMBER(INDEX('M03-S02'!$AN$16:$AN$198,2*(ROWS($R$55:R68)-1)+1))),INDEX('M03-S02'!$BC$16:$BC$198,2*(ROWS($R$55:R68)-1)+1),""),"")</f>
        <v>0</v>
      </c>
      <c r="X68" s="113"/>
      <c r="Y68" s="113"/>
      <c r="Z68" s="111">
        <f>INDEX('M03-S02'!$B$16:$B$198,2*(ROWS($Z$55:Z68)-1)+1)</f>
        <v>14</v>
      </c>
      <c r="AA68" s="111" t="str">
        <f>INDEX('M03-S02'!$I$16:$I$199,2*(ROWS($Z$55:AA68)-1)+1)</f>
        <v/>
      </c>
      <c r="AB68" s="111">
        <f>INDEX('M03-S02'!$C$16:$C$198,2*(ROWS($Z$55:AB68)-1)+1)</f>
        <v>0</v>
      </c>
      <c r="AC68" s="96"/>
      <c r="AD68">
        <f>INDEX('M03-S02'!$X$16:$X$198,2*(ROWS($AD$55:AD68)-1)+1)</f>
        <v>0</v>
      </c>
      <c r="AE68" s="459"/>
      <c r="AF68" s="459"/>
      <c r="AG68" s="112"/>
      <c r="AH68" s="112"/>
      <c r="AI68" s="112"/>
      <c r="AJ68" s="112"/>
      <c r="AK68" s="113"/>
      <c r="AL68" s="113"/>
      <c r="AM68" s="113"/>
      <c r="AN68" s="113"/>
      <c r="AO68" s="52" t="str">
        <f>IFERROR(INDEX(PMELIGHTCON[Program Design],MATCH(AB68,PMELIGHTCON[Eff Desc 1],0)),"")</f>
        <v/>
      </c>
      <c r="AU68"/>
    </row>
    <row r="69" spans="1:47">
      <c r="A69" s="57">
        <f t="shared" si="5"/>
        <v>0</v>
      </c>
      <c r="B69" s="183" t="str">
        <f t="shared" si="7"/>
        <v/>
      </c>
      <c r="C69" t="str">
        <f>IFERROR(IF(R69&gt;0,INDEX(PMELIGHTCON[Measure '#],MATCH(AB69,PMELIGHTCON[Eff Desc 1],0)),""),"")</f>
        <v/>
      </c>
      <c r="D69" t="s">
        <v>947</v>
      </c>
      <c r="F69" s="112"/>
      <c r="G69" s="186">
        <f>INDEX('M03-S02'!$AB$16:$AB$198,2*(ROWS($G$55:G69)-1)+1)</f>
        <v>0</v>
      </c>
      <c r="H69" s="186" t="str">
        <f>IF(ISNUMBER(INDEX('M03-S02'!$AN$16:$AN$198,2*(ROWS($R$55:R69)-1)+1)),"Total","")</f>
        <v/>
      </c>
      <c r="I69" s="184">
        <f>ROUND(INDEX('M03-S02'!$AE$16:$AE$198,2*(ROWS($I$55:I69)-1)+1),2)</f>
        <v>0</v>
      </c>
      <c r="J69" s="184">
        <f>ROUND(INDEX('M03-S02'!$AG$16:$AG$198,2*(ROWS($J$55:J69)-1)+1),2)</f>
        <v>0</v>
      </c>
      <c r="K69" s="52">
        <f>IFERROR(ROUND(INDEX('M03-S02'!$AU$16:$AU$198,2*(ROWS($K$55:K69)-1)+1),2),0)</f>
        <v>0</v>
      </c>
      <c r="L69" s="52" t="str">
        <f>IFERROR(IF(R69&gt;0,M69*INDEX(PMELIGHTCON[Incremental Cost],MATCH(AB69,PMELIGHTCON[Eff Desc 1],0)),""),"")</f>
        <v/>
      </c>
      <c r="M69" s="456">
        <f>INDEX('M03-S02'!$Q$16:$Q$198,2*(ROWS($M$55:M69)-1)+1)</f>
        <v>0</v>
      </c>
      <c r="N69" s="184" t="str">
        <f>IFERROR(INDEX('M03-S02'!$AK$16:$AK$198,2*(ROWS($N$55:N69)-1)+1),"")</f>
        <v/>
      </c>
      <c r="O69" s="456" t="str">
        <f>IFERROR(INDEX('M03-S02'!$AV$16:$AV$198,2*(ROWS($O$55:O69)-1)+1),"")</f>
        <v/>
      </c>
      <c r="P69" s="459"/>
      <c r="Q69" s="184" t="str">
        <f>IFERROR(IF(ISNUMBER(INDEX('M03-S02'!$AN$16:$AN$198,2*(ROWS($R$55:R69)-1)+1)),INDEX('M03-S02'!$AX$16:$AX$198,2*(ROWS($Q$55:Q69)-1)+1),""),"")</f>
        <v/>
      </c>
      <c r="R69" s="184">
        <f>IF(ISNUMBER(INDEX('M03-S02'!$AN$16:$AN$198,2*(ROWS($R$55:R69)-1)+1)),INDEX('M03-S02'!$AN$16:$AN$198,2*(ROWS($R$55:R69)-1)+1),0)</f>
        <v>0</v>
      </c>
      <c r="S69" s="459"/>
      <c r="T69" s="113"/>
      <c r="U69" s="140"/>
      <c r="V69" s="113"/>
      <c r="W69" s="96">
        <f>IFERROR(IF(NOT(ISNUMBER(INDEX('M03-S02'!$AN$16:$AN$198,2*(ROWS($R$55:R69)-1)+1))),INDEX('M03-S02'!$BC$16:$BC$198,2*(ROWS($R$55:R69)-1)+1),""),"")</f>
        <v>0</v>
      </c>
      <c r="X69" s="113"/>
      <c r="Y69" s="113"/>
      <c r="Z69" s="111">
        <f>INDEX('M03-S02'!$B$16:$B$198,2*(ROWS($Z$55:Z69)-1)+1)</f>
        <v>15</v>
      </c>
      <c r="AA69" s="111" t="str">
        <f>INDEX('M03-S02'!$I$16:$I$199,2*(ROWS($Z$55:AA69)-1)+1)</f>
        <v/>
      </c>
      <c r="AB69" s="111">
        <f>INDEX('M03-S02'!$C$16:$C$198,2*(ROWS($Z$55:AB69)-1)+1)</f>
        <v>0</v>
      </c>
      <c r="AC69" s="96"/>
      <c r="AD69">
        <f>INDEX('M03-S02'!$X$16:$X$198,2*(ROWS($AD$55:AD69)-1)+1)</f>
        <v>0</v>
      </c>
      <c r="AE69" s="459"/>
      <c r="AF69" s="459"/>
      <c r="AG69" s="112"/>
      <c r="AH69" s="112"/>
      <c r="AI69" s="112"/>
      <c r="AJ69" s="112"/>
      <c r="AK69" s="113"/>
      <c r="AL69" s="113"/>
      <c r="AM69" s="113"/>
      <c r="AN69" s="113"/>
      <c r="AO69" s="52" t="str">
        <f>IFERROR(INDEX(PMELIGHTCON[Program Design],MATCH(AB69,PMELIGHTCON[Eff Desc 1],0)),"")</f>
        <v/>
      </c>
      <c r="AU69"/>
    </row>
    <row r="70" spans="1:47">
      <c r="A70" s="57">
        <f t="shared" si="5"/>
        <v>0</v>
      </c>
      <c r="B70" s="183" t="str">
        <f t="shared" si="7"/>
        <v/>
      </c>
      <c r="C70" t="str">
        <f>IFERROR(IF(R70&gt;0,INDEX(PMELIGHTCON[Measure '#],MATCH(AB70,PMELIGHTCON[Eff Desc 1],0)),""),"")</f>
        <v/>
      </c>
      <c r="D70" t="s">
        <v>947</v>
      </c>
      <c r="F70" s="112"/>
      <c r="G70" s="186">
        <f>INDEX('M03-S02'!$AB$16:$AB$198,2*(ROWS($G$55:G70)-1)+1)</f>
        <v>0</v>
      </c>
      <c r="H70" s="186" t="str">
        <f>IF(ISNUMBER(INDEX('M03-S02'!$AN$16:$AN$198,2*(ROWS($R$55:R70)-1)+1)),"Total","")</f>
        <v/>
      </c>
      <c r="I70" s="184">
        <f>ROUND(INDEX('M03-S02'!$AE$16:$AE$198,2*(ROWS($I$55:I70)-1)+1),2)</f>
        <v>0</v>
      </c>
      <c r="J70" s="184">
        <f>ROUND(INDEX('M03-S02'!$AG$16:$AG$198,2*(ROWS($J$55:J70)-1)+1),2)</f>
        <v>0</v>
      </c>
      <c r="K70" s="52">
        <f>IFERROR(ROUND(INDEX('M03-S02'!$AU$16:$AU$198,2*(ROWS($K$55:K70)-1)+1),2),0)</f>
        <v>0</v>
      </c>
      <c r="L70" s="52" t="str">
        <f>IFERROR(IF(R70&gt;0,M70*INDEX(PMELIGHTCON[Incremental Cost],MATCH(AB70,PMELIGHTCON[Eff Desc 1],0)),""),"")</f>
        <v/>
      </c>
      <c r="M70" s="456">
        <f>INDEX('M03-S02'!$Q$16:$Q$198,2*(ROWS($M$55:M70)-1)+1)</f>
        <v>0</v>
      </c>
      <c r="N70" s="184" t="str">
        <f>IFERROR(INDEX('M03-S02'!$AK$16:$AK$198,2*(ROWS($N$55:N70)-1)+1),"")</f>
        <v/>
      </c>
      <c r="O70" s="456" t="str">
        <f>IFERROR(INDEX('M03-S02'!$AV$16:$AV$198,2*(ROWS($O$55:O70)-1)+1),"")</f>
        <v/>
      </c>
      <c r="P70" s="459"/>
      <c r="Q70" s="184" t="str">
        <f>IFERROR(IF(ISNUMBER(INDEX('M03-S02'!$AN$16:$AN$198,2*(ROWS($R$55:R70)-1)+1)),INDEX('M03-S02'!$AX$16:$AX$198,2*(ROWS($Q$55:Q70)-1)+1),""),"")</f>
        <v/>
      </c>
      <c r="R70" s="184">
        <f>IF(ISNUMBER(INDEX('M03-S02'!$AN$16:$AN$198,2*(ROWS($R$55:R70)-1)+1)),INDEX('M03-S02'!$AN$16:$AN$198,2*(ROWS($R$55:R70)-1)+1),0)</f>
        <v>0</v>
      </c>
      <c r="S70" s="459"/>
      <c r="T70" s="113"/>
      <c r="U70" s="140"/>
      <c r="V70" s="113"/>
      <c r="W70" s="96">
        <f>IFERROR(IF(NOT(ISNUMBER(INDEX('M03-S02'!$AN$16:$AN$198,2*(ROWS($R$55:R70)-1)+1))),INDEX('M03-S02'!$BC$16:$BC$198,2*(ROWS($R$55:R70)-1)+1),""),"")</f>
        <v>0</v>
      </c>
      <c r="X70" s="113"/>
      <c r="Y70" s="113"/>
      <c r="Z70" s="111">
        <f>INDEX('M03-S02'!$B$16:$B$198,2*(ROWS($Z$55:Z70)-1)+1)</f>
        <v>16</v>
      </c>
      <c r="AA70" s="111" t="str">
        <f>INDEX('M03-S02'!$I$16:$I$199,2*(ROWS($Z$55:AA70)-1)+1)</f>
        <v/>
      </c>
      <c r="AB70" s="111">
        <f>INDEX('M03-S02'!$C$16:$C$198,2*(ROWS($Z$55:AB70)-1)+1)</f>
        <v>0</v>
      </c>
      <c r="AC70" s="96"/>
      <c r="AD70">
        <f>INDEX('M03-S02'!$X$16:$X$198,2*(ROWS($AD$55:AD70)-1)+1)</f>
        <v>0</v>
      </c>
      <c r="AE70" s="459"/>
      <c r="AF70" s="459"/>
      <c r="AG70" s="112"/>
      <c r="AH70" s="112"/>
      <c r="AI70" s="112"/>
      <c r="AJ70" s="112"/>
      <c r="AK70" s="113"/>
      <c r="AL70" s="113"/>
      <c r="AM70" s="113"/>
      <c r="AN70" s="113"/>
      <c r="AO70" s="52" t="str">
        <f>IFERROR(INDEX(PMELIGHTCON[Program Design],MATCH(AB70,PMELIGHTCON[Eff Desc 1],0)),"")</f>
        <v/>
      </c>
      <c r="AU70"/>
    </row>
    <row r="71" spans="1:47">
      <c r="A71" s="57">
        <f t="shared" si="5"/>
        <v>0</v>
      </c>
      <c r="B71" s="183" t="str">
        <f t="shared" si="7"/>
        <v/>
      </c>
      <c r="C71" t="str">
        <f>IFERROR(IF(R71&gt;0,INDEX(PMELIGHTCON[Measure '#],MATCH(AB71,PMELIGHTCON[Eff Desc 1],0)),""),"")</f>
        <v/>
      </c>
      <c r="D71" t="s">
        <v>947</v>
      </c>
      <c r="F71" s="112"/>
      <c r="G71" s="186">
        <f>INDEX('M03-S02'!$AB$16:$AB$198,2*(ROWS($G$55:G71)-1)+1)</f>
        <v>0</v>
      </c>
      <c r="H71" s="186" t="str">
        <f>IF(ISNUMBER(INDEX('M03-S02'!$AN$16:$AN$198,2*(ROWS($R$55:R71)-1)+1)),"Total","")</f>
        <v/>
      </c>
      <c r="I71" s="184">
        <f>ROUND(INDEX('M03-S02'!$AE$16:$AE$198,2*(ROWS($I$55:I71)-1)+1),2)</f>
        <v>0</v>
      </c>
      <c r="J71" s="184">
        <f>ROUND(INDEX('M03-S02'!$AG$16:$AG$198,2*(ROWS($J$55:J71)-1)+1),2)</f>
        <v>0</v>
      </c>
      <c r="K71" s="52">
        <f>IFERROR(ROUND(INDEX('M03-S02'!$AU$16:$AU$198,2*(ROWS($K$55:K71)-1)+1),2),0)</f>
        <v>0</v>
      </c>
      <c r="L71" s="52" t="str">
        <f>IFERROR(IF(R71&gt;0,M71*INDEX(PMELIGHTCON[Incremental Cost],MATCH(AB71,PMELIGHTCON[Eff Desc 1],0)),""),"")</f>
        <v/>
      </c>
      <c r="M71" s="456">
        <f>INDEX('M03-S02'!$Q$16:$Q$198,2*(ROWS($M$55:M71)-1)+1)</f>
        <v>0</v>
      </c>
      <c r="N71" s="184" t="str">
        <f>IFERROR(INDEX('M03-S02'!$AK$16:$AK$198,2*(ROWS($N$55:N71)-1)+1),"")</f>
        <v/>
      </c>
      <c r="O71" s="456" t="str">
        <f>IFERROR(INDEX('M03-S02'!$AV$16:$AV$198,2*(ROWS($O$55:O71)-1)+1),"")</f>
        <v/>
      </c>
      <c r="P71" s="459"/>
      <c r="Q71" s="184" t="str">
        <f>IFERROR(IF(ISNUMBER(INDEX('M03-S02'!$AN$16:$AN$198,2*(ROWS($R$55:R71)-1)+1)),INDEX('M03-S02'!$AX$16:$AX$198,2*(ROWS($Q$55:Q71)-1)+1),""),"")</f>
        <v/>
      </c>
      <c r="R71" s="184">
        <f>IF(ISNUMBER(INDEX('M03-S02'!$AN$16:$AN$198,2*(ROWS($R$55:R71)-1)+1)),INDEX('M03-S02'!$AN$16:$AN$198,2*(ROWS($R$55:R71)-1)+1),0)</f>
        <v>0</v>
      </c>
      <c r="S71" s="459"/>
      <c r="T71" s="113"/>
      <c r="U71" s="140"/>
      <c r="V71" s="113"/>
      <c r="W71" s="96">
        <f>IFERROR(IF(NOT(ISNUMBER(INDEX('M03-S02'!$AN$16:$AN$198,2*(ROWS($R$55:R71)-1)+1))),INDEX('M03-S02'!$BC$16:$BC$198,2*(ROWS($R$55:R71)-1)+1),""),"")</f>
        <v>0</v>
      </c>
      <c r="X71" s="113"/>
      <c r="Y71" s="113"/>
      <c r="Z71" s="111">
        <f>INDEX('M03-S02'!$B$16:$B$198,2*(ROWS($Z$55:Z71)-1)+1)</f>
        <v>17</v>
      </c>
      <c r="AA71" s="111" t="str">
        <f>INDEX('M03-S02'!$I$16:$I$199,2*(ROWS($Z$55:AA71)-1)+1)</f>
        <v/>
      </c>
      <c r="AB71" s="111">
        <f>INDEX('M03-S02'!$C$16:$C$198,2*(ROWS($Z$55:AB71)-1)+1)</f>
        <v>0</v>
      </c>
      <c r="AC71" s="96"/>
      <c r="AD71">
        <f>INDEX('M03-S02'!$X$16:$X$198,2*(ROWS($AD$55:AD71)-1)+1)</f>
        <v>0</v>
      </c>
      <c r="AE71" s="459"/>
      <c r="AF71" s="459"/>
      <c r="AG71" s="112"/>
      <c r="AH71" s="112"/>
      <c r="AI71" s="112"/>
      <c r="AJ71" s="112"/>
      <c r="AK71" s="113"/>
      <c r="AL71" s="113"/>
      <c r="AM71" s="113"/>
      <c r="AN71" s="113"/>
      <c r="AO71" s="52" t="str">
        <f>IFERROR(INDEX(PMELIGHTCON[Program Design],MATCH(AB71,PMELIGHTCON[Eff Desc 1],0)),"")</f>
        <v/>
      </c>
      <c r="AU71"/>
    </row>
    <row r="72" spans="1:47">
      <c r="A72" s="57">
        <f t="shared" si="5"/>
        <v>0</v>
      </c>
      <c r="B72" s="183" t="str">
        <f t="shared" si="7"/>
        <v/>
      </c>
      <c r="C72" t="str">
        <f>IFERROR(IF(R72&gt;0,INDEX(PMELIGHTCON[Measure '#],MATCH(AB72,PMELIGHTCON[Eff Desc 1],0)),""),"")</f>
        <v/>
      </c>
      <c r="D72" t="s">
        <v>947</v>
      </c>
      <c r="F72" s="112"/>
      <c r="G72" s="186">
        <f>INDEX('M03-S02'!$AB$16:$AB$198,2*(ROWS($G$55:G72)-1)+1)</f>
        <v>0</v>
      </c>
      <c r="H72" s="186" t="str">
        <f>IF(ISNUMBER(INDEX('M03-S02'!$AN$16:$AN$198,2*(ROWS($R$55:R72)-1)+1)),"Total","")</f>
        <v/>
      </c>
      <c r="I72" s="184">
        <f>ROUND(INDEX('M03-S02'!$AE$16:$AE$198,2*(ROWS($I$55:I72)-1)+1),2)</f>
        <v>0</v>
      </c>
      <c r="J72" s="184">
        <f>ROUND(INDEX('M03-S02'!$AG$16:$AG$198,2*(ROWS($J$55:J72)-1)+1),2)</f>
        <v>0</v>
      </c>
      <c r="K72" s="52">
        <f>IFERROR(ROUND(INDEX('M03-S02'!$AU$16:$AU$198,2*(ROWS($K$55:K72)-1)+1),2),0)</f>
        <v>0</v>
      </c>
      <c r="L72" s="52" t="str">
        <f>IFERROR(IF(R72&gt;0,M72*INDEX(PMELIGHTCON[Incremental Cost],MATCH(AB72,PMELIGHTCON[Eff Desc 1],0)),""),"")</f>
        <v/>
      </c>
      <c r="M72" s="456">
        <f>INDEX('M03-S02'!$Q$16:$Q$198,2*(ROWS($M$55:M72)-1)+1)</f>
        <v>0</v>
      </c>
      <c r="N72" s="184" t="str">
        <f>IFERROR(INDEX('M03-S02'!$AK$16:$AK$198,2*(ROWS($N$55:N72)-1)+1),"")</f>
        <v/>
      </c>
      <c r="O72" s="456" t="str">
        <f>IFERROR(INDEX('M03-S02'!$AV$16:$AV$198,2*(ROWS($O$55:O72)-1)+1),"")</f>
        <v/>
      </c>
      <c r="P72" s="459"/>
      <c r="Q72" s="184" t="str">
        <f>IFERROR(IF(ISNUMBER(INDEX('M03-S02'!$AN$16:$AN$198,2*(ROWS($R$55:R72)-1)+1)),INDEX('M03-S02'!$AX$16:$AX$198,2*(ROWS($Q$55:Q72)-1)+1),""),"")</f>
        <v/>
      </c>
      <c r="R72" s="184">
        <f>IF(ISNUMBER(INDEX('M03-S02'!$AN$16:$AN$198,2*(ROWS($R$55:R72)-1)+1)),INDEX('M03-S02'!$AN$16:$AN$198,2*(ROWS($R$55:R72)-1)+1),0)</f>
        <v>0</v>
      </c>
      <c r="S72" s="459"/>
      <c r="T72" s="113"/>
      <c r="U72" s="140"/>
      <c r="V72" s="113"/>
      <c r="W72" s="96">
        <f>IFERROR(IF(NOT(ISNUMBER(INDEX('M03-S02'!$AN$16:$AN$198,2*(ROWS($R$55:R72)-1)+1))),INDEX('M03-S02'!$BC$16:$BC$198,2*(ROWS($R$55:R72)-1)+1),""),"")</f>
        <v>0</v>
      </c>
      <c r="X72" s="113"/>
      <c r="Y72" s="113"/>
      <c r="Z72" s="111">
        <f>INDEX('M03-S02'!$B$16:$B$198,2*(ROWS($Z$55:Z72)-1)+1)</f>
        <v>18</v>
      </c>
      <c r="AA72" s="111" t="str">
        <f>INDEX('M03-S02'!$I$16:$I$199,2*(ROWS($Z$55:AA72)-1)+1)</f>
        <v/>
      </c>
      <c r="AB72" s="111">
        <f>INDEX('M03-S02'!$C$16:$C$198,2*(ROWS($Z$55:AB72)-1)+1)</f>
        <v>0</v>
      </c>
      <c r="AC72" s="96"/>
      <c r="AD72">
        <f>INDEX('M03-S02'!$X$16:$X$198,2*(ROWS($AD$55:AD72)-1)+1)</f>
        <v>0</v>
      </c>
      <c r="AE72" s="459"/>
      <c r="AF72" s="459"/>
      <c r="AG72" s="112"/>
      <c r="AH72" s="112"/>
      <c r="AI72" s="112"/>
      <c r="AJ72" s="112"/>
      <c r="AK72" s="113"/>
      <c r="AL72" s="113"/>
      <c r="AM72" s="113"/>
      <c r="AN72" s="113"/>
      <c r="AO72" s="52" t="str">
        <f>IFERROR(INDEX(PMELIGHTCON[Program Design],MATCH(AB72,PMELIGHTCON[Eff Desc 1],0)),"")</f>
        <v/>
      </c>
      <c r="AU72"/>
    </row>
    <row r="73" spans="1:47">
      <c r="A73" s="57">
        <f t="shared" si="5"/>
        <v>0</v>
      </c>
      <c r="B73" s="183" t="str">
        <f t="shared" si="7"/>
        <v/>
      </c>
      <c r="C73" t="str">
        <f>IFERROR(IF(R73&gt;0,INDEX(PMELIGHTCON[Measure '#],MATCH(AB73,PMELIGHTCON[Eff Desc 1],0)),""),"")</f>
        <v/>
      </c>
      <c r="D73" t="s">
        <v>947</v>
      </c>
      <c r="F73" s="112"/>
      <c r="G73" s="186">
        <f>INDEX('M03-S02'!$AB$16:$AB$198,2*(ROWS($G$55:G73)-1)+1)</f>
        <v>0</v>
      </c>
      <c r="H73" s="186" t="str">
        <f>IF(ISNUMBER(INDEX('M03-S02'!$AN$16:$AN$198,2*(ROWS($R$55:R73)-1)+1)),"Total","")</f>
        <v/>
      </c>
      <c r="I73" s="184">
        <f>ROUND(INDEX('M03-S02'!$AE$16:$AE$198,2*(ROWS($I$55:I73)-1)+1),2)</f>
        <v>0</v>
      </c>
      <c r="J73" s="184">
        <f>ROUND(INDEX('M03-S02'!$AG$16:$AG$198,2*(ROWS($J$55:J73)-1)+1),2)</f>
        <v>0</v>
      </c>
      <c r="K73" s="52">
        <f>IFERROR(ROUND(INDEX('M03-S02'!$AU$16:$AU$198,2*(ROWS($K$55:K73)-1)+1),2),0)</f>
        <v>0</v>
      </c>
      <c r="L73" s="52" t="str">
        <f>IFERROR(IF(R73&gt;0,M73*INDEX(PMELIGHTCON[Incremental Cost],MATCH(AB73,PMELIGHTCON[Eff Desc 1],0)),""),"")</f>
        <v/>
      </c>
      <c r="M73" s="456">
        <f>INDEX('M03-S02'!$Q$16:$Q$198,2*(ROWS($M$55:M73)-1)+1)</f>
        <v>0</v>
      </c>
      <c r="N73" s="184" t="str">
        <f>IFERROR(INDEX('M03-S02'!$AK$16:$AK$198,2*(ROWS($N$55:N73)-1)+1),"")</f>
        <v/>
      </c>
      <c r="O73" s="456" t="str">
        <f>IFERROR(INDEX('M03-S02'!$AV$16:$AV$198,2*(ROWS($O$55:O73)-1)+1),"")</f>
        <v/>
      </c>
      <c r="P73" s="459"/>
      <c r="Q73" s="184" t="str">
        <f>IFERROR(IF(ISNUMBER(INDEX('M03-S02'!$AN$16:$AN$198,2*(ROWS($R$55:R73)-1)+1)),INDEX('M03-S02'!$AX$16:$AX$198,2*(ROWS($Q$55:Q73)-1)+1),""),"")</f>
        <v/>
      </c>
      <c r="R73" s="184">
        <f>IF(ISNUMBER(INDEX('M03-S02'!$AN$16:$AN$198,2*(ROWS($R$55:R73)-1)+1)),INDEX('M03-S02'!$AN$16:$AN$198,2*(ROWS($R$55:R73)-1)+1),0)</f>
        <v>0</v>
      </c>
      <c r="S73" s="459"/>
      <c r="T73" s="113"/>
      <c r="U73" s="140"/>
      <c r="V73" s="113"/>
      <c r="W73" s="96">
        <f>IFERROR(IF(NOT(ISNUMBER(INDEX('M03-S02'!$AN$16:$AN$198,2*(ROWS($R$55:R73)-1)+1))),INDEX('M03-S02'!$BC$16:$BC$198,2*(ROWS($R$55:R73)-1)+1),""),"")</f>
        <v>0</v>
      </c>
      <c r="X73" s="113"/>
      <c r="Y73" s="113"/>
      <c r="Z73" s="111">
        <f>INDEX('M03-S02'!$B$16:$B$198,2*(ROWS($Z$55:Z73)-1)+1)</f>
        <v>19</v>
      </c>
      <c r="AA73" s="111" t="str">
        <f>INDEX('M03-S02'!$I$16:$I$199,2*(ROWS($Z$55:AA73)-1)+1)</f>
        <v/>
      </c>
      <c r="AB73" s="111">
        <f>INDEX('M03-S02'!$C$16:$C$198,2*(ROWS($Z$55:AB73)-1)+1)</f>
        <v>0</v>
      </c>
      <c r="AC73" s="96"/>
      <c r="AD73">
        <f>INDEX('M03-S02'!$X$16:$X$198,2*(ROWS($AD$55:AD73)-1)+1)</f>
        <v>0</v>
      </c>
      <c r="AE73" s="459"/>
      <c r="AF73" s="459"/>
      <c r="AG73" s="112"/>
      <c r="AH73" s="112"/>
      <c r="AI73" s="112"/>
      <c r="AJ73" s="112"/>
      <c r="AK73" s="113"/>
      <c r="AL73" s="113"/>
      <c r="AM73" s="113"/>
      <c r="AN73" s="113"/>
      <c r="AO73" s="52" t="str">
        <f>IFERROR(INDEX(PMELIGHTCON[Program Design],MATCH(AB73,PMELIGHTCON[Eff Desc 1],0)),"")</f>
        <v/>
      </c>
      <c r="AU73"/>
    </row>
    <row r="74" spans="1:47">
      <c r="A74" s="57">
        <f t="shared" si="5"/>
        <v>0</v>
      </c>
      <c r="B74" s="183" t="str">
        <f t="shared" ca="1" si="7"/>
        <v/>
      </c>
      <c r="C74" s="559" t="str">
        <f ca="1">IFERROR(IF(R74&gt;0,INDEX(PMEBONUS[Measure '#],MATCH(AB74,PMEBONUS[Eff Desc 1],0)),""),"")</f>
        <v/>
      </c>
      <c r="D74" t="s">
        <v>947</v>
      </c>
      <c r="F74" s="112"/>
      <c r="G74" s="186">
        <f>INDEX('M03-S02'!$AB$16:$AB$198,2*(ROWS($G$55:G74)-1)+1)</f>
        <v>0</v>
      </c>
      <c r="H74" s="112"/>
      <c r="I74" s="184">
        <f>ROUND(INDEX('M03-S02'!$AE$16:$AE$198,2*(ROWS($I$55:I74)-1)+1),2)</f>
        <v>0</v>
      </c>
      <c r="J74" s="184">
        <f>ROUND(INDEX('M03-S02'!$AG$16:$AG$198,2*(ROWS($J$55:J74)-1)+1),2)</f>
        <v>0</v>
      </c>
      <c r="K74" s="52">
        <f ca="1">IFERROR(ROUND(INDEX('M03-S02'!$AU$16:$AU$198,2*(ROWS($K$55:K74)-1)+1),2),0)</f>
        <v>0</v>
      </c>
      <c r="M74" s="456">
        <f ca="1">INDEX('M03-S02'!$Q$16:$Q$198,2*(ROWS($M$55:M74)-1)+1)</f>
        <v>0</v>
      </c>
      <c r="N74" s="184" t="str">
        <f ca="1">IFERROR(INDEX('M03-S02'!$AK$16:$AK$198,2*(ROWS($N$55:N74)-1)+1),"")</f>
        <v/>
      </c>
      <c r="O74" s="456" t="str">
        <f ca="1">IFERROR(INDEX('M03-S02'!$AV$16:$AV$198,2*(ROWS($O$55:O74)-1)+1),"")</f>
        <v/>
      </c>
      <c r="P74" s="184"/>
      <c r="Q74" s="184"/>
      <c r="R74" s="184">
        <f ca="1">IF(ISNUMBER(INDEX('M03-S02'!$AN$16:$AN$198,2*(ROWS($R$55:R74)-1)+1)),INDEX('M03-S02'!$AN$16:$AN$198,2*(ROWS($R$55:R74)-1)+1),0)</f>
        <v>0</v>
      </c>
      <c r="S74" s="459"/>
      <c r="T74" s="113"/>
      <c r="U74" s="140"/>
      <c r="V74" s="113"/>
      <c r="W74" s="96">
        <f ca="1">IFERROR(IF(NOT(ISNUMBER(INDEX('M03-S02'!$AN$16:$AN$198,2*(ROWS($R$55:R74)-1)+1))),INDEX('M03-S02'!$BC$16:$BC$198,2*(ROWS($R$55:R74)-1)+1),""),"")</f>
        <v>0</v>
      </c>
      <c r="X74" s="113"/>
      <c r="Y74" s="113"/>
      <c r="Z74" s="111">
        <f>INDEX('M03-S02'!$B$16:$B$198,2*(ROWS($Z$55:Z74)-1)+1)</f>
        <v>20</v>
      </c>
      <c r="AA74" s="111" t="str">
        <f ca="1">INDEX('M03-S02'!$I$16:$I$199,2*(ROWS($Z$55:AA74)-1)+1)</f>
        <v/>
      </c>
      <c r="AB74" s="111">
        <f ca="1">INDEX('M03-S02'!$C$16:$C$198,2*(ROWS($Z$55:AB74)-1)+1)</f>
        <v>0</v>
      </c>
      <c r="AC74" s="96"/>
      <c r="AD74">
        <f>INDEX('M03-S02'!$X$16:$X$198,2*(ROWS($AD$55:AD74)-1)+1)</f>
        <v>0</v>
      </c>
      <c r="AE74" s="459"/>
      <c r="AF74" s="459"/>
      <c r="AG74" s="112"/>
      <c r="AH74" s="112"/>
      <c r="AI74" s="112"/>
      <c r="AJ74" s="112"/>
      <c r="AK74" s="113"/>
      <c r="AL74" s="113"/>
      <c r="AM74" s="113"/>
      <c r="AN74" s="113"/>
      <c r="AO74" s="52" t="str">
        <f ca="1">IFERROR(INDEX(PMEBONUS[Program Design],MATCH(AB74,PMEBONUS[Eff Desc 1])),"")</f>
        <v/>
      </c>
      <c r="AU74"/>
    </row>
    <row r="75" spans="1:47">
      <c r="A75" s="57">
        <f t="shared" si="5"/>
        <v>0</v>
      </c>
      <c r="B75" s="183" t="str">
        <f t="shared" si="7"/>
        <v/>
      </c>
      <c r="C75" t="str">
        <f>IFERROR(IF(R75&gt;0,INDEX(PMELIGHTCON[Measure '#],MATCH(AB75,PMELIGHTCON[Eff Desc 1],0)),""),"")</f>
        <v/>
      </c>
      <c r="D75" t="s">
        <v>947</v>
      </c>
      <c r="F75" s="112"/>
      <c r="G75" s="186">
        <f>INDEX('M03-S02'!$AB$16:$AB$198,2*(ROWS($G$55:G75)-1)+1)</f>
        <v>0</v>
      </c>
      <c r="H75" s="186"/>
      <c r="I75" s="184">
        <f>ROUND(INDEX('M03-S02'!$AE$16:$AE$198,2*(ROWS($I$55:I75)-1)+1),2)</f>
        <v>0</v>
      </c>
      <c r="J75" s="184">
        <f>ROUND(INDEX('M03-S02'!$AG$16:$AG$198,2*(ROWS($J$55:J75)-1)+1),2)</f>
        <v>0</v>
      </c>
      <c r="K75" s="52">
        <f>IFERROR(ROUND(INDEX('M03-S02'!$AU$16:$AU$198,2*(ROWS($K$55:K75)-1)+1),2),0)</f>
        <v>0</v>
      </c>
      <c r="M75" s="456">
        <f>INDEX('M03-S02'!$Q$16:$Q$198,2*(ROWS($M$55:M75)-1)+1)</f>
        <v>0</v>
      </c>
      <c r="N75" s="184" t="str">
        <f>IFERROR(INDEX('M03-S02'!$AK$16:$AK$198,2*(ROWS($N$55:N75)-1)+1),"")</f>
        <v/>
      </c>
      <c r="O75" s="456" t="str">
        <f>IFERROR(INDEX('M03-S02'!$AV$16:$AV$198,2*(ROWS($O$55:O75)-1)+1),"")</f>
        <v/>
      </c>
      <c r="P75" s="184" t="str">
        <f>IFERROR(IF(ISNUMBER(INDEX('M03-S02'!$AN$16:$AN$198,2*(ROWS($R$55:R75)-1)+1)),INDEX('M03-S02'!$AX$16:$AX$198,2*(ROWS($P$55:P75)-1)+1),""),"")</f>
        <v/>
      </c>
      <c r="Q75" s="184"/>
      <c r="R75" s="184">
        <f>IF(ISNUMBER(INDEX('M03-S02'!$AN$16:$AN$198,2*(ROWS($R$55:R75)-1)+1)),INDEX('M03-S02'!$AN$16:$AN$198,2*(ROWS($R$55:R75)-1)+1),0)</f>
        <v>0</v>
      </c>
      <c r="S75" s="459"/>
      <c r="T75" s="113"/>
      <c r="U75" s="140"/>
      <c r="V75" s="113"/>
      <c r="W75" s="96">
        <f>IFERROR(IF(NOT(ISNUMBER(INDEX('M03-S02'!$AN$16:$AN$198,2*(ROWS($R$55:R75)-1)+1))),INDEX('M03-S02'!$BC$16:$BC$198,2*(ROWS($R$55:R75)-1)+1),""),"")</f>
        <v>0</v>
      </c>
      <c r="X75" s="113"/>
      <c r="Y75" s="113"/>
      <c r="Z75" s="111">
        <f>INDEX('M03-S02'!$B$16:$B$198,2*(ROWS($Z$55:Z75)-1)+1)</f>
        <v>21</v>
      </c>
      <c r="AA75" s="111" t="str">
        <f>INDEX('M03-S02'!$I$16:$I$199,2*(ROWS($Z$55:AA75)-1)+1)</f>
        <v/>
      </c>
      <c r="AB75" s="111">
        <f>INDEX('M03-S02'!$C$16:$C$198,2*(ROWS($Z$55:AB75)-1)+1)</f>
        <v>0</v>
      </c>
      <c r="AC75" s="96"/>
      <c r="AD75">
        <f>INDEX('M03-S02'!$X$16:$X$198,2*(ROWS($AD$55:AD75)-1)+1)</f>
        <v>0</v>
      </c>
      <c r="AE75" s="459"/>
      <c r="AF75" s="459"/>
      <c r="AG75" s="112"/>
      <c r="AH75" s="112"/>
      <c r="AI75" s="112"/>
      <c r="AJ75" s="112"/>
      <c r="AK75" s="113"/>
      <c r="AL75" s="113"/>
      <c r="AM75" s="113"/>
      <c r="AN75" s="113"/>
      <c r="AO75" s="52" t="str">
        <f>IFERROR(INDEX(PMELIGHTCON[Program Design],MATCH(AB75,PMELIGHTCON[Eff Desc 1],0)),"")</f>
        <v/>
      </c>
      <c r="AU75"/>
    </row>
    <row r="76" spans="1:47">
      <c r="A76" s="57">
        <f t="shared" si="5"/>
        <v>0</v>
      </c>
      <c r="B76" s="183" t="str">
        <f t="shared" si="7"/>
        <v/>
      </c>
      <c r="C76" t="str">
        <f>IFERROR(IF(R76&gt;0,INDEX(PMELIGHTCON[Measure '#],MATCH(AB76,PMELIGHTCON[Eff Desc 1],0)),""),"")</f>
        <v/>
      </c>
      <c r="D76" t="s">
        <v>947</v>
      </c>
      <c r="F76" s="112"/>
      <c r="G76" s="186">
        <f>INDEX('M03-S02'!$AB$16:$AB$198,2*(ROWS($G$55:G76)-1)+1)</f>
        <v>0</v>
      </c>
      <c r="H76" s="186"/>
      <c r="I76" s="184">
        <f>ROUND(INDEX('M03-S02'!$AE$16:$AE$198,2*(ROWS($I$55:I76)-1)+1),2)</f>
        <v>0</v>
      </c>
      <c r="J76" s="184">
        <f>ROUND(INDEX('M03-S02'!$AG$16:$AG$198,2*(ROWS($J$55:J76)-1)+1),2)</f>
        <v>0</v>
      </c>
      <c r="K76" s="52">
        <f>IFERROR(ROUND(INDEX('M03-S02'!$AU$16:$AU$198,2*(ROWS($K$55:K76)-1)+1),2),0)</f>
        <v>0</v>
      </c>
      <c r="M76" s="456">
        <f>INDEX('M03-S02'!$Q$16:$Q$198,2*(ROWS($M$55:M76)-1)+1)</f>
        <v>0</v>
      </c>
      <c r="N76" s="184" t="str">
        <f>IFERROR(INDEX('M03-S02'!$AK$16:$AK$198,2*(ROWS($N$55:N76)-1)+1),"")</f>
        <v/>
      </c>
      <c r="O76" s="456" t="str">
        <f>IFERROR(INDEX('M03-S02'!$AV$16:$AV$198,2*(ROWS($O$55:O76)-1)+1),"")</f>
        <v/>
      </c>
      <c r="P76" s="184" t="str">
        <f>IFERROR(IF(ISNUMBER(INDEX('M03-S02'!$AN$16:$AN$198,2*(ROWS($R$55:R76)-1)+1)),INDEX('M03-S02'!$AX$16:$AX$198,2*(ROWS($P$55:P76)-1)+1),""),"")</f>
        <v/>
      </c>
      <c r="Q76" s="184"/>
      <c r="R76" s="184">
        <f>IF(ISNUMBER(INDEX('M03-S02'!$AN$16:$AN$198,2*(ROWS($R$55:R76)-1)+1)),INDEX('M03-S02'!$AN$16:$AN$198,2*(ROWS($R$55:R76)-1)+1),0)</f>
        <v>0</v>
      </c>
      <c r="S76" s="459"/>
      <c r="T76" s="113"/>
      <c r="U76" s="140"/>
      <c r="V76" s="113"/>
      <c r="W76" s="96">
        <f>IFERROR(IF(NOT(ISNUMBER(INDEX('M03-S02'!$AN$16:$AN$198,2*(ROWS($R$55:R76)-1)+1))),INDEX('M03-S02'!$BC$16:$BC$198,2*(ROWS($R$55:R76)-1)+1),""),"")</f>
        <v>0</v>
      </c>
      <c r="X76" s="113"/>
      <c r="Y76" s="113"/>
      <c r="Z76" s="111">
        <f>INDEX('M03-S02'!$B$16:$B$198,2*(ROWS($Z$55:Z76)-1)+1)</f>
        <v>22</v>
      </c>
      <c r="AA76" s="111" t="str">
        <f>INDEX('M03-S02'!$I$16:$I$199,2*(ROWS($Z$55:AA76)-1)+1)</f>
        <v/>
      </c>
      <c r="AB76" s="111">
        <f>INDEX('M03-S02'!$C$16:$C$198,2*(ROWS($Z$55:AB76)-1)+1)</f>
        <v>0</v>
      </c>
      <c r="AC76" s="96"/>
      <c r="AD76">
        <f>INDEX('M03-S02'!$X$16:$X$198,2*(ROWS($AD$55:AD76)-1)+1)</f>
        <v>0</v>
      </c>
      <c r="AE76" s="459"/>
      <c r="AF76" s="459"/>
      <c r="AG76" s="112"/>
      <c r="AH76" s="112"/>
      <c r="AI76" s="112"/>
      <c r="AJ76" s="112"/>
      <c r="AK76" s="113"/>
      <c r="AL76" s="113"/>
      <c r="AM76" s="113"/>
      <c r="AN76" s="113"/>
      <c r="AO76" s="52" t="str">
        <f>IFERROR(INDEX(PMELIGHTCON[Program Design],MATCH(AB76,PMELIGHTCON[Eff Desc 1],0)),"")</f>
        <v/>
      </c>
      <c r="AU76"/>
    </row>
    <row r="77" spans="1:47">
      <c r="A77" s="57">
        <f t="shared" si="5"/>
        <v>0</v>
      </c>
      <c r="B77" s="183" t="str">
        <f t="shared" si="7"/>
        <v/>
      </c>
      <c r="C77" t="str">
        <f>IFERROR(IF(R77&gt;0,INDEX(PMELIGHTCON[Measure '#],MATCH(AB77,PMELIGHTCON[Eff Desc 1],0)),""),"")</f>
        <v/>
      </c>
      <c r="D77" t="s">
        <v>947</v>
      </c>
      <c r="F77" s="112"/>
      <c r="G77" s="186">
        <f>INDEX('M03-S02'!$AB$16:$AB$198,2*(ROWS($G$55:G77)-1)+1)</f>
        <v>0</v>
      </c>
      <c r="H77" s="186"/>
      <c r="I77" s="184">
        <f>ROUND(INDEX('M03-S02'!$AE$16:$AE$198,2*(ROWS($I$55:I77)-1)+1),2)</f>
        <v>0</v>
      </c>
      <c r="J77" s="184">
        <f>ROUND(INDEX('M03-S02'!$AG$16:$AG$198,2*(ROWS($J$55:J77)-1)+1),2)</f>
        <v>0</v>
      </c>
      <c r="K77" s="52">
        <f>IFERROR(ROUND(INDEX('M03-S02'!$AU$16:$AU$198,2*(ROWS($K$55:K77)-1)+1),2),0)</f>
        <v>0</v>
      </c>
      <c r="M77" s="456">
        <f>INDEX('M03-S02'!$Q$16:$Q$198,2*(ROWS($M$55:M77)-1)+1)</f>
        <v>0</v>
      </c>
      <c r="N77" s="184" t="str">
        <f>IFERROR(INDEX('M03-S02'!$AK$16:$AK$198,2*(ROWS($N$55:N77)-1)+1),"")</f>
        <v/>
      </c>
      <c r="O77" s="456" t="str">
        <f>IFERROR(INDEX('M03-S02'!$AV$16:$AV$198,2*(ROWS($O$55:O77)-1)+1),"")</f>
        <v/>
      </c>
      <c r="P77" s="184" t="str">
        <f>IFERROR(IF(ISNUMBER(INDEX('M03-S02'!$AN$16:$AN$198,2*(ROWS($R$55:R77)-1)+1)),INDEX('M03-S02'!$AX$16:$AX$198,2*(ROWS($P$55:P77)-1)+1),""),"")</f>
        <v/>
      </c>
      <c r="Q77" s="184"/>
      <c r="R77" s="184">
        <f>IF(ISNUMBER(INDEX('M03-S02'!$AN$16:$AN$198,2*(ROWS($R$55:R77)-1)+1)),INDEX('M03-S02'!$AN$16:$AN$198,2*(ROWS($R$55:R77)-1)+1),0)</f>
        <v>0</v>
      </c>
      <c r="S77" s="459"/>
      <c r="T77" s="113"/>
      <c r="U77" s="140"/>
      <c r="V77" s="113"/>
      <c r="W77" s="96">
        <f>IFERROR(IF(NOT(ISNUMBER(INDEX('M03-S02'!$AN$16:$AN$198,2*(ROWS($R$55:R77)-1)+1))),INDEX('M03-S02'!$BC$16:$BC$198,2*(ROWS($R$55:R77)-1)+1),""),"")</f>
        <v>0</v>
      </c>
      <c r="X77" s="113"/>
      <c r="Y77" s="113"/>
      <c r="Z77" s="111">
        <f>INDEX('M03-S02'!$B$16:$B$198,2*(ROWS($Z$55:Z77)-1)+1)</f>
        <v>23</v>
      </c>
      <c r="AA77" s="111" t="str">
        <f>INDEX('M03-S02'!$I$16:$I$199,2*(ROWS($Z$55:AA77)-1)+1)</f>
        <v/>
      </c>
      <c r="AB77" s="111">
        <f>INDEX('M03-S02'!$C$16:$C$198,2*(ROWS($Z$55:AB77)-1)+1)</f>
        <v>0</v>
      </c>
      <c r="AC77" s="96"/>
      <c r="AD77">
        <f>INDEX('M03-S02'!$X$16:$X$198,2*(ROWS($AD$55:AD77)-1)+1)</f>
        <v>0</v>
      </c>
      <c r="AE77" s="459"/>
      <c r="AF77" s="459"/>
      <c r="AG77" s="112"/>
      <c r="AH77" s="112"/>
      <c r="AI77" s="112"/>
      <c r="AJ77" s="112"/>
      <c r="AK77" s="113"/>
      <c r="AL77" s="113"/>
      <c r="AM77" s="113"/>
      <c r="AN77" s="113"/>
      <c r="AO77" s="52" t="str">
        <f>IFERROR(INDEX(PMELIGHTCON[Program Design],MATCH(AB77,PMELIGHTCON[Eff Desc 1],0)),"")</f>
        <v/>
      </c>
      <c r="AU77"/>
    </row>
    <row r="78" spans="1:47">
      <c r="A78" s="57">
        <f t="shared" si="5"/>
        <v>0</v>
      </c>
      <c r="B78" s="183" t="str">
        <f t="shared" si="7"/>
        <v/>
      </c>
      <c r="C78" t="str">
        <f>IFERROR(IF(R78&gt;0,INDEX(PMELIGHTCON[Measure '#],MATCH(AB78,PMELIGHTCON[Eff Desc 1],0)),""),"")</f>
        <v/>
      </c>
      <c r="D78" t="s">
        <v>947</v>
      </c>
      <c r="F78" s="112"/>
      <c r="G78" s="186">
        <f>INDEX('M03-S02'!$AB$16:$AB$198,2*(ROWS($G$55:G78)-1)+1)</f>
        <v>0</v>
      </c>
      <c r="H78" s="186"/>
      <c r="I78" s="184">
        <f>ROUND(INDEX('M03-S02'!$AE$16:$AE$198,2*(ROWS($I$55:I78)-1)+1),2)</f>
        <v>0</v>
      </c>
      <c r="J78" s="184">
        <f>ROUND(INDEX('M03-S02'!$AG$16:$AG$198,2*(ROWS($J$55:J78)-1)+1),2)</f>
        <v>0</v>
      </c>
      <c r="K78" s="52">
        <f>IFERROR(ROUND(INDEX('M03-S02'!$AU$16:$AU$198,2*(ROWS($K$55:K78)-1)+1),2),0)</f>
        <v>0</v>
      </c>
      <c r="M78" s="456">
        <f>INDEX('M03-S02'!$Q$16:$Q$198,2*(ROWS($M$55:M78)-1)+1)</f>
        <v>0</v>
      </c>
      <c r="N78" s="184" t="str">
        <f>IFERROR(INDEX('M03-S02'!$AK$16:$AK$198,2*(ROWS($N$55:N78)-1)+1),"")</f>
        <v/>
      </c>
      <c r="O78" s="456" t="str">
        <f>IFERROR(INDEX('M03-S02'!$AV$16:$AV$198,2*(ROWS($O$55:O78)-1)+1),"")</f>
        <v/>
      </c>
      <c r="P78" s="184" t="str">
        <f>IFERROR(IF(ISNUMBER(INDEX('M03-S02'!$AN$16:$AN$198,2*(ROWS($R$55:R78)-1)+1)),INDEX('M03-S02'!$AX$16:$AX$198,2*(ROWS($P$55:P78)-1)+1),""),"")</f>
        <v/>
      </c>
      <c r="Q78" s="184"/>
      <c r="R78" s="184">
        <f>IF(ISNUMBER(INDEX('M03-S02'!$AN$16:$AN$198,2*(ROWS($R$55:R78)-1)+1)),INDEX('M03-S02'!$AN$16:$AN$198,2*(ROWS($R$55:R78)-1)+1),0)</f>
        <v>0</v>
      </c>
      <c r="S78" s="459"/>
      <c r="T78" s="113"/>
      <c r="U78" s="140"/>
      <c r="V78" s="113"/>
      <c r="W78" s="96">
        <f>IFERROR(IF(NOT(ISNUMBER(INDEX('M03-S02'!$AN$16:$AN$198,2*(ROWS($R$55:R78)-1)+1))),INDEX('M03-S02'!$BC$16:$BC$198,2*(ROWS($R$55:R78)-1)+1),""),"")</f>
        <v>0</v>
      </c>
      <c r="X78" s="113"/>
      <c r="Y78" s="113"/>
      <c r="Z78" s="111">
        <f>INDEX('M03-S02'!$B$16:$B$198,2*(ROWS($Z$55:Z78)-1)+1)</f>
        <v>24</v>
      </c>
      <c r="AA78" s="111" t="str">
        <f>INDEX('M03-S02'!$I$16:$I$199,2*(ROWS($Z$55:AA78)-1)+1)</f>
        <v/>
      </c>
      <c r="AB78" s="111">
        <f>INDEX('M03-S02'!$C$16:$C$198,2*(ROWS($Z$55:AB78)-1)+1)</f>
        <v>0</v>
      </c>
      <c r="AC78" s="96"/>
      <c r="AD78">
        <f>INDEX('M03-S02'!$X$16:$X$198,2*(ROWS($AD$55:AD78)-1)+1)</f>
        <v>0</v>
      </c>
      <c r="AE78" s="459"/>
      <c r="AF78" s="459"/>
      <c r="AG78" s="112"/>
      <c r="AH78" s="112"/>
      <c r="AI78" s="112"/>
      <c r="AJ78" s="112"/>
      <c r="AK78" s="113"/>
      <c r="AL78" s="113"/>
      <c r="AM78" s="113"/>
      <c r="AN78" s="113"/>
      <c r="AO78" s="52" t="str">
        <f>IFERROR(INDEX(PMELIGHTCON[Program Design],MATCH(AB78,PMELIGHTCON[Eff Desc 1],0)),"")</f>
        <v/>
      </c>
      <c r="AU78"/>
    </row>
    <row r="79" spans="1:47">
      <c r="A79" s="57">
        <f t="shared" si="5"/>
        <v>0</v>
      </c>
      <c r="B79" s="183" t="str">
        <f t="shared" si="7"/>
        <v/>
      </c>
      <c r="C79" t="str">
        <f>IFERROR(IF(R79&gt;0,INDEX(PMELIGHTCON[Measure '#],MATCH(AB79,PMELIGHTCON[Eff Desc 1],0)),""),"")</f>
        <v/>
      </c>
      <c r="D79" t="s">
        <v>947</v>
      </c>
      <c r="F79" s="112"/>
      <c r="G79" s="186">
        <f>INDEX('M03-S02'!$AB$16:$AB$198,2*(ROWS($G$55:G79)-1)+1)</f>
        <v>0</v>
      </c>
      <c r="H79" s="186"/>
      <c r="I79" s="184">
        <f>ROUND(INDEX('M03-S02'!$AE$16:$AE$198,2*(ROWS($I$55:I79)-1)+1),2)</f>
        <v>0</v>
      </c>
      <c r="J79" s="184">
        <f>ROUND(INDEX('M03-S02'!$AG$16:$AG$198,2*(ROWS($J$55:J79)-1)+1),2)</f>
        <v>0</v>
      </c>
      <c r="K79" s="52">
        <f>IFERROR(ROUND(INDEX('M03-S02'!$AU$16:$AU$198,2*(ROWS($K$55:K79)-1)+1),2),0)</f>
        <v>0</v>
      </c>
      <c r="M79" s="456">
        <f>INDEX('M03-S02'!$Q$16:$Q$198,2*(ROWS($M$55:M79)-1)+1)</f>
        <v>0</v>
      </c>
      <c r="N79" s="184" t="str">
        <f>IFERROR(INDEX('M03-S02'!$AK$16:$AK$198,2*(ROWS($N$55:N79)-1)+1),"")</f>
        <v/>
      </c>
      <c r="O79" s="456" t="str">
        <f>IFERROR(INDEX('M03-S02'!$AV$16:$AV$198,2*(ROWS($O$55:O79)-1)+1),"")</f>
        <v/>
      </c>
      <c r="P79" s="184" t="str">
        <f>IFERROR(IF(ISNUMBER(INDEX('M03-S02'!$AN$16:$AN$198,2*(ROWS($R$55:R79)-1)+1)),INDEX('M03-S02'!$AX$16:$AX$198,2*(ROWS($P$55:P79)-1)+1),""),"")</f>
        <v/>
      </c>
      <c r="Q79" s="184"/>
      <c r="R79" s="184">
        <f>IF(ISNUMBER(INDEX('M03-S02'!$AN$16:$AN$198,2*(ROWS($R$55:R79)-1)+1)),INDEX('M03-S02'!$AN$16:$AN$198,2*(ROWS($R$55:R79)-1)+1),0)</f>
        <v>0</v>
      </c>
      <c r="S79" s="459"/>
      <c r="T79" s="113"/>
      <c r="U79" s="140"/>
      <c r="V79" s="113"/>
      <c r="W79" s="96">
        <f>IFERROR(IF(NOT(ISNUMBER(INDEX('M03-S02'!$AN$16:$AN$198,2*(ROWS($R$55:R79)-1)+1))),INDEX('M03-S02'!$BC$16:$BC$198,2*(ROWS($R$55:R79)-1)+1),""),"")</f>
        <v>0</v>
      </c>
      <c r="X79" s="113"/>
      <c r="Y79" s="113"/>
      <c r="Z79" s="111">
        <f>INDEX('M03-S02'!$B$16:$B$198,2*(ROWS($Z$55:Z79)-1)+1)</f>
        <v>25</v>
      </c>
      <c r="AA79" s="111" t="str">
        <f>INDEX('M03-S02'!$I$16:$I$199,2*(ROWS($Z$55:AA79)-1)+1)</f>
        <v/>
      </c>
      <c r="AB79" s="111">
        <f>INDEX('M03-S02'!$C$16:$C$198,2*(ROWS($Z$55:AB79)-1)+1)</f>
        <v>0</v>
      </c>
      <c r="AC79" s="96"/>
      <c r="AD79">
        <f>INDEX('M03-S02'!$X$16:$X$198,2*(ROWS($AD$55:AD79)-1)+1)</f>
        <v>0</v>
      </c>
      <c r="AE79" s="459"/>
      <c r="AF79" s="459"/>
      <c r="AG79" s="112"/>
      <c r="AH79" s="112"/>
      <c r="AI79" s="112"/>
      <c r="AJ79" s="112"/>
      <c r="AK79" s="113"/>
      <c r="AL79" s="113"/>
      <c r="AM79" s="113"/>
      <c r="AN79" s="113"/>
      <c r="AO79" s="52" t="str">
        <f>IFERROR(INDEX(PMELIGHTCON[Program Design],MATCH(AB79,PMELIGHTCON[Eff Desc 1],0)),"")</f>
        <v/>
      </c>
      <c r="AU79"/>
    </row>
    <row r="80" spans="1:47">
      <c r="A80" s="57">
        <f t="shared" si="5"/>
        <v>0</v>
      </c>
      <c r="B80" s="183" t="str">
        <f t="shared" si="7"/>
        <v/>
      </c>
      <c r="C80" t="str">
        <f>IFERROR(IF(R80&gt;0,INDEX(PMELIGHTCON[Measure '#],MATCH(AB80,PMELIGHTCON[Eff Desc 1],0)),""),"")</f>
        <v/>
      </c>
      <c r="D80" t="s">
        <v>947</v>
      </c>
      <c r="F80" s="112"/>
      <c r="G80" s="186">
        <f>INDEX('M03-S02'!$AB$16:$AB$198,2*(ROWS($G$55:G80)-1)+1)</f>
        <v>0</v>
      </c>
      <c r="H80" s="186"/>
      <c r="I80" s="184">
        <f>ROUND(INDEX('M03-S02'!$AE$16:$AE$198,2*(ROWS($I$55:I80)-1)+1),2)</f>
        <v>0</v>
      </c>
      <c r="J80" s="184">
        <f>ROUND(INDEX('M03-S02'!$AG$16:$AG$198,2*(ROWS($J$55:J80)-1)+1),2)</f>
        <v>0</v>
      </c>
      <c r="K80" s="52">
        <f>IFERROR(ROUND(INDEX('M03-S02'!$AU$16:$AU$198,2*(ROWS($K$55:K80)-1)+1),2),0)</f>
        <v>0</v>
      </c>
      <c r="M80" s="456">
        <f>INDEX('M03-S02'!$Q$16:$Q$198,2*(ROWS($M$55:M80)-1)+1)</f>
        <v>0</v>
      </c>
      <c r="N80" s="184" t="str">
        <f>IFERROR(INDEX('M03-S02'!$AK$16:$AK$198,2*(ROWS($N$55:N80)-1)+1),"")</f>
        <v/>
      </c>
      <c r="O80" s="456" t="str">
        <f>IFERROR(INDEX('M03-S02'!$AV$16:$AV$198,2*(ROWS($O$55:O80)-1)+1),"")</f>
        <v/>
      </c>
      <c r="P80" s="184" t="str">
        <f>IFERROR(IF(ISNUMBER(INDEX('M03-S02'!$AN$16:$AN$198,2*(ROWS($R$55:R80)-1)+1)),INDEX('M03-S02'!$AX$16:$AX$198,2*(ROWS($P$55:P80)-1)+1),""),"")</f>
        <v/>
      </c>
      <c r="Q80" s="184"/>
      <c r="R80" s="184">
        <f>IF(ISNUMBER(INDEX('M03-S02'!$AN$16:$AN$198,2*(ROWS($R$55:R80)-1)+1)),INDEX('M03-S02'!$AN$16:$AN$198,2*(ROWS($R$55:R80)-1)+1),0)</f>
        <v>0</v>
      </c>
      <c r="S80" s="459"/>
      <c r="T80" s="113"/>
      <c r="U80" s="140"/>
      <c r="V80" s="113"/>
      <c r="W80" s="96">
        <f>IFERROR(IF(NOT(ISNUMBER(INDEX('M03-S02'!$AN$16:$AN$198,2*(ROWS($R$55:R80)-1)+1))),INDEX('M03-S02'!$BC$16:$BC$198,2*(ROWS($R$55:R80)-1)+1),""),"")</f>
        <v>0</v>
      </c>
      <c r="X80" s="113"/>
      <c r="Y80" s="113"/>
      <c r="Z80" s="111">
        <f>INDEX('M03-S02'!$B$16:$B$198,2*(ROWS($Z$55:Z80)-1)+1)</f>
        <v>26</v>
      </c>
      <c r="AA80" s="111" t="str">
        <f>INDEX('M03-S02'!$I$16:$I$199,2*(ROWS($Z$55:AA80)-1)+1)</f>
        <v/>
      </c>
      <c r="AB80" s="111">
        <f>INDEX('M03-S02'!$C$16:$C$198,2*(ROWS($Z$55:AB80)-1)+1)</f>
        <v>0</v>
      </c>
      <c r="AC80" s="96"/>
      <c r="AD80">
        <f>INDEX('M03-S02'!$X$16:$X$198,2*(ROWS($AD$55:AD80)-1)+1)</f>
        <v>0</v>
      </c>
      <c r="AE80" s="459"/>
      <c r="AF80" s="459"/>
      <c r="AG80" s="112"/>
      <c r="AH80" s="112"/>
      <c r="AI80" s="112"/>
      <c r="AJ80" s="112"/>
      <c r="AK80" s="113"/>
      <c r="AL80" s="113"/>
      <c r="AM80" s="113"/>
      <c r="AN80" s="113"/>
      <c r="AO80" s="52" t="str">
        <f>IFERROR(INDEX(PMELIGHTCON[Program Design],MATCH(AB80,PMELIGHTCON[Eff Desc 1],0)),"")</f>
        <v/>
      </c>
      <c r="AU80"/>
    </row>
    <row r="81" spans="1:47">
      <c r="A81" s="57">
        <f t="shared" si="5"/>
        <v>0</v>
      </c>
      <c r="B81" s="183" t="str">
        <f t="shared" si="7"/>
        <v/>
      </c>
      <c r="C81" t="str">
        <f>IFERROR(IF(R81&gt;0,INDEX(PMELIGHTCON[Measure '#],MATCH(AB81,PMELIGHTCON[Eff Desc 1],0)),""),"")</f>
        <v/>
      </c>
      <c r="D81" t="s">
        <v>947</v>
      </c>
      <c r="F81" s="112"/>
      <c r="G81" s="186">
        <f>INDEX('M03-S02'!$AB$16:$AB$198,2*(ROWS($G$55:G81)-1)+1)</f>
        <v>0</v>
      </c>
      <c r="H81" s="186"/>
      <c r="I81" s="184">
        <f>ROUND(INDEX('M03-S02'!$AE$16:$AE$198,2*(ROWS($I$55:I81)-1)+1),2)</f>
        <v>0</v>
      </c>
      <c r="J81" s="184">
        <f>ROUND(INDEX('M03-S02'!$AG$16:$AG$198,2*(ROWS($J$55:J81)-1)+1),2)</f>
        <v>0</v>
      </c>
      <c r="K81" s="52">
        <f>IFERROR(ROUND(INDEX('M03-S02'!$AU$16:$AU$198,2*(ROWS($K$55:K81)-1)+1),2),0)</f>
        <v>0</v>
      </c>
      <c r="M81" s="456">
        <f>INDEX('M03-S02'!$Q$16:$Q$198,2*(ROWS($M$55:M81)-1)+1)</f>
        <v>0</v>
      </c>
      <c r="N81" s="184" t="str">
        <f>IFERROR(INDEX('M03-S02'!$AK$16:$AK$198,2*(ROWS($N$55:N81)-1)+1),"")</f>
        <v/>
      </c>
      <c r="O81" s="456" t="str">
        <f>IFERROR(INDEX('M03-S02'!$AV$16:$AV$198,2*(ROWS($O$55:O81)-1)+1),"")</f>
        <v/>
      </c>
      <c r="P81" s="184" t="str">
        <f>IFERROR(IF(ISNUMBER(INDEX('M03-S02'!$AN$16:$AN$198,2*(ROWS($R$55:R81)-1)+1)),INDEX('M03-S02'!$AX$16:$AX$198,2*(ROWS($P$55:P81)-1)+1),""),"")</f>
        <v/>
      </c>
      <c r="Q81" s="184"/>
      <c r="R81" s="184">
        <f>IF(ISNUMBER(INDEX('M03-S02'!$AN$16:$AN$198,2*(ROWS($R$55:R81)-1)+1)),INDEX('M03-S02'!$AN$16:$AN$198,2*(ROWS($R$55:R81)-1)+1),0)</f>
        <v>0</v>
      </c>
      <c r="S81" s="459"/>
      <c r="T81" s="113"/>
      <c r="U81" s="140"/>
      <c r="V81" s="113"/>
      <c r="W81" s="96">
        <f>IFERROR(IF(NOT(ISNUMBER(INDEX('M03-S02'!$AN$16:$AN$198,2*(ROWS($R$55:R81)-1)+1))),INDEX('M03-S02'!$BC$16:$BC$198,2*(ROWS($R$55:R81)-1)+1),""),"")</f>
        <v>0</v>
      </c>
      <c r="X81" s="113"/>
      <c r="Y81" s="113"/>
      <c r="Z81" s="111">
        <f>INDEX('M03-S02'!$B$16:$B$198,2*(ROWS($Z$55:Z81)-1)+1)</f>
        <v>27</v>
      </c>
      <c r="AA81" s="111" t="str">
        <f>INDEX('M03-S02'!$I$16:$I$199,2*(ROWS($Z$55:AA81)-1)+1)</f>
        <v/>
      </c>
      <c r="AB81" s="111">
        <f>INDEX('M03-S02'!$C$16:$C$198,2*(ROWS($Z$55:AB81)-1)+1)</f>
        <v>0</v>
      </c>
      <c r="AC81" s="96"/>
      <c r="AD81">
        <f>INDEX('M03-S02'!$X$16:$X$198,2*(ROWS($AD$55:AD81)-1)+1)</f>
        <v>0</v>
      </c>
      <c r="AE81" s="459"/>
      <c r="AF81" s="459"/>
      <c r="AG81" s="112"/>
      <c r="AH81" s="112"/>
      <c r="AI81" s="112"/>
      <c r="AJ81" s="112"/>
      <c r="AK81" s="113"/>
      <c r="AL81" s="113"/>
      <c r="AM81" s="113"/>
      <c r="AN81" s="113"/>
      <c r="AO81" s="52" t="str">
        <f>IFERROR(INDEX(PMELIGHTCON[Program Design],MATCH(AB81,PMELIGHTCON[Eff Desc 1],0)),"")</f>
        <v/>
      </c>
      <c r="AU81"/>
    </row>
    <row r="82" spans="1:47">
      <c r="A82" s="57">
        <f t="shared" si="5"/>
        <v>0</v>
      </c>
      <c r="B82" s="183" t="str">
        <f t="shared" si="7"/>
        <v/>
      </c>
      <c r="C82" t="str">
        <f>IFERROR(IF(R82&gt;0,INDEX(PMELIGHTCON[Measure '#],MATCH(AB82,PMELIGHTCON[Eff Desc 1],0)),""),"")</f>
        <v/>
      </c>
      <c r="D82" t="s">
        <v>947</v>
      </c>
      <c r="F82" s="112"/>
      <c r="G82" s="186">
        <f>INDEX('M03-S02'!$AB$16:$AB$198,2*(ROWS($G$55:G82)-1)+1)</f>
        <v>0</v>
      </c>
      <c r="H82" s="186"/>
      <c r="I82" s="184">
        <f>ROUND(INDEX('M03-S02'!$AE$16:$AE$198,2*(ROWS($I$55:I82)-1)+1),2)</f>
        <v>0</v>
      </c>
      <c r="J82" s="184">
        <f>ROUND(INDEX('M03-S02'!$AG$16:$AG$198,2*(ROWS($J$55:J82)-1)+1),2)</f>
        <v>0</v>
      </c>
      <c r="K82" s="52">
        <f>IFERROR(ROUND(INDEX('M03-S02'!$AU$16:$AU$198,2*(ROWS($K$55:K82)-1)+1),2),0)</f>
        <v>0</v>
      </c>
      <c r="M82" s="456">
        <f>INDEX('M03-S02'!$Q$16:$Q$198,2*(ROWS($M$55:M82)-1)+1)</f>
        <v>0</v>
      </c>
      <c r="N82" s="184" t="str">
        <f>IFERROR(INDEX('M03-S02'!$AK$16:$AK$198,2*(ROWS($N$55:N82)-1)+1),"")</f>
        <v/>
      </c>
      <c r="O82" s="456" t="str">
        <f>IFERROR(INDEX('M03-S02'!$AV$16:$AV$198,2*(ROWS($O$55:O82)-1)+1),"")</f>
        <v/>
      </c>
      <c r="P82" s="184" t="str">
        <f>IFERROR(IF(ISNUMBER(INDEX('M03-S02'!$AN$16:$AN$198,2*(ROWS($R$55:R82)-1)+1)),INDEX('M03-S02'!$AX$16:$AX$198,2*(ROWS($P$55:P82)-1)+1),""),"")</f>
        <v/>
      </c>
      <c r="Q82" s="184"/>
      <c r="R82" s="184">
        <f>IF(ISNUMBER(INDEX('M03-S02'!$AN$16:$AN$198,2*(ROWS($R$55:R82)-1)+1)),INDEX('M03-S02'!$AN$16:$AN$198,2*(ROWS($R$55:R82)-1)+1),0)</f>
        <v>0</v>
      </c>
      <c r="S82" s="459"/>
      <c r="T82" s="113"/>
      <c r="U82" s="140"/>
      <c r="V82" s="113"/>
      <c r="W82" s="96">
        <f>IFERROR(IF(NOT(ISNUMBER(INDEX('M03-S02'!$AN$16:$AN$198,2*(ROWS($R$55:R82)-1)+1))),INDEX('M03-S02'!$BC$16:$BC$198,2*(ROWS($R$55:R82)-1)+1),""),"")</f>
        <v>0</v>
      </c>
      <c r="X82" s="113"/>
      <c r="Y82" s="113"/>
      <c r="Z82" s="111">
        <f>INDEX('M03-S02'!$B$16:$B$198,2*(ROWS($Z$55:Z82)-1)+1)</f>
        <v>28</v>
      </c>
      <c r="AA82" s="111" t="str">
        <f>INDEX('M03-S02'!$I$16:$I$199,2*(ROWS($Z$55:AA82)-1)+1)</f>
        <v/>
      </c>
      <c r="AB82" s="111">
        <f>INDEX('M03-S02'!$C$16:$C$198,2*(ROWS($Z$55:AB82)-1)+1)</f>
        <v>0</v>
      </c>
      <c r="AC82" s="96"/>
      <c r="AD82">
        <f>INDEX('M03-S02'!$X$16:$X$198,2*(ROWS($AD$55:AD82)-1)+1)</f>
        <v>0</v>
      </c>
      <c r="AE82" s="459"/>
      <c r="AF82" s="459"/>
      <c r="AG82" s="112"/>
      <c r="AH82" s="112"/>
      <c r="AI82" s="112"/>
      <c r="AJ82" s="112"/>
      <c r="AK82" s="113"/>
      <c r="AL82" s="113"/>
      <c r="AM82" s="113"/>
      <c r="AN82" s="113"/>
      <c r="AO82" s="52" t="str">
        <f>IFERROR(INDEX(PMELIGHTCON[Program Design],MATCH(AB82,PMELIGHTCON[Eff Desc 1],0)),"")</f>
        <v/>
      </c>
      <c r="AU82"/>
    </row>
    <row r="83" spans="1:47">
      <c r="A83" s="57">
        <f t="shared" si="5"/>
        <v>0</v>
      </c>
      <c r="B83" s="183" t="str">
        <f t="shared" si="7"/>
        <v/>
      </c>
      <c r="C83" t="str">
        <f>IFERROR(IF(R83&gt;0,INDEX(PMELIGHTCON[Measure '#],MATCH(AB83,PMELIGHTCON[Eff Desc 1],0)),""),"")</f>
        <v/>
      </c>
      <c r="D83" t="s">
        <v>947</v>
      </c>
      <c r="F83" s="112"/>
      <c r="G83" s="186">
        <f>INDEX('M03-S02'!$AB$16:$AB$198,2*(ROWS($G$55:G83)-1)+1)</f>
        <v>0</v>
      </c>
      <c r="H83" s="186"/>
      <c r="I83" s="184">
        <f>ROUND(INDEX('M03-S02'!$AE$16:$AE$198,2*(ROWS($I$55:I83)-1)+1),2)</f>
        <v>0</v>
      </c>
      <c r="J83" s="184">
        <f>ROUND(INDEX('M03-S02'!$AG$16:$AG$198,2*(ROWS($J$55:J83)-1)+1),2)</f>
        <v>0</v>
      </c>
      <c r="K83" s="52">
        <f>IFERROR(ROUND(INDEX('M03-S02'!$AU$16:$AU$198,2*(ROWS($K$55:K83)-1)+1),2),0)</f>
        <v>0</v>
      </c>
      <c r="M83" s="456">
        <f>INDEX('M03-S02'!$Q$16:$Q$198,2*(ROWS($M$55:M83)-1)+1)</f>
        <v>0</v>
      </c>
      <c r="N83" s="184" t="str">
        <f>IFERROR(INDEX('M03-S02'!$AK$16:$AK$198,2*(ROWS($N$55:N83)-1)+1),"")</f>
        <v/>
      </c>
      <c r="O83" s="456" t="str">
        <f>IFERROR(INDEX('M03-S02'!$AV$16:$AV$198,2*(ROWS($O$55:O83)-1)+1),"")</f>
        <v/>
      </c>
      <c r="P83" s="184" t="str">
        <f>IFERROR(IF(ISNUMBER(INDEX('M03-S02'!$AN$16:$AN$198,2*(ROWS($R$55:R83)-1)+1)),INDEX('M03-S02'!$AX$16:$AX$198,2*(ROWS($P$55:P83)-1)+1),""),"")</f>
        <v/>
      </c>
      <c r="Q83" s="184"/>
      <c r="R83" s="184">
        <f>IF(ISNUMBER(INDEX('M03-S02'!$AN$16:$AN$198,2*(ROWS($R$55:R83)-1)+1)),INDEX('M03-S02'!$AN$16:$AN$198,2*(ROWS($R$55:R83)-1)+1),0)</f>
        <v>0</v>
      </c>
      <c r="S83" s="459"/>
      <c r="T83" s="113"/>
      <c r="U83" s="140"/>
      <c r="V83" s="113"/>
      <c r="W83" s="96">
        <f>IFERROR(IF(NOT(ISNUMBER(INDEX('M03-S02'!$AN$16:$AN$198,2*(ROWS($R$55:R83)-1)+1))),INDEX('M03-S02'!$BC$16:$BC$198,2*(ROWS($R$55:R83)-1)+1),""),"")</f>
        <v>0</v>
      </c>
      <c r="X83" s="113"/>
      <c r="Y83" s="113"/>
      <c r="Z83" s="111">
        <f>INDEX('M03-S02'!$B$16:$B$198,2*(ROWS($Z$55:Z83)-1)+1)</f>
        <v>29</v>
      </c>
      <c r="AA83" s="111" t="str">
        <f>INDEX('M03-S02'!$I$16:$I$199,2*(ROWS($Z$55:AA83)-1)+1)</f>
        <v/>
      </c>
      <c r="AB83" s="111">
        <f>INDEX('M03-S02'!$C$16:$C$198,2*(ROWS($Z$55:AB83)-1)+1)</f>
        <v>0</v>
      </c>
      <c r="AC83" s="96"/>
      <c r="AD83">
        <f>INDEX('M03-S02'!$X$16:$X$198,2*(ROWS($AD$55:AD83)-1)+1)</f>
        <v>0</v>
      </c>
      <c r="AE83" s="459"/>
      <c r="AF83" s="459"/>
      <c r="AG83" s="112"/>
      <c r="AH83" s="112"/>
      <c r="AI83" s="112"/>
      <c r="AJ83" s="112"/>
      <c r="AK83" s="113"/>
      <c r="AL83" s="113"/>
      <c r="AM83" s="113"/>
      <c r="AN83" s="113"/>
      <c r="AO83" s="52" t="str">
        <f>IFERROR(INDEX(PMELIGHTCON[Program Design],MATCH(AB83,PMELIGHTCON[Eff Desc 1],0)),"")</f>
        <v/>
      </c>
      <c r="AU83"/>
    </row>
    <row r="84" spans="1:47">
      <c r="A84" s="57">
        <f t="shared" si="5"/>
        <v>0</v>
      </c>
      <c r="B84" s="183" t="str">
        <f t="shared" si="7"/>
        <v/>
      </c>
      <c r="C84" t="str">
        <f>IFERROR(IF(R84&gt;0,INDEX(PMELIGHTCON[Measure '#],MATCH(AB84,PMELIGHTCON[Eff Desc 1],0)),""),"")</f>
        <v/>
      </c>
      <c r="D84" t="s">
        <v>947</v>
      </c>
      <c r="F84" s="112"/>
      <c r="G84" s="186">
        <f>INDEX('M03-S02'!$AB$16:$AB$198,2*(ROWS($G$55:G84)-1)+1)</f>
        <v>0</v>
      </c>
      <c r="H84" s="186"/>
      <c r="I84" s="184">
        <f>ROUND(INDEX('M03-S02'!$AE$16:$AE$198,2*(ROWS($I$55:I84)-1)+1),2)</f>
        <v>0</v>
      </c>
      <c r="J84" s="184">
        <f>ROUND(INDEX('M03-S02'!$AG$16:$AG$198,2*(ROWS($J$55:J84)-1)+1),2)</f>
        <v>0</v>
      </c>
      <c r="K84" s="52">
        <f>IFERROR(ROUND(INDEX('M03-S02'!$AU$16:$AU$198,2*(ROWS($K$55:K84)-1)+1),2),0)</f>
        <v>0</v>
      </c>
      <c r="M84" s="456">
        <f>INDEX('M03-S02'!$Q$16:$Q$198,2*(ROWS($M$55:M84)-1)+1)</f>
        <v>0</v>
      </c>
      <c r="N84" s="184" t="str">
        <f>IFERROR(INDEX('M03-S02'!$AK$16:$AK$198,2*(ROWS($N$55:N84)-1)+1),"")</f>
        <v/>
      </c>
      <c r="O84" s="456" t="str">
        <f>IFERROR(INDEX('M03-S02'!$AV$16:$AV$198,2*(ROWS($O$55:O84)-1)+1),"")</f>
        <v/>
      </c>
      <c r="P84" s="184" t="str">
        <f>IFERROR(IF(ISNUMBER(INDEX('M03-S02'!$AN$16:$AN$198,2*(ROWS($R$55:R84)-1)+1)),INDEX('M03-S02'!$AX$16:$AX$198,2*(ROWS($P$55:P84)-1)+1),""),"")</f>
        <v/>
      </c>
      <c r="Q84" s="184"/>
      <c r="R84" s="184">
        <f>IF(ISNUMBER(INDEX('M03-S02'!$AN$16:$AN$198,2*(ROWS($R$55:R84)-1)+1)),INDEX('M03-S02'!$AN$16:$AN$198,2*(ROWS($R$55:R84)-1)+1),0)</f>
        <v>0</v>
      </c>
      <c r="S84" s="459"/>
      <c r="T84" s="113"/>
      <c r="U84" s="140"/>
      <c r="V84" s="113"/>
      <c r="W84" s="96">
        <f>IFERROR(IF(NOT(ISNUMBER(INDEX('M03-S02'!$AN$16:$AN$198,2*(ROWS($R$55:R84)-1)+1))),INDEX('M03-S02'!$BC$16:$BC$198,2*(ROWS($R$55:R84)-1)+1),""),"")</f>
        <v>0</v>
      </c>
      <c r="X84" s="113"/>
      <c r="Y84" s="113"/>
      <c r="Z84" s="111">
        <f>INDEX('M03-S02'!$B$16:$B$198,2*(ROWS($Z$55:Z84)-1)+1)</f>
        <v>30</v>
      </c>
      <c r="AA84" s="111" t="str">
        <f>INDEX('M03-S02'!$I$16:$I$199,2*(ROWS($Z$55:AA84)-1)+1)</f>
        <v/>
      </c>
      <c r="AB84" s="111">
        <f>INDEX('M03-S02'!$C$16:$C$198,2*(ROWS($Z$55:AB84)-1)+1)</f>
        <v>0</v>
      </c>
      <c r="AC84" s="96"/>
      <c r="AD84">
        <f>INDEX('M03-S02'!$X$16:$X$198,2*(ROWS($AD$55:AD84)-1)+1)</f>
        <v>0</v>
      </c>
      <c r="AE84" s="459"/>
      <c r="AF84" s="459"/>
      <c r="AG84" s="112"/>
      <c r="AH84" s="112"/>
      <c r="AI84" s="112"/>
      <c r="AJ84" s="112"/>
      <c r="AK84" s="113"/>
      <c r="AL84" s="113"/>
      <c r="AM84" s="113"/>
      <c r="AN84" s="113"/>
      <c r="AO84" s="52" t="str">
        <f>IFERROR(INDEX(PMELIGHTCON[Program Design],MATCH(AB84,PMELIGHTCON[Eff Desc 1],0)),"")</f>
        <v/>
      </c>
      <c r="AU84"/>
    </row>
    <row r="85" spans="1:47">
      <c r="A85" s="57">
        <f t="shared" si="5"/>
        <v>0</v>
      </c>
      <c r="B85" s="183" t="str">
        <f t="shared" si="7"/>
        <v/>
      </c>
      <c r="C85" t="str">
        <f>IFERROR(IF(R85&gt;0,INDEX(PMELIGHTCON[Measure '#],MATCH(AB85,PMELIGHTCON[Eff Desc 1],0)),""),"")</f>
        <v/>
      </c>
      <c r="D85" t="s">
        <v>947</v>
      </c>
      <c r="F85" s="112"/>
      <c r="G85" s="186">
        <f>INDEX('M03-S02'!$AB$16:$AB$198,2*(ROWS($G$55:G85)-1)+1)</f>
        <v>0</v>
      </c>
      <c r="H85" s="186"/>
      <c r="I85" s="184">
        <f>ROUND(INDEX('M03-S02'!$AE$16:$AE$198,2*(ROWS($I$55:I85)-1)+1),2)</f>
        <v>0</v>
      </c>
      <c r="J85" s="184">
        <f>ROUND(INDEX('M03-S02'!$AG$16:$AG$198,2*(ROWS($J$55:J85)-1)+1),2)</f>
        <v>0</v>
      </c>
      <c r="K85" s="52">
        <f>IFERROR(ROUND(INDEX('M03-S02'!$AU$16:$AU$198,2*(ROWS($K$55:K85)-1)+1),2),0)</f>
        <v>0</v>
      </c>
      <c r="M85" s="456">
        <f>INDEX('M03-S02'!$Q$16:$Q$198,2*(ROWS($M$55:M85)-1)+1)</f>
        <v>0</v>
      </c>
      <c r="N85" s="184" t="str">
        <f>IFERROR(INDEX('M03-S02'!$AK$16:$AK$198,2*(ROWS($N$55:N85)-1)+1),"")</f>
        <v/>
      </c>
      <c r="O85" s="456" t="str">
        <f>IFERROR(INDEX('M03-S02'!$AV$16:$AV$198,2*(ROWS($O$55:O85)-1)+1),"")</f>
        <v/>
      </c>
      <c r="P85" s="184" t="str">
        <f>IFERROR(IF(ISNUMBER(INDEX('M03-S02'!$AN$16:$AN$198,2*(ROWS($R$55:R85)-1)+1)),INDEX('M03-S02'!$AX$16:$AX$198,2*(ROWS($P$55:P85)-1)+1),""),"")</f>
        <v/>
      </c>
      <c r="Q85" s="184"/>
      <c r="R85" s="184">
        <f>IF(ISNUMBER(INDEX('M03-S02'!$AN$16:$AN$198,2*(ROWS($R$55:R85)-1)+1)),INDEX('M03-S02'!$AN$16:$AN$198,2*(ROWS($R$55:R85)-1)+1),0)</f>
        <v>0</v>
      </c>
      <c r="S85" s="459"/>
      <c r="T85" s="113"/>
      <c r="U85" s="140"/>
      <c r="V85" s="113"/>
      <c r="W85" s="96">
        <f>IFERROR(IF(NOT(ISNUMBER(INDEX('M03-S02'!$AN$16:$AN$198,2*(ROWS($R$55:R85)-1)+1))),INDEX('M03-S02'!$BC$16:$BC$198,2*(ROWS($R$55:R85)-1)+1),""),"")</f>
        <v>0</v>
      </c>
      <c r="X85" s="113"/>
      <c r="Y85" s="113"/>
      <c r="Z85" s="111">
        <f>INDEX('M03-S02'!$B$16:$B$198,2*(ROWS($Z$55:Z85)-1)+1)</f>
        <v>31</v>
      </c>
      <c r="AA85" s="111" t="str">
        <f>INDEX('M03-S02'!$I$16:$I$199,2*(ROWS($Z$55:AA85)-1)+1)</f>
        <v/>
      </c>
      <c r="AB85" s="111">
        <f>INDEX('M03-S02'!$C$16:$C$198,2*(ROWS($Z$55:AB85)-1)+1)</f>
        <v>0</v>
      </c>
      <c r="AC85" s="96"/>
      <c r="AD85">
        <f>INDEX('M03-S02'!$X$16:$X$198,2*(ROWS($AD$55:AD85)-1)+1)</f>
        <v>0</v>
      </c>
      <c r="AE85" s="459"/>
      <c r="AF85" s="459"/>
      <c r="AG85" s="112"/>
      <c r="AH85" s="112"/>
      <c r="AI85" s="112"/>
      <c r="AJ85" s="112"/>
      <c r="AK85" s="113"/>
      <c r="AL85" s="113"/>
      <c r="AM85" s="113"/>
      <c r="AN85" s="113"/>
      <c r="AO85" s="52" t="str">
        <f>IFERROR(INDEX(PMELIGHTCON[Program Design],MATCH(AB85,PMELIGHTCON[Eff Desc 1],0)),"")</f>
        <v/>
      </c>
      <c r="AU85"/>
    </row>
    <row r="86" spans="1:47">
      <c r="A86" s="57">
        <f t="shared" si="5"/>
        <v>0</v>
      </c>
      <c r="B86" s="183" t="str">
        <f t="shared" si="7"/>
        <v/>
      </c>
      <c r="C86" t="str">
        <f>IFERROR(IF(R86&gt;0,INDEX(PMELIGHTCON[Measure '#],MATCH(AB86,PMELIGHTCON[Eff Desc 1],0)),""),"")</f>
        <v/>
      </c>
      <c r="D86" t="s">
        <v>947</v>
      </c>
      <c r="F86" s="112"/>
      <c r="G86" s="186">
        <f>INDEX('M03-S02'!$AB$16:$AB$198,2*(ROWS($G$55:G86)-1)+1)</f>
        <v>0</v>
      </c>
      <c r="H86" s="186"/>
      <c r="I86" s="184">
        <f>ROUND(INDEX('M03-S02'!$AE$16:$AE$198,2*(ROWS($I$55:I86)-1)+1),2)</f>
        <v>0</v>
      </c>
      <c r="J86" s="184">
        <f>ROUND(INDEX('M03-S02'!$AG$16:$AG$198,2*(ROWS($J$55:J86)-1)+1),2)</f>
        <v>0</v>
      </c>
      <c r="K86" s="52">
        <f>IFERROR(ROUND(INDEX('M03-S02'!$AU$16:$AU$198,2*(ROWS($K$55:K86)-1)+1),2),0)</f>
        <v>0</v>
      </c>
      <c r="M86" s="456">
        <f>INDEX('M03-S02'!$Q$16:$Q$198,2*(ROWS($M$55:M86)-1)+1)</f>
        <v>0</v>
      </c>
      <c r="N86" s="184" t="str">
        <f>IFERROR(INDEX('M03-S02'!$AK$16:$AK$198,2*(ROWS($N$55:N86)-1)+1),"")</f>
        <v/>
      </c>
      <c r="O86" s="456" t="str">
        <f>IFERROR(INDEX('M03-S02'!$AV$16:$AV$198,2*(ROWS($O$55:O86)-1)+1),"")</f>
        <v/>
      </c>
      <c r="P86" s="184" t="str">
        <f>IFERROR(IF(ISNUMBER(INDEX('M03-S02'!$AN$16:$AN$198,2*(ROWS($R$55:R86)-1)+1)),INDEX('M03-S02'!$AX$16:$AX$198,2*(ROWS($P$55:P86)-1)+1),""),"")</f>
        <v/>
      </c>
      <c r="Q86" s="184"/>
      <c r="R86" s="184">
        <f>IF(ISNUMBER(INDEX('M03-S02'!$AN$16:$AN$198,2*(ROWS($R$55:R86)-1)+1)),INDEX('M03-S02'!$AN$16:$AN$198,2*(ROWS($R$55:R86)-1)+1),0)</f>
        <v>0</v>
      </c>
      <c r="S86" s="459"/>
      <c r="T86" s="113"/>
      <c r="U86" s="140"/>
      <c r="V86" s="113"/>
      <c r="W86" s="96">
        <f>IFERROR(IF(NOT(ISNUMBER(INDEX('M03-S02'!$AN$16:$AN$198,2*(ROWS($R$55:R86)-1)+1))),INDEX('M03-S02'!$BC$16:$BC$198,2*(ROWS($R$55:R86)-1)+1),""),"")</f>
        <v>0</v>
      </c>
      <c r="X86" s="113"/>
      <c r="Y86" s="113"/>
      <c r="Z86" s="111">
        <f>INDEX('M03-S02'!$B$16:$B$198,2*(ROWS($Z$55:Z86)-1)+1)</f>
        <v>32</v>
      </c>
      <c r="AA86" s="111" t="str">
        <f>INDEX('M03-S02'!$I$16:$I$199,2*(ROWS($Z$55:AA86)-1)+1)</f>
        <v/>
      </c>
      <c r="AB86" s="111">
        <f>INDEX('M03-S02'!$C$16:$C$198,2*(ROWS($Z$55:AB86)-1)+1)</f>
        <v>0</v>
      </c>
      <c r="AC86" s="96"/>
      <c r="AD86">
        <f>INDEX('M03-S02'!$X$16:$X$198,2*(ROWS($AD$55:AD86)-1)+1)</f>
        <v>0</v>
      </c>
      <c r="AE86" s="459"/>
      <c r="AF86" s="459"/>
      <c r="AG86" s="112"/>
      <c r="AH86" s="112"/>
      <c r="AI86" s="112"/>
      <c r="AJ86" s="112"/>
      <c r="AK86" s="113"/>
      <c r="AL86" s="113"/>
      <c r="AM86" s="113"/>
      <c r="AN86" s="113"/>
      <c r="AO86" s="52" t="str">
        <f>IFERROR(INDEX(PMELIGHTCON[Program Design],MATCH(AB86,PMELIGHTCON[Eff Desc 1],0)),"")</f>
        <v/>
      </c>
      <c r="AU86"/>
    </row>
    <row r="87" spans="1:47">
      <c r="A87" s="57">
        <f t="shared" si="5"/>
        <v>0</v>
      </c>
      <c r="B87" s="183" t="str">
        <f t="shared" si="7"/>
        <v/>
      </c>
      <c r="C87" t="str">
        <f>IFERROR(IF(R87&gt;0,INDEX(PMELIGHTCON[Measure '#],MATCH(AB87,PMELIGHTCON[Eff Desc 1],0)),""),"")</f>
        <v/>
      </c>
      <c r="D87" t="s">
        <v>947</v>
      </c>
      <c r="F87" s="112"/>
      <c r="G87" s="186">
        <f>INDEX('M03-S02'!$AB$16:$AB$198,2*(ROWS($G$55:G87)-1)+1)</f>
        <v>0</v>
      </c>
      <c r="H87" s="186"/>
      <c r="I87" s="184">
        <f>ROUND(INDEX('M03-S02'!$AE$16:$AE$198,2*(ROWS($I$55:I87)-1)+1),2)</f>
        <v>0</v>
      </c>
      <c r="J87" s="184">
        <f>ROUND(INDEX('M03-S02'!$AG$16:$AG$198,2*(ROWS($J$55:J87)-1)+1),2)</f>
        <v>0</v>
      </c>
      <c r="K87" s="52">
        <f>IFERROR(ROUND(INDEX('M03-S02'!$AU$16:$AU$198,2*(ROWS($K$55:K87)-1)+1),2),0)</f>
        <v>0</v>
      </c>
      <c r="M87" s="456">
        <f>INDEX('M03-S02'!$Q$16:$Q$198,2*(ROWS($M$55:M87)-1)+1)</f>
        <v>0</v>
      </c>
      <c r="N87" s="184" t="str">
        <f>IFERROR(INDEX('M03-S02'!$AK$16:$AK$198,2*(ROWS($N$55:N87)-1)+1),"")</f>
        <v/>
      </c>
      <c r="O87" s="456" t="str">
        <f>IFERROR(INDEX('M03-S02'!$AV$16:$AV$198,2*(ROWS($O$55:O87)-1)+1),"")</f>
        <v/>
      </c>
      <c r="P87" s="184" t="str">
        <f>IFERROR(IF(ISNUMBER(INDEX('M03-S02'!$AN$16:$AN$198,2*(ROWS($R$55:R87)-1)+1)),INDEX('M03-S02'!$AX$16:$AX$198,2*(ROWS($P$55:P87)-1)+1),""),"")</f>
        <v/>
      </c>
      <c r="Q87" s="184"/>
      <c r="R87" s="184">
        <f>IF(ISNUMBER(INDEX('M03-S02'!$AN$16:$AN$198,2*(ROWS($R$55:R87)-1)+1)),INDEX('M03-S02'!$AN$16:$AN$198,2*(ROWS($R$55:R87)-1)+1),0)</f>
        <v>0</v>
      </c>
      <c r="S87" s="459"/>
      <c r="T87" s="113"/>
      <c r="U87" s="140"/>
      <c r="V87" s="113"/>
      <c r="W87" s="96">
        <f>IFERROR(IF(NOT(ISNUMBER(INDEX('M03-S02'!$AN$16:$AN$198,2*(ROWS($R$55:R87)-1)+1))),INDEX('M03-S02'!$BC$16:$BC$198,2*(ROWS($R$55:R87)-1)+1),""),"")</f>
        <v>0</v>
      </c>
      <c r="X87" s="113"/>
      <c r="Y87" s="113"/>
      <c r="Z87" s="111">
        <f>INDEX('M03-S02'!$B$16:$B$198,2*(ROWS($Z$55:Z87)-1)+1)</f>
        <v>33</v>
      </c>
      <c r="AA87" s="111" t="str">
        <f>INDEX('M03-S02'!$I$16:$I$199,2*(ROWS($Z$55:AA87)-1)+1)</f>
        <v/>
      </c>
      <c r="AB87" s="111">
        <f>INDEX('M03-S02'!$C$16:$C$198,2*(ROWS($Z$55:AB87)-1)+1)</f>
        <v>0</v>
      </c>
      <c r="AC87" s="96"/>
      <c r="AD87">
        <f>INDEX('M03-S02'!$X$16:$X$198,2*(ROWS($AD$55:AD87)-1)+1)</f>
        <v>0</v>
      </c>
      <c r="AE87" s="459"/>
      <c r="AF87" s="459"/>
      <c r="AG87" s="112"/>
      <c r="AH87" s="112"/>
      <c r="AI87" s="112"/>
      <c r="AJ87" s="112"/>
      <c r="AK87" s="113"/>
      <c r="AL87" s="113"/>
      <c r="AM87" s="113"/>
      <c r="AN87" s="113"/>
      <c r="AO87" s="52" t="str">
        <f>IFERROR(INDEX(PMELIGHTCON[Program Design],MATCH(AB87,PMELIGHTCON[Eff Desc 1],0)),"")</f>
        <v/>
      </c>
      <c r="AU87"/>
    </row>
    <row r="88" spans="1:47">
      <c r="A88" s="57">
        <f t="shared" si="5"/>
        <v>0</v>
      </c>
      <c r="B88" s="183" t="str">
        <f t="shared" si="7"/>
        <v/>
      </c>
      <c r="C88" t="str">
        <f>IFERROR(IF(R88&gt;0,INDEX(PMELIGHTCON[Measure '#],MATCH(AB88,PMELIGHTCON[Eff Desc 1],0)),""),"")</f>
        <v/>
      </c>
      <c r="D88" t="s">
        <v>947</v>
      </c>
      <c r="F88" s="112"/>
      <c r="G88" s="186">
        <f>INDEX('M03-S02'!$AB$16:$AB$198,2*(ROWS($G$55:G88)-1)+1)</f>
        <v>0</v>
      </c>
      <c r="H88" s="186"/>
      <c r="I88" s="184">
        <f>ROUND(INDEX('M03-S02'!$AE$16:$AE$198,2*(ROWS($I$55:I88)-1)+1),2)</f>
        <v>0</v>
      </c>
      <c r="J88" s="184">
        <f>ROUND(INDEX('M03-S02'!$AG$16:$AG$198,2*(ROWS($J$55:J88)-1)+1),2)</f>
        <v>0</v>
      </c>
      <c r="K88" s="52">
        <f>IFERROR(ROUND(INDEX('M03-S02'!$AU$16:$AU$198,2*(ROWS($K$55:K88)-1)+1),2),0)</f>
        <v>0</v>
      </c>
      <c r="M88" s="456">
        <f>INDEX('M03-S02'!$Q$16:$Q$198,2*(ROWS($M$55:M88)-1)+1)</f>
        <v>0</v>
      </c>
      <c r="N88" s="184" t="str">
        <f>IFERROR(INDEX('M03-S02'!$AK$16:$AK$198,2*(ROWS($N$55:N88)-1)+1),"")</f>
        <v/>
      </c>
      <c r="O88" s="456" t="str">
        <f>IFERROR(INDEX('M03-S02'!$AV$16:$AV$198,2*(ROWS($O$55:O88)-1)+1),"")</f>
        <v/>
      </c>
      <c r="P88" s="184" t="str">
        <f>IFERROR(IF(ISNUMBER(INDEX('M03-S02'!$AN$16:$AN$198,2*(ROWS($R$55:R88)-1)+1)),INDEX('M03-S02'!$AX$16:$AX$198,2*(ROWS($P$55:P88)-1)+1),""),"")</f>
        <v/>
      </c>
      <c r="Q88" s="184"/>
      <c r="R88" s="184">
        <f>IF(ISNUMBER(INDEX('M03-S02'!$AN$16:$AN$198,2*(ROWS($R$55:R88)-1)+1)),INDEX('M03-S02'!$AN$16:$AN$198,2*(ROWS($R$55:R88)-1)+1),0)</f>
        <v>0</v>
      </c>
      <c r="S88" s="459"/>
      <c r="T88" s="113"/>
      <c r="U88" s="140"/>
      <c r="V88" s="113"/>
      <c r="W88" s="96">
        <f>IFERROR(IF(NOT(ISNUMBER(INDEX('M03-S02'!$AN$16:$AN$198,2*(ROWS($R$55:R88)-1)+1))),INDEX('M03-S02'!$BC$16:$BC$198,2*(ROWS($R$55:R88)-1)+1),""),"")</f>
        <v>0</v>
      </c>
      <c r="X88" s="113"/>
      <c r="Y88" s="113"/>
      <c r="Z88" s="111">
        <f>INDEX('M03-S02'!$B$16:$B$198,2*(ROWS($Z$55:Z88)-1)+1)</f>
        <v>34</v>
      </c>
      <c r="AA88" s="111" t="str">
        <f>INDEX('M03-S02'!$I$16:$I$199,2*(ROWS($Z$55:AA88)-1)+1)</f>
        <v/>
      </c>
      <c r="AB88" s="111">
        <f>INDEX('M03-S02'!$C$16:$C$198,2*(ROWS($Z$55:AB88)-1)+1)</f>
        <v>0</v>
      </c>
      <c r="AC88" s="96"/>
      <c r="AD88">
        <f>INDEX('M03-S02'!$X$16:$X$198,2*(ROWS($AD$55:AD88)-1)+1)</f>
        <v>0</v>
      </c>
      <c r="AE88" s="459"/>
      <c r="AF88" s="459"/>
      <c r="AG88" s="112"/>
      <c r="AH88" s="112"/>
      <c r="AI88" s="112"/>
      <c r="AJ88" s="112"/>
      <c r="AK88" s="113"/>
      <c r="AL88" s="113"/>
      <c r="AM88" s="113"/>
      <c r="AN88" s="113"/>
      <c r="AO88" s="52" t="str">
        <f>IFERROR(INDEX(PMELIGHTCON[Program Design],MATCH(AB88,PMELIGHTCON[Eff Desc 1],0)),"")</f>
        <v/>
      </c>
      <c r="AU88"/>
    </row>
    <row r="89" spans="1:47">
      <c r="A89" s="57">
        <f t="shared" si="5"/>
        <v>0</v>
      </c>
      <c r="B89" s="183" t="str">
        <f t="shared" si="7"/>
        <v/>
      </c>
      <c r="C89" t="str">
        <f>IFERROR(IF(R89&gt;0,INDEX(PMELIGHTCON[Measure '#],MATCH(AB89,PMELIGHTCON[Eff Desc 1],0)),""),"")</f>
        <v/>
      </c>
      <c r="D89" t="s">
        <v>947</v>
      </c>
      <c r="F89" s="112"/>
      <c r="G89" s="186">
        <f>INDEX('M03-S02'!$AB$16:$AB$198,2*(ROWS($G$55:G89)-1)+1)</f>
        <v>0</v>
      </c>
      <c r="H89" s="186"/>
      <c r="I89" s="184">
        <f>ROUND(INDEX('M03-S02'!$AE$16:$AE$198,2*(ROWS($I$55:I89)-1)+1),2)</f>
        <v>0</v>
      </c>
      <c r="J89" s="184">
        <f>ROUND(INDEX('M03-S02'!$AG$16:$AG$198,2*(ROWS($J$55:J89)-1)+1),2)</f>
        <v>0</v>
      </c>
      <c r="K89" s="52">
        <f>IFERROR(ROUND(INDEX('M03-S02'!$AU$16:$AU$198,2*(ROWS($K$55:K89)-1)+1),2),0)</f>
        <v>0</v>
      </c>
      <c r="M89" s="456">
        <f>INDEX('M03-S02'!$Q$16:$Q$198,2*(ROWS($M$55:M89)-1)+1)</f>
        <v>0</v>
      </c>
      <c r="N89" s="184" t="str">
        <f>IFERROR(INDEX('M03-S02'!$AK$16:$AK$198,2*(ROWS($N$55:N89)-1)+1),"")</f>
        <v/>
      </c>
      <c r="O89" s="456" t="str">
        <f>IFERROR(INDEX('M03-S02'!$AV$16:$AV$198,2*(ROWS($O$55:O89)-1)+1),"")</f>
        <v/>
      </c>
      <c r="P89" s="184" t="str">
        <f>IFERROR(IF(ISNUMBER(INDEX('M03-S02'!$AN$16:$AN$198,2*(ROWS($R$55:R89)-1)+1)),INDEX('M03-S02'!$AX$16:$AX$198,2*(ROWS($P$55:P89)-1)+1),""),"")</f>
        <v/>
      </c>
      <c r="Q89" s="184"/>
      <c r="R89" s="184">
        <f>IF(ISNUMBER(INDEX('M03-S02'!$AN$16:$AN$198,2*(ROWS($R$55:R89)-1)+1)),INDEX('M03-S02'!$AN$16:$AN$198,2*(ROWS($R$55:R89)-1)+1),0)</f>
        <v>0</v>
      </c>
      <c r="S89" s="459"/>
      <c r="T89" s="113"/>
      <c r="U89" s="140"/>
      <c r="V89" s="113"/>
      <c r="W89" s="96">
        <f>IFERROR(IF(NOT(ISNUMBER(INDEX('M03-S02'!$AN$16:$AN$198,2*(ROWS($R$55:R89)-1)+1))),INDEX('M03-S02'!$BC$16:$BC$198,2*(ROWS($R$55:R89)-1)+1),""),"")</f>
        <v>0</v>
      </c>
      <c r="X89" s="113"/>
      <c r="Y89" s="113"/>
      <c r="Z89" s="111">
        <f>INDEX('M03-S02'!$B$16:$B$198,2*(ROWS($Z$55:Z89)-1)+1)</f>
        <v>35</v>
      </c>
      <c r="AA89" s="111" t="str">
        <f>INDEX('M03-S02'!$I$16:$I$199,2*(ROWS($Z$55:AA89)-1)+1)</f>
        <v/>
      </c>
      <c r="AB89" s="111">
        <f>INDEX('M03-S02'!$C$16:$C$198,2*(ROWS($Z$55:AB89)-1)+1)</f>
        <v>0</v>
      </c>
      <c r="AC89" s="96"/>
      <c r="AD89">
        <f>INDEX('M03-S02'!$X$16:$X$198,2*(ROWS($AD$55:AD89)-1)+1)</f>
        <v>0</v>
      </c>
      <c r="AE89" s="459"/>
      <c r="AF89" s="459"/>
      <c r="AG89" s="112"/>
      <c r="AH89" s="112"/>
      <c r="AI89" s="112"/>
      <c r="AJ89" s="112"/>
      <c r="AK89" s="113"/>
      <c r="AL89" s="113"/>
      <c r="AM89" s="113"/>
      <c r="AN89" s="113"/>
      <c r="AO89" s="52" t="str">
        <f>IFERROR(INDEX(PMELIGHTCON[Program Design],MATCH(AB89,PMELIGHTCON[Eff Desc 1],0)),"")</f>
        <v/>
      </c>
      <c r="AU89"/>
    </row>
    <row r="90" spans="1:47">
      <c r="A90" s="57">
        <f t="shared" si="5"/>
        <v>0</v>
      </c>
      <c r="B90" s="183" t="str">
        <f t="shared" si="7"/>
        <v/>
      </c>
      <c r="C90" t="str">
        <f>IFERROR(IF(R90&gt;0,INDEX(PMELIGHTCON[Measure '#],MATCH(AB90,PMELIGHTCON[Eff Desc 1],0)),""),"")</f>
        <v/>
      </c>
      <c r="D90" t="s">
        <v>947</v>
      </c>
      <c r="F90" s="112"/>
      <c r="G90" s="186">
        <f>INDEX('M03-S02'!$AB$16:$AB$198,2*(ROWS($G$55:G90)-1)+1)</f>
        <v>0</v>
      </c>
      <c r="H90" s="186"/>
      <c r="I90" s="184">
        <f>ROUND(INDEX('M03-S02'!$AE$16:$AE$198,2*(ROWS($I$55:I90)-1)+1),2)</f>
        <v>0</v>
      </c>
      <c r="J90" s="184">
        <f>ROUND(INDEX('M03-S02'!$AG$16:$AG$198,2*(ROWS($J$55:J90)-1)+1),2)</f>
        <v>0</v>
      </c>
      <c r="K90" s="52">
        <f>IFERROR(ROUND(INDEX('M03-S02'!$AU$16:$AU$198,2*(ROWS($K$55:K90)-1)+1),2),0)</f>
        <v>0</v>
      </c>
      <c r="M90" s="456">
        <f>INDEX('M03-S02'!$Q$16:$Q$198,2*(ROWS($M$55:M90)-1)+1)</f>
        <v>0</v>
      </c>
      <c r="N90" s="184" t="str">
        <f>IFERROR(INDEX('M03-S02'!$AK$16:$AK$198,2*(ROWS($N$55:N90)-1)+1),"")</f>
        <v/>
      </c>
      <c r="O90" s="456" t="str">
        <f>IFERROR(INDEX('M03-S02'!$AV$16:$AV$198,2*(ROWS($O$55:O90)-1)+1),"")</f>
        <v/>
      </c>
      <c r="P90" s="184" t="str">
        <f>IFERROR(IF(ISNUMBER(INDEX('M03-S02'!$AN$16:$AN$198,2*(ROWS($R$55:R90)-1)+1)),INDEX('M03-S02'!$AX$16:$AX$198,2*(ROWS($P$55:P90)-1)+1),""),"")</f>
        <v/>
      </c>
      <c r="Q90" s="184"/>
      <c r="R90" s="184">
        <f>IF(ISNUMBER(INDEX('M03-S02'!$AN$16:$AN$198,2*(ROWS($R$55:R90)-1)+1)),INDEX('M03-S02'!$AN$16:$AN$198,2*(ROWS($R$55:R90)-1)+1),0)</f>
        <v>0</v>
      </c>
      <c r="S90" s="459"/>
      <c r="T90" s="113"/>
      <c r="U90" s="140"/>
      <c r="V90" s="113"/>
      <c r="W90" s="96">
        <f>IFERROR(IF(NOT(ISNUMBER(INDEX('M03-S02'!$AN$16:$AN$198,2*(ROWS($R$55:R90)-1)+1))),INDEX('M03-S02'!$BC$16:$BC$198,2*(ROWS($R$55:R90)-1)+1),""),"")</f>
        <v>0</v>
      </c>
      <c r="X90" s="113"/>
      <c r="Y90" s="113"/>
      <c r="Z90" s="111">
        <f>INDEX('M03-S02'!$B$16:$B$198,2*(ROWS($Z$55:Z90)-1)+1)</f>
        <v>36</v>
      </c>
      <c r="AA90" s="111" t="str">
        <f>INDEX('M03-S02'!$I$16:$I$199,2*(ROWS($Z$55:AA90)-1)+1)</f>
        <v/>
      </c>
      <c r="AB90" s="111">
        <f>INDEX('M03-S02'!$C$16:$C$198,2*(ROWS($Z$55:AB90)-1)+1)</f>
        <v>0</v>
      </c>
      <c r="AC90" s="96"/>
      <c r="AD90">
        <f>INDEX('M03-S02'!$X$16:$X$198,2*(ROWS($AD$55:AD90)-1)+1)</f>
        <v>0</v>
      </c>
      <c r="AE90" s="459"/>
      <c r="AF90" s="459"/>
      <c r="AG90" s="112"/>
      <c r="AH90" s="112"/>
      <c r="AI90" s="112"/>
      <c r="AJ90" s="112"/>
      <c r="AK90" s="113"/>
      <c r="AL90" s="113"/>
      <c r="AM90" s="113"/>
      <c r="AN90" s="113"/>
      <c r="AO90" s="52" t="str">
        <f>IFERROR(INDEX(PMELIGHTCON[Program Design],MATCH(AB90,PMELIGHTCON[Eff Desc 1],0)),"")</f>
        <v/>
      </c>
      <c r="AU90"/>
    </row>
    <row r="91" spans="1:47">
      <c r="A91" s="57">
        <f t="shared" si="5"/>
        <v>0</v>
      </c>
      <c r="B91" s="183" t="str">
        <f t="shared" si="6"/>
        <v/>
      </c>
      <c r="C91" t="str">
        <f>IFERROR(IF(R91&gt;0,INDEX(PMELIGHTCON[Measure '#],MATCH(AB91,PMELIGHTCON[Eff Desc 1],0)),""),"")</f>
        <v/>
      </c>
      <c r="D91" t="s">
        <v>947</v>
      </c>
      <c r="F91" s="112"/>
      <c r="G91" s="186">
        <f>INDEX('M03-S02'!$AB$16:$AB$198,2*(ROWS($G$55:G91)-1)+1)</f>
        <v>0</v>
      </c>
      <c r="H91" s="186"/>
      <c r="I91" s="184">
        <f>ROUND(INDEX('M03-S02'!$AE$16:$AE$198,2*(ROWS($I$55:I91)-1)+1),2)</f>
        <v>0</v>
      </c>
      <c r="J91" s="184">
        <f>ROUND(INDEX('M03-S02'!$AG$16:$AG$198,2*(ROWS($J$55:J91)-1)+1),2)</f>
        <v>0</v>
      </c>
      <c r="K91" s="52">
        <f>IFERROR(ROUND(INDEX('M03-S02'!$AU$16:$AU$198,2*(ROWS($K$55:K91)-1)+1),2),0)</f>
        <v>0</v>
      </c>
      <c r="M91" s="456">
        <f>INDEX('M03-S02'!$Q$16:$Q$198,2*(ROWS($M$55:M91)-1)+1)</f>
        <v>0</v>
      </c>
      <c r="N91" s="184" t="str">
        <f>IFERROR(INDEX('M03-S02'!$AK$16:$AK$198,2*(ROWS($N$55:N91)-1)+1),"")</f>
        <v/>
      </c>
      <c r="O91" s="456" t="str">
        <f>IFERROR(INDEX('M03-S02'!$AV$16:$AV$198,2*(ROWS($O$55:O91)-1)+1),"")</f>
        <v/>
      </c>
      <c r="P91" s="184" t="str">
        <f>IFERROR(IF(ISNUMBER(INDEX('M03-S02'!$AN$16:$AN$198,2*(ROWS($R$55:R91)-1)+1)),INDEX('M03-S02'!$AX$16:$AX$198,2*(ROWS($P$55:P91)-1)+1),""),"")</f>
        <v/>
      </c>
      <c r="Q91" s="184"/>
      <c r="R91" s="184">
        <f>IF(ISNUMBER(INDEX('M03-S02'!$AN$16:$AN$198,2*(ROWS($R$55:R91)-1)+1)),INDEX('M03-S02'!$AN$16:$AN$198,2*(ROWS($R$55:R91)-1)+1),0)</f>
        <v>0</v>
      </c>
      <c r="S91" s="459"/>
      <c r="T91" s="113"/>
      <c r="U91" s="140"/>
      <c r="V91" s="113"/>
      <c r="W91" s="96">
        <f>IFERROR(IF(NOT(ISNUMBER(INDEX('M03-S02'!$AN$16:$AN$198,2*(ROWS($R$55:R91)-1)+1))),INDEX('M03-S02'!$BC$16:$BC$198,2*(ROWS($R$55:R91)-1)+1),""),"")</f>
        <v>0</v>
      </c>
      <c r="X91" s="113"/>
      <c r="Y91" s="113"/>
      <c r="Z91" s="111">
        <f>INDEX('M03-S02'!$B$16:$B$198,2*(ROWS($Z$55:Z91)-1)+1)</f>
        <v>37</v>
      </c>
      <c r="AA91" s="111" t="str">
        <f>INDEX('M03-S02'!$I$16:$I$199,2*(ROWS($Z$55:AA91)-1)+1)</f>
        <v/>
      </c>
      <c r="AB91" s="111">
        <f>INDEX('M03-S02'!$C$16:$C$198,2*(ROWS($Z$55:AB91)-1)+1)</f>
        <v>0</v>
      </c>
      <c r="AC91" s="96"/>
      <c r="AD91">
        <f>INDEX('M03-S02'!$X$16:$X$198,2*(ROWS($AD$55:AD91)-1)+1)</f>
        <v>0</v>
      </c>
      <c r="AE91" s="459"/>
      <c r="AF91" s="459"/>
      <c r="AG91" s="112"/>
      <c r="AH91" s="112"/>
      <c r="AI91" s="112"/>
      <c r="AJ91" s="112"/>
      <c r="AK91" s="113"/>
      <c r="AL91" s="113"/>
      <c r="AM91" s="113"/>
      <c r="AN91" s="113"/>
      <c r="AO91" s="52" t="str">
        <f>IFERROR(INDEX(PMELIGHTCON[Program Design],MATCH(AB91,PMELIGHTCON[Eff Desc 1],0)),"")</f>
        <v/>
      </c>
      <c r="AU91"/>
    </row>
    <row r="92" spans="1:47">
      <c r="A92" s="57">
        <f t="shared" si="5"/>
        <v>0</v>
      </c>
      <c r="B92" s="183" t="str">
        <f t="shared" si="6"/>
        <v/>
      </c>
      <c r="C92" t="str">
        <f>IFERROR(IF(R92&gt;0,INDEX(PMELIGHTCON[Measure '#],MATCH(AB92,PMELIGHTCON[Eff Desc 1],0)),""),"")</f>
        <v/>
      </c>
      <c r="D92" t="s">
        <v>947</v>
      </c>
      <c r="F92" s="112"/>
      <c r="G92" s="186">
        <f>INDEX('M03-S02'!$AB$16:$AB$198,2*(ROWS($G$55:G92)-1)+1)</f>
        <v>0</v>
      </c>
      <c r="H92" s="186"/>
      <c r="I92" s="184">
        <f>ROUND(INDEX('M03-S02'!$AE$16:$AE$198,2*(ROWS($I$55:I92)-1)+1),2)</f>
        <v>0</v>
      </c>
      <c r="J92" s="184">
        <f>ROUND(INDEX('M03-S02'!$AG$16:$AG$198,2*(ROWS($J$55:J92)-1)+1),2)</f>
        <v>0</v>
      </c>
      <c r="K92" s="52">
        <f>IFERROR(ROUND(INDEX('M03-S02'!$AU$16:$AU$198,2*(ROWS($K$55:K92)-1)+1),2),0)</f>
        <v>0</v>
      </c>
      <c r="M92" s="456">
        <f>INDEX('M03-S02'!$Q$16:$Q$198,2*(ROWS($M$55:M92)-1)+1)</f>
        <v>0</v>
      </c>
      <c r="N92" s="184" t="str">
        <f>IFERROR(INDEX('M03-S02'!$AK$16:$AK$198,2*(ROWS($N$55:N92)-1)+1),"")</f>
        <v/>
      </c>
      <c r="O92" s="456" t="str">
        <f>IFERROR(INDEX('M03-S02'!$AV$16:$AV$198,2*(ROWS($O$55:O92)-1)+1),"")</f>
        <v/>
      </c>
      <c r="P92" s="184" t="str">
        <f>IFERROR(IF(ISNUMBER(INDEX('M03-S02'!$AN$16:$AN$198,2*(ROWS($R$55:R92)-1)+1)),INDEX('M03-S02'!$AX$16:$AX$198,2*(ROWS($P$55:P92)-1)+1),""),"")</f>
        <v/>
      </c>
      <c r="Q92" s="184"/>
      <c r="R92" s="184">
        <f>IF(ISNUMBER(INDEX('M03-S02'!$AN$16:$AN$198,2*(ROWS($R$55:R92)-1)+1)),INDEX('M03-S02'!$AN$16:$AN$198,2*(ROWS($R$55:R92)-1)+1),0)</f>
        <v>0</v>
      </c>
      <c r="S92" s="459"/>
      <c r="T92" s="113"/>
      <c r="U92" s="140"/>
      <c r="V92" s="113"/>
      <c r="W92" s="96">
        <f>IFERROR(IF(NOT(ISNUMBER(INDEX('M03-S02'!$AN$16:$AN$198,2*(ROWS($R$55:R92)-1)+1))),INDEX('M03-S02'!$BC$16:$BC$198,2*(ROWS($R$55:R92)-1)+1),""),"")</f>
        <v>0</v>
      </c>
      <c r="X92" s="113"/>
      <c r="Y92" s="113"/>
      <c r="Z92" s="111">
        <f>INDEX('M03-S02'!$B$16:$B$198,2*(ROWS($Z$55:Z92)-1)+1)</f>
        <v>38</v>
      </c>
      <c r="AA92" s="111" t="str">
        <f>INDEX('M03-S02'!$I$16:$I$199,2*(ROWS($Z$55:AA92)-1)+1)</f>
        <v/>
      </c>
      <c r="AB92" s="111">
        <f>INDEX('M03-S02'!$C$16:$C$198,2*(ROWS($Z$55:AB92)-1)+1)</f>
        <v>0</v>
      </c>
      <c r="AC92" s="96"/>
      <c r="AD92">
        <f>INDEX('M03-S02'!$X$16:$X$198,2*(ROWS($AD$55:AD92)-1)+1)</f>
        <v>0</v>
      </c>
      <c r="AE92" s="459"/>
      <c r="AF92" s="459"/>
      <c r="AG92" s="112"/>
      <c r="AH92" s="112"/>
      <c r="AI92" s="112"/>
      <c r="AJ92" s="112"/>
      <c r="AK92" s="113"/>
      <c r="AL92" s="113"/>
      <c r="AM92" s="113"/>
      <c r="AN92" s="113"/>
      <c r="AO92" s="52" t="str">
        <f>IFERROR(INDEX(PMELIGHTCON[Program Design],MATCH(AB92,PMELIGHTCON[Eff Desc 1],0)),"")</f>
        <v/>
      </c>
      <c r="AU92"/>
    </row>
    <row r="93" spans="1:47">
      <c r="A93" s="57">
        <f t="shared" si="5"/>
        <v>0</v>
      </c>
      <c r="B93" s="183" t="str">
        <f t="shared" si="6"/>
        <v/>
      </c>
      <c r="C93" t="str">
        <f>IFERROR(IF(R93&gt;0,INDEX(PMELIGHTCON[Measure '#],MATCH(AB93,PMELIGHTCON[Eff Desc 1],0)),""),"")</f>
        <v/>
      </c>
      <c r="D93" t="s">
        <v>947</v>
      </c>
      <c r="F93" s="112"/>
      <c r="G93" s="186">
        <f>INDEX('M03-S02'!$AB$16:$AB$198,2*(ROWS($G$55:G93)-1)+1)</f>
        <v>0</v>
      </c>
      <c r="H93" s="186"/>
      <c r="I93" s="184">
        <f>ROUND(INDEX('M03-S02'!$AE$16:$AE$198,2*(ROWS($I$55:I93)-1)+1),2)</f>
        <v>0</v>
      </c>
      <c r="J93" s="184">
        <f>ROUND(INDEX('M03-S02'!$AG$16:$AG$198,2*(ROWS($J$55:J93)-1)+1),2)</f>
        <v>0</v>
      </c>
      <c r="K93" s="52">
        <f>IFERROR(ROUND(INDEX('M03-S02'!$AU$16:$AU$198,2*(ROWS($K$55:K93)-1)+1),2),0)</f>
        <v>0</v>
      </c>
      <c r="M93" s="456">
        <f>INDEX('M03-S02'!$Q$16:$Q$198,2*(ROWS($M$55:M93)-1)+1)</f>
        <v>0</v>
      </c>
      <c r="N93" s="184" t="str">
        <f>IFERROR(INDEX('M03-S02'!$AK$16:$AK$198,2*(ROWS($N$55:N93)-1)+1),"")</f>
        <v/>
      </c>
      <c r="O93" s="456" t="str">
        <f>IFERROR(INDEX('M03-S02'!$AV$16:$AV$198,2*(ROWS($O$55:O93)-1)+1),"")</f>
        <v/>
      </c>
      <c r="P93" s="184" t="str">
        <f>IFERROR(IF(ISNUMBER(INDEX('M03-S02'!$AN$16:$AN$198,2*(ROWS($R$55:R93)-1)+1)),INDEX('M03-S02'!$AX$16:$AX$198,2*(ROWS($P$55:P93)-1)+1),""),"")</f>
        <v/>
      </c>
      <c r="Q93" s="184"/>
      <c r="R93" s="184">
        <f>IF(ISNUMBER(INDEX('M03-S02'!$AN$16:$AN$198,2*(ROWS($R$55:R93)-1)+1)),INDEX('M03-S02'!$AN$16:$AN$198,2*(ROWS($R$55:R93)-1)+1),0)</f>
        <v>0</v>
      </c>
      <c r="S93" s="459"/>
      <c r="T93" s="113"/>
      <c r="U93" s="140"/>
      <c r="V93" s="113"/>
      <c r="W93" s="96">
        <f>IFERROR(IF(NOT(ISNUMBER(INDEX('M03-S02'!$AN$16:$AN$198,2*(ROWS($R$55:R93)-1)+1))),INDEX('M03-S02'!$BC$16:$BC$198,2*(ROWS($R$55:R93)-1)+1),""),"")</f>
        <v>0</v>
      </c>
      <c r="X93" s="113"/>
      <c r="Y93" s="113"/>
      <c r="Z93" s="111">
        <f>INDEX('M03-S02'!$B$16:$B$198,2*(ROWS($Z$55:Z93)-1)+1)</f>
        <v>39</v>
      </c>
      <c r="AA93" s="111" t="str">
        <f>INDEX('M03-S02'!$I$16:$I$199,2*(ROWS($Z$55:AA93)-1)+1)</f>
        <v/>
      </c>
      <c r="AB93" s="111">
        <f>INDEX('M03-S02'!$C$16:$C$198,2*(ROWS($Z$55:AB93)-1)+1)</f>
        <v>0</v>
      </c>
      <c r="AC93" s="96"/>
      <c r="AD93">
        <f>INDEX('M03-S02'!$X$16:$X$198,2*(ROWS($AD$55:AD93)-1)+1)</f>
        <v>0</v>
      </c>
      <c r="AE93" s="459"/>
      <c r="AF93" s="459"/>
      <c r="AG93" s="112"/>
      <c r="AH93" s="112"/>
      <c r="AI93" s="112"/>
      <c r="AJ93" s="112"/>
      <c r="AK93" s="113"/>
      <c r="AL93" s="113"/>
      <c r="AM93" s="113"/>
      <c r="AN93" s="113"/>
      <c r="AO93" s="52" t="str">
        <f>IFERROR(INDEX(PMELIGHTCON[Program Design],MATCH(AB93,PMELIGHTCON[Eff Desc 1],0)),"")</f>
        <v/>
      </c>
      <c r="AU93"/>
    </row>
    <row r="94" spans="1:47">
      <c r="A94" s="57">
        <f t="shared" si="5"/>
        <v>0</v>
      </c>
      <c r="B94" s="183" t="str">
        <f t="shared" si="6"/>
        <v/>
      </c>
      <c r="C94" t="str">
        <f>IFERROR(IF(R94&gt;0,INDEX(PMELIGHTCON[Measure '#],MATCH(AB94,PMELIGHTCON[Eff Desc 1],0)),""),"")</f>
        <v/>
      </c>
      <c r="D94" t="s">
        <v>947</v>
      </c>
      <c r="F94" s="112"/>
      <c r="G94" s="186">
        <f>INDEX('M03-S02'!$AB$16:$AB$198,2*(ROWS($G$55:G94)-1)+1)</f>
        <v>0</v>
      </c>
      <c r="H94" s="186"/>
      <c r="I94" s="184">
        <f>ROUND(INDEX('M03-S02'!$AE$16:$AE$198,2*(ROWS($I$55:I94)-1)+1),2)</f>
        <v>0</v>
      </c>
      <c r="J94" s="184">
        <f>ROUND(INDEX('M03-S02'!$AG$16:$AG$198,2*(ROWS($J$55:J94)-1)+1),2)</f>
        <v>0</v>
      </c>
      <c r="K94" s="52">
        <f>IFERROR(ROUND(INDEX('M03-S02'!$AU$16:$AU$198,2*(ROWS($K$55:K94)-1)+1),2),0)</f>
        <v>0</v>
      </c>
      <c r="M94" s="456">
        <f>INDEX('M03-S02'!$Q$16:$Q$198,2*(ROWS($M$55:M94)-1)+1)</f>
        <v>0</v>
      </c>
      <c r="N94" s="184" t="str">
        <f>IFERROR(INDEX('M03-S02'!$AK$16:$AK$198,2*(ROWS($N$55:N94)-1)+1),"")</f>
        <v/>
      </c>
      <c r="O94" s="456" t="str">
        <f>IFERROR(INDEX('M03-S02'!$AV$16:$AV$198,2*(ROWS($O$55:O94)-1)+1),"")</f>
        <v/>
      </c>
      <c r="P94" s="184" t="str">
        <f>IFERROR(IF(ISNUMBER(INDEX('M03-S02'!$AN$16:$AN$198,2*(ROWS($R$55:R94)-1)+1)),INDEX('M03-S02'!$AX$16:$AX$198,2*(ROWS($P$55:P94)-1)+1),""),"")</f>
        <v/>
      </c>
      <c r="Q94" s="184"/>
      <c r="R94" s="184">
        <f>IF(ISNUMBER(INDEX('M03-S02'!$AN$16:$AN$198,2*(ROWS($R$55:R94)-1)+1)),INDEX('M03-S02'!$AN$16:$AN$198,2*(ROWS($R$55:R94)-1)+1),0)</f>
        <v>0</v>
      </c>
      <c r="S94" s="459"/>
      <c r="T94" s="113"/>
      <c r="U94" s="140"/>
      <c r="V94" s="113"/>
      <c r="W94" s="96">
        <f>IFERROR(IF(NOT(ISNUMBER(INDEX('M03-S02'!$AN$16:$AN$198,2*(ROWS($R$55:R94)-1)+1))),INDEX('M03-S02'!$BC$16:$BC$198,2*(ROWS($R$55:R94)-1)+1),""),"")</f>
        <v>0</v>
      </c>
      <c r="X94" s="113"/>
      <c r="Y94" s="113"/>
      <c r="Z94" s="111">
        <f>INDEX('M03-S02'!$B$16:$B$198,2*(ROWS($Z$55:Z94)-1)+1)</f>
        <v>40</v>
      </c>
      <c r="AA94" s="111" t="str">
        <f>INDEX('M03-S02'!$I$16:$I$199,2*(ROWS($Z$55:AA94)-1)+1)</f>
        <v/>
      </c>
      <c r="AB94" s="111">
        <f>INDEX('M03-S02'!$C$16:$C$198,2*(ROWS($Z$55:AB94)-1)+1)</f>
        <v>0</v>
      </c>
      <c r="AC94" s="96"/>
      <c r="AD94">
        <f>INDEX('M03-S02'!$X$16:$X$198,2*(ROWS($AD$55:AD94)-1)+1)</f>
        <v>0</v>
      </c>
      <c r="AE94" s="459"/>
      <c r="AF94" s="459"/>
      <c r="AG94" s="112"/>
      <c r="AH94" s="112"/>
      <c r="AI94" s="112"/>
      <c r="AJ94" s="112"/>
      <c r="AK94" s="113"/>
      <c r="AL94" s="113"/>
      <c r="AM94" s="113"/>
      <c r="AN94" s="113"/>
      <c r="AO94" s="52" t="str">
        <f>IFERROR(INDEX(PMELIGHTCON[Program Design],MATCH(AB94,PMELIGHTCON[Eff Desc 1],0)),"")</f>
        <v/>
      </c>
      <c r="AU94"/>
    </row>
    <row r="95" spans="1:47">
      <c r="A95" s="57">
        <f t="shared" si="5"/>
        <v>0</v>
      </c>
      <c r="B95" s="183" t="str">
        <f t="shared" si="6"/>
        <v/>
      </c>
      <c r="C95" t="str">
        <f>IFERROR(IF(R95&gt;0,INDEX(PMELIGHTCON[Measure '#],MATCH(AB95,PMELIGHTCON[Eff Desc 1],0)),""),"")</f>
        <v/>
      </c>
      <c r="D95" t="s">
        <v>947</v>
      </c>
      <c r="F95" s="112"/>
      <c r="G95" s="186">
        <f>INDEX('M03-S02'!$AB$16:$AB$198,2*(ROWS($G$55:G95)-1)+1)</f>
        <v>0</v>
      </c>
      <c r="H95" s="186"/>
      <c r="I95" s="184">
        <f>ROUND(INDEX('M03-S02'!$AE$16:$AE$198,2*(ROWS($I$55:I95)-1)+1),2)</f>
        <v>0</v>
      </c>
      <c r="J95" s="184">
        <f>ROUND(INDEX('M03-S02'!$AG$16:$AG$198,2*(ROWS($J$55:J95)-1)+1),2)</f>
        <v>0</v>
      </c>
      <c r="K95" s="52">
        <f>IFERROR(ROUND(INDEX('M03-S02'!$AU$16:$AU$198,2*(ROWS($K$55:K95)-1)+1),2),0)</f>
        <v>0</v>
      </c>
      <c r="M95" s="456">
        <f>INDEX('M03-S02'!$Q$16:$Q$198,2*(ROWS($M$55:M95)-1)+1)</f>
        <v>0</v>
      </c>
      <c r="N95" s="184" t="str">
        <f>IFERROR(INDEX('M03-S02'!$AK$16:$AK$198,2*(ROWS($N$55:N95)-1)+1),"")</f>
        <v/>
      </c>
      <c r="O95" s="456" t="str">
        <f>IFERROR(INDEX('M03-S02'!$AV$16:$AV$198,2*(ROWS($O$55:O95)-1)+1),"")</f>
        <v/>
      </c>
      <c r="P95" s="184" t="str">
        <f>IFERROR(IF(ISNUMBER(INDEX('M03-S02'!$AN$16:$AN$198,2*(ROWS($R$55:R95)-1)+1)),INDEX('M03-S02'!$AX$16:$AX$198,2*(ROWS($P$55:P95)-1)+1),""),"")</f>
        <v/>
      </c>
      <c r="Q95" s="184"/>
      <c r="R95" s="184">
        <f>IF(ISNUMBER(INDEX('M03-S02'!$AN$16:$AN$198,2*(ROWS($R$55:R95)-1)+1)),INDEX('M03-S02'!$AN$16:$AN$198,2*(ROWS($R$55:R95)-1)+1),0)</f>
        <v>0</v>
      </c>
      <c r="S95" s="459"/>
      <c r="T95" s="113"/>
      <c r="U95" s="140"/>
      <c r="V95" s="113"/>
      <c r="W95" s="96">
        <f>IFERROR(IF(NOT(ISNUMBER(INDEX('M03-S02'!$AN$16:$AN$198,2*(ROWS($R$55:R95)-1)+1))),INDEX('M03-S02'!$BC$16:$BC$198,2*(ROWS($R$55:R95)-1)+1),""),"")</f>
        <v>0</v>
      </c>
      <c r="X95" s="113"/>
      <c r="Y95" s="113"/>
      <c r="Z95" s="111">
        <f>INDEX('M03-S02'!$B$16:$B$198,2*(ROWS($Z$55:Z95)-1)+1)</f>
        <v>41</v>
      </c>
      <c r="AA95" s="111" t="str">
        <f>INDEX('M03-S02'!$I$16:$I$199,2*(ROWS($Z$55:AA95)-1)+1)</f>
        <v/>
      </c>
      <c r="AB95" s="111">
        <f>INDEX('M03-S02'!$C$16:$C$198,2*(ROWS($Z$55:AB95)-1)+1)</f>
        <v>0</v>
      </c>
      <c r="AC95" s="96"/>
      <c r="AD95">
        <f>INDEX('M03-S02'!$X$16:$X$198,2*(ROWS($AD$55:AD95)-1)+1)</f>
        <v>0</v>
      </c>
      <c r="AE95" s="459"/>
      <c r="AF95" s="459"/>
      <c r="AG95" s="112"/>
      <c r="AH95" s="112"/>
      <c r="AI95" s="112"/>
      <c r="AJ95" s="112"/>
      <c r="AK95" s="113"/>
      <c r="AL95" s="113"/>
      <c r="AM95" s="113"/>
      <c r="AN95" s="113"/>
      <c r="AO95" s="52" t="str">
        <f>IFERROR(INDEX(PMELIGHTCON[Program Design],MATCH(AB95,PMELIGHTCON[Eff Desc 1],0)),"")</f>
        <v/>
      </c>
      <c r="AU95"/>
    </row>
    <row r="96" spans="1:47">
      <c r="A96" s="57">
        <f t="shared" si="5"/>
        <v>0</v>
      </c>
      <c r="B96" s="183" t="str">
        <f t="shared" si="6"/>
        <v/>
      </c>
      <c r="C96" t="str">
        <f>IFERROR(IF(R96&gt;0,INDEX(PMELIGHTCON[Measure '#],MATCH(AB96,PMELIGHTCON[Eff Desc 1],0)),""),"")</f>
        <v/>
      </c>
      <c r="D96" t="s">
        <v>947</v>
      </c>
      <c r="F96" s="112"/>
      <c r="G96" s="186">
        <f>INDEX('M03-S02'!$AB$16:$AB$198,2*(ROWS($G$55:G96)-1)+1)</f>
        <v>0</v>
      </c>
      <c r="H96" s="186"/>
      <c r="I96" s="184">
        <f>ROUND(INDEX('M03-S02'!$AE$16:$AE$198,2*(ROWS($I$55:I96)-1)+1),2)</f>
        <v>0</v>
      </c>
      <c r="J96" s="184">
        <f>ROUND(INDEX('M03-S02'!$AG$16:$AG$198,2*(ROWS($J$55:J96)-1)+1),2)</f>
        <v>0</v>
      </c>
      <c r="K96" s="52">
        <f>IFERROR(ROUND(INDEX('M03-S02'!$AU$16:$AU$198,2*(ROWS($K$55:K96)-1)+1),2),0)</f>
        <v>0</v>
      </c>
      <c r="M96" s="456">
        <f>INDEX('M03-S02'!$Q$16:$Q$198,2*(ROWS($M$55:M96)-1)+1)</f>
        <v>0</v>
      </c>
      <c r="N96" s="184" t="str">
        <f>IFERROR(INDEX('M03-S02'!$AK$16:$AK$198,2*(ROWS($N$55:N96)-1)+1),"")</f>
        <v/>
      </c>
      <c r="O96" s="456" t="str">
        <f>IFERROR(INDEX('M03-S02'!$AV$16:$AV$198,2*(ROWS($O$55:O96)-1)+1),"")</f>
        <v/>
      </c>
      <c r="P96" s="184" t="str">
        <f>IFERROR(IF(ISNUMBER(INDEX('M03-S02'!$AN$16:$AN$198,2*(ROWS($R$55:R96)-1)+1)),INDEX('M03-S02'!$AX$16:$AX$198,2*(ROWS($P$55:P96)-1)+1),""),"")</f>
        <v/>
      </c>
      <c r="Q96" s="184"/>
      <c r="R96" s="184">
        <f>IF(ISNUMBER(INDEX('M03-S02'!$AN$16:$AN$198,2*(ROWS($R$55:R96)-1)+1)),INDEX('M03-S02'!$AN$16:$AN$198,2*(ROWS($R$55:R96)-1)+1),0)</f>
        <v>0</v>
      </c>
      <c r="S96" s="459"/>
      <c r="T96" s="113"/>
      <c r="U96" s="140"/>
      <c r="V96" s="113"/>
      <c r="W96" s="96">
        <f>IFERROR(IF(NOT(ISNUMBER(INDEX('M03-S02'!$AN$16:$AN$198,2*(ROWS($R$55:R96)-1)+1))),INDEX('M03-S02'!$BC$16:$BC$198,2*(ROWS($R$55:R96)-1)+1),""),"")</f>
        <v>0</v>
      </c>
      <c r="X96" s="113"/>
      <c r="Y96" s="113"/>
      <c r="Z96" s="111">
        <f>INDEX('M03-S02'!$B$16:$B$198,2*(ROWS($Z$55:Z96)-1)+1)</f>
        <v>42</v>
      </c>
      <c r="AA96" s="111" t="str">
        <f>INDEX('M03-S02'!$I$16:$I$199,2*(ROWS($Z$55:AA96)-1)+1)</f>
        <v/>
      </c>
      <c r="AB96" s="111">
        <f>INDEX('M03-S02'!$C$16:$C$198,2*(ROWS($Z$55:AB96)-1)+1)</f>
        <v>0</v>
      </c>
      <c r="AC96" s="96"/>
      <c r="AD96">
        <f>INDEX('M03-S02'!$X$16:$X$198,2*(ROWS($AD$55:AD96)-1)+1)</f>
        <v>0</v>
      </c>
      <c r="AE96" s="459"/>
      <c r="AF96" s="459"/>
      <c r="AG96" s="112"/>
      <c r="AH96" s="112"/>
      <c r="AI96" s="112"/>
      <c r="AJ96" s="112"/>
      <c r="AK96" s="113"/>
      <c r="AL96" s="113"/>
      <c r="AM96" s="113"/>
      <c r="AN96" s="113"/>
      <c r="AO96" s="52" t="str">
        <f>IFERROR(INDEX(PMELIGHTCON[Program Design],MATCH(AB96,PMELIGHTCON[Eff Desc 1],0)),"")</f>
        <v/>
      </c>
      <c r="AU96"/>
    </row>
    <row r="97" spans="1:47">
      <c r="A97" s="57">
        <f t="shared" si="5"/>
        <v>0</v>
      </c>
      <c r="B97" s="183" t="str">
        <f t="shared" si="6"/>
        <v/>
      </c>
      <c r="C97" t="str">
        <f>IFERROR(IF(R97&gt;0,INDEX(PMELIGHTCON[Measure '#],MATCH(AB97,PMELIGHTCON[Eff Desc 1],0)),""),"")</f>
        <v/>
      </c>
      <c r="D97" t="s">
        <v>947</v>
      </c>
      <c r="F97" s="112"/>
      <c r="G97" s="186">
        <f>INDEX('M03-S02'!$AB$16:$AB$198,2*(ROWS($G$55:G97)-1)+1)</f>
        <v>0</v>
      </c>
      <c r="H97" s="186"/>
      <c r="I97" s="184">
        <f>ROUND(INDEX('M03-S02'!$AE$16:$AE$198,2*(ROWS($I$55:I97)-1)+1),2)</f>
        <v>0</v>
      </c>
      <c r="J97" s="184">
        <f>ROUND(INDEX('M03-S02'!$AG$16:$AG$198,2*(ROWS($J$55:J97)-1)+1),2)</f>
        <v>0</v>
      </c>
      <c r="K97" s="52">
        <f>IFERROR(ROUND(INDEX('M03-S02'!$AU$16:$AU$198,2*(ROWS($K$55:K97)-1)+1),2),0)</f>
        <v>0</v>
      </c>
      <c r="M97" s="456">
        <f>INDEX('M03-S02'!$Q$16:$Q$198,2*(ROWS($M$55:M97)-1)+1)</f>
        <v>0</v>
      </c>
      <c r="N97" s="184" t="str">
        <f>IFERROR(INDEX('M03-S02'!$AK$16:$AK$198,2*(ROWS($N$55:N97)-1)+1),"")</f>
        <v/>
      </c>
      <c r="O97" s="456" t="str">
        <f>IFERROR(INDEX('M03-S02'!$AV$16:$AV$198,2*(ROWS($O$55:O97)-1)+1),"")</f>
        <v/>
      </c>
      <c r="P97" s="184" t="str">
        <f>IFERROR(IF(ISNUMBER(INDEX('M03-S02'!$AN$16:$AN$198,2*(ROWS($R$55:R97)-1)+1)),INDEX('M03-S02'!$AX$16:$AX$198,2*(ROWS($P$55:P97)-1)+1),""),"")</f>
        <v/>
      </c>
      <c r="Q97" s="184"/>
      <c r="R97" s="184">
        <f>IF(ISNUMBER(INDEX('M03-S02'!$AN$16:$AN$198,2*(ROWS($R$55:R97)-1)+1)),INDEX('M03-S02'!$AN$16:$AN$198,2*(ROWS($R$55:R97)-1)+1),0)</f>
        <v>0</v>
      </c>
      <c r="S97" s="459"/>
      <c r="T97" s="113"/>
      <c r="U97" s="140"/>
      <c r="V97" s="113"/>
      <c r="W97" s="96">
        <f>IFERROR(IF(NOT(ISNUMBER(INDEX('M03-S02'!$AN$16:$AN$198,2*(ROWS($R$55:R97)-1)+1))),INDEX('M03-S02'!$BC$16:$BC$198,2*(ROWS($R$55:R97)-1)+1),""),"")</f>
        <v>0</v>
      </c>
      <c r="X97" s="113"/>
      <c r="Y97" s="113"/>
      <c r="Z97" s="111">
        <f>INDEX('M03-S02'!$B$16:$B$198,2*(ROWS($Z$55:Z97)-1)+1)</f>
        <v>43</v>
      </c>
      <c r="AA97" s="111" t="str">
        <f>INDEX('M03-S02'!$I$16:$I$199,2*(ROWS($Z$55:AA97)-1)+1)</f>
        <v/>
      </c>
      <c r="AB97" s="111">
        <f>INDEX('M03-S02'!$C$16:$C$198,2*(ROWS($Z$55:AB97)-1)+1)</f>
        <v>0</v>
      </c>
      <c r="AC97" s="96"/>
      <c r="AD97">
        <f>INDEX('M03-S02'!$X$16:$X$198,2*(ROWS($AD$55:AD97)-1)+1)</f>
        <v>0</v>
      </c>
      <c r="AE97" s="459"/>
      <c r="AF97" s="459"/>
      <c r="AG97" s="112"/>
      <c r="AH97" s="112"/>
      <c r="AI97" s="112"/>
      <c r="AJ97" s="112"/>
      <c r="AK97" s="113"/>
      <c r="AL97" s="113"/>
      <c r="AM97" s="113"/>
      <c r="AN97" s="113"/>
      <c r="AO97" s="52" t="str">
        <f>IFERROR(INDEX(PMELIGHTCON[Program Design],MATCH(AB97,PMELIGHTCON[Eff Desc 1],0)),"")</f>
        <v/>
      </c>
      <c r="AU97"/>
    </row>
    <row r="98" spans="1:47">
      <c r="A98" s="57">
        <f t="shared" si="5"/>
        <v>0</v>
      </c>
      <c r="B98" s="183" t="str">
        <f t="shared" si="6"/>
        <v/>
      </c>
      <c r="C98" t="str">
        <f>IFERROR(IF(R98&gt;0,INDEX(PMELIGHTCON[Measure '#],MATCH(AB98,PMELIGHTCON[Eff Desc 1],0)),""),"")</f>
        <v/>
      </c>
      <c r="D98" t="s">
        <v>947</v>
      </c>
      <c r="F98" s="112"/>
      <c r="G98" s="186">
        <f>INDEX('M03-S02'!$AB$16:$AB$198,2*(ROWS($G$55:G98)-1)+1)</f>
        <v>0</v>
      </c>
      <c r="H98" s="186"/>
      <c r="I98" s="184">
        <f>ROUND(INDEX('M03-S02'!$AE$16:$AE$198,2*(ROWS($I$55:I98)-1)+1),2)</f>
        <v>0</v>
      </c>
      <c r="J98" s="184">
        <f>ROUND(INDEX('M03-S02'!$AG$16:$AG$198,2*(ROWS($J$55:J98)-1)+1),2)</f>
        <v>0</v>
      </c>
      <c r="K98" s="52">
        <f>IFERROR(ROUND(INDEX('M03-S02'!$AU$16:$AU$198,2*(ROWS($K$55:K98)-1)+1),2),0)</f>
        <v>0</v>
      </c>
      <c r="M98" s="456">
        <f>INDEX('M03-S02'!$Q$16:$Q$198,2*(ROWS($M$55:M98)-1)+1)</f>
        <v>0</v>
      </c>
      <c r="N98" s="184" t="str">
        <f>IFERROR(INDEX('M03-S02'!$AK$16:$AK$198,2*(ROWS($N$55:N98)-1)+1),"")</f>
        <v/>
      </c>
      <c r="O98" s="456" t="str">
        <f>IFERROR(INDEX('M03-S02'!$AV$16:$AV$198,2*(ROWS($O$55:O98)-1)+1),"")</f>
        <v/>
      </c>
      <c r="P98" s="184" t="str">
        <f>IFERROR(IF(ISNUMBER(INDEX('M03-S02'!$AN$16:$AN$198,2*(ROWS($R$55:R98)-1)+1)),INDEX('M03-S02'!$AX$16:$AX$198,2*(ROWS($P$55:P98)-1)+1),""),"")</f>
        <v/>
      </c>
      <c r="Q98" s="184"/>
      <c r="R98" s="184">
        <f>IF(ISNUMBER(INDEX('M03-S02'!$AN$16:$AN$198,2*(ROWS($R$55:R98)-1)+1)),INDEX('M03-S02'!$AN$16:$AN$198,2*(ROWS($R$55:R98)-1)+1),0)</f>
        <v>0</v>
      </c>
      <c r="S98" s="459"/>
      <c r="T98" s="113"/>
      <c r="U98" s="140"/>
      <c r="V98" s="113"/>
      <c r="W98" s="96">
        <f>IFERROR(IF(NOT(ISNUMBER(INDEX('M03-S02'!$AN$16:$AN$198,2*(ROWS($R$55:R98)-1)+1))),INDEX('M03-S02'!$BC$16:$BC$198,2*(ROWS($R$55:R98)-1)+1),""),"")</f>
        <v>0</v>
      </c>
      <c r="X98" s="113"/>
      <c r="Y98" s="113"/>
      <c r="Z98" s="111">
        <f>INDEX('M03-S02'!$B$16:$B$198,2*(ROWS($Z$55:Z98)-1)+1)</f>
        <v>44</v>
      </c>
      <c r="AA98" s="111" t="str">
        <f>INDEX('M03-S02'!$I$16:$I$199,2*(ROWS($Z$55:AA98)-1)+1)</f>
        <v/>
      </c>
      <c r="AB98" s="111">
        <f>INDEX('M03-S02'!$C$16:$C$198,2*(ROWS($Z$55:AB98)-1)+1)</f>
        <v>0</v>
      </c>
      <c r="AC98" s="96"/>
      <c r="AD98">
        <f>INDEX('M03-S02'!$X$16:$X$198,2*(ROWS($AD$55:AD98)-1)+1)</f>
        <v>0</v>
      </c>
      <c r="AE98" s="459"/>
      <c r="AF98" s="459"/>
      <c r="AG98" s="112"/>
      <c r="AH98" s="112"/>
      <c r="AI98" s="112"/>
      <c r="AJ98" s="112"/>
      <c r="AK98" s="113"/>
      <c r="AL98" s="113"/>
      <c r="AM98" s="113"/>
      <c r="AN98" s="113"/>
      <c r="AO98" s="52" t="str">
        <f>IFERROR(INDEX(PMELIGHTCON[Program Design],MATCH(AB98,PMELIGHTCON[Eff Desc 1],0)),"")</f>
        <v/>
      </c>
      <c r="AU98"/>
    </row>
    <row r="99" spans="1:47">
      <c r="A99" s="57">
        <f t="shared" si="5"/>
        <v>0</v>
      </c>
      <c r="B99" s="183" t="str">
        <f t="shared" si="6"/>
        <v/>
      </c>
      <c r="C99" t="str">
        <f>IFERROR(IF(R99&gt;0,INDEX(PMELIGHTCON[Measure '#],MATCH(AB99,PMELIGHTCON[Eff Desc 1],0)),""),"")</f>
        <v/>
      </c>
      <c r="D99" t="s">
        <v>947</v>
      </c>
      <c r="F99" s="112"/>
      <c r="G99" s="186">
        <f>INDEX('M03-S02'!$AB$16:$AB$198,2*(ROWS($G$55:G99)-1)+1)</f>
        <v>0</v>
      </c>
      <c r="H99" s="186"/>
      <c r="I99" s="184">
        <f>ROUND(INDEX('M03-S02'!$AE$16:$AE$198,2*(ROWS($I$55:I99)-1)+1),2)</f>
        <v>0</v>
      </c>
      <c r="J99" s="184">
        <f>ROUND(INDEX('M03-S02'!$AG$16:$AG$198,2*(ROWS($J$55:J99)-1)+1),2)</f>
        <v>0</v>
      </c>
      <c r="K99" s="52">
        <f>IFERROR(ROUND(INDEX('M03-S02'!$AU$16:$AU$198,2*(ROWS($K$55:K99)-1)+1),2),0)</f>
        <v>0</v>
      </c>
      <c r="M99" s="456">
        <f>INDEX('M03-S02'!$Q$16:$Q$198,2*(ROWS($M$55:M99)-1)+1)</f>
        <v>0</v>
      </c>
      <c r="N99" s="184" t="str">
        <f>IFERROR(INDEX('M03-S02'!$AK$16:$AK$198,2*(ROWS($N$55:N99)-1)+1),"")</f>
        <v/>
      </c>
      <c r="O99" s="456" t="str">
        <f>IFERROR(INDEX('M03-S02'!$AV$16:$AV$198,2*(ROWS($O$55:O99)-1)+1),"")</f>
        <v/>
      </c>
      <c r="P99" s="184" t="str">
        <f>IFERROR(IF(ISNUMBER(INDEX('M03-S02'!$AN$16:$AN$198,2*(ROWS($R$55:R99)-1)+1)),INDEX('M03-S02'!$AX$16:$AX$198,2*(ROWS($P$55:P99)-1)+1),""),"")</f>
        <v/>
      </c>
      <c r="Q99" s="184"/>
      <c r="R99" s="184">
        <f>IF(ISNUMBER(INDEX('M03-S02'!$AN$16:$AN$198,2*(ROWS($R$55:R99)-1)+1)),INDEX('M03-S02'!$AN$16:$AN$198,2*(ROWS($R$55:R99)-1)+1),0)</f>
        <v>0</v>
      </c>
      <c r="S99" s="459"/>
      <c r="T99" s="113"/>
      <c r="U99" s="140"/>
      <c r="V99" s="113"/>
      <c r="W99" s="96">
        <f>IFERROR(IF(NOT(ISNUMBER(INDEX('M03-S02'!$AN$16:$AN$198,2*(ROWS($R$55:R99)-1)+1))),INDEX('M03-S02'!$BC$16:$BC$198,2*(ROWS($R$55:R99)-1)+1),""),"")</f>
        <v>0</v>
      </c>
      <c r="X99" s="113"/>
      <c r="Y99" s="113"/>
      <c r="Z99" s="111">
        <f>INDEX('M03-S02'!$B$16:$B$198,2*(ROWS($Z$55:Z99)-1)+1)</f>
        <v>45</v>
      </c>
      <c r="AA99" s="111" t="str">
        <f>INDEX('M03-S02'!$I$16:$I$199,2*(ROWS($Z$55:AA99)-1)+1)</f>
        <v/>
      </c>
      <c r="AB99" s="111">
        <f>INDEX('M03-S02'!$C$16:$C$198,2*(ROWS($Z$55:AB99)-1)+1)</f>
        <v>0</v>
      </c>
      <c r="AC99" s="96"/>
      <c r="AD99">
        <f>INDEX('M03-S02'!$X$16:$X$198,2*(ROWS($AD$55:AD99)-1)+1)</f>
        <v>0</v>
      </c>
      <c r="AE99" s="459"/>
      <c r="AF99" s="459"/>
      <c r="AG99" s="112"/>
      <c r="AH99" s="112"/>
      <c r="AI99" s="112"/>
      <c r="AJ99" s="112"/>
      <c r="AK99" s="113"/>
      <c r="AL99" s="113"/>
      <c r="AM99" s="113"/>
      <c r="AN99" s="113"/>
      <c r="AO99" s="52" t="str">
        <f>IFERROR(INDEX(PMELIGHTCON[Program Design],MATCH(AB99,PMELIGHTCON[Eff Desc 1],0)),"")</f>
        <v/>
      </c>
      <c r="AU99"/>
    </row>
    <row r="100" spans="1:47">
      <c r="A100" s="57">
        <f t="shared" si="5"/>
        <v>0</v>
      </c>
      <c r="B100" s="183" t="str">
        <f t="shared" si="6"/>
        <v/>
      </c>
      <c r="C100" t="str">
        <f>IFERROR(IF(R100&gt;0,INDEX(PMELIGHTCON[Measure '#],MATCH(AB100,PMELIGHTCON[Eff Desc 1],0)),""),"")</f>
        <v/>
      </c>
      <c r="D100" t="s">
        <v>947</v>
      </c>
      <c r="F100" s="112"/>
      <c r="G100" s="186">
        <f>INDEX('M03-S02'!$AB$16:$AB$198,2*(ROWS($G$55:G100)-1)+1)</f>
        <v>0</v>
      </c>
      <c r="H100" s="186"/>
      <c r="I100" s="184">
        <f>ROUND(INDEX('M03-S02'!$AE$16:$AE$198,2*(ROWS($I$55:I100)-1)+1),2)</f>
        <v>0</v>
      </c>
      <c r="J100" s="184">
        <f>ROUND(INDEX('M03-S02'!$AG$16:$AG$198,2*(ROWS($J$55:J100)-1)+1),2)</f>
        <v>0</v>
      </c>
      <c r="K100" s="52">
        <f>IFERROR(ROUND(INDEX('M03-S02'!$AU$16:$AU$198,2*(ROWS($K$55:K100)-1)+1),2),0)</f>
        <v>0</v>
      </c>
      <c r="M100" s="456">
        <f>INDEX('M03-S02'!$Q$16:$Q$198,2*(ROWS($M$55:M100)-1)+1)</f>
        <v>0</v>
      </c>
      <c r="N100" s="184" t="str">
        <f>IFERROR(INDEX('M03-S02'!$AK$16:$AK$198,2*(ROWS($N$55:N100)-1)+1),"")</f>
        <v/>
      </c>
      <c r="O100" s="456" t="str">
        <f>IFERROR(INDEX('M03-S02'!$AV$16:$AV$198,2*(ROWS($O$55:O100)-1)+1),"")</f>
        <v/>
      </c>
      <c r="P100" s="184" t="str">
        <f>IFERROR(IF(ISNUMBER(INDEX('M03-S02'!$AN$16:$AN$198,2*(ROWS($R$55:R100)-1)+1)),INDEX('M03-S02'!$AX$16:$AX$198,2*(ROWS($P$55:P100)-1)+1),""),"")</f>
        <v/>
      </c>
      <c r="Q100" s="184"/>
      <c r="R100" s="184">
        <f>IF(ISNUMBER(INDEX('M03-S02'!$AN$16:$AN$198,2*(ROWS($R$55:R100)-1)+1)),INDEX('M03-S02'!$AN$16:$AN$198,2*(ROWS($R$55:R100)-1)+1),0)</f>
        <v>0</v>
      </c>
      <c r="S100" s="459"/>
      <c r="T100" s="113"/>
      <c r="U100" s="140"/>
      <c r="V100" s="113"/>
      <c r="W100" s="96">
        <f>IFERROR(IF(NOT(ISNUMBER(INDEX('M03-S02'!$AN$16:$AN$198,2*(ROWS($R$55:R100)-1)+1))),INDEX('M03-S02'!$BC$16:$BC$198,2*(ROWS($R$55:R100)-1)+1),""),"")</f>
        <v>0</v>
      </c>
      <c r="X100" s="113"/>
      <c r="Y100" s="113"/>
      <c r="Z100" s="111">
        <f>INDEX('M03-S02'!$B$16:$B$198,2*(ROWS($Z$55:Z100)-1)+1)</f>
        <v>46</v>
      </c>
      <c r="AA100" s="111" t="str">
        <f>INDEX('M03-S02'!$I$16:$I$199,2*(ROWS($Z$55:AA100)-1)+1)</f>
        <v/>
      </c>
      <c r="AB100" s="111">
        <f>INDEX('M03-S02'!$C$16:$C$198,2*(ROWS($Z$55:AB100)-1)+1)</f>
        <v>0</v>
      </c>
      <c r="AC100" s="96"/>
      <c r="AD100">
        <f>INDEX('M03-S02'!$X$16:$X$198,2*(ROWS($AD$55:AD100)-1)+1)</f>
        <v>0</v>
      </c>
      <c r="AE100" s="459"/>
      <c r="AF100" s="459"/>
      <c r="AG100" s="112"/>
      <c r="AH100" s="112"/>
      <c r="AI100" s="112"/>
      <c r="AJ100" s="112"/>
      <c r="AK100" s="113"/>
      <c r="AL100" s="113"/>
      <c r="AM100" s="113"/>
      <c r="AN100" s="113"/>
      <c r="AO100" s="52" t="str">
        <f>IFERROR(INDEX(PMELIGHTCON[Program Design],MATCH(AB100,PMELIGHTCON[Eff Desc 1],0)),"")</f>
        <v/>
      </c>
      <c r="AU100"/>
    </row>
    <row r="101" spans="1:47">
      <c r="A101" s="57">
        <f t="shared" si="5"/>
        <v>0</v>
      </c>
      <c r="B101" s="183" t="str">
        <f t="shared" si="6"/>
        <v/>
      </c>
      <c r="C101" t="str">
        <f>IFERROR(IF(R101&gt;0,INDEX(PMELIGHTCON[Measure '#],MATCH(AB101,PMELIGHTCON[Eff Desc 1],0)),""),"")</f>
        <v/>
      </c>
      <c r="D101" t="s">
        <v>947</v>
      </c>
      <c r="F101" s="112"/>
      <c r="G101" s="186">
        <f>INDEX('M03-S02'!$AB$16:$AB$198,2*(ROWS($G$55:G101)-1)+1)</f>
        <v>0</v>
      </c>
      <c r="H101" s="186"/>
      <c r="I101" s="184">
        <f>ROUND(INDEX('M03-S02'!$AE$16:$AE$198,2*(ROWS($I$55:I101)-1)+1),2)</f>
        <v>0</v>
      </c>
      <c r="J101" s="184">
        <f>ROUND(INDEX('M03-S02'!$AG$16:$AG$198,2*(ROWS($J$55:J101)-1)+1),2)</f>
        <v>0</v>
      </c>
      <c r="K101" s="52">
        <f>IFERROR(ROUND(INDEX('M03-S02'!$AU$16:$AU$198,2*(ROWS($K$55:K101)-1)+1),2),0)</f>
        <v>0</v>
      </c>
      <c r="M101" s="456">
        <f>INDEX('M03-S02'!$Q$16:$Q$198,2*(ROWS($M$55:M101)-1)+1)</f>
        <v>0</v>
      </c>
      <c r="N101" s="184" t="str">
        <f>IFERROR(INDEX('M03-S02'!$AK$16:$AK$198,2*(ROWS($N$55:N101)-1)+1),"")</f>
        <v/>
      </c>
      <c r="O101" s="456" t="str">
        <f>IFERROR(INDEX('M03-S02'!$AV$16:$AV$198,2*(ROWS($O$55:O101)-1)+1),"")</f>
        <v/>
      </c>
      <c r="P101" s="184" t="str">
        <f>IFERROR(IF(ISNUMBER(INDEX('M03-S02'!$AN$16:$AN$198,2*(ROWS($R$55:R101)-1)+1)),INDEX('M03-S02'!$AX$16:$AX$198,2*(ROWS($P$55:P101)-1)+1),""),"")</f>
        <v/>
      </c>
      <c r="Q101" s="184"/>
      <c r="R101" s="184">
        <f>IF(ISNUMBER(INDEX('M03-S02'!$AN$16:$AN$198,2*(ROWS($R$55:R101)-1)+1)),INDEX('M03-S02'!$AN$16:$AN$198,2*(ROWS($R$55:R101)-1)+1),0)</f>
        <v>0</v>
      </c>
      <c r="S101" s="459"/>
      <c r="T101" s="113"/>
      <c r="U101" s="140"/>
      <c r="V101" s="113"/>
      <c r="W101" s="96">
        <f>IFERROR(IF(NOT(ISNUMBER(INDEX('M03-S02'!$AN$16:$AN$198,2*(ROWS($R$55:R101)-1)+1))),INDEX('M03-S02'!$BC$16:$BC$198,2*(ROWS($R$55:R101)-1)+1),""),"")</f>
        <v>0</v>
      </c>
      <c r="X101" s="113"/>
      <c r="Y101" s="113"/>
      <c r="Z101" s="111">
        <f>INDEX('M03-S02'!$B$16:$B$198,2*(ROWS($Z$55:Z101)-1)+1)</f>
        <v>47</v>
      </c>
      <c r="AA101" s="111" t="str">
        <f>INDEX('M03-S02'!$I$16:$I$199,2*(ROWS($Z$55:AA101)-1)+1)</f>
        <v/>
      </c>
      <c r="AB101" s="111">
        <f>INDEX('M03-S02'!$C$16:$C$198,2*(ROWS($Z$55:AB101)-1)+1)</f>
        <v>0</v>
      </c>
      <c r="AC101" s="96"/>
      <c r="AD101">
        <f>INDEX('M03-S02'!$X$16:$X$198,2*(ROWS($AD$55:AD101)-1)+1)</f>
        <v>0</v>
      </c>
      <c r="AE101" s="459"/>
      <c r="AF101" s="459"/>
      <c r="AG101" s="112"/>
      <c r="AH101" s="112"/>
      <c r="AI101" s="112"/>
      <c r="AJ101" s="112"/>
      <c r="AK101" s="113"/>
      <c r="AL101" s="113"/>
      <c r="AM101" s="113"/>
      <c r="AN101" s="113"/>
      <c r="AO101" s="52" t="str">
        <f>IFERROR(INDEX(PMELIGHTCON[Program Design],MATCH(AB101,PMELIGHTCON[Eff Desc 1],0)),"")</f>
        <v/>
      </c>
      <c r="AU101"/>
    </row>
    <row r="102" spans="1:47">
      <c r="A102" s="57">
        <f t="shared" si="5"/>
        <v>0</v>
      </c>
      <c r="B102" s="183" t="str">
        <f t="shared" si="6"/>
        <v/>
      </c>
      <c r="C102" t="str">
        <f>IFERROR(IF(R102&gt;0,INDEX(PMELIGHTCON[Measure '#],MATCH(AB102,PMELIGHTCON[Eff Desc 1],0)),""),"")</f>
        <v/>
      </c>
      <c r="D102" t="s">
        <v>947</v>
      </c>
      <c r="F102" s="112"/>
      <c r="G102" s="186">
        <f>INDEX('M03-S02'!$AB$16:$AB$198,2*(ROWS($G$55:G102)-1)+1)</f>
        <v>0</v>
      </c>
      <c r="H102" s="186"/>
      <c r="I102" s="184">
        <f>ROUND(INDEX('M03-S02'!$AE$16:$AE$198,2*(ROWS($I$55:I102)-1)+1),2)</f>
        <v>0</v>
      </c>
      <c r="J102" s="184">
        <f>ROUND(INDEX('M03-S02'!$AG$16:$AG$198,2*(ROWS($J$55:J102)-1)+1),2)</f>
        <v>0</v>
      </c>
      <c r="K102" s="52">
        <f>IFERROR(ROUND(INDEX('M03-S02'!$AU$16:$AU$198,2*(ROWS($K$55:K102)-1)+1),2),0)</f>
        <v>0</v>
      </c>
      <c r="M102" s="456">
        <f>INDEX('M03-S02'!$Q$16:$Q$198,2*(ROWS($M$55:M102)-1)+1)</f>
        <v>0</v>
      </c>
      <c r="N102" s="184" t="str">
        <f>IFERROR(INDEX('M03-S02'!$AK$16:$AK$198,2*(ROWS($N$55:N102)-1)+1),"")</f>
        <v/>
      </c>
      <c r="O102" s="456" t="str">
        <f>IFERROR(INDEX('M03-S02'!$AV$16:$AV$198,2*(ROWS($O$55:O102)-1)+1),"")</f>
        <v/>
      </c>
      <c r="P102" s="184" t="str">
        <f>IFERROR(IF(ISNUMBER(INDEX('M03-S02'!$AN$16:$AN$198,2*(ROWS($R$55:R102)-1)+1)),INDEX('M03-S02'!$AX$16:$AX$198,2*(ROWS($P$55:P102)-1)+1),""),"")</f>
        <v/>
      </c>
      <c r="Q102" s="184"/>
      <c r="R102" s="184">
        <f>IF(ISNUMBER(INDEX('M03-S02'!$AN$16:$AN$198,2*(ROWS($R$55:R102)-1)+1)),INDEX('M03-S02'!$AN$16:$AN$198,2*(ROWS($R$55:R102)-1)+1),0)</f>
        <v>0</v>
      </c>
      <c r="S102" s="459"/>
      <c r="T102" s="113"/>
      <c r="U102" s="140"/>
      <c r="V102" s="113"/>
      <c r="W102" s="96">
        <f>IFERROR(IF(NOT(ISNUMBER(INDEX('M03-S02'!$AN$16:$AN$198,2*(ROWS($R$55:R102)-1)+1))),INDEX('M03-S02'!$BC$16:$BC$198,2*(ROWS($R$55:R102)-1)+1),""),"")</f>
        <v>0</v>
      </c>
      <c r="X102" s="113"/>
      <c r="Y102" s="113"/>
      <c r="Z102" s="111">
        <f>INDEX('M03-S02'!$B$16:$B$198,2*(ROWS($Z$55:Z102)-1)+1)</f>
        <v>48</v>
      </c>
      <c r="AA102" s="111" t="str">
        <f>INDEX('M03-S02'!$I$16:$I$199,2*(ROWS($Z$55:AA102)-1)+1)</f>
        <v/>
      </c>
      <c r="AB102" s="111">
        <f>INDEX('M03-S02'!$C$16:$C$198,2*(ROWS($Z$55:AB102)-1)+1)</f>
        <v>0</v>
      </c>
      <c r="AC102" s="96"/>
      <c r="AD102">
        <f>INDEX('M03-S02'!$X$16:$X$198,2*(ROWS($AD$55:AD102)-1)+1)</f>
        <v>0</v>
      </c>
      <c r="AE102" s="459"/>
      <c r="AF102" s="459"/>
      <c r="AG102" s="112"/>
      <c r="AH102" s="112"/>
      <c r="AI102" s="112"/>
      <c r="AJ102" s="112"/>
      <c r="AK102" s="113"/>
      <c r="AL102" s="113"/>
      <c r="AM102" s="113"/>
      <c r="AN102" s="113"/>
      <c r="AO102" s="52" t="str">
        <f>IFERROR(INDEX(PMELIGHTCON[Program Design],MATCH(AB102,PMELIGHTCON[Eff Desc 1],0)),"")</f>
        <v/>
      </c>
      <c r="AU102"/>
    </row>
    <row r="103" spans="1:47">
      <c r="A103" s="57">
        <f t="shared" si="5"/>
        <v>0</v>
      </c>
      <c r="B103" s="183" t="str">
        <f t="shared" si="6"/>
        <v/>
      </c>
      <c r="C103" t="str">
        <f>IFERROR(IF(R103&gt;0,INDEX(PMELIGHTCON[Measure '#],MATCH(AB103,PMELIGHTCON[Eff Desc 1],0)),""),"")</f>
        <v/>
      </c>
      <c r="D103" t="s">
        <v>947</v>
      </c>
      <c r="F103" s="112"/>
      <c r="G103" s="186">
        <f>INDEX('M03-S02'!$AB$16:$AB$198,2*(ROWS($G$55:G103)-1)+1)</f>
        <v>0</v>
      </c>
      <c r="H103" s="186"/>
      <c r="I103" s="184">
        <f>ROUND(INDEX('M03-S02'!$AE$16:$AE$198,2*(ROWS($I$55:I103)-1)+1),2)</f>
        <v>0</v>
      </c>
      <c r="J103" s="184">
        <f>ROUND(INDEX('M03-S02'!$AG$16:$AG$198,2*(ROWS($J$55:J103)-1)+1),2)</f>
        <v>0</v>
      </c>
      <c r="K103" s="52">
        <f>IFERROR(ROUND(INDEX('M03-S02'!$AU$16:$AU$198,2*(ROWS($K$55:K103)-1)+1),2),0)</f>
        <v>0</v>
      </c>
      <c r="M103" s="456">
        <f>INDEX('M03-S02'!$Q$16:$Q$198,2*(ROWS($M$55:M103)-1)+1)</f>
        <v>0</v>
      </c>
      <c r="N103" s="184" t="str">
        <f>IFERROR(INDEX('M03-S02'!$AK$16:$AK$198,2*(ROWS($N$55:N103)-1)+1),"")</f>
        <v/>
      </c>
      <c r="O103" s="456" t="str">
        <f>IFERROR(INDEX('M03-S02'!$AV$16:$AV$198,2*(ROWS($O$55:O103)-1)+1),"")</f>
        <v/>
      </c>
      <c r="P103" s="184" t="str">
        <f>IFERROR(IF(ISNUMBER(INDEX('M03-S02'!$AN$16:$AN$198,2*(ROWS($R$55:R103)-1)+1)),INDEX('M03-S02'!$AX$16:$AX$198,2*(ROWS($P$55:P103)-1)+1),""),"")</f>
        <v/>
      </c>
      <c r="Q103" s="184"/>
      <c r="R103" s="184">
        <f>IF(ISNUMBER(INDEX('M03-S02'!$AN$16:$AN$198,2*(ROWS($R$55:R103)-1)+1)),INDEX('M03-S02'!$AN$16:$AN$198,2*(ROWS($R$55:R103)-1)+1),0)</f>
        <v>0</v>
      </c>
      <c r="S103" s="459"/>
      <c r="T103" s="113"/>
      <c r="U103" s="140"/>
      <c r="V103" s="113"/>
      <c r="W103" s="96">
        <f>IFERROR(IF(NOT(ISNUMBER(INDEX('M03-S02'!$AN$16:$AN$198,2*(ROWS($R$55:R103)-1)+1))),INDEX('M03-S02'!$BC$16:$BC$198,2*(ROWS($R$55:R103)-1)+1),""),"")</f>
        <v>0</v>
      </c>
      <c r="X103" s="113"/>
      <c r="Y103" s="113"/>
      <c r="Z103" s="111">
        <f>INDEX('M03-S02'!$B$16:$B$198,2*(ROWS($Z$55:Z103)-1)+1)</f>
        <v>49</v>
      </c>
      <c r="AA103" s="111" t="str">
        <f>INDEX('M03-S02'!$I$16:$I$199,2*(ROWS($Z$55:AA103)-1)+1)</f>
        <v/>
      </c>
      <c r="AB103" s="111">
        <f>INDEX('M03-S02'!$C$16:$C$198,2*(ROWS($Z$55:AB103)-1)+1)</f>
        <v>0</v>
      </c>
      <c r="AC103" s="96"/>
      <c r="AD103">
        <f>INDEX('M03-S02'!$X$16:$X$198,2*(ROWS($AD$55:AD103)-1)+1)</f>
        <v>0</v>
      </c>
      <c r="AE103" s="459"/>
      <c r="AF103" s="459"/>
      <c r="AG103" s="112"/>
      <c r="AH103" s="112"/>
      <c r="AI103" s="112"/>
      <c r="AJ103" s="112"/>
      <c r="AK103" s="113"/>
      <c r="AL103" s="113"/>
      <c r="AM103" s="113"/>
      <c r="AN103" s="113"/>
      <c r="AO103" s="52" t="str">
        <f>IFERROR(INDEX(PMELIGHTCON[Program Design],MATCH(AB103,PMELIGHTCON[Eff Desc 1],0)),"")</f>
        <v/>
      </c>
      <c r="AU103"/>
    </row>
    <row r="104" spans="1:47">
      <c r="A104" s="57">
        <f t="shared" si="5"/>
        <v>0</v>
      </c>
      <c r="B104" s="183" t="str">
        <f t="shared" ref="B104" si="8">IF(C104="","",CONCATENATE(ROW(),"-",C104))</f>
        <v/>
      </c>
      <c r="C104" t="str">
        <f>IFERROR(IF(R104&gt;0,INDEX(PMELIGHTCON[Measure '#],MATCH(AB104,PMELIGHTCON[Eff Desc 1],0)),""),"")</f>
        <v/>
      </c>
      <c r="D104" t="s">
        <v>947</v>
      </c>
      <c r="F104" s="112"/>
      <c r="G104" s="186">
        <f>INDEX('M03-S02'!$AB$16:$AB$198,2*(ROWS($G$55:G104)-1)+1)</f>
        <v>0</v>
      </c>
      <c r="H104" s="186"/>
      <c r="I104" s="184">
        <f>ROUND(INDEX('M03-S02'!$AE$16:$AE$198,2*(ROWS($I$55:I104)-1)+1),2)</f>
        <v>0</v>
      </c>
      <c r="J104" s="184">
        <f>ROUND(INDEX('M03-S02'!$AG$16:$AG$198,2*(ROWS($J$55:J104)-1)+1),2)</f>
        <v>0</v>
      </c>
      <c r="K104" s="52">
        <f>IFERROR(ROUND(INDEX('M03-S02'!$AU$16:$AU$198,2*(ROWS($K$55:K104)-1)+1),2),0)</f>
        <v>0</v>
      </c>
      <c r="M104" s="456">
        <f>INDEX('M03-S02'!$Q$16:$Q$198,2*(ROWS($M$55:M104)-1)+1)</f>
        <v>0</v>
      </c>
      <c r="N104" s="184" t="str">
        <f>IFERROR(INDEX('M03-S02'!$AK$16:$AK$198,2*(ROWS($N$55:N104)-1)+1),"")</f>
        <v/>
      </c>
      <c r="O104" s="456" t="str">
        <f>IFERROR(INDEX('M03-S02'!$AV$16:$AV$198,2*(ROWS($O$55:O104)-1)+1),"")</f>
        <v/>
      </c>
      <c r="P104" s="184" t="str">
        <f>IFERROR(IF(ISNUMBER(INDEX('M03-S02'!$AN$16:$AN$198,2*(ROWS($R$55:R104)-1)+1)),INDEX('M03-S02'!$AX$16:$AX$198,2*(ROWS($P$55:P104)-1)+1),""),"")</f>
        <v/>
      </c>
      <c r="Q104" s="184"/>
      <c r="R104" s="184">
        <f>IF(ISNUMBER(INDEX('M03-S02'!$AN$16:$AN$198,2*(ROWS($R$55:R104)-1)+1)),INDEX('M03-S02'!$AN$16:$AN$198,2*(ROWS($R$55:R104)-1)+1),0)</f>
        <v>0</v>
      </c>
      <c r="S104" s="459"/>
      <c r="T104" s="113"/>
      <c r="U104" s="140"/>
      <c r="V104" s="113"/>
      <c r="W104" s="96">
        <f>IFERROR(IF(NOT(ISNUMBER(INDEX('M03-S02'!$AN$16:$AN$198,2*(ROWS($R$55:R104)-1)+1))),INDEX('M03-S02'!$BC$16:$BC$198,2*(ROWS($R$55:R104)-1)+1),""),"")</f>
        <v>0</v>
      </c>
      <c r="X104" s="113"/>
      <c r="Y104" s="113"/>
      <c r="Z104" s="111">
        <f>INDEX('M03-S02'!$B$16:$B$198,2*(ROWS($Z$55:Z104)-1)+1)</f>
        <v>50</v>
      </c>
      <c r="AA104" s="111" t="str">
        <f>INDEX('M03-S02'!$I$16:$I$199,2*(ROWS($Z$55:AA104)-1)+1)</f>
        <v/>
      </c>
      <c r="AB104" s="111">
        <f>INDEX('M03-S02'!$C$16:$C$198,2*(ROWS($Z$55:AB104)-1)+1)</f>
        <v>0</v>
      </c>
      <c r="AC104" s="96"/>
      <c r="AD104">
        <f>INDEX('M03-S02'!$X$16:$X$198,2*(ROWS($AD$55:AD104)-1)+1)</f>
        <v>0</v>
      </c>
      <c r="AE104" s="459"/>
      <c r="AF104" s="459"/>
      <c r="AG104" s="112"/>
      <c r="AH104" s="112"/>
      <c r="AI104" s="112"/>
      <c r="AJ104" s="112"/>
      <c r="AK104" s="113"/>
      <c r="AL104" s="113"/>
      <c r="AM104" s="113"/>
      <c r="AN104" s="113"/>
      <c r="AO104" s="52" t="str">
        <f>IFERROR(INDEX(PMELIGHTCON[Program Design],MATCH(AB104,PMELIGHTCON[Eff Desc 1],0)),"")</f>
        <v/>
      </c>
      <c r="AU104"/>
    </row>
    <row r="105" spans="1:47">
      <c r="A105" s="146" t="str">
        <f>CONCATENATE(MAIN3," ",M3S3)</f>
        <v>PRESCRIPTIVE MEASURES INPUT HVAC (Electric)</v>
      </c>
      <c r="B105" s="148"/>
      <c r="C105" s="148"/>
      <c r="D105" s="120"/>
      <c r="E105" s="120"/>
      <c r="F105" s="124"/>
      <c r="G105" s="120"/>
      <c r="H105" s="120"/>
      <c r="I105" s="125"/>
      <c r="J105" s="125"/>
      <c r="K105" s="125"/>
      <c r="L105" s="125"/>
      <c r="M105" s="457"/>
      <c r="N105" s="125"/>
      <c r="O105" s="457"/>
      <c r="P105" s="125"/>
      <c r="Q105" s="125"/>
      <c r="R105" s="125"/>
      <c r="S105" s="457"/>
      <c r="T105" s="125"/>
      <c r="U105" s="138"/>
      <c r="V105" s="125"/>
      <c r="W105" s="120"/>
      <c r="X105" s="125"/>
      <c r="Y105" s="125"/>
      <c r="Z105" s="124"/>
      <c r="AA105" s="124"/>
      <c r="AB105" s="124"/>
      <c r="AC105" s="126"/>
      <c r="AD105" s="120"/>
      <c r="AE105" s="457"/>
      <c r="AF105" s="457"/>
      <c r="AG105" s="124"/>
      <c r="AH105" s="124"/>
      <c r="AI105" s="124"/>
      <c r="AJ105" s="124"/>
      <c r="AK105" s="127"/>
      <c r="AL105" s="127"/>
      <c r="AM105" s="127"/>
      <c r="AN105" s="127"/>
      <c r="AO105" s="127"/>
      <c r="AU105"/>
    </row>
    <row r="106" spans="1:47">
      <c r="A106" s="57">
        <f t="shared" ref="A106:A155" si="9">PROJID</f>
        <v>0</v>
      </c>
      <c r="B106" s="183" t="str">
        <f t="shared" ref="B106:B154" si="10">IF(C106="","",CONCATENATE(ROW(),"-",C106))</f>
        <v/>
      </c>
      <c r="C106" t="str">
        <f>IFERROR(IF(R106&gt;0,INDEX(PMEHVAC[Measure '#],MATCH(AB106,PMEHVAC[Eff Desc 1],0)),""),"")</f>
        <v/>
      </c>
      <c r="D106" t="s">
        <v>947</v>
      </c>
      <c r="F106" s="112"/>
      <c r="G106" s="186" t="str">
        <f>INDEX('M03-S03'!$N$16:$N$198,2*(ROWS($G$106:G106)-1)+1)</f>
        <v/>
      </c>
      <c r="H106" s="186" t="str">
        <f>IF(ISNUMBER(INDEX('M03-S03'!$AO$16:$AO$198,2*(ROWS($R$106:R106)-1)+1)),"Total","")</f>
        <v/>
      </c>
      <c r="I106" s="184">
        <f>IFERROR(ROUND(INDEX('M03-S03'!$AA$16:$AA$198,2*(ROWS($I$106:I106)-1)+1),2),0)</f>
        <v>0</v>
      </c>
      <c r="J106" s="184">
        <f>IFERROR(ROUND(INDEX('M03-S03'!$AC$16:$AC$198,2*(ROWS($J$106:J106)-1)+1),2),0)</f>
        <v>0</v>
      </c>
      <c r="K106" s="52">
        <f>IFERROR(ROUND(INDEX('M03-S03'!$AU$16:$AU$198,2*(ROWS($K$106:K106)-1)+1),2),0)</f>
        <v>0</v>
      </c>
      <c r="L106" s="52" t="str">
        <f>IFERROR(IF(R106&gt;0,M106*INDEX(PMEHVAC[Incremental Cost],MATCH(AB106,PMEHVAC[Eff Desc 1],0)),""),"")</f>
        <v/>
      </c>
      <c r="M106" s="456">
        <f>INDEX('M03-S03'!$V$16:$V$198,2*(ROWS($M$106:M106)-1)+1)</f>
        <v>0</v>
      </c>
      <c r="N106" s="184" t="str">
        <f>IF(ISNUMBER(INDEX('M03-S03'!$AO$16:$AO$198,2*(ROWS($R$106:R106)-1)+1)),INDEX('M03-S03'!$AK$16:$AK$198,2*(ROWS($N$106:N106)-1)+1),"")</f>
        <v/>
      </c>
      <c r="O106" s="456" t="str">
        <f>IFERROR(IF(ISNUMBER(INDEX('M03-S03'!$AO$16:$AO$198,2*(ROWS($R$106:R106)-1)+1)),INDEX('M03-S03'!$AV$16:$AV$198,2*(ROWS($O$106:O106)-1)+1),""),"")</f>
        <v/>
      </c>
      <c r="P106" s="456" t="str">
        <f>IFERROR(IF(ISNUMBER(INDEX('M03-S03'!$AO$16:$AO$198,2*(ROWS($R$106:R106)-1)+1)),INDEX('M03-S03'!$AY$16:$AY$198,2*(ROWS($O$106:P106)-1)+1),""),"")</f>
        <v/>
      </c>
      <c r="Q106" s="113"/>
      <c r="R106" s="184">
        <f>IF(ISNUMBER(INDEX('M03-S03'!$AO$16:$AO$198,2*(ROWS($R$106:R106)-1)+1)),INDEX('M03-S03'!$AO$16:$AO$198,2*(ROWS($R$106:R106)-1)+1),0)</f>
        <v>0</v>
      </c>
      <c r="S106" s="459"/>
      <c r="T106" s="113"/>
      <c r="U106" s="140"/>
      <c r="V106" s="113"/>
      <c r="W106" s="96" t="str">
        <f>IFERROR(IF(NOT(ISNUMBER(INDEX('M03-S03'!$AN$16:$AN$198,2*(ROWS($R$106:R106)-1)+1))),INDEX('M03-S03'!$BC$16:$BC$198,2*(ROWS($R$106:R106)-1)+1),""),"")</f>
        <v/>
      </c>
      <c r="X106" s="113"/>
      <c r="Y106" s="113"/>
      <c r="Z106" s="111">
        <f>INDEX('M03-S03'!$B$16:$B$198,2*(ROWS($Z$106:Z106)-1)+1)</f>
        <v>1</v>
      </c>
      <c r="AA106" s="111" t="str">
        <f>INDEX('M03-S03'!$L$16:$L$199,2*(ROWS($Z$106:AA106)-1)+1)</f>
        <v/>
      </c>
      <c r="AB106" s="111">
        <f>INDEX('M03-S03'!$C$16:$C$198,2*(ROWS($Z$106:AB106)-1)+1)</f>
        <v>0</v>
      </c>
      <c r="AC106" t="str">
        <f>IFERROR(INDEX('M03-S03'!$J$16:$J$199,2*(ROWS(AC$106:AC106)-1)+1)&amp;" "&amp;INDEX('M03-S03'!$L$16:$L$199,2*(ROWS(AC$106:AC106)-1)+1)&amp;", "&amp;INDEX('M03-S03'!$P$16:$P$199,2*(ROWS(AC$106:AC106)-1)+1)&amp;" "&amp;INDEX('M03-S03'!$R$16:$R$199,2*(ROWS(AC$106:AC106)-1)+1),"")</f>
        <v xml:space="preserve"> ,  </v>
      </c>
      <c r="AD106" t="str">
        <f>IFERROR(INDEX('M03-S03'!$J$16:$J$199,2*(ROWS(AD$106:AD106)-1)+1)&amp;" "&amp;ROUND(INDEX('M03-S03'!$N$16:$N$199,2*(ROWS(AD$106:AD106)-1)+1),3),"")&amp;", "&amp;IFERROR(INDEX('M03-S03'!$P$16:$P$199,2*(ROWS(AD$106:AD106)-1)+1)&amp;" "&amp;ROUND(INDEX('M03-S03'!$T$16:$T$199,2*(ROWS(AD$106:AD106)-1)+1),3),"")</f>
        <v xml:space="preserve">, </v>
      </c>
      <c r="AE106" s="459"/>
      <c r="AF106" s="459"/>
      <c r="AG106" s="112"/>
      <c r="AH106" s="112"/>
      <c r="AI106" s="112"/>
      <c r="AJ106" s="112"/>
      <c r="AK106" s="113"/>
      <c r="AL106" s="113"/>
      <c r="AM106" s="113"/>
      <c r="AN106" s="113"/>
      <c r="AO106" s="52" t="str">
        <f>IFERROR(INDEX(PMEHVAC[Program Design],MATCH(AB106,PMEHVAC[Eff Desc 1],0)),"")</f>
        <v/>
      </c>
      <c r="AU106"/>
    </row>
    <row r="107" spans="1:47">
      <c r="A107" s="57">
        <f t="shared" si="9"/>
        <v>0</v>
      </c>
      <c r="B107" s="183" t="str">
        <f t="shared" ref="B107:B141" si="11">IF(C107="","",CONCATENATE(ROW(),"-",C107))</f>
        <v/>
      </c>
      <c r="C107" t="str">
        <f>IFERROR(IF(R107&gt;0,INDEX(PMEHVAC[Measure '#],MATCH(AB107,PMEHVAC[Eff Desc 1],0)),""),"")</f>
        <v/>
      </c>
      <c r="D107" t="s">
        <v>947</v>
      </c>
      <c r="F107" s="112"/>
      <c r="G107" s="186" t="str">
        <f>INDEX('M03-S03'!$N$16:$N$198,2*(ROWS($G$106:G107)-1)+1)</f>
        <v/>
      </c>
      <c r="H107" s="186" t="str">
        <f>IF(ISNUMBER(INDEX('M03-S03'!$AO$16:$AO$198,2*(ROWS($R$106:R107)-1)+1)),"Total","")</f>
        <v/>
      </c>
      <c r="I107" s="184">
        <f>IFERROR(ROUND(INDEX('M03-S03'!$AA$16:$AA$198,2*(ROWS($I$106:I107)-1)+1),2),0)</f>
        <v>0</v>
      </c>
      <c r="J107" s="184">
        <f>IFERROR(ROUND(INDEX('M03-S03'!$AC$16:$AC$198,2*(ROWS($J$106:J107)-1)+1),2),0)</f>
        <v>0</v>
      </c>
      <c r="K107" s="52">
        <f>IFERROR(ROUND(INDEX('M03-S03'!$AU$16:$AU$198,2*(ROWS($K$106:K107)-1)+1),2),0)</f>
        <v>0</v>
      </c>
      <c r="L107" s="52" t="str">
        <f>IFERROR(IF(R107&gt;0,M107*INDEX(PMEHVAC[Incremental Cost],MATCH(AB107,PMEHVAC[Eff Desc 1],0)),""),"")</f>
        <v/>
      </c>
      <c r="M107" s="456">
        <f>INDEX('M03-S03'!$V$16:$V$198,2*(ROWS($M$106:M107)-1)+1)</f>
        <v>0</v>
      </c>
      <c r="N107" s="184" t="str">
        <f>IF(ISNUMBER(INDEX('M03-S03'!$AO$16:$AO$198,2*(ROWS($R$106:R107)-1)+1)),INDEX('M03-S03'!$AK$16:$AK$198,2*(ROWS($N$106:N107)-1)+1),"")</f>
        <v/>
      </c>
      <c r="O107" s="456" t="str">
        <f>IFERROR(IF(ISNUMBER(INDEX('M03-S03'!$AO$16:$AO$198,2*(ROWS($R$106:R107)-1)+1)),INDEX('M03-S03'!$AV$16:$AV$198,2*(ROWS($O$106:O107)-1)+1),""),"")</f>
        <v/>
      </c>
      <c r="P107" s="456" t="str">
        <f>IFERROR(IF(ISNUMBER(INDEX('M03-S03'!$AO$16:$AO$198,2*(ROWS($R$106:R107)-1)+1)),INDEX('M03-S03'!$AY$16:$AY$198,2*(ROWS($O$106:P107)-1)+1),""),"")</f>
        <v/>
      </c>
      <c r="Q107" s="113"/>
      <c r="R107" s="184">
        <f>IF(ISNUMBER(INDEX('M03-S03'!$AO$16:$AO$198,2*(ROWS($R$106:R107)-1)+1)),INDEX('M03-S03'!$AO$16:$AO$198,2*(ROWS($R$106:R107)-1)+1),0)</f>
        <v>0</v>
      </c>
      <c r="S107" s="459"/>
      <c r="T107" s="113"/>
      <c r="U107" s="140"/>
      <c r="V107" s="113"/>
      <c r="W107" s="96" t="str">
        <f>IFERROR(IF(NOT(ISNUMBER(INDEX('M03-S03'!$AN$16:$AN$198,2*(ROWS($R$106:R107)-1)+1))),INDEX('M03-S03'!$BC$16:$BC$198,2*(ROWS($R$106:R107)-1)+1),""),"")</f>
        <v/>
      </c>
      <c r="X107" s="113"/>
      <c r="Y107" s="113"/>
      <c r="Z107" s="111">
        <f>INDEX('M03-S03'!$B$16:$B$198,2*(ROWS($Z$106:Z107)-1)+1)</f>
        <v>2</v>
      </c>
      <c r="AA107" s="111" t="str">
        <f>INDEX('M03-S03'!$L$16:$L$199,2*(ROWS($Z$106:AA107)-1)+1)</f>
        <v/>
      </c>
      <c r="AB107" s="111">
        <f>INDEX('M03-S03'!$C$16:$C$198,2*(ROWS($Z$106:AB107)-1)+1)</f>
        <v>0</v>
      </c>
      <c r="AC107" t="str">
        <f>IFERROR(INDEX('M03-S03'!$J$16:$J$199,2*(ROWS(AC$106:AC107)-1)+1)&amp;" "&amp;INDEX('M03-S03'!$L$16:$L$199,2*(ROWS(AC$106:AC107)-1)+1)&amp;", "&amp;INDEX('M03-S03'!$P$16:$P$199,2*(ROWS(AC$106:AC107)-1)+1)&amp;" "&amp;INDEX('M03-S03'!$R$16:$R$199,2*(ROWS(AC$106:AC107)-1)+1),"")</f>
        <v xml:space="preserve"> ,  </v>
      </c>
      <c r="AD107" t="str">
        <f>IFERROR(INDEX('M03-S03'!$J$16:$J$199,2*(ROWS(AD$106:AD107)-1)+1)&amp;" "&amp;ROUND(INDEX('M03-S03'!$N$16:$N$199,2*(ROWS(AD$106:AD107)-1)+1),3),"")&amp;", "&amp;IFERROR(INDEX('M03-S03'!$P$16:$P$199,2*(ROWS(AD$106:AD107)-1)+1)&amp;" "&amp;ROUND(INDEX('M03-S03'!$T$16:$T$199,2*(ROWS(AD$106:AD107)-1)+1),3),"")</f>
        <v xml:space="preserve">, </v>
      </c>
      <c r="AE107" s="459"/>
      <c r="AF107" s="459"/>
      <c r="AG107" s="112"/>
      <c r="AH107" s="112"/>
      <c r="AI107" s="112"/>
      <c r="AJ107" s="112"/>
      <c r="AK107" s="113"/>
      <c r="AL107" s="113"/>
      <c r="AM107" s="113"/>
      <c r="AN107" s="113"/>
      <c r="AO107" s="52" t="str">
        <f>IFERROR(INDEX(PMEHVAC[Program Design],MATCH(AB107,PMEHVAC[Eff Desc 1],0)),"")</f>
        <v/>
      </c>
      <c r="AU107"/>
    </row>
    <row r="108" spans="1:47">
      <c r="A108" s="57">
        <f t="shared" si="9"/>
        <v>0</v>
      </c>
      <c r="B108" s="183" t="str">
        <f t="shared" si="11"/>
        <v/>
      </c>
      <c r="C108" t="str">
        <f>IFERROR(IF(R108&gt;0,INDEX(PMEHVAC[Measure '#],MATCH(AB108,PMEHVAC[Eff Desc 1],0)),""),"")</f>
        <v/>
      </c>
      <c r="D108" t="s">
        <v>947</v>
      </c>
      <c r="F108" s="112"/>
      <c r="G108" s="186" t="str">
        <f>INDEX('M03-S03'!$N$16:$N$198,2*(ROWS($G$106:G108)-1)+1)</f>
        <v/>
      </c>
      <c r="H108" s="186" t="str">
        <f>IF(ISNUMBER(INDEX('M03-S03'!$AO$16:$AO$198,2*(ROWS($R$106:R108)-1)+1)),"Total","")</f>
        <v/>
      </c>
      <c r="I108" s="184">
        <f>IFERROR(ROUND(INDEX('M03-S03'!$AA$16:$AA$198,2*(ROWS($I$106:I108)-1)+1),2),0)</f>
        <v>0</v>
      </c>
      <c r="J108" s="184">
        <f>IFERROR(ROUND(INDEX('M03-S03'!$AC$16:$AC$198,2*(ROWS($J$106:J108)-1)+1),2),0)</f>
        <v>0</v>
      </c>
      <c r="K108" s="52">
        <f>IFERROR(ROUND(INDEX('M03-S03'!$AU$16:$AU$198,2*(ROWS($K$106:K108)-1)+1),2),0)</f>
        <v>0</v>
      </c>
      <c r="L108" s="52" t="str">
        <f>IFERROR(IF(R108&gt;0,M108*INDEX(PMEHVAC[Incremental Cost],MATCH(AB108,PMEHVAC[Eff Desc 1],0)),""),"")</f>
        <v/>
      </c>
      <c r="M108" s="456">
        <f>INDEX('M03-S03'!$V$16:$V$198,2*(ROWS($M$106:M108)-1)+1)</f>
        <v>0</v>
      </c>
      <c r="N108" s="184" t="str">
        <f>IF(ISNUMBER(INDEX('M03-S03'!$AO$16:$AO$198,2*(ROWS($R$106:R108)-1)+1)),INDEX('M03-S03'!$AK$16:$AK$198,2*(ROWS($N$106:N108)-1)+1),"")</f>
        <v/>
      </c>
      <c r="O108" s="456" t="str">
        <f>IFERROR(IF(ISNUMBER(INDEX('M03-S03'!$AO$16:$AO$198,2*(ROWS($R$106:R108)-1)+1)),INDEX('M03-S03'!$AV$16:$AV$198,2*(ROWS($O$106:O108)-1)+1),""),"")</f>
        <v/>
      </c>
      <c r="P108" s="456" t="str">
        <f>IFERROR(IF(ISNUMBER(INDEX('M03-S03'!$AO$16:$AO$198,2*(ROWS($R$106:R108)-1)+1)),INDEX('M03-S03'!$AY$16:$AY$198,2*(ROWS($O$106:P108)-1)+1),""),"")</f>
        <v/>
      </c>
      <c r="Q108" s="113"/>
      <c r="R108" s="184">
        <f>IF(ISNUMBER(INDEX('M03-S03'!$AO$16:$AO$198,2*(ROWS($R$106:R108)-1)+1)),INDEX('M03-S03'!$AO$16:$AO$198,2*(ROWS($R$106:R108)-1)+1),0)</f>
        <v>0</v>
      </c>
      <c r="S108" s="459"/>
      <c r="T108" s="113"/>
      <c r="U108" s="140"/>
      <c r="V108" s="113"/>
      <c r="W108" s="96" t="str">
        <f>IFERROR(IF(NOT(ISNUMBER(INDEX('M03-S03'!$AO$16:$AO$198,2*(ROWS($R$106:R108)-1)+1))),INDEX('M03-S03'!$BC$16:$BC$198,2*(ROWS($R$106:R108)-1)+1),""),"")</f>
        <v/>
      </c>
      <c r="X108" s="113"/>
      <c r="Y108" s="113"/>
      <c r="Z108" s="111">
        <f>INDEX('M03-S03'!$B$16:$B$198,2*(ROWS($Z$106:Z108)-1)+1)</f>
        <v>3</v>
      </c>
      <c r="AA108" s="111" t="str">
        <f>INDEX('M03-S03'!$L$16:$L$199,2*(ROWS($Z$106:AA108)-1)+1)</f>
        <v/>
      </c>
      <c r="AB108" s="111">
        <f>INDEX('M03-S03'!$C$16:$C$198,2*(ROWS($Z$106:AB108)-1)+1)</f>
        <v>0</v>
      </c>
      <c r="AC108" t="str">
        <f>IFERROR(INDEX('M03-S03'!$J$16:$J$199,2*(ROWS(AC$106:AC108)-1)+1)&amp;" "&amp;INDEX('M03-S03'!$L$16:$L$199,2*(ROWS(AC$106:AC108)-1)+1)&amp;", "&amp;INDEX('M03-S03'!$P$16:$P$199,2*(ROWS(AC$106:AC108)-1)+1)&amp;" "&amp;INDEX('M03-S03'!$R$16:$R$199,2*(ROWS(AC$106:AC108)-1)+1),"")</f>
        <v xml:space="preserve"> ,  </v>
      </c>
      <c r="AD108" t="str">
        <f>IFERROR(INDEX('M03-S03'!$J$16:$J$199,2*(ROWS(AD$106:AD108)-1)+1)&amp;" "&amp;ROUND(INDEX('M03-S03'!$N$16:$N$199,2*(ROWS(AD$106:AD108)-1)+1),3),"")&amp;", "&amp;IFERROR(INDEX('M03-S03'!$P$16:$P$199,2*(ROWS(AD$106:AD108)-1)+1)&amp;" "&amp;ROUND(INDEX('M03-S03'!$T$16:$T$199,2*(ROWS(AD$106:AD108)-1)+1),3),"")</f>
        <v xml:space="preserve">, </v>
      </c>
      <c r="AE108" s="459"/>
      <c r="AF108" s="459"/>
      <c r="AG108" s="112"/>
      <c r="AH108" s="112"/>
      <c r="AI108" s="112"/>
      <c r="AJ108" s="112"/>
      <c r="AK108" s="113"/>
      <c r="AL108" s="113"/>
      <c r="AM108" s="113"/>
      <c r="AN108" s="113"/>
      <c r="AO108" s="52" t="str">
        <f>IFERROR(INDEX(PMEHVAC[Program Design],MATCH(AB108,PMEHVAC[Eff Desc 1],0)),"")</f>
        <v/>
      </c>
      <c r="AU108"/>
    </row>
    <row r="109" spans="1:47">
      <c r="A109" s="57">
        <f t="shared" si="9"/>
        <v>0</v>
      </c>
      <c r="B109" s="183" t="str">
        <f t="shared" si="11"/>
        <v/>
      </c>
      <c r="C109" t="str">
        <f>IFERROR(IF(R109&gt;0,INDEX(PMEHVAC[Measure '#],MATCH(AB109,PMEHVAC[Eff Desc 1],0)),""),"")</f>
        <v/>
      </c>
      <c r="D109" t="s">
        <v>947</v>
      </c>
      <c r="F109" s="112"/>
      <c r="G109" s="186" t="str">
        <f>INDEX('M03-S03'!$N$16:$N$198,2*(ROWS($G$106:G109)-1)+1)</f>
        <v/>
      </c>
      <c r="H109" s="186" t="str">
        <f>IF(ISNUMBER(INDEX('M03-S03'!$AO$16:$AO$198,2*(ROWS($R$106:R109)-1)+1)),"Total","")</f>
        <v/>
      </c>
      <c r="I109" s="184">
        <f>IFERROR(ROUND(INDEX('M03-S03'!$AA$16:$AA$198,2*(ROWS($I$106:I109)-1)+1),2),0)</f>
        <v>0</v>
      </c>
      <c r="J109" s="184">
        <f>IFERROR(ROUND(INDEX('M03-S03'!$AC$16:$AC$198,2*(ROWS($J$106:J109)-1)+1),2),0)</f>
        <v>0</v>
      </c>
      <c r="K109" s="52">
        <f>IFERROR(ROUND(INDEX('M03-S03'!$AU$16:$AU$198,2*(ROWS($K$106:K109)-1)+1),2),0)</f>
        <v>0</v>
      </c>
      <c r="L109" s="52" t="str">
        <f>IFERROR(IF(R109&gt;0,M109*INDEX(PMEHVAC[Incremental Cost],MATCH(AB109,PMEHVAC[Eff Desc 1],0)),""),"")</f>
        <v/>
      </c>
      <c r="M109" s="456">
        <f>INDEX('M03-S03'!$V$16:$V$198,2*(ROWS($M$106:M109)-1)+1)</f>
        <v>0</v>
      </c>
      <c r="N109" s="184" t="str">
        <f>IF(ISNUMBER(INDEX('M03-S03'!$AO$16:$AO$198,2*(ROWS($R$106:R109)-1)+1)),INDEX('M03-S03'!$AK$16:$AK$198,2*(ROWS($N$106:N109)-1)+1),"")</f>
        <v/>
      </c>
      <c r="O109" s="456" t="str">
        <f>IFERROR(IF(ISNUMBER(INDEX('M03-S03'!$AO$16:$AO$198,2*(ROWS($R$106:R109)-1)+1)),INDEX('M03-S03'!$AV$16:$AV$198,2*(ROWS($O$106:O109)-1)+1),""),"")</f>
        <v/>
      </c>
      <c r="P109" s="456" t="str">
        <f>IFERROR(IF(ISNUMBER(INDEX('M03-S03'!$AO$16:$AO$198,2*(ROWS($R$106:R109)-1)+1)),INDEX('M03-S03'!$AY$16:$AY$198,2*(ROWS($O$106:P109)-1)+1),""),"")</f>
        <v/>
      </c>
      <c r="Q109" s="113"/>
      <c r="R109" s="184">
        <f>IF(ISNUMBER(INDEX('M03-S03'!$AO$16:$AO$198,2*(ROWS($R$106:R109)-1)+1)),INDEX('M03-S03'!$AO$16:$AO$198,2*(ROWS($R$106:R109)-1)+1),0)</f>
        <v>0</v>
      </c>
      <c r="S109" s="459"/>
      <c r="T109" s="113"/>
      <c r="U109" s="140"/>
      <c r="V109" s="113"/>
      <c r="W109" s="96" t="str">
        <f>IFERROR(IF(NOT(ISNUMBER(INDEX('M03-S03'!$AO$16:$AO$198,2*(ROWS($R$106:R109)-1)+1))),INDEX('M03-S03'!$BC$16:$BC$198,2*(ROWS($R$106:R109)-1)+1),""),"")</f>
        <v/>
      </c>
      <c r="X109" s="113"/>
      <c r="Y109" s="113"/>
      <c r="Z109" s="111">
        <f>INDEX('M03-S03'!$B$16:$B$198,2*(ROWS($Z$106:Z109)-1)+1)</f>
        <v>4</v>
      </c>
      <c r="AA109" s="111" t="str">
        <f>INDEX('M03-S03'!$L$16:$L$199,2*(ROWS($Z$106:AA109)-1)+1)</f>
        <v/>
      </c>
      <c r="AB109" s="111">
        <f>INDEX('M03-S03'!$C$16:$C$198,2*(ROWS($Z$106:AB109)-1)+1)</f>
        <v>0</v>
      </c>
      <c r="AC109" t="str">
        <f>IFERROR(INDEX('M03-S03'!$J$16:$J$199,2*(ROWS(AC$106:AC109)-1)+1)&amp;" "&amp;INDEX('M03-S03'!$L$16:$L$199,2*(ROWS(AC$106:AC109)-1)+1)&amp;", "&amp;INDEX('M03-S03'!$P$16:$P$199,2*(ROWS(AC$106:AC109)-1)+1)&amp;" "&amp;INDEX('M03-S03'!$R$16:$R$199,2*(ROWS(AC$106:AC109)-1)+1),"")</f>
        <v xml:space="preserve"> ,  </v>
      </c>
      <c r="AD109" t="str">
        <f>IFERROR(INDEX('M03-S03'!$J$16:$J$199,2*(ROWS(AD$106:AD109)-1)+1)&amp;" "&amp;ROUND(INDEX('M03-S03'!$N$16:$N$199,2*(ROWS(AD$106:AD109)-1)+1),3),"")&amp;", "&amp;IFERROR(INDEX('M03-S03'!$P$16:$P$199,2*(ROWS(AD$106:AD109)-1)+1)&amp;" "&amp;ROUND(INDEX('M03-S03'!$T$16:$T$199,2*(ROWS(AD$106:AD109)-1)+1),3),"")</f>
        <v xml:space="preserve">, </v>
      </c>
      <c r="AE109" s="459"/>
      <c r="AF109" s="459"/>
      <c r="AG109" s="112"/>
      <c r="AH109" s="112"/>
      <c r="AI109" s="112"/>
      <c r="AJ109" s="112"/>
      <c r="AK109" s="113"/>
      <c r="AL109" s="113"/>
      <c r="AM109" s="113"/>
      <c r="AN109" s="113"/>
      <c r="AO109" s="52" t="str">
        <f>IFERROR(INDEX(PMEHVAC[Program Design],MATCH(AB109,PMEHVAC[Eff Desc 1],0)),"")</f>
        <v/>
      </c>
      <c r="AU109"/>
    </row>
    <row r="110" spans="1:47">
      <c r="A110" s="57">
        <f t="shared" si="9"/>
        <v>0</v>
      </c>
      <c r="B110" s="183" t="str">
        <f t="shared" si="11"/>
        <v/>
      </c>
      <c r="C110" t="str">
        <f>IFERROR(IF(R110&gt;0,INDEX(PMEHVAC[Measure '#],MATCH(AB110,PMEHVAC[Eff Desc 1],0)),""),"")</f>
        <v/>
      </c>
      <c r="D110" t="s">
        <v>947</v>
      </c>
      <c r="F110" s="112"/>
      <c r="G110" s="186" t="str">
        <f>INDEX('M03-S03'!$N$16:$N$198,2*(ROWS($G$106:G110)-1)+1)</f>
        <v/>
      </c>
      <c r="H110" s="186" t="str">
        <f>IF(ISNUMBER(INDEX('M03-S03'!$AO$16:$AO$198,2*(ROWS($R$106:R110)-1)+1)),"Total","")</f>
        <v/>
      </c>
      <c r="I110" s="184">
        <f>IFERROR(ROUND(INDEX('M03-S03'!$AA$16:$AA$198,2*(ROWS($I$106:I110)-1)+1),2),0)</f>
        <v>0</v>
      </c>
      <c r="J110" s="184">
        <f>IFERROR(ROUND(INDEX('M03-S03'!$AC$16:$AC$198,2*(ROWS($J$106:J110)-1)+1),2),0)</f>
        <v>0</v>
      </c>
      <c r="K110" s="52">
        <f>IFERROR(ROUND(INDEX('M03-S03'!$AU$16:$AU$198,2*(ROWS($K$106:K110)-1)+1),2),0)</f>
        <v>0</v>
      </c>
      <c r="L110" s="52" t="str">
        <f>IFERROR(IF(R110&gt;0,M110*INDEX(PMEHVAC[Incremental Cost],MATCH(AB110,PMEHVAC[Eff Desc 1],0)),""),"")</f>
        <v/>
      </c>
      <c r="M110" s="456">
        <f>INDEX('M03-S03'!$V$16:$V$198,2*(ROWS($M$106:M110)-1)+1)</f>
        <v>0</v>
      </c>
      <c r="N110" s="184" t="str">
        <f>IF(ISNUMBER(INDEX('M03-S03'!$AO$16:$AO$198,2*(ROWS($R$106:R110)-1)+1)),INDEX('M03-S03'!$AK$16:$AK$198,2*(ROWS($N$106:N110)-1)+1),"")</f>
        <v/>
      </c>
      <c r="O110" s="456" t="str">
        <f>IFERROR(IF(ISNUMBER(INDEX('M03-S03'!$AO$16:$AO$198,2*(ROWS($R$106:R110)-1)+1)),INDEX('M03-S03'!$AV$16:$AV$198,2*(ROWS($O$106:O110)-1)+1),""),"")</f>
        <v/>
      </c>
      <c r="P110" s="456" t="str">
        <f>IFERROR(IF(ISNUMBER(INDEX('M03-S03'!$AO$16:$AO$198,2*(ROWS($R$106:R110)-1)+1)),INDEX('M03-S03'!$AY$16:$AY$198,2*(ROWS($O$106:P110)-1)+1),""),"")</f>
        <v/>
      </c>
      <c r="Q110" s="113"/>
      <c r="R110" s="184">
        <f>IF(ISNUMBER(INDEX('M03-S03'!$AO$16:$AO$198,2*(ROWS($R$106:R110)-1)+1)),INDEX('M03-S03'!$AO$16:$AO$198,2*(ROWS($R$106:R110)-1)+1),0)</f>
        <v>0</v>
      </c>
      <c r="S110" s="459"/>
      <c r="T110" s="113"/>
      <c r="U110" s="140"/>
      <c r="V110" s="113"/>
      <c r="W110" s="96" t="str">
        <f>IFERROR(IF(NOT(ISNUMBER(INDEX('M03-S03'!$AO$16:$AO$198,2*(ROWS($R$106:R110)-1)+1))),INDEX('M03-S03'!$BC$16:$BC$198,2*(ROWS($R$106:R110)-1)+1),""),"")</f>
        <v/>
      </c>
      <c r="X110" s="113"/>
      <c r="Y110" s="113"/>
      <c r="Z110" s="111">
        <f>INDEX('M03-S03'!$B$16:$B$198,2*(ROWS($Z$106:Z110)-1)+1)</f>
        <v>5</v>
      </c>
      <c r="AA110" s="111" t="str">
        <f>INDEX('M03-S03'!$L$16:$L$199,2*(ROWS($Z$106:AA110)-1)+1)</f>
        <v/>
      </c>
      <c r="AB110" s="111">
        <f>INDEX('M03-S03'!$C$16:$C$198,2*(ROWS($Z$106:AB110)-1)+1)</f>
        <v>0</v>
      </c>
      <c r="AC110" t="str">
        <f>IFERROR(INDEX('M03-S03'!$J$16:$J$199,2*(ROWS(AC$106:AC110)-1)+1)&amp;" "&amp;INDEX('M03-S03'!$L$16:$L$199,2*(ROWS(AC$106:AC110)-1)+1)&amp;", "&amp;INDEX('M03-S03'!$P$16:$P$199,2*(ROWS(AC$106:AC110)-1)+1)&amp;" "&amp;INDEX('M03-S03'!$R$16:$R$199,2*(ROWS(AC$106:AC110)-1)+1),"")</f>
        <v xml:space="preserve"> ,  </v>
      </c>
      <c r="AD110" t="str">
        <f>IFERROR(INDEX('M03-S03'!$J$16:$J$199,2*(ROWS(AD$106:AD110)-1)+1)&amp;" "&amp;ROUND(INDEX('M03-S03'!$N$16:$N$199,2*(ROWS(AD$106:AD110)-1)+1),3),"")&amp;", "&amp;IFERROR(INDEX('M03-S03'!$P$16:$P$199,2*(ROWS(AD$106:AD110)-1)+1)&amp;" "&amp;ROUND(INDEX('M03-S03'!$T$16:$T$199,2*(ROWS(AD$106:AD110)-1)+1),3),"")</f>
        <v xml:space="preserve">, </v>
      </c>
      <c r="AE110" s="459"/>
      <c r="AF110" s="459"/>
      <c r="AG110" s="112"/>
      <c r="AH110" s="112"/>
      <c r="AI110" s="112"/>
      <c r="AJ110" s="112"/>
      <c r="AK110" s="113"/>
      <c r="AL110" s="113"/>
      <c r="AM110" s="113"/>
      <c r="AN110" s="113"/>
      <c r="AO110" s="52" t="str">
        <f>IFERROR(INDEX(PMEHVAC[Program Design],MATCH(AB110,PMEHVAC[Eff Desc 1],0)),"")</f>
        <v/>
      </c>
      <c r="AU110"/>
    </row>
    <row r="111" spans="1:47">
      <c r="A111" s="57">
        <f t="shared" si="9"/>
        <v>0</v>
      </c>
      <c r="B111" s="183" t="str">
        <f t="shared" si="11"/>
        <v/>
      </c>
      <c r="C111" t="str">
        <f>IFERROR(IF(R111&gt;0,INDEX(PMEHVAC[Measure '#],MATCH(AB111,PMEHVAC[Eff Desc 1],0)),""),"")</f>
        <v/>
      </c>
      <c r="D111" t="s">
        <v>947</v>
      </c>
      <c r="F111" s="112"/>
      <c r="G111" s="186" t="str">
        <f>INDEX('M03-S03'!$N$16:$N$198,2*(ROWS($G$106:G111)-1)+1)</f>
        <v/>
      </c>
      <c r="H111" s="186" t="str">
        <f>IF(ISNUMBER(INDEX('M03-S03'!$AO$16:$AO$198,2*(ROWS($R$106:R111)-1)+1)),"Total","")</f>
        <v/>
      </c>
      <c r="I111" s="184">
        <f>IFERROR(ROUND(INDEX('M03-S03'!$AA$16:$AA$198,2*(ROWS($I$106:I111)-1)+1),2),0)</f>
        <v>0</v>
      </c>
      <c r="J111" s="184">
        <f>IFERROR(ROUND(INDEX('M03-S03'!$AC$16:$AC$198,2*(ROWS($J$106:J111)-1)+1),2),0)</f>
        <v>0</v>
      </c>
      <c r="K111" s="52">
        <f>IFERROR(ROUND(INDEX('M03-S03'!$AU$16:$AU$198,2*(ROWS($K$106:K111)-1)+1),2),0)</f>
        <v>0</v>
      </c>
      <c r="L111" s="52" t="str">
        <f>IFERROR(IF(R111&gt;0,M111*INDEX(PMEHVAC[Incremental Cost],MATCH(AB111,PMEHVAC[Eff Desc 1],0)),""),"")</f>
        <v/>
      </c>
      <c r="M111" s="456">
        <f>INDEX('M03-S03'!$V$16:$V$198,2*(ROWS($M$106:M111)-1)+1)</f>
        <v>0</v>
      </c>
      <c r="N111" s="184" t="str">
        <f>IF(ISNUMBER(INDEX('M03-S03'!$AO$16:$AO$198,2*(ROWS($R$106:R111)-1)+1)),INDEX('M03-S03'!$AK$16:$AK$198,2*(ROWS($N$106:N111)-1)+1),"")</f>
        <v/>
      </c>
      <c r="O111" s="456" t="str">
        <f>IFERROR(IF(ISNUMBER(INDEX('M03-S03'!$AO$16:$AO$198,2*(ROWS($R$106:R111)-1)+1)),INDEX('M03-S03'!$AV$16:$AV$198,2*(ROWS($O$106:O111)-1)+1),""),"")</f>
        <v/>
      </c>
      <c r="P111" s="456" t="str">
        <f>IFERROR(IF(ISNUMBER(INDEX('M03-S03'!$AO$16:$AO$198,2*(ROWS($R$106:R111)-1)+1)),INDEX('M03-S03'!$AY$16:$AY$198,2*(ROWS($O$106:P111)-1)+1),""),"")</f>
        <v/>
      </c>
      <c r="Q111" s="113"/>
      <c r="R111" s="184">
        <f>IF(ISNUMBER(INDEX('M03-S03'!$AO$16:$AO$198,2*(ROWS($R$106:R111)-1)+1)),INDEX('M03-S03'!$AO$16:$AO$198,2*(ROWS($R$106:R111)-1)+1),0)</f>
        <v>0</v>
      </c>
      <c r="S111" s="459"/>
      <c r="T111" s="113"/>
      <c r="U111" s="140"/>
      <c r="V111" s="113"/>
      <c r="W111" s="96" t="str">
        <f>IFERROR(IF(NOT(ISNUMBER(INDEX('M03-S03'!$AO$16:$AO$198,2*(ROWS($R$106:R111)-1)+1))),INDEX('M03-S03'!$BC$16:$BC$198,2*(ROWS($R$106:R111)-1)+1),""),"")</f>
        <v/>
      </c>
      <c r="X111" s="113"/>
      <c r="Y111" s="113"/>
      <c r="Z111" s="111">
        <f>INDEX('M03-S03'!$B$16:$B$198,2*(ROWS($Z$106:Z111)-1)+1)</f>
        <v>6</v>
      </c>
      <c r="AA111" s="111" t="str">
        <f>INDEX('M03-S03'!$L$16:$L$199,2*(ROWS($Z$106:AA111)-1)+1)</f>
        <v/>
      </c>
      <c r="AB111" s="111">
        <f>INDEX('M03-S03'!$C$16:$C$198,2*(ROWS($Z$106:AB111)-1)+1)</f>
        <v>0</v>
      </c>
      <c r="AC111" t="str">
        <f>IFERROR(INDEX('M03-S03'!$J$16:$J$199,2*(ROWS(AC$106:AC111)-1)+1)&amp;" "&amp;INDEX('M03-S03'!$L$16:$L$199,2*(ROWS(AC$106:AC111)-1)+1)&amp;", "&amp;INDEX('M03-S03'!$P$16:$P$199,2*(ROWS(AC$106:AC111)-1)+1)&amp;" "&amp;INDEX('M03-S03'!$R$16:$R$199,2*(ROWS(AC$106:AC111)-1)+1),"")</f>
        <v xml:space="preserve"> ,  </v>
      </c>
      <c r="AD111" t="str">
        <f>IFERROR(INDEX('M03-S03'!$J$16:$J$199,2*(ROWS(AD$106:AD111)-1)+1)&amp;" "&amp;ROUND(INDEX('M03-S03'!$N$16:$N$199,2*(ROWS(AD$106:AD111)-1)+1),3),"")&amp;", "&amp;IFERROR(INDEX('M03-S03'!$P$16:$P$199,2*(ROWS(AD$106:AD111)-1)+1)&amp;" "&amp;ROUND(INDEX('M03-S03'!$T$16:$T$199,2*(ROWS(AD$106:AD111)-1)+1),3),"")</f>
        <v xml:space="preserve">, </v>
      </c>
      <c r="AE111" s="459"/>
      <c r="AF111" s="459"/>
      <c r="AG111" s="112"/>
      <c r="AH111" s="112"/>
      <c r="AI111" s="112"/>
      <c r="AJ111" s="112"/>
      <c r="AK111" s="113"/>
      <c r="AL111" s="113"/>
      <c r="AM111" s="113"/>
      <c r="AN111" s="113"/>
      <c r="AO111" s="52" t="str">
        <f>IFERROR(INDEX(PMEHVAC[Program Design],MATCH(AB111,PMEHVAC[Eff Desc 1],0)),"")</f>
        <v/>
      </c>
      <c r="AU111"/>
    </row>
    <row r="112" spans="1:47">
      <c r="A112" s="57">
        <f t="shared" si="9"/>
        <v>0</v>
      </c>
      <c r="B112" s="183" t="str">
        <f t="shared" si="11"/>
        <v/>
      </c>
      <c r="C112" t="str">
        <f>IFERROR(IF(R112&gt;0,INDEX(PMEHVAC[Measure '#],MATCH(AB112,PMEHVAC[Eff Desc 1],0)),""),"")</f>
        <v/>
      </c>
      <c r="D112" t="s">
        <v>947</v>
      </c>
      <c r="F112" s="112"/>
      <c r="G112" s="186" t="str">
        <f>INDEX('M03-S03'!$N$16:$N$198,2*(ROWS($G$106:G112)-1)+1)</f>
        <v/>
      </c>
      <c r="H112" s="186" t="str">
        <f>IF(ISNUMBER(INDEX('M03-S03'!$AO$16:$AO$198,2*(ROWS($R$106:R112)-1)+1)),"Total","")</f>
        <v/>
      </c>
      <c r="I112" s="184">
        <f>IFERROR(ROUND(INDEX('M03-S03'!$AA$16:$AA$198,2*(ROWS($I$106:I112)-1)+1),2),0)</f>
        <v>0</v>
      </c>
      <c r="J112" s="184">
        <f>IFERROR(ROUND(INDEX('M03-S03'!$AC$16:$AC$198,2*(ROWS($J$106:J112)-1)+1),2),0)</f>
        <v>0</v>
      </c>
      <c r="K112" s="52">
        <f>IFERROR(ROUND(INDEX('M03-S03'!$AU$16:$AU$198,2*(ROWS($K$106:K112)-1)+1),2),0)</f>
        <v>0</v>
      </c>
      <c r="L112" s="52" t="str">
        <f>IFERROR(IF(R112&gt;0,M112*INDEX(PMEHVAC[Incremental Cost],MATCH(AB112,PMEHVAC[Eff Desc 1],0)),""),"")</f>
        <v/>
      </c>
      <c r="M112" s="456">
        <f>INDEX('M03-S03'!$V$16:$V$198,2*(ROWS($M$106:M112)-1)+1)</f>
        <v>0</v>
      </c>
      <c r="N112" s="184" t="str">
        <f>IF(ISNUMBER(INDEX('M03-S03'!$AO$16:$AO$198,2*(ROWS($R$106:R112)-1)+1)),INDEX('M03-S03'!$AK$16:$AK$198,2*(ROWS($N$106:N112)-1)+1),"")</f>
        <v/>
      </c>
      <c r="O112" s="456" t="str">
        <f>IFERROR(IF(ISNUMBER(INDEX('M03-S03'!$AO$16:$AO$198,2*(ROWS($R$106:R112)-1)+1)),INDEX('M03-S03'!$AV$16:$AV$198,2*(ROWS($O$106:O112)-1)+1),""),"")</f>
        <v/>
      </c>
      <c r="P112" s="456" t="str">
        <f>IFERROR(IF(ISNUMBER(INDEX('M03-S03'!$AO$16:$AO$198,2*(ROWS($R$106:R112)-1)+1)),INDEX('M03-S03'!$AY$16:$AY$198,2*(ROWS($O$106:P112)-1)+1),""),"")</f>
        <v/>
      </c>
      <c r="Q112" s="113"/>
      <c r="R112" s="184">
        <f>IF(ISNUMBER(INDEX('M03-S03'!$AO$16:$AO$198,2*(ROWS($R$106:R112)-1)+1)),INDEX('M03-S03'!$AO$16:$AO$198,2*(ROWS($R$106:R112)-1)+1),0)</f>
        <v>0</v>
      </c>
      <c r="S112" s="459"/>
      <c r="T112" s="113"/>
      <c r="U112" s="140"/>
      <c r="V112" s="113"/>
      <c r="W112" s="96" t="str">
        <f>IFERROR(IF(NOT(ISNUMBER(INDEX('M03-S03'!$AO$16:$AO$198,2*(ROWS($R$106:R112)-1)+1))),INDEX('M03-S03'!$BC$16:$BC$198,2*(ROWS($R$106:R112)-1)+1),""),"")</f>
        <v/>
      </c>
      <c r="X112" s="113"/>
      <c r="Y112" s="113"/>
      <c r="Z112" s="111">
        <f>INDEX('M03-S03'!$B$16:$B$198,2*(ROWS($Z$106:Z112)-1)+1)</f>
        <v>7</v>
      </c>
      <c r="AA112" s="111" t="str">
        <f>INDEX('M03-S03'!$L$16:$L$199,2*(ROWS($Z$106:AA112)-1)+1)</f>
        <v/>
      </c>
      <c r="AB112" s="111">
        <f>INDEX('M03-S03'!$C$16:$C$198,2*(ROWS($Z$106:AB112)-1)+1)</f>
        <v>0</v>
      </c>
      <c r="AC112" t="str">
        <f>IFERROR(INDEX('M03-S03'!$J$16:$J$199,2*(ROWS(AC$106:AC112)-1)+1)&amp;" "&amp;INDEX('M03-S03'!$L$16:$L$199,2*(ROWS(AC$106:AC112)-1)+1)&amp;", "&amp;INDEX('M03-S03'!$P$16:$P$199,2*(ROWS(AC$106:AC112)-1)+1)&amp;" "&amp;INDEX('M03-S03'!$R$16:$R$199,2*(ROWS(AC$106:AC112)-1)+1),"")</f>
        <v xml:space="preserve"> ,  </v>
      </c>
      <c r="AD112" t="str">
        <f>IFERROR(INDEX('M03-S03'!$J$16:$J$199,2*(ROWS(AD$106:AD112)-1)+1)&amp;" "&amp;ROUND(INDEX('M03-S03'!$N$16:$N$199,2*(ROWS(AD$106:AD112)-1)+1),3),"")&amp;", "&amp;IFERROR(INDEX('M03-S03'!$P$16:$P$199,2*(ROWS(AD$106:AD112)-1)+1)&amp;" "&amp;ROUND(INDEX('M03-S03'!$T$16:$T$199,2*(ROWS(AD$106:AD112)-1)+1),3),"")</f>
        <v xml:space="preserve">, </v>
      </c>
      <c r="AE112" s="459"/>
      <c r="AF112" s="459"/>
      <c r="AG112" s="112"/>
      <c r="AH112" s="112"/>
      <c r="AI112" s="112"/>
      <c r="AJ112" s="112"/>
      <c r="AK112" s="113"/>
      <c r="AL112" s="113"/>
      <c r="AM112" s="113"/>
      <c r="AN112" s="113"/>
      <c r="AO112" s="52" t="str">
        <f>IFERROR(INDEX(PMEHVAC[Program Design],MATCH(AB112,PMEHVAC[Eff Desc 1],0)),"")</f>
        <v/>
      </c>
      <c r="AU112"/>
    </row>
    <row r="113" spans="1:47">
      <c r="A113" s="57">
        <f t="shared" si="9"/>
        <v>0</v>
      </c>
      <c r="B113" s="183" t="str">
        <f t="shared" si="11"/>
        <v/>
      </c>
      <c r="C113" t="str">
        <f>IFERROR(IF(R113&gt;0,INDEX(PMEHVAC[Measure '#],MATCH(AB113,PMEHVAC[Eff Desc 1],0)),""),"")</f>
        <v/>
      </c>
      <c r="D113" t="s">
        <v>947</v>
      </c>
      <c r="F113" s="112"/>
      <c r="G113" s="186" t="str">
        <f>INDEX('M03-S03'!$N$16:$N$198,2*(ROWS($G$106:G113)-1)+1)</f>
        <v/>
      </c>
      <c r="H113" s="186" t="str">
        <f>IF(ISNUMBER(INDEX('M03-S03'!$AO$16:$AO$198,2*(ROWS($R$106:R113)-1)+1)),"Total","")</f>
        <v/>
      </c>
      <c r="I113" s="184">
        <f>IFERROR(ROUND(INDEX('M03-S03'!$AA$16:$AA$198,2*(ROWS($I$106:I113)-1)+1),2),0)</f>
        <v>0</v>
      </c>
      <c r="J113" s="184">
        <f>IFERROR(ROUND(INDEX('M03-S03'!$AC$16:$AC$198,2*(ROWS($J$106:J113)-1)+1),2),0)</f>
        <v>0</v>
      </c>
      <c r="K113" s="52">
        <f>IFERROR(ROUND(INDEX('M03-S03'!$AU$16:$AU$198,2*(ROWS($K$106:K113)-1)+1),2),0)</f>
        <v>0</v>
      </c>
      <c r="L113" s="52" t="str">
        <f>IFERROR(IF(R113&gt;0,M113*INDEX(PMEHVAC[Incremental Cost],MATCH(AB113,PMEHVAC[Eff Desc 1],0)),""),"")</f>
        <v/>
      </c>
      <c r="M113" s="456">
        <f>INDEX('M03-S03'!$V$16:$V$198,2*(ROWS($M$106:M113)-1)+1)</f>
        <v>0</v>
      </c>
      <c r="N113" s="184" t="str">
        <f>IF(ISNUMBER(INDEX('M03-S03'!$AO$16:$AO$198,2*(ROWS($R$106:R113)-1)+1)),INDEX('M03-S03'!$AK$16:$AK$198,2*(ROWS($N$106:N113)-1)+1),"")</f>
        <v/>
      </c>
      <c r="O113" s="456" t="str">
        <f>IFERROR(IF(ISNUMBER(INDEX('M03-S03'!$AO$16:$AO$198,2*(ROWS($R$106:R113)-1)+1)),INDEX('M03-S03'!$AV$16:$AV$198,2*(ROWS($O$106:O113)-1)+1),""),"")</f>
        <v/>
      </c>
      <c r="P113" s="456" t="str">
        <f>IFERROR(IF(ISNUMBER(INDEX('M03-S03'!$AO$16:$AO$198,2*(ROWS($R$106:R113)-1)+1)),INDEX('M03-S03'!$AY$16:$AY$198,2*(ROWS($O$106:P113)-1)+1),""),"")</f>
        <v/>
      </c>
      <c r="Q113" s="113"/>
      <c r="R113" s="184">
        <f>IF(ISNUMBER(INDEX('M03-S03'!$AO$16:$AO$198,2*(ROWS($R$106:R113)-1)+1)),INDEX('M03-S03'!$AO$16:$AO$198,2*(ROWS($R$106:R113)-1)+1),0)</f>
        <v>0</v>
      </c>
      <c r="S113" s="459"/>
      <c r="T113" s="113"/>
      <c r="U113" s="140"/>
      <c r="V113" s="113"/>
      <c r="W113" s="96" t="str">
        <f>IFERROR(IF(NOT(ISNUMBER(INDEX('M03-S03'!$AO$16:$AO$198,2*(ROWS($R$106:R113)-1)+1))),INDEX('M03-S03'!$BC$16:$BC$198,2*(ROWS($R$106:R113)-1)+1),""),"")</f>
        <v/>
      </c>
      <c r="X113" s="113"/>
      <c r="Y113" s="113"/>
      <c r="Z113" s="111">
        <f>INDEX('M03-S03'!$B$16:$B$198,2*(ROWS($Z$106:Z113)-1)+1)</f>
        <v>8</v>
      </c>
      <c r="AA113" s="111" t="str">
        <f>INDEX('M03-S03'!$L$16:$L$199,2*(ROWS($Z$106:AA113)-1)+1)</f>
        <v/>
      </c>
      <c r="AB113" s="111">
        <f>INDEX('M03-S03'!$C$16:$C$198,2*(ROWS($Z$106:AB113)-1)+1)</f>
        <v>0</v>
      </c>
      <c r="AC113" t="str">
        <f>IFERROR(INDEX('M03-S03'!$J$16:$J$199,2*(ROWS(AC$106:AC113)-1)+1)&amp;" "&amp;INDEX('M03-S03'!$L$16:$L$199,2*(ROWS(AC$106:AC113)-1)+1)&amp;", "&amp;INDEX('M03-S03'!$P$16:$P$199,2*(ROWS(AC$106:AC113)-1)+1)&amp;" "&amp;INDEX('M03-S03'!$R$16:$R$199,2*(ROWS(AC$106:AC113)-1)+1),"")</f>
        <v xml:space="preserve"> ,  </v>
      </c>
      <c r="AD113" t="str">
        <f>IFERROR(INDEX('M03-S03'!$J$16:$J$199,2*(ROWS(AD$106:AD113)-1)+1)&amp;" "&amp;ROUND(INDEX('M03-S03'!$N$16:$N$199,2*(ROWS(AD$106:AD113)-1)+1),3),"")&amp;", "&amp;IFERROR(INDEX('M03-S03'!$P$16:$P$199,2*(ROWS(AD$106:AD113)-1)+1)&amp;" "&amp;ROUND(INDEX('M03-S03'!$T$16:$T$199,2*(ROWS(AD$106:AD113)-1)+1),3),"")</f>
        <v xml:space="preserve">, </v>
      </c>
      <c r="AE113" s="459"/>
      <c r="AF113" s="459"/>
      <c r="AG113" s="112"/>
      <c r="AH113" s="112"/>
      <c r="AI113" s="112"/>
      <c r="AJ113" s="112"/>
      <c r="AK113" s="113"/>
      <c r="AL113" s="113"/>
      <c r="AM113" s="113"/>
      <c r="AN113" s="113"/>
      <c r="AO113" s="52" t="str">
        <f>IFERROR(INDEX(PMEHVAC[Program Design],MATCH(AB113,PMEHVAC[Eff Desc 1],0)),"")</f>
        <v/>
      </c>
      <c r="AU113"/>
    </row>
    <row r="114" spans="1:47">
      <c r="A114" s="57">
        <f t="shared" si="9"/>
        <v>0</v>
      </c>
      <c r="B114" s="183" t="str">
        <f t="shared" si="11"/>
        <v/>
      </c>
      <c r="C114" t="str">
        <f>IFERROR(IF(R114&gt;0,INDEX(PMEHVAC[Measure '#],MATCH(AB114,PMEHVAC[Eff Desc 1],0)),""),"")</f>
        <v/>
      </c>
      <c r="D114" t="s">
        <v>947</v>
      </c>
      <c r="F114" s="112"/>
      <c r="G114" s="186" t="str">
        <f>INDEX('M03-S03'!$N$16:$N$198,2*(ROWS($G$106:G114)-1)+1)</f>
        <v/>
      </c>
      <c r="H114" s="186" t="str">
        <f>IF(ISNUMBER(INDEX('M03-S03'!$AO$16:$AO$198,2*(ROWS($R$106:R114)-1)+1)),"Total","")</f>
        <v/>
      </c>
      <c r="I114" s="184">
        <f>IFERROR(ROUND(INDEX('M03-S03'!$AA$16:$AA$198,2*(ROWS($I$106:I114)-1)+1),2),0)</f>
        <v>0</v>
      </c>
      <c r="J114" s="184">
        <f>IFERROR(ROUND(INDEX('M03-S03'!$AC$16:$AC$198,2*(ROWS($J$106:J114)-1)+1),2),0)</f>
        <v>0</v>
      </c>
      <c r="K114" s="52">
        <f>IFERROR(ROUND(INDEX('M03-S03'!$AU$16:$AU$198,2*(ROWS($K$106:K114)-1)+1),2),0)</f>
        <v>0</v>
      </c>
      <c r="L114" s="52" t="str">
        <f>IFERROR(IF(R114&gt;0,M114*INDEX(PMEHVAC[Incremental Cost],MATCH(AB114,PMEHVAC[Eff Desc 1],0)),""),"")</f>
        <v/>
      </c>
      <c r="M114" s="456">
        <f>INDEX('M03-S03'!$V$16:$V$198,2*(ROWS($M$106:M114)-1)+1)</f>
        <v>0</v>
      </c>
      <c r="N114" s="184" t="str">
        <f>IF(ISNUMBER(INDEX('M03-S03'!$AO$16:$AO$198,2*(ROWS($R$106:R114)-1)+1)),INDEX('M03-S03'!$AK$16:$AK$198,2*(ROWS($N$106:N114)-1)+1),"")</f>
        <v/>
      </c>
      <c r="O114" s="456" t="str">
        <f>IFERROR(IF(ISNUMBER(INDEX('M03-S03'!$AO$16:$AO$198,2*(ROWS($R$106:R114)-1)+1)),INDEX('M03-S03'!$AV$16:$AV$198,2*(ROWS($O$106:O114)-1)+1),""),"")</f>
        <v/>
      </c>
      <c r="P114" s="456" t="str">
        <f>IFERROR(IF(ISNUMBER(INDEX('M03-S03'!$AO$16:$AO$198,2*(ROWS($R$106:R114)-1)+1)),INDEX('M03-S03'!$AY$16:$AY$198,2*(ROWS($O$106:P114)-1)+1),""),"")</f>
        <v/>
      </c>
      <c r="Q114" s="113"/>
      <c r="R114" s="184">
        <f>IF(ISNUMBER(INDEX('M03-S03'!$AO$16:$AO$198,2*(ROWS($R$106:R114)-1)+1)),INDEX('M03-S03'!$AO$16:$AO$198,2*(ROWS($R$106:R114)-1)+1),0)</f>
        <v>0</v>
      </c>
      <c r="S114" s="459"/>
      <c r="T114" s="113"/>
      <c r="U114" s="140"/>
      <c r="V114" s="113"/>
      <c r="W114" s="96" t="str">
        <f>IFERROR(IF(NOT(ISNUMBER(INDEX('M03-S03'!$AO$16:$AO$198,2*(ROWS($R$106:R114)-1)+1))),INDEX('M03-S03'!$BC$16:$BC$198,2*(ROWS($R$106:R114)-1)+1),""),"")</f>
        <v/>
      </c>
      <c r="X114" s="113"/>
      <c r="Y114" s="113"/>
      <c r="Z114" s="111">
        <f>INDEX('M03-S03'!$B$16:$B$198,2*(ROWS($Z$106:Z114)-1)+1)</f>
        <v>9</v>
      </c>
      <c r="AA114" s="111" t="str">
        <f>INDEX('M03-S03'!$L$16:$L$199,2*(ROWS($Z$106:AA114)-1)+1)</f>
        <v/>
      </c>
      <c r="AB114" s="111">
        <f>INDEX('M03-S03'!$C$16:$C$198,2*(ROWS($Z$106:AB114)-1)+1)</f>
        <v>0</v>
      </c>
      <c r="AC114" t="str">
        <f>IFERROR(INDEX('M03-S03'!$J$16:$J$199,2*(ROWS(AC$106:AC114)-1)+1)&amp;" "&amp;INDEX('M03-S03'!$L$16:$L$199,2*(ROWS(AC$106:AC114)-1)+1)&amp;", "&amp;INDEX('M03-S03'!$P$16:$P$199,2*(ROWS(AC$106:AC114)-1)+1)&amp;" "&amp;INDEX('M03-S03'!$R$16:$R$199,2*(ROWS(AC$106:AC114)-1)+1),"")</f>
        <v xml:space="preserve"> ,  </v>
      </c>
      <c r="AD114" t="str">
        <f>IFERROR(INDEX('M03-S03'!$J$16:$J$199,2*(ROWS(AD$106:AD114)-1)+1)&amp;" "&amp;ROUND(INDEX('M03-S03'!$N$16:$N$199,2*(ROWS(AD$106:AD114)-1)+1),3),"")&amp;", "&amp;IFERROR(INDEX('M03-S03'!$P$16:$P$199,2*(ROWS(AD$106:AD114)-1)+1)&amp;" "&amp;ROUND(INDEX('M03-S03'!$T$16:$T$199,2*(ROWS(AD$106:AD114)-1)+1),3),"")</f>
        <v xml:space="preserve">, </v>
      </c>
      <c r="AE114" s="459"/>
      <c r="AF114" s="459"/>
      <c r="AG114" s="112"/>
      <c r="AH114" s="112"/>
      <c r="AI114" s="112"/>
      <c r="AJ114" s="112"/>
      <c r="AK114" s="113"/>
      <c r="AL114" s="113"/>
      <c r="AM114" s="113"/>
      <c r="AN114" s="113"/>
      <c r="AO114" s="52" t="str">
        <f>IFERROR(INDEX(PMEHVAC[Program Design],MATCH(AB114,PMEHVAC[Eff Desc 1],0)),"")</f>
        <v/>
      </c>
      <c r="AU114"/>
    </row>
    <row r="115" spans="1:47">
      <c r="A115" s="57">
        <f t="shared" si="9"/>
        <v>0</v>
      </c>
      <c r="B115" s="183" t="str">
        <f t="shared" si="11"/>
        <v/>
      </c>
      <c r="C115" t="str">
        <f>IFERROR(IF(R115&gt;0,INDEX(PMEHVAC[Measure '#],MATCH(AB115,PMEHVAC[Eff Desc 1],0)),""),"")</f>
        <v/>
      </c>
      <c r="D115" t="s">
        <v>947</v>
      </c>
      <c r="F115" s="112"/>
      <c r="G115" s="186" t="str">
        <f>INDEX('M03-S03'!$N$16:$N$198,2*(ROWS($G$106:G115)-1)+1)</f>
        <v/>
      </c>
      <c r="H115" s="186" t="str">
        <f>IF(ISNUMBER(INDEX('M03-S03'!$AO$16:$AO$198,2*(ROWS($R$106:R115)-1)+1)),"Total","")</f>
        <v/>
      </c>
      <c r="I115" s="184">
        <f>IFERROR(ROUND(INDEX('M03-S03'!$AA$16:$AA$198,2*(ROWS($I$106:I115)-1)+1),2),0)</f>
        <v>0</v>
      </c>
      <c r="J115" s="184">
        <f>IFERROR(ROUND(INDEX('M03-S03'!$AC$16:$AC$198,2*(ROWS($J$106:J115)-1)+1),2),0)</f>
        <v>0</v>
      </c>
      <c r="K115" s="52">
        <f>IFERROR(ROUND(INDEX('M03-S03'!$AU$16:$AU$198,2*(ROWS($K$106:K115)-1)+1),2),0)</f>
        <v>0</v>
      </c>
      <c r="L115" s="52" t="str">
        <f>IFERROR(IF(R115&gt;0,M115*INDEX(PMEHVAC[Incremental Cost],MATCH(AB115,PMEHVAC[Eff Desc 1],0)),""),"")</f>
        <v/>
      </c>
      <c r="M115" s="456">
        <f>INDEX('M03-S03'!$V$16:$V$198,2*(ROWS($M$106:M115)-1)+1)</f>
        <v>0</v>
      </c>
      <c r="N115" s="184" t="str">
        <f>IF(ISNUMBER(INDEX('M03-S03'!$AO$16:$AO$198,2*(ROWS($R$106:R115)-1)+1)),INDEX('M03-S03'!$AK$16:$AK$198,2*(ROWS($N$106:N115)-1)+1),"")</f>
        <v/>
      </c>
      <c r="O115" s="456" t="str">
        <f>IFERROR(IF(ISNUMBER(INDEX('M03-S03'!$AO$16:$AO$198,2*(ROWS($R$106:R115)-1)+1)),INDEX('M03-S03'!$AV$16:$AV$198,2*(ROWS($O$106:O115)-1)+1),""),"")</f>
        <v/>
      </c>
      <c r="P115" s="456" t="str">
        <f>IFERROR(IF(ISNUMBER(INDEX('M03-S03'!$AO$16:$AO$198,2*(ROWS($R$106:R115)-1)+1)),INDEX('M03-S03'!$AY$16:$AY$198,2*(ROWS($O$106:P115)-1)+1),""),"")</f>
        <v/>
      </c>
      <c r="Q115" s="113"/>
      <c r="R115" s="184">
        <f>IF(ISNUMBER(INDEX('M03-S03'!$AO$16:$AO$198,2*(ROWS($R$106:R115)-1)+1)),INDEX('M03-S03'!$AO$16:$AO$198,2*(ROWS($R$106:R115)-1)+1),0)</f>
        <v>0</v>
      </c>
      <c r="S115" s="459"/>
      <c r="T115" s="113"/>
      <c r="U115" s="140"/>
      <c r="V115" s="113"/>
      <c r="W115" s="96" t="str">
        <f>IFERROR(IF(NOT(ISNUMBER(INDEX('M03-S03'!$AO$16:$AO$198,2*(ROWS($R$106:R115)-1)+1))),INDEX('M03-S03'!$BC$16:$BC$198,2*(ROWS($R$106:R115)-1)+1),""),"")</f>
        <v/>
      </c>
      <c r="X115" s="113"/>
      <c r="Y115" s="113"/>
      <c r="Z115" s="111">
        <f>INDEX('M03-S03'!$B$16:$B$198,2*(ROWS($Z$106:Z115)-1)+1)</f>
        <v>10</v>
      </c>
      <c r="AA115" s="111" t="str">
        <f>INDEX('M03-S03'!$L$16:$L$199,2*(ROWS($Z$106:AA115)-1)+1)</f>
        <v/>
      </c>
      <c r="AB115" s="111">
        <f>INDEX('M03-S03'!$C$16:$C$198,2*(ROWS($Z$106:AB115)-1)+1)</f>
        <v>0</v>
      </c>
      <c r="AC115" t="str">
        <f>IFERROR(INDEX('M03-S03'!$J$16:$J$199,2*(ROWS(AC$106:AC115)-1)+1)&amp;" "&amp;INDEX('M03-S03'!$L$16:$L$199,2*(ROWS(AC$106:AC115)-1)+1)&amp;", "&amp;INDEX('M03-S03'!$P$16:$P$199,2*(ROWS(AC$106:AC115)-1)+1)&amp;" "&amp;INDEX('M03-S03'!$R$16:$R$199,2*(ROWS(AC$106:AC115)-1)+1),"")</f>
        <v xml:space="preserve"> ,  </v>
      </c>
      <c r="AD115" t="str">
        <f>IFERROR(INDEX('M03-S03'!$J$16:$J$199,2*(ROWS(AD$106:AD115)-1)+1)&amp;" "&amp;ROUND(INDEX('M03-S03'!$N$16:$N$199,2*(ROWS(AD$106:AD115)-1)+1),3),"")&amp;", "&amp;IFERROR(INDEX('M03-S03'!$P$16:$P$199,2*(ROWS(AD$106:AD115)-1)+1)&amp;" "&amp;ROUND(INDEX('M03-S03'!$T$16:$T$199,2*(ROWS(AD$106:AD115)-1)+1),3),"")</f>
        <v xml:space="preserve">, </v>
      </c>
      <c r="AE115" s="459"/>
      <c r="AF115" s="459"/>
      <c r="AG115" s="112"/>
      <c r="AH115" s="112"/>
      <c r="AI115" s="112"/>
      <c r="AJ115" s="112"/>
      <c r="AK115" s="113"/>
      <c r="AL115" s="113"/>
      <c r="AM115" s="113"/>
      <c r="AN115" s="113"/>
      <c r="AO115" s="52" t="str">
        <f>IFERROR(INDEX(PMEHVAC[Program Design],MATCH(AB115,PMEHVAC[Eff Desc 1],0)),"")</f>
        <v/>
      </c>
      <c r="AU115"/>
    </row>
    <row r="116" spans="1:47">
      <c r="A116" s="57">
        <f t="shared" si="9"/>
        <v>0</v>
      </c>
      <c r="B116" s="183" t="str">
        <f t="shared" si="11"/>
        <v/>
      </c>
      <c r="C116" t="str">
        <f>IFERROR(IF(R116&gt;0,INDEX(PMEHVAC[Measure '#],MATCH(AB116,PMEHVAC[Eff Desc 1],0)),""),"")</f>
        <v/>
      </c>
      <c r="D116" t="s">
        <v>947</v>
      </c>
      <c r="F116" s="112"/>
      <c r="G116" s="186">
        <f>INDEX('M03-S03'!$N$16:$N$198,2*(ROWS($G$106:G116)-1)+1)</f>
        <v>0</v>
      </c>
      <c r="H116" s="186" t="str">
        <f>IF(ISNUMBER(INDEX('M03-S03'!$AO$16:$AO$198,2*(ROWS($R$106:R116)-1)+1)),"Total","")</f>
        <v/>
      </c>
      <c r="I116" s="184">
        <f>IFERROR(ROUND(INDEX('M03-S03'!$AA$16:$AA$198,2*(ROWS($I$106:I116)-1)+1),2),0)</f>
        <v>0</v>
      </c>
      <c r="J116" s="184">
        <f>IFERROR(ROUND(INDEX('M03-S03'!$AC$16:$AC$198,2*(ROWS($J$106:J116)-1)+1),2),0)</f>
        <v>0</v>
      </c>
      <c r="K116" s="52">
        <f>IFERROR(ROUND(INDEX('M03-S03'!$AU$16:$AU$198,2*(ROWS($K$106:K116)-1)+1),2),0)</f>
        <v>0</v>
      </c>
      <c r="L116" s="52" t="str">
        <f>IFERROR(IF(R116&gt;0,M116*INDEX(PMEHVAC[Incremental Cost],MATCH(AB116,PMEHVAC[Eff Desc 1],0)),""),"")</f>
        <v/>
      </c>
      <c r="M116" s="456">
        <f>INDEX('M03-S03'!$V$16:$V$198,2*(ROWS($M$106:M116)-1)+1)</f>
        <v>0</v>
      </c>
      <c r="N116" s="184" t="str">
        <f>IF(ISNUMBER(INDEX('M03-S03'!$AO$16:$AO$198,2*(ROWS($R$106:R116)-1)+1)),INDEX('M03-S03'!$AK$16:$AK$198,2*(ROWS($N$106:N116)-1)+1),"")</f>
        <v/>
      </c>
      <c r="O116" s="456" t="str">
        <f>IFERROR(IF(ISNUMBER(INDEX('M03-S03'!$AO$16:$AO$198,2*(ROWS($R$106:R116)-1)+1)),INDEX('M03-S03'!$AV$16:$AV$198,2*(ROWS($O$106:O116)-1)+1),""),"")</f>
        <v/>
      </c>
      <c r="P116" s="456" t="str">
        <f>IFERROR(IF(ISNUMBER(INDEX('M03-S03'!$AO$16:$AO$198,2*(ROWS($R$106:R116)-1)+1)),INDEX('M03-S03'!$AY$16:$AY$198,2*(ROWS($O$106:P116)-1)+1),""),"")</f>
        <v/>
      </c>
      <c r="Q116" s="113"/>
      <c r="R116" s="184">
        <f>IF(ISNUMBER(INDEX('M03-S03'!$AO$16:$AO$198,2*(ROWS($R$106:R116)-1)+1)),INDEX('M03-S03'!$AO$16:$AO$198,2*(ROWS($R$106:R116)-1)+1),0)</f>
        <v>0</v>
      </c>
      <c r="S116" s="459"/>
      <c r="T116" s="113"/>
      <c r="U116" s="140"/>
      <c r="V116" s="113"/>
      <c r="W116" s="96">
        <f>IFERROR(IF(NOT(ISNUMBER(INDEX('M03-S03'!$AO$16:$AO$198,2*(ROWS($R$106:R116)-1)+1))),INDEX('M03-S03'!$BC$16:$BC$198,2*(ROWS($R$106:R116)-1)+1),""),"")</f>
        <v>0</v>
      </c>
      <c r="X116" s="113"/>
      <c r="Y116" s="113"/>
      <c r="Z116" s="111">
        <f>INDEX('M03-S03'!$B$16:$B$198,2*(ROWS($Z$106:Z116)-1)+1)</f>
        <v>11</v>
      </c>
      <c r="AA116" s="111" t="str">
        <f>INDEX('M03-S03'!$L$16:$L$199,2*(ROWS($Z$106:AA116)-1)+1)</f>
        <v/>
      </c>
      <c r="AB116" s="111">
        <f>INDEX('M03-S03'!$C$16:$C$198,2*(ROWS($Z$106:AB116)-1)+1)</f>
        <v>0</v>
      </c>
      <c r="AC116" t="str">
        <f>IFERROR(INDEX('M03-S03'!$J$16:$J$199,2*(ROWS(AC$106:AC116)-1)+1)&amp;" "&amp;INDEX('M03-S03'!$L$16:$L$199,2*(ROWS(AC$106:AC116)-1)+1)&amp;", "&amp;INDEX('M03-S03'!$P$16:$P$199,2*(ROWS(AC$106:AC116)-1)+1)&amp;" "&amp;INDEX('M03-S03'!$R$16:$R$199,2*(ROWS(AC$106:AC116)-1)+1),"")</f>
        <v xml:space="preserve"> ,  </v>
      </c>
      <c r="AD116" t="str">
        <f>IFERROR(INDEX('M03-S03'!$J$16:$J$199,2*(ROWS(AD$106:AD116)-1)+1)&amp;" "&amp;ROUND(INDEX('M03-S03'!$N$16:$N$199,2*(ROWS(AD$106:AD116)-1)+1),3),"")&amp;", "&amp;IFERROR(INDEX('M03-S03'!$P$16:$P$199,2*(ROWS(AD$106:AD116)-1)+1)&amp;" "&amp;ROUND(INDEX('M03-S03'!$T$16:$T$199,2*(ROWS(AD$106:AD116)-1)+1),3),"")</f>
        <v xml:space="preserve"> 0,  0</v>
      </c>
      <c r="AE116" s="459"/>
      <c r="AF116" s="459"/>
      <c r="AG116" s="112"/>
      <c r="AH116" s="112"/>
      <c r="AI116" s="112"/>
      <c r="AJ116" s="112"/>
      <c r="AK116" s="113"/>
      <c r="AL116" s="113"/>
      <c r="AM116" s="113"/>
      <c r="AN116" s="113"/>
      <c r="AO116" s="52" t="str">
        <f>IFERROR(INDEX(PMEHVAC[Program Design],MATCH(AB116,PMEHVAC[Eff Desc 1],0)),"")</f>
        <v/>
      </c>
      <c r="AU116"/>
    </row>
    <row r="117" spans="1:47">
      <c r="A117" s="57">
        <f t="shared" si="9"/>
        <v>0</v>
      </c>
      <c r="B117" s="183" t="str">
        <f t="shared" si="11"/>
        <v/>
      </c>
      <c r="C117" t="str">
        <f>IFERROR(IF(R117&gt;0,INDEX(PMEHVAC[Measure '#],MATCH(AB117,PMEHVAC[Eff Desc 1],0)),""),"")</f>
        <v/>
      </c>
      <c r="D117" t="s">
        <v>947</v>
      </c>
      <c r="F117" s="112"/>
      <c r="G117" s="186">
        <f>INDEX('M03-S03'!$N$16:$N$198,2*(ROWS($G$106:G117)-1)+1)</f>
        <v>0</v>
      </c>
      <c r="H117" s="186" t="str">
        <f>IF(ISNUMBER(INDEX('M03-S03'!$AO$16:$AO$198,2*(ROWS($R$106:R117)-1)+1)),"Total","")</f>
        <v/>
      </c>
      <c r="I117" s="184">
        <f>IFERROR(ROUND(INDEX('M03-S03'!$AA$16:$AA$198,2*(ROWS($I$106:I117)-1)+1),2),0)</f>
        <v>0</v>
      </c>
      <c r="J117" s="184">
        <f>IFERROR(ROUND(INDEX('M03-S03'!$AC$16:$AC$198,2*(ROWS($J$106:J117)-1)+1),2),0)</f>
        <v>0</v>
      </c>
      <c r="K117" s="52">
        <f>IFERROR(ROUND(INDEX('M03-S03'!$AU$16:$AU$198,2*(ROWS($K$106:K117)-1)+1),2),0)</f>
        <v>0</v>
      </c>
      <c r="L117" s="52" t="str">
        <f>IFERROR(IF(R117&gt;0,M117*INDEX(PMEHVAC[Incremental Cost],MATCH(AB117,PMEHVAC[Eff Desc 1],0)),""),"")</f>
        <v/>
      </c>
      <c r="M117" s="456">
        <f>INDEX('M03-S03'!$V$16:$V$198,2*(ROWS($M$106:M117)-1)+1)</f>
        <v>0</v>
      </c>
      <c r="N117" s="184" t="str">
        <f>IF(ISNUMBER(INDEX('M03-S03'!$AO$16:$AO$198,2*(ROWS($R$106:R117)-1)+1)),INDEX('M03-S03'!$AK$16:$AK$198,2*(ROWS($N$106:N117)-1)+1),"")</f>
        <v/>
      </c>
      <c r="O117" s="456" t="str">
        <f>IFERROR(IF(ISNUMBER(INDEX('M03-S03'!$AO$16:$AO$198,2*(ROWS($R$106:R117)-1)+1)),INDEX('M03-S03'!$AV$16:$AV$198,2*(ROWS($O$106:O117)-1)+1),""),"")</f>
        <v/>
      </c>
      <c r="P117" s="456" t="str">
        <f>IFERROR(IF(ISNUMBER(INDEX('M03-S03'!$AO$16:$AO$198,2*(ROWS($R$106:R117)-1)+1)),INDEX('M03-S03'!$AY$16:$AY$198,2*(ROWS($O$106:P117)-1)+1),""),"")</f>
        <v/>
      </c>
      <c r="Q117" s="113"/>
      <c r="R117" s="184">
        <f>IF(ISNUMBER(INDEX('M03-S03'!$AO$16:$AO$198,2*(ROWS($R$106:R117)-1)+1)),INDEX('M03-S03'!$AO$16:$AO$198,2*(ROWS($R$106:R117)-1)+1),0)</f>
        <v>0</v>
      </c>
      <c r="S117" s="459"/>
      <c r="T117" s="113"/>
      <c r="U117" s="140"/>
      <c r="V117" s="113"/>
      <c r="W117" s="96">
        <f>IFERROR(IF(NOT(ISNUMBER(INDEX('M03-S03'!$AO$16:$AO$198,2*(ROWS($R$106:R117)-1)+1))),INDEX('M03-S03'!$BC$16:$BC$198,2*(ROWS($R$106:R117)-1)+1),""),"")</f>
        <v>0</v>
      </c>
      <c r="X117" s="113"/>
      <c r="Y117" s="113"/>
      <c r="Z117" s="111">
        <f>INDEX('M03-S03'!$B$16:$B$198,2*(ROWS($Z$106:Z117)-1)+1)</f>
        <v>12</v>
      </c>
      <c r="AA117" s="111" t="str">
        <f>INDEX('M03-S03'!$L$16:$L$199,2*(ROWS($Z$106:AA117)-1)+1)</f>
        <v/>
      </c>
      <c r="AB117" s="111">
        <f>INDEX('M03-S03'!$C$16:$C$198,2*(ROWS($Z$106:AB117)-1)+1)</f>
        <v>0</v>
      </c>
      <c r="AC117" t="str">
        <f>IFERROR(INDEX('M03-S03'!$J$16:$J$199,2*(ROWS(AC$106:AC117)-1)+1)&amp;" "&amp;INDEX('M03-S03'!$L$16:$L$199,2*(ROWS(AC$106:AC117)-1)+1)&amp;", "&amp;INDEX('M03-S03'!$P$16:$P$199,2*(ROWS(AC$106:AC117)-1)+1)&amp;" "&amp;INDEX('M03-S03'!$R$16:$R$199,2*(ROWS(AC$106:AC117)-1)+1),"")</f>
        <v xml:space="preserve"> ,  </v>
      </c>
      <c r="AD117" t="str">
        <f>IFERROR(INDEX('M03-S03'!$J$16:$J$199,2*(ROWS(AD$106:AD117)-1)+1)&amp;" "&amp;ROUND(INDEX('M03-S03'!$N$16:$N$199,2*(ROWS(AD$106:AD117)-1)+1),3),"")&amp;", "&amp;IFERROR(INDEX('M03-S03'!$P$16:$P$199,2*(ROWS(AD$106:AD117)-1)+1)&amp;" "&amp;ROUND(INDEX('M03-S03'!$T$16:$T$199,2*(ROWS(AD$106:AD117)-1)+1),3),"")</f>
        <v xml:space="preserve"> 0,  0</v>
      </c>
      <c r="AE117" s="459"/>
      <c r="AF117" s="459"/>
      <c r="AG117" s="112"/>
      <c r="AH117" s="112"/>
      <c r="AI117" s="112"/>
      <c r="AJ117" s="112"/>
      <c r="AK117" s="113"/>
      <c r="AL117" s="113"/>
      <c r="AM117" s="113"/>
      <c r="AN117" s="113"/>
      <c r="AO117" s="52" t="str">
        <f>IFERROR(INDEX(PMEHVAC[Program Design],MATCH(AB117,PMEHVAC[Eff Desc 1],0)),"")</f>
        <v/>
      </c>
      <c r="AU117"/>
    </row>
    <row r="118" spans="1:47">
      <c r="A118" s="57">
        <f t="shared" si="9"/>
        <v>0</v>
      </c>
      <c r="B118" s="183" t="str">
        <f t="shared" si="11"/>
        <v/>
      </c>
      <c r="C118" t="str">
        <f>IFERROR(IF(R118&gt;0,INDEX(PMEHVAC[Measure '#],MATCH(AB118,PMEHVAC[Eff Desc 1],0)),""),"")</f>
        <v/>
      </c>
      <c r="D118" t="s">
        <v>947</v>
      </c>
      <c r="F118" s="112"/>
      <c r="G118" s="186">
        <f>INDEX('M03-S03'!$N$16:$N$198,2*(ROWS($G$106:G118)-1)+1)</f>
        <v>0</v>
      </c>
      <c r="H118" s="186" t="str">
        <f>IF(ISNUMBER(INDEX('M03-S03'!$AO$16:$AO$198,2*(ROWS($R$106:R118)-1)+1)),"Total","")</f>
        <v/>
      </c>
      <c r="I118" s="184">
        <f>IFERROR(ROUND(INDEX('M03-S03'!$AA$16:$AA$198,2*(ROWS($I$106:I118)-1)+1),2),0)</f>
        <v>0</v>
      </c>
      <c r="J118" s="184">
        <f>IFERROR(ROUND(INDEX('M03-S03'!$AC$16:$AC$198,2*(ROWS($J$106:J118)-1)+1),2),0)</f>
        <v>0</v>
      </c>
      <c r="K118" s="52">
        <f>IFERROR(ROUND(INDEX('M03-S03'!$AU$16:$AU$198,2*(ROWS($K$106:K118)-1)+1),2),0)</f>
        <v>0</v>
      </c>
      <c r="L118" s="52" t="str">
        <f>IFERROR(IF(R118&gt;0,M118*INDEX(PMEHVAC[Incremental Cost],MATCH(AB118,PMEHVAC[Eff Desc 1],0)),""),"")</f>
        <v/>
      </c>
      <c r="M118" s="456">
        <f>INDEX('M03-S03'!$V$16:$V$198,2*(ROWS($M$106:M118)-1)+1)</f>
        <v>0</v>
      </c>
      <c r="N118" s="184" t="str">
        <f>IF(ISNUMBER(INDEX('M03-S03'!$AO$16:$AO$198,2*(ROWS($R$106:R118)-1)+1)),INDEX('M03-S03'!$AK$16:$AK$198,2*(ROWS($N$106:N118)-1)+1),"")</f>
        <v/>
      </c>
      <c r="O118" s="456" t="str">
        <f>IFERROR(IF(ISNUMBER(INDEX('M03-S03'!$AO$16:$AO$198,2*(ROWS($R$106:R118)-1)+1)),INDEX('M03-S03'!$AV$16:$AV$198,2*(ROWS($O$106:O118)-1)+1),""),"")</f>
        <v/>
      </c>
      <c r="P118" s="456" t="str">
        <f>IFERROR(IF(ISNUMBER(INDEX('M03-S03'!$AO$16:$AO$198,2*(ROWS($R$106:R118)-1)+1)),INDEX('M03-S03'!$AY$16:$AY$198,2*(ROWS($O$106:P118)-1)+1),""),"")</f>
        <v/>
      </c>
      <c r="Q118" s="113"/>
      <c r="R118" s="184">
        <f>IF(ISNUMBER(INDEX('M03-S03'!$AO$16:$AO$198,2*(ROWS($R$106:R118)-1)+1)),INDEX('M03-S03'!$AO$16:$AO$198,2*(ROWS($R$106:R118)-1)+1),0)</f>
        <v>0</v>
      </c>
      <c r="S118" s="459"/>
      <c r="T118" s="113"/>
      <c r="U118" s="140"/>
      <c r="V118" s="113"/>
      <c r="W118" s="96">
        <f>IFERROR(IF(NOT(ISNUMBER(INDEX('M03-S03'!$AO$16:$AO$198,2*(ROWS($R$106:R118)-1)+1))),INDEX('M03-S03'!$BC$16:$BC$198,2*(ROWS($R$106:R118)-1)+1),""),"")</f>
        <v>0</v>
      </c>
      <c r="X118" s="113"/>
      <c r="Y118" s="113"/>
      <c r="Z118" s="111">
        <f>INDEX('M03-S03'!$B$16:$B$198,2*(ROWS($Z$106:Z118)-1)+1)</f>
        <v>13</v>
      </c>
      <c r="AA118" s="111" t="str">
        <f>INDEX('M03-S03'!$L$16:$L$199,2*(ROWS($Z$106:AA118)-1)+1)</f>
        <v/>
      </c>
      <c r="AB118" s="111">
        <f>INDEX('M03-S03'!$C$16:$C$198,2*(ROWS($Z$106:AB118)-1)+1)</f>
        <v>0</v>
      </c>
      <c r="AC118" t="str">
        <f>IFERROR(INDEX('M03-S03'!$J$16:$J$199,2*(ROWS(AC$106:AC118)-1)+1)&amp;" "&amp;INDEX('M03-S03'!$L$16:$L$199,2*(ROWS(AC$106:AC118)-1)+1)&amp;", "&amp;INDEX('M03-S03'!$P$16:$P$199,2*(ROWS(AC$106:AC118)-1)+1)&amp;" "&amp;INDEX('M03-S03'!$R$16:$R$199,2*(ROWS(AC$106:AC118)-1)+1),"")</f>
        <v xml:space="preserve"> ,  </v>
      </c>
      <c r="AD118" t="str">
        <f>IFERROR(INDEX('M03-S03'!$J$16:$J$199,2*(ROWS(AD$106:AD118)-1)+1)&amp;" "&amp;ROUND(INDEX('M03-S03'!$N$16:$N$199,2*(ROWS(AD$106:AD118)-1)+1),3),"")&amp;", "&amp;IFERROR(INDEX('M03-S03'!$P$16:$P$199,2*(ROWS(AD$106:AD118)-1)+1)&amp;" "&amp;ROUND(INDEX('M03-S03'!$T$16:$T$199,2*(ROWS(AD$106:AD118)-1)+1),3),"")</f>
        <v xml:space="preserve"> 0,  0</v>
      </c>
      <c r="AE118" s="459"/>
      <c r="AF118" s="459"/>
      <c r="AG118" s="112"/>
      <c r="AH118" s="112"/>
      <c r="AI118" s="112"/>
      <c r="AJ118" s="112"/>
      <c r="AK118" s="113"/>
      <c r="AL118" s="113"/>
      <c r="AM118" s="113"/>
      <c r="AN118" s="113"/>
      <c r="AO118" s="52" t="str">
        <f>IFERROR(INDEX(PMEHVAC[Program Design],MATCH(AB118,PMEHVAC[Eff Desc 1],0)),"")</f>
        <v/>
      </c>
      <c r="AU118"/>
    </row>
    <row r="119" spans="1:47">
      <c r="A119" s="57">
        <f t="shared" si="9"/>
        <v>0</v>
      </c>
      <c r="B119" s="183" t="str">
        <f t="shared" si="11"/>
        <v/>
      </c>
      <c r="C119" t="str">
        <f>IFERROR(IF(R119&gt;0,INDEX(PMEHVAC[Measure '#],MATCH(AB119,PMEHVAC[Eff Desc 1],0)),""),"")</f>
        <v/>
      </c>
      <c r="D119" t="s">
        <v>947</v>
      </c>
      <c r="F119" s="112"/>
      <c r="G119" s="186">
        <f>INDEX('M03-S03'!$N$16:$N$198,2*(ROWS($G$106:G119)-1)+1)</f>
        <v>0</v>
      </c>
      <c r="H119" s="186" t="str">
        <f>IF(ISNUMBER(INDEX('M03-S03'!$AO$16:$AO$198,2*(ROWS($R$106:R119)-1)+1)),"Total","")</f>
        <v/>
      </c>
      <c r="I119" s="184">
        <f>IFERROR(ROUND(INDEX('M03-S03'!$AA$16:$AA$198,2*(ROWS($I$106:I119)-1)+1),2),0)</f>
        <v>0</v>
      </c>
      <c r="J119" s="184">
        <f>IFERROR(ROUND(INDEX('M03-S03'!$AC$16:$AC$198,2*(ROWS($J$106:J119)-1)+1),2),0)</f>
        <v>0</v>
      </c>
      <c r="K119" s="52">
        <f>IFERROR(ROUND(INDEX('M03-S03'!$AU$16:$AU$198,2*(ROWS($K$106:K119)-1)+1),2),0)</f>
        <v>0</v>
      </c>
      <c r="L119" s="52" t="str">
        <f>IFERROR(IF(R119&gt;0,M119*INDEX(PMEHVAC[Incremental Cost],MATCH(AB119,PMEHVAC[Eff Desc 1],0)),""),"")</f>
        <v/>
      </c>
      <c r="M119" s="456">
        <f>INDEX('M03-S03'!$V$16:$V$198,2*(ROWS($M$106:M119)-1)+1)</f>
        <v>0</v>
      </c>
      <c r="N119" s="184" t="str">
        <f>IF(ISNUMBER(INDEX('M03-S03'!$AO$16:$AO$198,2*(ROWS($R$106:R119)-1)+1)),INDEX('M03-S03'!$AK$16:$AK$198,2*(ROWS($N$106:N119)-1)+1),"")</f>
        <v/>
      </c>
      <c r="O119" s="456" t="str">
        <f>IFERROR(IF(ISNUMBER(INDEX('M03-S03'!$AO$16:$AO$198,2*(ROWS($R$106:R119)-1)+1)),INDEX('M03-S03'!$AV$16:$AV$198,2*(ROWS($O$106:O119)-1)+1),""),"")</f>
        <v/>
      </c>
      <c r="P119" s="456" t="str">
        <f>IFERROR(IF(ISNUMBER(INDEX('M03-S03'!$AO$16:$AO$198,2*(ROWS($R$106:R119)-1)+1)),INDEX('M03-S03'!$AY$16:$AY$198,2*(ROWS($O$106:P119)-1)+1),""),"")</f>
        <v/>
      </c>
      <c r="Q119" s="113"/>
      <c r="R119" s="184">
        <f>IF(ISNUMBER(INDEX('M03-S03'!$AO$16:$AO$198,2*(ROWS($R$106:R119)-1)+1)),INDEX('M03-S03'!$AO$16:$AO$198,2*(ROWS($R$106:R119)-1)+1),0)</f>
        <v>0</v>
      </c>
      <c r="S119" s="459"/>
      <c r="T119" s="113"/>
      <c r="U119" s="140"/>
      <c r="V119" s="113"/>
      <c r="W119" s="96">
        <f>IFERROR(IF(NOT(ISNUMBER(INDEX('M03-S03'!$AO$16:$AO$198,2*(ROWS($R$106:R119)-1)+1))),INDEX('M03-S03'!$BC$16:$BC$198,2*(ROWS($R$106:R119)-1)+1),""),"")</f>
        <v>0</v>
      </c>
      <c r="X119" s="113"/>
      <c r="Y119" s="113"/>
      <c r="Z119" s="111">
        <f>INDEX('M03-S03'!$B$16:$B$198,2*(ROWS($Z$106:Z119)-1)+1)</f>
        <v>14</v>
      </c>
      <c r="AA119" s="111" t="str">
        <f>INDEX('M03-S03'!$L$16:$L$199,2*(ROWS($Z$106:AA119)-1)+1)</f>
        <v/>
      </c>
      <c r="AB119" s="111">
        <f>INDEX('M03-S03'!$C$16:$C$198,2*(ROWS($Z$106:AB119)-1)+1)</f>
        <v>0</v>
      </c>
      <c r="AC119" t="str">
        <f>IFERROR(INDEX('M03-S03'!$J$16:$J$199,2*(ROWS(AC$106:AC119)-1)+1)&amp;" "&amp;INDEX('M03-S03'!$L$16:$L$199,2*(ROWS(AC$106:AC119)-1)+1)&amp;", "&amp;INDEX('M03-S03'!$P$16:$P$199,2*(ROWS(AC$106:AC119)-1)+1)&amp;" "&amp;INDEX('M03-S03'!$R$16:$R$199,2*(ROWS(AC$106:AC119)-1)+1),"")</f>
        <v xml:space="preserve"> ,  </v>
      </c>
      <c r="AD119" t="str">
        <f>IFERROR(INDEX('M03-S03'!$J$16:$J$199,2*(ROWS(AD$106:AD119)-1)+1)&amp;" "&amp;ROUND(INDEX('M03-S03'!$N$16:$N$199,2*(ROWS(AD$106:AD119)-1)+1),3),"")&amp;", "&amp;IFERROR(INDEX('M03-S03'!$P$16:$P$199,2*(ROWS(AD$106:AD119)-1)+1)&amp;" "&amp;ROUND(INDEX('M03-S03'!$T$16:$T$199,2*(ROWS(AD$106:AD119)-1)+1),3),"")</f>
        <v xml:space="preserve"> 0,  0</v>
      </c>
      <c r="AE119" s="459"/>
      <c r="AF119" s="459"/>
      <c r="AG119" s="112"/>
      <c r="AH119" s="112"/>
      <c r="AI119" s="112"/>
      <c r="AJ119" s="112"/>
      <c r="AK119" s="113"/>
      <c r="AL119" s="113"/>
      <c r="AM119" s="113"/>
      <c r="AN119" s="113"/>
      <c r="AO119" s="52" t="str">
        <f>IFERROR(INDEX(PMEHVAC[Program Design],MATCH(AB119,PMEHVAC[Eff Desc 1],0)),"")</f>
        <v/>
      </c>
      <c r="AU119"/>
    </row>
    <row r="120" spans="1:47">
      <c r="A120" s="57">
        <f t="shared" si="9"/>
        <v>0</v>
      </c>
      <c r="B120" s="183" t="str">
        <f t="shared" si="11"/>
        <v/>
      </c>
      <c r="C120" t="str">
        <f>IFERROR(IF(R120&gt;0,INDEX(PMEHVAC[Measure '#],MATCH(AB120,PMEHVAC[Eff Desc 1],0)),""),"")</f>
        <v/>
      </c>
      <c r="D120" t="s">
        <v>947</v>
      </c>
      <c r="F120" s="112"/>
      <c r="G120" s="186">
        <f>INDEX('M03-S03'!$N$16:$N$198,2*(ROWS($G$106:G120)-1)+1)</f>
        <v>0</v>
      </c>
      <c r="H120" s="186" t="str">
        <f>IF(ISNUMBER(INDEX('M03-S03'!$AO$16:$AO$198,2*(ROWS($R$106:R120)-1)+1)),"Total","")</f>
        <v/>
      </c>
      <c r="I120" s="184">
        <f>IFERROR(ROUND(INDEX('M03-S03'!$AA$16:$AA$198,2*(ROWS($I$106:I120)-1)+1),2),0)</f>
        <v>0</v>
      </c>
      <c r="J120" s="184">
        <f>IFERROR(ROUND(INDEX('M03-S03'!$AC$16:$AC$198,2*(ROWS($J$106:J120)-1)+1),2),0)</f>
        <v>0</v>
      </c>
      <c r="K120" s="52">
        <f>IFERROR(ROUND(INDEX('M03-S03'!$AU$16:$AU$198,2*(ROWS($K$106:K120)-1)+1),2),0)</f>
        <v>0</v>
      </c>
      <c r="L120" s="52" t="str">
        <f>IFERROR(IF(R120&gt;0,M120*INDEX(PMEHVAC[Incremental Cost],MATCH(AB120,PMEHVAC[Eff Desc 1],0)),""),"")</f>
        <v/>
      </c>
      <c r="M120" s="456">
        <f>INDEX('M03-S03'!$V$16:$V$198,2*(ROWS($M$106:M120)-1)+1)</f>
        <v>0</v>
      </c>
      <c r="N120" s="184" t="str">
        <f>IF(ISNUMBER(INDEX('M03-S03'!$AO$16:$AO$198,2*(ROWS($R$106:R120)-1)+1)),INDEX('M03-S03'!$AK$16:$AK$198,2*(ROWS($N$106:N120)-1)+1),"")</f>
        <v/>
      </c>
      <c r="O120" s="456" t="str">
        <f>IFERROR(IF(ISNUMBER(INDEX('M03-S03'!$AO$16:$AO$198,2*(ROWS($R$106:R120)-1)+1)),INDEX('M03-S03'!$AV$16:$AV$198,2*(ROWS($O$106:O120)-1)+1),""),"")</f>
        <v/>
      </c>
      <c r="P120" s="456" t="str">
        <f>IFERROR(IF(ISNUMBER(INDEX('M03-S03'!$AO$16:$AO$198,2*(ROWS($R$106:R120)-1)+1)),INDEX('M03-S03'!$AY$16:$AY$198,2*(ROWS($O$106:P120)-1)+1),""),"")</f>
        <v/>
      </c>
      <c r="Q120" s="113"/>
      <c r="R120" s="184">
        <f>IF(ISNUMBER(INDEX('M03-S03'!$AO$16:$AO$198,2*(ROWS($R$106:R120)-1)+1)),INDEX('M03-S03'!$AO$16:$AO$198,2*(ROWS($R$106:R120)-1)+1),0)</f>
        <v>0</v>
      </c>
      <c r="S120" s="459"/>
      <c r="T120" s="113"/>
      <c r="U120" s="140"/>
      <c r="V120" s="113"/>
      <c r="W120" s="96">
        <f>IFERROR(IF(NOT(ISNUMBER(INDEX('M03-S03'!$AO$16:$AO$198,2*(ROWS($R$106:R120)-1)+1))),INDEX('M03-S03'!$BC$16:$BC$198,2*(ROWS($R$106:R120)-1)+1),""),"")</f>
        <v>0</v>
      </c>
      <c r="X120" s="113"/>
      <c r="Y120" s="113"/>
      <c r="Z120" s="111">
        <f>INDEX('M03-S03'!$B$16:$B$198,2*(ROWS($Z$106:Z120)-1)+1)</f>
        <v>15</v>
      </c>
      <c r="AA120" s="111" t="str">
        <f>INDEX('M03-S03'!$L$16:$L$199,2*(ROWS($Z$106:AA120)-1)+1)</f>
        <v/>
      </c>
      <c r="AB120" s="111">
        <f>INDEX('M03-S03'!$C$16:$C$198,2*(ROWS($Z$106:AB120)-1)+1)</f>
        <v>0</v>
      </c>
      <c r="AC120" t="str">
        <f>IFERROR(INDEX('M03-S03'!$J$16:$J$199,2*(ROWS(AC$106:AC120)-1)+1)&amp;" "&amp;INDEX('M03-S03'!$L$16:$L$199,2*(ROWS(AC$106:AC120)-1)+1)&amp;", "&amp;INDEX('M03-S03'!$P$16:$P$199,2*(ROWS(AC$106:AC120)-1)+1)&amp;" "&amp;INDEX('M03-S03'!$R$16:$R$199,2*(ROWS(AC$106:AC120)-1)+1),"")</f>
        <v xml:space="preserve"> ,  </v>
      </c>
      <c r="AD120" t="str">
        <f>IFERROR(INDEX('M03-S03'!$J$16:$J$199,2*(ROWS(AD$106:AD120)-1)+1)&amp;" "&amp;ROUND(INDEX('M03-S03'!$N$16:$N$199,2*(ROWS(AD$106:AD120)-1)+1),3),"")&amp;", "&amp;IFERROR(INDEX('M03-S03'!$P$16:$P$199,2*(ROWS(AD$106:AD120)-1)+1)&amp;" "&amp;ROUND(INDEX('M03-S03'!$T$16:$T$199,2*(ROWS(AD$106:AD120)-1)+1),3),"")</f>
        <v xml:space="preserve"> 0,  0</v>
      </c>
      <c r="AE120" s="459"/>
      <c r="AF120" s="459"/>
      <c r="AG120" s="112"/>
      <c r="AH120" s="112"/>
      <c r="AI120" s="112"/>
      <c r="AJ120" s="112"/>
      <c r="AK120" s="113"/>
      <c r="AL120" s="113"/>
      <c r="AM120" s="113"/>
      <c r="AN120" s="113"/>
      <c r="AO120" s="52" t="str">
        <f>IFERROR(INDEX(PMEHVAC[Program Design],MATCH(AB120,PMEHVAC[Eff Desc 1],0)),"")</f>
        <v/>
      </c>
      <c r="AU120"/>
    </row>
    <row r="121" spans="1:47">
      <c r="A121" s="57">
        <f t="shared" si="9"/>
        <v>0</v>
      </c>
      <c r="B121" s="183" t="str">
        <f t="shared" si="11"/>
        <v/>
      </c>
      <c r="C121" t="str">
        <f>IFERROR(IF(R121&gt;0,INDEX(PMEHVAC[Measure '#],MATCH(AB121,PMEHVAC[Eff Desc 1],0)),""),"")</f>
        <v/>
      </c>
      <c r="D121" t="s">
        <v>947</v>
      </c>
      <c r="F121" s="112"/>
      <c r="G121" s="186">
        <f>INDEX('M03-S03'!$N$16:$N$198,2*(ROWS($G$106:G121)-1)+1)</f>
        <v>0</v>
      </c>
      <c r="H121" s="186" t="str">
        <f>IF(ISNUMBER(INDEX('M03-S03'!$AO$16:$AO$198,2*(ROWS($R$106:R121)-1)+1)),"Total","")</f>
        <v/>
      </c>
      <c r="I121" s="184">
        <f>IFERROR(ROUND(INDEX('M03-S03'!$AA$16:$AA$198,2*(ROWS($I$106:I121)-1)+1),2),0)</f>
        <v>0</v>
      </c>
      <c r="J121" s="184">
        <f>IFERROR(ROUND(INDEX('M03-S03'!$AC$16:$AC$198,2*(ROWS($J$106:J121)-1)+1),2),0)</f>
        <v>0</v>
      </c>
      <c r="K121" s="52">
        <f>IFERROR(ROUND(INDEX('M03-S03'!$AU$16:$AU$198,2*(ROWS($K$106:K121)-1)+1),2),0)</f>
        <v>0</v>
      </c>
      <c r="L121" s="52" t="str">
        <f>IFERROR(IF(R121&gt;0,M121*INDEX(PMEHVAC[Incremental Cost],MATCH(AB121,PMEHVAC[Eff Desc 1],0)),""),"")</f>
        <v/>
      </c>
      <c r="M121" s="456">
        <f>INDEX('M03-S03'!$V$16:$V$198,2*(ROWS($M$106:M121)-1)+1)</f>
        <v>0</v>
      </c>
      <c r="N121" s="184" t="str">
        <f>IF(ISNUMBER(INDEX('M03-S03'!$AO$16:$AO$198,2*(ROWS($R$106:R121)-1)+1)),INDEX('M03-S03'!$AK$16:$AK$198,2*(ROWS($N$106:N121)-1)+1),"")</f>
        <v/>
      </c>
      <c r="O121" s="456" t="str">
        <f>IFERROR(IF(ISNUMBER(INDEX('M03-S03'!$AO$16:$AO$198,2*(ROWS($R$106:R121)-1)+1)),INDEX('M03-S03'!$AV$16:$AV$198,2*(ROWS($O$106:O121)-1)+1),""),"")</f>
        <v/>
      </c>
      <c r="P121" s="456" t="str">
        <f>IFERROR(IF(ISNUMBER(INDEX('M03-S03'!$AO$16:$AO$198,2*(ROWS($R$106:R121)-1)+1)),INDEX('M03-S03'!$AY$16:$AY$198,2*(ROWS($O$106:P121)-1)+1),""),"")</f>
        <v/>
      </c>
      <c r="Q121" s="113"/>
      <c r="R121" s="184">
        <f>IF(ISNUMBER(INDEX('M03-S03'!$AO$16:$AO$198,2*(ROWS($R$106:R121)-1)+1)),INDEX('M03-S03'!$AO$16:$AO$198,2*(ROWS($R$106:R121)-1)+1),0)</f>
        <v>0</v>
      </c>
      <c r="S121" s="459"/>
      <c r="T121" s="113"/>
      <c r="U121" s="140"/>
      <c r="V121" s="113"/>
      <c r="W121" s="96">
        <f>IFERROR(IF(NOT(ISNUMBER(INDEX('M03-S03'!$AO$16:$AO$198,2*(ROWS($R$106:R121)-1)+1))),INDEX('M03-S03'!$BC$16:$BC$198,2*(ROWS($R$106:R121)-1)+1),""),"")</f>
        <v>0</v>
      </c>
      <c r="X121" s="113"/>
      <c r="Y121" s="113"/>
      <c r="Z121" s="111">
        <f>INDEX('M03-S03'!$B$16:$B$198,2*(ROWS($Z$106:Z121)-1)+1)</f>
        <v>16</v>
      </c>
      <c r="AA121" s="111" t="str">
        <f>INDEX('M03-S03'!$L$16:$L$199,2*(ROWS($Z$106:AA121)-1)+1)</f>
        <v/>
      </c>
      <c r="AB121" s="111">
        <f>INDEX('M03-S03'!$C$16:$C$198,2*(ROWS($Z$106:AB121)-1)+1)</f>
        <v>0</v>
      </c>
      <c r="AC121" t="str">
        <f>IFERROR(INDEX('M03-S03'!$J$16:$J$199,2*(ROWS(AC$106:AC121)-1)+1)&amp;" "&amp;INDEX('M03-S03'!$L$16:$L$199,2*(ROWS(AC$106:AC121)-1)+1)&amp;", "&amp;INDEX('M03-S03'!$P$16:$P$199,2*(ROWS(AC$106:AC121)-1)+1)&amp;" "&amp;INDEX('M03-S03'!$R$16:$R$199,2*(ROWS(AC$106:AC121)-1)+1),"")</f>
        <v xml:space="preserve"> ,  </v>
      </c>
      <c r="AD121" t="str">
        <f>IFERROR(INDEX('M03-S03'!$J$16:$J$199,2*(ROWS(AD$106:AD121)-1)+1)&amp;" "&amp;ROUND(INDEX('M03-S03'!$N$16:$N$199,2*(ROWS(AD$106:AD121)-1)+1),3),"")&amp;", "&amp;IFERROR(INDEX('M03-S03'!$P$16:$P$199,2*(ROWS(AD$106:AD121)-1)+1)&amp;" "&amp;ROUND(INDEX('M03-S03'!$T$16:$T$199,2*(ROWS(AD$106:AD121)-1)+1),3),"")</f>
        <v xml:space="preserve"> 0,  0</v>
      </c>
      <c r="AE121" s="459"/>
      <c r="AF121" s="459"/>
      <c r="AG121" s="112"/>
      <c r="AH121" s="112"/>
      <c r="AI121" s="112"/>
      <c r="AJ121" s="112"/>
      <c r="AK121" s="113"/>
      <c r="AL121" s="113"/>
      <c r="AM121" s="113"/>
      <c r="AN121" s="113"/>
      <c r="AO121" s="52" t="str">
        <f>IFERROR(INDEX(PMEHVAC[Program Design],MATCH(AB121,PMEHVAC[Eff Desc 1],0)),"")</f>
        <v/>
      </c>
      <c r="AU121"/>
    </row>
    <row r="122" spans="1:47">
      <c r="A122" s="57">
        <f t="shared" si="9"/>
        <v>0</v>
      </c>
      <c r="B122" s="183" t="str">
        <f t="shared" si="11"/>
        <v/>
      </c>
      <c r="C122" t="str">
        <f>IFERROR(IF(R122&gt;0,INDEX(PMEHVAC[Measure '#],MATCH(AB122,PMEHVAC[Eff Desc 1],0)),""),"")</f>
        <v/>
      </c>
      <c r="D122" t="s">
        <v>947</v>
      </c>
      <c r="F122" s="112"/>
      <c r="G122" s="186">
        <f>INDEX('M03-S03'!$N$16:$N$198,2*(ROWS($G$106:G122)-1)+1)</f>
        <v>0</v>
      </c>
      <c r="H122" s="186" t="str">
        <f>IF(ISNUMBER(INDEX('M03-S03'!$AO$16:$AO$198,2*(ROWS($R$106:R122)-1)+1)),"Total","")</f>
        <v/>
      </c>
      <c r="I122" s="184">
        <f>IFERROR(ROUND(INDEX('M03-S03'!$AA$16:$AA$198,2*(ROWS($I$106:I122)-1)+1),2),0)</f>
        <v>0</v>
      </c>
      <c r="J122" s="184">
        <f>IFERROR(ROUND(INDEX('M03-S03'!$AC$16:$AC$198,2*(ROWS($J$106:J122)-1)+1),2),0)</f>
        <v>0</v>
      </c>
      <c r="K122" s="52">
        <f>IFERROR(ROUND(INDEX('M03-S03'!$AU$16:$AU$198,2*(ROWS($K$106:K122)-1)+1),2),0)</f>
        <v>0</v>
      </c>
      <c r="L122" s="52" t="str">
        <f>IFERROR(IF(R122&gt;0,M122*INDEX(PMEHVAC[Incremental Cost],MATCH(AB122,PMEHVAC[Eff Desc 1],0)),""),"")</f>
        <v/>
      </c>
      <c r="M122" s="456">
        <f>INDEX('M03-S03'!$V$16:$V$198,2*(ROWS($M$106:M122)-1)+1)</f>
        <v>0</v>
      </c>
      <c r="N122" s="184" t="str">
        <f>IF(ISNUMBER(INDEX('M03-S03'!$AO$16:$AO$198,2*(ROWS($R$106:R122)-1)+1)),INDEX('M03-S03'!$AK$16:$AK$198,2*(ROWS($N$106:N122)-1)+1),"")</f>
        <v/>
      </c>
      <c r="O122" s="456" t="str">
        <f>IFERROR(IF(ISNUMBER(INDEX('M03-S03'!$AO$16:$AO$198,2*(ROWS($R$106:R122)-1)+1)),INDEX('M03-S03'!$AV$16:$AV$198,2*(ROWS($O$106:O122)-1)+1),""),"")</f>
        <v/>
      </c>
      <c r="P122" s="456" t="str">
        <f>IFERROR(IF(ISNUMBER(INDEX('M03-S03'!$AO$16:$AO$198,2*(ROWS($R$106:R122)-1)+1)),INDEX('M03-S03'!$AY$16:$AY$198,2*(ROWS($O$106:P122)-1)+1),""),"")</f>
        <v/>
      </c>
      <c r="Q122" s="113"/>
      <c r="R122" s="184">
        <f>IF(ISNUMBER(INDEX('M03-S03'!$AO$16:$AO$198,2*(ROWS($R$106:R122)-1)+1)),INDEX('M03-S03'!$AO$16:$AO$198,2*(ROWS($R$106:R122)-1)+1),0)</f>
        <v>0</v>
      </c>
      <c r="S122" s="459"/>
      <c r="T122" s="113"/>
      <c r="U122" s="140"/>
      <c r="V122" s="113"/>
      <c r="W122" s="96">
        <f>IFERROR(IF(NOT(ISNUMBER(INDEX('M03-S03'!$AO$16:$AO$198,2*(ROWS($R$106:R122)-1)+1))),INDEX('M03-S03'!$BC$16:$BC$198,2*(ROWS($R$106:R122)-1)+1),""),"")</f>
        <v>0</v>
      </c>
      <c r="X122" s="113"/>
      <c r="Y122" s="113"/>
      <c r="Z122" s="111">
        <f>INDEX('M03-S03'!$B$16:$B$198,2*(ROWS($Z$106:Z122)-1)+1)</f>
        <v>17</v>
      </c>
      <c r="AA122" s="111" t="str">
        <f>INDEX('M03-S03'!$L$16:$L$199,2*(ROWS($Z$106:AA122)-1)+1)</f>
        <v/>
      </c>
      <c r="AB122" s="111">
        <f>INDEX('M03-S03'!$C$16:$C$198,2*(ROWS($Z$106:AB122)-1)+1)</f>
        <v>0</v>
      </c>
      <c r="AC122" t="str">
        <f>IFERROR(INDEX('M03-S03'!$J$16:$J$199,2*(ROWS(AC$106:AC122)-1)+1)&amp;" "&amp;INDEX('M03-S03'!$L$16:$L$199,2*(ROWS(AC$106:AC122)-1)+1)&amp;", "&amp;INDEX('M03-S03'!$P$16:$P$199,2*(ROWS(AC$106:AC122)-1)+1)&amp;" "&amp;INDEX('M03-S03'!$R$16:$R$199,2*(ROWS(AC$106:AC122)-1)+1),"")</f>
        <v xml:space="preserve"> ,  </v>
      </c>
      <c r="AD122" t="str">
        <f>IFERROR(INDEX('M03-S03'!$J$16:$J$199,2*(ROWS(AD$106:AD122)-1)+1)&amp;" "&amp;ROUND(INDEX('M03-S03'!$N$16:$N$199,2*(ROWS(AD$106:AD122)-1)+1),3),"")&amp;", "&amp;IFERROR(INDEX('M03-S03'!$P$16:$P$199,2*(ROWS(AD$106:AD122)-1)+1)&amp;" "&amp;ROUND(INDEX('M03-S03'!$T$16:$T$199,2*(ROWS(AD$106:AD122)-1)+1),3),"")</f>
        <v xml:space="preserve"> 0,  0</v>
      </c>
      <c r="AE122" s="459"/>
      <c r="AF122" s="459"/>
      <c r="AG122" s="112"/>
      <c r="AH122" s="112"/>
      <c r="AI122" s="112"/>
      <c r="AJ122" s="112"/>
      <c r="AK122" s="113"/>
      <c r="AL122" s="113"/>
      <c r="AM122" s="113"/>
      <c r="AN122" s="113"/>
      <c r="AO122" s="52" t="str">
        <f>IFERROR(INDEX(PMEHVAC[Program Design],MATCH(AB122,PMEHVAC[Eff Desc 1],0)),"")</f>
        <v/>
      </c>
      <c r="AU122"/>
    </row>
    <row r="123" spans="1:47">
      <c r="A123" s="57">
        <f t="shared" si="9"/>
        <v>0</v>
      </c>
      <c r="B123" s="183" t="str">
        <f t="shared" si="11"/>
        <v/>
      </c>
      <c r="C123" t="str">
        <f>IFERROR(IF(R123&gt;0,INDEX(PMEHVAC[Measure '#],MATCH(AB123,PMEHVAC[Eff Desc 1],0)),""),"")</f>
        <v/>
      </c>
      <c r="D123" t="s">
        <v>947</v>
      </c>
      <c r="F123" s="112"/>
      <c r="G123" s="186">
        <f>INDEX('M03-S03'!$N$16:$N$198,2*(ROWS($G$106:G123)-1)+1)</f>
        <v>0</v>
      </c>
      <c r="H123" s="186" t="str">
        <f>IF(ISNUMBER(INDEX('M03-S03'!$AO$16:$AO$198,2*(ROWS($R$106:R123)-1)+1)),"Total","")</f>
        <v/>
      </c>
      <c r="I123" s="184">
        <f>IFERROR(ROUND(INDEX('M03-S03'!$AA$16:$AA$198,2*(ROWS($I$106:I123)-1)+1),2),0)</f>
        <v>0</v>
      </c>
      <c r="J123" s="184">
        <f>IFERROR(ROUND(INDEX('M03-S03'!$AC$16:$AC$198,2*(ROWS($J$106:J123)-1)+1),2),0)</f>
        <v>0</v>
      </c>
      <c r="K123" s="52">
        <f>IFERROR(ROUND(INDEX('M03-S03'!$AU$16:$AU$198,2*(ROWS($K$106:K123)-1)+1),2),0)</f>
        <v>0</v>
      </c>
      <c r="L123" s="52" t="str">
        <f>IFERROR(IF(R123&gt;0,M123*INDEX(PMEHVAC[Incremental Cost],MATCH(AB123,PMEHVAC[Eff Desc 1],0)),""),"")</f>
        <v/>
      </c>
      <c r="M123" s="456">
        <f>INDEX('M03-S03'!$V$16:$V$198,2*(ROWS($M$106:M123)-1)+1)</f>
        <v>0</v>
      </c>
      <c r="N123" s="184" t="str">
        <f>IF(ISNUMBER(INDEX('M03-S03'!$AO$16:$AO$198,2*(ROWS($R$106:R123)-1)+1)),INDEX('M03-S03'!$AK$16:$AK$198,2*(ROWS($N$106:N123)-1)+1),"")</f>
        <v/>
      </c>
      <c r="O123" s="456" t="str">
        <f>IFERROR(IF(ISNUMBER(INDEX('M03-S03'!$AO$16:$AO$198,2*(ROWS($R$106:R123)-1)+1)),INDEX('M03-S03'!$AV$16:$AV$198,2*(ROWS($O$106:O123)-1)+1),""),"")</f>
        <v/>
      </c>
      <c r="P123" s="456" t="str">
        <f>IFERROR(IF(ISNUMBER(INDEX('M03-S03'!$AO$16:$AO$198,2*(ROWS($R$106:R123)-1)+1)),INDEX('M03-S03'!$AY$16:$AY$198,2*(ROWS($O$106:P123)-1)+1),""),"")</f>
        <v/>
      </c>
      <c r="Q123" s="113"/>
      <c r="R123" s="184">
        <f>IF(ISNUMBER(INDEX('M03-S03'!$AO$16:$AO$198,2*(ROWS($R$106:R123)-1)+1)),INDEX('M03-S03'!$AO$16:$AO$198,2*(ROWS($R$106:R123)-1)+1),0)</f>
        <v>0</v>
      </c>
      <c r="S123" s="459"/>
      <c r="T123" s="113"/>
      <c r="U123" s="140"/>
      <c r="V123" s="113"/>
      <c r="W123" s="96">
        <f>IFERROR(IF(NOT(ISNUMBER(INDEX('M03-S03'!$AO$16:$AO$198,2*(ROWS($R$106:R123)-1)+1))),INDEX('M03-S03'!$BC$16:$BC$198,2*(ROWS($R$106:R123)-1)+1),""),"")</f>
        <v>0</v>
      </c>
      <c r="X123" s="113"/>
      <c r="Y123" s="113"/>
      <c r="Z123" s="111">
        <f>INDEX('M03-S03'!$B$16:$B$198,2*(ROWS($Z$106:Z123)-1)+1)</f>
        <v>18</v>
      </c>
      <c r="AA123" s="111" t="str">
        <f>INDEX('M03-S03'!$L$16:$L$199,2*(ROWS($Z$106:AA123)-1)+1)</f>
        <v/>
      </c>
      <c r="AB123" s="111">
        <f>INDEX('M03-S03'!$C$16:$C$198,2*(ROWS($Z$106:AB123)-1)+1)</f>
        <v>0</v>
      </c>
      <c r="AC123" t="str">
        <f>IFERROR(INDEX('M03-S03'!$J$16:$J$199,2*(ROWS(AC$106:AC123)-1)+1)&amp;" "&amp;INDEX('M03-S03'!$L$16:$L$199,2*(ROWS(AC$106:AC123)-1)+1)&amp;", "&amp;INDEX('M03-S03'!$P$16:$P$199,2*(ROWS(AC$106:AC123)-1)+1)&amp;" "&amp;INDEX('M03-S03'!$R$16:$R$199,2*(ROWS(AC$106:AC123)-1)+1),"")</f>
        <v xml:space="preserve"> ,  </v>
      </c>
      <c r="AD123" t="str">
        <f>IFERROR(INDEX('M03-S03'!$J$16:$J$199,2*(ROWS(AD$106:AD123)-1)+1)&amp;" "&amp;ROUND(INDEX('M03-S03'!$N$16:$N$199,2*(ROWS(AD$106:AD123)-1)+1),3),"")&amp;", "&amp;IFERROR(INDEX('M03-S03'!$P$16:$P$199,2*(ROWS(AD$106:AD123)-1)+1)&amp;" "&amp;ROUND(INDEX('M03-S03'!$T$16:$T$199,2*(ROWS(AD$106:AD123)-1)+1),3),"")</f>
        <v xml:space="preserve"> 0,  0</v>
      </c>
      <c r="AE123" s="459"/>
      <c r="AF123" s="459"/>
      <c r="AG123" s="112"/>
      <c r="AH123" s="112"/>
      <c r="AI123" s="112"/>
      <c r="AJ123" s="112"/>
      <c r="AK123" s="113"/>
      <c r="AL123" s="113"/>
      <c r="AM123" s="113"/>
      <c r="AN123" s="113"/>
      <c r="AO123" s="52" t="str">
        <f>IFERROR(INDEX(PMEHVAC[Program Design],MATCH(AB123,PMEHVAC[Eff Desc 1],0)),"")</f>
        <v/>
      </c>
      <c r="AU123"/>
    </row>
    <row r="124" spans="1:47">
      <c r="A124" s="57">
        <f t="shared" si="9"/>
        <v>0</v>
      </c>
      <c r="B124" s="183" t="str">
        <f t="shared" si="11"/>
        <v/>
      </c>
      <c r="C124" t="str">
        <f>IFERROR(IF(R124&gt;0,INDEX(PMEHVAC[Measure '#],MATCH(AB124,PMEHVAC[Eff Desc 1],0)),""),"")</f>
        <v/>
      </c>
      <c r="D124" t="s">
        <v>947</v>
      </c>
      <c r="F124" s="112"/>
      <c r="G124" s="186">
        <f>INDEX('M03-S03'!$N$16:$N$198,2*(ROWS($G$106:G124)-1)+1)</f>
        <v>0</v>
      </c>
      <c r="H124" s="186" t="str">
        <f>IF(ISNUMBER(INDEX('M03-S03'!$AO$16:$AO$198,2*(ROWS($R$106:R124)-1)+1)),"Total","")</f>
        <v/>
      </c>
      <c r="I124" s="184">
        <f>IFERROR(ROUND(INDEX('M03-S03'!$AA$16:$AA$198,2*(ROWS($I$106:I124)-1)+1),2),0)</f>
        <v>0</v>
      </c>
      <c r="J124" s="184">
        <f>IFERROR(ROUND(INDEX('M03-S03'!$AC$16:$AC$198,2*(ROWS($J$106:J124)-1)+1),2),0)</f>
        <v>0</v>
      </c>
      <c r="K124" s="52">
        <f>IFERROR(ROUND(INDEX('M03-S03'!$AU$16:$AU$198,2*(ROWS($K$106:K124)-1)+1),2),0)</f>
        <v>0</v>
      </c>
      <c r="L124" s="52" t="str">
        <f>IFERROR(IF(R124&gt;0,M124*INDEX(PMEHVAC[Incremental Cost],MATCH(AB124,PMEHVAC[Eff Desc 1],0)),""),"")</f>
        <v/>
      </c>
      <c r="M124" s="456">
        <f>INDEX('M03-S03'!$V$16:$V$198,2*(ROWS($M$106:M124)-1)+1)</f>
        <v>0</v>
      </c>
      <c r="N124" s="184" t="str">
        <f>IF(ISNUMBER(INDEX('M03-S03'!$AO$16:$AO$198,2*(ROWS($R$106:R124)-1)+1)),INDEX('M03-S03'!$AK$16:$AK$198,2*(ROWS($N$106:N124)-1)+1),"")</f>
        <v/>
      </c>
      <c r="O124" s="456" t="str">
        <f>IFERROR(IF(ISNUMBER(INDEX('M03-S03'!$AO$16:$AO$198,2*(ROWS($R$106:R124)-1)+1)),INDEX('M03-S03'!$AV$16:$AV$198,2*(ROWS($O$106:O124)-1)+1),""),"")</f>
        <v/>
      </c>
      <c r="P124" s="456" t="str">
        <f>IFERROR(IF(ISNUMBER(INDEX('M03-S03'!$AO$16:$AO$198,2*(ROWS($R$106:R124)-1)+1)),INDEX('M03-S03'!$AY$16:$AY$198,2*(ROWS($O$106:P124)-1)+1),""),"")</f>
        <v/>
      </c>
      <c r="Q124" s="113"/>
      <c r="R124" s="184">
        <f>IF(ISNUMBER(INDEX('M03-S03'!$AO$16:$AO$198,2*(ROWS($R$106:R124)-1)+1)),INDEX('M03-S03'!$AO$16:$AO$198,2*(ROWS($R$106:R124)-1)+1),0)</f>
        <v>0</v>
      </c>
      <c r="S124" s="459"/>
      <c r="T124" s="113"/>
      <c r="U124" s="140"/>
      <c r="V124" s="113"/>
      <c r="W124" s="96">
        <f>IFERROR(IF(NOT(ISNUMBER(INDEX('M03-S03'!$AO$16:$AO$198,2*(ROWS($R$106:R124)-1)+1))),INDEX('M03-S03'!$BC$16:$BC$198,2*(ROWS($R$106:R124)-1)+1),""),"")</f>
        <v>0</v>
      </c>
      <c r="X124" s="113"/>
      <c r="Y124" s="113"/>
      <c r="Z124" s="111">
        <f>INDEX('M03-S03'!$B$16:$B$198,2*(ROWS($Z$106:Z124)-1)+1)</f>
        <v>19</v>
      </c>
      <c r="AA124" s="111" t="str">
        <f>INDEX('M03-S03'!$L$16:$L$199,2*(ROWS($Z$106:AA124)-1)+1)</f>
        <v/>
      </c>
      <c r="AB124" s="111">
        <f>INDEX('M03-S03'!$C$16:$C$198,2*(ROWS($Z$106:AB124)-1)+1)</f>
        <v>0</v>
      </c>
      <c r="AC124" t="str">
        <f>IFERROR(INDEX('M03-S03'!$J$16:$J$199,2*(ROWS(AC$106:AC124)-1)+1)&amp;" "&amp;INDEX('M03-S03'!$L$16:$L$199,2*(ROWS(AC$106:AC124)-1)+1)&amp;", "&amp;INDEX('M03-S03'!$P$16:$P$199,2*(ROWS(AC$106:AC124)-1)+1)&amp;" "&amp;INDEX('M03-S03'!$R$16:$R$199,2*(ROWS(AC$106:AC124)-1)+1),"")</f>
        <v xml:space="preserve"> ,  </v>
      </c>
      <c r="AD124" t="str">
        <f>IFERROR(INDEX('M03-S03'!$J$16:$J$199,2*(ROWS(AD$106:AD124)-1)+1)&amp;" "&amp;ROUND(INDEX('M03-S03'!$N$16:$N$199,2*(ROWS(AD$106:AD124)-1)+1),3),"")&amp;", "&amp;IFERROR(INDEX('M03-S03'!$P$16:$P$199,2*(ROWS(AD$106:AD124)-1)+1)&amp;" "&amp;ROUND(INDEX('M03-S03'!$T$16:$T$199,2*(ROWS(AD$106:AD124)-1)+1),3),"")</f>
        <v xml:space="preserve"> 0,  0</v>
      </c>
      <c r="AE124" s="459"/>
      <c r="AF124" s="459"/>
      <c r="AG124" s="112"/>
      <c r="AH124" s="112"/>
      <c r="AI124" s="112"/>
      <c r="AJ124" s="112"/>
      <c r="AK124" s="113"/>
      <c r="AL124" s="113"/>
      <c r="AM124" s="113"/>
      <c r="AN124" s="113"/>
      <c r="AO124" s="52" t="str">
        <f>IFERROR(INDEX(PMEHVAC[Program Design],MATCH(AB124,PMEHVAC[Eff Desc 1],0)),"")</f>
        <v/>
      </c>
      <c r="AU124"/>
    </row>
    <row r="125" spans="1:47">
      <c r="A125" s="57">
        <f t="shared" si="9"/>
        <v>0</v>
      </c>
      <c r="B125" s="183" t="str">
        <f t="shared" ca="1" si="11"/>
        <v/>
      </c>
      <c r="C125" s="559" t="str">
        <f ca="1">IFERROR(IF(R125&gt;0,INDEX(PMEBONUS[Measure '#],MATCH(AB125,PMEBONUS[Eff Desc 1],0)),""),"")</f>
        <v/>
      </c>
      <c r="D125" t="s">
        <v>947</v>
      </c>
      <c r="F125" s="112"/>
      <c r="G125" s="186">
        <f>INDEX('M03-S03'!$N$16:$N$198,2*(ROWS($G$106:G125)-1)+1)</f>
        <v>0</v>
      </c>
      <c r="H125" s="112"/>
      <c r="I125" s="184">
        <f>IFERROR(ROUND(INDEX('M03-S03'!$AA$16:$AA$198,2*(ROWS($I$106:I125)-1)+1),2),0)</f>
        <v>0</v>
      </c>
      <c r="J125" s="184">
        <f>IFERROR(ROUND(INDEX('M03-S03'!$AC$16:$AC$198,2*(ROWS($J$106:J125)-1)+1),2),0)</f>
        <v>0</v>
      </c>
      <c r="K125" s="52">
        <f>IFERROR(ROUND(INDEX('M03-S03'!$AU$16:$AU$198,2*(ROWS($K$106:K125)-1)+1),2),0)</f>
        <v>0</v>
      </c>
      <c r="M125" s="456">
        <f ca="1">INDEX('M03-S03'!$V$16:$V$198,2*(ROWS($M$106:M125)-1)+1)</f>
        <v>0</v>
      </c>
      <c r="N125" s="184" t="str">
        <f ca="1">IF(ISNUMBER(INDEX('M03-S03'!$AO$16:$AO$198,2*(ROWS($R$106:R125)-1)+1)),INDEX('M03-S03'!$AK$16:$AK$198,2*(ROWS($N$106:N125)-1)+1),"")</f>
        <v/>
      </c>
      <c r="O125" s="456"/>
      <c r="P125" s="456"/>
      <c r="Q125" s="113"/>
      <c r="R125" s="184">
        <f ca="1">IF(ISNUMBER(INDEX('M03-S03'!$AO$16:$AO$198,2*(ROWS($R$106:R125)-1)+1)),INDEX('M03-S03'!$AO$16:$AO$198,2*(ROWS($R$106:R125)-1)+1),0)</f>
        <v>0</v>
      </c>
      <c r="S125" s="459"/>
      <c r="T125" s="113"/>
      <c r="U125" s="140"/>
      <c r="V125" s="113"/>
      <c r="W125" s="96">
        <f ca="1">IFERROR(IF(NOT(ISNUMBER(INDEX('M03-S03'!$AO$16:$AO$198,2*(ROWS($R$106:R125)-1)+1))),INDEX('M03-S03'!$BC$16:$BC$198,2*(ROWS($R$106:R125)-1)+1),""),"")</f>
        <v>0</v>
      </c>
      <c r="X125" s="113"/>
      <c r="Y125" s="113"/>
      <c r="Z125" s="111">
        <f>INDEX('M03-S03'!$B$16:$B$198,2*(ROWS($Z$106:Z125)-1)+1)</f>
        <v>20</v>
      </c>
      <c r="AA125" s="111" t="str">
        <f ca="1">INDEX('M03-S03'!$L$16:$L$199,2*(ROWS($Z$106:AA125)-1)+1)</f>
        <v/>
      </c>
      <c r="AB125" s="111">
        <f ca="1">INDEX('M03-S03'!$C$16:$C$198,2*(ROWS($Z$106:AB125)-1)+1)</f>
        <v>0</v>
      </c>
      <c r="AC125" t="str">
        <f ca="1">IFERROR(INDEX('M03-S03'!$J$16:$J$199,2*(ROWS(AC$106:AC125)-1)+1)&amp;" "&amp;INDEX('M03-S03'!$L$16:$L$199,2*(ROWS(AC$106:AC125)-1)+1)&amp;", "&amp;INDEX('M03-S03'!$P$16:$P$199,2*(ROWS(AC$106:AC125)-1)+1)&amp;" "&amp;INDEX('M03-S03'!$R$16:$R$199,2*(ROWS(AC$106:AC125)-1)+1),"")</f>
        <v xml:space="preserve"> ,  </v>
      </c>
      <c r="AD125" t="str">
        <f>IFERROR(INDEX('M03-S03'!$J$16:$J$199,2*(ROWS(AD$106:AD125)-1)+1)&amp;" "&amp;ROUND(INDEX('M03-S03'!$N$16:$N$199,2*(ROWS(AD$106:AD125)-1)+1),3),"")&amp;", "&amp;IFERROR(INDEX('M03-S03'!$P$16:$P$199,2*(ROWS(AD$106:AD125)-1)+1)&amp;" "&amp;ROUND(INDEX('M03-S03'!$T$16:$T$199,2*(ROWS(AD$106:AD125)-1)+1),3),"")</f>
        <v xml:space="preserve"> 0,  0</v>
      </c>
      <c r="AE125" s="459"/>
      <c r="AF125" s="459"/>
      <c r="AG125" s="112"/>
      <c r="AH125" s="112"/>
      <c r="AI125" s="112"/>
      <c r="AJ125" s="112"/>
      <c r="AK125" s="113"/>
      <c r="AL125" s="113"/>
      <c r="AM125" s="113"/>
      <c r="AN125" s="113"/>
      <c r="AO125" s="52" t="str">
        <f ca="1">IFERROR(INDEX(PMEBONUS[Program Design],MATCH(AB125,PMEBONUS[Eff Desc 1])),"")</f>
        <v/>
      </c>
      <c r="AU125"/>
    </row>
    <row r="126" spans="1:47">
      <c r="A126" s="57">
        <f t="shared" si="9"/>
        <v>0</v>
      </c>
      <c r="B126" s="183" t="str">
        <f t="shared" si="11"/>
        <v/>
      </c>
      <c r="C126" t="str">
        <f>IFERROR(IF(R126&gt;0,INDEX(PMEHVAC[Measure '#],MATCH(AB126,PMEHVAC[Eff Desc 1],0)),""),"")</f>
        <v/>
      </c>
      <c r="D126" t="s">
        <v>947</v>
      </c>
      <c r="F126" s="112"/>
      <c r="G126" s="186">
        <f>INDEX('M03-S03'!$N$16:$N$198,2*(ROWS($G$106:G126)-1)+1)</f>
        <v>0</v>
      </c>
      <c r="H126" s="186"/>
      <c r="I126" s="184">
        <f>IFERROR(ROUND(INDEX('M03-S03'!$AA$16:$AA$198,2*(ROWS($I$106:I126)-1)+1),2),0)</f>
        <v>0</v>
      </c>
      <c r="J126" s="184">
        <f>IFERROR(ROUND(INDEX('M03-S03'!$AC$16:$AC$198,2*(ROWS($J$106:J126)-1)+1),2),0)</f>
        <v>0</v>
      </c>
      <c r="K126" s="52">
        <f>IFERROR(ROUND(INDEX('M03-S03'!$AU$16:$AU$198,2*(ROWS($K$106:K126)-1)+1),2),0)</f>
        <v>0</v>
      </c>
      <c r="M126" s="456">
        <f>INDEX('M03-S03'!$V$16:$V$198,2*(ROWS($M$106:M126)-1)+1)</f>
        <v>0</v>
      </c>
      <c r="N126" s="184" t="str">
        <f>IF(ISNUMBER(INDEX('M03-S03'!$AO$16:$AO$198,2*(ROWS($R$106:R126)-1)+1)),INDEX('M03-S03'!$AK$16:$AK$198,2*(ROWS($N$106:N126)-1)+1),"")</f>
        <v/>
      </c>
      <c r="O126" s="456" t="str">
        <f>IFERROR(IF(ISNUMBER(INDEX('M03-S03'!$AO$16:$AO$198,2*(ROWS($R$106:R126)-1)+1)),INDEX('M03-S03'!$AV$16:$AV$198,2*(ROWS($O$106:O126)-1)+1),""),"")</f>
        <v/>
      </c>
      <c r="P126" s="456" t="str">
        <f>IFERROR(IF(ISNUMBER(INDEX('M03-S03'!$AO$16:$AO$198,2*(ROWS($R$106:R126)-1)+1)),INDEX('M03-S03'!$AY$16:$AY$198,2*(ROWS($O$106:P126)-1)+1),""),"")</f>
        <v/>
      </c>
      <c r="Q126" s="113"/>
      <c r="R126" s="184">
        <f>IF(ISNUMBER(INDEX('M03-S03'!$AO$16:$AO$198,2*(ROWS($R$106:R126)-1)+1)),INDEX('M03-S03'!$AO$16:$AO$198,2*(ROWS($R$106:R126)-1)+1),0)</f>
        <v>0</v>
      </c>
      <c r="S126" s="459"/>
      <c r="T126" s="113"/>
      <c r="U126" s="140"/>
      <c r="V126" s="113"/>
      <c r="W126" s="96">
        <f>IFERROR(IF(NOT(ISNUMBER(INDEX('M03-S03'!$AO$16:$AO$198,2*(ROWS($R$106:R126)-1)+1))),INDEX('M03-S03'!$BC$16:$BC$198,2*(ROWS($R$106:R126)-1)+1),""),"")</f>
        <v>0</v>
      </c>
      <c r="X126" s="113"/>
      <c r="Y126" s="113"/>
      <c r="Z126" s="111">
        <f>INDEX('M03-S03'!$B$16:$B$198,2*(ROWS($Z$106:Z126)-1)+1)</f>
        <v>21</v>
      </c>
      <c r="AA126" s="111" t="str">
        <f>INDEX('M03-S03'!$L$16:$L$199,2*(ROWS($Z$106:AA126)-1)+1)</f>
        <v/>
      </c>
      <c r="AB126" s="111">
        <f>INDEX('M03-S03'!$C$16:$C$198,2*(ROWS($Z$106:AB126)-1)+1)</f>
        <v>0</v>
      </c>
      <c r="AC126" t="str">
        <f>IFERROR(INDEX('M03-S03'!$J$16:$J$199,2*(ROWS(AC$106:AC126)-1)+1)&amp;" "&amp;INDEX('M03-S03'!$L$16:$L$199,2*(ROWS(AC$106:AC126)-1)+1)&amp;", "&amp;INDEX('M03-S03'!$P$16:$P$199,2*(ROWS(AC$106:AC126)-1)+1)&amp;" "&amp;INDEX('M03-S03'!$R$16:$R$199,2*(ROWS(AC$106:AC126)-1)+1),"")</f>
        <v xml:space="preserve"> ,  </v>
      </c>
      <c r="AD126" t="str">
        <f>IFERROR(INDEX('M03-S03'!$J$16:$J$199,2*(ROWS(AD$106:AD126)-1)+1)&amp;" "&amp;ROUND(INDEX('M03-S03'!$N$16:$N$199,2*(ROWS(AD$106:AD126)-1)+1),3),"")&amp;", "&amp;IFERROR(INDEX('M03-S03'!$P$16:$P$199,2*(ROWS(AD$106:AD126)-1)+1)&amp;" "&amp;ROUND(INDEX('M03-S03'!$T$16:$T$199,2*(ROWS(AD$106:AD126)-1)+1),3),"")</f>
        <v xml:space="preserve"> 0,  0</v>
      </c>
      <c r="AE126" s="459"/>
      <c r="AF126" s="459"/>
      <c r="AG126" s="112"/>
      <c r="AH126" s="112"/>
      <c r="AI126" s="112"/>
      <c r="AJ126" s="112"/>
      <c r="AK126" s="113"/>
      <c r="AL126" s="113"/>
      <c r="AM126" s="113"/>
      <c r="AN126" s="113"/>
      <c r="AO126" s="52" t="str">
        <f>IFERROR(INDEX(PMEHVAC[Program Design],MATCH(AB126,PMEHVAC[Eff Desc 1],0)),"")</f>
        <v/>
      </c>
      <c r="AU126"/>
    </row>
    <row r="127" spans="1:47">
      <c r="A127" s="57">
        <f t="shared" si="9"/>
        <v>0</v>
      </c>
      <c r="B127" s="183" t="str">
        <f t="shared" si="11"/>
        <v/>
      </c>
      <c r="C127" t="str">
        <f>IFERROR(IF(R127&gt;0,INDEX(PMEHVAC[Measure '#],MATCH(AB127,PMEHVAC[Eff Desc 1],0)),""),"")</f>
        <v/>
      </c>
      <c r="D127" t="s">
        <v>947</v>
      </c>
      <c r="F127" s="112"/>
      <c r="G127" s="186">
        <f>INDEX('M03-S03'!$N$16:$N$198,2*(ROWS($G$106:G127)-1)+1)</f>
        <v>0</v>
      </c>
      <c r="H127" s="186"/>
      <c r="I127" s="184">
        <f>IFERROR(ROUND(INDEX('M03-S03'!$AA$16:$AA$198,2*(ROWS($I$106:I127)-1)+1),2),0)</f>
        <v>0</v>
      </c>
      <c r="J127" s="184">
        <f>IFERROR(ROUND(INDEX('M03-S03'!$AC$16:$AC$198,2*(ROWS($J$106:J127)-1)+1),2),0)</f>
        <v>0</v>
      </c>
      <c r="K127" s="52">
        <f>IFERROR(ROUND(INDEX('M03-S03'!$AU$16:$AU$198,2*(ROWS($K$106:K127)-1)+1),2),0)</f>
        <v>0</v>
      </c>
      <c r="M127" s="456">
        <f>INDEX('M03-S03'!$V$16:$V$198,2*(ROWS($M$106:M127)-1)+1)</f>
        <v>0</v>
      </c>
      <c r="N127" s="184" t="str">
        <f>IF(ISNUMBER(INDEX('M03-S03'!$AO$16:$AO$198,2*(ROWS($R$106:R127)-1)+1)),INDEX('M03-S03'!$AK$16:$AK$198,2*(ROWS($N$106:N127)-1)+1),"")</f>
        <v/>
      </c>
      <c r="O127" s="456" t="str">
        <f>IFERROR(IF(ISNUMBER(INDEX('M03-S03'!$AO$16:$AO$198,2*(ROWS($R$106:R127)-1)+1)),INDEX('M03-S03'!$AV$16:$AV$198,2*(ROWS($O$106:O127)-1)+1),""),"")</f>
        <v/>
      </c>
      <c r="P127" s="456" t="str">
        <f>IFERROR(IF(ISNUMBER(INDEX('M03-S03'!$AO$16:$AO$198,2*(ROWS($R$106:R127)-1)+1)),INDEX('M03-S03'!$AY$16:$AY$198,2*(ROWS($O$106:P127)-1)+1),""),"")</f>
        <v/>
      </c>
      <c r="Q127" s="113"/>
      <c r="R127" s="184">
        <f>IF(ISNUMBER(INDEX('M03-S03'!$AO$16:$AO$198,2*(ROWS($R$106:R127)-1)+1)),INDEX('M03-S03'!$AO$16:$AO$198,2*(ROWS($R$106:R127)-1)+1),0)</f>
        <v>0</v>
      </c>
      <c r="S127" s="459"/>
      <c r="T127" s="113"/>
      <c r="U127" s="140"/>
      <c r="V127" s="113"/>
      <c r="W127" s="96">
        <f>IFERROR(IF(NOT(ISNUMBER(INDEX('M03-S03'!$AO$16:$AO$198,2*(ROWS($R$106:R127)-1)+1))),INDEX('M03-S03'!$BC$16:$BC$198,2*(ROWS($R$106:R127)-1)+1),""),"")</f>
        <v>0</v>
      </c>
      <c r="X127" s="113"/>
      <c r="Y127" s="113"/>
      <c r="Z127" s="111">
        <f>INDEX('M03-S03'!$B$16:$B$198,2*(ROWS($Z$106:Z127)-1)+1)</f>
        <v>22</v>
      </c>
      <c r="AA127" s="111" t="str">
        <f>INDEX('M03-S03'!$L$16:$L$199,2*(ROWS($Z$106:AA127)-1)+1)</f>
        <v/>
      </c>
      <c r="AB127" s="111">
        <f>INDEX('M03-S03'!$C$16:$C$198,2*(ROWS($Z$106:AB127)-1)+1)</f>
        <v>0</v>
      </c>
      <c r="AC127" t="str">
        <f>IFERROR(INDEX('M03-S03'!$J$16:$J$199,2*(ROWS(AC$106:AC127)-1)+1)&amp;" "&amp;INDEX('M03-S03'!$L$16:$L$199,2*(ROWS(AC$106:AC127)-1)+1)&amp;", "&amp;INDEX('M03-S03'!$P$16:$P$199,2*(ROWS(AC$106:AC127)-1)+1)&amp;" "&amp;INDEX('M03-S03'!$R$16:$R$199,2*(ROWS(AC$106:AC127)-1)+1),"")</f>
        <v xml:space="preserve"> ,  </v>
      </c>
      <c r="AD127" t="str">
        <f>IFERROR(INDEX('M03-S03'!$J$16:$J$199,2*(ROWS(AD$106:AD127)-1)+1)&amp;" "&amp;ROUND(INDEX('M03-S03'!$N$16:$N$199,2*(ROWS(AD$106:AD127)-1)+1),3),"")&amp;", "&amp;IFERROR(INDEX('M03-S03'!$P$16:$P$199,2*(ROWS(AD$106:AD127)-1)+1)&amp;" "&amp;ROUND(INDEX('M03-S03'!$T$16:$T$199,2*(ROWS(AD$106:AD127)-1)+1),3),"")</f>
        <v xml:space="preserve"> 0,  0</v>
      </c>
      <c r="AE127" s="459"/>
      <c r="AF127" s="459"/>
      <c r="AG127" s="112"/>
      <c r="AH127" s="112"/>
      <c r="AI127" s="112"/>
      <c r="AJ127" s="112"/>
      <c r="AK127" s="113"/>
      <c r="AL127" s="113"/>
      <c r="AM127" s="113"/>
      <c r="AN127" s="113"/>
      <c r="AO127" s="52" t="str">
        <f>IFERROR(INDEX(PMEHVAC[Program Design],MATCH(AB127,PMEHVAC[Eff Desc 1],0)),"")</f>
        <v/>
      </c>
      <c r="AU127"/>
    </row>
    <row r="128" spans="1:47">
      <c r="A128" s="57">
        <f t="shared" si="9"/>
        <v>0</v>
      </c>
      <c r="B128" s="183" t="str">
        <f t="shared" si="11"/>
        <v/>
      </c>
      <c r="C128" t="str">
        <f>IFERROR(IF(R128&gt;0,INDEX(PMEHVAC[Measure '#],MATCH(AB128,PMEHVAC[Eff Desc 1],0)),""),"")</f>
        <v/>
      </c>
      <c r="D128" t="s">
        <v>947</v>
      </c>
      <c r="F128" s="112"/>
      <c r="G128" s="186">
        <f>INDEX('M03-S03'!$N$16:$N$198,2*(ROWS($G$106:G128)-1)+1)</f>
        <v>0</v>
      </c>
      <c r="H128" s="186"/>
      <c r="I128" s="184">
        <f>IFERROR(ROUND(INDEX('M03-S03'!$AA$16:$AA$198,2*(ROWS($I$106:I128)-1)+1),2),0)</f>
        <v>0</v>
      </c>
      <c r="J128" s="184">
        <f>IFERROR(ROUND(INDEX('M03-S03'!$AC$16:$AC$198,2*(ROWS($J$106:J128)-1)+1),2),0)</f>
        <v>0</v>
      </c>
      <c r="K128" s="52">
        <f>IFERROR(ROUND(INDEX('M03-S03'!$AU$16:$AU$198,2*(ROWS($K$106:K128)-1)+1),2),0)</f>
        <v>0</v>
      </c>
      <c r="M128" s="456">
        <f>INDEX('M03-S03'!$V$16:$V$198,2*(ROWS($M$106:M128)-1)+1)</f>
        <v>0</v>
      </c>
      <c r="N128" s="184" t="str">
        <f>IF(ISNUMBER(INDEX('M03-S03'!$AO$16:$AO$198,2*(ROWS($R$106:R128)-1)+1)),INDEX('M03-S03'!$AK$16:$AK$198,2*(ROWS($N$106:N128)-1)+1),"")</f>
        <v/>
      </c>
      <c r="O128" s="456" t="str">
        <f>IFERROR(IF(ISNUMBER(INDEX('M03-S03'!$AO$16:$AO$198,2*(ROWS($R$106:R128)-1)+1)),INDEX('M03-S03'!$AV$16:$AV$198,2*(ROWS($O$106:O128)-1)+1),""),"")</f>
        <v/>
      </c>
      <c r="P128" s="456" t="str">
        <f>IFERROR(IF(ISNUMBER(INDEX('M03-S03'!$AO$16:$AO$198,2*(ROWS($R$106:R128)-1)+1)),INDEX('M03-S03'!$AY$16:$AY$198,2*(ROWS($O$106:P128)-1)+1),""),"")</f>
        <v/>
      </c>
      <c r="Q128" s="113"/>
      <c r="R128" s="184">
        <f>IF(ISNUMBER(INDEX('M03-S03'!$AO$16:$AO$198,2*(ROWS($R$106:R128)-1)+1)),INDEX('M03-S03'!$AO$16:$AO$198,2*(ROWS($R$106:R128)-1)+1),0)</f>
        <v>0</v>
      </c>
      <c r="S128" s="459"/>
      <c r="T128" s="113"/>
      <c r="U128" s="140"/>
      <c r="V128" s="113"/>
      <c r="W128" s="96">
        <f>IFERROR(IF(NOT(ISNUMBER(INDEX('M03-S03'!$AO$16:$AO$198,2*(ROWS($R$106:R128)-1)+1))),INDEX('M03-S03'!$BC$16:$BC$198,2*(ROWS($R$106:R128)-1)+1),""),"")</f>
        <v>0</v>
      </c>
      <c r="X128" s="113"/>
      <c r="Y128" s="113"/>
      <c r="Z128" s="111">
        <f>INDEX('M03-S03'!$B$16:$B$198,2*(ROWS($Z$106:Z128)-1)+1)</f>
        <v>23</v>
      </c>
      <c r="AA128" s="111" t="str">
        <f>INDEX('M03-S03'!$L$16:$L$199,2*(ROWS($Z$106:AA128)-1)+1)</f>
        <v/>
      </c>
      <c r="AB128" s="111">
        <f>INDEX('M03-S03'!$C$16:$C$198,2*(ROWS($Z$106:AB128)-1)+1)</f>
        <v>0</v>
      </c>
      <c r="AC128" t="str">
        <f>IFERROR(INDEX('M03-S03'!$J$16:$J$199,2*(ROWS(AC$106:AC128)-1)+1)&amp;" "&amp;INDEX('M03-S03'!$L$16:$L$199,2*(ROWS(AC$106:AC128)-1)+1)&amp;", "&amp;INDEX('M03-S03'!$P$16:$P$199,2*(ROWS(AC$106:AC128)-1)+1)&amp;" "&amp;INDEX('M03-S03'!$R$16:$R$199,2*(ROWS(AC$106:AC128)-1)+1),"")</f>
        <v xml:space="preserve"> ,  </v>
      </c>
      <c r="AD128" t="str">
        <f>IFERROR(INDEX('M03-S03'!$J$16:$J$199,2*(ROWS(AD$106:AD128)-1)+1)&amp;" "&amp;ROUND(INDEX('M03-S03'!$N$16:$N$199,2*(ROWS(AD$106:AD128)-1)+1),3),"")&amp;", "&amp;IFERROR(INDEX('M03-S03'!$P$16:$P$199,2*(ROWS(AD$106:AD128)-1)+1)&amp;" "&amp;ROUND(INDEX('M03-S03'!$T$16:$T$199,2*(ROWS(AD$106:AD128)-1)+1),3),"")</f>
        <v xml:space="preserve"> 0,  0</v>
      </c>
      <c r="AE128" s="459"/>
      <c r="AF128" s="459"/>
      <c r="AG128" s="112"/>
      <c r="AH128" s="112"/>
      <c r="AI128" s="112"/>
      <c r="AJ128" s="112"/>
      <c r="AK128" s="113"/>
      <c r="AL128" s="113"/>
      <c r="AM128" s="113"/>
      <c r="AN128" s="113"/>
      <c r="AO128" s="52" t="str">
        <f>IFERROR(INDEX(PMEHVAC[Program Design],MATCH(AB128,PMEHVAC[Eff Desc 1],0)),"")</f>
        <v/>
      </c>
      <c r="AU128"/>
    </row>
    <row r="129" spans="1:47">
      <c r="A129" s="57">
        <f t="shared" si="9"/>
        <v>0</v>
      </c>
      <c r="B129" s="183" t="str">
        <f t="shared" si="11"/>
        <v/>
      </c>
      <c r="C129" t="str">
        <f>IFERROR(IF(R129&gt;0,INDEX(PMEHVAC[Measure '#],MATCH(AB129,PMEHVAC[Eff Desc 1],0)),""),"")</f>
        <v/>
      </c>
      <c r="D129" t="s">
        <v>947</v>
      </c>
      <c r="F129" s="112"/>
      <c r="G129" s="186">
        <f>INDEX('M03-S03'!$N$16:$N$198,2*(ROWS($G$106:G129)-1)+1)</f>
        <v>0</v>
      </c>
      <c r="H129" s="186"/>
      <c r="I129" s="184">
        <f>IFERROR(ROUND(INDEX('M03-S03'!$AA$16:$AA$198,2*(ROWS($I$106:I129)-1)+1),2),0)</f>
        <v>0</v>
      </c>
      <c r="J129" s="184">
        <f>IFERROR(ROUND(INDEX('M03-S03'!$AC$16:$AC$198,2*(ROWS($J$106:J129)-1)+1),2),0)</f>
        <v>0</v>
      </c>
      <c r="K129" s="52">
        <f>IFERROR(ROUND(INDEX('M03-S03'!$AU$16:$AU$198,2*(ROWS($K$106:K129)-1)+1),2),0)</f>
        <v>0</v>
      </c>
      <c r="M129" s="456">
        <f>INDEX('M03-S03'!$V$16:$V$198,2*(ROWS($M$106:M129)-1)+1)</f>
        <v>0</v>
      </c>
      <c r="N129" s="184" t="str">
        <f>IF(ISNUMBER(INDEX('M03-S03'!$AO$16:$AO$198,2*(ROWS($R$106:R129)-1)+1)),INDEX('M03-S03'!$AK$16:$AK$198,2*(ROWS($N$106:N129)-1)+1),"")</f>
        <v/>
      </c>
      <c r="O129" s="456" t="str">
        <f>IFERROR(IF(ISNUMBER(INDEX('M03-S03'!$AO$16:$AO$198,2*(ROWS($R$106:R129)-1)+1)),INDEX('M03-S03'!$AV$16:$AV$198,2*(ROWS($O$106:O129)-1)+1),""),"")</f>
        <v/>
      </c>
      <c r="P129" s="456" t="str">
        <f>IFERROR(IF(ISNUMBER(INDEX('M03-S03'!$AO$16:$AO$198,2*(ROWS($R$106:R129)-1)+1)),INDEX('M03-S03'!$AY$16:$AY$198,2*(ROWS($O$106:P129)-1)+1),""),"")</f>
        <v/>
      </c>
      <c r="Q129" s="113"/>
      <c r="R129" s="184">
        <f>IF(ISNUMBER(INDEX('M03-S03'!$AO$16:$AO$198,2*(ROWS($R$106:R129)-1)+1)),INDEX('M03-S03'!$AO$16:$AO$198,2*(ROWS($R$106:R129)-1)+1),0)</f>
        <v>0</v>
      </c>
      <c r="S129" s="459"/>
      <c r="T129" s="113"/>
      <c r="U129" s="140"/>
      <c r="V129" s="113"/>
      <c r="W129" s="96">
        <f>IFERROR(IF(NOT(ISNUMBER(INDEX('M03-S03'!$AO$16:$AO$198,2*(ROWS($R$106:R129)-1)+1))),INDEX('M03-S03'!$BC$16:$BC$198,2*(ROWS($R$106:R129)-1)+1),""),"")</f>
        <v>0</v>
      </c>
      <c r="X129" s="113"/>
      <c r="Y129" s="113"/>
      <c r="Z129" s="111">
        <f>INDEX('M03-S03'!$B$16:$B$198,2*(ROWS($Z$106:Z129)-1)+1)</f>
        <v>24</v>
      </c>
      <c r="AA129" s="111" t="str">
        <f>INDEX('M03-S03'!$L$16:$L$199,2*(ROWS($Z$106:AA129)-1)+1)</f>
        <v/>
      </c>
      <c r="AB129" s="111">
        <f>INDEX('M03-S03'!$C$16:$C$198,2*(ROWS($Z$106:AB129)-1)+1)</f>
        <v>0</v>
      </c>
      <c r="AC129" t="str">
        <f>IFERROR(INDEX('M03-S03'!$J$16:$J$199,2*(ROWS(AC$106:AC129)-1)+1)&amp;" "&amp;INDEX('M03-S03'!$L$16:$L$199,2*(ROWS(AC$106:AC129)-1)+1)&amp;", "&amp;INDEX('M03-S03'!$P$16:$P$199,2*(ROWS(AC$106:AC129)-1)+1)&amp;" "&amp;INDEX('M03-S03'!$R$16:$R$199,2*(ROWS(AC$106:AC129)-1)+1),"")</f>
        <v xml:space="preserve"> ,  </v>
      </c>
      <c r="AD129" t="str">
        <f>IFERROR(INDEX('M03-S03'!$J$16:$J$199,2*(ROWS(AD$106:AD129)-1)+1)&amp;" "&amp;ROUND(INDEX('M03-S03'!$N$16:$N$199,2*(ROWS(AD$106:AD129)-1)+1),3),"")&amp;", "&amp;IFERROR(INDEX('M03-S03'!$P$16:$P$199,2*(ROWS(AD$106:AD129)-1)+1)&amp;" "&amp;ROUND(INDEX('M03-S03'!$T$16:$T$199,2*(ROWS(AD$106:AD129)-1)+1),3),"")</f>
        <v xml:space="preserve"> 0,  0</v>
      </c>
      <c r="AE129" s="459"/>
      <c r="AF129" s="459"/>
      <c r="AG129" s="112"/>
      <c r="AH129" s="112"/>
      <c r="AI129" s="112"/>
      <c r="AJ129" s="112"/>
      <c r="AK129" s="113"/>
      <c r="AL129" s="113"/>
      <c r="AM129" s="113"/>
      <c r="AN129" s="113"/>
      <c r="AO129" s="52" t="str">
        <f>IFERROR(INDEX(PMEHVAC[Program Design],MATCH(AB129,PMEHVAC[Eff Desc 1],0)),"")</f>
        <v/>
      </c>
      <c r="AU129"/>
    </row>
    <row r="130" spans="1:47">
      <c r="A130" s="57">
        <f t="shared" si="9"/>
        <v>0</v>
      </c>
      <c r="B130" s="183" t="str">
        <f t="shared" si="11"/>
        <v/>
      </c>
      <c r="C130" t="str">
        <f>IFERROR(IF(R130&gt;0,INDEX(PMEHVAC[Measure '#],MATCH(AB130,PMEHVAC[Eff Desc 1],0)),""),"")</f>
        <v/>
      </c>
      <c r="D130" t="s">
        <v>947</v>
      </c>
      <c r="F130" s="112"/>
      <c r="G130" s="186">
        <f>INDEX('M03-S03'!$N$16:$N$198,2*(ROWS($G$106:G130)-1)+1)</f>
        <v>0</v>
      </c>
      <c r="H130" s="186"/>
      <c r="I130" s="184">
        <f>IFERROR(ROUND(INDEX('M03-S03'!$AA$16:$AA$198,2*(ROWS($I$106:I130)-1)+1),2),0)</f>
        <v>0</v>
      </c>
      <c r="J130" s="184">
        <f>IFERROR(ROUND(INDEX('M03-S03'!$AC$16:$AC$198,2*(ROWS($J$106:J130)-1)+1),2),0)</f>
        <v>0</v>
      </c>
      <c r="K130" s="52">
        <f>IFERROR(ROUND(INDEX('M03-S03'!$AU$16:$AU$198,2*(ROWS($K$106:K130)-1)+1),2),0)</f>
        <v>0</v>
      </c>
      <c r="M130" s="456">
        <f>INDEX('M03-S03'!$V$16:$V$198,2*(ROWS($M$106:M130)-1)+1)</f>
        <v>0</v>
      </c>
      <c r="N130" s="184" t="str">
        <f>IF(ISNUMBER(INDEX('M03-S03'!$AO$16:$AO$198,2*(ROWS($R$106:R130)-1)+1)),INDEX('M03-S03'!$AK$16:$AK$198,2*(ROWS($N$106:N130)-1)+1),"")</f>
        <v/>
      </c>
      <c r="O130" s="456" t="str">
        <f>IFERROR(IF(ISNUMBER(INDEX('M03-S03'!$AO$16:$AO$198,2*(ROWS($R$106:R130)-1)+1)),INDEX('M03-S03'!$AV$16:$AV$198,2*(ROWS($O$106:O130)-1)+1),""),"")</f>
        <v/>
      </c>
      <c r="P130" s="456" t="str">
        <f>IFERROR(IF(ISNUMBER(INDEX('M03-S03'!$AO$16:$AO$198,2*(ROWS($R$106:R130)-1)+1)),INDEX('M03-S03'!$AY$16:$AY$198,2*(ROWS($O$106:P130)-1)+1),""),"")</f>
        <v/>
      </c>
      <c r="Q130" s="113"/>
      <c r="R130" s="184">
        <f>IF(ISNUMBER(INDEX('M03-S03'!$AO$16:$AO$198,2*(ROWS($R$106:R130)-1)+1)),INDEX('M03-S03'!$AO$16:$AO$198,2*(ROWS($R$106:R130)-1)+1),0)</f>
        <v>0</v>
      </c>
      <c r="S130" s="459"/>
      <c r="T130" s="113"/>
      <c r="U130" s="140"/>
      <c r="V130" s="113"/>
      <c r="W130" s="96">
        <f>IFERROR(IF(NOT(ISNUMBER(INDEX('M03-S03'!$AO$16:$AO$198,2*(ROWS($R$106:R130)-1)+1))),INDEX('M03-S03'!$BC$16:$BC$198,2*(ROWS($R$106:R130)-1)+1),""),"")</f>
        <v>0</v>
      </c>
      <c r="X130" s="113"/>
      <c r="Y130" s="113"/>
      <c r="Z130" s="111">
        <f>INDEX('M03-S03'!$B$16:$B$198,2*(ROWS($Z$106:Z130)-1)+1)</f>
        <v>25</v>
      </c>
      <c r="AA130" s="111" t="str">
        <f>INDEX('M03-S03'!$L$16:$L$199,2*(ROWS($Z$106:AA130)-1)+1)</f>
        <v/>
      </c>
      <c r="AB130" s="111">
        <f>INDEX('M03-S03'!$C$16:$C$198,2*(ROWS($Z$106:AB130)-1)+1)</f>
        <v>0</v>
      </c>
      <c r="AC130" t="str">
        <f>IFERROR(INDEX('M03-S03'!$J$16:$J$199,2*(ROWS(AC$106:AC130)-1)+1)&amp;" "&amp;INDEX('M03-S03'!$L$16:$L$199,2*(ROWS(AC$106:AC130)-1)+1)&amp;", "&amp;INDEX('M03-S03'!$P$16:$P$199,2*(ROWS(AC$106:AC130)-1)+1)&amp;" "&amp;INDEX('M03-S03'!$R$16:$R$199,2*(ROWS(AC$106:AC130)-1)+1),"")</f>
        <v xml:space="preserve"> ,  </v>
      </c>
      <c r="AD130" t="str">
        <f>IFERROR(INDEX('M03-S03'!$J$16:$J$199,2*(ROWS(AD$106:AD130)-1)+1)&amp;" "&amp;ROUND(INDEX('M03-S03'!$N$16:$N$199,2*(ROWS(AD$106:AD130)-1)+1),3),"")&amp;", "&amp;IFERROR(INDEX('M03-S03'!$P$16:$P$199,2*(ROWS(AD$106:AD130)-1)+1)&amp;" "&amp;ROUND(INDEX('M03-S03'!$T$16:$T$199,2*(ROWS(AD$106:AD130)-1)+1),3),"")</f>
        <v xml:space="preserve"> 0,  0</v>
      </c>
      <c r="AE130" s="459"/>
      <c r="AF130" s="459"/>
      <c r="AG130" s="112"/>
      <c r="AH130" s="112"/>
      <c r="AI130" s="112"/>
      <c r="AJ130" s="112"/>
      <c r="AK130" s="113"/>
      <c r="AL130" s="113"/>
      <c r="AM130" s="113"/>
      <c r="AN130" s="113"/>
      <c r="AO130" s="52" t="str">
        <f>IFERROR(INDEX(PMEHVAC[Program Design],MATCH(AB130,PMEHVAC[Eff Desc 1],0)),"")</f>
        <v/>
      </c>
      <c r="AU130"/>
    </row>
    <row r="131" spans="1:47">
      <c r="A131" s="57">
        <f t="shared" si="9"/>
        <v>0</v>
      </c>
      <c r="B131" s="183" t="str">
        <f t="shared" si="11"/>
        <v/>
      </c>
      <c r="C131" t="str">
        <f>IFERROR(IF(R131&gt;0,INDEX(PMEHVAC[Measure '#],MATCH(AB131,PMEHVAC[Eff Desc 1],0)),""),"")</f>
        <v/>
      </c>
      <c r="D131" t="s">
        <v>947</v>
      </c>
      <c r="F131" s="112"/>
      <c r="G131" s="186">
        <f>INDEX('M03-S03'!$N$16:$N$198,2*(ROWS($G$106:G131)-1)+1)</f>
        <v>0</v>
      </c>
      <c r="H131" s="186"/>
      <c r="I131" s="184">
        <f>IFERROR(ROUND(INDEX('M03-S03'!$AA$16:$AA$198,2*(ROWS($I$106:I131)-1)+1),2),0)</f>
        <v>0</v>
      </c>
      <c r="J131" s="184">
        <f>IFERROR(ROUND(INDEX('M03-S03'!$AC$16:$AC$198,2*(ROWS($J$106:J131)-1)+1),2),0)</f>
        <v>0</v>
      </c>
      <c r="K131" s="52">
        <f>IFERROR(ROUND(INDEX('M03-S03'!$AU$16:$AU$198,2*(ROWS($K$106:K131)-1)+1),2),0)</f>
        <v>0</v>
      </c>
      <c r="M131" s="456">
        <f>INDEX('M03-S03'!$V$16:$V$198,2*(ROWS($M$106:M131)-1)+1)</f>
        <v>0</v>
      </c>
      <c r="N131" s="184" t="str">
        <f>IF(ISNUMBER(INDEX('M03-S03'!$AO$16:$AO$198,2*(ROWS($R$106:R131)-1)+1)),INDEX('M03-S03'!$AK$16:$AK$198,2*(ROWS($N$106:N131)-1)+1),"")</f>
        <v/>
      </c>
      <c r="O131" s="456" t="str">
        <f>IFERROR(IF(ISNUMBER(INDEX('M03-S03'!$AO$16:$AO$198,2*(ROWS($R$106:R131)-1)+1)),INDEX('M03-S03'!$AV$16:$AV$198,2*(ROWS($O$106:O131)-1)+1),""),"")</f>
        <v/>
      </c>
      <c r="P131" s="456" t="str">
        <f>IFERROR(IF(ISNUMBER(INDEX('M03-S03'!$AO$16:$AO$198,2*(ROWS($R$106:R131)-1)+1)),INDEX('M03-S03'!$AY$16:$AY$198,2*(ROWS($O$106:P131)-1)+1),""),"")</f>
        <v/>
      </c>
      <c r="Q131" s="113"/>
      <c r="R131" s="184">
        <f>IF(ISNUMBER(INDEX('M03-S03'!$AO$16:$AO$198,2*(ROWS($R$106:R131)-1)+1)),INDEX('M03-S03'!$AO$16:$AO$198,2*(ROWS($R$106:R131)-1)+1),0)</f>
        <v>0</v>
      </c>
      <c r="S131" s="459"/>
      <c r="T131" s="113"/>
      <c r="U131" s="140"/>
      <c r="V131" s="113"/>
      <c r="W131" s="96">
        <f>IFERROR(IF(NOT(ISNUMBER(INDEX('M03-S03'!$AO$16:$AO$198,2*(ROWS($R$106:R131)-1)+1))),INDEX('M03-S03'!$BC$16:$BC$198,2*(ROWS($R$106:R131)-1)+1),""),"")</f>
        <v>0</v>
      </c>
      <c r="X131" s="113"/>
      <c r="Y131" s="113"/>
      <c r="Z131" s="111">
        <f>INDEX('M03-S03'!$B$16:$B$198,2*(ROWS($Z$106:Z131)-1)+1)</f>
        <v>26</v>
      </c>
      <c r="AA131" s="111" t="str">
        <f>INDEX('M03-S03'!$L$16:$L$199,2*(ROWS($Z$106:AA131)-1)+1)</f>
        <v/>
      </c>
      <c r="AB131" s="111">
        <f>INDEX('M03-S03'!$C$16:$C$198,2*(ROWS($Z$106:AB131)-1)+1)</f>
        <v>0</v>
      </c>
      <c r="AC131" t="str">
        <f>IFERROR(INDEX('M03-S03'!$J$16:$J$199,2*(ROWS(AC$106:AC131)-1)+1)&amp;" "&amp;INDEX('M03-S03'!$L$16:$L$199,2*(ROWS(AC$106:AC131)-1)+1)&amp;", "&amp;INDEX('M03-S03'!$P$16:$P$199,2*(ROWS(AC$106:AC131)-1)+1)&amp;" "&amp;INDEX('M03-S03'!$R$16:$R$199,2*(ROWS(AC$106:AC131)-1)+1),"")</f>
        <v xml:space="preserve"> ,  </v>
      </c>
      <c r="AD131" t="str">
        <f>IFERROR(INDEX('M03-S03'!$J$16:$J$199,2*(ROWS(AD$106:AD131)-1)+1)&amp;" "&amp;ROUND(INDEX('M03-S03'!$N$16:$N$199,2*(ROWS(AD$106:AD131)-1)+1),3),"")&amp;", "&amp;IFERROR(INDEX('M03-S03'!$P$16:$P$199,2*(ROWS(AD$106:AD131)-1)+1)&amp;" "&amp;ROUND(INDEX('M03-S03'!$T$16:$T$199,2*(ROWS(AD$106:AD131)-1)+1),3),"")</f>
        <v xml:space="preserve"> 0,  0</v>
      </c>
      <c r="AE131" s="459"/>
      <c r="AF131" s="459"/>
      <c r="AG131" s="112"/>
      <c r="AH131" s="112"/>
      <c r="AI131" s="112"/>
      <c r="AJ131" s="112"/>
      <c r="AK131" s="113"/>
      <c r="AL131" s="113"/>
      <c r="AM131" s="113"/>
      <c r="AN131" s="113"/>
      <c r="AO131" s="52" t="str">
        <f>IFERROR(INDEX(PMEHVAC[Program Design],MATCH(AB131,PMEHVAC[Eff Desc 1],0)),"")</f>
        <v/>
      </c>
      <c r="AU131"/>
    </row>
    <row r="132" spans="1:47">
      <c r="A132" s="57">
        <f t="shared" si="9"/>
        <v>0</v>
      </c>
      <c r="B132" s="183" t="str">
        <f t="shared" si="11"/>
        <v/>
      </c>
      <c r="C132" t="str">
        <f>IFERROR(IF(R132&gt;0,INDEX(PMEHVAC[Measure '#],MATCH(AB132,PMEHVAC[Eff Desc 1],0)),""),"")</f>
        <v/>
      </c>
      <c r="D132" t="s">
        <v>947</v>
      </c>
      <c r="F132" s="112"/>
      <c r="G132" s="186">
        <f>INDEX('M03-S03'!$N$16:$N$198,2*(ROWS($G$106:G132)-1)+1)</f>
        <v>0</v>
      </c>
      <c r="H132" s="186"/>
      <c r="I132" s="184">
        <f>IFERROR(ROUND(INDEX('M03-S03'!$AA$16:$AA$198,2*(ROWS($I$106:I132)-1)+1),2),0)</f>
        <v>0</v>
      </c>
      <c r="J132" s="184">
        <f>IFERROR(ROUND(INDEX('M03-S03'!$AC$16:$AC$198,2*(ROWS($J$106:J132)-1)+1),2),0)</f>
        <v>0</v>
      </c>
      <c r="K132" s="52">
        <f>IFERROR(ROUND(INDEX('M03-S03'!$AU$16:$AU$198,2*(ROWS($K$106:K132)-1)+1),2),0)</f>
        <v>0</v>
      </c>
      <c r="M132" s="456">
        <f>INDEX('M03-S03'!$V$16:$V$198,2*(ROWS($M$106:M132)-1)+1)</f>
        <v>0</v>
      </c>
      <c r="N132" s="184" t="str">
        <f>IF(ISNUMBER(INDEX('M03-S03'!$AO$16:$AO$198,2*(ROWS($R$106:R132)-1)+1)),INDEX('M03-S03'!$AK$16:$AK$198,2*(ROWS($N$106:N132)-1)+1),"")</f>
        <v/>
      </c>
      <c r="O132" s="456" t="str">
        <f>IFERROR(IF(ISNUMBER(INDEX('M03-S03'!$AO$16:$AO$198,2*(ROWS($R$106:R132)-1)+1)),INDEX('M03-S03'!$AV$16:$AV$198,2*(ROWS($O$106:O132)-1)+1),""),"")</f>
        <v/>
      </c>
      <c r="P132" s="456" t="str">
        <f>IFERROR(IF(ISNUMBER(INDEX('M03-S03'!$AO$16:$AO$198,2*(ROWS($R$106:R132)-1)+1)),INDEX('M03-S03'!$AY$16:$AY$198,2*(ROWS($O$106:P132)-1)+1),""),"")</f>
        <v/>
      </c>
      <c r="Q132" s="113"/>
      <c r="R132" s="184">
        <f>IF(ISNUMBER(INDEX('M03-S03'!$AO$16:$AO$198,2*(ROWS($R$106:R132)-1)+1)),INDEX('M03-S03'!$AO$16:$AO$198,2*(ROWS($R$106:R132)-1)+1),0)</f>
        <v>0</v>
      </c>
      <c r="S132" s="459"/>
      <c r="T132" s="113"/>
      <c r="U132" s="140"/>
      <c r="V132" s="113"/>
      <c r="W132" s="96">
        <f>IFERROR(IF(NOT(ISNUMBER(INDEX('M03-S03'!$AO$16:$AO$198,2*(ROWS($R$106:R132)-1)+1))),INDEX('M03-S03'!$BC$16:$BC$198,2*(ROWS($R$106:R132)-1)+1),""),"")</f>
        <v>0</v>
      </c>
      <c r="X132" s="113"/>
      <c r="Y132" s="113"/>
      <c r="Z132" s="111">
        <f>INDEX('M03-S03'!$B$16:$B$198,2*(ROWS($Z$106:Z132)-1)+1)</f>
        <v>27</v>
      </c>
      <c r="AA132" s="111" t="str">
        <f>INDEX('M03-S03'!$L$16:$L$199,2*(ROWS($Z$106:AA132)-1)+1)</f>
        <v/>
      </c>
      <c r="AB132" s="111">
        <f>INDEX('M03-S03'!$C$16:$C$198,2*(ROWS($Z$106:AB132)-1)+1)</f>
        <v>0</v>
      </c>
      <c r="AC132" t="str">
        <f>IFERROR(INDEX('M03-S03'!$J$16:$J$199,2*(ROWS(AC$106:AC132)-1)+1)&amp;" "&amp;INDEX('M03-S03'!$L$16:$L$199,2*(ROWS(AC$106:AC132)-1)+1)&amp;", "&amp;INDEX('M03-S03'!$P$16:$P$199,2*(ROWS(AC$106:AC132)-1)+1)&amp;" "&amp;INDEX('M03-S03'!$R$16:$R$199,2*(ROWS(AC$106:AC132)-1)+1),"")</f>
        <v xml:space="preserve"> ,  </v>
      </c>
      <c r="AD132" t="str">
        <f>IFERROR(INDEX('M03-S03'!$J$16:$J$199,2*(ROWS(AD$106:AD132)-1)+1)&amp;" "&amp;ROUND(INDEX('M03-S03'!$N$16:$N$199,2*(ROWS(AD$106:AD132)-1)+1),3),"")&amp;", "&amp;IFERROR(INDEX('M03-S03'!$P$16:$P$199,2*(ROWS(AD$106:AD132)-1)+1)&amp;" "&amp;ROUND(INDEX('M03-S03'!$T$16:$T$199,2*(ROWS(AD$106:AD132)-1)+1),3),"")</f>
        <v xml:space="preserve"> 0,  0</v>
      </c>
      <c r="AE132" s="459"/>
      <c r="AF132" s="459"/>
      <c r="AG132" s="112"/>
      <c r="AH132" s="112"/>
      <c r="AI132" s="112"/>
      <c r="AJ132" s="112"/>
      <c r="AK132" s="113"/>
      <c r="AL132" s="113"/>
      <c r="AM132" s="113"/>
      <c r="AN132" s="113"/>
      <c r="AO132" s="52" t="str">
        <f>IFERROR(INDEX(PMEHVAC[Program Design],MATCH(AB132,PMEHVAC[Eff Desc 1],0)),"")</f>
        <v/>
      </c>
      <c r="AU132"/>
    </row>
    <row r="133" spans="1:47">
      <c r="A133" s="57">
        <f t="shared" si="9"/>
        <v>0</v>
      </c>
      <c r="B133" s="183" t="str">
        <f t="shared" si="11"/>
        <v/>
      </c>
      <c r="C133" t="str">
        <f>IFERROR(IF(R133&gt;0,INDEX(PMEHVAC[Measure '#],MATCH(AB133,PMEHVAC[Eff Desc 1],0)),""),"")</f>
        <v/>
      </c>
      <c r="D133" t="s">
        <v>947</v>
      </c>
      <c r="F133" s="112"/>
      <c r="G133" s="186">
        <f>INDEX('M03-S03'!$N$16:$N$198,2*(ROWS($G$106:G133)-1)+1)</f>
        <v>0</v>
      </c>
      <c r="H133" s="186"/>
      <c r="I133" s="184">
        <f>IFERROR(ROUND(INDEX('M03-S03'!$AA$16:$AA$198,2*(ROWS($I$106:I133)-1)+1),2),0)</f>
        <v>0</v>
      </c>
      <c r="J133" s="184">
        <f>IFERROR(ROUND(INDEX('M03-S03'!$AC$16:$AC$198,2*(ROWS($J$106:J133)-1)+1),2),0)</f>
        <v>0</v>
      </c>
      <c r="K133" s="52">
        <f>IFERROR(ROUND(INDEX('M03-S03'!$AU$16:$AU$198,2*(ROWS($K$106:K133)-1)+1),2),0)</f>
        <v>0</v>
      </c>
      <c r="M133" s="456">
        <f>INDEX('M03-S03'!$V$16:$V$198,2*(ROWS($M$106:M133)-1)+1)</f>
        <v>0</v>
      </c>
      <c r="N133" s="184" t="str">
        <f>IF(ISNUMBER(INDEX('M03-S03'!$AO$16:$AO$198,2*(ROWS($R$106:R133)-1)+1)),INDEX('M03-S03'!$AK$16:$AK$198,2*(ROWS($N$106:N133)-1)+1),"")</f>
        <v/>
      </c>
      <c r="O133" s="456" t="str">
        <f>IFERROR(IF(ISNUMBER(INDEX('M03-S03'!$AO$16:$AO$198,2*(ROWS($R$106:R133)-1)+1)),INDEX('M03-S03'!$AV$16:$AV$198,2*(ROWS($O$106:O133)-1)+1),""),"")</f>
        <v/>
      </c>
      <c r="P133" s="456" t="str">
        <f>IFERROR(IF(ISNUMBER(INDEX('M03-S03'!$AO$16:$AO$198,2*(ROWS($R$106:R133)-1)+1)),INDEX('M03-S03'!$AY$16:$AY$198,2*(ROWS($O$106:P133)-1)+1),""),"")</f>
        <v/>
      </c>
      <c r="Q133" s="113"/>
      <c r="R133" s="184">
        <f>IF(ISNUMBER(INDEX('M03-S03'!$AO$16:$AO$198,2*(ROWS($R$106:R133)-1)+1)),INDEX('M03-S03'!$AO$16:$AO$198,2*(ROWS($R$106:R133)-1)+1),0)</f>
        <v>0</v>
      </c>
      <c r="S133" s="459"/>
      <c r="T133" s="113"/>
      <c r="U133" s="140"/>
      <c r="V133" s="113"/>
      <c r="W133" s="96">
        <f>IFERROR(IF(NOT(ISNUMBER(INDEX('M03-S03'!$AO$16:$AO$198,2*(ROWS($R$106:R133)-1)+1))),INDEX('M03-S03'!$BC$16:$BC$198,2*(ROWS($R$106:R133)-1)+1),""),"")</f>
        <v>0</v>
      </c>
      <c r="X133" s="113"/>
      <c r="Y133" s="113"/>
      <c r="Z133" s="111">
        <f>INDEX('M03-S03'!$B$16:$B$198,2*(ROWS($Z$106:Z133)-1)+1)</f>
        <v>28</v>
      </c>
      <c r="AA133" s="111" t="str">
        <f>INDEX('M03-S03'!$L$16:$L$199,2*(ROWS($Z$106:AA133)-1)+1)</f>
        <v/>
      </c>
      <c r="AB133" s="111">
        <f>INDEX('M03-S03'!$C$16:$C$198,2*(ROWS($Z$106:AB133)-1)+1)</f>
        <v>0</v>
      </c>
      <c r="AC133" t="str">
        <f>IFERROR(INDEX('M03-S03'!$J$16:$J$199,2*(ROWS(AC$106:AC133)-1)+1)&amp;" "&amp;INDEX('M03-S03'!$L$16:$L$199,2*(ROWS(AC$106:AC133)-1)+1)&amp;", "&amp;INDEX('M03-S03'!$P$16:$P$199,2*(ROWS(AC$106:AC133)-1)+1)&amp;" "&amp;INDEX('M03-S03'!$R$16:$R$199,2*(ROWS(AC$106:AC133)-1)+1),"")</f>
        <v xml:space="preserve"> ,  </v>
      </c>
      <c r="AD133" t="str">
        <f>IFERROR(INDEX('M03-S03'!$J$16:$J$199,2*(ROWS(AD$106:AD133)-1)+1)&amp;" "&amp;ROUND(INDEX('M03-S03'!$N$16:$N$199,2*(ROWS(AD$106:AD133)-1)+1),3),"")&amp;", "&amp;IFERROR(INDEX('M03-S03'!$P$16:$P$199,2*(ROWS(AD$106:AD133)-1)+1)&amp;" "&amp;ROUND(INDEX('M03-S03'!$T$16:$T$199,2*(ROWS(AD$106:AD133)-1)+1),3),"")</f>
        <v xml:space="preserve"> 0,  0</v>
      </c>
      <c r="AE133" s="459"/>
      <c r="AF133" s="459"/>
      <c r="AG133" s="112"/>
      <c r="AH133" s="112"/>
      <c r="AI133" s="112"/>
      <c r="AJ133" s="112"/>
      <c r="AK133" s="113"/>
      <c r="AL133" s="113"/>
      <c r="AM133" s="113"/>
      <c r="AN133" s="113"/>
      <c r="AO133" s="52" t="str">
        <f>IFERROR(INDEX(PMEHVAC[Program Design],MATCH(AB133,PMEHVAC[Eff Desc 1],0)),"")</f>
        <v/>
      </c>
      <c r="AU133"/>
    </row>
    <row r="134" spans="1:47">
      <c r="A134" s="57">
        <f t="shared" si="9"/>
        <v>0</v>
      </c>
      <c r="B134" s="183" t="str">
        <f t="shared" si="11"/>
        <v/>
      </c>
      <c r="C134" t="str">
        <f>IFERROR(IF(R134&gt;0,INDEX(PMEHVAC[Measure '#],MATCH(AB134,PMEHVAC[Eff Desc 1],0)),""),"")</f>
        <v/>
      </c>
      <c r="D134" t="s">
        <v>947</v>
      </c>
      <c r="F134" s="112"/>
      <c r="G134" s="186">
        <f>INDEX('M03-S03'!$N$16:$N$198,2*(ROWS($G$106:G134)-1)+1)</f>
        <v>0</v>
      </c>
      <c r="H134" s="186"/>
      <c r="I134" s="184">
        <f>IFERROR(ROUND(INDEX('M03-S03'!$AA$16:$AA$198,2*(ROWS($I$106:I134)-1)+1),2),0)</f>
        <v>0</v>
      </c>
      <c r="J134" s="184">
        <f>IFERROR(ROUND(INDEX('M03-S03'!$AC$16:$AC$198,2*(ROWS($J$106:J134)-1)+1),2),0)</f>
        <v>0</v>
      </c>
      <c r="K134" s="52">
        <f>IFERROR(ROUND(INDEX('M03-S03'!$AU$16:$AU$198,2*(ROWS($K$106:K134)-1)+1),2),0)</f>
        <v>0</v>
      </c>
      <c r="M134" s="456">
        <f>INDEX('M03-S03'!$V$16:$V$198,2*(ROWS($M$106:M134)-1)+1)</f>
        <v>0</v>
      </c>
      <c r="N134" s="184" t="str">
        <f>IF(ISNUMBER(INDEX('M03-S03'!$AO$16:$AO$198,2*(ROWS($R$106:R134)-1)+1)),INDEX('M03-S03'!$AK$16:$AK$198,2*(ROWS($N$106:N134)-1)+1),"")</f>
        <v/>
      </c>
      <c r="O134" s="456" t="str">
        <f>IFERROR(IF(ISNUMBER(INDEX('M03-S03'!$AO$16:$AO$198,2*(ROWS($R$106:R134)-1)+1)),INDEX('M03-S03'!$AV$16:$AV$198,2*(ROWS($O$106:O134)-1)+1),""),"")</f>
        <v/>
      </c>
      <c r="P134" s="456" t="str">
        <f>IFERROR(IF(ISNUMBER(INDEX('M03-S03'!$AO$16:$AO$198,2*(ROWS($R$106:R134)-1)+1)),INDEX('M03-S03'!$AY$16:$AY$198,2*(ROWS($O$106:P134)-1)+1),""),"")</f>
        <v/>
      </c>
      <c r="Q134" s="113"/>
      <c r="R134" s="184">
        <f>IF(ISNUMBER(INDEX('M03-S03'!$AO$16:$AO$198,2*(ROWS($R$106:R134)-1)+1)),INDEX('M03-S03'!$AO$16:$AO$198,2*(ROWS($R$106:R134)-1)+1),0)</f>
        <v>0</v>
      </c>
      <c r="S134" s="459"/>
      <c r="T134" s="113"/>
      <c r="U134" s="140"/>
      <c r="V134" s="113"/>
      <c r="W134" s="96">
        <f>IFERROR(IF(NOT(ISNUMBER(INDEX('M03-S03'!$AO$16:$AO$198,2*(ROWS($R$106:R134)-1)+1))),INDEX('M03-S03'!$BC$16:$BC$198,2*(ROWS($R$106:R134)-1)+1),""),"")</f>
        <v>0</v>
      </c>
      <c r="X134" s="113"/>
      <c r="Y134" s="113"/>
      <c r="Z134" s="111">
        <f>INDEX('M03-S03'!$B$16:$B$198,2*(ROWS($Z$106:Z134)-1)+1)</f>
        <v>29</v>
      </c>
      <c r="AA134" s="111" t="str">
        <f>INDEX('M03-S03'!$L$16:$L$199,2*(ROWS($Z$106:AA134)-1)+1)</f>
        <v/>
      </c>
      <c r="AB134" s="111">
        <f>INDEX('M03-S03'!$C$16:$C$198,2*(ROWS($Z$106:AB134)-1)+1)</f>
        <v>0</v>
      </c>
      <c r="AC134" t="str">
        <f>IFERROR(INDEX('M03-S03'!$J$16:$J$199,2*(ROWS(AC$106:AC134)-1)+1)&amp;" "&amp;INDEX('M03-S03'!$L$16:$L$199,2*(ROWS(AC$106:AC134)-1)+1)&amp;", "&amp;INDEX('M03-S03'!$P$16:$P$199,2*(ROWS(AC$106:AC134)-1)+1)&amp;" "&amp;INDEX('M03-S03'!$R$16:$R$199,2*(ROWS(AC$106:AC134)-1)+1),"")</f>
        <v xml:space="preserve"> ,  </v>
      </c>
      <c r="AD134" t="str">
        <f>IFERROR(INDEX('M03-S03'!$J$16:$J$199,2*(ROWS(AD$106:AD134)-1)+1)&amp;" "&amp;ROUND(INDEX('M03-S03'!$N$16:$N$199,2*(ROWS(AD$106:AD134)-1)+1),3),"")&amp;", "&amp;IFERROR(INDEX('M03-S03'!$P$16:$P$199,2*(ROWS(AD$106:AD134)-1)+1)&amp;" "&amp;ROUND(INDEX('M03-S03'!$T$16:$T$199,2*(ROWS(AD$106:AD134)-1)+1),3),"")</f>
        <v xml:space="preserve"> 0,  0</v>
      </c>
      <c r="AE134" s="459"/>
      <c r="AF134" s="459"/>
      <c r="AG134" s="112"/>
      <c r="AH134" s="112"/>
      <c r="AI134" s="112"/>
      <c r="AJ134" s="112"/>
      <c r="AK134" s="113"/>
      <c r="AL134" s="113"/>
      <c r="AM134" s="113"/>
      <c r="AN134" s="113"/>
      <c r="AO134" s="52" t="str">
        <f>IFERROR(INDEX(PMEHVAC[Program Design],MATCH(AB134,PMEHVAC[Eff Desc 1],0)),"")</f>
        <v/>
      </c>
      <c r="AU134"/>
    </row>
    <row r="135" spans="1:47">
      <c r="A135" s="57">
        <f t="shared" si="9"/>
        <v>0</v>
      </c>
      <c r="B135" s="183" t="str">
        <f t="shared" si="11"/>
        <v/>
      </c>
      <c r="C135" t="str">
        <f>IFERROR(IF(R135&gt;0,INDEX(PMEHVAC[Measure '#],MATCH(AB135,PMEHVAC[Eff Desc 1],0)),""),"")</f>
        <v/>
      </c>
      <c r="D135" t="s">
        <v>947</v>
      </c>
      <c r="F135" s="112"/>
      <c r="G135" s="186">
        <f>INDEX('M03-S03'!$N$16:$N$198,2*(ROWS($G$106:G135)-1)+1)</f>
        <v>0</v>
      </c>
      <c r="H135" s="186"/>
      <c r="I135" s="184">
        <f>IFERROR(ROUND(INDEX('M03-S03'!$AA$16:$AA$198,2*(ROWS($I$106:I135)-1)+1),2),0)</f>
        <v>0</v>
      </c>
      <c r="J135" s="184">
        <f>IFERROR(ROUND(INDEX('M03-S03'!$AC$16:$AC$198,2*(ROWS($J$106:J135)-1)+1),2),0)</f>
        <v>0</v>
      </c>
      <c r="K135" s="52">
        <f>IFERROR(ROUND(INDEX('M03-S03'!$AU$16:$AU$198,2*(ROWS($K$106:K135)-1)+1),2),0)</f>
        <v>0</v>
      </c>
      <c r="M135" s="456">
        <f>INDEX('M03-S03'!$V$16:$V$198,2*(ROWS($M$106:M135)-1)+1)</f>
        <v>0</v>
      </c>
      <c r="N135" s="184" t="str">
        <f>IF(ISNUMBER(INDEX('M03-S03'!$AO$16:$AO$198,2*(ROWS($R$106:R135)-1)+1)),INDEX('M03-S03'!$AK$16:$AK$198,2*(ROWS($N$106:N135)-1)+1),"")</f>
        <v/>
      </c>
      <c r="O135" s="456" t="str">
        <f>IFERROR(IF(ISNUMBER(INDEX('M03-S03'!$AO$16:$AO$198,2*(ROWS($R$106:R135)-1)+1)),INDEX('M03-S03'!$AV$16:$AV$198,2*(ROWS($O$106:O135)-1)+1),""),"")</f>
        <v/>
      </c>
      <c r="P135" s="456" t="str">
        <f>IFERROR(IF(ISNUMBER(INDEX('M03-S03'!$AO$16:$AO$198,2*(ROWS($R$106:R135)-1)+1)),INDEX('M03-S03'!$AY$16:$AY$198,2*(ROWS($O$106:P135)-1)+1),""),"")</f>
        <v/>
      </c>
      <c r="Q135" s="113"/>
      <c r="R135" s="184">
        <f>IF(ISNUMBER(INDEX('M03-S03'!$AO$16:$AO$198,2*(ROWS($R$106:R135)-1)+1)),INDEX('M03-S03'!$AO$16:$AO$198,2*(ROWS($R$106:R135)-1)+1),0)</f>
        <v>0</v>
      </c>
      <c r="S135" s="459"/>
      <c r="T135" s="113"/>
      <c r="U135" s="140"/>
      <c r="V135" s="113"/>
      <c r="W135" s="96">
        <f>IFERROR(IF(NOT(ISNUMBER(INDEX('M03-S03'!$AO$16:$AO$198,2*(ROWS($R$106:R135)-1)+1))),INDEX('M03-S03'!$BC$16:$BC$198,2*(ROWS($R$106:R135)-1)+1),""),"")</f>
        <v>0</v>
      </c>
      <c r="X135" s="113"/>
      <c r="Y135" s="113"/>
      <c r="Z135" s="111">
        <f>INDEX('M03-S03'!$B$16:$B$198,2*(ROWS($Z$106:Z135)-1)+1)</f>
        <v>30</v>
      </c>
      <c r="AA135" s="111" t="str">
        <f>INDEX('M03-S03'!$L$16:$L$199,2*(ROWS($Z$106:AA135)-1)+1)</f>
        <v/>
      </c>
      <c r="AB135" s="111">
        <f>INDEX('M03-S03'!$C$16:$C$198,2*(ROWS($Z$106:AB135)-1)+1)</f>
        <v>0</v>
      </c>
      <c r="AC135" t="str">
        <f>IFERROR(INDEX('M03-S03'!$J$16:$J$199,2*(ROWS(AC$106:AC135)-1)+1)&amp;" "&amp;INDEX('M03-S03'!$L$16:$L$199,2*(ROWS(AC$106:AC135)-1)+1)&amp;", "&amp;INDEX('M03-S03'!$P$16:$P$199,2*(ROWS(AC$106:AC135)-1)+1)&amp;" "&amp;INDEX('M03-S03'!$R$16:$R$199,2*(ROWS(AC$106:AC135)-1)+1),"")</f>
        <v xml:space="preserve"> ,  </v>
      </c>
      <c r="AD135" t="str">
        <f>IFERROR(INDEX('M03-S03'!$J$16:$J$199,2*(ROWS(AD$106:AD135)-1)+1)&amp;" "&amp;ROUND(INDEX('M03-S03'!$N$16:$N$199,2*(ROWS(AD$106:AD135)-1)+1),3),"")&amp;", "&amp;IFERROR(INDEX('M03-S03'!$P$16:$P$199,2*(ROWS(AD$106:AD135)-1)+1)&amp;" "&amp;ROUND(INDEX('M03-S03'!$T$16:$T$199,2*(ROWS(AD$106:AD135)-1)+1),3),"")</f>
        <v xml:space="preserve"> 0,  0</v>
      </c>
      <c r="AE135" s="459"/>
      <c r="AF135" s="459"/>
      <c r="AG135" s="112"/>
      <c r="AH135" s="112"/>
      <c r="AI135" s="112"/>
      <c r="AJ135" s="112"/>
      <c r="AK135" s="113"/>
      <c r="AL135" s="113"/>
      <c r="AM135" s="113"/>
      <c r="AN135" s="113"/>
      <c r="AO135" s="52" t="str">
        <f>IFERROR(INDEX(PMEHVAC[Program Design],MATCH(AB135,PMEHVAC[Eff Desc 1],0)),"")</f>
        <v/>
      </c>
      <c r="AU135"/>
    </row>
    <row r="136" spans="1:47">
      <c r="A136" s="57">
        <f t="shared" si="9"/>
        <v>0</v>
      </c>
      <c r="B136" s="183" t="str">
        <f t="shared" si="11"/>
        <v/>
      </c>
      <c r="C136" t="str">
        <f>IFERROR(IF(R136&gt;0,INDEX(PMEHVAC[Measure '#],MATCH(AB136,PMEHVAC[Eff Desc 1],0)),""),"")</f>
        <v/>
      </c>
      <c r="D136" t="s">
        <v>947</v>
      </c>
      <c r="F136" s="112"/>
      <c r="G136" s="186">
        <f>INDEX('M03-S03'!$N$16:$N$198,2*(ROWS($G$106:G136)-1)+1)</f>
        <v>0</v>
      </c>
      <c r="H136" s="186"/>
      <c r="I136" s="184">
        <f>IFERROR(ROUND(INDEX('M03-S03'!$AA$16:$AA$198,2*(ROWS($I$106:I136)-1)+1),2),0)</f>
        <v>0</v>
      </c>
      <c r="J136" s="184">
        <f>IFERROR(ROUND(INDEX('M03-S03'!$AC$16:$AC$198,2*(ROWS($J$106:J136)-1)+1),2),0)</f>
        <v>0</v>
      </c>
      <c r="K136" s="52">
        <f>IFERROR(ROUND(INDEX('M03-S03'!$AU$16:$AU$198,2*(ROWS($K$106:K136)-1)+1),2),0)</f>
        <v>0</v>
      </c>
      <c r="M136" s="456">
        <f>INDEX('M03-S03'!$V$16:$V$198,2*(ROWS($M$106:M136)-1)+1)</f>
        <v>0</v>
      </c>
      <c r="N136" s="184" t="str">
        <f>IF(ISNUMBER(INDEX('M03-S03'!$AO$16:$AO$198,2*(ROWS($R$106:R136)-1)+1)),INDEX('M03-S03'!$AK$16:$AK$198,2*(ROWS($N$106:N136)-1)+1),"")</f>
        <v/>
      </c>
      <c r="O136" s="456" t="str">
        <f>IFERROR(IF(ISNUMBER(INDEX('M03-S03'!$AO$16:$AO$198,2*(ROWS($R$106:R136)-1)+1)),INDEX('M03-S03'!$AV$16:$AV$198,2*(ROWS($O$106:O136)-1)+1),""),"")</f>
        <v/>
      </c>
      <c r="P136" s="456" t="str">
        <f>IFERROR(IF(ISNUMBER(INDEX('M03-S03'!$AO$16:$AO$198,2*(ROWS($R$106:R136)-1)+1)),INDEX('M03-S03'!$AY$16:$AY$198,2*(ROWS($O$106:P136)-1)+1),""),"")</f>
        <v/>
      </c>
      <c r="Q136" s="113"/>
      <c r="R136" s="184">
        <f>IF(ISNUMBER(INDEX('M03-S03'!$AO$16:$AO$198,2*(ROWS($R$106:R136)-1)+1)),INDEX('M03-S03'!$AO$16:$AO$198,2*(ROWS($R$106:R136)-1)+1),0)</f>
        <v>0</v>
      </c>
      <c r="S136" s="459"/>
      <c r="T136" s="113"/>
      <c r="U136" s="140"/>
      <c r="V136" s="113"/>
      <c r="W136" s="96">
        <f>IFERROR(IF(NOT(ISNUMBER(INDEX('M03-S03'!$AO$16:$AO$198,2*(ROWS($R$106:R136)-1)+1))),INDEX('M03-S03'!$BC$16:$BC$198,2*(ROWS($R$106:R136)-1)+1),""),"")</f>
        <v>0</v>
      </c>
      <c r="X136" s="113"/>
      <c r="Y136" s="113"/>
      <c r="Z136" s="111">
        <f>INDEX('M03-S03'!$B$16:$B$198,2*(ROWS($Z$106:Z136)-1)+1)</f>
        <v>31</v>
      </c>
      <c r="AA136" s="111" t="str">
        <f>INDEX('M03-S03'!$L$16:$L$199,2*(ROWS($Z$106:AA136)-1)+1)</f>
        <v/>
      </c>
      <c r="AB136" s="111">
        <f>INDEX('M03-S03'!$C$16:$C$198,2*(ROWS($Z$106:AB136)-1)+1)</f>
        <v>0</v>
      </c>
      <c r="AC136" t="str">
        <f>IFERROR(INDEX('M03-S03'!$J$16:$J$199,2*(ROWS(AC$106:AC136)-1)+1)&amp;" "&amp;INDEX('M03-S03'!$L$16:$L$199,2*(ROWS(AC$106:AC136)-1)+1)&amp;", "&amp;INDEX('M03-S03'!$P$16:$P$199,2*(ROWS(AC$106:AC136)-1)+1)&amp;" "&amp;INDEX('M03-S03'!$R$16:$R$199,2*(ROWS(AC$106:AC136)-1)+1),"")</f>
        <v xml:space="preserve"> ,  </v>
      </c>
      <c r="AD136" t="str">
        <f>IFERROR(INDEX('M03-S03'!$J$16:$J$199,2*(ROWS(AD$106:AD136)-1)+1)&amp;" "&amp;ROUND(INDEX('M03-S03'!$N$16:$N$199,2*(ROWS(AD$106:AD136)-1)+1),3),"")&amp;", "&amp;IFERROR(INDEX('M03-S03'!$P$16:$P$199,2*(ROWS(AD$106:AD136)-1)+1)&amp;" "&amp;ROUND(INDEX('M03-S03'!$T$16:$T$199,2*(ROWS(AD$106:AD136)-1)+1),3),"")</f>
        <v xml:space="preserve"> 0,  0</v>
      </c>
      <c r="AE136" s="459"/>
      <c r="AF136" s="459"/>
      <c r="AG136" s="112"/>
      <c r="AH136" s="112"/>
      <c r="AI136" s="112"/>
      <c r="AJ136" s="112"/>
      <c r="AK136" s="113"/>
      <c r="AL136" s="113"/>
      <c r="AM136" s="113"/>
      <c r="AN136" s="113"/>
      <c r="AO136" s="52" t="str">
        <f>IFERROR(INDEX(PMEHVAC[Program Design],MATCH(AB136,PMEHVAC[Eff Desc 1],0)),"")</f>
        <v/>
      </c>
      <c r="AU136"/>
    </row>
    <row r="137" spans="1:47">
      <c r="A137" s="57">
        <f t="shared" si="9"/>
        <v>0</v>
      </c>
      <c r="B137" s="183" t="str">
        <f t="shared" si="11"/>
        <v/>
      </c>
      <c r="C137" t="str">
        <f>IFERROR(IF(R137&gt;0,INDEX(PMEHVAC[Measure '#],MATCH(AB137,PMEHVAC[Eff Desc 1],0)),""),"")</f>
        <v/>
      </c>
      <c r="D137" t="s">
        <v>947</v>
      </c>
      <c r="F137" s="112"/>
      <c r="G137" s="186">
        <f>INDEX('M03-S03'!$N$16:$N$198,2*(ROWS($G$106:G137)-1)+1)</f>
        <v>0</v>
      </c>
      <c r="H137" s="186"/>
      <c r="I137" s="184">
        <f>IFERROR(ROUND(INDEX('M03-S03'!$AA$16:$AA$198,2*(ROWS($I$106:I137)-1)+1),2),0)</f>
        <v>0</v>
      </c>
      <c r="J137" s="184">
        <f>IFERROR(ROUND(INDEX('M03-S03'!$AC$16:$AC$198,2*(ROWS($J$106:J137)-1)+1),2),0)</f>
        <v>0</v>
      </c>
      <c r="K137" s="52">
        <f>IFERROR(ROUND(INDEX('M03-S03'!$AU$16:$AU$198,2*(ROWS($K$106:K137)-1)+1),2),0)</f>
        <v>0</v>
      </c>
      <c r="M137" s="456">
        <f>INDEX('M03-S03'!$V$16:$V$198,2*(ROWS($M$106:M137)-1)+1)</f>
        <v>0</v>
      </c>
      <c r="N137" s="184" t="str">
        <f>IF(ISNUMBER(INDEX('M03-S03'!$AO$16:$AO$198,2*(ROWS($R$106:R137)-1)+1)),INDEX('M03-S03'!$AK$16:$AK$198,2*(ROWS($N$106:N137)-1)+1),"")</f>
        <v/>
      </c>
      <c r="O137" s="456" t="str">
        <f>IFERROR(IF(ISNUMBER(INDEX('M03-S03'!$AO$16:$AO$198,2*(ROWS($R$106:R137)-1)+1)),INDEX('M03-S03'!$AV$16:$AV$198,2*(ROWS($O$106:O137)-1)+1),""),"")</f>
        <v/>
      </c>
      <c r="P137" s="456" t="str">
        <f>IFERROR(IF(ISNUMBER(INDEX('M03-S03'!$AO$16:$AO$198,2*(ROWS($R$106:R137)-1)+1)),INDEX('M03-S03'!$AY$16:$AY$198,2*(ROWS($O$106:P137)-1)+1),""),"")</f>
        <v/>
      </c>
      <c r="Q137" s="113"/>
      <c r="R137" s="184">
        <f>IF(ISNUMBER(INDEX('M03-S03'!$AO$16:$AO$198,2*(ROWS($R$106:R137)-1)+1)),INDEX('M03-S03'!$AO$16:$AO$198,2*(ROWS($R$106:R137)-1)+1),0)</f>
        <v>0</v>
      </c>
      <c r="S137" s="459"/>
      <c r="T137" s="113"/>
      <c r="U137" s="140"/>
      <c r="V137" s="113"/>
      <c r="W137" s="96">
        <f>IFERROR(IF(NOT(ISNUMBER(INDEX('M03-S03'!$AO$16:$AO$198,2*(ROWS($R$106:R137)-1)+1))),INDEX('M03-S03'!$BC$16:$BC$198,2*(ROWS($R$106:R137)-1)+1),""),"")</f>
        <v>0</v>
      </c>
      <c r="X137" s="113"/>
      <c r="Y137" s="113"/>
      <c r="Z137" s="111">
        <f>INDEX('M03-S03'!$B$16:$B$198,2*(ROWS($Z$106:Z137)-1)+1)</f>
        <v>32</v>
      </c>
      <c r="AA137" s="111" t="str">
        <f>INDEX('M03-S03'!$L$16:$L$199,2*(ROWS($Z$106:AA137)-1)+1)</f>
        <v/>
      </c>
      <c r="AB137" s="111">
        <f>INDEX('M03-S03'!$C$16:$C$198,2*(ROWS($Z$106:AB137)-1)+1)</f>
        <v>0</v>
      </c>
      <c r="AC137" t="str">
        <f>IFERROR(INDEX('M03-S03'!$J$16:$J$199,2*(ROWS(AC$106:AC137)-1)+1)&amp;" "&amp;INDEX('M03-S03'!$L$16:$L$199,2*(ROWS(AC$106:AC137)-1)+1)&amp;", "&amp;INDEX('M03-S03'!$P$16:$P$199,2*(ROWS(AC$106:AC137)-1)+1)&amp;" "&amp;INDEX('M03-S03'!$R$16:$R$199,2*(ROWS(AC$106:AC137)-1)+1),"")</f>
        <v xml:space="preserve"> ,  </v>
      </c>
      <c r="AD137" t="str">
        <f>IFERROR(INDEX('M03-S03'!$J$16:$J$199,2*(ROWS(AD$106:AD137)-1)+1)&amp;" "&amp;ROUND(INDEX('M03-S03'!$N$16:$N$199,2*(ROWS(AD$106:AD137)-1)+1),3),"")&amp;", "&amp;IFERROR(INDEX('M03-S03'!$P$16:$P$199,2*(ROWS(AD$106:AD137)-1)+1)&amp;" "&amp;ROUND(INDEX('M03-S03'!$T$16:$T$199,2*(ROWS(AD$106:AD137)-1)+1),3),"")</f>
        <v xml:space="preserve"> 0,  0</v>
      </c>
      <c r="AE137" s="459"/>
      <c r="AF137" s="459"/>
      <c r="AG137" s="112"/>
      <c r="AH137" s="112"/>
      <c r="AI137" s="112"/>
      <c r="AJ137" s="112"/>
      <c r="AK137" s="113"/>
      <c r="AL137" s="113"/>
      <c r="AM137" s="113"/>
      <c r="AN137" s="113"/>
      <c r="AO137" s="52" t="str">
        <f>IFERROR(INDEX(PMEHVAC[Program Design],MATCH(AB137,PMEHVAC[Eff Desc 1],0)),"")</f>
        <v/>
      </c>
      <c r="AU137"/>
    </row>
    <row r="138" spans="1:47">
      <c r="A138" s="57">
        <f t="shared" si="9"/>
        <v>0</v>
      </c>
      <c r="B138" s="183" t="str">
        <f t="shared" si="11"/>
        <v/>
      </c>
      <c r="C138" t="str">
        <f>IFERROR(IF(R138&gt;0,INDEX(PMEHVAC[Measure '#],MATCH(AB138,PMEHVAC[Eff Desc 1],0)),""),"")</f>
        <v/>
      </c>
      <c r="D138" t="s">
        <v>947</v>
      </c>
      <c r="F138" s="112"/>
      <c r="G138" s="186">
        <f>INDEX('M03-S03'!$N$16:$N$198,2*(ROWS($G$106:G138)-1)+1)</f>
        <v>0</v>
      </c>
      <c r="H138" s="186"/>
      <c r="I138" s="184">
        <f>IFERROR(ROUND(INDEX('M03-S03'!$AA$16:$AA$198,2*(ROWS($I$106:I138)-1)+1),2),0)</f>
        <v>0</v>
      </c>
      <c r="J138" s="184">
        <f>IFERROR(ROUND(INDEX('M03-S03'!$AC$16:$AC$198,2*(ROWS($J$106:J138)-1)+1),2),0)</f>
        <v>0</v>
      </c>
      <c r="K138" s="52">
        <f>IFERROR(ROUND(INDEX('M03-S03'!$AU$16:$AU$198,2*(ROWS($K$106:K138)-1)+1),2),0)</f>
        <v>0</v>
      </c>
      <c r="M138" s="456">
        <f>INDEX('M03-S03'!$V$16:$V$198,2*(ROWS($M$106:M138)-1)+1)</f>
        <v>0</v>
      </c>
      <c r="N138" s="184" t="str">
        <f>IF(ISNUMBER(INDEX('M03-S03'!$AO$16:$AO$198,2*(ROWS($R$106:R138)-1)+1)),INDEX('M03-S03'!$AK$16:$AK$198,2*(ROWS($N$106:N138)-1)+1),"")</f>
        <v/>
      </c>
      <c r="O138" s="456" t="str">
        <f>IFERROR(IF(ISNUMBER(INDEX('M03-S03'!$AO$16:$AO$198,2*(ROWS($R$106:R138)-1)+1)),INDEX('M03-S03'!$AV$16:$AV$198,2*(ROWS($O$106:O138)-1)+1),""),"")</f>
        <v/>
      </c>
      <c r="P138" s="456" t="str">
        <f>IFERROR(IF(ISNUMBER(INDEX('M03-S03'!$AO$16:$AO$198,2*(ROWS($R$106:R138)-1)+1)),INDEX('M03-S03'!$AY$16:$AY$198,2*(ROWS($O$106:P138)-1)+1),""),"")</f>
        <v/>
      </c>
      <c r="Q138" s="113"/>
      <c r="R138" s="184">
        <f>IF(ISNUMBER(INDEX('M03-S03'!$AO$16:$AO$198,2*(ROWS($R$106:R138)-1)+1)),INDEX('M03-S03'!$AO$16:$AO$198,2*(ROWS($R$106:R138)-1)+1),0)</f>
        <v>0</v>
      </c>
      <c r="S138" s="459"/>
      <c r="T138" s="113"/>
      <c r="U138" s="140"/>
      <c r="V138" s="113"/>
      <c r="W138" s="96">
        <f>IFERROR(IF(NOT(ISNUMBER(INDEX('M03-S03'!$AO$16:$AO$198,2*(ROWS($R$106:R138)-1)+1))),INDEX('M03-S03'!$BC$16:$BC$198,2*(ROWS($R$106:R138)-1)+1),""),"")</f>
        <v>0</v>
      </c>
      <c r="X138" s="113"/>
      <c r="Y138" s="113"/>
      <c r="Z138" s="111">
        <f>INDEX('M03-S03'!$B$16:$B$198,2*(ROWS($Z$106:Z138)-1)+1)</f>
        <v>33</v>
      </c>
      <c r="AA138" s="111" t="str">
        <f>INDEX('M03-S03'!$L$16:$L$199,2*(ROWS($Z$106:AA138)-1)+1)</f>
        <v/>
      </c>
      <c r="AB138" s="111">
        <f>INDEX('M03-S03'!$C$16:$C$198,2*(ROWS($Z$106:AB138)-1)+1)</f>
        <v>0</v>
      </c>
      <c r="AC138" t="str">
        <f>IFERROR(INDEX('M03-S03'!$J$16:$J$199,2*(ROWS(AC$106:AC138)-1)+1)&amp;" "&amp;INDEX('M03-S03'!$L$16:$L$199,2*(ROWS(AC$106:AC138)-1)+1)&amp;", "&amp;INDEX('M03-S03'!$P$16:$P$199,2*(ROWS(AC$106:AC138)-1)+1)&amp;" "&amp;INDEX('M03-S03'!$R$16:$R$199,2*(ROWS(AC$106:AC138)-1)+1),"")</f>
        <v xml:space="preserve"> ,  </v>
      </c>
      <c r="AD138" t="str">
        <f>IFERROR(INDEX('M03-S03'!$J$16:$J$199,2*(ROWS(AD$106:AD138)-1)+1)&amp;" "&amp;ROUND(INDEX('M03-S03'!$N$16:$N$199,2*(ROWS(AD$106:AD138)-1)+1),3),"")&amp;", "&amp;IFERROR(INDEX('M03-S03'!$P$16:$P$199,2*(ROWS(AD$106:AD138)-1)+1)&amp;" "&amp;ROUND(INDEX('M03-S03'!$T$16:$T$199,2*(ROWS(AD$106:AD138)-1)+1),3),"")</f>
        <v xml:space="preserve"> 0,  0</v>
      </c>
      <c r="AE138" s="459"/>
      <c r="AF138" s="459"/>
      <c r="AG138" s="112"/>
      <c r="AH138" s="112"/>
      <c r="AI138" s="112"/>
      <c r="AJ138" s="112"/>
      <c r="AK138" s="113"/>
      <c r="AL138" s="113"/>
      <c r="AM138" s="113"/>
      <c r="AN138" s="113"/>
      <c r="AO138" s="52" t="str">
        <f>IFERROR(INDEX(PMEHVAC[Program Design],MATCH(AB138,PMEHVAC[Eff Desc 1],0)),"")</f>
        <v/>
      </c>
      <c r="AU138"/>
    </row>
    <row r="139" spans="1:47">
      <c r="A139" s="57">
        <f t="shared" si="9"/>
        <v>0</v>
      </c>
      <c r="B139" s="183" t="str">
        <f t="shared" si="11"/>
        <v/>
      </c>
      <c r="C139" t="str">
        <f>IFERROR(IF(R139&gt;0,INDEX(PMEHVAC[Measure '#],MATCH(AB139,PMEHVAC[Eff Desc 1],0)),""),"")</f>
        <v/>
      </c>
      <c r="D139" t="s">
        <v>947</v>
      </c>
      <c r="F139" s="112"/>
      <c r="G139" s="186">
        <f>INDEX('M03-S03'!$N$16:$N$198,2*(ROWS($G$106:G139)-1)+1)</f>
        <v>0</v>
      </c>
      <c r="H139" s="186"/>
      <c r="I139" s="184">
        <f>IFERROR(ROUND(INDEX('M03-S03'!$AA$16:$AA$198,2*(ROWS($I$106:I139)-1)+1),2),0)</f>
        <v>0</v>
      </c>
      <c r="J139" s="184">
        <f>IFERROR(ROUND(INDEX('M03-S03'!$AC$16:$AC$198,2*(ROWS($J$106:J139)-1)+1),2),0)</f>
        <v>0</v>
      </c>
      <c r="K139" s="52">
        <f>IFERROR(ROUND(INDEX('M03-S03'!$AU$16:$AU$198,2*(ROWS($K$106:K139)-1)+1),2),0)</f>
        <v>0</v>
      </c>
      <c r="M139" s="456">
        <f>INDEX('M03-S03'!$V$16:$V$198,2*(ROWS($M$106:M139)-1)+1)</f>
        <v>0</v>
      </c>
      <c r="N139" s="184" t="str">
        <f>IF(ISNUMBER(INDEX('M03-S03'!$AO$16:$AO$198,2*(ROWS($R$106:R139)-1)+1)),INDEX('M03-S03'!$AK$16:$AK$198,2*(ROWS($N$106:N139)-1)+1),"")</f>
        <v/>
      </c>
      <c r="O139" s="456" t="str">
        <f>IFERROR(IF(ISNUMBER(INDEX('M03-S03'!$AO$16:$AO$198,2*(ROWS($R$106:R139)-1)+1)),INDEX('M03-S03'!$AV$16:$AV$198,2*(ROWS($O$106:O139)-1)+1),""),"")</f>
        <v/>
      </c>
      <c r="P139" s="456" t="str">
        <f>IFERROR(IF(ISNUMBER(INDEX('M03-S03'!$AO$16:$AO$198,2*(ROWS($R$106:R139)-1)+1)),INDEX('M03-S03'!$AY$16:$AY$198,2*(ROWS($O$106:P139)-1)+1),""),"")</f>
        <v/>
      </c>
      <c r="Q139" s="113"/>
      <c r="R139" s="184">
        <f>IF(ISNUMBER(INDEX('M03-S03'!$AO$16:$AO$198,2*(ROWS($R$106:R139)-1)+1)),INDEX('M03-S03'!$AO$16:$AO$198,2*(ROWS($R$106:R139)-1)+1),0)</f>
        <v>0</v>
      </c>
      <c r="S139" s="459"/>
      <c r="T139" s="113"/>
      <c r="U139" s="140"/>
      <c r="V139" s="113"/>
      <c r="W139" s="96">
        <f>IFERROR(IF(NOT(ISNUMBER(INDEX('M03-S03'!$AO$16:$AO$198,2*(ROWS($R$106:R139)-1)+1))),INDEX('M03-S03'!$BC$16:$BC$198,2*(ROWS($R$106:R139)-1)+1),""),"")</f>
        <v>0</v>
      </c>
      <c r="X139" s="113"/>
      <c r="Y139" s="113"/>
      <c r="Z139" s="111">
        <f>INDEX('M03-S03'!$B$16:$B$198,2*(ROWS($Z$106:Z139)-1)+1)</f>
        <v>34</v>
      </c>
      <c r="AA139" s="111" t="str">
        <f>INDEX('M03-S03'!$L$16:$L$199,2*(ROWS($Z$106:AA139)-1)+1)</f>
        <v/>
      </c>
      <c r="AB139" s="111">
        <f>INDEX('M03-S03'!$C$16:$C$198,2*(ROWS($Z$106:AB139)-1)+1)</f>
        <v>0</v>
      </c>
      <c r="AC139" t="str">
        <f>IFERROR(INDEX('M03-S03'!$J$16:$J$199,2*(ROWS(AC$106:AC139)-1)+1)&amp;" "&amp;INDEX('M03-S03'!$L$16:$L$199,2*(ROWS(AC$106:AC139)-1)+1)&amp;", "&amp;INDEX('M03-S03'!$P$16:$P$199,2*(ROWS(AC$106:AC139)-1)+1)&amp;" "&amp;INDEX('M03-S03'!$R$16:$R$199,2*(ROWS(AC$106:AC139)-1)+1),"")</f>
        <v xml:space="preserve"> ,  </v>
      </c>
      <c r="AD139" t="str">
        <f>IFERROR(INDEX('M03-S03'!$J$16:$J$199,2*(ROWS(AD$106:AD139)-1)+1)&amp;" "&amp;ROUND(INDEX('M03-S03'!$N$16:$N$199,2*(ROWS(AD$106:AD139)-1)+1),3),"")&amp;", "&amp;IFERROR(INDEX('M03-S03'!$P$16:$P$199,2*(ROWS(AD$106:AD139)-1)+1)&amp;" "&amp;ROUND(INDEX('M03-S03'!$T$16:$T$199,2*(ROWS(AD$106:AD139)-1)+1),3),"")</f>
        <v xml:space="preserve"> 0,  0</v>
      </c>
      <c r="AE139" s="459"/>
      <c r="AF139" s="459"/>
      <c r="AG139" s="112"/>
      <c r="AH139" s="112"/>
      <c r="AI139" s="112"/>
      <c r="AJ139" s="112"/>
      <c r="AK139" s="113"/>
      <c r="AL139" s="113"/>
      <c r="AM139" s="113"/>
      <c r="AN139" s="113"/>
      <c r="AO139" s="52" t="str">
        <f>IFERROR(INDEX(PMEHVAC[Program Design],MATCH(AB139,PMEHVAC[Eff Desc 1],0)),"")</f>
        <v/>
      </c>
      <c r="AU139"/>
    </row>
    <row r="140" spans="1:47">
      <c r="A140" s="57">
        <f t="shared" si="9"/>
        <v>0</v>
      </c>
      <c r="B140" s="183" t="str">
        <f t="shared" si="11"/>
        <v/>
      </c>
      <c r="C140" t="str">
        <f>IFERROR(IF(R140&gt;0,INDEX(PMEHVAC[Measure '#],MATCH(AB140,PMEHVAC[Eff Desc 1],0)),""),"")</f>
        <v/>
      </c>
      <c r="D140" t="s">
        <v>947</v>
      </c>
      <c r="F140" s="112"/>
      <c r="G140" s="186">
        <f>INDEX('M03-S03'!$N$16:$N$198,2*(ROWS($G$106:G140)-1)+1)</f>
        <v>0</v>
      </c>
      <c r="H140" s="186"/>
      <c r="I140" s="184">
        <f>IFERROR(ROUND(INDEX('M03-S03'!$AA$16:$AA$198,2*(ROWS($I$106:I140)-1)+1),2),0)</f>
        <v>0</v>
      </c>
      <c r="J140" s="184">
        <f>IFERROR(ROUND(INDEX('M03-S03'!$AC$16:$AC$198,2*(ROWS($J$106:J140)-1)+1),2),0)</f>
        <v>0</v>
      </c>
      <c r="K140" s="52">
        <f>IFERROR(ROUND(INDEX('M03-S03'!$AU$16:$AU$198,2*(ROWS($K$106:K140)-1)+1),2),0)</f>
        <v>0</v>
      </c>
      <c r="M140" s="456">
        <f>INDEX('M03-S03'!$V$16:$V$198,2*(ROWS($M$106:M140)-1)+1)</f>
        <v>0</v>
      </c>
      <c r="N140" s="184" t="str">
        <f>IF(ISNUMBER(INDEX('M03-S03'!$AO$16:$AO$198,2*(ROWS($R$106:R140)-1)+1)),INDEX('M03-S03'!$AK$16:$AK$198,2*(ROWS($N$106:N140)-1)+1),"")</f>
        <v/>
      </c>
      <c r="O140" s="456" t="str">
        <f>IFERROR(IF(ISNUMBER(INDEX('M03-S03'!$AO$16:$AO$198,2*(ROWS($R$106:R140)-1)+1)),INDEX('M03-S03'!$AV$16:$AV$198,2*(ROWS($O$106:O140)-1)+1),""),"")</f>
        <v/>
      </c>
      <c r="P140" s="456" t="str">
        <f>IFERROR(IF(ISNUMBER(INDEX('M03-S03'!$AO$16:$AO$198,2*(ROWS($R$106:R140)-1)+1)),INDEX('M03-S03'!$AY$16:$AY$198,2*(ROWS($O$106:P140)-1)+1),""),"")</f>
        <v/>
      </c>
      <c r="Q140" s="113"/>
      <c r="R140" s="184">
        <f>IF(ISNUMBER(INDEX('M03-S03'!$AO$16:$AO$198,2*(ROWS($R$106:R140)-1)+1)),INDEX('M03-S03'!$AO$16:$AO$198,2*(ROWS($R$106:R140)-1)+1),0)</f>
        <v>0</v>
      </c>
      <c r="S140" s="459"/>
      <c r="T140" s="113"/>
      <c r="U140" s="140"/>
      <c r="V140" s="113"/>
      <c r="W140" s="96">
        <f>IFERROR(IF(NOT(ISNUMBER(INDEX('M03-S03'!$AO$16:$AO$198,2*(ROWS($R$106:R140)-1)+1))),INDEX('M03-S03'!$BC$16:$BC$198,2*(ROWS($R$106:R140)-1)+1),""),"")</f>
        <v>0</v>
      </c>
      <c r="X140" s="113"/>
      <c r="Y140" s="113"/>
      <c r="Z140" s="111">
        <f>INDEX('M03-S03'!$B$16:$B$198,2*(ROWS($Z$106:Z140)-1)+1)</f>
        <v>35</v>
      </c>
      <c r="AA140" s="111" t="str">
        <f>INDEX('M03-S03'!$L$16:$L$199,2*(ROWS($Z$106:AA140)-1)+1)</f>
        <v/>
      </c>
      <c r="AB140" s="111">
        <f>INDEX('M03-S03'!$C$16:$C$198,2*(ROWS($Z$106:AB140)-1)+1)</f>
        <v>0</v>
      </c>
      <c r="AC140" t="str">
        <f>IFERROR(INDEX('M03-S03'!$J$16:$J$199,2*(ROWS(AC$106:AC140)-1)+1)&amp;" "&amp;INDEX('M03-S03'!$L$16:$L$199,2*(ROWS(AC$106:AC140)-1)+1)&amp;", "&amp;INDEX('M03-S03'!$P$16:$P$199,2*(ROWS(AC$106:AC140)-1)+1)&amp;" "&amp;INDEX('M03-S03'!$R$16:$R$199,2*(ROWS(AC$106:AC140)-1)+1),"")</f>
        <v xml:space="preserve"> ,  </v>
      </c>
      <c r="AD140" t="str">
        <f>IFERROR(INDEX('M03-S03'!$J$16:$J$199,2*(ROWS(AD$106:AD140)-1)+1)&amp;" "&amp;ROUND(INDEX('M03-S03'!$N$16:$N$199,2*(ROWS(AD$106:AD140)-1)+1),3),"")&amp;", "&amp;IFERROR(INDEX('M03-S03'!$P$16:$P$199,2*(ROWS(AD$106:AD140)-1)+1)&amp;" "&amp;ROUND(INDEX('M03-S03'!$T$16:$T$199,2*(ROWS(AD$106:AD140)-1)+1),3),"")</f>
        <v xml:space="preserve"> 0,  0</v>
      </c>
      <c r="AE140" s="459"/>
      <c r="AF140" s="459"/>
      <c r="AG140" s="112"/>
      <c r="AH140" s="112"/>
      <c r="AI140" s="112"/>
      <c r="AJ140" s="112"/>
      <c r="AK140" s="113"/>
      <c r="AL140" s="113"/>
      <c r="AM140" s="113"/>
      <c r="AN140" s="113"/>
      <c r="AO140" s="52" t="str">
        <f>IFERROR(INDEX(PMEHVAC[Program Design],MATCH(AB140,PMEHVAC[Eff Desc 1],0)),"")</f>
        <v/>
      </c>
      <c r="AU140"/>
    </row>
    <row r="141" spans="1:47">
      <c r="A141" s="57">
        <f t="shared" si="9"/>
        <v>0</v>
      </c>
      <c r="B141" s="183" t="str">
        <f t="shared" si="11"/>
        <v/>
      </c>
      <c r="C141" t="str">
        <f>IFERROR(IF(R141&gt;0,INDEX(PMEHVAC[Measure '#],MATCH(AB141,PMEHVAC[Eff Desc 1],0)),""),"")</f>
        <v/>
      </c>
      <c r="D141" t="s">
        <v>947</v>
      </c>
      <c r="F141" s="112"/>
      <c r="G141" s="186">
        <f>INDEX('M03-S03'!$N$16:$N$198,2*(ROWS($G$106:G141)-1)+1)</f>
        <v>0</v>
      </c>
      <c r="H141" s="186"/>
      <c r="I141" s="184">
        <f>IFERROR(ROUND(INDEX('M03-S03'!$AA$16:$AA$198,2*(ROWS($I$106:I141)-1)+1),2),0)</f>
        <v>0</v>
      </c>
      <c r="J141" s="184">
        <f>IFERROR(ROUND(INDEX('M03-S03'!$AC$16:$AC$198,2*(ROWS($J$106:J141)-1)+1),2),0)</f>
        <v>0</v>
      </c>
      <c r="K141" s="52">
        <f>IFERROR(ROUND(INDEX('M03-S03'!$AU$16:$AU$198,2*(ROWS($K$106:K141)-1)+1),2),0)</f>
        <v>0</v>
      </c>
      <c r="M141" s="456">
        <f>INDEX('M03-S03'!$V$16:$V$198,2*(ROWS($M$106:M141)-1)+1)</f>
        <v>0</v>
      </c>
      <c r="N141" s="184" t="str">
        <f>IF(ISNUMBER(INDEX('M03-S03'!$AO$16:$AO$198,2*(ROWS($R$106:R141)-1)+1)),INDEX('M03-S03'!$AK$16:$AK$198,2*(ROWS($N$106:N141)-1)+1),"")</f>
        <v/>
      </c>
      <c r="O141" s="456" t="str">
        <f>IFERROR(IF(ISNUMBER(INDEX('M03-S03'!$AO$16:$AO$198,2*(ROWS($R$106:R141)-1)+1)),INDEX('M03-S03'!$AV$16:$AV$198,2*(ROWS($O$106:O141)-1)+1),""),"")</f>
        <v/>
      </c>
      <c r="P141" s="456" t="str">
        <f>IFERROR(IF(ISNUMBER(INDEX('M03-S03'!$AO$16:$AO$198,2*(ROWS($R$106:R141)-1)+1)),INDEX('M03-S03'!$AY$16:$AY$198,2*(ROWS($O$106:P141)-1)+1),""),"")</f>
        <v/>
      </c>
      <c r="Q141" s="113"/>
      <c r="R141" s="184">
        <f>IF(ISNUMBER(INDEX('M03-S03'!$AO$16:$AO$198,2*(ROWS($R$106:R141)-1)+1)),INDEX('M03-S03'!$AO$16:$AO$198,2*(ROWS($R$106:R141)-1)+1),0)</f>
        <v>0</v>
      </c>
      <c r="S141" s="459"/>
      <c r="T141" s="113"/>
      <c r="U141" s="140"/>
      <c r="V141" s="113"/>
      <c r="W141" s="96">
        <f>IFERROR(IF(NOT(ISNUMBER(INDEX('M03-S03'!$AO$16:$AO$198,2*(ROWS($R$106:R141)-1)+1))),INDEX('M03-S03'!$BC$16:$BC$198,2*(ROWS($R$106:R141)-1)+1),""),"")</f>
        <v>0</v>
      </c>
      <c r="X141" s="113"/>
      <c r="Y141" s="113"/>
      <c r="Z141" s="111">
        <f>INDEX('M03-S03'!$B$16:$B$198,2*(ROWS($Z$106:Z141)-1)+1)</f>
        <v>36</v>
      </c>
      <c r="AA141" s="111" t="str">
        <f>INDEX('M03-S03'!$L$16:$L$199,2*(ROWS($Z$106:AA141)-1)+1)</f>
        <v/>
      </c>
      <c r="AB141" s="111">
        <f>INDEX('M03-S03'!$C$16:$C$198,2*(ROWS($Z$106:AB141)-1)+1)</f>
        <v>0</v>
      </c>
      <c r="AC141" t="str">
        <f>IFERROR(INDEX('M03-S03'!$J$16:$J$199,2*(ROWS(AC$106:AC141)-1)+1)&amp;" "&amp;INDEX('M03-S03'!$L$16:$L$199,2*(ROWS(AC$106:AC141)-1)+1)&amp;", "&amp;INDEX('M03-S03'!$P$16:$P$199,2*(ROWS(AC$106:AC141)-1)+1)&amp;" "&amp;INDEX('M03-S03'!$R$16:$R$199,2*(ROWS(AC$106:AC141)-1)+1),"")</f>
        <v xml:space="preserve"> ,  </v>
      </c>
      <c r="AD141" t="str">
        <f>IFERROR(INDEX('M03-S03'!$J$16:$J$199,2*(ROWS(AD$106:AD141)-1)+1)&amp;" "&amp;ROUND(INDEX('M03-S03'!$N$16:$N$199,2*(ROWS(AD$106:AD141)-1)+1),3),"")&amp;", "&amp;IFERROR(INDEX('M03-S03'!$P$16:$P$199,2*(ROWS(AD$106:AD141)-1)+1)&amp;" "&amp;ROUND(INDEX('M03-S03'!$T$16:$T$199,2*(ROWS(AD$106:AD141)-1)+1),3),"")</f>
        <v xml:space="preserve"> 0,  0</v>
      </c>
      <c r="AE141" s="459"/>
      <c r="AF141" s="459"/>
      <c r="AG141" s="112"/>
      <c r="AH141" s="112"/>
      <c r="AI141" s="112"/>
      <c r="AJ141" s="112"/>
      <c r="AK141" s="113"/>
      <c r="AL141" s="113"/>
      <c r="AM141" s="113"/>
      <c r="AN141" s="113"/>
      <c r="AO141" s="52" t="str">
        <f>IFERROR(INDEX(PMEHVAC[Program Design],MATCH(AB141,PMEHVAC[Eff Desc 1],0)),"")</f>
        <v/>
      </c>
      <c r="AU141"/>
    </row>
    <row r="142" spans="1:47">
      <c r="A142" s="57">
        <f t="shared" si="9"/>
        <v>0</v>
      </c>
      <c r="B142" s="183" t="str">
        <f t="shared" si="10"/>
        <v/>
      </c>
      <c r="C142" t="str">
        <f>IFERROR(IF(R142&gt;0,INDEX(PMEHVAC[Measure '#],MATCH(AB142,PMEHVAC[Eff Desc 1],0)),""),"")</f>
        <v/>
      </c>
      <c r="D142" t="s">
        <v>947</v>
      </c>
      <c r="F142" s="112"/>
      <c r="G142" s="186">
        <f>INDEX('M03-S03'!$N$16:$N$198,2*(ROWS($G$106:G142)-1)+1)</f>
        <v>0</v>
      </c>
      <c r="H142" s="186"/>
      <c r="I142" s="184">
        <f>IFERROR(ROUND(INDEX('M03-S03'!$AA$16:$AA$198,2*(ROWS($I$106:I142)-1)+1),2),0)</f>
        <v>0</v>
      </c>
      <c r="J142" s="184">
        <f>IFERROR(ROUND(INDEX('M03-S03'!$AC$16:$AC$198,2*(ROWS($J$106:J142)-1)+1),2),0)</f>
        <v>0</v>
      </c>
      <c r="K142" s="52">
        <f>IFERROR(ROUND(INDEX('M03-S03'!$AU$16:$AU$198,2*(ROWS($K$106:K142)-1)+1),2),0)</f>
        <v>0</v>
      </c>
      <c r="M142" s="456">
        <f>INDEX('M03-S03'!$V$16:$V$198,2*(ROWS($M$106:M142)-1)+1)</f>
        <v>0</v>
      </c>
      <c r="N142" s="184" t="str">
        <f>IF(ISNUMBER(INDEX('M03-S03'!$AO$16:$AO$198,2*(ROWS($R$106:R142)-1)+1)),INDEX('M03-S03'!$AK$16:$AK$198,2*(ROWS($N$106:N142)-1)+1),"")</f>
        <v/>
      </c>
      <c r="O142" s="456" t="str">
        <f>IFERROR(IF(ISNUMBER(INDEX('M03-S03'!$AO$16:$AO$198,2*(ROWS($R$106:R142)-1)+1)),INDEX('M03-S03'!$AV$16:$AV$198,2*(ROWS($O$106:O142)-1)+1),""),"")</f>
        <v/>
      </c>
      <c r="P142" s="456" t="str">
        <f>IFERROR(IF(ISNUMBER(INDEX('M03-S03'!$AO$16:$AO$198,2*(ROWS($R$106:R142)-1)+1)),INDEX('M03-S03'!$AY$16:$AY$198,2*(ROWS($O$106:P142)-1)+1),""),"")</f>
        <v/>
      </c>
      <c r="Q142" s="113"/>
      <c r="R142" s="184">
        <f>IF(ISNUMBER(INDEX('M03-S03'!$AO$16:$AO$198,2*(ROWS($R$106:R142)-1)+1)),INDEX('M03-S03'!$AO$16:$AO$198,2*(ROWS($R$106:R142)-1)+1),0)</f>
        <v>0</v>
      </c>
      <c r="S142" s="459"/>
      <c r="T142" s="113"/>
      <c r="U142" s="140"/>
      <c r="V142" s="113"/>
      <c r="W142" s="96">
        <f>IFERROR(IF(NOT(ISNUMBER(INDEX('M03-S03'!$AO$16:$AO$198,2*(ROWS($R$106:R142)-1)+1))),INDEX('M03-S03'!$BC$16:$BC$198,2*(ROWS($R$106:R142)-1)+1),""),"")</f>
        <v>0</v>
      </c>
      <c r="X142" s="113"/>
      <c r="Y142" s="113"/>
      <c r="Z142" s="111">
        <f>INDEX('M03-S03'!$B$16:$B$198,2*(ROWS($Z$106:Z142)-1)+1)</f>
        <v>37</v>
      </c>
      <c r="AA142" s="111" t="str">
        <f>INDEX('M03-S03'!$L$16:$L$199,2*(ROWS($Z$106:AA142)-1)+1)</f>
        <v/>
      </c>
      <c r="AB142" s="111">
        <f>INDEX('M03-S03'!$C$16:$C$198,2*(ROWS($Z$106:AB142)-1)+1)</f>
        <v>0</v>
      </c>
      <c r="AC142" t="str">
        <f>IFERROR(INDEX('M03-S03'!$J$16:$J$199,2*(ROWS(AC$106:AC142)-1)+1)&amp;" "&amp;INDEX('M03-S03'!$L$16:$L$199,2*(ROWS(AC$106:AC142)-1)+1)&amp;", "&amp;INDEX('M03-S03'!$P$16:$P$199,2*(ROWS(AC$106:AC142)-1)+1)&amp;" "&amp;INDEX('M03-S03'!$R$16:$R$199,2*(ROWS(AC$106:AC142)-1)+1),"")</f>
        <v xml:space="preserve"> ,  </v>
      </c>
      <c r="AD142" t="str">
        <f>IFERROR(INDEX('M03-S03'!$J$16:$J$199,2*(ROWS(AD$106:AD142)-1)+1)&amp;" "&amp;ROUND(INDEX('M03-S03'!$N$16:$N$199,2*(ROWS(AD$106:AD142)-1)+1),3),"")&amp;", "&amp;IFERROR(INDEX('M03-S03'!$P$16:$P$199,2*(ROWS(AD$106:AD142)-1)+1)&amp;" "&amp;ROUND(INDEX('M03-S03'!$T$16:$T$199,2*(ROWS(AD$106:AD142)-1)+1),3),"")</f>
        <v xml:space="preserve"> 0,  0</v>
      </c>
      <c r="AE142" s="459"/>
      <c r="AF142" s="459"/>
      <c r="AG142" s="112"/>
      <c r="AH142" s="112"/>
      <c r="AI142" s="112"/>
      <c r="AJ142" s="112"/>
      <c r="AK142" s="113"/>
      <c r="AL142" s="113"/>
      <c r="AM142" s="113"/>
      <c r="AN142" s="113"/>
      <c r="AO142" s="52" t="str">
        <f>IFERROR(INDEX(PMEHVAC[Program Design],MATCH(AB142,PMEHVAC[Eff Desc 1],0)),"")</f>
        <v/>
      </c>
      <c r="AU142"/>
    </row>
    <row r="143" spans="1:47">
      <c r="A143" s="57">
        <f t="shared" si="9"/>
        <v>0</v>
      </c>
      <c r="B143" s="183" t="str">
        <f t="shared" si="10"/>
        <v/>
      </c>
      <c r="C143" t="str">
        <f>IFERROR(IF(R143&gt;0,INDEX(PMEHVAC[Measure '#],MATCH(AB143,PMEHVAC[Eff Desc 1],0)),""),"")</f>
        <v/>
      </c>
      <c r="D143" t="s">
        <v>947</v>
      </c>
      <c r="F143" s="112"/>
      <c r="G143" s="186">
        <f>INDEX('M03-S03'!$N$16:$N$198,2*(ROWS($G$106:G143)-1)+1)</f>
        <v>0</v>
      </c>
      <c r="H143" s="186"/>
      <c r="I143" s="184">
        <f>IFERROR(ROUND(INDEX('M03-S03'!$AA$16:$AA$198,2*(ROWS($I$106:I143)-1)+1),2),0)</f>
        <v>0</v>
      </c>
      <c r="J143" s="184">
        <f>IFERROR(ROUND(INDEX('M03-S03'!$AC$16:$AC$198,2*(ROWS($J$106:J143)-1)+1),2),0)</f>
        <v>0</v>
      </c>
      <c r="K143" s="52">
        <f>IFERROR(ROUND(INDEX('M03-S03'!$AU$16:$AU$198,2*(ROWS($K$106:K143)-1)+1),2),0)</f>
        <v>0</v>
      </c>
      <c r="M143" s="456">
        <f>INDEX('M03-S03'!$V$16:$V$198,2*(ROWS($M$106:M143)-1)+1)</f>
        <v>0</v>
      </c>
      <c r="N143" s="184" t="str">
        <f>IF(ISNUMBER(INDEX('M03-S03'!$AO$16:$AO$198,2*(ROWS($R$106:R143)-1)+1)),INDEX('M03-S03'!$AK$16:$AK$198,2*(ROWS($N$106:N143)-1)+1),"")</f>
        <v/>
      </c>
      <c r="O143" s="456" t="str">
        <f>IFERROR(IF(ISNUMBER(INDEX('M03-S03'!$AO$16:$AO$198,2*(ROWS($R$106:R143)-1)+1)),INDEX('M03-S03'!$AV$16:$AV$198,2*(ROWS($O$106:O143)-1)+1),""),"")</f>
        <v/>
      </c>
      <c r="P143" s="456" t="str">
        <f>IFERROR(IF(ISNUMBER(INDEX('M03-S03'!$AO$16:$AO$198,2*(ROWS($R$106:R143)-1)+1)),INDEX('M03-S03'!$AY$16:$AY$198,2*(ROWS($O$106:P143)-1)+1),""),"")</f>
        <v/>
      </c>
      <c r="Q143" s="113"/>
      <c r="R143" s="184">
        <f>IF(ISNUMBER(INDEX('M03-S03'!$AO$16:$AO$198,2*(ROWS($R$106:R143)-1)+1)),INDEX('M03-S03'!$AO$16:$AO$198,2*(ROWS($R$106:R143)-1)+1),0)</f>
        <v>0</v>
      </c>
      <c r="S143" s="459"/>
      <c r="T143" s="113"/>
      <c r="U143" s="140"/>
      <c r="V143" s="113"/>
      <c r="W143" s="96">
        <f>IFERROR(IF(NOT(ISNUMBER(INDEX('M03-S03'!$AO$16:$AO$198,2*(ROWS($R$106:R143)-1)+1))),INDEX('M03-S03'!$BC$16:$BC$198,2*(ROWS($R$106:R143)-1)+1),""),"")</f>
        <v>0</v>
      </c>
      <c r="X143" s="113"/>
      <c r="Y143" s="113"/>
      <c r="Z143" s="111">
        <f>INDEX('M03-S03'!$B$16:$B$198,2*(ROWS($Z$106:Z143)-1)+1)</f>
        <v>38</v>
      </c>
      <c r="AA143" s="111" t="str">
        <f>INDEX('M03-S03'!$L$16:$L$199,2*(ROWS($Z$106:AA143)-1)+1)</f>
        <v/>
      </c>
      <c r="AB143" s="111">
        <f>INDEX('M03-S03'!$C$16:$C$198,2*(ROWS($Z$106:AB143)-1)+1)</f>
        <v>0</v>
      </c>
      <c r="AC143" t="str">
        <f>IFERROR(INDEX('M03-S03'!$J$16:$J$199,2*(ROWS(AC$106:AC143)-1)+1)&amp;" "&amp;INDEX('M03-S03'!$L$16:$L$199,2*(ROWS(AC$106:AC143)-1)+1)&amp;", "&amp;INDEX('M03-S03'!$P$16:$P$199,2*(ROWS(AC$106:AC143)-1)+1)&amp;" "&amp;INDEX('M03-S03'!$R$16:$R$199,2*(ROWS(AC$106:AC143)-1)+1),"")</f>
        <v xml:space="preserve"> ,  </v>
      </c>
      <c r="AD143" t="str">
        <f>IFERROR(INDEX('M03-S03'!$J$16:$J$199,2*(ROWS(AD$106:AD143)-1)+1)&amp;" "&amp;ROUND(INDEX('M03-S03'!$N$16:$N$199,2*(ROWS(AD$106:AD143)-1)+1),3),"")&amp;", "&amp;IFERROR(INDEX('M03-S03'!$P$16:$P$199,2*(ROWS(AD$106:AD143)-1)+1)&amp;" "&amp;ROUND(INDEX('M03-S03'!$T$16:$T$199,2*(ROWS(AD$106:AD143)-1)+1),3),"")</f>
        <v xml:space="preserve"> 0,  0</v>
      </c>
      <c r="AE143" s="459"/>
      <c r="AF143" s="459"/>
      <c r="AG143" s="112"/>
      <c r="AH143" s="112"/>
      <c r="AI143" s="112"/>
      <c r="AJ143" s="112"/>
      <c r="AK143" s="113"/>
      <c r="AL143" s="113"/>
      <c r="AM143" s="113"/>
      <c r="AN143" s="113"/>
      <c r="AO143" s="52" t="str">
        <f>IFERROR(INDEX(PMEHVAC[Program Design],MATCH(AB143,PMEHVAC[Eff Desc 1],0)),"")</f>
        <v/>
      </c>
      <c r="AU143"/>
    </row>
    <row r="144" spans="1:47">
      <c r="A144" s="57">
        <f t="shared" si="9"/>
        <v>0</v>
      </c>
      <c r="B144" s="183" t="str">
        <f t="shared" si="10"/>
        <v/>
      </c>
      <c r="C144" t="str">
        <f>IFERROR(IF(R144&gt;0,INDEX(PMEHVAC[Measure '#],MATCH(AB144,PMEHVAC[Eff Desc 1],0)),""),"")</f>
        <v/>
      </c>
      <c r="D144" t="s">
        <v>947</v>
      </c>
      <c r="F144" s="112"/>
      <c r="G144" s="186">
        <f>INDEX('M03-S03'!$N$16:$N$198,2*(ROWS($G$106:G144)-1)+1)</f>
        <v>0</v>
      </c>
      <c r="H144" s="186"/>
      <c r="I144" s="184">
        <f>IFERROR(ROUND(INDEX('M03-S03'!$AA$16:$AA$198,2*(ROWS($I$106:I144)-1)+1),2),0)</f>
        <v>0</v>
      </c>
      <c r="J144" s="184">
        <f>IFERROR(ROUND(INDEX('M03-S03'!$AC$16:$AC$198,2*(ROWS($J$106:J144)-1)+1),2),0)</f>
        <v>0</v>
      </c>
      <c r="K144" s="52">
        <f>IFERROR(ROUND(INDEX('M03-S03'!$AU$16:$AU$198,2*(ROWS($K$106:K144)-1)+1),2),0)</f>
        <v>0</v>
      </c>
      <c r="M144" s="456">
        <f>INDEX('M03-S03'!$V$16:$V$198,2*(ROWS($M$106:M144)-1)+1)</f>
        <v>0</v>
      </c>
      <c r="N144" s="184" t="str">
        <f>IF(ISNUMBER(INDEX('M03-S03'!$AO$16:$AO$198,2*(ROWS($R$106:R144)-1)+1)),INDEX('M03-S03'!$AK$16:$AK$198,2*(ROWS($N$106:N144)-1)+1),"")</f>
        <v/>
      </c>
      <c r="O144" s="456" t="str">
        <f>IFERROR(IF(ISNUMBER(INDEX('M03-S03'!$AO$16:$AO$198,2*(ROWS($R$106:R144)-1)+1)),INDEX('M03-S03'!$AV$16:$AV$198,2*(ROWS($O$106:O144)-1)+1),""),"")</f>
        <v/>
      </c>
      <c r="P144" s="456" t="str">
        <f>IFERROR(IF(ISNUMBER(INDEX('M03-S03'!$AO$16:$AO$198,2*(ROWS($R$106:R144)-1)+1)),INDEX('M03-S03'!$AY$16:$AY$198,2*(ROWS($O$106:P144)-1)+1),""),"")</f>
        <v/>
      </c>
      <c r="Q144" s="113"/>
      <c r="R144" s="184">
        <f>IF(ISNUMBER(INDEX('M03-S03'!$AO$16:$AO$198,2*(ROWS($R$106:R144)-1)+1)),INDEX('M03-S03'!$AO$16:$AO$198,2*(ROWS($R$106:R144)-1)+1),0)</f>
        <v>0</v>
      </c>
      <c r="S144" s="459"/>
      <c r="T144" s="113"/>
      <c r="U144" s="140"/>
      <c r="V144" s="113"/>
      <c r="W144" s="96">
        <f>IFERROR(IF(NOT(ISNUMBER(INDEX('M03-S03'!$AO$16:$AO$198,2*(ROWS($R$106:R144)-1)+1))),INDEX('M03-S03'!$BC$16:$BC$198,2*(ROWS($R$106:R144)-1)+1),""),"")</f>
        <v>0</v>
      </c>
      <c r="X144" s="113"/>
      <c r="Y144" s="113"/>
      <c r="Z144" s="111">
        <f>INDEX('M03-S03'!$B$16:$B$198,2*(ROWS($Z$106:Z144)-1)+1)</f>
        <v>39</v>
      </c>
      <c r="AA144" s="111" t="str">
        <f>INDEX('M03-S03'!$L$16:$L$199,2*(ROWS($Z$106:AA144)-1)+1)</f>
        <v/>
      </c>
      <c r="AB144" s="111">
        <f>INDEX('M03-S03'!$C$16:$C$198,2*(ROWS($Z$106:AB144)-1)+1)</f>
        <v>0</v>
      </c>
      <c r="AC144" t="str">
        <f>IFERROR(INDEX('M03-S03'!$J$16:$J$199,2*(ROWS(AC$106:AC144)-1)+1)&amp;" "&amp;INDEX('M03-S03'!$L$16:$L$199,2*(ROWS(AC$106:AC144)-1)+1)&amp;", "&amp;INDEX('M03-S03'!$P$16:$P$199,2*(ROWS(AC$106:AC144)-1)+1)&amp;" "&amp;INDEX('M03-S03'!$R$16:$R$199,2*(ROWS(AC$106:AC144)-1)+1),"")</f>
        <v xml:space="preserve"> ,  </v>
      </c>
      <c r="AD144" t="str">
        <f>IFERROR(INDEX('M03-S03'!$J$16:$J$199,2*(ROWS(AD$106:AD144)-1)+1)&amp;" "&amp;ROUND(INDEX('M03-S03'!$N$16:$N$199,2*(ROWS(AD$106:AD144)-1)+1),3),"")&amp;", "&amp;IFERROR(INDEX('M03-S03'!$P$16:$P$199,2*(ROWS(AD$106:AD144)-1)+1)&amp;" "&amp;ROUND(INDEX('M03-S03'!$T$16:$T$199,2*(ROWS(AD$106:AD144)-1)+1),3),"")</f>
        <v xml:space="preserve"> 0,  0</v>
      </c>
      <c r="AE144" s="459"/>
      <c r="AF144" s="459"/>
      <c r="AG144" s="112"/>
      <c r="AH144" s="112"/>
      <c r="AI144" s="112"/>
      <c r="AJ144" s="112"/>
      <c r="AK144" s="113"/>
      <c r="AL144" s="113"/>
      <c r="AM144" s="113"/>
      <c r="AN144" s="113"/>
      <c r="AO144" s="52" t="str">
        <f>IFERROR(INDEX(PMEHVAC[Program Design],MATCH(AB144,PMEHVAC[Eff Desc 1],0)),"")</f>
        <v/>
      </c>
      <c r="AU144"/>
    </row>
    <row r="145" spans="1:47">
      <c r="A145" s="57">
        <f t="shared" si="9"/>
        <v>0</v>
      </c>
      <c r="B145" s="183" t="str">
        <f t="shared" si="10"/>
        <v/>
      </c>
      <c r="C145" t="str">
        <f>IFERROR(IF(R145&gt;0,INDEX(PMEHVAC[Measure '#],MATCH(AB145,PMEHVAC[Eff Desc 1],0)),""),"")</f>
        <v/>
      </c>
      <c r="D145" t="s">
        <v>947</v>
      </c>
      <c r="F145" s="112"/>
      <c r="G145" s="186">
        <f>INDEX('M03-S03'!$N$16:$N$198,2*(ROWS($G$106:G145)-1)+1)</f>
        <v>0</v>
      </c>
      <c r="H145" s="186"/>
      <c r="I145" s="184">
        <f>IFERROR(ROUND(INDEX('M03-S03'!$AA$16:$AA$198,2*(ROWS($I$106:I145)-1)+1),2),0)</f>
        <v>0</v>
      </c>
      <c r="J145" s="184">
        <f>IFERROR(ROUND(INDEX('M03-S03'!$AC$16:$AC$198,2*(ROWS($J$106:J145)-1)+1),2),0)</f>
        <v>0</v>
      </c>
      <c r="K145" s="52">
        <f>IFERROR(ROUND(INDEX('M03-S03'!$AU$16:$AU$198,2*(ROWS($K$106:K145)-1)+1),2),0)</f>
        <v>0</v>
      </c>
      <c r="M145" s="456">
        <f>INDEX('M03-S03'!$V$16:$V$198,2*(ROWS($M$106:M145)-1)+1)</f>
        <v>0</v>
      </c>
      <c r="N145" s="184" t="str">
        <f>IF(ISNUMBER(INDEX('M03-S03'!$AO$16:$AO$198,2*(ROWS($R$106:R145)-1)+1)),INDEX('M03-S03'!$AK$16:$AK$198,2*(ROWS($N$106:N145)-1)+1),"")</f>
        <v/>
      </c>
      <c r="O145" s="456" t="str">
        <f>IFERROR(IF(ISNUMBER(INDEX('M03-S03'!$AO$16:$AO$198,2*(ROWS($R$106:R145)-1)+1)),INDEX('M03-S03'!$AV$16:$AV$198,2*(ROWS($O$106:O145)-1)+1),""),"")</f>
        <v/>
      </c>
      <c r="P145" s="456" t="str">
        <f>IFERROR(IF(ISNUMBER(INDEX('M03-S03'!$AO$16:$AO$198,2*(ROWS($R$106:R145)-1)+1)),INDEX('M03-S03'!$AY$16:$AY$198,2*(ROWS($O$106:P145)-1)+1),""),"")</f>
        <v/>
      </c>
      <c r="Q145" s="113"/>
      <c r="R145" s="184">
        <f>IF(ISNUMBER(INDEX('M03-S03'!$AO$16:$AO$198,2*(ROWS($R$106:R145)-1)+1)),INDEX('M03-S03'!$AO$16:$AO$198,2*(ROWS($R$106:R145)-1)+1),0)</f>
        <v>0</v>
      </c>
      <c r="S145" s="459"/>
      <c r="T145" s="113"/>
      <c r="U145" s="140"/>
      <c r="V145" s="113"/>
      <c r="W145" s="96">
        <f>IFERROR(IF(NOT(ISNUMBER(INDEX('M03-S03'!$AO$16:$AO$198,2*(ROWS($R$106:R145)-1)+1))),INDEX('M03-S03'!$BC$16:$BC$198,2*(ROWS($R$106:R145)-1)+1),""),"")</f>
        <v>0</v>
      </c>
      <c r="X145" s="113"/>
      <c r="Y145" s="113"/>
      <c r="Z145" s="111">
        <f>INDEX('M03-S03'!$B$16:$B$198,2*(ROWS($Z$106:Z145)-1)+1)</f>
        <v>40</v>
      </c>
      <c r="AA145" s="111" t="str">
        <f>INDEX('M03-S03'!$L$16:$L$199,2*(ROWS($Z$106:AA145)-1)+1)</f>
        <v/>
      </c>
      <c r="AB145" s="111">
        <f>INDEX('M03-S03'!$C$16:$C$198,2*(ROWS($Z$106:AB145)-1)+1)</f>
        <v>0</v>
      </c>
      <c r="AC145" t="str">
        <f>IFERROR(INDEX('M03-S03'!$J$16:$J$199,2*(ROWS(AC$106:AC145)-1)+1)&amp;" "&amp;INDEX('M03-S03'!$L$16:$L$199,2*(ROWS(AC$106:AC145)-1)+1)&amp;", "&amp;INDEX('M03-S03'!$P$16:$P$199,2*(ROWS(AC$106:AC145)-1)+1)&amp;" "&amp;INDEX('M03-S03'!$R$16:$R$199,2*(ROWS(AC$106:AC145)-1)+1),"")</f>
        <v xml:space="preserve"> ,  </v>
      </c>
      <c r="AD145" t="str">
        <f>IFERROR(INDEX('M03-S03'!$J$16:$J$199,2*(ROWS(AD$106:AD145)-1)+1)&amp;" "&amp;ROUND(INDEX('M03-S03'!$N$16:$N$199,2*(ROWS(AD$106:AD145)-1)+1),3),"")&amp;", "&amp;IFERROR(INDEX('M03-S03'!$P$16:$P$199,2*(ROWS(AD$106:AD145)-1)+1)&amp;" "&amp;ROUND(INDEX('M03-S03'!$T$16:$T$199,2*(ROWS(AD$106:AD145)-1)+1),3),"")</f>
        <v xml:space="preserve"> 0,  0</v>
      </c>
      <c r="AE145" s="459"/>
      <c r="AF145" s="459"/>
      <c r="AG145" s="112"/>
      <c r="AH145" s="112"/>
      <c r="AI145" s="112"/>
      <c r="AJ145" s="112"/>
      <c r="AK145" s="113"/>
      <c r="AL145" s="113"/>
      <c r="AM145" s="113"/>
      <c r="AN145" s="113"/>
      <c r="AO145" s="52" t="str">
        <f>IFERROR(INDEX(PMEHVAC[Program Design],MATCH(AB145,PMEHVAC[Eff Desc 1],0)),"")</f>
        <v/>
      </c>
      <c r="AU145"/>
    </row>
    <row r="146" spans="1:47">
      <c r="A146" s="57">
        <f t="shared" si="9"/>
        <v>0</v>
      </c>
      <c r="B146" s="183" t="str">
        <f t="shared" si="10"/>
        <v/>
      </c>
      <c r="C146" t="str">
        <f>IFERROR(IF(R146&gt;0,INDEX(PMEHVAC[Measure '#],MATCH(AB146,PMEHVAC[Eff Desc 1],0)),""),"")</f>
        <v/>
      </c>
      <c r="D146" t="s">
        <v>947</v>
      </c>
      <c r="F146" s="112"/>
      <c r="G146" s="186">
        <f>INDEX('M03-S03'!$N$16:$N$198,2*(ROWS($G$106:G146)-1)+1)</f>
        <v>0</v>
      </c>
      <c r="H146" s="186"/>
      <c r="I146" s="184">
        <f>IFERROR(ROUND(INDEX('M03-S03'!$AA$16:$AA$198,2*(ROWS($I$106:I146)-1)+1),2),0)</f>
        <v>0</v>
      </c>
      <c r="J146" s="184">
        <f>IFERROR(ROUND(INDEX('M03-S03'!$AC$16:$AC$198,2*(ROWS($J$106:J146)-1)+1),2),0)</f>
        <v>0</v>
      </c>
      <c r="K146" s="52">
        <f>IFERROR(ROUND(INDEX('M03-S03'!$AU$16:$AU$198,2*(ROWS($K$106:K146)-1)+1),2),0)</f>
        <v>0</v>
      </c>
      <c r="M146" s="456">
        <f>INDEX('M03-S03'!$V$16:$V$198,2*(ROWS($M$106:M146)-1)+1)</f>
        <v>0</v>
      </c>
      <c r="N146" s="184" t="str">
        <f>IF(ISNUMBER(INDEX('M03-S03'!$AO$16:$AO$198,2*(ROWS($R$106:R146)-1)+1)),INDEX('M03-S03'!$AK$16:$AK$198,2*(ROWS($N$106:N146)-1)+1),"")</f>
        <v/>
      </c>
      <c r="O146" s="456" t="str">
        <f>IFERROR(IF(ISNUMBER(INDEX('M03-S03'!$AO$16:$AO$198,2*(ROWS($R$106:R146)-1)+1)),INDEX('M03-S03'!$AV$16:$AV$198,2*(ROWS($O$106:O146)-1)+1),""),"")</f>
        <v/>
      </c>
      <c r="P146" s="456" t="str">
        <f>IFERROR(IF(ISNUMBER(INDEX('M03-S03'!$AO$16:$AO$198,2*(ROWS($R$106:R146)-1)+1)),INDEX('M03-S03'!$AY$16:$AY$198,2*(ROWS($O$106:P146)-1)+1),""),"")</f>
        <v/>
      </c>
      <c r="Q146" s="113"/>
      <c r="R146" s="184">
        <f>IF(ISNUMBER(INDEX('M03-S03'!$AO$16:$AO$198,2*(ROWS($R$106:R146)-1)+1)),INDEX('M03-S03'!$AO$16:$AO$198,2*(ROWS($R$106:R146)-1)+1),0)</f>
        <v>0</v>
      </c>
      <c r="S146" s="459"/>
      <c r="T146" s="113"/>
      <c r="U146" s="140"/>
      <c r="V146" s="113"/>
      <c r="W146" s="96">
        <f>IFERROR(IF(NOT(ISNUMBER(INDEX('M03-S03'!$AO$16:$AO$198,2*(ROWS($R$106:R146)-1)+1))),INDEX('M03-S03'!$BC$16:$BC$198,2*(ROWS($R$106:R146)-1)+1),""),"")</f>
        <v>0</v>
      </c>
      <c r="X146" s="113"/>
      <c r="Y146" s="113"/>
      <c r="Z146" s="111">
        <f>INDEX('M03-S03'!$B$16:$B$198,2*(ROWS($Z$106:Z146)-1)+1)</f>
        <v>41</v>
      </c>
      <c r="AA146" s="111" t="str">
        <f>INDEX('M03-S03'!$L$16:$L$199,2*(ROWS($Z$106:AA146)-1)+1)</f>
        <v/>
      </c>
      <c r="AB146" s="111">
        <f>INDEX('M03-S03'!$C$16:$C$198,2*(ROWS($Z$106:AB146)-1)+1)</f>
        <v>0</v>
      </c>
      <c r="AC146" t="str">
        <f>IFERROR(INDEX('M03-S03'!$J$16:$J$199,2*(ROWS(AC$106:AC146)-1)+1)&amp;" "&amp;INDEX('M03-S03'!$L$16:$L$199,2*(ROWS(AC$106:AC146)-1)+1)&amp;", "&amp;INDEX('M03-S03'!$P$16:$P$199,2*(ROWS(AC$106:AC146)-1)+1)&amp;" "&amp;INDEX('M03-S03'!$R$16:$R$199,2*(ROWS(AC$106:AC146)-1)+1),"")</f>
        <v xml:space="preserve"> ,  </v>
      </c>
      <c r="AD146" t="str">
        <f>IFERROR(INDEX('M03-S03'!$J$16:$J$199,2*(ROWS(AD$106:AD146)-1)+1)&amp;" "&amp;ROUND(INDEX('M03-S03'!$N$16:$N$199,2*(ROWS(AD$106:AD146)-1)+1),3),"")&amp;", "&amp;IFERROR(INDEX('M03-S03'!$P$16:$P$199,2*(ROWS(AD$106:AD146)-1)+1)&amp;" "&amp;ROUND(INDEX('M03-S03'!$T$16:$T$199,2*(ROWS(AD$106:AD146)-1)+1),3),"")</f>
        <v xml:space="preserve"> 0,  0</v>
      </c>
      <c r="AE146" s="459"/>
      <c r="AF146" s="459"/>
      <c r="AG146" s="112"/>
      <c r="AH146" s="112"/>
      <c r="AI146" s="112"/>
      <c r="AJ146" s="112"/>
      <c r="AK146" s="113"/>
      <c r="AL146" s="113"/>
      <c r="AM146" s="113"/>
      <c r="AN146" s="113"/>
      <c r="AO146" s="52" t="str">
        <f>IFERROR(INDEX(PMEHVAC[Program Design],MATCH(AB146,PMEHVAC[Eff Desc 1],0)),"")</f>
        <v/>
      </c>
      <c r="AU146"/>
    </row>
    <row r="147" spans="1:47">
      <c r="A147" s="57">
        <f t="shared" si="9"/>
        <v>0</v>
      </c>
      <c r="B147" s="183" t="str">
        <f t="shared" si="10"/>
        <v/>
      </c>
      <c r="C147" t="str">
        <f>IFERROR(IF(R147&gt;0,INDEX(PMEHVAC[Measure '#],MATCH(AB147,PMEHVAC[Eff Desc 1],0)),""),"")</f>
        <v/>
      </c>
      <c r="D147" t="s">
        <v>947</v>
      </c>
      <c r="F147" s="112"/>
      <c r="G147" s="186">
        <f>INDEX('M03-S03'!$N$16:$N$198,2*(ROWS($G$106:G147)-1)+1)</f>
        <v>0</v>
      </c>
      <c r="H147" s="186"/>
      <c r="I147" s="184">
        <f>IFERROR(ROUND(INDEX('M03-S03'!$AA$16:$AA$198,2*(ROWS($I$106:I147)-1)+1),2),0)</f>
        <v>0</v>
      </c>
      <c r="J147" s="184">
        <f>IFERROR(ROUND(INDEX('M03-S03'!$AC$16:$AC$198,2*(ROWS($J$106:J147)-1)+1),2),0)</f>
        <v>0</v>
      </c>
      <c r="K147" s="52">
        <f>IFERROR(ROUND(INDEX('M03-S03'!$AU$16:$AU$198,2*(ROWS($K$106:K147)-1)+1),2),0)</f>
        <v>0</v>
      </c>
      <c r="M147" s="456">
        <f>INDEX('M03-S03'!$V$16:$V$198,2*(ROWS($M$106:M147)-1)+1)</f>
        <v>0</v>
      </c>
      <c r="N147" s="184" t="str">
        <f>IF(ISNUMBER(INDEX('M03-S03'!$AO$16:$AO$198,2*(ROWS($R$106:R147)-1)+1)),INDEX('M03-S03'!$AK$16:$AK$198,2*(ROWS($N$106:N147)-1)+1),"")</f>
        <v/>
      </c>
      <c r="O147" s="456" t="str">
        <f>IFERROR(IF(ISNUMBER(INDEX('M03-S03'!$AO$16:$AO$198,2*(ROWS($R$106:R147)-1)+1)),INDEX('M03-S03'!$AV$16:$AV$198,2*(ROWS($O$106:O147)-1)+1),""),"")</f>
        <v/>
      </c>
      <c r="P147" s="456" t="str">
        <f>IFERROR(IF(ISNUMBER(INDEX('M03-S03'!$AO$16:$AO$198,2*(ROWS($R$106:R147)-1)+1)),INDEX('M03-S03'!$AY$16:$AY$198,2*(ROWS($O$106:P147)-1)+1),""),"")</f>
        <v/>
      </c>
      <c r="Q147" s="113"/>
      <c r="R147" s="184">
        <f>IF(ISNUMBER(INDEX('M03-S03'!$AO$16:$AO$198,2*(ROWS($R$106:R147)-1)+1)),INDEX('M03-S03'!$AO$16:$AO$198,2*(ROWS($R$106:R147)-1)+1),0)</f>
        <v>0</v>
      </c>
      <c r="S147" s="459"/>
      <c r="T147" s="113"/>
      <c r="U147" s="140"/>
      <c r="V147" s="113"/>
      <c r="W147" s="96">
        <f>IFERROR(IF(NOT(ISNUMBER(INDEX('M03-S03'!$AO$16:$AO$198,2*(ROWS($R$106:R147)-1)+1))),INDEX('M03-S03'!$BC$16:$BC$198,2*(ROWS($R$106:R147)-1)+1),""),"")</f>
        <v>0</v>
      </c>
      <c r="X147" s="113"/>
      <c r="Y147" s="113"/>
      <c r="Z147" s="111">
        <f>INDEX('M03-S03'!$B$16:$B$198,2*(ROWS($Z$106:Z147)-1)+1)</f>
        <v>42</v>
      </c>
      <c r="AA147" s="111" t="str">
        <f>INDEX('M03-S03'!$L$16:$L$199,2*(ROWS($Z$106:AA147)-1)+1)</f>
        <v/>
      </c>
      <c r="AB147" s="111">
        <f>INDEX('M03-S03'!$C$16:$C$198,2*(ROWS($Z$106:AB147)-1)+1)</f>
        <v>0</v>
      </c>
      <c r="AC147" t="str">
        <f>IFERROR(INDEX('M03-S03'!$J$16:$J$199,2*(ROWS(AC$106:AC147)-1)+1)&amp;" "&amp;INDEX('M03-S03'!$L$16:$L$199,2*(ROWS(AC$106:AC147)-1)+1)&amp;", "&amp;INDEX('M03-S03'!$P$16:$P$199,2*(ROWS(AC$106:AC147)-1)+1)&amp;" "&amp;INDEX('M03-S03'!$R$16:$R$199,2*(ROWS(AC$106:AC147)-1)+1),"")</f>
        <v xml:space="preserve"> ,  </v>
      </c>
      <c r="AD147" t="str">
        <f>IFERROR(INDEX('M03-S03'!$J$16:$J$199,2*(ROWS(AD$106:AD147)-1)+1)&amp;" "&amp;ROUND(INDEX('M03-S03'!$N$16:$N$199,2*(ROWS(AD$106:AD147)-1)+1),3),"")&amp;", "&amp;IFERROR(INDEX('M03-S03'!$P$16:$P$199,2*(ROWS(AD$106:AD147)-1)+1)&amp;" "&amp;ROUND(INDEX('M03-S03'!$T$16:$T$199,2*(ROWS(AD$106:AD147)-1)+1),3),"")</f>
        <v xml:space="preserve"> 0,  0</v>
      </c>
      <c r="AE147" s="459"/>
      <c r="AF147" s="459"/>
      <c r="AG147" s="112"/>
      <c r="AH147" s="112"/>
      <c r="AI147" s="112"/>
      <c r="AJ147" s="112"/>
      <c r="AK147" s="113"/>
      <c r="AL147" s="113"/>
      <c r="AM147" s="113"/>
      <c r="AN147" s="113"/>
      <c r="AO147" s="52" t="str">
        <f>IFERROR(INDEX(PMEHVAC[Program Design],MATCH(AB147,PMEHVAC[Eff Desc 1],0)),"")</f>
        <v/>
      </c>
      <c r="AU147"/>
    </row>
    <row r="148" spans="1:47">
      <c r="A148" s="57">
        <f t="shared" si="9"/>
        <v>0</v>
      </c>
      <c r="B148" s="183" t="str">
        <f t="shared" si="10"/>
        <v/>
      </c>
      <c r="C148" t="str">
        <f>IFERROR(IF(R148&gt;0,INDEX(PMEHVAC[Measure '#],MATCH(AB148,PMEHVAC[Eff Desc 1],0)),""),"")</f>
        <v/>
      </c>
      <c r="D148" t="s">
        <v>947</v>
      </c>
      <c r="F148" s="112"/>
      <c r="G148" s="186">
        <f>INDEX('M03-S03'!$N$16:$N$198,2*(ROWS($G$106:G148)-1)+1)</f>
        <v>0</v>
      </c>
      <c r="H148" s="186"/>
      <c r="I148" s="184">
        <f>IFERROR(ROUND(INDEX('M03-S03'!$AA$16:$AA$198,2*(ROWS($I$106:I148)-1)+1),2),0)</f>
        <v>0</v>
      </c>
      <c r="J148" s="184">
        <f>IFERROR(ROUND(INDEX('M03-S03'!$AC$16:$AC$198,2*(ROWS($J$106:J148)-1)+1),2),0)</f>
        <v>0</v>
      </c>
      <c r="K148" s="52">
        <f>IFERROR(ROUND(INDEX('M03-S03'!$AU$16:$AU$198,2*(ROWS($K$106:K148)-1)+1),2),0)</f>
        <v>0</v>
      </c>
      <c r="M148" s="456">
        <f>INDEX('M03-S03'!$V$16:$V$198,2*(ROWS($M$106:M148)-1)+1)</f>
        <v>0</v>
      </c>
      <c r="N148" s="184" t="str">
        <f>IF(ISNUMBER(INDEX('M03-S03'!$AO$16:$AO$198,2*(ROWS($R$106:R148)-1)+1)),INDEX('M03-S03'!$AK$16:$AK$198,2*(ROWS($N$106:N148)-1)+1),"")</f>
        <v/>
      </c>
      <c r="O148" s="456" t="str">
        <f>IFERROR(IF(ISNUMBER(INDEX('M03-S03'!$AO$16:$AO$198,2*(ROWS($R$106:R148)-1)+1)),INDEX('M03-S03'!$AV$16:$AV$198,2*(ROWS($O$106:O148)-1)+1),""),"")</f>
        <v/>
      </c>
      <c r="P148" s="456" t="str">
        <f>IFERROR(IF(ISNUMBER(INDEX('M03-S03'!$AO$16:$AO$198,2*(ROWS($R$106:R148)-1)+1)),INDEX('M03-S03'!$AY$16:$AY$198,2*(ROWS($O$106:P148)-1)+1),""),"")</f>
        <v/>
      </c>
      <c r="Q148" s="113"/>
      <c r="R148" s="184">
        <f>IF(ISNUMBER(INDEX('M03-S03'!$AO$16:$AO$198,2*(ROWS($R$106:R148)-1)+1)),INDEX('M03-S03'!$AO$16:$AO$198,2*(ROWS($R$106:R148)-1)+1),0)</f>
        <v>0</v>
      </c>
      <c r="S148" s="459"/>
      <c r="T148" s="113"/>
      <c r="U148" s="140"/>
      <c r="V148" s="113"/>
      <c r="W148" s="96">
        <f>IFERROR(IF(NOT(ISNUMBER(INDEX('M03-S03'!$AO$16:$AO$198,2*(ROWS($R$106:R148)-1)+1))),INDEX('M03-S03'!$BC$16:$BC$198,2*(ROWS($R$106:R148)-1)+1),""),"")</f>
        <v>0</v>
      </c>
      <c r="X148" s="113"/>
      <c r="Y148" s="113"/>
      <c r="Z148" s="111">
        <f>INDEX('M03-S03'!$B$16:$B$198,2*(ROWS($Z$106:Z148)-1)+1)</f>
        <v>43</v>
      </c>
      <c r="AA148" s="111" t="str">
        <f>INDEX('M03-S03'!$L$16:$L$199,2*(ROWS($Z$106:AA148)-1)+1)</f>
        <v/>
      </c>
      <c r="AB148" s="111">
        <f>INDEX('M03-S03'!$C$16:$C$198,2*(ROWS($Z$106:AB148)-1)+1)</f>
        <v>0</v>
      </c>
      <c r="AC148" t="str">
        <f>IFERROR(INDEX('M03-S03'!$J$16:$J$199,2*(ROWS(AC$106:AC148)-1)+1)&amp;" "&amp;INDEX('M03-S03'!$L$16:$L$199,2*(ROWS(AC$106:AC148)-1)+1)&amp;", "&amp;INDEX('M03-S03'!$P$16:$P$199,2*(ROWS(AC$106:AC148)-1)+1)&amp;" "&amp;INDEX('M03-S03'!$R$16:$R$199,2*(ROWS(AC$106:AC148)-1)+1),"")</f>
        <v xml:space="preserve"> ,  </v>
      </c>
      <c r="AD148" t="str">
        <f>IFERROR(INDEX('M03-S03'!$J$16:$J$199,2*(ROWS(AD$106:AD148)-1)+1)&amp;" "&amp;ROUND(INDEX('M03-S03'!$N$16:$N$199,2*(ROWS(AD$106:AD148)-1)+1),3),"")&amp;", "&amp;IFERROR(INDEX('M03-S03'!$P$16:$P$199,2*(ROWS(AD$106:AD148)-1)+1)&amp;" "&amp;ROUND(INDEX('M03-S03'!$T$16:$T$199,2*(ROWS(AD$106:AD148)-1)+1),3),"")</f>
        <v xml:space="preserve"> 0,  0</v>
      </c>
      <c r="AE148" s="459"/>
      <c r="AF148" s="459"/>
      <c r="AG148" s="112"/>
      <c r="AH148" s="112"/>
      <c r="AI148" s="112"/>
      <c r="AJ148" s="112"/>
      <c r="AK148" s="113"/>
      <c r="AL148" s="113"/>
      <c r="AM148" s="113"/>
      <c r="AN148" s="113"/>
      <c r="AO148" s="52" t="str">
        <f>IFERROR(INDEX(PMEHVAC[Program Design],MATCH(AB148,PMEHVAC[Eff Desc 1],0)),"")</f>
        <v/>
      </c>
      <c r="AU148"/>
    </row>
    <row r="149" spans="1:47">
      <c r="A149" s="57">
        <f t="shared" si="9"/>
        <v>0</v>
      </c>
      <c r="B149" s="183" t="str">
        <f t="shared" si="10"/>
        <v/>
      </c>
      <c r="C149" t="str">
        <f>IFERROR(IF(R149&gt;0,INDEX(PMEHVAC[Measure '#],MATCH(AB149,PMEHVAC[Eff Desc 1],0)),""),"")</f>
        <v/>
      </c>
      <c r="D149" t="s">
        <v>947</v>
      </c>
      <c r="F149" s="112"/>
      <c r="G149" s="186">
        <f>INDEX('M03-S03'!$N$16:$N$198,2*(ROWS($G$106:G149)-1)+1)</f>
        <v>0</v>
      </c>
      <c r="H149" s="186"/>
      <c r="I149" s="184">
        <f>IFERROR(ROUND(INDEX('M03-S03'!$AA$16:$AA$198,2*(ROWS($I$106:I149)-1)+1),2),0)</f>
        <v>0</v>
      </c>
      <c r="J149" s="184">
        <f>IFERROR(ROUND(INDEX('M03-S03'!$AC$16:$AC$198,2*(ROWS($J$106:J149)-1)+1),2),0)</f>
        <v>0</v>
      </c>
      <c r="K149" s="52">
        <f>IFERROR(ROUND(INDEX('M03-S03'!$AU$16:$AU$198,2*(ROWS($K$106:K149)-1)+1),2),0)</f>
        <v>0</v>
      </c>
      <c r="M149" s="456">
        <f>INDEX('M03-S03'!$V$16:$V$198,2*(ROWS($M$106:M149)-1)+1)</f>
        <v>0</v>
      </c>
      <c r="N149" s="184" t="str">
        <f>IF(ISNUMBER(INDEX('M03-S03'!$AO$16:$AO$198,2*(ROWS($R$106:R149)-1)+1)),INDEX('M03-S03'!$AK$16:$AK$198,2*(ROWS($N$106:N149)-1)+1),"")</f>
        <v/>
      </c>
      <c r="O149" s="456" t="str">
        <f>IFERROR(IF(ISNUMBER(INDEX('M03-S03'!$AO$16:$AO$198,2*(ROWS($R$106:R149)-1)+1)),INDEX('M03-S03'!$AV$16:$AV$198,2*(ROWS($O$106:O149)-1)+1),""),"")</f>
        <v/>
      </c>
      <c r="P149" s="456" t="str">
        <f>IFERROR(IF(ISNUMBER(INDEX('M03-S03'!$AO$16:$AO$198,2*(ROWS($R$106:R149)-1)+1)),INDEX('M03-S03'!$AY$16:$AY$198,2*(ROWS($O$106:P149)-1)+1),""),"")</f>
        <v/>
      </c>
      <c r="Q149" s="113"/>
      <c r="R149" s="184">
        <f>IF(ISNUMBER(INDEX('M03-S03'!$AO$16:$AO$198,2*(ROWS($R$106:R149)-1)+1)),INDEX('M03-S03'!$AO$16:$AO$198,2*(ROWS($R$106:R149)-1)+1),0)</f>
        <v>0</v>
      </c>
      <c r="S149" s="459"/>
      <c r="T149" s="113"/>
      <c r="U149" s="140"/>
      <c r="V149" s="113"/>
      <c r="W149" s="96">
        <f>IFERROR(IF(NOT(ISNUMBER(INDEX('M03-S03'!$AO$16:$AO$198,2*(ROWS($R$106:R149)-1)+1))),INDEX('M03-S03'!$BC$16:$BC$198,2*(ROWS($R$106:R149)-1)+1),""),"")</f>
        <v>0</v>
      </c>
      <c r="X149" s="113"/>
      <c r="Y149" s="113"/>
      <c r="Z149" s="111">
        <f>INDEX('M03-S03'!$B$16:$B$198,2*(ROWS($Z$106:Z149)-1)+1)</f>
        <v>44</v>
      </c>
      <c r="AA149" s="111" t="str">
        <f>INDEX('M03-S03'!$L$16:$L$199,2*(ROWS($Z$106:AA149)-1)+1)</f>
        <v/>
      </c>
      <c r="AB149" s="111">
        <f>INDEX('M03-S03'!$C$16:$C$198,2*(ROWS($Z$106:AB149)-1)+1)</f>
        <v>0</v>
      </c>
      <c r="AC149" t="str">
        <f>IFERROR(INDEX('M03-S03'!$J$16:$J$199,2*(ROWS(AC$106:AC149)-1)+1)&amp;" "&amp;INDEX('M03-S03'!$L$16:$L$199,2*(ROWS(AC$106:AC149)-1)+1)&amp;", "&amp;INDEX('M03-S03'!$P$16:$P$199,2*(ROWS(AC$106:AC149)-1)+1)&amp;" "&amp;INDEX('M03-S03'!$R$16:$R$199,2*(ROWS(AC$106:AC149)-1)+1),"")</f>
        <v xml:space="preserve"> ,  </v>
      </c>
      <c r="AD149" t="str">
        <f>IFERROR(INDEX('M03-S03'!$J$16:$J$199,2*(ROWS(AD$106:AD149)-1)+1)&amp;" "&amp;ROUND(INDEX('M03-S03'!$N$16:$N$199,2*(ROWS(AD$106:AD149)-1)+1),3),"")&amp;", "&amp;IFERROR(INDEX('M03-S03'!$P$16:$P$199,2*(ROWS(AD$106:AD149)-1)+1)&amp;" "&amp;ROUND(INDEX('M03-S03'!$T$16:$T$199,2*(ROWS(AD$106:AD149)-1)+1),3),"")</f>
        <v xml:space="preserve"> 0,  0</v>
      </c>
      <c r="AE149" s="459"/>
      <c r="AF149" s="459"/>
      <c r="AG149" s="112"/>
      <c r="AH149" s="112"/>
      <c r="AI149" s="112"/>
      <c r="AJ149" s="112"/>
      <c r="AK149" s="113"/>
      <c r="AL149" s="113"/>
      <c r="AM149" s="113"/>
      <c r="AN149" s="113"/>
      <c r="AO149" s="52" t="str">
        <f>IFERROR(INDEX(PMEHVAC[Program Design],MATCH(AB149,PMEHVAC[Eff Desc 1],0)),"")</f>
        <v/>
      </c>
      <c r="AU149"/>
    </row>
    <row r="150" spans="1:47">
      <c r="A150" s="57">
        <f t="shared" si="9"/>
        <v>0</v>
      </c>
      <c r="B150" s="183" t="str">
        <f t="shared" si="10"/>
        <v/>
      </c>
      <c r="C150" t="str">
        <f>IFERROR(IF(R150&gt;0,INDEX(PMEHVAC[Measure '#],MATCH(AB150,PMEHVAC[Eff Desc 1],0)),""),"")</f>
        <v/>
      </c>
      <c r="D150" t="s">
        <v>947</v>
      </c>
      <c r="F150" s="112"/>
      <c r="G150" s="186">
        <f>INDEX('M03-S03'!$N$16:$N$198,2*(ROWS($G$106:G150)-1)+1)</f>
        <v>0</v>
      </c>
      <c r="H150" s="186"/>
      <c r="I150" s="184">
        <f>IFERROR(ROUND(INDEX('M03-S03'!$AA$16:$AA$198,2*(ROWS($I$106:I150)-1)+1),2),0)</f>
        <v>0</v>
      </c>
      <c r="J150" s="184">
        <f>IFERROR(ROUND(INDEX('M03-S03'!$AC$16:$AC$198,2*(ROWS($J$106:J150)-1)+1),2),0)</f>
        <v>0</v>
      </c>
      <c r="K150" s="52">
        <f>IFERROR(ROUND(INDEX('M03-S03'!$AU$16:$AU$198,2*(ROWS($K$106:K150)-1)+1),2),0)</f>
        <v>0</v>
      </c>
      <c r="M150" s="456">
        <f>INDEX('M03-S03'!$V$16:$V$198,2*(ROWS($M$106:M150)-1)+1)</f>
        <v>0</v>
      </c>
      <c r="N150" s="184" t="str">
        <f>IF(ISNUMBER(INDEX('M03-S03'!$AO$16:$AO$198,2*(ROWS($R$106:R150)-1)+1)),INDEX('M03-S03'!$AK$16:$AK$198,2*(ROWS($N$106:N150)-1)+1),"")</f>
        <v/>
      </c>
      <c r="O150" s="456" t="str">
        <f>IFERROR(IF(ISNUMBER(INDEX('M03-S03'!$AO$16:$AO$198,2*(ROWS($R$106:R150)-1)+1)),INDEX('M03-S03'!$AV$16:$AV$198,2*(ROWS($O$106:O150)-1)+1),""),"")</f>
        <v/>
      </c>
      <c r="P150" s="456" t="str">
        <f>IFERROR(IF(ISNUMBER(INDEX('M03-S03'!$AO$16:$AO$198,2*(ROWS($R$106:R150)-1)+1)),INDEX('M03-S03'!$AY$16:$AY$198,2*(ROWS($O$106:P150)-1)+1),""),"")</f>
        <v/>
      </c>
      <c r="Q150" s="113"/>
      <c r="R150" s="184">
        <f>IF(ISNUMBER(INDEX('M03-S03'!$AO$16:$AO$198,2*(ROWS($R$106:R150)-1)+1)),INDEX('M03-S03'!$AO$16:$AO$198,2*(ROWS($R$106:R150)-1)+1),0)</f>
        <v>0</v>
      </c>
      <c r="S150" s="459"/>
      <c r="T150" s="113"/>
      <c r="U150" s="140"/>
      <c r="V150" s="113"/>
      <c r="W150" s="96">
        <f>IFERROR(IF(NOT(ISNUMBER(INDEX('M03-S03'!$AO$16:$AO$198,2*(ROWS($R$106:R150)-1)+1))),INDEX('M03-S03'!$BC$16:$BC$198,2*(ROWS($R$106:R150)-1)+1),""),"")</f>
        <v>0</v>
      </c>
      <c r="X150" s="113"/>
      <c r="Y150" s="113"/>
      <c r="Z150" s="111">
        <f>INDEX('M03-S03'!$B$16:$B$198,2*(ROWS($Z$106:Z150)-1)+1)</f>
        <v>45</v>
      </c>
      <c r="AA150" s="111" t="str">
        <f>INDEX('M03-S03'!$L$16:$L$199,2*(ROWS($Z$106:AA150)-1)+1)</f>
        <v/>
      </c>
      <c r="AB150" s="111">
        <f>INDEX('M03-S03'!$C$16:$C$198,2*(ROWS($Z$106:AB150)-1)+1)</f>
        <v>0</v>
      </c>
      <c r="AC150" t="str">
        <f>IFERROR(INDEX('M03-S03'!$J$16:$J$199,2*(ROWS(AC$106:AC150)-1)+1)&amp;" "&amp;INDEX('M03-S03'!$L$16:$L$199,2*(ROWS(AC$106:AC150)-1)+1)&amp;", "&amp;INDEX('M03-S03'!$P$16:$P$199,2*(ROWS(AC$106:AC150)-1)+1)&amp;" "&amp;INDEX('M03-S03'!$R$16:$R$199,2*(ROWS(AC$106:AC150)-1)+1),"")</f>
        <v xml:space="preserve"> ,  </v>
      </c>
      <c r="AD150" t="str">
        <f>IFERROR(INDEX('M03-S03'!$J$16:$J$199,2*(ROWS(AD$106:AD150)-1)+1)&amp;" "&amp;ROUND(INDEX('M03-S03'!$N$16:$N$199,2*(ROWS(AD$106:AD150)-1)+1),3),"")&amp;", "&amp;IFERROR(INDEX('M03-S03'!$P$16:$P$199,2*(ROWS(AD$106:AD150)-1)+1)&amp;" "&amp;ROUND(INDEX('M03-S03'!$T$16:$T$199,2*(ROWS(AD$106:AD150)-1)+1),3),"")</f>
        <v xml:space="preserve"> 0,  0</v>
      </c>
      <c r="AE150" s="459"/>
      <c r="AF150" s="459"/>
      <c r="AG150" s="112"/>
      <c r="AH150" s="112"/>
      <c r="AI150" s="112"/>
      <c r="AJ150" s="112"/>
      <c r="AK150" s="113"/>
      <c r="AL150" s="113"/>
      <c r="AM150" s="113"/>
      <c r="AN150" s="113"/>
      <c r="AO150" s="52" t="str">
        <f>IFERROR(INDEX(PMEHVAC[Program Design],MATCH(AB150,PMEHVAC[Eff Desc 1],0)),"")</f>
        <v/>
      </c>
      <c r="AU150"/>
    </row>
    <row r="151" spans="1:47">
      <c r="A151" s="57">
        <f t="shared" si="9"/>
        <v>0</v>
      </c>
      <c r="B151" s="183" t="str">
        <f t="shared" si="10"/>
        <v/>
      </c>
      <c r="C151" t="str">
        <f>IFERROR(IF(R151&gt;0,INDEX(PMEHVAC[Measure '#],MATCH(AB151,PMEHVAC[Eff Desc 1],0)),""),"")</f>
        <v/>
      </c>
      <c r="D151" t="s">
        <v>947</v>
      </c>
      <c r="F151" s="112"/>
      <c r="G151" s="186">
        <f>INDEX('M03-S03'!$N$16:$N$198,2*(ROWS($G$106:G151)-1)+1)</f>
        <v>0</v>
      </c>
      <c r="H151" s="186"/>
      <c r="I151" s="184">
        <f>IFERROR(ROUND(INDEX('M03-S03'!$AA$16:$AA$198,2*(ROWS($I$106:I151)-1)+1),2),0)</f>
        <v>0</v>
      </c>
      <c r="J151" s="184">
        <f>IFERROR(ROUND(INDEX('M03-S03'!$AC$16:$AC$198,2*(ROWS($J$106:J151)-1)+1),2),0)</f>
        <v>0</v>
      </c>
      <c r="K151" s="52">
        <f>IFERROR(ROUND(INDEX('M03-S03'!$AU$16:$AU$198,2*(ROWS($K$106:K151)-1)+1),2),0)</f>
        <v>0</v>
      </c>
      <c r="M151" s="456">
        <f>INDEX('M03-S03'!$V$16:$V$198,2*(ROWS($M$106:M151)-1)+1)</f>
        <v>0</v>
      </c>
      <c r="N151" s="184" t="str">
        <f>IF(ISNUMBER(INDEX('M03-S03'!$AO$16:$AO$198,2*(ROWS($R$106:R151)-1)+1)),INDEX('M03-S03'!$AK$16:$AK$198,2*(ROWS($N$106:N151)-1)+1),"")</f>
        <v/>
      </c>
      <c r="O151" s="456" t="str">
        <f>IFERROR(IF(ISNUMBER(INDEX('M03-S03'!$AO$16:$AO$198,2*(ROWS($R$106:R151)-1)+1)),INDEX('M03-S03'!$AV$16:$AV$198,2*(ROWS($O$106:O151)-1)+1),""),"")</f>
        <v/>
      </c>
      <c r="P151" s="456" t="str">
        <f>IFERROR(IF(ISNUMBER(INDEX('M03-S03'!$AO$16:$AO$198,2*(ROWS($R$106:R151)-1)+1)),INDEX('M03-S03'!$AY$16:$AY$198,2*(ROWS($O$106:P151)-1)+1),""),"")</f>
        <v/>
      </c>
      <c r="Q151" s="113"/>
      <c r="R151" s="184">
        <f>IF(ISNUMBER(INDEX('M03-S03'!$AO$16:$AO$198,2*(ROWS($R$106:R151)-1)+1)),INDEX('M03-S03'!$AO$16:$AO$198,2*(ROWS($R$106:R151)-1)+1),0)</f>
        <v>0</v>
      </c>
      <c r="S151" s="459"/>
      <c r="T151" s="113"/>
      <c r="U151" s="140"/>
      <c r="V151" s="113"/>
      <c r="W151" s="96">
        <f>IFERROR(IF(NOT(ISNUMBER(INDEX('M03-S03'!$AO$16:$AO$198,2*(ROWS($R$106:R151)-1)+1))),INDEX('M03-S03'!$BC$16:$BC$198,2*(ROWS($R$106:R151)-1)+1),""),"")</f>
        <v>0</v>
      </c>
      <c r="X151" s="113"/>
      <c r="Y151" s="113"/>
      <c r="Z151" s="111">
        <f>INDEX('M03-S03'!$B$16:$B$198,2*(ROWS($Z$106:Z151)-1)+1)</f>
        <v>46</v>
      </c>
      <c r="AA151" s="111" t="str">
        <f>INDEX('M03-S03'!$L$16:$L$199,2*(ROWS($Z$106:AA151)-1)+1)</f>
        <v/>
      </c>
      <c r="AB151" s="111">
        <f>INDEX('M03-S03'!$C$16:$C$198,2*(ROWS($Z$106:AB151)-1)+1)</f>
        <v>0</v>
      </c>
      <c r="AC151" t="str">
        <f>IFERROR(INDEX('M03-S03'!$J$16:$J$199,2*(ROWS(AC$106:AC151)-1)+1)&amp;" "&amp;INDEX('M03-S03'!$L$16:$L$199,2*(ROWS(AC$106:AC151)-1)+1)&amp;", "&amp;INDEX('M03-S03'!$P$16:$P$199,2*(ROWS(AC$106:AC151)-1)+1)&amp;" "&amp;INDEX('M03-S03'!$R$16:$R$199,2*(ROWS(AC$106:AC151)-1)+1),"")</f>
        <v xml:space="preserve"> ,  </v>
      </c>
      <c r="AD151" t="str">
        <f>IFERROR(INDEX('M03-S03'!$J$16:$J$199,2*(ROWS(AD$106:AD151)-1)+1)&amp;" "&amp;ROUND(INDEX('M03-S03'!$N$16:$N$199,2*(ROWS(AD$106:AD151)-1)+1),3),"")&amp;", "&amp;IFERROR(INDEX('M03-S03'!$P$16:$P$199,2*(ROWS(AD$106:AD151)-1)+1)&amp;" "&amp;ROUND(INDEX('M03-S03'!$T$16:$T$199,2*(ROWS(AD$106:AD151)-1)+1),3),"")</f>
        <v xml:space="preserve"> 0,  0</v>
      </c>
      <c r="AE151" s="459"/>
      <c r="AF151" s="459"/>
      <c r="AG151" s="112"/>
      <c r="AH151" s="112"/>
      <c r="AI151" s="112"/>
      <c r="AJ151" s="112"/>
      <c r="AK151" s="113"/>
      <c r="AL151" s="113"/>
      <c r="AM151" s="113"/>
      <c r="AN151" s="113"/>
      <c r="AO151" s="52" t="str">
        <f>IFERROR(INDEX(PMEHVAC[Program Design],MATCH(AB151,PMEHVAC[Eff Desc 1],0)),"")</f>
        <v/>
      </c>
      <c r="AU151"/>
    </row>
    <row r="152" spans="1:47">
      <c r="A152" s="57">
        <f t="shared" si="9"/>
        <v>0</v>
      </c>
      <c r="B152" s="183" t="str">
        <f t="shared" si="10"/>
        <v/>
      </c>
      <c r="C152" t="str">
        <f>IFERROR(IF(R152&gt;0,INDEX(PMEHVAC[Measure '#],MATCH(AB152,PMEHVAC[Eff Desc 1],0)),""),"")</f>
        <v/>
      </c>
      <c r="D152" t="s">
        <v>947</v>
      </c>
      <c r="F152" s="112"/>
      <c r="G152" s="186">
        <f>INDEX('M03-S03'!$N$16:$N$198,2*(ROWS($G$106:G152)-1)+1)</f>
        <v>0</v>
      </c>
      <c r="H152" s="186"/>
      <c r="I152" s="184">
        <f>IFERROR(ROUND(INDEX('M03-S03'!$AA$16:$AA$198,2*(ROWS($I$106:I152)-1)+1),2),0)</f>
        <v>0</v>
      </c>
      <c r="J152" s="184">
        <f>IFERROR(ROUND(INDEX('M03-S03'!$AC$16:$AC$198,2*(ROWS($J$106:J152)-1)+1),2),0)</f>
        <v>0</v>
      </c>
      <c r="K152" s="52">
        <f>IFERROR(ROUND(INDEX('M03-S03'!$AU$16:$AU$198,2*(ROWS($K$106:K152)-1)+1),2),0)</f>
        <v>0</v>
      </c>
      <c r="M152" s="456">
        <f>INDEX('M03-S03'!$V$16:$V$198,2*(ROWS($M$106:M152)-1)+1)</f>
        <v>0</v>
      </c>
      <c r="N152" s="184" t="str">
        <f>IF(ISNUMBER(INDEX('M03-S03'!$AO$16:$AO$198,2*(ROWS($R$106:R152)-1)+1)),INDEX('M03-S03'!$AK$16:$AK$198,2*(ROWS($N$106:N152)-1)+1),"")</f>
        <v/>
      </c>
      <c r="O152" s="456" t="str">
        <f>IFERROR(IF(ISNUMBER(INDEX('M03-S03'!$AO$16:$AO$198,2*(ROWS($R$106:R152)-1)+1)),INDEX('M03-S03'!$AV$16:$AV$198,2*(ROWS($O$106:O152)-1)+1),""),"")</f>
        <v/>
      </c>
      <c r="P152" s="456" t="str">
        <f>IFERROR(IF(ISNUMBER(INDEX('M03-S03'!$AO$16:$AO$198,2*(ROWS($R$106:R152)-1)+1)),INDEX('M03-S03'!$AY$16:$AY$198,2*(ROWS($O$106:P152)-1)+1),""),"")</f>
        <v/>
      </c>
      <c r="Q152" s="113"/>
      <c r="R152" s="184">
        <f>IF(ISNUMBER(INDEX('M03-S03'!$AO$16:$AO$198,2*(ROWS($R$106:R152)-1)+1)),INDEX('M03-S03'!$AO$16:$AO$198,2*(ROWS($R$106:R152)-1)+1),0)</f>
        <v>0</v>
      </c>
      <c r="S152" s="459"/>
      <c r="T152" s="113"/>
      <c r="U152" s="140"/>
      <c r="V152" s="113"/>
      <c r="W152" s="96">
        <f>IFERROR(IF(NOT(ISNUMBER(INDEX('M03-S03'!$AO$16:$AO$198,2*(ROWS($R$106:R152)-1)+1))),INDEX('M03-S03'!$BC$16:$BC$198,2*(ROWS($R$106:R152)-1)+1),""),"")</f>
        <v>0</v>
      </c>
      <c r="X152" s="113"/>
      <c r="Y152" s="113"/>
      <c r="Z152" s="111">
        <f>INDEX('M03-S03'!$B$16:$B$198,2*(ROWS($Z$106:Z152)-1)+1)</f>
        <v>47</v>
      </c>
      <c r="AA152" s="111" t="str">
        <f>INDEX('M03-S03'!$L$16:$L$199,2*(ROWS($Z$106:AA152)-1)+1)</f>
        <v/>
      </c>
      <c r="AB152" s="111">
        <f>INDEX('M03-S03'!$C$16:$C$198,2*(ROWS($Z$106:AB152)-1)+1)</f>
        <v>0</v>
      </c>
      <c r="AC152" t="str">
        <f>IFERROR(INDEX('M03-S03'!$J$16:$J$199,2*(ROWS(AC$106:AC152)-1)+1)&amp;" "&amp;INDEX('M03-S03'!$L$16:$L$199,2*(ROWS(AC$106:AC152)-1)+1)&amp;", "&amp;INDEX('M03-S03'!$P$16:$P$199,2*(ROWS(AC$106:AC152)-1)+1)&amp;" "&amp;INDEX('M03-S03'!$R$16:$R$199,2*(ROWS(AC$106:AC152)-1)+1),"")</f>
        <v xml:space="preserve"> ,  </v>
      </c>
      <c r="AD152" t="str">
        <f>IFERROR(INDEX('M03-S03'!$J$16:$J$199,2*(ROWS(AD$106:AD152)-1)+1)&amp;" "&amp;ROUND(INDEX('M03-S03'!$N$16:$N$199,2*(ROWS(AD$106:AD152)-1)+1),3),"")&amp;", "&amp;IFERROR(INDEX('M03-S03'!$P$16:$P$199,2*(ROWS(AD$106:AD152)-1)+1)&amp;" "&amp;ROUND(INDEX('M03-S03'!$T$16:$T$199,2*(ROWS(AD$106:AD152)-1)+1),3),"")</f>
        <v xml:space="preserve"> 0,  0</v>
      </c>
      <c r="AE152" s="459"/>
      <c r="AF152" s="459"/>
      <c r="AG152" s="112"/>
      <c r="AH152" s="112"/>
      <c r="AI152" s="112"/>
      <c r="AJ152" s="112"/>
      <c r="AK152" s="113"/>
      <c r="AL152" s="113"/>
      <c r="AM152" s="113"/>
      <c r="AN152" s="113"/>
      <c r="AO152" s="52" t="str">
        <f>IFERROR(INDEX(PMEHVAC[Program Design],MATCH(AB152,PMEHVAC[Eff Desc 1],0)),"")</f>
        <v/>
      </c>
      <c r="AU152"/>
    </row>
    <row r="153" spans="1:47">
      <c r="A153" s="57">
        <f t="shared" si="9"/>
        <v>0</v>
      </c>
      <c r="B153" s="183" t="str">
        <f t="shared" si="10"/>
        <v/>
      </c>
      <c r="C153" t="str">
        <f>IFERROR(IF(R153&gt;0,INDEX(PMEHVAC[Measure '#],MATCH(AB153,PMEHVAC[Eff Desc 1],0)),""),"")</f>
        <v/>
      </c>
      <c r="D153" t="s">
        <v>947</v>
      </c>
      <c r="F153" s="112"/>
      <c r="G153" s="186">
        <f>INDEX('M03-S03'!$N$16:$N$198,2*(ROWS($G$106:G153)-1)+1)</f>
        <v>0</v>
      </c>
      <c r="H153" s="186"/>
      <c r="I153" s="184">
        <f>IFERROR(ROUND(INDEX('M03-S03'!$AA$16:$AA$198,2*(ROWS($I$106:I153)-1)+1),2),0)</f>
        <v>0</v>
      </c>
      <c r="J153" s="184">
        <f>IFERROR(ROUND(INDEX('M03-S03'!$AC$16:$AC$198,2*(ROWS($J$106:J153)-1)+1),2),0)</f>
        <v>0</v>
      </c>
      <c r="K153" s="52">
        <f>IFERROR(ROUND(INDEX('M03-S03'!$AU$16:$AU$198,2*(ROWS($K$106:K153)-1)+1),2),0)</f>
        <v>0</v>
      </c>
      <c r="M153" s="456">
        <f>INDEX('M03-S03'!$V$16:$V$198,2*(ROWS($M$106:M153)-1)+1)</f>
        <v>0</v>
      </c>
      <c r="N153" s="184" t="str">
        <f>IF(ISNUMBER(INDEX('M03-S03'!$AO$16:$AO$198,2*(ROWS($R$106:R153)-1)+1)),INDEX('M03-S03'!$AK$16:$AK$198,2*(ROWS($N$106:N153)-1)+1),"")</f>
        <v/>
      </c>
      <c r="O153" s="456" t="str">
        <f>IFERROR(IF(ISNUMBER(INDEX('M03-S03'!$AO$16:$AO$198,2*(ROWS($R$106:R153)-1)+1)),INDEX('M03-S03'!$AV$16:$AV$198,2*(ROWS($O$106:O153)-1)+1),""),"")</f>
        <v/>
      </c>
      <c r="P153" s="456" t="str">
        <f>IFERROR(IF(ISNUMBER(INDEX('M03-S03'!$AO$16:$AO$198,2*(ROWS($R$106:R153)-1)+1)),INDEX('M03-S03'!$AY$16:$AY$198,2*(ROWS($O$106:P153)-1)+1),""),"")</f>
        <v/>
      </c>
      <c r="Q153" s="113"/>
      <c r="R153" s="184">
        <f>IF(ISNUMBER(INDEX('M03-S03'!$AO$16:$AO$198,2*(ROWS($R$106:R153)-1)+1)),INDEX('M03-S03'!$AO$16:$AO$198,2*(ROWS($R$106:R153)-1)+1),0)</f>
        <v>0</v>
      </c>
      <c r="S153" s="459"/>
      <c r="T153" s="113"/>
      <c r="U153" s="140"/>
      <c r="V153" s="113"/>
      <c r="W153" s="96">
        <f>IFERROR(IF(NOT(ISNUMBER(INDEX('M03-S03'!$AO$16:$AO$198,2*(ROWS($R$106:R153)-1)+1))),INDEX('M03-S03'!$BC$16:$BC$198,2*(ROWS($R$106:R153)-1)+1),""),"")</f>
        <v>0</v>
      </c>
      <c r="X153" s="113"/>
      <c r="Y153" s="113"/>
      <c r="Z153" s="111">
        <f>INDEX('M03-S03'!$B$16:$B$198,2*(ROWS($Z$106:Z153)-1)+1)</f>
        <v>48</v>
      </c>
      <c r="AA153" s="111" t="str">
        <f>INDEX('M03-S03'!$L$16:$L$199,2*(ROWS($Z$106:AA153)-1)+1)</f>
        <v/>
      </c>
      <c r="AB153" s="111">
        <f>INDEX('M03-S03'!$C$16:$C$198,2*(ROWS($Z$106:AB153)-1)+1)</f>
        <v>0</v>
      </c>
      <c r="AC153" t="str">
        <f>IFERROR(INDEX('M03-S03'!$J$16:$J$199,2*(ROWS(AC$106:AC153)-1)+1)&amp;" "&amp;INDEX('M03-S03'!$L$16:$L$199,2*(ROWS(AC$106:AC153)-1)+1)&amp;", "&amp;INDEX('M03-S03'!$P$16:$P$199,2*(ROWS(AC$106:AC153)-1)+1)&amp;" "&amp;INDEX('M03-S03'!$R$16:$R$199,2*(ROWS(AC$106:AC153)-1)+1),"")</f>
        <v xml:space="preserve"> ,  </v>
      </c>
      <c r="AD153" t="str">
        <f>IFERROR(INDEX('M03-S03'!$J$16:$J$199,2*(ROWS(AD$106:AD153)-1)+1)&amp;" "&amp;ROUND(INDEX('M03-S03'!$N$16:$N$199,2*(ROWS(AD$106:AD153)-1)+1),3),"")&amp;", "&amp;IFERROR(INDEX('M03-S03'!$P$16:$P$199,2*(ROWS(AD$106:AD153)-1)+1)&amp;" "&amp;ROUND(INDEX('M03-S03'!$T$16:$T$199,2*(ROWS(AD$106:AD153)-1)+1),3),"")</f>
        <v xml:space="preserve"> 0,  0</v>
      </c>
      <c r="AE153" s="459"/>
      <c r="AF153" s="459"/>
      <c r="AG153" s="112"/>
      <c r="AH153" s="112"/>
      <c r="AI153" s="112"/>
      <c r="AJ153" s="112"/>
      <c r="AK153" s="113"/>
      <c r="AL153" s="113"/>
      <c r="AM153" s="113"/>
      <c r="AN153" s="113"/>
      <c r="AO153" s="52" t="str">
        <f>IFERROR(INDEX(PMEHVAC[Program Design],MATCH(AB153,PMEHVAC[Eff Desc 1],0)),"")</f>
        <v/>
      </c>
      <c r="AU153"/>
    </row>
    <row r="154" spans="1:47">
      <c r="A154" s="57">
        <f t="shared" si="9"/>
        <v>0</v>
      </c>
      <c r="B154" s="183" t="str">
        <f t="shared" si="10"/>
        <v/>
      </c>
      <c r="C154" t="str">
        <f>IFERROR(IF(R154&gt;0,INDEX(PMEHVAC[Measure '#],MATCH(AB154,PMEHVAC[Eff Desc 1],0)),""),"")</f>
        <v/>
      </c>
      <c r="D154" t="s">
        <v>947</v>
      </c>
      <c r="F154" s="112"/>
      <c r="G154" s="186">
        <f>INDEX('M03-S03'!$N$16:$N$198,2*(ROWS($G$106:G154)-1)+1)</f>
        <v>0</v>
      </c>
      <c r="H154" s="186"/>
      <c r="I154" s="184">
        <f>IFERROR(ROUND(INDEX('M03-S03'!$AA$16:$AA$198,2*(ROWS($I$106:I154)-1)+1),2),0)</f>
        <v>0</v>
      </c>
      <c r="J154" s="184">
        <f>IFERROR(ROUND(INDEX('M03-S03'!$AC$16:$AC$198,2*(ROWS($J$106:J154)-1)+1),2),0)</f>
        <v>0</v>
      </c>
      <c r="K154" s="52">
        <f>IFERROR(ROUND(INDEX('M03-S03'!$AU$16:$AU$198,2*(ROWS($K$106:K154)-1)+1),2),0)</f>
        <v>0</v>
      </c>
      <c r="M154" s="456">
        <f>INDEX('M03-S03'!$V$16:$V$198,2*(ROWS($M$106:M154)-1)+1)</f>
        <v>0</v>
      </c>
      <c r="N154" s="184" t="str">
        <f>IF(ISNUMBER(INDEX('M03-S03'!$AO$16:$AO$198,2*(ROWS($R$106:R154)-1)+1)),INDEX('M03-S03'!$AK$16:$AK$198,2*(ROWS($N$106:N154)-1)+1),"")</f>
        <v/>
      </c>
      <c r="O154" s="456" t="str">
        <f>IFERROR(IF(ISNUMBER(INDEX('M03-S03'!$AO$16:$AO$198,2*(ROWS($R$106:R154)-1)+1)),INDEX('M03-S03'!$AV$16:$AV$198,2*(ROWS($O$106:O154)-1)+1),""),"")</f>
        <v/>
      </c>
      <c r="P154" s="456" t="str">
        <f>IFERROR(IF(ISNUMBER(INDEX('M03-S03'!$AO$16:$AO$198,2*(ROWS($R$106:R154)-1)+1)),INDEX('M03-S03'!$AY$16:$AY$198,2*(ROWS($O$106:P154)-1)+1),""),"")</f>
        <v/>
      </c>
      <c r="Q154" s="113"/>
      <c r="R154" s="184">
        <f>IF(ISNUMBER(INDEX('M03-S03'!$AO$16:$AO$198,2*(ROWS($R$106:R154)-1)+1)),INDEX('M03-S03'!$AO$16:$AO$198,2*(ROWS($R$106:R154)-1)+1),0)</f>
        <v>0</v>
      </c>
      <c r="S154" s="459"/>
      <c r="T154" s="113"/>
      <c r="U154" s="140"/>
      <c r="V154" s="113"/>
      <c r="W154" s="96">
        <f>IFERROR(IF(NOT(ISNUMBER(INDEX('M03-S03'!$AO$16:$AO$198,2*(ROWS($R$106:R154)-1)+1))),INDEX('M03-S03'!$BC$16:$BC$198,2*(ROWS($R$106:R154)-1)+1),""),"")</f>
        <v>0</v>
      </c>
      <c r="X154" s="113"/>
      <c r="Y154" s="113"/>
      <c r="Z154" s="111">
        <f>INDEX('M03-S03'!$B$16:$B$198,2*(ROWS($Z$106:Z154)-1)+1)</f>
        <v>49</v>
      </c>
      <c r="AA154" s="111" t="str">
        <f>INDEX('M03-S03'!$L$16:$L$199,2*(ROWS($Z$106:AA154)-1)+1)</f>
        <v/>
      </c>
      <c r="AB154" s="111">
        <f>INDEX('M03-S03'!$C$16:$C$198,2*(ROWS($Z$106:AB154)-1)+1)</f>
        <v>0</v>
      </c>
      <c r="AC154" t="str">
        <f>IFERROR(INDEX('M03-S03'!$J$16:$J$199,2*(ROWS(AC$106:AC154)-1)+1)&amp;" "&amp;INDEX('M03-S03'!$L$16:$L$199,2*(ROWS(AC$106:AC154)-1)+1)&amp;", "&amp;INDEX('M03-S03'!$P$16:$P$199,2*(ROWS(AC$106:AC154)-1)+1)&amp;" "&amp;INDEX('M03-S03'!$R$16:$R$199,2*(ROWS(AC$106:AC154)-1)+1),"")</f>
        <v xml:space="preserve"> ,  </v>
      </c>
      <c r="AD154" t="str">
        <f>IFERROR(INDEX('M03-S03'!$J$16:$J$199,2*(ROWS(AD$106:AD154)-1)+1)&amp;" "&amp;ROUND(INDEX('M03-S03'!$N$16:$N$199,2*(ROWS(AD$106:AD154)-1)+1),3),"")&amp;", "&amp;IFERROR(INDEX('M03-S03'!$P$16:$P$199,2*(ROWS(AD$106:AD154)-1)+1)&amp;" "&amp;ROUND(INDEX('M03-S03'!$T$16:$T$199,2*(ROWS(AD$106:AD154)-1)+1),3),"")</f>
        <v xml:space="preserve"> 0,  0</v>
      </c>
      <c r="AE154" s="459"/>
      <c r="AF154" s="459"/>
      <c r="AG154" s="112"/>
      <c r="AH154" s="112"/>
      <c r="AI154" s="112"/>
      <c r="AJ154" s="112"/>
      <c r="AK154" s="113"/>
      <c r="AL154" s="113"/>
      <c r="AM154" s="113"/>
      <c r="AN154" s="113"/>
      <c r="AO154" s="52" t="str">
        <f>IFERROR(INDEX(PMEHVAC[Program Design],MATCH(AB154,PMEHVAC[Eff Desc 1],0)),"")</f>
        <v/>
      </c>
      <c r="AU154"/>
    </row>
    <row r="155" spans="1:47">
      <c r="A155" s="57">
        <f t="shared" si="9"/>
        <v>0</v>
      </c>
      <c r="B155" s="183" t="str">
        <f t="shared" ref="B155" si="12">IF(C155="","",CONCATENATE(ROW(),"-",C155))</f>
        <v/>
      </c>
      <c r="C155" t="str">
        <f>IFERROR(IF(R155&gt;0,INDEX(PMEHVAC[Measure '#],MATCH(AB155,PMEHVAC[Eff Desc 1],0)),""),"")</f>
        <v/>
      </c>
      <c r="D155" t="s">
        <v>947</v>
      </c>
      <c r="F155" s="112"/>
      <c r="G155" s="186">
        <f>INDEX('M03-S03'!$N$16:$N$198,2*(ROWS($G$106:G155)-1)+1)</f>
        <v>0</v>
      </c>
      <c r="H155" s="186"/>
      <c r="I155" s="184">
        <f>IFERROR(ROUND(INDEX('M03-S03'!$AA$16:$AA$198,2*(ROWS($I$106:I155)-1)+1),2),0)</f>
        <v>0</v>
      </c>
      <c r="J155" s="184">
        <f>IFERROR(ROUND(INDEX('M03-S03'!$AC$16:$AC$198,2*(ROWS($J$106:J155)-1)+1),2),0)</f>
        <v>0</v>
      </c>
      <c r="K155" s="52">
        <f>IFERROR(ROUND(INDEX('M03-S03'!$AU$16:$AU$198,2*(ROWS($K$106:K155)-1)+1),2),0)</f>
        <v>0</v>
      </c>
      <c r="M155" s="456">
        <f>INDEX('M03-S03'!$V$16:$V$198,2*(ROWS($M$106:M155)-1)+1)</f>
        <v>0</v>
      </c>
      <c r="N155" s="184" t="str">
        <f>IF(ISNUMBER(INDEX('M03-S03'!$AO$16:$AO$198,2*(ROWS($R$106:R155)-1)+1)),INDEX('M03-S03'!$AK$16:$AK$198,2*(ROWS($N$106:N155)-1)+1),"")</f>
        <v/>
      </c>
      <c r="O155" s="456" t="str">
        <f>IFERROR(IF(ISNUMBER(INDEX('M03-S03'!$AO$16:$AO$198,2*(ROWS($R$106:R155)-1)+1)),INDEX('M03-S03'!$AV$16:$AV$198,2*(ROWS($O$106:O155)-1)+1),""),"")</f>
        <v/>
      </c>
      <c r="P155" s="456" t="str">
        <f>IFERROR(IF(ISNUMBER(INDEX('M03-S03'!$AO$16:$AO$198,2*(ROWS($R$106:R155)-1)+1)),INDEX('M03-S03'!$AY$16:$AY$198,2*(ROWS($O$106:P155)-1)+1),""),"")</f>
        <v/>
      </c>
      <c r="Q155" s="113"/>
      <c r="R155" s="184">
        <f>IF(ISNUMBER(INDEX('M03-S03'!$AO$16:$AO$198,2*(ROWS($R$106:R155)-1)+1)),INDEX('M03-S03'!$AO$16:$AO$198,2*(ROWS($R$106:R155)-1)+1),0)</f>
        <v>0</v>
      </c>
      <c r="S155" s="459"/>
      <c r="T155" s="113"/>
      <c r="U155" s="140"/>
      <c r="V155" s="113"/>
      <c r="W155" s="96">
        <f>IFERROR(IF(NOT(ISNUMBER(INDEX('M03-S03'!$AO$16:$AO$198,2*(ROWS($R$106:R155)-1)+1))),INDEX('M03-S03'!$BC$16:$BC$198,2*(ROWS($R$106:R155)-1)+1),""),"")</f>
        <v>0</v>
      </c>
      <c r="X155" s="113"/>
      <c r="Y155" s="113"/>
      <c r="Z155" s="111">
        <f>INDEX('M03-S03'!$B$16:$B$198,2*(ROWS($Z$106:Z155)-1)+1)</f>
        <v>50</v>
      </c>
      <c r="AA155" s="111" t="str">
        <f>INDEX('M03-S03'!$L$16:$L$199,2*(ROWS($Z$106:AA155)-1)+1)</f>
        <v/>
      </c>
      <c r="AB155" s="111">
        <f>INDEX('M03-S03'!$C$16:$C$198,2*(ROWS($Z$106:AB155)-1)+1)</f>
        <v>0</v>
      </c>
      <c r="AC155" t="str">
        <f>IFERROR(INDEX('M03-S03'!$J$16:$J$199,2*(ROWS(AC$106:AC155)-1)+1)&amp;" "&amp;INDEX('M03-S03'!$L$16:$L$199,2*(ROWS(AC$106:AC155)-1)+1)&amp;", "&amp;INDEX('M03-S03'!$P$16:$P$199,2*(ROWS(AC$106:AC155)-1)+1)&amp;" "&amp;INDEX('M03-S03'!$R$16:$R$199,2*(ROWS(AC$106:AC155)-1)+1),"")</f>
        <v xml:space="preserve"> ,  </v>
      </c>
      <c r="AD155" t="str">
        <f>IFERROR(INDEX('M03-S03'!$J$16:$J$199,2*(ROWS(AD$106:AD155)-1)+1)&amp;" "&amp;ROUND(INDEX('M03-S03'!$N$16:$N$199,2*(ROWS(AD$106:AD155)-1)+1),3),"")&amp;", "&amp;IFERROR(INDEX('M03-S03'!$P$16:$P$199,2*(ROWS(AD$106:AD155)-1)+1)&amp;" "&amp;ROUND(INDEX('M03-S03'!$T$16:$T$199,2*(ROWS(AD$106:AD155)-1)+1),3),"")</f>
        <v xml:space="preserve"> 0,  0</v>
      </c>
      <c r="AE155" s="459"/>
      <c r="AF155" s="459"/>
      <c r="AG155" s="112"/>
      <c r="AH155" s="112"/>
      <c r="AI155" s="112"/>
      <c r="AJ155" s="112"/>
      <c r="AK155" s="113"/>
      <c r="AL155" s="113"/>
      <c r="AM155" s="113"/>
      <c r="AN155" s="113"/>
      <c r="AO155" s="52" t="str">
        <f>IFERROR(INDEX(PMEHVAC[Program Design],MATCH(AB155,PMEHVAC[Eff Desc 1],0)),"")</f>
        <v/>
      </c>
      <c r="AU155"/>
    </row>
    <row r="156" spans="1:47">
      <c r="A156" s="146" t="str">
        <f>CONCATENATE(MAIN3," ",M3S4)</f>
        <v>PRESCRIPTIVE MEASURES INPUT Refrigeration</v>
      </c>
      <c r="B156" s="148"/>
      <c r="C156" s="148"/>
      <c r="D156" s="120"/>
      <c r="E156" s="120"/>
      <c r="F156" s="124"/>
      <c r="G156" s="120"/>
      <c r="H156" s="120"/>
      <c r="I156" s="125"/>
      <c r="J156" s="125"/>
      <c r="K156" s="125"/>
      <c r="L156" s="125"/>
      <c r="M156" s="457"/>
      <c r="N156" s="125"/>
      <c r="O156" s="457"/>
      <c r="P156" s="125"/>
      <c r="Q156" s="125"/>
      <c r="R156" s="125"/>
      <c r="S156" s="460"/>
      <c r="T156" s="127"/>
      <c r="U156" s="141"/>
      <c r="V156" s="127"/>
      <c r="W156" s="126"/>
      <c r="X156" s="127"/>
      <c r="Y156" s="127"/>
      <c r="Z156" s="124"/>
      <c r="AA156" s="124"/>
      <c r="AB156" s="124"/>
      <c r="AC156" s="126"/>
      <c r="AD156" s="120"/>
      <c r="AE156" s="457"/>
      <c r="AF156" s="457"/>
      <c r="AG156" s="128"/>
      <c r="AH156" s="128"/>
      <c r="AI156" s="128"/>
      <c r="AJ156" s="128"/>
      <c r="AK156" s="127"/>
      <c r="AL156" s="127"/>
      <c r="AM156" s="127"/>
      <c r="AN156" s="127"/>
      <c r="AO156" s="127"/>
      <c r="AU156"/>
    </row>
    <row r="157" spans="1:47">
      <c r="A157" s="57">
        <f t="shared" ref="A157:A172" si="13">PROJID</f>
        <v>0</v>
      </c>
      <c r="B157" s="183" t="str">
        <f t="shared" ref="B157:B168" si="14">IF(C157="","",CONCATENATE(ROW(),"-",C157))</f>
        <v/>
      </c>
      <c r="C157" t="str">
        <f>IFERROR(IF(R157&gt;0,INDEX(PMEREFRI[Measure '#],MATCH(AB157,PMEREFRI[Eff Desc 1],0)),""),"")</f>
        <v/>
      </c>
      <c r="D157" t="s">
        <v>947</v>
      </c>
      <c r="F157" s="112"/>
      <c r="G157" s="186">
        <f>INDEX('M03-S04'!$AB$16:$AB$198,2*(ROWS($G$157:G157)-1)+1)</f>
        <v>0</v>
      </c>
      <c r="H157" s="186" t="str">
        <f>IF(ISNUMBER(INDEX('M03-S04'!$AN$16:$AN$198,2*(ROWS($R$157:R157)-1)+1)),"Total","")</f>
        <v/>
      </c>
      <c r="I157" s="184">
        <f>IFERROR(ROUND(INDEX('M03-S04'!$AE$16:$AE$198,2*(ROWS($I$157:I157)-1)+1),2),0)</f>
        <v>0</v>
      </c>
      <c r="J157" s="184">
        <f>IFERROR(ROUND(INDEX('M03-S04'!$AG$16:$AG$198,2*(ROWS($J$157:J157)-1)+1),2),0)</f>
        <v>0</v>
      </c>
      <c r="K157" s="52">
        <f>IFERROR(ROUND(INDEX('M03-S04'!$AU$16:$AU$198,2*(ROWS($K$157:K157)-1)+1),2),0)</f>
        <v>0</v>
      </c>
      <c r="L157" s="52" t="str">
        <f>IFERROR(IF(R157&gt;0,M157*INDEX(PMEREFRI[Incremental Cost],MATCH(AB157,PMEREFRI[Eff Desc 1],0)),""),"")</f>
        <v/>
      </c>
      <c r="M157" s="456">
        <f>INDEX('M03-S04'!$V$16:$V$198,2*(ROWS($M$157:M157)-1)+1)</f>
        <v>0</v>
      </c>
      <c r="N157" s="184" t="str">
        <f>IF(ISNUMBER(INDEX('M03-S04'!$AN$16:$AN$198,2*(ROWS($R$157:R157)-1)+1)),INDEX('M03-S04'!$AK$16:$AK$198,2*(ROWS($N$157:N157)-1)+1),"")</f>
        <v/>
      </c>
      <c r="O157" s="456" t="str">
        <f>IFERROR(IF(ISNUMBER(INDEX('M03-S04'!$AN$16:$AN$198,2*(ROWS($R$157:R157)-1)+1)),INDEX('M03-S04'!$AV$16:$AV$198,2*(ROWS($O$157:O157)-1)+1),""),"")</f>
        <v/>
      </c>
      <c r="P157" s="113"/>
      <c r="Q157" s="113"/>
      <c r="R157" s="184">
        <f>IF(ISNUMBER(INDEX('M03-S04'!$AN$16:$AN$198,2*(ROWS($R$157:R157)-1)+1)),INDEX('M03-S04'!$AN$16:$AN$198,2*(ROWS($R$157:R157)-1)+1),0)</f>
        <v>0</v>
      </c>
      <c r="S157" s="459"/>
      <c r="T157" s="113"/>
      <c r="U157" s="140"/>
      <c r="V157" s="113"/>
      <c r="W157" s="96" t="str">
        <f>IFERROR(IF(NOT(ISNUMBER(INDEX('M03-S04'!$AN$16:$AN$198,2*(ROWS($R$157:R157)-1)+1))),INDEX('M03-S04'!$BC$16:$BC$198,2*(ROWS($R$157:R157)-1)+1),""),"")</f>
        <v/>
      </c>
      <c r="X157" s="113"/>
      <c r="Y157" s="113"/>
      <c r="Z157" s="111">
        <f>INDEX('M03-S04'!$B$16:$B$198,2*(ROWS($Z$157:Z157)-1)+1)</f>
        <v>1</v>
      </c>
      <c r="AA157" s="111" t="str">
        <f>INDEX('M03-S04'!$N$16:$N$198,2*(ROWS($Z$157:AA157)-1)+1)</f>
        <v/>
      </c>
      <c r="AB157" s="111">
        <f>INDEX('M03-S04'!$C$16:$C$198,2*(ROWS($Z$157:AB157)-1)+1)</f>
        <v>0</v>
      </c>
      <c r="AC157" s="96"/>
      <c r="AD157">
        <f>INDEX('M03-S04'!$X$16:$X$198,2*(ROWS($AD$157:AD157)-1)+1)</f>
        <v>0</v>
      </c>
      <c r="AE157" s="459"/>
      <c r="AF157" s="459"/>
      <c r="AG157" s="112"/>
      <c r="AH157" s="112"/>
      <c r="AI157" s="112"/>
      <c r="AJ157" s="112"/>
      <c r="AK157" s="113"/>
      <c r="AL157" s="113"/>
      <c r="AM157" s="113"/>
      <c r="AN157" s="113"/>
      <c r="AO157" s="52" t="str">
        <f>IFERROR(INDEX(PMEREFRI[Program Design],MATCH(AB157,PMEREFRI[Eff Desc 1],0)),"")</f>
        <v/>
      </c>
      <c r="AU157"/>
    </row>
    <row r="158" spans="1:47">
      <c r="A158" s="57">
        <f t="shared" si="13"/>
        <v>0</v>
      </c>
      <c r="B158" s="183" t="str">
        <f t="shared" si="14"/>
        <v/>
      </c>
      <c r="C158" t="str">
        <f>IFERROR(IF(R158&gt;0,INDEX(PMEREFRI[Measure '#],MATCH(AB158,PMEREFRI[Eff Desc 1],0)),""),"")</f>
        <v/>
      </c>
      <c r="D158" t="s">
        <v>947</v>
      </c>
      <c r="F158" s="112"/>
      <c r="G158" s="186">
        <f>INDEX('M03-S04'!$AB$16:$AB$198,2*(ROWS($G$157:G158)-1)+1)</f>
        <v>0</v>
      </c>
      <c r="H158" s="186" t="str">
        <f>IF(ISNUMBER(INDEX('M03-S04'!$AN$16:$AN$198,2*(ROWS($R$157:R158)-1)+1)),"Total","")</f>
        <v/>
      </c>
      <c r="I158" s="184">
        <f>IFERROR(ROUND(INDEX('M03-S04'!$AE$16:$AE$198,2*(ROWS($I$157:I158)-1)+1),2),0)</f>
        <v>0</v>
      </c>
      <c r="J158" s="184">
        <f>IFERROR(ROUND(INDEX('M03-S04'!$AG$16:$AG$198,2*(ROWS($J$157:J158)-1)+1),2),0)</f>
        <v>0</v>
      </c>
      <c r="K158" s="52">
        <f>IFERROR(ROUND(INDEX('M03-S04'!$AU$16:$AU$198,2*(ROWS($K$157:K158)-1)+1),2),0)</f>
        <v>0</v>
      </c>
      <c r="L158" s="52" t="str">
        <f>IFERROR(IF(R158&gt;0,M158*INDEX(PMEREFRI[Incremental Cost],MATCH(AB158,PMEREFRI[Eff Desc 1],0)),""),"")</f>
        <v/>
      </c>
      <c r="M158" s="456">
        <f>INDEX('M03-S04'!$V$16:$V$198,2*(ROWS($M$157:M158)-1)+1)</f>
        <v>0</v>
      </c>
      <c r="N158" s="184" t="str">
        <f>IF(ISNUMBER(INDEX('M03-S04'!$AN$16:$AN$198,2*(ROWS($R$157:R158)-1)+1)),INDEX('M03-S04'!$AK$16:$AK$198,2*(ROWS($N$157:N158)-1)+1),"")</f>
        <v/>
      </c>
      <c r="O158" s="456" t="str">
        <f>IFERROR(IF(ISNUMBER(INDEX('M03-S04'!$AN$16:$AN$198,2*(ROWS($R$157:R158)-1)+1)),INDEX('M03-S04'!$AV$16:$AV$198,2*(ROWS($O$157:O158)-1)+1),""),"")</f>
        <v/>
      </c>
      <c r="P158" s="113"/>
      <c r="Q158" s="113"/>
      <c r="R158" s="184">
        <f>IF(ISNUMBER(INDEX('M03-S04'!$AN$16:$AN$198,2*(ROWS($R$157:R158)-1)+1)),INDEX('M03-S04'!$AN$16:$AN$198,2*(ROWS($R$157:R158)-1)+1),0)</f>
        <v>0</v>
      </c>
      <c r="S158" s="459"/>
      <c r="T158" s="113"/>
      <c r="U158" s="140"/>
      <c r="V158" s="113"/>
      <c r="W158" s="96" t="str">
        <f>IFERROR(IF(NOT(ISNUMBER(INDEX('M03-S04'!$AN$16:$AN$198,2*(ROWS($R$157:R158)-1)+1))),INDEX('M03-S04'!$BC$16:$BC$198,2*(ROWS($R$157:R158)-1)+1),""),"")</f>
        <v/>
      </c>
      <c r="X158" s="113"/>
      <c r="Y158" s="113"/>
      <c r="Z158" s="111">
        <f>INDEX('M03-S04'!$B$16:$B$198,2*(ROWS($Z$157:Z158)-1)+1)</f>
        <v>2</v>
      </c>
      <c r="AA158" s="111" t="str">
        <f>INDEX('M03-S04'!$N$16:$N$198,2*(ROWS($Z$157:AA158)-1)+1)</f>
        <v/>
      </c>
      <c r="AB158" s="111">
        <f>INDEX('M03-S04'!$C$16:$C$198,2*(ROWS($Z$157:AB158)-1)+1)</f>
        <v>0</v>
      </c>
      <c r="AC158" s="96"/>
      <c r="AD158">
        <f>INDEX('M03-S04'!$X$16:$X$198,2*(ROWS($AD$157:AD158)-1)+1)</f>
        <v>0</v>
      </c>
      <c r="AE158" s="459"/>
      <c r="AF158" s="459"/>
      <c r="AG158" s="112"/>
      <c r="AH158" s="112"/>
      <c r="AI158" s="112"/>
      <c r="AJ158" s="112"/>
      <c r="AK158" s="113"/>
      <c r="AL158" s="113"/>
      <c r="AM158" s="113"/>
      <c r="AN158" s="113"/>
      <c r="AO158" s="52" t="str">
        <f>IFERROR(INDEX(PMEREFRI[Program Design],MATCH(AB158,PMEREFRI[Eff Desc 1],0)),"")</f>
        <v/>
      </c>
      <c r="AU158"/>
    </row>
    <row r="159" spans="1:47">
      <c r="A159" s="57">
        <f t="shared" si="13"/>
        <v>0</v>
      </c>
      <c r="B159" s="183" t="str">
        <f t="shared" si="14"/>
        <v/>
      </c>
      <c r="C159" t="str">
        <f>IFERROR(IF(R159&gt;0,INDEX(PMEREFRI[Measure '#],MATCH(AB159,PMEREFRI[Eff Desc 1],0)),""),"")</f>
        <v/>
      </c>
      <c r="D159" t="s">
        <v>947</v>
      </c>
      <c r="F159" s="112"/>
      <c r="G159" s="186">
        <f>INDEX('M03-S04'!$AB$16:$AB$198,2*(ROWS($G$157:G159)-1)+1)</f>
        <v>0</v>
      </c>
      <c r="H159" s="186" t="str">
        <f>IF(ISNUMBER(INDEX('M03-S04'!$AN$16:$AN$198,2*(ROWS($R$157:R159)-1)+1)),"Total","")</f>
        <v/>
      </c>
      <c r="I159" s="184">
        <f>IFERROR(ROUND(INDEX('M03-S04'!$AE$16:$AE$198,2*(ROWS($I$157:I159)-1)+1),2),0)</f>
        <v>0</v>
      </c>
      <c r="J159" s="184">
        <f>IFERROR(ROUND(INDEX('M03-S04'!$AG$16:$AG$198,2*(ROWS($J$157:J159)-1)+1),2),0)</f>
        <v>0</v>
      </c>
      <c r="K159" s="52">
        <f>IFERROR(ROUND(INDEX('M03-S04'!$AU$16:$AU$198,2*(ROWS($K$157:K159)-1)+1),2),0)</f>
        <v>0</v>
      </c>
      <c r="L159" s="52" t="str">
        <f>IFERROR(IF(R159&gt;0,M159*INDEX(PMEREFRI[Incremental Cost],MATCH(AB159,PMEREFRI[Eff Desc 1],0)),""),"")</f>
        <v/>
      </c>
      <c r="M159" s="456">
        <f>INDEX('M03-S04'!$V$16:$V$198,2*(ROWS($M$157:M159)-1)+1)</f>
        <v>0</v>
      </c>
      <c r="N159" s="184" t="str">
        <f>IF(ISNUMBER(INDEX('M03-S04'!$AN$16:$AN$198,2*(ROWS($R$157:R159)-1)+1)),INDEX('M03-S04'!$AK$16:$AK$198,2*(ROWS($N$157:N159)-1)+1),"")</f>
        <v/>
      </c>
      <c r="O159" s="456" t="str">
        <f>IFERROR(IF(ISNUMBER(INDEX('M03-S04'!$AN$16:$AN$198,2*(ROWS($R$157:R159)-1)+1)),INDEX('M03-S04'!$AV$16:$AV$198,2*(ROWS($O$157:O159)-1)+1),""),"")</f>
        <v/>
      </c>
      <c r="P159" s="113"/>
      <c r="Q159" s="113"/>
      <c r="R159" s="184">
        <f>IF(ISNUMBER(INDEX('M03-S04'!$AN$16:$AN$198,2*(ROWS($R$157:R159)-1)+1)),INDEX('M03-S04'!$AN$16:$AN$198,2*(ROWS($R$157:R159)-1)+1),0)</f>
        <v>0</v>
      </c>
      <c r="S159" s="459"/>
      <c r="T159" s="113"/>
      <c r="U159" s="140"/>
      <c r="V159" s="113"/>
      <c r="W159" s="96" t="str">
        <f>IFERROR(IF(NOT(ISNUMBER(INDEX('M03-S04'!$AN$16:$AN$198,2*(ROWS($R$157:R159)-1)+1))),INDEX('M03-S04'!$BC$16:$BC$198,2*(ROWS($R$157:R159)-1)+1),""),"")</f>
        <v/>
      </c>
      <c r="X159" s="113"/>
      <c r="Y159" s="113"/>
      <c r="Z159" s="111">
        <f>INDEX('M03-S04'!$B$16:$B$198,2*(ROWS($Z$157:Z159)-1)+1)</f>
        <v>3</v>
      </c>
      <c r="AA159" s="111" t="str">
        <f>INDEX('M03-S04'!$N$16:$N$198,2*(ROWS($Z$157:AA159)-1)+1)</f>
        <v/>
      </c>
      <c r="AB159" s="111">
        <f>INDEX('M03-S04'!$C$16:$C$198,2*(ROWS($Z$157:AB159)-1)+1)</f>
        <v>0</v>
      </c>
      <c r="AC159" s="96"/>
      <c r="AD159">
        <f>INDEX('M03-S04'!$X$16:$X$198,2*(ROWS($AD$157:AD159)-1)+1)</f>
        <v>0</v>
      </c>
      <c r="AE159" s="459"/>
      <c r="AF159" s="459"/>
      <c r="AG159" s="112"/>
      <c r="AH159" s="112"/>
      <c r="AI159" s="112"/>
      <c r="AJ159" s="112"/>
      <c r="AK159" s="113"/>
      <c r="AL159" s="113"/>
      <c r="AM159" s="113"/>
      <c r="AN159" s="113"/>
      <c r="AO159" s="52" t="str">
        <f>IFERROR(INDEX(PMEREFRI[Program Design],MATCH(AB159,PMEREFRI[Eff Desc 1],0)),"")</f>
        <v/>
      </c>
      <c r="AU159"/>
    </row>
    <row r="160" spans="1:47">
      <c r="A160" s="57">
        <f t="shared" si="13"/>
        <v>0</v>
      </c>
      <c r="B160" s="183" t="str">
        <f t="shared" si="14"/>
        <v/>
      </c>
      <c r="C160" t="str">
        <f>IFERROR(IF(R160&gt;0,INDEX(PMEREFRI[Measure '#],MATCH(AB160,PMEREFRI[Eff Desc 1],0)),""),"")</f>
        <v/>
      </c>
      <c r="D160" t="s">
        <v>947</v>
      </c>
      <c r="F160" s="112"/>
      <c r="G160" s="186">
        <f>INDEX('M03-S04'!$AB$16:$AB$198,2*(ROWS($G$157:G160)-1)+1)</f>
        <v>0</v>
      </c>
      <c r="H160" s="186" t="str">
        <f>IF(ISNUMBER(INDEX('M03-S04'!$AN$16:$AN$198,2*(ROWS($R$157:R160)-1)+1)),"Total","")</f>
        <v/>
      </c>
      <c r="I160" s="184">
        <f>IFERROR(ROUND(INDEX('M03-S04'!$AE$16:$AE$198,2*(ROWS($I$157:I160)-1)+1),2),0)</f>
        <v>0</v>
      </c>
      <c r="J160" s="184">
        <f>IFERROR(ROUND(INDEX('M03-S04'!$AG$16:$AG$198,2*(ROWS($J$157:J160)-1)+1),2),0)</f>
        <v>0</v>
      </c>
      <c r="K160" s="52">
        <f>IFERROR(ROUND(INDEX('M03-S04'!$AU$16:$AU$198,2*(ROWS($K$157:K160)-1)+1),2),0)</f>
        <v>0</v>
      </c>
      <c r="L160" s="52" t="str">
        <f>IFERROR(IF(R160&gt;0,M160*INDEX(PMEREFRI[Incremental Cost],MATCH(AB160,PMEREFRI[Eff Desc 1],0)),""),"")</f>
        <v/>
      </c>
      <c r="M160" s="456">
        <f>INDEX('M03-S04'!$V$16:$V$198,2*(ROWS($M$157:M160)-1)+1)</f>
        <v>0</v>
      </c>
      <c r="N160" s="184" t="str">
        <f>IF(ISNUMBER(INDEX('M03-S04'!$AN$16:$AN$198,2*(ROWS($R$157:R160)-1)+1)),INDEX('M03-S04'!$AK$16:$AK$198,2*(ROWS($N$157:N160)-1)+1),"")</f>
        <v/>
      </c>
      <c r="O160" s="456" t="str">
        <f>IFERROR(IF(ISNUMBER(INDEX('M03-S04'!$AN$16:$AN$198,2*(ROWS($R$157:R160)-1)+1)),INDEX('M03-S04'!$AV$16:$AV$198,2*(ROWS($O$157:O160)-1)+1),""),"")</f>
        <v/>
      </c>
      <c r="P160" s="113"/>
      <c r="Q160" s="113"/>
      <c r="R160" s="184">
        <f>IF(ISNUMBER(INDEX('M03-S04'!$AN$16:$AN$198,2*(ROWS($R$157:R160)-1)+1)),INDEX('M03-S04'!$AN$16:$AN$198,2*(ROWS($R$157:R160)-1)+1),0)</f>
        <v>0</v>
      </c>
      <c r="S160" s="459"/>
      <c r="T160" s="113"/>
      <c r="U160" s="140"/>
      <c r="V160" s="113"/>
      <c r="W160" s="96" t="str">
        <f>IFERROR(IF(NOT(ISNUMBER(INDEX('M03-S04'!$AN$16:$AN$198,2*(ROWS($R$157:R160)-1)+1))),INDEX('M03-S04'!$BC$16:$BC$198,2*(ROWS($R$157:R160)-1)+1),""),"")</f>
        <v/>
      </c>
      <c r="X160" s="113"/>
      <c r="Y160" s="113"/>
      <c r="Z160" s="111">
        <f>INDEX('M03-S04'!$B$16:$B$198,2*(ROWS($Z$157:Z160)-1)+1)</f>
        <v>4</v>
      </c>
      <c r="AA160" s="111" t="str">
        <f>INDEX('M03-S04'!$N$16:$N$198,2*(ROWS($Z$157:AA160)-1)+1)</f>
        <v/>
      </c>
      <c r="AB160" s="111">
        <f>INDEX('M03-S04'!$C$16:$C$198,2*(ROWS($Z$157:AB160)-1)+1)</f>
        <v>0</v>
      </c>
      <c r="AC160" s="96"/>
      <c r="AD160">
        <f>INDEX('M03-S04'!$X$16:$X$198,2*(ROWS($AD$157:AD160)-1)+1)</f>
        <v>0</v>
      </c>
      <c r="AE160" s="459"/>
      <c r="AF160" s="459"/>
      <c r="AG160" s="112"/>
      <c r="AH160" s="112"/>
      <c r="AI160" s="112"/>
      <c r="AJ160" s="112"/>
      <c r="AK160" s="113"/>
      <c r="AL160" s="113"/>
      <c r="AM160" s="113"/>
      <c r="AN160" s="113"/>
      <c r="AO160" s="52" t="str">
        <f>IFERROR(INDEX(PMEREFRI[Program Design],MATCH(AB160,PMEREFRI[Eff Desc 1],0)),"")</f>
        <v/>
      </c>
      <c r="AU160"/>
    </row>
    <row r="161" spans="1:47">
      <c r="A161" s="57">
        <f t="shared" si="13"/>
        <v>0</v>
      </c>
      <c r="B161" s="183" t="str">
        <f t="shared" si="14"/>
        <v/>
      </c>
      <c r="C161" t="str">
        <f>IFERROR(IF(R161&gt;0,INDEX(PMEREFRI[Measure '#],MATCH(AB161,PMEREFRI[Eff Desc 1],0)),""),"")</f>
        <v/>
      </c>
      <c r="D161" t="s">
        <v>947</v>
      </c>
      <c r="F161" s="112"/>
      <c r="G161" s="186">
        <f>INDEX('M03-S04'!$AB$16:$AB$198,2*(ROWS($G$157:G161)-1)+1)</f>
        <v>0</v>
      </c>
      <c r="H161" s="186" t="str">
        <f>IF(ISNUMBER(INDEX('M03-S04'!$AN$16:$AN$198,2*(ROWS($R$157:R161)-1)+1)),"Total","")</f>
        <v/>
      </c>
      <c r="I161" s="184">
        <f>IFERROR(ROUND(INDEX('M03-S04'!$AE$16:$AE$198,2*(ROWS($I$157:I161)-1)+1),2),0)</f>
        <v>0</v>
      </c>
      <c r="J161" s="184">
        <f>IFERROR(ROUND(INDEX('M03-S04'!$AG$16:$AG$198,2*(ROWS($J$157:J161)-1)+1),2),0)</f>
        <v>0</v>
      </c>
      <c r="K161" s="52">
        <f>IFERROR(ROUND(INDEX('M03-S04'!$AU$16:$AU$198,2*(ROWS($K$157:K161)-1)+1),2),0)</f>
        <v>0</v>
      </c>
      <c r="L161" s="52" t="str">
        <f>IFERROR(IF(R161&gt;0,M161*INDEX(PMEREFRI[Incremental Cost],MATCH(AB161,PMEREFRI[Eff Desc 1],0)),""),"")</f>
        <v/>
      </c>
      <c r="M161" s="456">
        <f>INDEX('M03-S04'!$V$16:$V$198,2*(ROWS($M$157:M161)-1)+1)</f>
        <v>0</v>
      </c>
      <c r="N161" s="184" t="str">
        <f>IF(ISNUMBER(INDEX('M03-S04'!$AN$16:$AN$198,2*(ROWS($R$157:R161)-1)+1)),INDEX('M03-S04'!$AK$16:$AK$198,2*(ROWS($N$157:N161)-1)+1),"")</f>
        <v/>
      </c>
      <c r="O161" s="456" t="str">
        <f>IFERROR(IF(ISNUMBER(INDEX('M03-S04'!$AN$16:$AN$198,2*(ROWS($R$157:R161)-1)+1)),INDEX('M03-S04'!$AV$16:$AV$198,2*(ROWS($O$157:O161)-1)+1),""),"")</f>
        <v/>
      </c>
      <c r="P161" s="113"/>
      <c r="Q161" s="113"/>
      <c r="R161" s="184">
        <f>IF(ISNUMBER(INDEX('M03-S04'!$AN$16:$AN$198,2*(ROWS($R$157:R161)-1)+1)),INDEX('M03-S04'!$AN$16:$AN$198,2*(ROWS($R$157:R161)-1)+1),0)</f>
        <v>0</v>
      </c>
      <c r="S161" s="459"/>
      <c r="T161" s="113"/>
      <c r="U161" s="140"/>
      <c r="V161" s="113"/>
      <c r="W161" s="96" t="str">
        <f>IFERROR(IF(NOT(ISNUMBER(INDEX('M03-S04'!$AN$16:$AN$198,2*(ROWS($R$157:R161)-1)+1))),INDEX('M03-S04'!$BC$16:$BC$198,2*(ROWS($R$157:R161)-1)+1),""),"")</f>
        <v/>
      </c>
      <c r="X161" s="113"/>
      <c r="Y161" s="113"/>
      <c r="Z161" s="111">
        <f>INDEX('M03-S04'!$B$16:$B$198,2*(ROWS($Z$157:Z161)-1)+1)</f>
        <v>5</v>
      </c>
      <c r="AA161" s="111" t="str">
        <f>INDEX('M03-S04'!$N$16:$N$198,2*(ROWS($Z$157:AA161)-1)+1)</f>
        <v/>
      </c>
      <c r="AB161" s="111">
        <f>INDEX('M03-S04'!$C$16:$C$198,2*(ROWS($Z$157:AB161)-1)+1)</f>
        <v>0</v>
      </c>
      <c r="AC161" s="96"/>
      <c r="AD161">
        <f>INDEX('M03-S04'!$X$16:$X$198,2*(ROWS($AD$157:AD161)-1)+1)</f>
        <v>0</v>
      </c>
      <c r="AE161" s="459"/>
      <c r="AF161" s="459"/>
      <c r="AG161" s="112"/>
      <c r="AH161" s="112"/>
      <c r="AI161" s="112"/>
      <c r="AJ161" s="112"/>
      <c r="AK161" s="113"/>
      <c r="AL161" s="113"/>
      <c r="AM161" s="113"/>
      <c r="AN161" s="113"/>
      <c r="AO161" s="52" t="str">
        <f>IFERROR(INDEX(PMEREFRI[Program Design],MATCH(AB161,PMEREFRI[Eff Desc 1],0)),"")</f>
        <v/>
      </c>
      <c r="AU161"/>
    </row>
    <row r="162" spans="1:47">
      <c r="A162" s="57">
        <f t="shared" si="13"/>
        <v>0</v>
      </c>
      <c r="B162" s="183" t="str">
        <f t="shared" si="14"/>
        <v/>
      </c>
      <c r="C162" t="str">
        <f>IFERROR(IF(R162&gt;0,INDEX(PMEREFRI[Measure '#],MATCH(AB162,PMEREFRI[Eff Desc 1],0)),""),"")</f>
        <v/>
      </c>
      <c r="D162" t="s">
        <v>947</v>
      </c>
      <c r="F162" s="112"/>
      <c r="G162" s="186">
        <f>INDEX('M03-S04'!$AB$16:$AB$198,2*(ROWS($G$157:G162)-1)+1)</f>
        <v>0</v>
      </c>
      <c r="H162" s="186" t="str">
        <f>IF(ISNUMBER(INDEX('M03-S04'!$AN$16:$AN$198,2*(ROWS($R$157:R162)-1)+1)),"Total","")</f>
        <v/>
      </c>
      <c r="I162" s="184">
        <f>IFERROR(ROUND(INDEX('M03-S04'!$AE$16:$AE$198,2*(ROWS($I$157:I162)-1)+1),2),0)</f>
        <v>0</v>
      </c>
      <c r="J162" s="184">
        <f>IFERROR(ROUND(INDEX('M03-S04'!$AG$16:$AG$198,2*(ROWS($J$157:J162)-1)+1),2),0)</f>
        <v>0</v>
      </c>
      <c r="K162" s="52">
        <f>IFERROR(ROUND(INDEX('M03-S04'!$AU$16:$AU$198,2*(ROWS($K$157:K162)-1)+1),2),0)</f>
        <v>0</v>
      </c>
      <c r="L162" s="52" t="str">
        <f>IFERROR(IF(R162&gt;0,M162*INDEX(PMEREFRI[Incremental Cost],MATCH(AB162,PMEREFRI[Eff Desc 1],0)),""),"")</f>
        <v/>
      </c>
      <c r="M162" s="456">
        <f>INDEX('M03-S04'!$V$16:$V$198,2*(ROWS($M$157:M162)-1)+1)</f>
        <v>0</v>
      </c>
      <c r="N162" s="184" t="str">
        <f>IF(ISNUMBER(INDEX('M03-S04'!$AN$16:$AN$198,2*(ROWS($R$157:R162)-1)+1)),INDEX('M03-S04'!$AK$16:$AK$198,2*(ROWS($N$157:N162)-1)+1),"")</f>
        <v/>
      </c>
      <c r="O162" s="456" t="str">
        <f>IFERROR(IF(ISNUMBER(INDEX('M03-S04'!$AN$16:$AN$198,2*(ROWS($R$157:R162)-1)+1)),INDEX('M03-S04'!$AV$16:$AV$198,2*(ROWS($O$157:O162)-1)+1),""),"")</f>
        <v/>
      </c>
      <c r="P162" s="113"/>
      <c r="Q162" s="113"/>
      <c r="R162" s="184">
        <f>IF(ISNUMBER(INDEX('M03-S04'!$AN$16:$AN$198,2*(ROWS($R$157:R162)-1)+1)),INDEX('M03-S04'!$AN$16:$AN$198,2*(ROWS($R$157:R162)-1)+1),0)</f>
        <v>0</v>
      </c>
      <c r="S162" s="459"/>
      <c r="T162" s="113"/>
      <c r="U162" s="140"/>
      <c r="V162" s="113"/>
      <c r="W162" s="96" t="str">
        <f>IFERROR(IF(NOT(ISNUMBER(INDEX('M03-S04'!$AN$16:$AN$198,2*(ROWS($R$157:R162)-1)+1))),INDEX('M03-S04'!$BC$16:$BC$198,2*(ROWS($R$157:R162)-1)+1),""),"")</f>
        <v/>
      </c>
      <c r="X162" s="113"/>
      <c r="Y162" s="113"/>
      <c r="Z162" s="111">
        <f>INDEX('M03-S04'!$B$16:$B$198,2*(ROWS($Z$157:Z162)-1)+1)</f>
        <v>6</v>
      </c>
      <c r="AA162" s="111" t="str">
        <f>INDEX('M03-S04'!$N$16:$N$198,2*(ROWS($Z$157:AA162)-1)+1)</f>
        <v/>
      </c>
      <c r="AB162" s="111">
        <f>INDEX('M03-S04'!$C$16:$C$198,2*(ROWS($Z$157:AB162)-1)+1)</f>
        <v>0</v>
      </c>
      <c r="AC162" s="96"/>
      <c r="AD162">
        <f>INDEX('M03-S04'!$X$16:$X$198,2*(ROWS($AD$157:AD162)-1)+1)</f>
        <v>0</v>
      </c>
      <c r="AE162" s="459"/>
      <c r="AF162" s="459"/>
      <c r="AG162" s="112"/>
      <c r="AH162" s="112"/>
      <c r="AI162" s="112"/>
      <c r="AJ162" s="112"/>
      <c r="AK162" s="113"/>
      <c r="AL162" s="113"/>
      <c r="AM162" s="113"/>
      <c r="AN162" s="113"/>
      <c r="AO162" s="52" t="str">
        <f>IFERROR(INDEX(PMEREFRI[Program Design],MATCH(AB162,PMEREFRI[Eff Desc 1],0)),"")</f>
        <v/>
      </c>
      <c r="AU162"/>
    </row>
    <row r="163" spans="1:47">
      <c r="A163" s="57">
        <f t="shared" si="13"/>
        <v>0</v>
      </c>
      <c r="B163" s="183" t="str">
        <f t="shared" si="14"/>
        <v/>
      </c>
      <c r="C163" t="str">
        <f>IFERROR(IF(R163&gt;0,INDEX(PMEREFRI[Measure '#],MATCH(AB163,PMEREFRI[Eff Desc 1],0)),""),"")</f>
        <v/>
      </c>
      <c r="D163" t="s">
        <v>947</v>
      </c>
      <c r="F163" s="112"/>
      <c r="G163" s="186">
        <f>INDEX('M03-S04'!$AB$16:$AB$198,2*(ROWS($G$157:G163)-1)+1)</f>
        <v>0</v>
      </c>
      <c r="H163" s="186" t="str">
        <f>IF(ISNUMBER(INDEX('M03-S04'!$AN$16:$AN$198,2*(ROWS($R$157:R163)-1)+1)),"Total","")</f>
        <v/>
      </c>
      <c r="I163" s="184">
        <f>IFERROR(ROUND(INDEX('M03-S04'!$AE$16:$AE$198,2*(ROWS($I$157:I163)-1)+1),2),0)</f>
        <v>0</v>
      </c>
      <c r="J163" s="184">
        <f>IFERROR(ROUND(INDEX('M03-S04'!$AG$16:$AG$198,2*(ROWS($J$157:J163)-1)+1),2),0)</f>
        <v>0</v>
      </c>
      <c r="K163" s="52">
        <f>IFERROR(ROUND(INDEX('M03-S04'!$AU$16:$AU$198,2*(ROWS($K$157:K163)-1)+1),2),0)</f>
        <v>0</v>
      </c>
      <c r="L163" s="52" t="str">
        <f>IFERROR(IF(R163&gt;0,M163*INDEX(PMEREFRI[Incremental Cost],MATCH(AB163,PMEREFRI[Eff Desc 1],0)),""),"")</f>
        <v/>
      </c>
      <c r="M163" s="456">
        <f>INDEX('M03-S04'!$V$16:$V$198,2*(ROWS($M$157:M163)-1)+1)</f>
        <v>0</v>
      </c>
      <c r="N163" s="184" t="str">
        <f>IF(ISNUMBER(INDEX('M03-S04'!$AN$16:$AN$198,2*(ROWS($R$157:R163)-1)+1)),INDEX('M03-S04'!$AK$16:$AK$198,2*(ROWS($N$157:N163)-1)+1),"")</f>
        <v/>
      </c>
      <c r="O163" s="456" t="str">
        <f>IFERROR(IF(ISNUMBER(INDEX('M03-S04'!$AN$16:$AN$198,2*(ROWS($R$157:R163)-1)+1)),INDEX('M03-S04'!$AV$16:$AV$198,2*(ROWS($O$157:O163)-1)+1),""),"")</f>
        <v/>
      </c>
      <c r="P163" s="113"/>
      <c r="Q163" s="113"/>
      <c r="R163" s="184">
        <f>IF(ISNUMBER(INDEX('M03-S04'!$AN$16:$AN$198,2*(ROWS($R$157:R163)-1)+1)),INDEX('M03-S04'!$AN$16:$AN$198,2*(ROWS($R$157:R163)-1)+1),0)</f>
        <v>0</v>
      </c>
      <c r="S163" s="459"/>
      <c r="T163" s="113"/>
      <c r="U163" s="140"/>
      <c r="V163" s="113"/>
      <c r="W163" s="96" t="str">
        <f>IFERROR(IF(NOT(ISNUMBER(INDEX('M03-S04'!$AN$16:$AN$198,2*(ROWS($R$157:R163)-1)+1))),INDEX('M03-S04'!$BC$16:$BC$198,2*(ROWS($R$157:R163)-1)+1),""),"")</f>
        <v/>
      </c>
      <c r="X163" s="113"/>
      <c r="Y163" s="113"/>
      <c r="Z163" s="111">
        <f>INDEX('M03-S04'!$B$16:$B$198,2*(ROWS($Z$157:Z163)-1)+1)</f>
        <v>7</v>
      </c>
      <c r="AA163" s="111" t="str">
        <f>INDEX('M03-S04'!$N$16:$N$198,2*(ROWS($Z$157:AA163)-1)+1)</f>
        <v/>
      </c>
      <c r="AB163" s="111">
        <f>INDEX('M03-S04'!$C$16:$C$198,2*(ROWS($Z$157:AB163)-1)+1)</f>
        <v>0</v>
      </c>
      <c r="AC163" s="96"/>
      <c r="AD163">
        <f>INDEX('M03-S04'!$X$16:$X$198,2*(ROWS($AD$157:AD163)-1)+1)</f>
        <v>0</v>
      </c>
      <c r="AE163" s="459"/>
      <c r="AF163" s="459"/>
      <c r="AG163" s="112"/>
      <c r="AH163" s="112"/>
      <c r="AI163" s="112"/>
      <c r="AJ163" s="112"/>
      <c r="AK163" s="113"/>
      <c r="AL163" s="113"/>
      <c r="AM163" s="113"/>
      <c r="AN163" s="113"/>
      <c r="AO163" s="52" t="str">
        <f>IFERROR(INDEX(PMEREFRI[Program Design],MATCH(AB163,PMEREFRI[Eff Desc 1],0)),"")</f>
        <v/>
      </c>
      <c r="AU163"/>
    </row>
    <row r="164" spans="1:47">
      <c r="A164" s="57">
        <f t="shared" si="13"/>
        <v>0</v>
      </c>
      <c r="B164" s="183" t="str">
        <f t="shared" si="14"/>
        <v/>
      </c>
      <c r="C164" t="str">
        <f>IFERROR(IF(R164&gt;0,INDEX(PMEREFRI[Measure '#],MATCH(AB164,PMEREFRI[Eff Desc 1],0)),""),"")</f>
        <v/>
      </c>
      <c r="D164" t="s">
        <v>947</v>
      </c>
      <c r="F164" s="112"/>
      <c r="G164" s="186">
        <f>INDEX('M03-S04'!$AB$16:$AB$198,2*(ROWS($G$157:G164)-1)+1)</f>
        <v>0</v>
      </c>
      <c r="H164" s="186" t="str">
        <f>IF(ISNUMBER(INDEX('M03-S04'!$AN$16:$AN$198,2*(ROWS($R$157:R164)-1)+1)),"Total","")</f>
        <v/>
      </c>
      <c r="I164" s="184">
        <f>IFERROR(ROUND(INDEX('M03-S04'!$AE$16:$AE$198,2*(ROWS($I$157:I164)-1)+1),2),0)</f>
        <v>0</v>
      </c>
      <c r="J164" s="184">
        <f>IFERROR(ROUND(INDEX('M03-S04'!$AG$16:$AG$198,2*(ROWS($J$157:J164)-1)+1),2),0)</f>
        <v>0</v>
      </c>
      <c r="K164" s="52">
        <f>IFERROR(ROUND(INDEX('M03-S04'!$AU$16:$AU$198,2*(ROWS($K$157:K164)-1)+1),2),0)</f>
        <v>0</v>
      </c>
      <c r="L164" s="52" t="str">
        <f>IFERROR(IF(R164&gt;0,M164*INDEX(PMEREFRI[Incremental Cost],MATCH(AB164,PMEREFRI[Eff Desc 1],0)),""),"")</f>
        <v/>
      </c>
      <c r="M164" s="456">
        <f>INDEX('M03-S04'!$V$16:$V$198,2*(ROWS($M$157:M164)-1)+1)</f>
        <v>0</v>
      </c>
      <c r="N164" s="184" t="str">
        <f>IF(ISNUMBER(INDEX('M03-S04'!$AN$16:$AN$198,2*(ROWS($R$157:R164)-1)+1)),INDEX('M03-S04'!$AK$16:$AK$198,2*(ROWS($N$157:N164)-1)+1),"")</f>
        <v/>
      </c>
      <c r="O164" s="456" t="str">
        <f>IFERROR(IF(ISNUMBER(INDEX('M03-S04'!$AN$16:$AN$198,2*(ROWS($R$157:R164)-1)+1)),INDEX('M03-S04'!$AV$16:$AV$198,2*(ROWS($O$157:O164)-1)+1),""),"")</f>
        <v/>
      </c>
      <c r="P164" s="113"/>
      <c r="Q164" s="113"/>
      <c r="R164" s="184">
        <f>IF(ISNUMBER(INDEX('M03-S04'!$AN$16:$AN$198,2*(ROWS($R$157:R164)-1)+1)),INDEX('M03-S04'!$AN$16:$AN$198,2*(ROWS($R$157:R164)-1)+1),0)</f>
        <v>0</v>
      </c>
      <c r="S164" s="459"/>
      <c r="T164" s="113"/>
      <c r="U164" s="140"/>
      <c r="V164" s="113"/>
      <c r="W164" s="96" t="str">
        <f>IFERROR(IF(NOT(ISNUMBER(INDEX('M03-S04'!$AN$16:$AN$198,2*(ROWS($R$157:R164)-1)+1))),INDEX('M03-S04'!$BC$16:$BC$198,2*(ROWS($R$157:R164)-1)+1),""),"")</f>
        <v/>
      </c>
      <c r="X164" s="113"/>
      <c r="Y164" s="113"/>
      <c r="Z164" s="111">
        <f>INDEX('M03-S04'!$B$16:$B$198,2*(ROWS($Z$157:Z164)-1)+1)</f>
        <v>8</v>
      </c>
      <c r="AA164" s="111" t="str">
        <f>INDEX('M03-S04'!$N$16:$N$198,2*(ROWS($Z$157:AA164)-1)+1)</f>
        <v/>
      </c>
      <c r="AB164" s="111">
        <f>INDEX('M03-S04'!$C$16:$C$198,2*(ROWS($Z$157:AB164)-1)+1)</f>
        <v>0</v>
      </c>
      <c r="AC164" s="96"/>
      <c r="AD164">
        <f>INDEX('M03-S04'!$X$16:$X$198,2*(ROWS($AD$157:AD164)-1)+1)</f>
        <v>0</v>
      </c>
      <c r="AE164" s="459"/>
      <c r="AF164" s="459"/>
      <c r="AG164" s="112"/>
      <c r="AH164" s="112"/>
      <c r="AI164" s="112"/>
      <c r="AJ164" s="112"/>
      <c r="AK164" s="113"/>
      <c r="AL164" s="113"/>
      <c r="AM164" s="113"/>
      <c r="AN164" s="113"/>
      <c r="AO164" s="52" t="str">
        <f>IFERROR(INDEX(PMEREFRI[Program Design],MATCH(AB164,PMEREFRI[Eff Desc 1],0)),"")</f>
        <v/>
      </c>
      <c r="AU164"/>
    </row>
    <row r="165" spans="1:47">
      <c r="A165" s="57">
        <f t="shared" si="13"/>
        <v>0</v>
      </c>
      <c r="B165" s="183" t="str">
        <f t="shared" si="14"/>
        <v/>
      </c>
      <c r="C165" t="str">
        <f>IFERROR(IF(R165&gt;0,INDEX(PMEREFRI[Measure '#],MATCH(AB165,PMEREFRI[Eff Desc 1],0)),""),"")</f>
        <v/>
      </c>
      <c r="D165" t="s">
        <v>947</v>
      </c>
      <c r="F165" s="112"/>
      <c r="G165" s="186">
        <f>INDEX('M03-S04'!$AB$16:$AB$198,2*(ROWS($G$157:G165)-1)+1)</f>
        <v>0</v>
      </c>
      <c r="H165" s="186" t="str">
        <f>IF(ISNUMBER(INDEX('M03-S04'!$AN$16:$AN$198,2*(ROWS($R$157:R165)-1)+1)),"Total","")</f>
        <v/>
      </c>
      <c r="I165" s="184">
        <f>IFERROR(ROUND(INDEX('M03-S04'!$AE$16:$AE$198,2*(ROWS($I$157:I165)-1)+1),2),0)</f>
        <v>0</v>
      </c>
      <c r="J165" s="184">
        <f>IFERROR(ROUND(INDEX('M03-S04'!$AG$16:$AG$198,2*(ROWS($J$157:J165)-1)+1),2),0)</f>
        <v>0</v>
      </c>
      <c r="K165" s="52">
        <f>IFERROR(ROUND(INDEX('M03-S04'!$AU$16:$AU$198,2*(ROWS($K$157:K165)-1)+1),2),0)</f>
        <v>0</v>
      </c>
      <c r="L165" s="52" t="str">
        <f>IFERROR(IF(R165&gt;0,M165*INDEX(PMEREFRI[Incremental Cost],MATCH(AB165,PMEREFRI[Eff Desc 1],0)),""),"")</f>
        <v/>
      </c>
      <c r="M165" s="456">
        <f>INDEX('M03-S04'!$V$16:$V$198,2*(ROWS($M$157:M165)-1)+1)</f>
        <v>0</v>
      </c>
      <c r="N165" s="184" t="str">
        <f>IF(ISNUMBER(INDEX('M03-S04'!$AN$16:$AN$198,2*(ROWS($R$157:R165)-1)+1)),INDEX('M03-S04'!$AK$16:$AK$198,2*(ROWS($N$157:N165)-1)+1),"")</f>
        <v/>
      </c>
      <c r="O165" s="456" t="str">
        <f>IFERROR(IF(ISNUMBER(INDEX('M03-S04'!$AN$16:$AN$198,2*(ROWS($R$157:R165)-1)+1)),INDEX('M03-S04'!$AV$16:$AV$198,2*(ROWS($O$157:O165)-1)+1),""),"")</f>
        <v/>
      </c>
      <c r="P165" s="113"/>
      <c r="Q165" s="113"/>
      <c r="R165" s="184">
        <f>IF(ISNUMBER(INDEX('M03-S04'!$AN$16:$AN$198,2*(ROWS($R$157:R165)-1)+1)),INDEX('M03-S04'!$AN$16:$AN$198,2*(ROWS($R$157:R165)-1)+1),0)</f>
        <v>0</v>
      </c>
      <c r="S165" s="459"/>
      <c r="T165" s="113"/>
      <c r="U165" s="140"/>
      <c r="V165" s="113"/>
      <c r="W165" s="96" t="str">
        <f>IFERROR(IF(NOT(ISNUMBER(INDEX('M03-S04'!$AN$16:$AN$198,2*(ROWS($R$157:R165)-1)+1))),INDEX('M03-S04'!$BC$16:$BC$198,2*(ROWS($R$157:R165)-1)+1),""),"")</f>
        <v/>
      </c>
      <c r="X165" s="113"/>
      <c r="Y165" s="113"/>
      <c r="Z165" s="111">
        <f>INDEX('M03-S04'!$B$16:$B$198,2*(ROWS($Z$157:Z165)-1)+1)</f>
        <v>9</v>
      </c>
      <c r="AA165" s="111" t="str">
        <f>INDEX('M03-S04'!$N$16:$N$198,2*(ROWS($Z$157:AA165)-1)+1)</f>
        <v/>
      </c>
      <c r="AB165" s="111">
        <f>INDEX('M03-S04'!$C$16:$C$198,2*(ROWS($Z$157:AB165)-1)+1)</f>
        <v>0</v>
      </c>
      <c r="AC165" s="96"/>
      <c r="AD165">
        <f>INDEX('M03-S04'!$X$16:$X$198,2*(ROWS($AD$157:AD165)-1)+1)</f>
        <v>0</v>
      </c>
      <c r="AE165" s="459"/>
      <c r="AF165" s="459"/>
      <c r="AG165" s="112"/>
      <c r="AH165" s="112"/>
      <c r="AI165" s="112"/>
      <c r="AJ165" s="112"/>
      <c r="AK165" s="113"/>
      <c r="AL165" s="113"/>
      <c r="AM165" s="113"/>
      <c r="AN165" s="113"/>
      <c r="AO165" s="52" t="str">
        <f>IFERROR(INDEX(PMEREFRI[Program Design],MATCH(AB165,PMEREFRI[Eff Desc 1],0)),"")</f>
        <v/>
      </c>
      <c r="AU165"/>
    </row>
    <row r="166" spans="1:47">
      <c r="A166" s="57">
        <f t="shared" si="13"/>
        <v>0</v>
      </c>
      <c r="B166" s="183" t="str">
        <f t="shared" si="14"/>
        <v/>
      </c>
      <c r="C166" t="str">
        <f>IFERROR(IF(R166&gt;0,INDEX(PMEREFRI[Measure '#],MATCH(AB166,PMEREFRI[Eff Desc 1],0)),""),"")</f>
        <v/>
      </c>
      <c r="D166" t="s">
        <v>947</v>
      </c>
      <c r="F166" s="112"/>
      <c r="G166" s="186">
        <f>INDEX('M03-S04'!$AB$16:$AB$198,2*(ROWS($G$157:G166)-1)+1)</f>
        <v>0</v>
      </c>
      <c r="H166" s="186" t="str">
        <f>IF(ISNUMBER(INDEX('M03-S04'!$AN$16:$AN$198,2*(ROWS($R$157:R166)-1)+1)),"Total","")</f>
        <v/>
      </c>
      <c r="I166" s="184">
        <f>IFERROR(ROUND(INDEX('M03-S04'!$AE$16:$AE$198,2*(ROWS($I$157:I166)-1)+1),2),0)</f>
        <v>0</v>
      </c>
      <c r="J166" s="184">
        <f>IFERROR(ROUND(INDEX('M03-S04'!$AG$16:$AG$198,2*(ROWS($J$157:J166)-1)+1),2),0)</f>
        <v>0</v>
      </c>
      <c r="K166" s="52">
        <f>IFERROR(ROUND(INDEX('M03-S04'!$AU$16:$AU$198,2*(ROWS($K$157:K166)-1)+1),2),0)</f>
        <v>0</v>
      </c>
      <c r="L166" s="52" t="str">
        <f>IFERROR(IF(R166&gt;0,M166*INDEX(PMEREFRI[Incremental Cost],MATCH(AB166,PMEREFRI[Eff Desc 1],0)),""),"")</f>
        <v/>
      </c>
      <c r="M166" s="456">
        <f>INDEX('M03-S04'!$V$16:$V$198,2*(ROWS($M$157:M166)-1)+1)</f>
        <v>0</v>
      </c>
      <c r="N166" s="184" t="str">
        <f>IF(ISNUMBER(INDEX('M03-S04'!$AN$16:$AN$198,2*(ROWS($R$157:R166)-1)+1)),INDEX('M03-S04'!$AK$16:$AK$198,2*(ROWS($N$157:N166)-1)+1),"")</f>
        <v/>
      </c>
      <c r="O166" s="456" t="str">
        <f>IFERROR(IF(ISNUMBER(INDEX('M03-S04'!$AN$16:$AN$198,2*(ROWS($R$157:R166)-1)+1)),INDEX('M03-S04'!$AV$16:$AV$198,2*(ROWS($O$157:O166)-1)+1),""),"")</f>
        <v/>
      </c>
      <c r="P166" s="113"/>
      <c r="Q166" s="113"/>
      <c r="R166" s="184">
        <f>IF(ISNUMBER(INDEX('M03-S04'!$AN$16:$AN$198,2*(ROWS($R$157:R166)-1)+1)),INDEX('M03-S04'!$AN$16:$AN$198,2*(ROWS($R$157:R166)-1)+1),0)</f>
        <v>0</v>
      </c>
      <c r="S166" s="459"/>
      <c r="T166" s="113"/>
      <c r="U166" s="140"/>
      <c r="V166" s="113"/>
      <c r="W166" s="96" t="str">
        <f>IFERROR(IF(NOT(ISNUMBER(INDEX('M03-S04'!$AN$16:$AN$198,2*(ROWS($R$157:R166)-1)+1))),INDEX('M03-S04'!$BC$16:$BC$198,2*(ROWS($R$157:R166)-1)+1),""),"")</f>
        <v/>
      </c>
      <c r="X166" s="113"/>
      <c r="Y166" s="113"/>
      <c r="Z166" s="111">
        <f>INDEX('M03-S04'!$B$16:$B$198,2*(ROWS($Z$157:Z166)-1)+1)</f>
        <v>10</v>
      </c>
      <c r="AA166" s="111" t="str">
        <f>INDEX('M03-S04'!$N$16:$N$198,2*(ROWS($Z$157:AA166)-1)+1)</f>
        <v/>
      </c>
      <c r="AB166" s="111">
        <f>INDEX('M03-S04'!$C$16:$C$198,2*(ROWS($Z$157:AB166)-1)+1)</f>
        <v>0</v>
      </c>
      <c r="AC166" s="96"/>
      <c r="AD166">
        <f>INDEX('M03-S04'!$X$16:$X$198,2*(ROWS($AD$157:AD166)-1)+1)</f>
        <v>0</v>
      </c>
      <c r="AE166" s="459"/>
      <c r="AF166" s="459"/>
      <c r="AG166" s="112"/>
      <c r="AH166" s="112"/>
      <c r="AI166" s="112"/>
      <c r="AJ166" s="112"/>
      <c r="AK166" s="113"/>
      <c r="AL166" s="113"/>
      <c r="AM166" s="113"/>
      <c r="AN166" s="113"/>
      <c r="AO166" s="52" t="str">
        <f>IFERROR(INDEX(PMEREFRI[Program Design],MATCH(AB166,PMEREFRI[Eff Desc 1],0)),"")</f>
        <v/>
      </c>
      <c r="AU166"/>
    </row>
    <row r="167" spans="1:47">
      <c r="A167" s="57">
        <f t="shared" si="13"/>
        <v>0</v>
      </c>
      <c r="B167" s="183" t="str">
        <f t="shared" si="14"/>
        <v/>
      </c>
      <c r="C167" t="str">
        <f>IFERROR(IF(R167&gt;0,INDEX(PMEREFRI[Measure '#],MATCH(AB167,PMEREFRI[Eff Desc 1],0)),""),"")</f>
        <v/>
      </c>
      <c r="D167" t="s">
        <v>947</v>
      </c>
      <c r="F167" s="112"/>
      <c r="G167" s="186">
        <f>INDEX('M03-S04'!$AB$16:$AB$198,2*(ROWS($G$157:G167)-1)+1)</f>
        <v>0</v>
      </c>
      <c r="H167" s="186" t="str">
        <f>IF(ISNUMBER(INDEX('M03-S04'!$AN$16:$AN$198,2*(ROWS($R$157:R167)-1)+1)),"Total","")</f>
        <v/>
      </c>
      <c r="I167" s="184">
        <f>IFERROR(ROUND(INDEX('M03-S04'!$AE$16:$AE$198,2*(ROWS($I$157:I167)-1)+1),2),0)</f>
        <v>0</v>
      </c>
      <c r="J167" s="184">
        <f>IFERROR(ROUND(INDEX('M03-S04'!$AG$16:$AG$198,2*(ROWS($J$157:J167)-1)+1),2),0)</f>
        <v>0</v>
      </c>
      <c r="K167" s="52">
        <f>IFERROR(ROUND(INDEX('M03-S04'!$AU$16:$AU$198,2*(ROWS($K$157:K167)-1)+1),2),0)</f>
        <v>0</v>
      </c>
      <c r="L167" s="52" t="str">
        <f>IFERROR(IF(R167&gt;0,M167*INDEX(PMEREFRI[Incremental Cost],MATCH(AB167,PMEREFRI[Eff Desc 1],0)),""),"")</f>
        <v/>
      </c>
      <c r="M167" s="456">
        <f>INDEX('M03-S04'!$V$16:$V$198,2*(ROWS($M$157:M167)-1)+1)</f>
        <v>0</v>
      </c>
      <c r="N167" s="184" t="str">
        <f>IF(ISNUMBER(INDEX('M03-S04'!$AN$16:$AN$198,2*(ROWS($R$157:R167)-1)+1)),INDEX('M03-S04'!$AK$16:$AK$198,2*(ROWS($N$157:N167)-1)+1),"")</f>
        <v/>
      </c>
      <c r="O167" s="456" t="str">
        <f>IFERROR(IF(ISNUMBER(INDEX('M03-S04'!$AN$16:$AN$198,2*(ROWS($R$157:R167)-1)+1)),INDEX('M03-S04'!$AV$16:$AV$198,2*(ROWS($O$157:O167)-1)+1),""),"")</f>
        <v/>
      </c>
      <c r="P167" s="113"/>
      <c r="Q167" s="113"/>
      <c r="R167" s="184">
        <f>IF(ISNUMBER(INDEX('M03-S04'!$AN$16:$AN$198,2*(ROWS($R$157:R167)-1)+1)),INDEX('M03-S04'!$AN$16:$AN$198,2*(ROWS($R$157:R167)-1)+1),0)</f>
        <v>0</v>
      </c>
      <c r="S167" s="459"/>
      <c r="T167" s="113"/>
      <c r="U167" s="140"/>
      <c r="V167" s="113"/>
      <c r="W167" s="96">
        <f>IFERROR(IF(NOT(ISNUMBER(INDEX('M03-S04'!$AN$16:$AN$198,2*(ROWS($R$157:R167)-1)+1))),INDEX('M03-S04'!$BC$16:$BC$198,2*(ROWS($R$157:R167)-1)+1),""),"")</f>
        <v>0</v>
      </c>
      <c r="X167" s="113"/>
      <c r="Y167" s="113"/>
      <c r="Z167" s="111">
        <f>INDEX('M03-S04'!$B$16:$B$198,2*(ROWS($Z$157:Z167)-1)+1)</f>
        <v>11</v>
      </c>
      <c r="AA167" s="111"/>
      <c r="AB167" s="111">
        <v>0</v>
      </c>
      <c r="AC167" s="96"/>
      <c r="AD167">
        <f>INDEX('M03-S04'!$X$16:$X$198,2*(ROWS($AD$157:AD167)-1)+1)</f>
        <v>0</v>
      </c>
      <c r="AE167" s="459"/>
      <c r="AF167" s="459"/>
      <c r="AG167" s="112"/>
      <c r="AH167" s="112"/>
      <c r="AI167" s="112"/>
      <c r="AJ167" s="112"/>
      <c r="AK167" s="113"/>
      <c r="AL167" s="113"/>
      <c r="AM167" s="113"/>
      <c r="AN167" s="113"/>
      <c r="AO167" s="52" t="str">
        <f>IFERROR(INDEX(PMEREFRI[Program Design],MATCH(AB167,PMEREFRI[Eff Desc 1],0)),"")</f>
        <v/>
      </c>
      <c r="AU167"/>
    </row>
    <row r="168" spans="1:47">
      <c r="A168" s="57">
        <f t="shared" si="13"/>
        <v>0</v>
      </c>
      <c r="B168" s="183" t="str">
        <f t="shared" si="14"/>
        <v/>
      </c>
      <c r="C168" t="str">
        <f>IFERROR(IF(R168&gt;0,INDEX(AHSD[Measure '#],MATCH(AB168,AHSD[Type],0)),""),"")</f>
        <v/>
      </c>
      <c r="D168" t="s">
        <v>947</v>
      </c>
      <c r="F168" s="112"/>
      <c r="G168" s="186">
        <f>INDEX('M03-S04'!$AB$16:$AB$198,2*(ROWS($G$157:G168)-1)+1)</f>
        <v>0</v>
      </c>
      <c r="H168" s="186" t="str">
        <f>IF(ISNUMBER(INDEX('M03-S04'!$AN$16:$AN$198,2*(ROWS($R$157:R168)-1)+1)),"Total","")</f>
        <v/>
      </c>
      <c r="I168" s="184">
        <f>IFERROR(ROUND(INDEX('M03-S04'!$AE$16:$AE$198,2*(ROWS($I$157:I168)-1)+1),2),0)</f>
        <v>0</v>
      </c>
      <c r="J168" s="184">
        <f>IFERROR(ROUND(INDEX('M03-S04'!$AG$16:$AG$198,2*(ROWS($J$157:J168)-1)+1),2),0)</f>
        <v>0</v>
      </c>
      <c r="K168" s="52">
        <f>IFERROR(ROUND(INDEX('M03-S04'!$AU$16:$AU$198,2*(ROWS($K$157:K168)-1)+1),2),0)</f>
        <v>0</v>
      </c>
      <c r="L168" s="52" t="str">
        <f>IFERROR(IF(R168&gt;0,M168*INDEX(AHSD[Incremental Cost],MATCH(AB168,AHSD[Type],0)),""),"")</f>
        <v/>
      </c>
      <c r="M168" s="456" t="str">
        <f>INDEX('M03-S04'!$AY$16:$AY$198,2*(ROWS($M$157:M168)-1)+1)</f>
        <v/>
      </c>
      <c r="N168" s="184" t="str">
        <f>IF(ISNUMBER(INDEX('M03-S04'!$AN$16:$AN$198,2*(ROWS($R$157:R168)-1)+1)),INDEX('M03-S04'!$AK$16:$AK$198,2*(ROWS($N$157:N168)-1)+1),"")</f>
        <v/>
      </c>
      <c r="O168" s="456" t="str">
        <f>IFERROR(IF(ISNUMBER(INDEX('M03-S04'!$AN$16:$AN$198,2*(ROWS($R$157:R168)-1)+1)),INDEX('M03-S04'!$AV$16:$AV$198,2*(ROWS($O$157:O168)-1)+1),""),"")</f>
        <v/>
      </c>
      <c r="P168" s="113"/>
      <c r="Q168" s="113"/>
      <c r="R168" s="184">
        <f>IF(ISNUMBER(INDEX('M03-S04'!$AN$16:$AN$198,2*(ROWS($R$157:R168)-1)+1)),INDEX('M03-S04'!$AN$16:$AN$198,2*(ROWS($R$157:R168)-1)+1),0)</f>
        <v>0</v>
      </c>
      <c r="S168" s="459"/>
      <c r="T168" s="113"/>
      <c r="U168" s="140"/>
      <c r="V168" s="113"/>
      <c r="W168" s="96" t="str">
        <f>IFERROR(IF(NOT(ISNUMBER(INDEX('M03-S04'!$AN$16:$AN$198,2*(ROWS($R$157:R168)-1)+1))),INDEX('M03-S04'!$BC$16:$BC$198,2*(ROWS($R$157:R168)-1)+1),""),"")</f>
        <v/>
      </c>
      <c r="X168" s="113"/>
      <c r="Y168" s="113"/>
      <c r="Z168" s="111">
        <f>INDEX('M03-S04'!$B$16:$B$198,2*(ROWS($Z$157:Z168)-1)+1)</f>
        <v>12</v>
      </c>
      <c r="AA168" s="111" t="str">
        <f>INDEX('M03-S04'!$N$16:$N$198,2*(ROWS($Z$157:AA168)-1)+1)</f>
        <v/>
      </c>
      <c r="AB168" s="111">
        <f>INDEX('M03-S04'!$C$16:$C$198,2*(ROWS($Z$157:AB168)-1)+1)</f>
        <v>0</v>
      </c>
      <c r="AC168" s="96"/>
      <c r="AD168">
        <f>INDEX('M03-S04'!$X$16:$X$198,2*(ROWS($AD$157:AD168)-1)+1)</f>
        <v>0</v>
      </c>
      <c r="AE168" s="459"/>
      <c r="AF168" s="459"/>
      <c r="AG168" s="112"/>
      <c r="AH168" s="112"/>
      <c r="AI168" s="112"/>
      <c r="AJ168" s="112"/>
      <c r="AK168" s="113"/>
      <c r="AL168" s="113"/>
      <c r="AM168" s="113"/>
      <c r="AN168" s="113"/>
      <c r="AO168" s="52" t="str">
        <f>IFERROR(INDEX(AHSD[Program Design],MATCH(AB168,AHSD[Type],0)),"")</f>
        <v/>
      </c>
      <c r="AU168"/>
    </row>
    <row r="169" spans="1:47">
      <c r="A169" s="57">
        <f t="shared" si="13"/>
        <v>0</v>
      </c>
      <c r="B169" s="183" t="str">
        <f t="shared" ref="B169:B171" si="15">IF(C169="","",CONCATENATE(ROW(),"-",C169))</f>
        <v/>
      </c>
      <c r="C169" t="str">
        <f>IFERROR(IF(R169&gt;0,INDEX(AHSD[Measure '#],MATCH(AB169,AHSD[Type],0)),""),"")</f>
        <v/>
      </c>
      <c r="D169" t="s">
        <v>947</v>
      </c>
      <c r="F169" s="112"/>
      <c r="G169" s="186">
        <f>INDEX('M03-S04'!$AB$16:$AB$198,2*(ROWS($G$157:G169)-1)+1)</f>
        <v>0</v>
      </c>
      <c r="H169" s="186" t="str">
        <f>IF(ISNUMBER(INDEX('M03-S04'!$AN$16:$AN$198,2*(ROWS($R$157:R169)-1)+1)),"Total","")</f>
        <v/>
      </c>
      <c r="I169" s="184">
        <f>IFERROR(ROUND(INDEX('M03-S04'!$AE$16:$AE$198,2*(ROWS($I$157:I169)-1)+1),2),0)</f>
        <v>0</v>
      </c>
      <c r="J169" s="184">
        <f>IFERROR(ROUND(INDEX('M03-S04'!$AG$16:$AG$198,2*(ROWS($J$157:J169)-1)+1),2),0)</f>
        <v>0</v>
      </c>
      <c r="K169" s="52">
        <f>IFERROR(ROUND(INDEX('M03-S04'!$AU$16:$AU$198,2*(ROWS($K$157:K169)-1)+1),2),0)</f>
        <v>0</v>
      </c>
      <c r="L169" s="52" t="str">
        <f>IFERROR(IF(R169&gt;0,M169*INDEX(AHSD[Incremental Cost],MATCH(AB169,AHSD[Type],0)),""),"")</f>
        <v/>
      </c>
      <c r="M169" s="456" t="str">
        <f>INDEX('M03-S04'!$AY$16:$AY$198,2*(ROWS($M$157:M169)-1)+1)</f>
        <v/>
      </c>
      <c r="N169" s="184" t="str">
        <f>IF(ISNUMBER(INDEX('M03-S04'!$AN$16:$AN$198,2*(ROWS($R$157:R169)-1)+1)),INDEX('M03-S04'!$AK$16:$AK$198,2*(ROWS($N$157:N169)-1)+1),"")</f>
        <v/>
      </c>
      <c r="O169" s="456" t="str">
        <f>IFERROR(IF(ISNUMBER(INDEX('M03-S04'!$AN$16:$AN$198,2*(ROWS($R$157:R169)-1)+1)),INDEX('M03-S04'!$AV$16:$AV$198,2*(ROWS($O$157:O169)-1)+1),""),"")</f>
        <v/>
      </c>
      <c r="P169" s="113"/>
      <c r="Q169" s="113"/>
      <c r="R169" s="184">
        <f>IF(ISNUMBER(INDEX('M03-S04'!$AN$16:$AN$198,2*(ROWS($R$157:R169)-1)+1)),INDEX('M03-S04'!$AN$16:$AN$198,2*(ROWS($R$157:R169)-1)+1),0)</f>
        <v>0</v>
      </c>
      <c r="S169" s="459"/>
      <c r="T169" s="113"/>
      <c r="U169" s="140"/>
      <c r="V169" s="113"/>
      <c r="W169" s="96" t="str">
        <f>IFERROR(IF(NOT(ISNUMBER(INDEX('M03-S04'!$AN$16:$AN$198,2*(ROWS($R$157:R169)-1)+1))),INDEX('M03-S04'!$BC$16:$BC$198,2*(ROWS($R$157:R169)-1)+1),""),"")</f>
        <v/>
      </c>
      <c r="X169" s="113"/>
      <c r="Y169" s="113"/>
      <c r="Z169" s="111">
        <f>INDEX('M03-S04'!$B$16:$B$198,2*(ROWS($Z$157:Z169)-1)+1)</f>
        <v>13</v>
      </c>
      <c r="AA169" s="111" t="str">
        <f>INDEX('M03-S04'!$N$16:$N$198,2*(ROWS($Z$157:AA169)-1)+1)</f>
        <v/>
      </c>
      <c r="AB169" s="111">
        <f>INDEX('M03-S04'!$C$16:$C$198,2*(ROWS($Z$157:AB169)-1)+1)</f>
        <v>0</v>
      </c>
      <c r="AC169" s="96"/>
      <c r="AD169">
        <f>INDEX('M03-S04'!$X$16:$X$198,2*(ROWS($AD$157:AD169)-1)+1)</f>
        <v>0</v>
      </c>
      <c r="AE169" s="459"/>
      <c r="AF169" s="459"/>
      <c r="AG169" s="112"/>
      <c r="AH169" s="112"/>
      <c r="AI169" s="112"/>
      <c r="AJ169" s="112"/>
      <c r="AK169" s="113"/>
      <c r="AL169" s="113"/>
      <c r="AM169" s="113"/>
      <c r="AN169" s="113"/>
      <c r="AO169" s="52" t="str">
        <f>IFERROR(INDEX(AHSD[Program Design],MATCH(AB169,AHSD[Type],0)),"")</f>
        <v/>
      </c>
      <c r="AU169"/>
    </row>
    <row r="170" spans="1:47">
      <c r="A170" s="57">
        <f t="shared" si="13"/>
        <v>0</v>
      </c>
      <c r="B170" s="183" t="str">
        <f t="shared" si="15"/>
        <v/>
      </c>
      <c r="C170" t="str">
        <f>IFERROR(IF(R170&gt;0,INDEX(AHSD[Measure '#],MATCH(AB170,AHSD[Type],0)),""),"")</f>
        <v/>
      </c>
      <c r="D170" t="s">
        <v>947</v>
      </c>
      <c r="F170" s="112"/>
      <c r="G170" s="186">
        <f>INDEX('M03-S04'!$AB$16:$AB$198,2*(ROWS($G$157:G170)-1)+1)</f>
        <v>0</v>
      </c>
      <c r="H170" s="186" t="str">
        <f>IF(ISNUMBER(INDEX('M03-S04'!$AN$16:$AN$198,2*(ROWS($R$157:R170)-1)+1)),"Total","")</f>
        <v/>
      </c>
      <c r="I170" s="184">
        <f>IFERROR(ROUND(INDEX('M03-S04'!$AE$16:$AE$198,2*(ROWS($I$157:I170)-1)+1),2),0)</f>
        <v>0</v>
      </c>
      <c r="J170" s="184">
        <f>IFERROR(ROUND(INDEX('M03-S04'!$AG$16:$AG$198,2*(ROWS($J$157:J170)-1)+1),2),0)</f>
        <v>0</v>
      </c>
      <c r="K170" s="52">
        <f>IFERROR(ROUND(INDEX('M03-S04'!$AU$16:$AU$198,2*(ROWS($K$157:K170)-1)+1),2),0)</f>
        <v>0</v>
      </c>
      <c r="L170" s="52" t="str">
        <f>IFERROR(IF(R170&gt;0,M170*INDEX(AHSD[Incremental Cost],MATCH(AB170,AHSD[Type],0)),""),"")</f>
        <v/>
      </c>
      <c r="M170" s="456" t="str">
        <f>INDEX('M03-S04'!$AY$16:$AY$198,2*(ROWS($M$157:M170)-1)+1)</f>
        <v/>
      </c>
      <c r="N170" s="184" t="str">
        <f>IF(ISNUMBER(INDEX('M03-S04'!$AN$16:$AN$198,2*(ROWS($R$157:R170)-1)+1)),INDEX('M03-S04'!$AK$16:$AK$198,2*(ROWS($N$157:N170)-1)+1),"")</f>
        <v/>
      </c>
      <c r="O170" s="456" t="str">
        <f>IFERROR(IF(ISNUMBER(INDEX('M03-S04'!$AN$16:$AN$198,2*(ROWS($R$157:R170)-1)+1)),INDEX('M03-S04'!$AV$16:$AV$198,2*(ROWS($O$157:O170)-1)+1),""),"")</f>
        <v/>
      </c>
      <c r="P170" s="113"/>
      <c r="Q170" s="113"/>
      <c r="R170" s="184">
        <f>IF(ISNUMBER(INDEX('M03-S04'!$AN$16:$AN$198,2*(ROWS($R$157:R170)-1)+1)),INDEX('M03-S04'!$AN$16:$AN$198,2*(ROWS($R$157:R170)-1)+1),0)</f>
        <v>0</v>
      </c>
      <c r="S170" s="459"/>
      <c r="T170" s="113"/>
      <c r="U170" s="140"/>
      <c r="V170" s="113"/>
      <c r="W170" s="96" t="str">
        <f>IFERROR(IF(NOT(ISNUMBER(INDEX('M03-S04'!$AN$16:$AN$198,2*(ROWS($R$157:R170)-1)+1))),INDEX('M03-S04'!$BC$16:$BC$198,2*(ROWS($R$157:R170)-1)+1),""),"")</f>
        <v/>
      </c>
      <c r="X170" s="113"/>
      <c r="Y170" s="113"/>
      <c r="Z170" s="111">
        <f>INDEX('M03-S04'!$B$16:$B$198,2*(ROWS($Z$157:Z170)-1)+1)</f>
        <v>14</v>
      </c>
      <c r="AA170" s="111" t="str">
        <f>INDEX('M03-S04'!$N$16:$N$198,2*(ROWS($Z$157:AA170)-1)+1)</f>
        <v/>
      </c>
      <c r="AB170" s="111">
        <f>INDEX('M03-S04'!$C$16:$C$198,2*(ROWS($Z$157:AB170)-1)+1)</f>
        <v>0</v>
      </c>
      <c r="AC170" s="96"/>
      <c r="AD170">
        <f>INDEX('M03-S04'!$X$16:$X$198,2*(ROWS($AD$157:AD170)-1)+1)</f>
        <v>0</v>
      </c>
      <c r="AE170" s="459"/>
      <c r="AF170" s="459"/>
      <c r="AG170" s="112"/>
      <c r="AH170" s="112"/>
      <c r="AI170" s="112"/>
      <c r="AJ170" s="112"/>
      <c r="AK170" s="113"/>
      <c r="AL170" s="113"/>
      <c r="AM170" s="113"/>
      <c r="AN170" s="113"/>
      <c r="AO170" s="52" t="str">
        <f>IFERROR(INDEX(AHSD[Program Design],MATCH(AB170,AHSD[Type],0)),"")</f>
        <v/>
      </c>
      <c r="AU170"/>
    </row>
    <row r="171" spans="1:47">
      <c r="A171" s="57">
        <f t="shared" si="13"/>
        <v>0</v>
      </c>
      <c r="B171" s="183" t="str">
        <f t="shared" si="15"/>
        <v/>
      </c>
      <c r="C171" t="str">
        <f>IFERROR(IF(R171&gt;0,INDEX(AHSD[Measure '#],MATCH(AB171,AHSD[Type],0)),""),"")</f>
        <v/>
      </c>
      <c r="D171" t="s">
        <v>947</v>
      </c>
      <c r="F171" s="112"/>
      <c r="G171" s="186">
        <f>INDEX('M03-S04'!$AB$16:$AB$198,2*(ROWS($G$157:G171)-1)+1)</f>
        <v>0</v>
      </c>
      <c r="H171" s="186" t="str">
        <f>IF(ISNUMBER(INDEX('M03-S04'!$AN$16:$AN$198,2*(ROWS($R$157:R171)-1)+1)),"Total","")</f>
        <v/>
      </c>
      <c r="I171" s="184">
        <f>IFERROR(ROUND(INDEX('M03-S04'!$AE$16:$AE$198,2*(ROWS($I$157:I171)-1)+1),2),0)</f>
        <v>0</v>
      </c>
      <c r="J171" s="184">
        <f>IFERROR(ROUND(INDEX('M03-S04'!$AG$16:$AG$198,2*(ROWS($J$157:J171)-1)+1),2),0)</f>
        <v>0</v>
      </c>
      <c r="K171" s="52">
        <f>IFERROR(ROUND(INDEX('M03-S04'!$AU$16:$AU$198,2*(ROWS($K$157:K171)-1)+1),2),0)</f>
        <v>0</v>
      </c>
      <c r="L171" s="52" t="str">
        <f>IFERROR(IF(R171&gt;0,M171*INDEX(AHSD[Incremental Cost],MATCH(AB171,AHSD[Type],0)),""),"")</f>
        <v/>
      </c>
      <c r="M171" s="456" t="str">
        <f>INDEX('M03-S04'!$AY$16:$AY$198,2*(ROWS($M$157:M171)-1)+1)</f>
        <v/>
      </c>
      <c r="N171" s="184" t="str">
        <f>IF(ISNUMBER(INDEX('M03-S04'!$AN$16:$AN$198,2*(ROWS($R$157:R171)-1)+1)),INDEX('M03-S04'!$AK$16:$AK$198,2*(ROWS($N$157:N171)-1)+1),"")</f>
        <v/>
      </c>
      <c r="O171" s="456" t="str">
        <f>IFERROR(IF(ISNUMBER(INDEX('M03-S04'!$AN$16:$AN$198,2*(ROWS($R$157:R171)-1)+1)),INDEX('M03-S04'!$AV$16:$AV$198,2*(ROWS($O$157:O171)-1)+1),""),"")</f>
        <v/>
      </c>
      <c r="P171" s="113"/>
      <c r="Q171" s="113"/>
      <c r="R171" s="184">
        <f>IF(ISNUMBER(INDEX('M03-S04'!$AN$16:$AN$198,2*(ROWS($R$157:R171)-1)+1)),INDEX('M03-S04'!$AN$16:$AN$198,2*(ROWS($R$157:R171)-1)+1),0)</f>
        <v>0</v>
      </c>
      <c r="S171" s="459"/>
      <c r="T171" s="113"/>
      <c r="U171" s="140"/>
      <c r="V171" s="113"/>
      <c r="W171" s="96" t="str">
        <f>IFERROR(IF(NOT(ISNUMBER(INDEX('M03-S04'!$AN$16:$AN$198,2*(ROWS($R$157:R171)-1)+1))),INDEX('M03-S04'!$BC$16:$BC$198,2*(ROWS($R$157:R171)-1)+1),""),"")</f>
        <v/>
      </c>
      <c r="X171" s="113"/>
      <c r="Y171" s="113"/>
      <c r="Z171" s="111">
        <f>INDEX('M03-S04'!$B$16:$B$198,2*(ROWS($Z$157:Z171)-1)+1)</f>
        <v>15</v>
      </c>
      <c r="AA171" s="111" t="str">
        <f>INDEX('M03-S04'!$N$16:$N$198,2*(ROWS($Z$157:AA171)-1)+1)</f>
        <v/>
      </c>
      <c r="AB171" s="111">
        <f>INDEX('M03-S04'!$C$16:$C$198,2*(ROWS($Z$157:AB171)-1)+1)</f>
        <v>0</v>
      </c>
      <c r="AC171" s="96"/>
      <c r="AD171">
        <f>INDEX('M03-S04'!$X$16:$X$198,2*(ROWS($AD$157:AD171)-1)+1)</f>
        <v>0</v>
      </c>
      <c r="AE171" s="459"/>
      <c r="AF171" s="459"/>
      <c r="AG171" s="112"/>
      <c r="AH171" s="112"/>
      <c r="AI171" s="112"/>
      <c r="AJ171" s="112"/>
      <c r="AK171" s="113"/>
      <c r="AL171" s="113"/>
      <c r="AM171" s="113"/>
      <c r="AN171" s="113"/>
      <c r="AO171" s="52" t="str">
        <f>IFERROR(INDEX(AHSD[Program Design],MATCH(AB171,AHSD[Type],0)),"")</f>
        <v/>
      </c>
      <c r="AU171"/>
    </row>
    <row r="172" spans="1:47">
      <c r="A172" s="57">
        <f t="shared" si="13"/>
        <v>0</v>
      </c>
      <c r="B172" s="183" t="str">
        <f t="shared" ref="B172" ca="1" si="16">IF(C172="","",CONCATENATE(ROW(),"-",C172))</f>
        <v/>
      </c>
      <c r="C172" s="559" t="str">
        <f ca="1">IFERROR(IF(R172&gt;0,INDEX(PMEBONUS[Measure '#],MATCH(AB172,PMEBONUS[Eff Desc 1],0)),""),"")</f>
        <v/>
      </c>
      <c r="D172" t="s">
        <v>947</v>
      </c>
      <c r="F172" s="112"/>
      <c r="G172" s="186">
        <f>INDEX('M03-S04'!$AB$16:$AB$198,2*(ROWS($G$157:G172)-1)+1)</f>
        <v>0</v>
      </c>
      <c r="H172" s="112"/>
      <c r="I172" s="184">
        <f>IFERROR(ROUND(INDEX('M03-S04'!$AE$16:$AE$198,2*(ROWS($I$157:I172)-1)+1),2),0)</f>
        <v>0</v>
      </c>
      <c r="J172" s="184">
        <f>IFERROR(ROUND(INDEX('M03-S04'!$AG$16:$AG$198,2*(ROWS($J$157:J172)-1)+1),2),0)</f>
        <v>0</v>
      </c>
      <c r="K172" s="52">
        <f>IFERROR(ROUND(INDEX('M03-S04'!$AU$16:$AU$198,2*(ROWS($K$157:K172)-1)+1),2),0)</f>
        <v>0</v>
      </c>
      <c r="M172" s="456">
        <f ca="1">INDEX('M03-S04'!$V$16:$V$198,2*(ROWS($M$157:M172)-1)+1)</f>
        <v>0</v>
      </c>
      <c r="N172" s="184"/>
      <c r="O172" s="456"/>
      <c r="P172" s="113"/>
      <c r="Q172" s="113"/>
      <c r="R172" s="184">
        <f ca="1">IF(ISNUMBER(INDEX('M03-S04'!$AN$16:$AN$198,2*(ROWS($R$157:R172)-1)+1)),INDEX('M03-S04'!$AN$16:$AN$198,2*(ROWS($R$157:R172)-1)+1),0)</f>
        <v>0</v>
      </c>
      <c r="S172" s="459"/>
      <c r="T172" s="113"/>
      <c r="U172" s="140"/>
      <c r="V172" s="113"/>
      <c r="W172" s="96">
        <f ca="1">IFERROR(IF(NOT(ISNUMBER(INDEX('M03-S04'!$AN$16:$AN$198,2*(ROWS($R$157:R172)-1)+1))),INDEX('M03-S04'!$BC$16:$BC$198,2*(ROWS($R$157:R172)-1)+1),""),"")</f>
        <v>0</v>
      </c>
      <c r="X172" s="113"/>
      <c r="Y172" s="113"/>
      <c r="Z172" s="111">
        <f>INDEX('M03-S04'!$B$16:$B$198,2*(ROWS($Z$157:Z172)-1)+1)</f>
        <v>16</v>
      </c>
      <c r="AA172" s="111" t="str">
        <f ca="1">INDEX('M03-S04'!$N$16:$N$198,2*(ROWS($Z$157:AA172)-1)+1)</f>
        <v/>
      </c>
      <c r="AB172" s="111">
        <f ca="1">INDEX('M03-S04'!$C$16:$C$198,2*(ROWS($Z$157:AB172)-1)+1)</f>
        <v>0</v>
      </c>
      <c r="AC172" s="96"/>
      <c r="AD172">
        <f>INDEX('M03-S04'!$X$16:$X$198,2*(ROWS($AD$157:AD172)-1)+1)</f>
        <v>0</v>
      </c>
      <c r="AE172" s="459"/>
      <c r="AF172" s="459"/>
      <c r="AG172" s="112"/>
      <c r="AH172" s="112"/>
      <c r="AI172" s="112"/>
      <c r="AJ172" s="112"/>
      <c r="AK172" s="113"/>
      <c r="AL172" s="113"/>
      <c r="AM172" s="113"/>
      <c r="AN172" s="113"/>
      <c r="AO172" s="111" t="str">
        <f ca="1">IFERROR(INDEX(PMEBONUS[Program Design],MATCH(AB172,PMEBONUS[Eff Desc 1],0)),"")</f>
        <v/>
      </c>
      <c r="AU172"/>
    </row>
    <row r="173" spans="1:47" ht="14.25" customHeight="1">
      <c r="A173" s="146" t="str">
        <f>CONCATENATE(MAIN3," ",M3S5)</f>
        <v>PRESCRIPTIVE MEASURES INPUT Commercial Cooking (Elec/Gas)</v>
      </c>
      <c r="B173" s="148"/>
      <c r="C173" s="148"/>
      <c r="D173" s="120"/>
      <c r="E173" s="120"/>
      <c r="F173" s="124"/>
      <c r="G173" s="120"/>
      <c r="H173" s="120"/>
      <c r="I173" s="125"/>
      <c r="J173" s="125"/>
      <c r="K173" s="125"/>
      <c r="L173" s="125"/>
      <c r="M173" s="457"/>
      <c r="N173" s="125"/>
      <c r="O173" s="457"/>
      <c r="P173" s="125"/>
      <c r="Q173" s="125"/>
      <c r="R173" s="125"/>
      <c r="S173" s="460"/>
      <c r="T173" s="127"/>
      <c r="U173" s="141"/>
      <c r="V173" s="127"/>
      <c r="W173" s="126"/>
      <c r="X173" s="127"/>
      <c r="Y173" s="127"/>
      <c r="Z173" s="124"/>
      <c r="AA173" s="124"/>
      <c r="AB173" s="124"/>
      <c r="AC173" s="126"/>
      <c r="AD173" s="120"/>
      <c r="AE173" s="457"/>
      <c r="AF173" s="457"/>
      <c r="AG173" s="128"/>
      <c r="AH173" s="128"/>
      <c r="AI173" s="128"/>
      <c r="AJ173" s="128"/>
      <c r="AK173" s="127"/>
      <c r="AL173" s="127"/>
      <c r="AM173" s="127"/>
      <c r="AN173" s="127"/>
      <c r="AO173" s="127"/>
      <c r="AU173"/>
    </row>
    <row r="174" spans="1:47">
      <c r="A174" s="57">
        <f t="shared" ref="A174:A280" si="17">PROJID</f>
        <v>0</v>
      </c>
      <c r="B174" s="183" t="str">
        <f t="shared" ref="B174:B207" si="18">IF(C174="","",CONCATENATE(ROW(),"-",C174))</f>
        <v/>
      </c>
      <c r="C174" t="str">
        <f>IFERROR(IF(R174&gt;0,INDEX(PMEKITCHEN[Measure '#],MATCH(AB174,PMEKITCHEN[Eff Desc 1],0)),""),"")</f>
        <v/>
      </c>
      <c r="D174" t="s">
        <v>947</v>
      </c>
      <c r="F174" s="112"/>
      <c r="G174" s="186">
        <f>INDEX('M03-S05'!$AB$16:$AB$198,2*(ROWS($G$174:G174)-1)+1)</f>
        <v>0</v>
      </c>
      <c r="H174" s="186" t="str">
        <f>IF(ISNUMBER(INDEX('M03-S05'!$AN$16:$AN$198,2*(ROWS($R$174:R174)-1)+1)),"Total","")</f>
        <v/>
      </c>
      <c r="I174" s="184">
        <f>IFERROR(ROUND(INDEX('M03-S05'!$V$16:$V$198,2*(ROWS($I$174:I174)-1)+1)*INDEX('M03-S05'!$AE$16:$AE$198,2*(ROWS($I$174:I174)-1)+1),2),0)</f>
        <v>0</v>
      </c>
      <c r="J174" s="184">
        <f>IFERROR(ROUND(INDEX('M03-S05'!$V$16:$V$198,2*(ROWS($J$174:J174)-1)+1)*INDEX('M03-S05'!$AG$16:$AG$198,2*(ROWS($J$174:J174)-1)+1),2),0)</f>
        <v>0</v>
      </c>
      <c r="K174" s="52">
        <f>IFERROR(ROUND(INDEX('M03-S05'!$AU$16:$AU$198,2*(ROWS($K$174:K174)-1)+1),2),0)</f>
        <v>0</v>
      </c>
      <c r="L174" s="52" t="str">
        <f>IFERROR(IF(R174&gt;0,M174*INDEX(PMEKITCHEN[Incremental Cost],MATCH(AB174,PMEKITCHEN[Eff Desc 1],0)),""),"")</f>
        <v/>
      </c>
      <c r="M174" s="456">
        <f>INDEX('M03-S05'!$V$16:$V$198,2*(ROWS($M$174:M174)-1)+1)</f>
        <v>0</v>
      </c>
      <c r="N174" s="184" t="str">
        <f>IF(ISNUMBER(INDEX('M03-S05'!$AN$16:$AN$198,2*(ROWS($R$174:R174)-1)+1)),INDEX('M03-S05'!$AK$16:$AK$198,2*(ROWS($N$174:N174)-1)+1),"")</f>
        <v/>
      </c>
      <c r="O174" s="456" t="str">
        <f>IFERROR(IF(ISNUMBER(INDEX('M03-S05'!$AN$16:$AN$198,2*(ROWS($R$174:R174)-1)+1)),INDEX('M03-S05'!$AV$16:$AV$198,2*(ROWS($O$174:O174)-1)+1),""),"")</f>
        <v/>
      </c>
      <c r="P174" s="113"/>
      <c r="Q174" s="113"/>
      <c r="R174" s="184">
        <f>IF(ISNUMBER(INDEX('M03-S05'!$AN$16:$AN$198,2*(ROWS($R$174:R174)-1)+1)),INDEX('M03-S05'!$AN$16:$AN$198,2*(ROWS($R$174:R174)-1)+1),0)</f>
        <v>0</v>
      </c>
      <c r="S174" s="459"/>
      <c r="T174" s="113"/>
      <c r="U174" s="140"/>
      <c r="V174" s="113"/>
      <c r="W174" s="96" t="str">
        <f>IFERROR(IF(NOT(ISNUMBER(INDEX('M03-S05'!$AN$16:$AN$198,2*(ROWS($R$174:R174)-1)+1))),INDEX('M03-S05'!$BC$16:$BC$198,2*(ROWS($R$174:R174)-1)+1),""),"")</f>
        <v/>
      </c>
      <c r="X174" s="113"/>
      <c r="Y174" s="113"/>
      <c r="Z174" s="111">
        <f>INDEX('M03-S05'!$B$16:$B$198,2*(ROWS($Z$174:Z174)-1)+1)</f>
        <v>1</v>
      </c>
      <c r="AA174" s="111" t="str">
        <f>INDEX('M03-S05'!$N$16:$N$198,2*(ROWS($Z$174:AA174)-1)+1)</f>
        <v/>
      </c>
      <c r="AB174" s="111">
        <f>INDEX('M03-S05'!$C$16:$C$198,2*(ROWS($Z$174:AB174)-1)+1)</f>
        <v>0</v>
      </c>
      <c r="AC174" s="96"/>
      <c r="AD174">
        <f>INDEX('M03-S05'!$X$16:$X$198,2*(ROWS($AD$174:AD174)-1)+1)</f>
        <v>0</v>
      </c>
      <c r="AE174" s="459"/>
      <c r="AF174" s="459"/>
      <c r="AG174" s="112"/>
      <c r="AH174" s="112"/>
      <c r="AI174" s="112"/>
      <c r="AJ174" s="112"/>
      <c r="AK174" s="112"/>
      <c r="AL174" s="112"/>
      <c r="AM174" s="112"/>
      <c r="AN174" s="112"/>
      <c r="AO174" s="111" t="str">
        <f>IFERROR(INDEX(PMEKITCHEN[Program Design],MATCH(AB174,PMEKITCHEN[Eff Desc 1],0)),"")</f>
        <v/>
      </c>
      <c r="AU174"/>
    </row>
    <row r="175" spans="1:47">
      <c r="A175" s="57">
        <f t="shared" si="17"/>
        <v>0</v>
      </c>
      <c r="B175" s="183" t="str">
        <f t="shared" si="18"/>
        <v/>
      </c>
      <c r="C175" t="str">
        <f>IFERROR(IF(R175&gt;0,INDEX(PMEKITCHEN[Measure '#],MATCH(AB175,PMEKITCHEN[Eff Desc 1],0)),""),"")</f>
        <v/>
      </c>
      <c r="D175" t="s">
        <v>947</v>
      </c>
      <c r="F175" s="112"/>
      <c r="G175" s="186">
        <f>INDEX('M03-S05'!$AB$16:$AB$198,2*(ROWS($G$174:G175)-1)+1)</f>
        <v>0</v>
      </c>
      <c r="H175" s="186" t="str">
        <f>IF(ISNUMBER(INDEX('M03-S05'!$AN$16:$AN$198,2*(ROWS($R$174:R175)-1)+1)),"Total","")</f>
        <v/>
      </c>
      <c r="I175" s="184">
        <f>IFERROR(ROUND(INDEX('M03-S05'!$V$16:$V$198,2*(ROWS($I$174:I175)-1)+1)*INDEX('M03-S05'!$AE$16:$AE$198,2*(ROWS($I$174:I175)-1)+1),2),0)</f>
        <v>0</v>
      </c>
      <c r="J175" s="184">
        <f>IFERROR(ROUND(INDEX('M03-S05'!$V$16:$V$198,2*(ROWS($J$174:J175)-1)+1)*INDEX('M03-S05'!$AG$16:$AG$198,2*(ROWS($J$174:J175)-1)+1),2),0)</f>
        <v>0</v>
      </c>
      <c r="K175" s="52">
        <f>IFERROR(ROUND(INDEX('M03-S05'!$AU$16:$AU$198,2*(ROWS($K$174:K175)-1)+1),2),0)</f>
        <v>0</v>
      </c>
      <c r="L175" s="52" t="str">
        <f>IFERROR(IF(R175&gt;0,M175*INDEX(PMEKITCHEN[Incremental Cost],MATCH(AB175,PMEKITCHEN[Eff Desc 1],0)),""),"")</f>
        <v/>
      </c>
      <c r="M175" s="456">
        <f>INDEX('M03-S05'!$V$16:$V$198,2*(ROWS($M$174:M175)-1)+1)</f>
        <v>0</v>
      </c>
      <c r="N175" s="184" t="str">
        <f>IF(ISNUMBER(INDEX('M03-S05'!$AN$16:$AN$198,2*(ROWS($R$174:R175)-1)+1)),INDEX('M03-S05'!$AK$16:$AK$198,2*(ROWS($N$174:N175)-1)+1),"")</f>
        <v/>
      </c>
      <c r="O175" s="456" t="str">
        <f>IFERROR(IF(ISNUMBER(INDEX('M03-S05'!$AN$16:$AN$198,2*(ROWS($R$174:R175)-1)+1)),INDEX('M03-S05'!$AV$16:$AV$198,2*(ROWS($O$174:O175)-1)+1),""),"")</f>
        <v/>
      </c>
      <c r="P175" s="113"/>
      <c r="Q175" s="113"/>
      <c r="R175" s="184">
        <f>IF(ISNUMBER(INDEX('M03-S05'!$AN$16:$AN$198,2*(ROWS($R$174:R175)-1)+1)),INDEX('M03-S05'!$AN$16:$AN$198,2*(ROWS($R$174:R175)-1)+1),0)</f>
        <v>0</v>
      </c>
      <c r="S175" s="459"/>
      <c r="T175" s="113"/>
      <c r="U175" s="140"/>
      <c r="V175" s="113"/>
      <c r="W175" s="96" t="str">
        <f>IFERROR(IF(NOT(ISNUMBER(INDEX('M03-S05'!$AN$16:$AN$198,2*(ROWS($R$174:R175)-1)+1))),INDEX('M03-S05'!$BC$16:$BC$198,2*(ROWS($R$174:R175)-1)+1),""),"")</f>
        <v/>
      </c>
      <c r="X175" s="113"/>
      <c r="Y175" s="113"/>
      <c r="Z175" s="111">
        <f>INDEX('M03-S05'!$B$16:$B$198,2*(ROWS($Z$174:Z175)-1)+1)</f>
        <v>2</v>
      </c>
      <c r="AA175" s="111" t="str">
        <f>INDEX('M03-S05'!$N$16:$N$198,2*(ROWS($Z$174:AA175)-1)+1)</f>
        <v/>
      </c>
      <c r="AB175" s="111">
        <f>INDEX('M03-S05'!$C$16:$C$198,2*(ROWS($Z$174:AB175)-1)+1)</f>
        <v>0</v>
      </c>
      <c r="AC175" s="96"/>
      <c r="AD175">
        <f>INDEX('M03-S05'!$X$16:$X$198,2*(ROWS($AD$174:AD175)-1)+1)</f>
        <v>0</v>
      </c>
      <c r="AE175" s="459"/>
      <c r="AF175" s="459"/>
      <c r="AG175" s="112"/>
      <c r="AH175" s="112"/>
      <c r="AI175" s="112"/>
      <c r="AJ175" s="112"/>
      <c r="AK175" s="112"/>
      <c r="AL175" s="112"/>
      <c r="AM175" s="112"/>
      <c r="AN175" s="112"/>
      <c r="AO175" s="111" t="str">
        <f>IFERROR(INDEX(PMEKITCHEN[Program Design],MATCH(AB175,PMEKITCHEN[Eff Desc 1],0)),"")</f>
        <v/>
      </c>
      <c r="AU175"/>
    </row>
    <row r="176" spans="1:47">
      <c r="A176" s="57">
        <f t="shared" si="17"/>
        <v>0</v>
      </c>
      <c r="B176" s="183" t="str">
        <f t="shared" si="18"/>
        <v/>
      </c>
      <c r="C176" t="str">
        <f>IFERROR(IF(R176&gt;0,INDEX(PMEKITCHEN[Measure '#],MATCH(AB176,PMEKITCHEN[Eff Desc 1],0)),""),"")</f>
        <v/>
      </c>
      <c r="D176" t="s">
        <v>947</v>
      </c>
      <c r="F176" s="112"/>
      <c r="G176" s="186">
        <f>INDEX('M03-S05'!$AB$16:$AB$198,2*(ROWS($G$174:G176)-1)+1)</f>
        <v>0</v>
      </c>
      <c r="H176" s="186" t="str">
        <f>IF(ISNUMBER(INDEX('M03-S05'!$AN$16:$AN$198,2*(ROWS($R$174:R176)-1)+1)),"Total","")</f>
        <v/>
      </c>
      <c r="I176" s="184">
        <f>IFERROR(ROUND(INDEX('M03-S05'!$V$16:$V$198,2*(ROWS($I$174:I176)-1)+1)*INDEX('M03-S05'!$AE$16:$AE$198,2*(ROWS($I$174:I176)-1)+1),2),0)</f>
        <v>0</v>
      </c>
      <c r="J176" s="184">
        <f>IFERROR(ROUND(INDEX('M03-S05'!$V$16:$V$198,2*(ROWS($J$174:J176)-1)+1)*INDEX('M03-S05'!$AG$16:$AG$198,2*(ROWS($J$174:J176)-1)+1),2),0)</f>
        <v>0</v>
      </c>
      <c r="K176" s="52">
        <f>IFERROR(ROUND(INDEX('M03-S05'!$AU$16:$AU$198,2*(ROWS($K$174:K176)-1)+1),2),0)</f>
        <v>0</v>
      </c>
      <c r="L176" s="52" t="str">
        <f>IFERROR(IF(R176&gt;0,M176*INDEX(PMEKITCHEN[Incremental Cost],MATCH(AB176,PMEKITCHEN[Eff Desc 1],0)),""),"")</f>
        <v/>
      </c>
      <c r="M176" s="456">
        <f>INDEX('M03-S05'!$V$16:$V$198,2*(ROWS($M$174:M176)-1)+1)</f>
        <v>0</v>
      </c>
      <c r="N176" s="184" t="str">
        <f>IF(ISNUMBER(INDEX('M03-S05'!$AN$16:$AN$198,2*(ROWS($R$174:R176)-1)+1)),INDEX('M03-S05'!$AK$16:$AK$198,2*(ROWS($N$174:N176)-1)+1),"")</f>
        <v/>
      </c>
      <c r="O176" s="456" t="str">
        <f>IFERROR(IF(ISNUMBER(INDEX('M03-S05'!$AN$16:$AN$198,2*(ROWS($R$174:R176)-1)+1)),INDEX('M03-S05'!$AV$16:$AV$198,2*(ROWS($O$174:O176)-1)+1),""),"")</f>
        <v/>
      </c>
      <c r="P176" s="113"/>
      <c r="Q176" s="113"/>
      <c r="R176" s="184">
        <f>IF(ISNUMBER(INDEX('M03-S05'!$AN$16:$AN$198,2*(ROWS($R$174:R176)-1)+1)),INDEX('M03-S05'!$AN$16:$AN$198,2*(ROWS($R$174:R176)-1)+1),0)</f>
        <v>0</v>
      </c>
      <c r="S176" s="459"/>
      <c r="T176" s="113"/>
      <c r="U176" s="140"/>
      <c r="V176" s="113"/>
      <c r="W176" s="96" t="str">
        <f>IFERROR(IF(NOT(ISNUMBER(INDEX('M03-S05'!$AN$16:$AN$198,2*(ROWS($R$174:R176)-1)+1))),INDEX('M03-S05'!$BC$16:$BC$198,2*(ROWS($R$174:R176)-1)+1),""),"")</f>
        <v/>
      </c>
      <c r="X176" s="113"/>
      <c r="Y176" s="113"/>
      <c r="Z176" s="111">
        <f>INDEX('M03-S05'!$B$16:$B$198,2*(ROWS($Z$174:Z176)-1)+1)</f>
        <v>3</v>
      </c>
      <c r="AA176" s="111" t="str">
        <f>INDEX('M03-S05'!$N$16:$N$198,2*(ROWS($Z$174:AA176)-1)+1)</f>
        <v/>
      </c>
      <c r="AB176" s="111">
        <f>INDEX('M03-S05'!$C$16:$C$198,2*(ROWS($Z$174:AB176)-1)+1)</f>
        <v>0</v>
      </c>
      <c r="AC176" s="96"/>
      <c r="AD176">
        <f>INDEX('M03-S05'!$X$16:$X$198,2*(ROWS($AD$174:AD176)-1)+1)</f>
        <v>0</v>
      </c>
      <c r="AE176" s="459"/>
      <c r="AF176" s="459"/>
      <c r="AG176" s="112"/>
      <c r="AH176" s="112"/>
      <c r="AI176" s="112"/>
      <c r="AJ176" s="112"/>
      <c r="AK176" s="112"/>
      <c r="AL176" s="112"/>
      <c r="AM176" s="112"/>
      <c r="AN176" s="112"/>
      <c r="AO176" s="111" t="str">
        <f>IFERROR(INDEX(PMEKITCHEN[Program Design],MATCH(AB176,PMEKITCHEN[Eff Desc 1],0)),"")</f>
        <v/>
      </c>
      <c r="AU176"/>
    </row>
    <row r="177" spans="1:47">
      <c r="A177" s="57">
        <f t="shared" si="17"/>
        <v>0</v>
      </c>
      <c r="B177" s="183" t="str">
        <f t="shared" si="18"/>
        <v/>
      </c>
      <c r="C177" t="str">
        <f>IFERROR(IF(R177&gt;0,INDEX(PMEKITCHEN[Measure '#],MATCH(AB177,PMEKITCHEN[Eff Desc 1],0)),""),"")</f>
        <v/>
      </c>
      <c r="D177" t="s">
        <v>947</v>
      </c>
      <c r="F177" s="112"/>
      <c r="G177" s="186">
        <f>INDEX('M03-S05'!$AB$16:$AB$198,2*(ROWS($G$174:G177)-1)+1)</f>
        <v>0</v>
      </c>
      <c r="H177" s="186" t="str">
        <f>IF(ISNUMBER(INDEX('M03-S05'!$AN$16:$AN$198,2*(ROWS($R$174:R177)-1)+1)),"Total","")</f>
        <v/>
      </c>
      <c r="I177" s="184">
        <f>IFERROR(ROUND(INDEX('M03-S05'!$V$16:$V$198,2*(ROWS($I$174:I177)-1)+1)*INDEX('M03-S05'!$AE$16:$AE$198,2*(ROWS($I$174:I177)-1)+1),2),0)</f>
        <v>0</v>
      </c>
      <c r="J177" s="184">
        <f>IFERROR(ROUND(INDEX('M03-S05'!$V$16:$V$198,2*(ROWS($J$174:J177)-1)+1)*INDEX('M03-S05'!$AG$16:$AG$198,2*(ROWS($J$174:J177)-1)+1),2),0)</f>
        <v>0</v>
      </c>
      <c r="K177" s="52">
        <f>IFERROR(ROUND(INDEX('M03-S05'!$AU$16:$AU$198,2*(ROWS($K$174:K177)-1)+1),2),0)</f>
        <v>0</v>
      </c>
      <c r="L177" s="52" t="str">
        <f>IFERROR(IF(R177&gt;0,M177*INDEX(PMEKITCHEN[Incremental Cost],MATCH(AB177,PMEKITCHEN[Eff Desc 1],0)),""),"")</f>
        <v/>
      </c>
      <c r="M177" s="456">
        <f>INDEX('M03-S05'!$V$16:$V$198,2*(ROWS($M$174:M177)-1)+1)</f>
        <v>0</v>
      </c>
      <c r="N177" s="184" t="str">
        <f>IF(ISNUMBER(INDEX('M03-S05'!$AN$16:$AN$198,2*(ROWS($R$174:R177)-1)+1)),INDEX('M03-S05'!$AK$16:$AK$198,2*(ROWS($N$174:N177)-1)+1),"")</f>
        <v/>
      </c>
      <c r="O177" s="456" t="str">
        <f>IFERROR(IF(ISNUMBER(INDEX('M03-S05'!$AN$16:$AN$198,2*(ROWS($R$174:R177)-1)+1)),INDEX('M03-S05'!$AV$16:$AV$198,2*(ROWS($O$174:O177)-1)+1),""),"")</f>
        <v/>
      </c>
      <c r="P177" s="113"/>
      <c r="Q177" s="113"/>
      <c r="R177" s="184">
        <f>IF(ISNUMBER(INDEX('M03-S05'!$AN$16:$AN$198,2*(ROWS($R$174:R177)-1)+1)),INDEX('M03-S05'!$AN$16:$AN$198,2*(ROWS($R$174:R177)-1)+1),0)</f>
        <v>0</v>
      </c>
      <c r="S177" s="459"/>
      <c r="T177" s="113"/>
      <c r="U177" s="140"/>
      <c r="V177" s="113"/>
      <c r="W177" s="96" t="str">
        <f>IFERROR(IF(NOT(ISNUMBER(INDEX('M03-S05'!$AN$16:$AN$198,2*(ROWS($R$174:R177)-1)+1))),INDEX('M03-S05'!$BC$16:$BC$198,2*(ROWS($R$174:R177)-1)+1),""),"")</f>
        <v/>
      </c>
      <c r="X177" s="113"/>
      <c r="Y177" s="113"/>
      <c r="Z177" s="111">
        <f>INDEX('M03-S05'!$B$16:$B$198,2*(ROWS($Z$174:Z177)-1)+1)</f>
        <v>4</v>
      </c>
      <c r="AA177" s="111" t="str">
        <f>INDEX('M03-S05'!$N$16:$N$198,2*(ROWS($Z$174:AA177)-1)+1)</f>
        <v/>
      </c>
      <c r="AB177" s="111">
        <f>INDEX('M03-S05'!$C$16:$C$198,2*(ROWS($Z$174:AB177)-1)+1)</f>
        <v>0</v>
      </c>
      <c r="AC177" s="96"/>
      <c r="AD177">
        <f>INDEX('M03-S05'!$X$16:$X$198,2*(ROWS($AD$174:AD177)-1)+1)</f>
        <v>0</v>
      </c>
      <c r="AE177" s="459"/>
      <c r="AF177" s="459"/>
      <c r="AG177" s="112"/>
      <c r="AH177" s="112"/>
      <c r="AI177" s="112"/>
      <c r="AJ177" s="112"/>
      <c r="AK177" s="112"/>
      <c r="AL177" s="112"/>
      <c r="AM177" s="112"/>
      <c r="AN177" s="112"/>
      <c r="AO177" s="111" t="str">
        <f>IFERROR(INDEX(PMEKITCHEN[Program Design],MATCH(AB177,PMEKITCHEN[Eff Desc 1],0)),"")</f>
        <v/>
      </c>
      <c r="AU177"/>
    </row>
    <row r="178" spans="1:47">
      <c r="A178" s="57">
        <f t="shared" si="17"/>
        <v>0</v>
      </c>
      <c r="B178" s="183" t="str">
        <f t="shared" si="18"/>
        <v/>
      </c>
      <c r="C178" t="str">
        <f>IFERROR(IF(R178&gt;0,INDEX(PMEKITCHEN[Measure '#],MATCH(AB178,PMEKITCHEN[Eff Desc 1],0)),""),"")</f>
        <v/>
      </c>
      <c r="D178" t="s">
        <v>947</v>
      </c>
      <c r="F178" s="112"/>
      <c r="G178" s="186">
        <f>INDEX('M03-S05'!$AB$16:$AB$198,2*(ROWS($G$174:G178)-1)+1)</f>
        <v>0</v>
      </c>
      <c r="H178" s="186" t="str">
        <f>IF(ISNUMBER(INDEX('M03-S05'!$AN$16:$AN$198,2*(ROWS($R$174:R178)-1)+1)),"Total","")</f>
        <v/>
      </c>
      <c r="I178" s="184">
        <f>IFERROR(ROUND(INDEX('M03-S05'!$V$16:$V$198,2*(ROWS($I$174:I178)-1)+1)*INDEX('M03-S05'!$AE$16:$AE$198,2*(ROWS($I$174:I178)-1)+1),2),0)</f>
        <v>0</v>
      </c>
      <c r="J178" s="184">
        <f>IFERROR(ROUND(INDEX('M03-S05'!$V$16:$V$198,2*(ROWS($J$174:J178)-1)+1)*INDEX('M03-S05'!$AG$16:$AG$198,2*(ROWS($J$174:J178)-1)+1),2),0)</f>
        <v>0</v>
      </c>
      <c r="K178" s="52">
        <f>IFERROR(ROUND(INDEX('M03-S05'!$AU$16:$AU$198,2*(ROWS($K$174:K178)-1)+1),2),0)</f>
        <v>0</v>
      </c>
      <c r="L178" s="52" t="str">
        <f>IFERROR(IF(R178&gt;0,M178*INDEX(PMEKITCHEN[Incremental Cost],MATCH(AB178,PMEKITCHEN[Eff Desc 1],0)),""),"")</f>
        <v/>
      </c>
      <c r="M178" s="456">
        <f>INDEX('M03-S05'!$V$16:$V$198,2*(ROWS($M$174:M178)-1)+1)</f>
        <v>0</v>
      </c>
      <c r="N178" s="184" t="str">
        <f>IF(ISNUMBER(INDEX('M03-S05'!$AN$16:$AN$198,2*(ROWS($R$174:R178)-1)+1)),INDEX('M03-S05'!$AK$16:$AK$198,2*(ROWS($N$174:N178)-1)+1),"")</f>
        <v/>
      </c>
      <c r="O178" s="456" t="str">
        <f>IFERROR(IF(ISNUMBER(INDEX('M03-S05'!$AN$16:$AN$198,2*(ROWS($R$174:R178)-1)+1)),INDEX('M03-S05'!$AV$16:$AV$198,2*(ROWS($O$174:O178)-1)+1),""),"")</f>
        <v/>
      </c>
      <c r="P178" s="113"/>
      <c r="Q178" s="113"/>
      <c r="R178" s="184">
        <f>IF(ISNUMBER(INDEX('M03-S05'!$AN$16:$AN$198,2*(ROWS($R$174:R178)-1)+1)),INDEX('M03-S05'!$AN$16:$AN$198,2*(ROWS($R$174:R178)-1)+1),0)</f>
        <v>0</v>
      </c>
      <c r="S178" s="459"/>
      <c r="T178" s="113"/>
      <c r="U178" s="140"/>
      <c r="V178" s="113"/>
      <c r="W178" s="96" t="str">
        <f>IFERROR(IF(NOT(ISNUMBER(INDEX('M03-S05'!$AN$16:$AN$198,2*(ROWS($R$174:R178)-1)+1))),INDEX('M03-S05'!$BC$16:$BC$198,2*(ROWS($R$174:R178)-1)+1),""),"")</f>
        <v/>
      </c>
      <c r="X178" s="113"/>
      <c r="Y178" s="113"/>
      <c r="Z178" s="111">
        <f>INDEX('M03-S05'!$B$16:$B$198,2*(ROWS($Z$174:Z178)-1)+1)</f>
        <v>5</v>
      </c>
      <c r="AA178" s="111" t="str">
        <f>INDEX('M03-S05'!$N$16:$N$198,2*(ROWS($Z$174:AA178)-1)+1)</f>
        <v/>
      </c>
      <c r="AB178" s="111">
        <f>INDEX('M03-S05'!$C$16:$C$198,2*(ROWS($Z$174:AB178)-1)+1)</f>
        <v>0</v>
      </c>
      <c r="AC178" s="96"/>
      <c r="AD178">
        <f>INDEX('M03-S05'!$X$16:$X$198,2*(ROWS($AD$174:AD178)-1)+1)</f>
        <v>0</v>
      </c>
      <c r="AE178" s="459"/>
      <c r="AF178" s="459"/>
      <c r="AG178" s="112"/>
      <c r="AH178" s="112"/>
      <c r="AI178" s="112"/>
      <c r="AJ178" s="112"/>
      <c r="AK178" s="112"/>
      <c r="AL178" s="112"/>
      <c r="AM178" s="112"/>
      <c r="AN178" s="112"/>
      <c r="AO178" s="111" t="str">
        <f>IFERROR(INDEX(PMEKITCHEN[Program Design],MATCH(AB178,PMEKITCHEN[Eff Desc 1],0)),"")</f>
        <v/>
      </c>
      <c r="AU178"/>
    </row>
    <row r="179" spans="1:47">
      <c r="A179" s="57">
        <f t="shared" si="17"/>
        <v>0</v>
      </c>
      <c r="B179" s="183" t="str">
        <f t="shared" si="18"/>
        <v/>
      </c>
      <c r="C179" t="str">
        <f>IFERROR(IF(R179&gt;0,INDEX(PMEKITCHEN[Measure '#],MATCH(AB179,PMEKITCHEN[Eff Desc 1],0)),""),"")</f>
        <v/>
      </c>
      <c r="D179" t="s">
        <v>947</v>
      </c>
      <c r="F179" s="112"/>
      <c r="G179" s="186">
        <f>INDEX('M03-S05'!$AB$16:$AB$198,2*(ROWS($G$174:G179)-1)+1)</f>
        <v>0</v>
      </c>
      <c r="H179" s="186" t="str">
        <f>IF(ISNUMBER(INDEX('M03-S05'!$AN$16:$AN$198,2*(ROWS($R$174:R179)-1)+1)),"Total","")</f>
        <v/>
      </c>
      <c r="I179" s="184">
        <f>IFERROR(ROUND(INDEX('M03-S05'!$V$16:$V$198,2*(ROWS($I$174:I179)-1)+1)*INDEX('M03-S05'!$AE$16:$AE$198,2*(ROWS($I$174:I179)-1)+1),2),0)</f>
        <v>0</v>
      </c>
      <c r="J179" s="184">
        <f>IFERROR(ROUND(INDEX('M03-S05'!$V$16:$V$198,2*(ROWS($J$174:J179)-1)+1)*INDEX('M03-S05'!$AG$16:$AG$198,2*(ROWS($J$174:J179)-1)+1),2),0)</f>
        <v>0</v>
      </c>
      <c r="K179" s="52">
        <f>IFERROR(ROUND(INDEX('M03-S05'!$AU$16:$AU$198,2*(ROWS($K$174:K179)-1)+1),2),0)</f>
        <v>0</v>
      </c>
      <c r="L179" s="52" t="str">
        <f>IFERROR(IF(R179&gt;0,M179*INDEX(PMEKITCHEN[Incremental Cost],MATCH(AB179,PMEKITCHEN[Eff Desc 1],0)),""),"")</f>
        <v/>
      </c>
      <c r="M179" s="456">
        <f>INDEX('M03-S05'!$V$16:$V$198,2*(ROWS($M$174:M179)-1)+1)</f>
        <v>0</v>
      </c>
      <c r="N179" s="184" t="str">
        <f>IF(ISNUMBER(INDEX('M03-S05'!$AN$16:$AN$198,2*(ROWS($R$174:R179)-1)+1)),INDEX('M03-S05'!$AK$16:$AK$198,2*(ROWS($N$174:N179)-1)+1),"")</f>
        <v/>
      </c>
      <c r="O179" s="456" t="str">
        <f>IFERROR(IF(ISNUMBER(INDEX('M03-S05'!$AN$16:$AN$198,2*(ROWS($R$174:R179)-1)+1)),INDEX('M03-S05'!$AV$16:$AV$198,2*(ROWS($O$174:O179)-1)+1),""),"")</f>
        <v/>
      </c>
      <c r="P179" s="113"/>
      <c r="Q179" s="113"/>
      <c r="R179" s="184">
        <f>IF(ISNUMBER(INDEX('M03-S05'!$AN$16:$AN$198,2*(ROWS($R$174:R179)-1)+1)),INDEX('M03-S05'!$AN$16:$AN$198,2*(ROWS($R$174:R179)-1)+1),0)</f>
        <v>0</v>
      </c>
      <c r="S179" s="459"/>
      <c r="T179" s="113"/>
      <c r="U179" s="140"/>
      <c r="V179" s="113"/>
      <c r="W179" s="96" t="str">
        <f>IFERROR(IF(NOT(ISNUMBER(INDEX('M03-S05'!$AN$16:$AN$198,2*(ROWS($R$174:R179)-1)+1))),INDEX('M03-S05'!$BC$16:$BC$198,2*(ROWS($R$174:R179)-1)+1),""),"")</f>
        <v/>
      </c>
      <c r="X179" s="113"/>
      <c r="Y179" s="113"/>
      <c r="Z179" s="111">
        <f>INDEX('M03-S05'!$B$16:$B$198,2*(ROWS($Z$174:Z179)-1)+1)</f>
        <v>6</v>
      </c>
      <c r="AA179" s="111" t="str">
        <f>INDEX('M03-S05'!$N$16:$N$198,2*(ROWS($Z$174:AA179)-1)+1)</f>
        <v/>
      </c>
      <c r="AB179" s="111">
        <f>INDEX('M03-S05'!$C$16:$C$198,2*(ROWS($Z$174:AB179)-1)+1)</f>
        <v>0</v>
      </c>
      <c r="AC179" s="96"/>
      <c r="AD179">
        <f>INDEX('M03-S05'!$X$16:$X$198,2*(ROWS($AD$174:AD179)-1)+1)</f>
        <v>0</v>
      </c>
      <c r="AE179" s="459"/>
      <c r="AF179" s="459"/>
      <c r="AG179" s="112"/>
      <c r="AH179" s="112"/>
      <c r="AI179" s="112"/>
      <c r="AJ179" s="112"/>
      <c r="AK179" s="112"/>
      <c r="AL179" s="112"/>
      <c r="AM179" s="112"/>
      <c r="AN179" s="112"/>
      <c r="AO179" s="111" t="str">
        <f>IFERROR(INDEX(PMEKITCHEN[Program Design],MATCH(AB179,PMEKITCHEN[Eff Desc 1],0)),"")</f>
        <v/>
      </c>
      <c r="AU179"/>
    </row>
    <row r="180" spans="1:47">
      <c r="A180" s="57">
        <f t="shared" si="17"/>
        <v>0</v>
      </c>
      <c r="B180" s="183" t="str">
        <f t="shared" si="18"/>
        <v/>
      </c>
      <c r="C180" t="str">
        <f>IFERROR(IF(R180&gt;0,INDEX(PMEKITCHEN[Measure '#],MATCH(AB180,PMEKITCHEN[Eff Desc 1],0)),""),"")</f>
        <v/>
      </c>
      <c r="D180" t="s">
        <v>947</v>
      </c>
      <c r="F180" s="112"/>
      <c r="G180" s="186">
        <f>INDEX('M03-S05'!$AB$16:$AB$198,2*(ROWS($G$174:G180)-1)+1)</f>
        <v>0</v>
      </c>
      <c r="H180" s="186" t="str">
        <f>IF(ISNUMBER(INDEX('M03-S05'!$AN$16:$AN$198,2*(ROWS($R$174:R180)-1)+1)),"Total","")</f>
        <v/>
      </c>
      <c r="I180" s="184">
        <f>IFERROR(ROUND(INDEX('M03-S05'!$V$16:$V$198,2*(ROWS($I$174:I180)-1)+1)*INDEX('M03-S05'!$AE$16:$AE$198,2*(ROWS($I$174:I180)-1)+1),2),0)</f>
        <v>0</v>
      </c>
      <c r="J180" s="184">
        <f>IFERROR(ROUND(INDEX('M03-S05'!$V$16:$V$198,2*(ROWS($J$174:J180)-1)+1)*INDEX('M03-S05'!$AG$16:$AG$198,2*(ROWS($J$174:J180)-1)+1),2),0)</f>
        <v>0</v>
      </c>
      <c r="K180" s="52">
        <f>IFERROR(ROUND(INDEX('M03-S05'!$AU$16:$AU$198,2*(ROWS($K$174:K180)-1)+1),2),0)</f>
        <v>0</v>
      </c>
      <c r="L180" s="52" t="str">
        <f>IFERROR(IF(R180&gt;0,M180*INDEX(PMEKITCHEN[Incremental Cost],MATCH(AB180,PMEKITCHEN[Eff Desc 1],0)),""),"")</f>
        <v/>
      </c>
      <c r="M180" s="456">
        <f>INDEX('M03-S05'!$V$16:$V$198,2*(ROWS($M$174:M180)-1)+1)</f>
        <v>0</v>
      </c>
      <c r="N180" s="184" t="str">
        <f>IF(ISNUMBER(INDEX('M03-S05'!$AN$16:$AN$198,2*(ROWS($R$174:R180)-1)+1)),INDEX('M03-S05'!$AK$16:$AK$198,2*(ROWS($N$174:N180)-1)+1),"")</f>
        <v/>
      </c>
      <c r="O180" s="456" t="str">
        <f>IFERROR(IF(ISNUMBER(INDEX('M03-S05'!$AN$16:$AN$198,2*(ROWS($R$174:R180)-1)+1)),INDEX('M03-S05'!$AV$16:$AV$198,2*(ROWS($O$174:O180)-1)+1),""),"")</f>
        <v/>
      </c>
      <c r="P180" s="113"/>
      <c r="Q180" s="113"/>
      <c r="R180" s="184">
        <f>IF(ISNUMBER(INDEX('M03-S05'!$AN$16:$AN$198,2*(ROWS($R$174:R180)-1)+1)),INDEX('M03-S05'!$AN$16:$AN$198,2*(ROWS($R$174:R180)-1)+1),0)</f>
        <v>0</v>
      </c>
      <c r="S180" s="459"/>
      <c r="T180" s="113"/>
      <c r="U180" s="140"/>
      <c r="V180" s="113"/>
      <c r="W180" s="96" t="str">
        <f>IFERROR(IF(NOT(ISNUMBER(INDEX('M03-S05'!$AN$16:$AN$198,2*(ROWS($R$174:R180)-1)+1))),INDEX('M03-S05'!$BC$16:$BC$198,2*(ROWS($R$174:R180)-1)+1),""),"")</f>
        <v/>
      </c>
      <c r="X180" s="113"/>
      <c r="Y180" s="113"/>
      <c r="Z180" s="111">
        <f>INDEX('M03-S05'!$B$16:$B$198,2*(ROWS($Z$174:Z180)-1)+1)</f>
        <v>7</v>
      </c>
      <c r="AA180" s="111" t="str">
        <f>INDEX('M03-S05'!$N$16:$N$198,2*(ROWS($Z$174:AA180)-1)+1)</f>
        <v/>
      </c>
      <c r="AB180" s="111">
        <f>INDEX('M03-S05'!$C$16:$C$198,2*(ROWS($Z$174:AB180)-1)+1)</f>
        <v>0</v>
      </c>
      <c r="AC180" s="96"/>
      <c r="AD180">
        <f>INDEX('M03-S05'!$X$16:$X$198,2*(ROWS($AD$174:AD180)-1)+1)</f>
        <v>0</v>
      </c>
      <c r="AE180" s="459"/>
      <c r="AF180" s="459"/>
      <c r="AG180" s="112"/>
      <c r="AH180" s="112"/>
      <c r="AI180" s="112"/>
      <c r="AJ180" s="112"/>
      <c r="AK180" s="112"/>
      <c r="AL180" s="112"/>
      <c r="AM180" s="112"/>
      <c r="AN180" s="112"/>
      <c r="AO180" s="111" t="str">
        <f>IFERROR(INDEX(PMEKITCHEN[Program Design],MATCH(AB180,PMEKITCHEN[Eff Desc 1],0)),"")</f>
        <v/>
      </c>
      <c r="AU180"/>
    </row>
    <row r="181" spans="1:47">
      <c r="A181" s="57">
        <f t="shared" si="17"/>
        <v>0</v>
      </c>
      <c r="B181" s="183" t="str">
        <f t="shared" si="18"/>
        <v/>
      </c>
      <c r="C181" t="str">
        <f>IFERROR(IF(R181&gt;0,INDEX(PMEKITCHEN[Measure '#],MATCH(AB181,PMEKITCHEN[Eff Desc 1],0)),""),"")</f>
        <v/>
      </c>
      <c r="D181" t="s">
        <v>947</v>
      </c>
      <c r="F181" s="112"/>
      <c r="G181" s="186">
        <f>INDEX('M03-S05'!$AB$16:$AB$198,2*(ROWS($G$174:G181)-1)+1)</f>
        <v>0</v>
      </c>
      <c r="H181" s="186" t="str">
        <f>IF(ISNUMBER(INDEX('M03-S05'!$AN$16:$AN$198,2*(ROWS($R$174:R181)-1)+1)),"Total","")</f>
        <v/>
      </c>
      <c r="I181" s="184">
        <f>IFERROR(ROUND(INDEX('M03-S05'!$V$16:$V$198,2*(ROWS($I$174:I181)-1)+1)*INDEX('M03-S05'!$AE$16:$AE$198,2*(ROWS($I$174:I181)-1)+1),2),0)</f>
        <v>0</v>
      </c>
      <c r="J181" s="184">
        <f>IFERROR(ROUND(INDEX('M03-S05'!$V$16:$V$198,2*(ROWS($J$174:J181)-1)+1)*INDEX('M03-S05'!$AG$16:$AG$198,2*(ROWS($J$174:J181)-1)+1),2),0)</f>
        <v>0</v>
      </c>
      <c r="K181" s="52">
        <f>IFERROR(ROUND(INDEX('M03-S05'!$AU$16:$AU$198,2*(ROWS($K$174:K181)-1)+1),2),0)</f>
        <v>0</v>
      </c>
      <c r="L181" s="52" t="str">
        <f>IFERROR(IF(R181&gt;0,M181*INDEX(PMEKITCHEN[Incremental Cost],MATCH(AB181,PMEKITCHEN[Eff Desc 1],0)),""),"")</f>
        <v/>
      </c>
      <c r="M181" s="456">
        <f>INDEX('M03-S05'!$V$16:$V$198,2*(ROWS($M$174:M181)-1)+1)</f>
        <v>0</v>
      </c>
      <c r="N181" s="184" t="str">
        <f>IF(ISNUMBER(INDEX('M03-S05'!$AN$16:$AN$198,2*(ROWS($R$174:R181)-1)+1)),INDEX('M03-S05'!$AK$16:$AK$198,2*(ROWS($N$174:N181)-1)+1),"")</f>
        <v/>
      </c>
      <c r="O181" s="456" t="str">
        <f>IFERROR(IF(ISNUMBER(INDEX('M03-S05'!$AN$16:$AN$198,2*(ROWS($R$174:R181)-1)+1)),INDEX('M03-S05'!$AV$16:$AV$198,2*(ROWS($O$174:O181)-1)+1),""),"")</f>
        <v/>
      </c>
      <c r="P181" s="113"/>
      <c r="Q181" s="113"/>
      <c r="R181" s="184">
        <f>IF(ISNUMBER(INDEX('M03-S05'!$AN$16:$AN$198,2*(ROWS($R$174:R181)-1)+1)),INDEX('M03-S05'!$AN$16:$AN$198,2*(ROWS($R$174:R181)-1)+1),0)</f>
        <v>0</v>
      </c>
      <c r="S181" s="459"/>
      <c r="T181" s="113"/>
      <c r="U181" s="140"/>
      <c r="V181" s="113"/>
      <c r="W181" s="96" t="str">
        <f>IFERROR(IF(NOT(ISNUMBER(INDEX('M03-S05'!$AN$16:$AN$198,2*(ROWS($R$174:R181)-1)+1))),INDEX('M03-S05'!$BC$16:$BC$198,2*(ROWS($R$174:R181)-1)+1),""),"")</f>
        <v/>
      </c>
      <c r="X181" s="113"/>
      <c r="Y181" s="113"/>
      <c r="Z181" s="111">
        <f>INDEX('M03-S05'!$B$16:$B$198,2*(ROWS($Z$174:Z181)-1)+1)</f>
        <v>8</v>
      </c>
      <c r="AA181" s="111" t="str">
        <f>INDEX('M03-S05'!$N$16:$N$198,2*(ROWS($Z$174:AA181)-1)+1)</f>
        <v/>
      </c>
      <c r="AB181" s="111">
        <f>INDEX('M03-S05'!$C$16:$C$198,2*(ROWS($Z$174:AB181)-1)+1)</f>
        <v>0</v>
      </c>
      <c r="AC181" s="96"/>
      <c r="AD181">
        <f>INDEX('M03-S05'!$X$16:$X$198,2*(ROWS($AD$174:AD181)-1)+1)</f>
        <v>0</v>
      </c>
      <c r="AE181" s="459"/>
      <c r="AF181" s="459"/>
      <c r="AG181" s="112"/>
      <c r="AH181" s="112"/>
      <c r="AI181" s="112"/>
      <c r="AJ181" s="112"/>
      <c r="AK181" s="112"/>
      <c r="AL181" s="112"/>
      <c r="AM181" s="112"/>
      <c r="AN181" s="112"/>
      <c r="AO181" s="111" t="str">
        <f>IFERROR(INDEX(PMEKITCHEN[Program Design],MATCH(AB181,PMEKITCHEN[Eff Desc 1],0)),"")</f>
        <v/>
      </c>
      <c r="AU181"/>
    </row>
    <row r="182" spans="1:47">
      <c r="A182" s="57">
        <f t="shared" si="17"/>
        <v>0</v>
      </c>
      <c r="B182" s="183" t="str">
        <f t="shared" si="18"/>
        <v/>
      </c>
      <c r="C182" t="str">
        <f>IFERROR(IF(R182&gt;0,INDEX(PMEKITCHEN[Measure '#],MATCH(AB182,PMEKITCHEN[Eff Desc 1],0)),""),"")</f>
        <v/>
      </c>
      <c r="D182" t="s">
        <v>947</v>
      </c>
      <c r="F182" s="112"/>
      <c r="G182" s="186">
        <f>INDEX('M03-S05'!$AB$16:$AB$198,2*(ROWS($G$174:G182)-1)+1)</f>
        <v>0</v>
      </c>
      <c r="H182" s="186" t="str">
        <f>IF(ISNUMBER(INDEX('M03-S05'!$AN$16:$AN$198,2*(ROWS($R$174:R182)-1)+1)),"Total","")</f>
        <v/>
      </c>
      <c r="I182" s="184">
        <f>IFERROR(ROUND(INDEX('M03-S05'!$V$16:$V$198,2*(ROWS($I$174:I182)-1)+1)*INDEX('M03-S05'!$AE$16:$AE$198,2*(ROWS($I$174:I182)-1)+1),2),0)</f>
        <v>0</v>
      </c>
      <c r="J182" s="184">
        <f>IFERROR(ROUND(INDEX('M03-S05'!$V$16:$V$198,2*(ROWS($J$174:J182)-1)+1)*INDEX('M03-S05'!$AG$16:$AG$198,2*(ROWS($J$174:J182)-1)+1),2),0)</f>
        <v>0</v>
      </c>
      <c r="K182" s="52">
        <f>IFERROR(ROUND(INDEX('M03-S05'!$AU$16:$AU$198,2*(ROWS($K$174:K182)-1)+1),2),0)</f>
        <v>0</v>
      </c>
      <c r="L182" s="52" t="str">
        <f>IFERROR(IF(R182&gt;0,M182*INDEX(PMEKITCHEN[Incremental Cost],MATCH(AB182,PMEKITCHEN[Eff Desc 1],0)),""),"")</f>
        <v/>
      </c>
      <c r="M182" s="456">
        <f>INDEX('M03-S05'!$V$16:$V$198,2*(ROWS($M$174:M182)-1)+1)</f>
        <v>0</v>
      </c>
      <c r="N182" s="184" t="str">
        <f>IF(ISNUMBER(INDEX('M03-S05'!$AN$16:$AN$198,2*(ROWS($R$174:R182)-1)+1)),INDEX('M03-S05'!$AK$16:$AK$198,2*(ROWS($N$174:N182)-1)+1),"")</f>
        <v/>
      </c>
      <c r="O182" s="456" t="str">
        <f>IFERROR(IF(ISNUMBER(INDEX('M03-S05'!$AN$16:$AN$198,2*(ROWS($R$174:R182)-1)+1)),INDEX('M03-S05'!$AV$16:$AV$198,2*(ROWS($O$174:O182)-1)+1),""),"")</f>
        <v/>
      </c>
      <c r="P182" s="113"/>
      <c r="Q182" s="113"/>
      <c r="R182" s="184">
        <f>IF(ISNUMBER(INDEX('M03-S05'!$AN$16:$AN$198,2*(ROWS($R$174:R182)-1)+1)),INDEX('M03-S05'!$AN$16:$AN$198,2*(ROWS($R$174:R182)-1)+1),0)</f>
        <v>0</v>
      </c>
      <c r="S182" s="459"/>
      <c r="T182" s="113"/>
      <c r="U182" s="140"/>
      <c r="V182" s="113"/>
      <c r="W182" s="96" t="str">
        <f>IFERROR(IF(NOT(ISNUMBER(INDEX('M03-S05'!$AN$16:$AN$198,2*(ROWS($R$174:R182)-1)+1))),INDEX('M03-S05'!$BC$16:$BC$198,2*(ROWS($R$174:R182)-1)+1),""),"")</f>
        <v/>
      </c>
      <c r="X182" s="113"/>
      <c r="Y182" s="113"/>
      <c r="Z182" s="111">
        <f>INDEX('M03-S05'!$B$16:$B$198,2*(ROWS($Z$174:Z182)-1)+1)</f>
        <v>9</v>
      </c>
      <c r="AA182" s="111" t="str">
        <f>INDEX('M03-S05'!$N$16:$N$198,2*(ROWS($Z$174:AA182)-1)+1)</f>
        <v/>
      </c>
      <c r="AB182" s="111">
        <f>INDEX('M03-S05'!$C$16:$C$198,2*(ROWS($Z$174:AB182)-1)+1)</f>
        <v>0</v>
      </c>
      <c r="AC182" s="96"/>
      <c r="AD182">
        <f>INDEX('M03-S05'!$X$16:$X$198,2*(ROWS($AD$174:AD182)-1)+1)</f>
        <v>0</v>
      </c>
      <c r="AE182" s="459"/>
      <c r="AF182" s="459"/>
      <c r="AG182" s="112"/>
      <c r="AH182" s="112"/>
      <c r="AI182" s="112"/>
      <c r="AJ182" s="112"/>
      <c r="AK182" s="112"/>
      <c r="AL182" s="112"/>
      <c r="AM182" s="112"/>
      <c r="AN182" s="112"/>
      <c r="AO182" s="111" t="str">
        <f>IFERROR(INDEX(PMEKITCHEN[Program Design],MATCH(AB182,PMEKITCHEN[Eff Desc 1],0)),"")</f>
        <v/>
      </c>
      <c r="AU182"/>
    </row>
    <row r="183" spans="1:47">
      <c r="A183" s="57">
        <f t="shared" si="17"/>
        <v>0</v>
      </c>
      <c r="B183" s="183" t="str">
        <f t="shared" si="18"/>
        <v/>
      </c>
      <c r="C183" t="str">
        <f>IFERROR(IF(R183&gt;0,INDEX(PMEKITCHEN[Measure '#],MATCH(AB183,PMEKITCHEN[Eff Desc 1],0)),""),"")</f>
        <v/>
      </c>
      <c r="D183" t="s">
        <v>947</v>
      </c>
      <c r="F183" s="112"/>
      <c r="G183" s="186">
        <f>INDEX('M03-S05'!$AB$16:$AB$198,2*(ROWS($G$174:G183)-1)+1)</f>
        <v>0</v>
      </c>
      <c r="H183" s="186" t="str">
        <f>IF(ISNUMBER(INDEX('M03-S05'!$AN$16:$AN$198,2*(ROWS($R$174:R183)-1)+1)),"Total","")</f>
        <v/>
      </c>
      <c r="I183" s="184">
        <f>IFERROR(ROUND(INDEX('M03-S05'!$V$16:$V$198,2*(ROWS($I$174:I183)-1)+1)*INDEX('M03-S05'!$AE$16:$AE$198,2*(ROWS($I$174:I183)-1)+1),2),0)</f>
        <v>0</v>
      </c>
      <c r="J183" s="184">
        <f>IFERROR(ROUND(INDEX('M03-S05'!$V$16:$V$198,2*(ROWS($J$174:J183)-1)+1)*INDEX('M03-S05'!$AG$16:$AG$198,2*(ROWS($J$174:J183)-1)+1),2),0)</f>
        <v>0</v>
      </c>
      <c r="K183" s="52">
        <f>IFERROR(ROUND(INDEX('M03-S05'!$AU$16:$AU$198,2*(ROWS($K$174:K183)-1)+1),2),0)</f>
        <v>0</v>
      </c>
      <c r="L183" s="52" t="str">
        <f>IFERROR(IF(R183&gt;0,M183*INDEX(PMEKITCHEN[Incremental Cost],MATCH(AB183,PMEKITCHEN[Eff Desc 1],0)),""),"")</f>
        <v/>
      </c>
      <c r="M183" s="456">
        <f>INDEX('M03-S05'!$V$16:$V$198,2*(ROWS($M$174:M183)-1)+1)</f>
        <v>0</v>
      </c>
      <c r="N183" s="184" t="str">
        <f>IF(ISNUMBER(INDEX('M03-S05'!$AN$16:$AN$198,2*(ROWS($R$174:R183)-1)+1)),INDEX('M03-S05'!$AK$16:$AK$198,2*(ROWS($N$174:N183)-1)+1),"")</f>
        <v/>
      </c>
      <c r="O183" s="456" t="str">
        <f>IFERROR(IF(ISNUMBER(INDEX('M03-S05'!$AN$16:$AN$198,2*(ROWS($R$174:R183)-1)+1)),INDEX('M03-S05'!$AV$16:$AV$198,2*(ROWS($O$174:O183)-1)+1),""),"")</f>
        <v/>
      </c>
      <c r="P183" s="113"/>
      <c r="Q183" s="113"/>
      <c r="R183" s="184">
        <f>IF(ISNUMBER(INDEX('M03-S05'!$AN$16:$AN$198,2*(ROWS($R$174:R183)-1)+1)),INDEX('M03-S05'!$AN$16:$AN$198,2*(ROWS($R$174:R183)-1)+1),0)</f>
        <v>0</v>
      </c>
      <c r="S183" s="459"/>
      <c r="T183" s="113"/>
      <c r="U183" s="140"/>
      <c r="V183" s="113"/>
      <c r="W183" s="96" t="str">
        <f>IFERROR(IF(NOT(ISNUMBER(INDEX('M03-S05'!$AN$16:$AN$198,2*(ROWS($R$174:R183)-1)+1))),INDEX('M03-S05'!$BC$16:$BC$198,2*(ROWS($R$174:R183)-1)+1),""),"")</f>
        <v/>
      </c>
      <c r="X183" s="113"/>
      <c r="Y183" s="113"/>
      <c r="Z183" s="111">
        <f>INDEX('M03-S05'!$B$16:$B$198,2*(ROWS($Z$174:Z183)-1)+1)</f>
        <v>10</v>
      </c>
      <c r="AA183" s="111" t="str">
        <f>INDEX('M03-S05'!$N$16:$N$198,2*(ROWS($Z$174:AA183)-1)+1)</f>
        <v/>
      </c>
      <c r="AB183" s="111">
        <f>INDEX('M03-S05'!$C$16:$C$198,2*(ROWS($Z$174:AB183)-1)+1)</f>
        <v>0</v>
      </c>
      <c r="AC183" s="96"/>
      <c r="AD183">
        <f>INDEX('M03-S05'!$X$16:$X$198,2*(ROWS($AD$174:AD183)-1)+1)</f>
        <v>0</v>
      </c>
      <c r="AE183" s="459"/>
      <c r="AF183" s="459"/>
      <c r="AG183" s="112"/>
      <c r="AH183" s="112"/>
      <c r="AI183" s="112"/>
      <c r="AJ183" s="112"/>
      <c r="AK183" s="112"/>
      <c r="AL183" s="112"/>
      <c r="AM183" s="112"/>
      <c r="AN183" s="112"/>
      <c r="AO183" s="111" t="str">
        <f>IFERROR(INDEX(PMEKITCHEN[Program Design],MATCH(AB183,PMEKITCHEN[Eff Desc 1],0)),"")</f>
        <v/>
      </c>
      <c r="AU183"/>
    </row>
    <row r="184" spans="1:47">
      <c r="A184" s="112"/>
      <c r="B184" s="112"/>
      <c r="C184" s="112"/>
      <c r="D184" s="112"/>
      <c r="E184" s="112"/>
      <c r="F184" s="112"/>
      <c r="G184" s="112"/>
      <c r="H184" s="112"/>
      <c r="I184" s="112"/>
      <c r="J184" s="112"/>
      <c r="K184" s="112"/>
      <c r="L184" s="112"/>
      <c r="M184" s="112"/>
      <c r="N184" s="112"/>
      <c r="O184" s="112"/>
      <c r="P184" s="112"/>
      <c r="Q184" s="112"/>
      <c r="R184" s="112"/>
      <c r="S184" s="112"/>
      <c r="T184" s="112"/>
      <c r="U184" s="112"/>
      <c r="V184" s="112"/>
      <c r="W184" s="112"/>
      <c r="X184" s="112"/>
      <c r="Y184" s="112"/>
      <c r="Z184" s="112"/>
      <c r="AA184" s="112"/>
      <c r="AB184" s="112"/>
      <c r="AC184" s="112"/>
      <c r="AD184" s="112"/>
      <c r="AE184" s="112"/>
      <c r="AF184" s="112"/>
      <c r="AG184" s="112"/>
      <c r="AH184" s="112"/>
      <c r="AI184" s="112"/>
      <c r="AJ184" s="112"/>
      <c r="AK184" s="112"/>
      <c r="AL184" s="112"/>
      <c r="AM184" s="112"/>
      <c r="AN184" s="112"/>
      <c r="AO184" s="112"/>
      <c r="AU184"/>
    </row>
    <row r="185" spans="1:47">
      <c r="A185" s="112"/>
      <c r="B185" s="112"/>
      <c r="C185" s="112"/>
      <c r="D185" s="112"/>
      <c r="E185" s="112"/>
      <c r="F185" s="112"/>
      <c r="G185" s="112"/>
      <c r="H185" s="112"/>
      <c r="I185" s="112"/>
      <c r="J185" s="112"/>
      <c r="K185" s="112"/>
      <c r="L185" s="112"/>
      <c r="M185" s="112"/>
      <c r="N185" s="112"/>
      <c r="O185" s="112"/>
      <c r="P185" s="112"/>
      <c r="Q185" s="112"/>
      <c r="R185" s="112"/>
      <c r="S185" s="112"/>
      <c r="T185" s="112"/>
      <c r="U185" s="112"/>
      <c r="V185" s="112"/>
      <c r="W185" s="112"/>
      <c r="X185" s="112"/>
      <c r="Y185" s="112"/>
      <c r="Z185" s="112"/>
      <c r="AA185" s="112"/>
      <c r="AB185" s="112"/>
      <c r="AC185" s="112"/>
      <c r="AD185" s="112"/>
      <c r="AE185" s="112"/>
      <c r="AF185" s="112"/>
      <c r="AG185" s="112"/>
      <c r="AH185" s="112"/>
      <c r="AI185" s="112"/>
      <c r="AJ185" s="112"/>
      <c r="AK185" s="112"/>
      <c r="AL185" s="112"/>
      <c r="AM185" s="112"/>
      <c r="AN185" s="112"/>
      <c r="AO185" s="112"/>
      <c r="AU185"/>
    </row>
    <row r="186" spans="1:47">
      <c r="A186" s="57">
        <f t="shared" si="17"/>
        <v>0</v>
      </c>
      <c r="B186" s="183" t="str">
        <f t="shared" si="18"/>
        <v/>
      </c>
      <c r="C186" t="str">
        <f>IFERROR(IF(R186&gt;0,INDEX(PMGKITCHEN[Measure '#],MATCH(AB186,PMGKITCHEN[Eff Desc 1],0)),""),"")</f>
        <v/>
      </c>
      <c r="D186" t="s">
        <v>947</v>
      </c>
      <c r="F186" s="112"/>
      <c r="G186" s="186">
        <f>INDEX('M03-S05'!$AB$16:$AB$198,2*(ROWS($G$174:G186)-1)+1)</f>
        <v>0</v>
      </c>
      <c r="H186" s="186" t="str">
        <f>IF(ISNUMBER(INDEX('M03-S05'!$AN$16:$AN$198,2*(ROWS($R$174:R186)-1)+1)),"Total","")</f>
        <v/>
      </c>
      <c r="I186" s="184">
        <f>IFERROR(ROUND(INDEX('M03-S05'!$V$16:$V$198,2*(ROWS($I$174:I186)-1)+1)*INDEX('M03-S05'!$AE$16:$AE$198,2*(ROWS($I$174:I186)-1)+1),2),0)</f>
        <v>0</v>
      </c>
      <c r="J186" s="184">
        <f>IFERROR(ROUND(INDEX('M03-S05'!$V$16:$V$198,2*(ROWS($J$174:J186)-1)+1)*INDEX('M03-S05'!$AG$16:$AG$198,2*(ROWS($J$174:J186)-1)+1),2),0)</f>
        <v>0</v>
      </c>
      <c r="K186" s="52">
        <f>IFERROR(ROUND(INDEX('M03-S05'!$AU$16:$AU$198,2*(ROWS($K$174:K186)-1)+1),2),0)</f>
        <v>0</v>
      </c>
      <c r="L186" s="52" t="str">
        <f>IFERROR(IF(R186&gt;0,M186*INDEX(PMGKITCHEN[Incremental Cost],MATCH(AB186,PMGKITCHEN[Eff Desc 1],0)),""),"")</f>
        <v/>
      </c>
      <c r="M186" s="456">
        <f>INDEX('M03-S05'!$V$16:$V$198,2*(ROWS($M$174:M186)-1)+1)</f>
        <v>0</v>
      </c>
      <c r="N186" s="113"/>
      <c r="O186" s="113"/>
      <c r="P186" s="184" t="str">
        <f>IF(ISNUMBER(INDEX('M03-S05'!$AN$40:$AN$198,2*(ROWS($R$186:R186)-1)+1)),INDEX('M03-S05'!$AK$40:$AK$198,2*(ROWS($P$186:P186)-1)+1),"")</f>
        <v/>
      </c>
      <c r="Q186" s="113"/>
      <c r="R186" s="184">
        <f>IF(ISNUMBER(INDEX('M03-S05'!$AN$16:$AN$198,2*(ROWS($R$174:R186)-1)+1)),INDEX('M03-S05'!$AN$16:$AN$198,2*(ROWS($R$174:R186)-1)+1),0)</f>
        <v>0</v>
      </c>
      <c r="S186" s="459"/>
      <c r="T186" s="113"/>
      <c r="U186" s="140"/>
      <c r="V186" s="113"/>
      <c r="W186" s="96" t="str">
        <f>IFERROR(IF(NOT(ISNUMBER(INDEX('M03-S05'!$AN$16:$AN$198,2*(ROWS($R$174:R186)-1)+1))),INDEX('M03-S05'!$BC$16:$BC$198,2*(ROWS($R$174:R186)-1)+1),""),"")</f>
        <v/>
      </c>
      <c r="X186" s="113"/>
      <c r="Y186" s="113"/>
      <c r="Z186" s="111">
        <f>INDEX('M03-S05'!$B$16:$B$198,2*(ROWS($Z$174:Z186)-1)+1)</f>
        <v>13</v>
      </c>
      <c r="AA186" s="111" t="str">
        <f>INDEX('M03-S05'!$N$16:$N$198,2*(ROWS($Z$174:AA186)-1)+1)</f>
        <v/>
      </c>
      <c r="AB186" s="111">
        <f>INDEX('M03-S05'!$C$16:$C$198,2*(ROWS($Z$174:AB186)-1)+1)</f>
        <v>0</v>
      </c>
      <c r="AC186" s="96"/>
      <c r="AD186">
        <f>INDEX('M03-S05'!$X$16:$X$198,2*(ROWS($AD$174:AD186)-1)+1)</f>
        <v>0</v>
      </c>
      <c r="AE186" s="459"/>
      <c r="AF186" s="459"/>
      <c r="AG186" s="112"/>
      <c r="AH186" s="112"/>
      <c r="AI186" s="112"/>
      <c r="AJ186" s="112"/>
      <c r="AK186" s="112"/>
      <c r="AL186" s="112"/>
      <c r="AM186" s="112"/>
      <c r="AN186" s="112"/>
      <c r="AO186" s="111" t="str">
        <f>IFERROR(INDEX(PMGKITCHEN[Program Design],MATCH(AB186,PMGKITCHEN[Eff Desc 1],0)),"")</f>
        <v/>
      </c>
      <c r="AU186"/>
    </row>
    <row r="187" spans="1:47">
      <c r="A187" s="57">
        <f t="shared" si="17"/>
        <v>0</v>
      </c>
      <c r="B187" s="183" t="str">
        <f t="shared" ref="B187:B194" si="19">IF(C187="","",CONCATENATE(ROW(),"-",C187))</f>
        <v/>
      </c>
      <c r="C187" t="str">
        <f>IFERROR(IF(R187&gt;0,INDEX(PMGKITCHEN[Measure '#],MATCH(AB187,PMGKITCHEN[Eff Desc 1],0)),""),"")</f>
        <v/>
      </c>
      <c r="D187" t="s">
        <v>947</v>
      </c>
      <c r="F187" s="112"/>
      <c r="G187" s="186">
        <f>INDEX('M03-S05'!$AB$16:$AB$198,2*(ROWS($G$174:G187)-1)+1)</f>
        <v>0</v>
      </c>
      <c r="H187" s="186" t="str">
        <f>IF(ISNUMBER(INDEX('M03-S05'!$AN$16:$AN$198,2*(ROWS($R$174:R187)-1)+1)),"Total","")</f>
        <v/>
      </c>
      <c r="I187" s="184">
        <f>IFERROR(ROUND(INDEX('M03-S05'!$V$16:$V$198,2*(ROWS($I$174:I187)-1)+1)*INDEX('M03-S05'!$AE$16:$AE$198,2*(ROWS($I$174:I187)-1)+1),2),0)</f>
        <v>0</v>
      </c>
      <c r="J187" s="184">
        <f>IFERROR(ROUND(INDEX('M03-S05'!$V$16:$V$198,2*(ROWS($J$174:J187)-1)+1)*INDEX('M03-S05'!$AG$16:$AG$198,2*(ROWS($J$174:J187)-1)+1),2),0)</f>
        <v>0</v>
      </c>
      <c r="K187" s="52">
        <f>IFERROR(ROUND(INDEX('M03-S05'!$AU$16:$AU$198,2*(ROWS($K$174:K187)-1)+1),2),0)</f>
        <v>0</v>
      </c>
      <c r="L187" s="52" t="str">
        <f>IFERROR(IF(R187&gt;0,M187*INDEX(PMGKITCHEN[Incremental Cost],MATCH(AB187,PMGKITCHEN[Eff Desc 1],0)),""),"")</f>
        <v/>
      </c>
      <c r="M187" s="456">
        <f>INDEX('M03-S05'!$V$16:$V$198,2*(ROWS($M$174:M187)-1)+1)</f>
        <v>0</v>
      </c>
      <c r="N187" s="113"/>
      <c r="O187" s="113"/>
      <c r="P187" s="184" t="str">
        <f>IF(ISNUMBER(INDEX('M03-S05'!$AN$40:$AN$198,2*(ROWS($R$186:R187)-1)+1)),INDEX('M03-S05'!$AK$40:$AK$198,2*(ROWS($P$186:P187)-1)+1),"")</f>
        <v/>
      </c>
      <c r="Q187" s="113"/>
      <c r="R187" s="184">
        <f>IF(ISNUMBER(INDEX('M03-S05'!$AN$16:$AN$198,2*(ROWS($R$174:R187)-1)+1)),INDEX('M03-S05'!$AN$16:$AN$198,2*(ROWS($R$174:R187)-1)+1),0)</f>
        <v>0</v>
      </c>
      <c r="S187" s="459"/>
      <c r="T187" s="113"/>
      <c r="U187" s="140"/>
      <c r="V187" s="113"/>
      <c r="W187" s="96" t="str">
        <f>IFERROR(IF(NOT(ISNUMBER(INDEX('M03-S05'!$AN$16:$AN$198,2*(ROWS($R$174:R187)-1)+1))),INDEX('M03-S05'!$BC$16:$BC$198,2*(ROWS($R$174:R187)-1)+1),""),"")</f>
        <v/>
      </c>
      <c r="X187" s="113"/>
      <c r="Y187" s="113"/>
      <c r="Z187" s="111">
        <f>INDEX('M03-S05'!$B$16:$B$198,2*(ROWS($Z$174:Z187)-1)+1)</f>
        <v>14</v>
      </c>
      <c r="AA187" s="111" t="str">
        <f>INDEX('M03-S05'!$N$16:$N$198,2*(ROWS($Z$174:AA187)-1)+1)</f>
        <v/>
      </c>
      <c r="AB187" s="111">
        <f>INDEX('M03-S05'!$C$16:$C$198,2*(ROWS($Z$174:AB187)-1)+1)</f>
        <v>0</v>
      </c>
      <c r="AC187" s="96"/>
      <c r="AD187">
        <f>INDEX('M03-S05'!$X$16:$X$198,2*(ROWS($AD$174:AD187)-1)+1)</f>
        <v>0</v>
      </c>
      <c r="AE187" s="459"/>
      <c r="AF187" s="459"/>
      <c r="AG187" s="112"/>
      <c r="AH187" s="112"/>
      <c r="AI187" s="112"/>
      <c r="AJ187" s="112"/>
      <c r="AK187" s="112"/>
      <c r="AL187" s="112"/>
      <c r="AM187" s="112"/>
      <c r="AN187" s="112"/>
      <c r="AO187" s="111" t="str">
        <f>IFERROR(INDEX(PMGKITCHEN[Program Design],MATCH(AB187,PMGKITCHEN[Eff Desc 1],0)),"")</f>
        <v/>
      </c>
      <c r="AU187"/>
    </row>
    <row r="188" spans="1:47">
      <c r="A188" s="57">
        <f t="shared" si="17"/>
        <v>0</v>
      </c>
      <c r="B188" s="183" t="str">
        <f t="shared" si="19"/>
        <v/>
      </c>
      <c r="C188" t="str">
        <f>IFERROR(IF(R188&gt;0,INDEX(PMGKITCHEN[Measure '#],MATCH(AB188,PMGKITCHEN[Eff Desc 1],0)),""),"")</f>
        <v/>
      </c>
      <c r="D188" t="s">
        <v>947</v>
      </c>
      <c r="F188" s="112"/>
      <c r="G188" s="186">
        <f>INDEX('M03-S05'!$AB$16:$AB$198,2*(ROWS($G$174:G188)-1)+1)</f>
        <v>0</v>
      </c>
      <c r="H188" s="186" t="str">
        <f>IF(ISNUMBER(INDEX('M03-S05'!$AN$16:$AN$198,2*(ROWS($R$174:R188)-1)+1)),"Total","")</f>
        <v/>
      </c>
      <c r="I188" s="184">
        <f>IFERROR(ROUND(INDEX('M03-S05'!$V$16:$V$198,2*(ROWS($I$174:I188)-1)+1)*INDEX('M03-S05'!$AE$16:$AE$198,2*(ROWS($I$174:I188)-1)+1),2),0)</f>
        <v>0</v>
      </c>
      <c r="J188" s="184">
        <f>IFERROR(ROUND(INDEX('M03-S05'!$V$16:$V$198,2*(ROWS($J$174:J188)-1)+1)*INDEX('M03-S05'!$AG$16:$AG$198,2*(ROWS($J$174:J188)-1)+1),2),0)</f>
        <v>0</v>
      </c>
      <c r="K188" s="52">
        <f>IFERROR(ROUND(INDEX('M03-S05'!$AU$16:$AU$198,2*(ROWS($K$174:K188)-1)+1),2),0)</f>
        <v>0</v>
      </c>
      <c r="L188" s="52" t="str">
        <f>IFERROR(IF(R188&gt;0,M188*INDEX(PMGKITCHEN[Incremental Cost],MATCH(AB188,PMGKITCHEN[Eff Desc 1],0)),""),"")</f>
        <v/>
      </c>
      <c r="M188" s="456">
        <f>INDEX('M03-S05'!$V$16:$V$198,2*(ROWS($M$174:M188)-1)+1)</f>
        <v>0</v>
      </c>
      <c r="N188" s="113"/>
      <c r="O188" s="113"/>
      <c r="P188" s="184" t="str">
        <f>IF(ISNUMBER(INDEX('M03-S05'!$AN$40:$AN$198,2*(ROWS($R$186:R188)-1)+1)),INDEX('M03-S05'!$AK$40:$AK$198,2*(ROWS($P$186:P188)-1)+1),"")</f>
        <v/>
      </c>
      <c r="Q188" s="113"/>
      <c r="R188" s="184">
        <f>IF(ISNUMBER(INDEX('M03-S05'!$AN$16:$AN$198,2*(ROWS($R$174:R188)-1)+1)),INDEX('M03-S05'!$AN$16:$AN$198,2*(ROWS($R$174:R188)-1)+1),0)</f>
        <v>0</v>
      </c>
      <c r="S188" s="459"/>
      <c r="T188" s="113"/>
      <c r="U188" s="140"/>
      <c r="V188" s="113"/>
      <c r="W188" s="96" t="str">
        <f>IFERROR(IF(NOT(ISNUMBER(INDEX('M03-S05'!$AN$16:$AN$198,2*(ROWS($R$174:R188)-1)+1))),INDEX('M03-S05'!$BC$16:$BC$198,2*(ROWS($R$174:R188)-1)+1),""),"")</f>
        <v/>
      </c>
      <c r="X188" s="113"/>
      <c r="Y188" s="113"/>
      <c r="Z188" s="111">
        <f>INDEX('M03-S05'!$B$16:$B$198,2*(ROWS($Z$174:Z188)-1)+1)</f>
        <v>15</v>
      </c>
      <c r="AA188" s="111" t="str">
        <f>INDEX('M03-S05'!$N$16:$N$198,2*(ROWS($Z$174:AA188)-1)+1)</f>
        <v/>
      </c>
      <c r="AB188" s="111">
        <f>INDEX('M03-S05'!$C$16:$C$198,2*(ROWS($Z$174:AB188)-1)+1)</f>
        <v>0</v>
      </c>
      <c r="AC188" s="96"/>
      <c r="AD188">
        <f>INDEX('M03-S05'!$X$16:$X$198,2*(ROWS($AD$174:AD188)-1)+1)</f>
        <v>0</v>
      </c>
      <c r="AE188" s="459"/>
      <c r="AF188" s="459"/>
      <c r="AG188" s="112"/>
      <c r="AH188" s="112"/>
      <c r="AI188" s="112"/>
      <c r="AJ188" s="112"/>
      <c r="AK188" s="112"/>
      <c r="AL188" s="112"/>
      <c r="AM188" s="112"/>
      <c r="AN188" s="112"/>
      <c r="AO188" s="111" t="str">
        <f>IFERROR(INDEX(PMGKITCHEN[Program Design],MATCH(AB188,PMGKITCHEN[Eff Desc 1],0)),"")</f>
        <v/>
      </c>
      <c r="AU188"/>
    </row>
    <row r="189" spans="1:47">
      <c r="A189" s="57">
        <f t="shared" si="17"/>
        <v>0</v>
      </c>
      <c r="B189" s="183" t="str">
        <f t="shared" si="19"/>
        <v/>
      </c>
      <c r="C189" t="str">
        <f>IFERROR(IF(R189&gt;0,INDEX(PMGKITCHEN[Measure '#],MATCH(AB189,PMGKITCHEN[Eff Desc 1],0)),""),"")</f>
        <v/>
      </c>
      <c r="D189" t="s">
        <v>947</v>
      </c>
      <c r="F189" s="112"/>
      <c r="G189" s="186">
        <f>INDEX('M03-S05'!$AB$16:$AB$198,2*(ROWS($G$174:G189)-1)+1)</f>
        <v>0</v>
      </c>
      <c r="H189" s="186" t="str">
        <f>IF(ISNUMBER(INDEX('M03-S05'!$AN$16:$AN$198,2*(ROWS($R$174:R189)-1)+1)),"Total","")</f>
        <v/>
      </c>
      <c r="I189" s="184">
        <f>IFERROR(ROUND(INDEX('M03-S05'!$V$16:$V$198,2*(ROWS($I$174:I189)-1)+1)*INDEX('M03-S05'!$AE$16:$AE$198,2*(ROWS($I$174:I189)-1)+1),2),0)</f>
        <v>0</v>
      </c>
      <c r="J189" s="184">
        <f>IFERROR(ROUND(INDEX('M03-S05'!$V$16:$V$198,2*(ROWS($J$174:J189)-1)+1)*INDEX('M03-S05'!$AG$16:$AG$198,2*(ROWS($J$174:J189)-1)+1),2),0)</f>
        <v>0</v>
      </c>
      <c r="K189" s="52">
        <f>IFERROR(ROUND(INDEX('M03-S05'!$AU$16:$AU$198,2*(ROWS($K$174:K189)-1)+1),2),0)</f>
        <v>0</v>
      </c>
      <c r="L189" s="52" t="str">
        <f>IFERROR(IF(R189&gt;0,M189*INDEX(PMGKITCHEN[Incremental Cost],MATCH(AB189,PMGKITCHEN[Eff Desc 1],0)),""),"")</f>
        <v/>
      </c>
      <c r="M189" s="456">
        <f>INDEX('M03-S05'!$V$16:$V$198,2*(ROWS($M$174:M189)-1)+1)</f>
        <v>0</v>
      </c>
      <c r="N189" s="113"/>
      <c r="O189" s="113"/>
      <c r="P189" s="184" t="str">
        <f>IF(ISNUMBER(INDEX('M03-S05'!$AN$40:$AN$198,2*(ROWS($R$186:R189)-1)+1)),INDEX('M03-S05'!$AK$40:$AK$198,2*(ROWS($P$186:P189)-1)+1),"")</f>
        <v/>
      </c>
      <c r="Q189" s="113"/>
      <c r="R189" s="184">
        <f>IF(ISNUMBER(INDEX('M03-S05'!$AN$16:$AN$198,2*(ROWS($R$174:R189)-1)+1)),INDEX('M03-S05'!$AN$16:$AN$198,2*(ROWS($R$174:R189)-1)+1),0)</f>
        <v>0</v>
      </c>
      <c r="S189" s="459"/>
      <c r="T189" s="113"/>
      <c r="U189" s="140"/>
      <c r="V189" s="113"/>
      <c r="W189" s="96" t="str">
        <f>IFERROR(IF(NOT(ISNUMBER(INDEX('M03-S05'!$AN$16:$AN$198,2*(ROWS($R$174:R189)-1)+1))),INDEX('M03-S05'!$BC$16:$BC$198,2*(ROWS($R$174:R189)-1)+1),""),"")</f>
        <v/>
      </c>
      <c r="X189" s="113"/>
      <c r="Y189" s="113"/>
      <c r="Z189" s="111">
        <f>INDEX('M03-S05'!$B$16:$B$198,2*(ROWS($Z$174:Z189)-1)+1)</f>
        <v>16</v>
      </c>
      <c r="AA189" s="111" t="str">
        <f>INDEX('M03-S05'!$N$16:$N$198,2*(ROWS($Z$174:AA189)-1)+1)</f>
        <v/>
      </c>
      <c r="AB189" s="111">
        <f>INDEX('M03-S05'!$C$16:$C$198,2*(ROWS($Z$174:AB189)-1)+1)</f>
        <v>0</v>
      </c>
      <c r="AC189" s="96"/>
      <c r="AD189">
        <f>INDEX('M03-S05'!$X$16:$X$198,2*(ROWS($AD$174:AD189)-1)+1)</f>
        <v>0</v>
      </c>
      <c r="AE189" s="459"/>
      <c r="AF189" s="459"/>
      <c r="AG189" s="112"/>
      <c r="AH189" s="112"/>
      <c r="AI189" s="112"/>
      <c r="AJ189" s="112"/>
      <c r="AK189" s="112"/>
      <c r="AL189" s="112"/>
      <c r="AM189" s="112"/>
      <c r="AN189" s="112"/>
      <c r="AO189" s="111" t="str">
        <f>IFERROR(INDEX(PMGKITCHEN[Program Design],MATCH(AB189,PMGKITCHEN[Eff Desc 1],0)),"")</f>
        <v/>
      </c>
      <c r="AU189"/>
    </row>
    <row r="190" spans="1:47">
      <c r="A190" s="57">
        <f t="shared" si="17"/>
        <v>0</v>
      </c>
      <c r="B190" s="183" t="str">
        <f t="shared" si="19"/>
        <v/>
      </c>
      <c r="C190" t="str">
        <f>IFERROR(IF(R190&gt;0,INDEX(PMGKITCHEN[Measure '#],MATCH(AB190,PMGKITCHEN[Eff Desc 1],0)),""),"")</f>
        <v/>
      </c>
      <c r="D190" t="s">
        <v>947</v>
      </c>
      <c r="F190" s="112"/>
      <c r="G190" s="186">
        <f>INDEX('M03-S05'!$AB$16:$AB$198,2*(ROWS($G$174:G190)-1)+1)</f>
        <v>0</v>
      </c>
      <c r="H190" s="186" t="str">
        <f>IF(ISNUMBER(INDEX('M03-S05'!$AN$16:$AN$198,2*(ROWS($R$174:R190)-1)+1)),"Total","")</f>
        <v/>
      </c>
      <c r="I190" s="184">
        <f>IFERROR(ROUND(INDEX('M03-S05'!$V$16:$V$198,2*(ROWS($I$174:I190)-1)+1)*INDEX('M03-S05'!$AE$16:$AE$198,2*(ROWS($I$174:I190)-1)+1),2),0)</f>
        <v>0</v>
      </c>
      <c r="J190" s="184">
        <f>IFERROR(ROUND(INDEX('M03-S05'!$V$16:$V$198,2*(ROWS($J$174:J190)-1)+1)*INDEX('M03-S05'!$AG$16:$AG$198,2*(ROWS($J$174:J190)-1)+1),2),0)</f>
        <v>0</v>
      </c>
      <c r="K190" s="52">
        <f>IFERROR(ROUND(INDEX('M03-S05'!$AU$16:$AU$198,2*(ROWS($K$174:K190)-1)+1),2),0)</f>
        <v>0</v>
      </c>
      <c r="L190" s="52" t="str">
        <f>IFERROR(IF(R190&gt;0,M190*INDEX(PMGKITCHEN[Incremental Cost],MATCH(AB190,PMGKITCHEN[Eff Desc 1],0)),""),"")</f>
        <v/>
      </c>
      <c r="M190" s="456">
        <f>INDEX('M03-S05'!$V$16:$V$198,2*(ROWS($M$174:M190)-1)+1)</f>
        <v>0</v>
      </c>
      <c r="N190" s="113"/>
      <c r="O190" s="113"/>
      <c r="P190" s="184" t="str">
        <f>IF(ISNUMBER(INDEX('M03-S05'!$AN$40:$AN$198,2*(ROWS($R$186:R190)-1)+1)),INDEX('M03-S05'!$AK$40:$AK$198,2*(ROWS($P$186:P190)-1)+1),"")</f>
        <v/>
      </c>
      <c r="Q190" s="113"/>
      <c r="R190" s="184">
        <f>IF(ISNUMBER(INDEX('M03-S05'!$AN$16:$AN$198,2*(ROWS($R$174:R190)-1)+1)),INDEX('M03-S05'!$AN$16:$AN$198,2*(ROWS($R$174:R190)-1)+1),0)</f>
        <v>0</v>
      </c>
      <c r="S190" s="459"/>
      <c r="T190" s="113"/>
      <c r="U190" s="140"/>
      <c r="V190" s="113"/>
      <c r="W190" s="96" t="str">
        <f>IFERROR(IF(NOT(ISNUMBER(INDEX('M03-S05'!$AN$16:$AN$198,2*(ROWS($R$174:R190)-1)+1))),INDEX('M03-S05'!$BC$16:$BC$198,2*(ROWS($R$174:R190)-1)+1),""),"")</f>
        <v/>
      </c>
      <c r="X190" s="113"/>
      <c r="Y190" s="113"/>
      <c r="Z190" s="111">
        <f>INDEX('M03-S05'!$B$16:$B$198,2*(ROWS($Z$174:Z190)-1)+1)</f>
        <v>17</v>
      </c>
      <c r="AA190" s="111" t="str">
        <f>INDEX('M03-S05'!$N$16:$N$198,2*(ROWS($Z$174:AA190)-1)+1)</f>
        <v/>
      </c>
      <c r="AB190" s="111">
        <f>INDEX('M03-S05'!$C$16:$C$198,2*(ROWS($Z$174:AB190)-1)+1)</f>
        <v>0</v>
      </c>
      <c r="AC190" s="96"/>
      <c r="AD190">
        <f>INDEX('M03-S05'!$X$16:$X$198,2*(ROWS($AD$174:AD190)-1)+1)</f>
        <v>0</v>
      </c>
      <c r="AE190" s="459"/>
      <c r="AF190" s="459"/>
      <c r="AG190" s="112"/>
      <c r="AH190" s="112"/>
      <c r="AI190" s="112"/>
      <c r="AJ190" s="112"/>
      <c r="AK190" s="112"/>
      <c r="AL190" s="112"/>
      <c r="AM190" s="112"/>
      <c r="AN190" s="112"/>
      <c r="AO190" s="111" t="str">
        <f>IFERROR(INDEX(PMGKITCHEN[Program Design],MATCH(AB190,PMGKITCHEN[Eff Desc 1],0)),"")</f>
        <v/>
      </c>
      <c r="AU190"/>
    </row>
    <row r="191" spans="1:47">
      <c r="A191" s="57">
        <f t="shared" si="17"/>
        <v>0</v>
      </c>
      <c r="B191" s="183" t="str">
        <f t="shared" si="19"/>
        <v/>
      </c>
      <c r="C191" t="str">
        <f>IFERROR(IF(R191&gt;0,INDEX(PMGKITCHEN[Measure '#],MATCH(AB191,PMGKITCHEN[Eff Desc 1],0)),""),"")</f>
        <v/>
      </c>
      <c r="D191" t="s">
        <v>947</v>
      </c>
      <c r="F191" s="112"/>
      <c r="G191" s="186">
        <f>INDEX('M03-S05'!$AB$16:$AB$198,2*(ROWS($G$174:G191)-1)+1)</f>
        <v>0</v>
      </c>
      <c r="H191" s="186" t="str">
        <f>IF(ISNUMBER(INDEX('M03-S05'!$AN$16:$AN$198,2*(ROWS($R$174:R191)-1)+1)),"Total","")</f>
        <v/>
      </c>
      <c r="I191" s="184">
        <f>IFERROR(ROUND(INDEX('M03-S05'!$V$16:$V$198,2*(ROWS($I$174:I191)-1)+1)*INDEX('M03-S05'!$AE$16:$AE$198,2*(ROWS($I$174:I191)-1)+1),2),0)</f>
        <v>0</v>
      </c>
      <c r="J191" s="184">
        <f>IFERROR(ROUND(INDEX('M03-S05'!$V$16:$V$198,2*(ROWS($J$174:J191)-1)+1)*INDEX('M03-S05'!$AG$16:$AG$198,2*(ROWS($J$174:J191)-1)+1),2),0)</f>
        <v>0</v>
      </c>
      <c r="K191" s="52">
        <f>IFERROR(ROUND(INDEX('M03-S05'!$AU$16:$AU$198,2*(ROWS($K$174:K191)-1)+1),2),0)</f>
        <v>0</v>
      </c>
      <c r="L191" s="52" t="str">
        <f>IFERROR(IF(R191&gt;0,M191*INDEX(PMGKITCHEN[Incremental Cost],MATCH(AB191,PMGKITCHEN[Eff Desc 1],0)),""),"")</f>
        <v/>
      </c>
      <c r="M191" s="456">
        <f>INDEX('M03-S05'!$V$16:$V$198,2*(ROWS($M$174:M191)-1)+1)</f>
        <v>0</v>
      </c>
      <c r="N191" s="113"/>
      <c r="O191" s="113"/>
      <c r="P191" s="184" t="str">
        <f>IF(ISNUMBER(INDEX('M03-S05'!$AN$40:$AN$198,2*(ROWS($R$186:R191)-1)+1)),INDEX('M03-S05'!$AK$40:$AK$198,2*(ROWS($P$186:P191)-1)+1),"")</f>
        <v/>
      </c>
      <c r="Q191" s="113"/>
      <c r="R191" s="184">
        <f>IF(ISNUMBER(INDEX('M03-S05'!$AN$16:$AN$198,2*(ROWS($R$174:R191)-1)+1)),INDEX('M03-S05'!$AN$16:$AN$198,2*(ROWS($R$174:R191)-1)+1),0)</f>
        <v>0</v>
      </c>
      <c r="S191" s="459"/>
      <c r="T191" s="113"/>
      <c r="U191" s="140"/>
      <c r="V191" s="113"/>
      <c r="W191" s="96" t="str">
        <f>IFERROR(IF(NOT(ISNUMBER(INDEX('M03-S05'!$AN$16:$AN$198,2*(ROWS($R$174:R191)-1)+1))),INDEX('M03-S05'!$BC$16:$BC$198,2*(ROWS($R$174:R191)-1)+1),""),"")</f>
        <v/>
      </c>
      <c r="X191" s="113"/>
      <c r="Y191" s="113"/>
      <c r="Z191" s="111">
        <f>INDEX('M03-S05'!$B$16:$B$198,2*(ROWS($Z$174:Z191)-1)+1)</f>
        <v>18</v>
      </c>
      <c r="AA191" s="111" t="str">
        <f>INDEX('M03-S05'!$N$16:$N$198,2*(ROWS($Z$174:AA191)-1)+1)</f>
        <v/>
      </c>
      <c r="AB191" s="111">
        <f>INDEX('M03-S05'!$C$16:$C$198,2*(ROWS($Z$174:AB191)-1)+1)</f>
        <v>0</v>
      </c>
      <c r="AC191" s="96"/>
      <c r="AD191">
        <f>INDEX('M03-S05'!$X$16:$X$198,2*(ROWS($AD$174:AD191)-1)+1)</f>
        <v>0</v>
      </c>
      <c r="AE191" s="459"/>
      <c r="AF191" s="459"/>
      <c r="AG191" s="112"/>
      <c r="AH191" s="112"/>
      <c r="AI191" s="112"/>
      <c r="AJ191" s="112"/>
      <c r="AK191" s="112"/>
      <c r="AL191" s="112"/>
      <c r="AM191" s="112"/>
      <c r="AN191" s="112"/>
      <c r="AO191" s="111" t="str">
        <f>IFERROR(INDEX(PMGKITCHEN[Program Design],MATCH(AB191,PMGKITCHEN[Eff Desc 1],0)),"")</f>
        <v/>
      </c>
      <c r="AU191"/>
    </row>
    <row r="192" spans="1:47">
      <c r="A192" s="57">
        <f t="shared" si="17"/>
        <v>0</v>
      </c>
      <c r="B192" s="183" t="str">
        <f t="shared" si="19"/>
        <v/>
      </c>
      <c r="C192" t="str">
        <f>IFERROR(IF(R192&gt;0,INDEX(PMGKITCHEN[Measure '#],MATCH(AB192,PMGKITCHEN[Eff Desc 1],0)),""),"")</f>
        <v/>
      </c>
      <c r="D192" t="s">
        <v>947</v>
      </c>
      <c r="F192" s="112"/>
      <c r="G192" s="186">
        <f>INDEX('M03-S05'!$AB$16:$AB$198,2*(ROWS($G$174:G192)-1)+1)</f>
        <v>0</v>
      </c>
      <c r="H192" s="186" t="str">
        <f>IF(ISNUMBER(INDEX('M03-S05'!$AN$16:$AN$198,2*(ROWS($R$174:R192)-1)+1)),"Total","")</f>
        <v/>
      </c>
      <c r="I192" s="184">
        <f>IFERROR(ROUND(INDEX('M03-S05'!$V$16:$V$198,2*(ROWS($I$174:I192)-1)+1)*INDEX('M03-S05'!$AE$16:$AE$198,2*(ROWS($I$174:I192)-1)+1),2),0)</f>
        <v>0</v>
      </c>
      <c r="J192" s="184">
        <f>IFERROR(ROUND(INDEX('M03-S05'!$V$16:$V$198,2*(ROWS($J$174:J192)-1)+1)*INDEX('M03-S05'!$AG$16:$AG$198,2*(ROWS($J$174:J192)-1)+1),2),0)</f>
        <v>0</v>
      </c>
      <c r="K192" s="52">
        <f>IFERROR(ROUND(INDEX('M03-S05'!$AU$16:$AU$198,2*(ROWS($K$174:K192)-1)+1),2),0)</f>
        <v>0</v>
      </c>
      <c r="L192" s="52" t="str">
        <f>IFERROR(IF(R192&gt;0,M192*INDEX(PMGKITCHEN[Incremental Cost],MATCH(AB192,PMGKITCHEN[Eff Desc 1],0)),""),"")</f>
        <v/>
      </c>
      <c r="M192" s="456">
        <f>INDEX('M03-S05'!$V$16:$V$198,2*(ROWS($M$174:M192)-1)+1)</f>
        <v>0</v>
      </c>
      <c r="N192" s="113"/>
      <c r="O192" s="113"/>
      <c r="P192" s="184" t="str">
        <f>IF(ISNUMBER(INDEX('M03-S05'!$AN$40:$AN$198,2*(ROWS($R$186:R192)-1)+1)),INDEX('M03-S05'!$AK$40:$AK$198,2*(ROWS($P$186:P192)-1)+1),"")</f>
        <v/>
      </c>
      <c r="Q192" s="113"/>
      <c r="R192" s="184">
        <f>IF(ISNUMBER(INDEX('M03-S05'!$AN$16:$AN$198,2*(ROWS($R$174:R192)-1)+1)),INDEX('M03-S05'!$AN$16:$AN$198,2*(ROWS($R$174:R192)-1)+1),0)</f>
        <v>0</v>
      </c>
      <c r="S192" s="459"/>
      <c r="T192" s="113"/>
      <c r="U192" s="140"/>
      <c r="V192" s="113"/>
      <c r="W192" s="96" t="str">
        <f>IFERROR(IF(NOT(ISNUMBER(INDEX('M03-S05'!$AN$16:$AN$198,2*(ROWS($R$174:R192)-1)+1))),INDEX('M03-S05'!$BC$16:$BC$198,2*(ROWS($R$174:R192)-1)+1),""),"")</f>
        <v/>
      </c>
      <c r="X192" s="113"/>
      <c r="Y192" s="113"/>
      <c r="Z192" s="111">
        <f>INDEX('M03-S05'!$B$16:$B$198,2*(ROWS($Z$174:Z192)-1)+1)</f>
        <v>19</v>
      </c>
      <c r="AA192" s="111" t="str">
        <f>INDEX('M03-S05'!$N$16:$N$198,2*(ROWS($Z$174:AA192)-1)+1)</f>
        <v/>
      </c>
      <c r="AB192" s="111">
        <f>INDEX('M03-S05'!$C$16:$C$198,2*(ROWS($Z$174:AB192)-1)+1)</f>
        <v>0</v>
      </c>
      <c r="AC192" s="96"/>
      <c r="AD192">
        <f>INDEX('M03-S05'!$X$16:$X$198,2*(ROWS($AD$174:AD192)-1)+1)</f>
        <v>0</v>
      </c>
      <c r="AE192" s="459"/>
      <c r="AF192" s="459"/>
      <c r="AG192" s="112"/>
      <c r="AH192" s="112"/>
      <c r="AI192" s="112"/>
      <c r="AJ192" s="112"/>
      <c r="AK192" s="112"/>
      <c r="AL192" s="112"/>
      <c r="AM192" s="112"/>
      <c r="AN192" s="112"/>
      <c r="AO192" s="111" t="str">
        <f>IFERROR(INDEX(PMGKITCHEN[Program Design],MATCH(AB192,PMGKITCHEN[Eff Desc 1],0)),"")</f>
        <v/>
      </c>
      <c r="AU192"/>
    </row>
    <row r="193" spans="1:47">
      <c r="A193" s="57">
        <f t="shared" si="17"/>
        <v>0</v>
      </c>
      <c r="B193" s="183" t="str">
        <f t="shared" si="19"/>
        <v/>
      </c>
      <c r="C193" t="str">
        <f>IFERROR(IF(R193&gt;0,INDEX(PMGKITCHEN[Measure '#],MATCH(AB193,PMGKITCHEN[Eff Desc 1],0)),""),"")</f>
        <v/>
      </c>
      <c r="D193" t="s">
        <v>947</v>
      </c>
      <c r="F193" s="112"/>
      <c r="G193" s="186">
        <f>INDEX('M03-S05'!$AB$16:$AB$198,2*(ROWS($G$174:G193)-1)+1)</f>
        <v>0</v>
      </c>
      <c r="H193" s="186" t="str">
        <f>IF(ISNUMBER(INDEX('M03-S05'!$AN$16:$AN$198,2*(ROWS($R$174:R193)-1)+1)),"Total","")</f>
        <v/>
      </c>
      <c r="I193" s="184">
        <f>IFERROR(ROUND(INDEX('M03-S05'!$V$16:$V$198,2*(ROWS($I$174:I193)-1)+1)*INDEX('M03-S05'!$AE$16:$AE$198,2*(ROWS($I$174:I193)-1)+1),2),0)</f>
        <v>0</v>
      </c>
      <c r="J193" s="184">
        <f>IFERROR(ROUND(INDEX('M03-S05'!$V$16:$V$198,2*(ROWS($J$174:J193)-1)+1)*INDEX('M03-S05'!$AG$16:$AG$198,2*(ROWS($J$174:J193)-1)+1),2),0)</f>
        <v>0</v>
      </c>
      <c r="K193" s="52">
        <f>IFERROR(ROUND(INDEX('M03-S05'!$AU$16:$AU$198,2*(ROWS($K$174:K193)-1)+1),2),0)</f>
        <v>0</v>
      </c>
      <c r="L193" s="52" t="str">
        <f>IFERROR(IF(R193&gt;0,M193*INDEX(PMGKITCHEN[Incremental Cost],MATCH(AB193,PMGKITCHEN[Eff Desc 1],0)),""),"")</f>
        <v/>
      </c>
      <c r="M193" s="456">
        <f>INDEX('M03-S05'!$V$16:$V$198,2*(ROWS($M$174:M193)-1)+1)</f>
        <v>0</v>
      </c>
      <c r="N193" s="113"/>
      <c r="O193" s="113"/>
      <c r="P193" s="184" t="str">
        <f>IF(ISNUMBER(INDEX('M03-S05'!$AN$40:$AN$198,2*(ROWS($R$186:R193)-1)+1)),INDEX('M03-S05'!$AK$40:$AK$198,2*(ROWS($P$186:P193)-1)+1),"")</f>
        <v/>
      </c>
      <c r="Q193" s="113"/>
      <c r="R193" s="184">
        <f>IF(ISNUMBER(INDEX('M03-S05'!$AN$16:$AN$198,2*(ROWS($R$174:R193)-1)+1)),INDEX('M03-S05'!$AN$16:$AN$198,2*(ROWS($R$174:R193)-1)+1),0)</f>
        <v>0</v>
      </c>
      <c r="S193" s="459"/>
      <c r="T193" s="113"/>
      <c r="U193" s="140"/>
      <c r="V193" s="113"/>
      <c r="W193" s="96" t="str">
        <f>IFERROR(IF(NOT(ISNUMBER(INDEX('M03-S05'!$AN$16:$AN$198,2*(ROWS($R$174:R193)-1)+1))),INDEX('M03-S05'!$BC$16:$BC$198,2*(ROWS($R$174:R193)-1)+1),""),"")</f>
        <v/>
      </c>
      <c r="X193" s="113"/>
      <c r="Y193" s="113"/>
      <c r="Z193" s="111">
        <f>INDEX('M03-S05'!$B$16:$B$198,2*(ROWS($Z$174:Z193)-1)+1)</f>
        <v>20</v>
      </c>
      <c r="AA193" s="111" t="str">
        <f>INDEX('M03-S05'!$N$16:$N$198,2*(ROWS($Z$174:AA193)-1)+1)</f>
        <v/>
      </c>
      <c r="AB193" s="111">
        <f>INDEX('M03-S05'!$C$16:$C$198,2*(ROWS($Z$174:AB193)-1)+1)</f>
        <v>0</v>
      </c>
      <c r="AC193" s="96"/>
      <c r="AD193">
        <f>INDEX('M03-S05'!$X$16:$X$198,2*(ROWS($AD$174:AD193)-1)+1)</f>
        <v>0</v>
      </c>
      <c r="AE193" s="459"/>
      <c r="AF193" s="459"/>
      <c r="AG193" s="112"/>
      <c r="AH193" s="112"/>
      <c r="AI193" s="112"/>
      <c r="AJ193" s="112"/>
      <c r="AK193" s="112"/>
      <c r="AL193" s="112"/>
      <c r="AM193" s="112"/>
      <c r="AN193" s="112"/>
      <c r="AO193" s="111" t="str">
        <f>IFERROR(INDEX(PMGKITCHEN[Program Design],MATCH(AB193,PMGKITCHEN[Eff Desc 1],0)),"")</f>
        <v/>
      </c>
      <c r="AU193"/>
    </row>
    <row r="194" spans="1:47">
      <c r="A194" s="57">
        <f t="shared" si="17"/>
        <v>0</v>
      </c>
      <c r="B194" s="183" t="str">
        <f t="shared" si="19"/>
        <v/>
      </c>
      <c r="C194" t="str">
        <f>IFERROR(IF(R194&gt;0,INDEX(PMGKITCHEN[Measure '#],MATCH(AB194,PMGKITCHEN[Eff Desc 1],0)),""),"")</f>
        <v/>
      </c>
      <c r="D194" t="s">
        <v>947</v>
      </c>
      <c r="F194" s="112"/>
      <c r="G194" s="186">
        <f>INDEX('M03-S05'!$AB$16:$AB$198,2*(ROWS($G$174:G194)-1)+1)</f>
        <v>0</v>
      </c>
      <c r="H194" s="186" t="str">
        <f>IF(ISNUMBER(INDEX('M03-S05'!$AN$16:$AN$198,2*(ROWS($R$174:R194)-1)+1)),"Total","")</f>
        <v/>
      </c>
      <c r="I194" s="184">
        <f>IFERROR(ROUND(INDEX('M03-S05'!$V$16:$V$198,2*(ROWS($I$174:I194)-1)+1)*INDEX('M03-S05'!$AE$16:$AE$198,2*(ROWS($I$174:I194)-1)+1),2),0)</f>
        <v>0</v>
      </c>
      <c r="J194" s="184">
        <f>IFERROR(ROUND(INDEX('M03-S05'!$V$16:$V$198,2*(ROWS($J$174:J194)-1)+1)*INDEX('M03-S05'!$AG$16:$AG$198,2*(ROWS($J$174:J194)-1)+1),2),0)</f>
        <v>0</v>
      </c>
      <c r="K194" s="52">
        <f>IFERROR(ROUND(INDEX('M03-S05'!$AU$16:$AU$198,2*(ROWS($K$174:K194)-1)+1),2),0)</f>
        <v>0</v>
      </c>
      <c r="L194" s="52" t="str">
        <f>IFERROR(IF(R194&gt;0,M194*INDEX(PMGKITCHEN[Incremental Cost],MATCH(AB194,PMGKITCHEN[Eff Desc 1],0)),""),"")</f>
        <v/>
      </c>
      <c r="M194" s="456">
        <f>INDEX('M03-S05'!$V$16:$V$198,2*(ROWS($M$174:M194)-1)+1)</f>
        <v>0</v>
      </c>
      <c r="N194" s="113"/>
      <c r="O194" s="113"/>
      <c r="P194" s="184" t="str">
        <f>IF(ISNUMBER(INDEX('M03-S05'!$AN$40:$AN$198,2*(ROWS($R$186:R194)-1)+1)),INDEX('M03-S05'!$AK$40:$AK$198,2*(ROWS($P$186:P194)-1)+1),"")</f>
        <v/>
      </c>
      <c r="Q194" s="113"/>
      <c r="R194" s="184">
        <f>IF(ISNUMBER(INDEX('M03-S05'!$AN$16:$AN$198,2*(ROWS($R$174:R194)-1)+1)),INDEX('M03-S05'!$AN$16:$AN$198,2*(ROWS($R$174:R194)-1)+1),0)</f>
        <v>0</v>
      </c>
      <c r="S194" s="459"/>
      <c r="T194" s="113"/>
      <c r="U194" s="140"/>
      <c r="V194" s="113"/>
      <c r="W194" s="96" t="str">
        <f>IFERROR(IF(NOT(ISNUMBER(INDEX('M03-S05'!$AN$16:$AN$198,2*(ROWS($R$174:R194)-1)+1))),INDEX('M03-S05'!$BC$16:$BC$198,2*(ROWS($R$174:R194)-1)+1),""),"")</f>
        <v/>
      </c>
      <c r="X194" s="113"/>
      <c r="Y194" s="113"/>
      <c r="Z194" s="111">
        <f>INDEX('M03-S05'!$B$16:$B$198,2*(ROWS($Z$174:Z194)-1)+1)</f>
        <v>21</v>
      </c>
      <c r="AA194" s="111" t="str">
        <f>INDEX('M03-S05'!$N$16:$N$198,2*(ROWS($Z$174:AA194)-1)+1)</f>
        <v/>
      </c>
      <c r="AB194" s="111">
        <f>INDEX('M03-S05'!$C$16:$C$198,2*(ROWS($Z$174:AB194)-1)+1)</f>
        <v>0</v>
      </c>
      <c r="AC194" s="96"/>
      <c r="AD194">
        <f>INDEX('M03-S05'!$X$16:$X$198,2*(ROWS($AD$174:AD194)-1)+1)</f>
        <v>0</v>
      </c>
      <c r="AE194" s="459"/>
      <c r="AF194" s="459"/>
      <c r="AG194" s="112"/>
      <c r="AH194" s="112"/>
      <c r="AI194" s="112"/>
      <c r="AJ194" s="112"/>
      <c r="AK194" s="112"/>
      <c r="AL194" s="112"/>
      <c r="AM194" s="112"/>
      <c r="AN194" s="112"/>
      <c r="AO194" s="111" t="str">
        <f>IFERROR(INDEX(PMGKITCHEN[Program Design],MATCH(AB194,PMGKITCHEN[Eff Desc 1],0)),"")</f>
        <v/>
      </c>
      <c r="AU194"/>
    </row>
    <row r="195" spans="1:47">
      <c r="A195" s="57">
        <f t="shared" si="17"/>
        <v>0</v>
      </c>
      <c r="B195" s="183" t="str">
        <f t="shared" ref="B195:B196" si="20">IF(C195="","",CONCATENATE(ROW(),"-",C195))</f>
        <v/>
      </c>
      <c r="C195" t="str">
        <f>IFERROR(IF(R195&gt;0,INDEX(PMGKITCHEN[Measure '#],MATCH(AB195,PMGKITCHEN[Eff Desc 1],0)),""),"")</f>
        <v/>
      </c>
      <c r="D195" t="s">
        <v>947</v>
      </c>
      <c r="F195" s="112"/>
      <c r="G195" s="186">
        <f>INDEX('M03-S05'!$AB$16:$AB$198,2*(ROWS($G$174:G195)-1)+1)</f>
        <v>0</v>
      </c>
      <c r="H195" s="186" t="str">
        <f>IF(ISNUMBER(INDEX('M03-S05'!$AN$16:$AN$198,2*(ROWS($R$174:R195)-1)+1)),"Total","")</f>
        <v/>
      </c>
      <c r="I195" s="184">
        <f>IFERROR(ROUND(INDEX('M03-S05'!$V$16:$V$198,2*(ROWS($I$174:I195)-1)+1)*INDEX('M03-S05'!$AE$16:$AE$198,2*(ROWS($I$174:I195)-1)+1),2),0)</f>
        <v>0</v>
      </c>
      <c r="J195" s="184">
        <f>IFERROR(ROUND(INDEX('M03-S05'!$V$16:$V$198,2*(ROWS($J$174:J195)-1)+1)*INDEX('M03-S05'!$AG$16:$AG$198,2*(ROWS($J$174:J195)-1)+1),2),0)</f>
        <v>0</v>
      </c>
      <c r="K195" s="52">
        <f>IFERROR(ROUND(INDEX('M03-S05'!$AU$16:$AU$198,2*(ROWS($K$174:K195)-1)+1),2),0)</f>
        <v>0</v>
      </c>
      <c r="L195" s="52" t="str">
        <f>IFERROR(IF(R195&gt;0,M195*INDEX(PMGKITCHEN[Incremental Cost],MATCH(AB195,PMGKITCHEN[Eff Desc 1],0)),""),"")</f>
        <v/>
      </c>
      <c r="M195" s="456">
        <f>INDEX('M03-S05'!$V$16:$V$198,2*(ROWS($M$174:M195)-1)+1)</f>
        <v>0</v>
      </c>
      <c r="N195" s="113"/>
      <c r="O195" s="113"/>
      <c r="P195" s="184" t="str">
        <f>IF(ISNUMBER(INDEX('M03-S05'!$AN$40:$AN$198,2*(ROWS($R$186:R195)-1)+1)),INDEX('M03-S05'!$AK$40:$AK$198,2*(ROWS($P$186:P195)-1)+1),"")</f>
        <v/>
      </c>
      <c r="Q195" s="113"/>
      <c r="R195" s="184">
        <f>IF(ISNUMBER(INDEX('M03-S05'!$AN$16:$AN$198,2*(ROWS($R$174:R195)-1)+1)),INDEX('M03-S05'!$AN$16:$AN$198,2*(ROWS($R$174:R195)-1)+1),0)</f>
        <v>0</v>
      </c>
      <c r="S195" s="459"/>
      <c r="T195" s="113"/>
      <c r="U195" s="140"/>
      <c r="V195" s="113"/>
      <c r="W195" s="96" t="str">
        <f>IFERROR(IF(NOT(ISNUMBER(INDEX('M03-S05'!$AN$16:$AN$198,2*(ROWS($R$174:R195)-1)+1))),INDEX('M03-S05'!$BC$16:$BC$198,2*(ROWS($R$174:R195)-1)+1),""),"")</f>
        <v/>
      </c>
      <c r="X195" s="113"/>
      <c r="Y195" s="113"/>
      <c r="Z195" s="111">
        <f>INDEX('M03-S05'!$B$16:$B$198,2*(ROWS($Z$174:Z195)-1)+1)</f>
        <v>22</v>
      </c>
      <c r="AA195" s="111" t="str">
        <f>INDEX('M03-S05'!$N$16:$N$198,2*(ROWS($Z$174:AA195)-1)+1)</f>
        <v/>
      </c>
      <c r="AB195" s="111">
        <f>INDEX('M03-S05'!$C$16:$C$198,2*(ROWS($Z$174:AB195)-1)+1)</f>
        <v>0</v>
      </c>
      <c r="AC195" s="96"/>
      <c r="AD195">
        <f>INDEX('M03-S05'!$X$16:$X$198,2*(ROWS($AD$174:AD195)-1)+1)</f>
        <v>0</v>
      </c>
      <c r="AE195" s="459"/>
      <c r="AF195" s="459"/>
      <c r="AG195" s="112"/>
      <c r="AH195" s="112"/>
      <c r="AI195" s="112"/>
      <c r="AJ195" s="112"/>
      <c r="AK195" s="112"/>
      <c r="AL195" s="112"/>
      <c r="AM195" s="112"/>
      <c r="AN195" s="112"/>
      <c r="AO195" s="111" t="str">
        <f>IFERROR(INDEX(PMGKITCHEN[Program Design],MATCH(AB195,PMGKITCHEN[Eff Desc 1],0)),"")</f>
        <v/>
      </c>
      <c r="AU195"/>
    </row>
    <row r="196" spans="1:47">
      <c r="A196" s="57">
        <f t="shared" si="17"/>
        <v>0</v>
      </c>
      <c r="B196" s="183" t="str">
        <f t="shared" si="20"/>
        <v/>
      </c>
      <c r="C196" t="str">
        <f>IFERROR(IF(R196&gt;0,INDEX(PMGKITCHEN[Measure '#],MATCH(AB196,PMGKITCHEN[Eff Desc 1],0)),""),"")</f>
        <v/>
      </c>
      <c r="D196" t="s">
        <v>947</v>
      </c>
      <c r="F196" s="112"/>
      <c r="G196" s="186">
        <f>INDEX('M03-S05'!$AB$16:$AB$198,2*(ROWS($G$174:G196)-1)+1)</f>
        <v>0</v>
      </c>
      <c r="H196" s="186" t="str">
        <f>IF(ISNUMBER(INDEX('M03-S05'!$AN$16:$AN$198,2*(ROWS($R$174:R196)-1)+1)),"Total","")</f>
        <v/>
      </c>
      <c r="I196" s="184">
        <f>IFERROR(ROUND(INDEX('M03-S05'!$V$16:$V$198,2*(ROWS($I$174:I196)-1)+1)*INDEX('M03-S05'!$AE$16:$AE$198,2*(ROWS($I$174:I196)-1)+1),2),0)</f>
        <v>0</v>
      </c>
      <c r="J196" s="184">
        <f>IFERROR(ROUND(INDEX('M03-S05'!$V$16:$V$198,2*(ROWS($J$174:J196)-1)+1)*INDEX('M03-S05'!$AG$16:$AG$198,2*(ROWS($J$174:J196)-1)+1),2),0)</f>
        <v>0</v>
      </c>
      <c r="K196" s="52">
        <f>IFERROR(ROUND(INDEX('M03-S05'!$AU$16:$AU$198,2*(ROWS($K$174:K196)-1)+1),2),0)</f>
        <v>0</v>
      </c>
      <c r="L196" s="52" t="str">
        <f>IFERROR(IF(R196&gt;0,M196*INDEX(PMGKITCHEN[Incremental Cost],MATCH(AB196,PMGKITCHEN[Eff Desc 1],0)),""),"")</f>
        <v/>
      </c>
      <c r="M196" s="456">
        <f>INDEX('M03-S05'!$V$16:$V$198,2*(ROWS($M$174:M196)-1)+1)</f>
        <v>0</v>
      </c>
      <c r="N196" s="113"/>
      <c r="O196" s="113"/>
      <c r="P196" s="184" t="str">
        <f>IF(ISNUMBER(INDEX('M03-S05'!$AN$40:$AN$198,2*(ROWS($R$186:R196)-1)+1)),INDEX('M03-S05'!$AK$40:$AK$198,2*(ROWS($P$186:P196)-1)+1),"")</f>
        <v/>
      </c>
      <c r="Q196" s="113"/>
      <c r="R196" s="184">
        <f>IF(ISNUMBER(INDEX('M03-S05'!$AN$16:$AN$198,2*(ROWS($R$174:R196)-1)+1)),INDEX('M03-S05'!$AN$16:$AN$198,2*(ROWS($R$174:R196)-1)+1),0)</f>
        <v>0</v>
      </c>
      <c r="S196" s="459"/>
      <c r="T196" s="113"/>
      <c r="U196" s="140"/>
      <c r="V196" s="113"/>
      <c r="W196" s="96" t="str">
        <f>IFERROR(IF(NOT(ISNUMBER(INDEX('M03-S05'!$AN$16:$AN$198,2*(ROWS($R$174:R196)-1)+1))),INDEX('M03-S05'!$BC$16:$BC$198,2*(ROWS($R$174:R196)-1)+1),""),"")</f>
        <v/>
      </c>
      <c r="X196" s="113"/>
      <c r="Y196" s="113"/>
      <c r="Z196" s="111">
        <f>INDEX('M03-S05'!$B$16:$B$198,2*(ROWS($Z$174:Z196)-1)+1)</f>
        <v>23</v>
      </c>
      <c r="AA196" s="111" t="str">
        <f>INDEX('M03-S05'!$N$16:$N$198,2*(ROWS($Z$174:AA196)-1)+1)</f>
        <v/>
      </c>
      <c r="AB196" s="111">
        <f>INDEX('M03-S05'!$C$16:$C$198,2*(ROWS($Z$174:AB196)-1)+1)</f>
        <v>0</v>
      </c>
      <c r="AC196" s="96"/>
      <c r="AD196">
        <f>INDEX('M03-S05'!$X$16:$X$198,2*(ROWS($AD$174:AD196)-1)+1)</f>
        <v>0</v>
      </c>
      <c r="AE196" s="459"/>
      <c r="AF196" s="459"/>
      <c r="AG196" s="112"/>
      <c r="AH196" s="112"/>
      <c r="AI196" s="112"/>
      <c r="AJ196" s="112"/>
      <c r="AK196" s="112"/>
      <c r="AL196" s="112"/>
      <c r="AM196" s="112"/>
      <c r="AN196" s="112"/>
      <c r="AO196" s="111" t="str">
        <f>IFERROR(INDEX(PMGKITCHEN[Program Design],MATCH(AB196,PMGKITCHEN[Eff Desc 1],0)),"")</f>
        <v/>
      </c>
      <c r="AU196"/>
    </row>
    <row r="197" spans="1:47">
      <c r="A197" s="57">
        <f t="shared" si="17"/>
        <v>0</v>
      </c>
      <c r="B197" s="183" t="str">
        <f t="shared" ref="B197" ca="1" si="21">IF(C197="","",CONCATENATE(ROW(),"-",C197))</f>
        <v/>
      </c>
      <c r="C197" s="559" t="str">
        <f ca="1">IFERROR(IF(R197&gt;0,INDEX(PMEBONUS[Measure '#],MATCH(AB197,PMEBONUS[Eff Desc 1],0)),""),"")</f>
        <v/>
      </c>
      <c r="D197" t="s">
        <v>947</v>
      </c>
      <c r="F197" s="112"/>
      <c r="G197" s="186">
        <f>INDEX('M03-S05'!$AB$16:$AB$198,2*(ROWS($G$174:G197)-1)+1)</f>
        <v>0</v>
      </c>
      <c r="H197" s="112"/>
      <c r="I197" s="184">
        <f ca="1">IFERROR(ROUND(INDEX('M03-S05'!$V$16:$V$198,2*(ROWS($I$174:I197)-1)+1)*INDEX('M03-S05'!$AE$16:$AE$198,2*(ROWS($I$174:I197)-1)+1),2),0)</f>
        <v>0</v>
      </c>
      <c r="J197" s="184">
        <f ca="1">IFERROR(ROUND(INDEX('M03-S05'!$V$16:$V$198,2*(ROWS($J$174:J197)-1)+1)*INDEX('M03-S05'!$AG$16:$AG$198,2*(ROWS($J$174:J197)-1)+1),2),0)</f>
        <v>0</v>
      </c>
      <c r="K197" s="52">
        <f>IFERROR(ROUND(INDEX('M03-S05'!$AU$16:$AU$198,2*(ROWS($K$174:K197)-1)+1),2),0)</f>
        <v>0</v>
      </c>
      <c r="L197" s="52" t="str">
        <f ca="1">IFERROR(IF(R197&gt;0,M197*INDEX(PMGKITCHEN[Incremental Cost],MATCH(AB197,PMGKITCHEN[Eff Desc 1],0)),""),"")</f>
        <v/>
      </c>
      <c r="M197" s="456">
        <f ca="1">INDEX('M03-S05'!$V$16:$V$198,2*(ROWS($M$174:M197)-1)+1)</f>
        <v>0</v>
      </c>
      <c r="N197" s="113"/>
      <c r="O197" s="113"/>
      <c r="P197" s="184"/>
      <c r="Q197" s="113"/>
      <c r="R197" s="184">
        <f ca="1">IF(ISNUMBER(INDEX('M03-S05'!$AN$16:$AN$198,2*(ROWS($R$174:R197)-1)+1)),INDEX('M03-S05'!$AN$16:$AN$198,2*(ROWS($R$174:R197)-1)+1),0)</f>
        <v>0</v>
      </c>
      <c r="S197" s="459"/>
      <c r="T197" s="113"/>
      <c r="U197" s="140"/>
      <c r="V197" s="113"/>
      <c r="W197" s="96">
        <f ca="1">IFERROR(IF(NOT(ISNUMBER(INDEX('M03-S05'!$AN$16:$AN$198,2*(ROWS($R$174:R197)-1)+1))),INDEX('M03-S05'!$BC$16:$BC$198,2*(ROWS($R$174:R197)-1)+1),""),"")</f>
        <v>0</v>
      </c>
      <c r="X197" s="113"/>
      <c r="Y197" s="113"/>
      <c r="Z197" s="111">
        <f>INDEX('M03-S05'!$B$16:$B$198,2*(ROWS($Z$174:Z197)-1)+1)</f>
        <v>24</v>
      </c>
      <c r="AA197" s="111" t="str">
        <f ca="1">INDEX('M03-S05'!$N$16:$N$198,2*(ROWS($Z$174:AA197)-1)+1)</f>
        <v/>
      </c>
      <c r="AB197" s="111">
        <f ca="1">INDEX('M03-S05'!$C$16:$C$198,2*(ROWS($Z$174:AB197)-1)+1)</f>
        <v>0</v>
      </c>
      <c r="AC197" s="96"/>
      <c r="AD197">
        <f>INDEX('M03-S05'!$X$16:$X$198,2*(ROWS($AD$174:AD197)-1)+1)</f>
        <v>0</v>
      </c>
      <c r="AE197" s="459"/>
      <c r="AF197" s="459"/>
      <c r="AG197" s="112"/>
      <c r="AH197" s="112"/>
      <c r="AI197" s="112"/>
      <c r="AJ197" s="112"/>
      <c r="AK197" s="112"/>
      <c r="AL197" s="112"/>
      <c r="AM197" s="112"/>
      <c r="AN197" s="112"/>
      <c r="AO197" s="111" t="str">
        <f ca="1">IFERROR(INDEX(PMEBONUS[Program Design],MATCH(AB197,PMEBONUS[Eff Desc 1],0)),"")</f>
        <v/>
      </c>
      <c r="AU197"/>
    </row>
    <row r="198" spans="1:47">
      <c r="A198" s="146" t="str">
        <f>CONCATENATE(MAIN3," ",M3S8)</f>
        <v>PRESCRIPTIVE MEASURES INPUT Misc / Compressed Air / VFDs</v>
      </c>
      <c r="B198" s="148"/>
      <c r="C198" s="148"/>
      <c r="D198" s="120"/>
      <c r="E198" s="120"/>
      <c r="F198" s="124"/>
      <c r="G198" s="120"/>
      <c r="H198" s="120"/>
      <c r="I198" s="125"/>
      <c r="J198" s="125"/>
      <c r="K198" s="125"/>
      <c r="L198" s="125"/>
      <c r="M198" s="457"/>
      <c r="N198" s="125"/>
      <c r="O198" s="457"/>
      <c r="P198" s="125"/>
      <c r="Q198" s="125"/>
      <c r="R198" s="125"/>
      <c r="S198" s="460"/>
      <c r="T198" s="127"/>
      <c r="U198" s="141"/>
      <c r="V198" s="127"/>
      <c r="W198" s="126"/>
      <c r="X198" s="127"/>
      <c r="Y198" s="127"/>
      <c r="Z198" s="124"/>
      <c r="AA198" s="124"/>
      <c r="AB198" s="124"/>
      <c r="AC198" s="126"/>
      <c r="AD198" s="120"/>
      <c r="AE198" s="457"/>
      <c r="AF198" s="457"/>
      <c r="AG198" s="128"/>
      <c r="AH198" s="128"/>
      <c r="AI198" s="128"/>
      <c r="AJ198" s="128"/>
      <c r="AK198" s="127"/>
      <c r="AL198" s="127"/>
      <c r="AM198" s="127"/>
      <c r="AN198" s="127"/>
      <c r="AO198" s="127"/>
      <c r="AU198"/>
    </row>
    <row r="199" spans="1:47">
      <c r="A199" s="57">
        <f t="shared" si="17"/>
        <v>0</v>
      </c>
      <c r="B199" s="183" t="str">
        <f t="shared" si="18"/>
        <v/>
      </c>
      <c r="C199" t="str">
        <f>IFERROR(IF(R199&gt;0,INDEX(PMECA[Measure '#],MATCH(AB199,PMECA[Eff Desc 1],0)),""),"")</f>
        <v/>
      </c>
      <c r="D199" t="s">
        <v>947</v>
      </c>
      <c r="F199" s="112"/>
      <c r="G199" s="112"/>
      <c r="H199" s="186" t="str">
        <f>IF(ISNUMBER(INDEX('M03-S08'!$AO$16:$AO$198,2*(ROWS($R$199:R199)-1)+1)),"Total","")</f>
        <v/>
      </c>
      <c r="I199" s="184">
        <f>IFERROR(ROUND(INDEX('M03-S08'!$AA$16:$AA$198,2*(ROWS($I$199:I199)-1)+1),2),0)</f>
        <v>0</v>
      </c>
      <c r="J199" s="184">
        <f>IFERROR(ROUND(INDEX('M03-S08'!$AC$16:$AC$198,2*(ROWS($J$199:J199)-1)+1),2),0)</f>
        <v>0</v>
      </c>
      <c r="K199" s="52">
        <f>IFERROR(ROUND(INDEX('M03-S08'!$AU$16:$AU$198,2*(ROWS($K$199:K199)-1)+1),2),0)</f>
        <v>0</v>
      </c>
      <c r="L199" s="52" t="str">
        <f>IFERROR(IF(R199&gt;0,M199*INDEX(PMECA[Incremental Cost],MATCH(AB199,PMECA[Eff Desc 1],0)),""),"")</f>
        <v/>
      </c>
      <c r="M199" s="456">
        <f>INDEX('M03-S08'!$V$16:$V$198,2*(ROWS($M$199:M199)-1)+1)</f>
        <v>0</v>
      </c>
      <c r="N199" s="184" t="str">
        <f>IF(ISNUMBER(INDEX('M03-S08'!$AO$16:$AO$198,2*(ROWS($R$199:R199)-1)+1)),INDEX('M03-S08'!$AV$16:$AV$198,2*(ROWS($N$199:N199)-1)+1),"")</f>
        <v/>
      </c>
      <c r="O199" s="456" t="str">
        <f>IFERROR(IF(ISNUMBER(INDEX('M03-S08'!$AO$16:$AO$198,2*(ROWS($R$199:R199)-1)+1)),INDEX('M03-S08'!$AW$16:$AW$198,2*(ROWS($O$199:O199)-1)+1),""),"")</f>
        <v/>
      </c>
      <c r="P199" s="113"/>
      <c r="Q199" s="113"/>
      <c r="R199" s="184">
        <f>IF(ISNUMBER(INDEX('M03-S08'!$AO$16:$AO$198,2*(ROWS($R$199:R199)-1)+1)),INDEX('M03-S08'!$AO$16:$AO$198,2*(ROWS($R$199:R199)-1)+1),0)</f>
        <v>0</v>
      </c>
      <c r="S199" s="459"/>
      <c r="T199" s="113"/>
      <c r="U199" s="140"/>
      <c r="V199" s="113"/>
      <c r="W199" s="96" t="str">
        <f>IFERROR(IF(NOT(ISNUMBER(INDEX('M03-S08'!$AO$16:$AO$198,2*(ROWS($R$199:R199)-1)+1))),INDEX('M03-S08'!$BC$16:$BC$198,2*(ROWS($R$199:R199)-1)+1),""),"")</f>
        <v/>
      </c>
      <c r="X199" s="113"/>
      <c r="Y199" s="113"/>
      <c r="Z199" s="111">
        <f>INDEX('M03-S08'!$B$16:$B$198,2*(ROWS($Z$199:Z199)-1)+1)</f>
        <v>1</v>
      </c>
      <c r="AA199" s="111">
        <f>INDEX('M03-S08'!$J$16:$J$198,2*(ROWS($Z$199:AA199)-1)+1)</f>
        <v>0</v>
      </c>
      <c r="AB199" s="111">
        <f>INDEX('M03-S08'!$C$16:$C$198,2*(ROWS($Z$199:AB199)-1)+1)</f>
        <v>0</v>
      </c>
      <c r="AC199" s="96"/>
      <c r="AD199">
        <f>INDEX('M03-S08'!$X$16:$X$198,2*(ROWS($AD$199:AD199)-1)+1)</f>
        <v>0</v>
      </c>
      <c r="AE199" s="459"/>
      <c r="AF199" s="459"/>
      <c r="AG199" s="112"/>
      <c r="AH199" s="112"/>
      <c r="AI199" s="112"/>
      <c r="AJ199" s="112"/>
      <c r="AK199" s="112"/>
      <c r="AL199" s="112"/>
      <c r="AM199" s="112"/>
      <c r="AN199" s="112"/>
      <c r="AO199" s="111" t="str">
        <f>IFERROR(INDEX(PMECA[Program Design],MATCH(AB199,PMECA[Eff Desc 1],0)),"")</f>
        <v/>
      </c>
      <c r="AU199"/>
    </row>
    <row r="200" spans="1:47">
      <c r="A200" s="57">
        <f t="shared" si="17"/>
        <v>0</v>
      </c>
      <c r="B200" s="183" t="str">
        <f t="shared" si="18"/>
        <v/>
      </c>
      <c r="C200" t="str">
        <f>IFERROR(IF(R200&gt;0,INDEX(PMECA[Measure '#],MATCH(AB200,PMECA[Eff Desc 1],0)),""),"")</f>
        <v/>
      </c>
      <c r="D200" t="s">
        <v>947</v>
      </c>
      <c r="F200" s="112"/>
      <c r="G200" s="112"/>
      <c r="H200" s="186" t="str">
        <f>IF(ISNUMBER(INDEX('M03-S08'!$AO$16:$AO$198,2*(ROWS($R$199:R200)-1)+1)),"Total","")</f>
        <v/>
      </c>
      <c r="I200" s="184">
        <f>IFERROR(ROUND(INDEX('M03-S08'!$AA$16:$AA$198,2*(ROWS($I$199:I200)-1)+1),2),0)</f>
        <v>0</v>
      </c>
      <c r="J200" s="184">
        <f>IFERROR(ROUND(INDEX('M03-S08'!$AC$16:$AC$198,2*(ROWS($J$199:J200)-1)+1),2),0)</f>
        <v>0</v>
      </c>
      <c r="K200" s="52">
        <f>IFERROR(ROUND(INDEX('M03-S08'!$AU$16:$AU$198,2*(ROWS($K$199:K200)-1)+1),2),0)</f>
        <v>0</v>
      </c>
      <c r="L200" s="52" t="str">
        <f>IFERROR(IF(R200&gt;0,M200*INDEX(PMECA[Incremental Cost],MATCH(AB200,PMECA[Eff Desc 1],0)),""),"")</f>
        <v/>
      </c>
      <c r="M200" s="456">
        <f>INDEX('M03-S08'!$V$16:$V$198,2*(ROWS($M$199:M200)-1)+1)</f>
        <v>0</v>
      </c>
      <c r="N200" s="184" t="str">
        <f>IF(ISNUMBER(INDEX('M03-S08'!$AO$16:$AO$198,2*(ROWS($R$199:R200)-1)+1)),INDEX('M03-S08'!$AV$16:$AV$198,2*(ROWS($N$199:N200)-1)+1),"")</f>
        <v/>
      </c>
      <c r="O200" s="456" t="str">
        <f>IFERROR(IF(ISNUMBER(INDEX('M03-S08'!$AO$16:$AO$198,2*(ROWS($R$199:R200)-1)+1)),INDEX('M03-S08'!$AW$16:$AW$198,2*(ROWS($O$199:O200)-1)+1),""),"")</f>
        <v/>
      </c>
      <c r="P200" s="113"/>
      <c r="Q200" s="113"/>
      <c r="R200" s="184">
        <f>IF(ISNUMBER(INDEX('M03-S08'!$AO$16:$AO$198,2*(ROWS($R$199:R200)-1)+1)),INDEX('M03-S08'!$AO$16:$AO$198,2*(ROWS($R$199:R200)-1)+1),0)</f>
        <v>0</v>
      </c>
      <c r="S200" s="459"/>
      <c r="T200" s="113"/>
      <c r="U200" s="140"/>
      <c r="V200" s="113"/>
      <c r="W200" s="96" t="str">
        <f>IFERROR(IF(NOT(ISNUMBER(INDEX('M03-S08'!$AO$16:$AO$198,2*(ROWS($R$199:R200)-1)+1))),INDEX('M03-S08'!$BC$16:$BC$198,2*(ROWS($R$199:R200)-1)+1),""),"")</f>
        <v/>
      </c>
      <c r="X200" s="113"/>
      <c r="Y200" s="113"/>
      <c r="Z200" s="111">
        <f>INDEX('M03-S08'!$B$16:$B$198,2*(ROWS($Z$199:Z200)-1)+1)</f>
        <v>2</v>
      </c>
      <c r="AA200" s="111">
        <f>INDEX('M03-S08'!$J$16:$J$198,2*(ROWS($Z$199:AA200)-1)+1)</f>
        <v>0</v>
      </c>
      <c r="AB200" s="111">
        <f>INDEX('M03-S08'!$C$16:$C$198,2*(ROWS($Z$199:AB200)-1)+1)</f>
        <v>0</v>
      </c>
      <c r="AC200" s="96"/>
      <c r="AD200">
        <f>INDEX('M03-S08'!$X$16:$X$198,2*(ROWS($AD$199:AD200)-1)+1)</f>
        <v>0</v>
      </c>
      <c r="AE200" s="459"/>
      <c r="AF200" s="459"/>
      <c r="AG200" s="112"/>
      <c r="AH200" s="112"/>
      <c r="AI200" s="112"/>
      <c r="AJ200" s="112"/>
      <c r="AK200" s="112"/>
      <c r="AL200" s="112"/>
      <c r="AM200" s="112"/>
      <c r="AN200" s="112"/>
      <c r="AO200" s="111" t="str">
        <f>IFERROR(INDEX(PMECA[Program Design],MATCH(AB200,PMECA[Eff Desc 1],0)),"")</f>
        <v/>
      </c>
      <c r="AU200"/>
    </row>
    <row r="201" spans="1:47">
      <c r="A201" s="57">
        <f t="shared" si="17"/>
        <v>0</v>
      </c>
      <c r="B201" s="183" t="str">
        <f t="shared" si="18"/>
        <v/>
      </c>
      <c r="C201" t="str">
        <f>IFERROR(IF(R201&gt;0,INDEX(PMECA[Measure '#],MATCH(AB201,PMECA[Eff Desc 1],0)),""),"")</f>
        <v/>
      </c>
      <c r="D201" t="s">
        <v>947</v>
      </c>
      <c r="F201" s="112"/>
      <c r="G201" s="112"/>
      <c r="H201" s="186" t="str">
        <f>IF(ISNUMBER(INDEX('M03-S08'!$AO$16:$AO$198,2*(ROWS($R$199:R201)-1)+1)),"Total","")</f>
        <v/>
      </c>
      <c r="I201" s="184">
        <f>IFERROR(ROUND(INDEX('M03-S08'!$AA$16:$AA$198,2*(ROWS($I$199:I201)-1)+1),2),0)</f>
        <v>0</v>
      </c>
      <c r="J201" s="184">
        <f>IFERROR(ROUND(INDEX('M03-S08'!$AC$16:$AC$198,2*(ROWS($J$199:J201)-1)+1),2),0)</f>
        <v>0</v>
      </c>
      <c r="K201" s="52">
        <f>IFERROR(ROUND(INDEX('M03-S08'!$AU$16:$AU$198,2*(ROWS($K$199:K201)-1)+1),2),0)</f>
        <v>0</v>
      </c>
      <c r="L201" s="52" t="str">
        <f>IFERROR(IF(R201&gt;0,M201*INDEX(PMECA[Incremental Cost],MATCH(AB201,PMECA[Eff Desc 1],0)),""),"")</f>
        <v/>
      </c>
      <c r="M201" s="456">
        <f>INDEX('M03-S08'!$V$16:$V$198,2*(ROWS($M$199:M201)-1)+1)</f>
        <v>0</v>
      </c>
      <c r="N201" s="184" t="str">
        <f>IF(ISNUMBER(INDEX('M03-S08'!$AO$16:$AO$198,2*(ROWS($R$199:R201)-1)+1)),INDEX('M03-S08'!$AV$16:$AV$198,2*(ROWS($N$199:N201)-1)+1),"")</f>
        <v/>
      </c>
      <c r="O201" s="456" t="str">
        <f>IFERROR(IF(ISNUMBER(INDEX('M03-S08'!$AO$16:$AO$198,2*(ROWS($R$199:R201)-1)+1)),INDEX('M03-S08'!$AW$16:$AW$198,2*(ROWS($O$199:O201)-1)+1),""),"")</f>
        <v/>
      </c>
      <c r="P201" s="113"/>
      <c r="Q201" s="113"/>
      <c r="R201" s="184">
        <f>IF(ISNUMBER(INDEX('M03-S08'!$AO$16:$AO$198,2*(ROWS($R$199:R201)-1)+1)),INDEX('M03-S08'!$AO$16:$AO$198,2*(ROWS($R$199:R201)-1)+1),0)</f>
        <v>0</v>
      </c>
      <c r="S201" s="459"/>
      <c r="T201" s="113"/>
      <c r="U201" s="140"/>
      <c r="V201" s="113"/>
      <c r="W201" s="96" t="str">
        <f>IFERROR(IF(NOT(ISNUMBER(INDEX('M03-S08'!$AO$16:$AO$198,2*(ROWS($R$199:R201)-1)+1))),INDEX('M03-S08'!$BC$16:$BC$198,2*(ROWS($R$199:R201)-1)+1),""),"")</f>
        <v/>
      </c>
      <c r="X201" s="113"/>
      <c r="Y201" s="113"/>
      <c r="Z201" s="111">
        <f>INDEX('M03-S08'!$B$16:$B$198,2*(ROWS($Z$199:Z201)-1)+1)</f>
        <v>3</v>
      </c>
      <c r="AA201" s="111">
        <f>INDEX('M03-S08'!$J$16:$J$198,2*(ROWS($Z$199:AA201)-1)+1)</f>
        <v>0</v>
      </c>
      <c r="AB201" s="111">
        <f>INDEX('M03-S08'!$C$16:$C$198,2*(ROWS($Z$199:AB201)-1)+1)</f>
        <v>0</v>
      </c>
      <c r="AC201" s="96"/>
      <c r="AD201">
        <f>INDEX('M03-S08'!$X$16:$X$198,2*(ROWS($AD$199:AD201)-1)+1)</f>
        <v>0</v>
      </c>
      <c r="AE201" s="459"/>
      <c r="AF201" s="459"/>
      <c r="AG201" s="112"/>
      <c r="AH201" s="112"/>
      <c r="AI201" s="112"/>
      <c r="AJ201" s="112"/>
      <c r="AK201" s="112"/>
      <c r="AL201" s="112"/>
      <c r="AM201" s="112"/>
      <c r="AN201" s="112"/>
      <c r="AO201" s="111" t="str">
        <f>IFERROR(INDEX(PMECA[Program Design],MATCH(AB201,PMECA[Eff Desc 1],0)),"")</f>
        <v/>
      </c>
      <c r="AU201"/>
    </row>
    <row r="202" spans="1:47">
      <c r="A202" s="57">
        <f t="shared" si="17"/>
        <v>0</v>
      </c>
      <c r="B202" s="183" t="str">
        <f t="shared" si="18"/>
        <v/>
      </c>
      <c r="C202" t="str">
        <f>IFERROR(IF(R202&gt;0,INDEX(PMECA[Measure '#],MATCH(AB202,PMECA[Eff Desc 1],0)),""),"")</f>
        <v/>
      </c>
      <c r="D202" t="s">
        <v>947</v>
      </c>
      <c r="F202" s="112"/>
      <c r="G202" s="112"/>
      <c r="H202" s="186" t="str">
        <f>IF(ISNUMBER(INDEX('M03-S08'!$AO$16:$AO$198,2*(ROWS($R$199:R202)-1)+1)),"Total","")</f>
        <v/>
      </c>
      <c r="I202" s="184">
        <f>IFERROR(ROUND(INDEX('M03-S08'!$AA$16:$AA$198,2*(ROWS($I$199:I202)-1)+1),2),0)</f>
        <v>0</v>
      </c>
      <c r="J202" s="184">
        <f>IFERROR(ROUND(INDEX('M03-S08'!$AC$16:$AC$198,2*(ROWS($J$199:J202)-1)+1),2),0)</f>
        <v>0</v>
      </c>
      <c r="K202" s="52">
        <f>IFERROR(ROUND(INDEX('M03-S08'!$AU$16:$AU$198,2*(ROWS($K$199:K202)-1)+1),2),0)</f>
        <v>0</v>
      </c>
      <c r="L202" s="52" t="str">
        <f>IFERROR(IF(R202&gt;0,M202*INDEX(PMECA[Incremental Cost],MATCH(AB202,PMECA[Eff Desc 1],0)),""),"")</f>
        <v/>
      </c>
      <c r="M202" s="456">
        <f>INDEX('M03-S08'!$V$16:$V$198,2*(ROWS($M$199:M202)-1)+1)</f>
        <v>0</v>
      </c>
      <c r="N202" s="184" t="str">
        <f>IF(ISNUMBER(INDEX('M03-S08'!$AO$16:$AO$198,2*(ROWS($R$199:R202)-1)+1)),INDEX('M03-S08'!$AV$16:$AV$198,2*(ROWS($N$199:N202)-1)+1),"")</f>
        <v/>
      </c>
      <c r="O202" s="456" t="str">
        <f>IFERROR(IF(ISNUMBER(INDEX('M03-S08'!$AO$16:$AO$198,2*(ROWS($R$199:R202)-1)+1)),INDEX('M03-S08'!$AW$16:$AW$198,2*(ROWS($O$199:O202)-1)+1),""),"")</f>
        <v/>
      </c>
      <c r="P202" s="113"/>
      <c r="Q202" s="113"/>
      <c r="R202" s="184">
        <f>IF(ISNUMBER(INDEX('M03-S08'!$AO$16:$AO$198,2*(ROWS($R$199:R202)-1)+1)),INDEX('M03-S08'!$AO$16:$AO$198,2*(ROWS($R$199:R202)-1)+1),0)</f>
        <v>0</v>
      </c>
      <c r="S202" s="459"/>
      <c r="T202" s="113"/>
      <c r="U202" s="140"/>
      <c r="V202" s="113"/>
      <c r="W202" s="96" t="str">
        <f>IFERROR(IF(NOT(ISNUMBER(INDEX('M03-S08'!$AO$16:$AO$198,2*(ROWS($R$199:R202)-1)+1))),INDEX('M03-S08'!$BC$16:$BC$198,2*(ROWS($R$199:R202)-1)+1),""),"")</f>
        <v/>
      </c>
      <c r="X202" s="113"/>
      <c r="Y202" s="113"/>
      <c r="Z202" s="111">
        <f>INDEX('M03-S08'!$B$16:$B$198,2*(ROWS($Z$199:Z202)-1)+1)</f>
        <v>4</v>
      </c>
      <c r="AA202" s="111">
        <f>INDEX('M03-S08'!$J$16:$J$198,2*(ROWS($Z$199:AA202)-1)+1)</f>
        <v>0</v>
      </c>
      <c r="AB202" s="111">
        <f>INDEX('M03-S08'!$C$16:$C$198,2*(ROWS($Z$199:AB202)-1)+1)</f>
        <v>0</v>
      </c>
      <c r="AC202" s="96"/>
      <c r="AD202">
        <f>INDEX('M03-S08'!$X$16:$X$198,2*(ROWS($AD$199:AD202)-1)+1)</f>
        <v>0</v>
      </c>
      <c r="AE202" s="459"/>
      <c r="AF202" s="459"/>
      <c r="AG202" s="112"/>
      <c r="AH202" s="112"/>
      <c r="AI202" s="112"/>
      <c r="AJ202" s="112"/>
      <c r="AK202" s="112"/>
      <c r="AL202" s="112"/>
      <c r="AM202" s="112"/>
      <c r="AN202" s="112"/>
      <c r="AO202" s="111" t="str">
        <f>IFERROR(INDEX(PMECA[Program Design],MATCH(AB202,PMECA[Eff Desc 1],0)),"")</f>
        <v/>
      </c>
      <c r="AU202"/>
    </row>
    <row r="203" spans="1:47">
      <c r="A203" s="57">
        <f t="shared" si="17"/>
        <v>0</v>
      </c>
      <c r="B203" s="183" t="str">
        <f t="shared" si="18"/>
        <v/>
      </c>
      <c r="C203" t="str">
        <f>IFERROR(IF(R203&gt;0,INDEX(PMECA[Measure '#],MATCH(AB203,PMECA[Eff Desc 1],0)),""),"")</f>
        <v/>
      </c>
      <c r="D203" t="s">
        <v>947</v>
      </c>
      <c r="F203" s="112"/>
      <c r="G203" s="112"/>
      <c r="H203" s="186" t="str">
        <f>IF(ISNUMBER(INDEX('M03-S08'!$AO$16:$AO$198,2*(ROWS($R$199:R203)-1)+1)),"Total","")</f>
        <v/>
      </c>
      <c r="I203" s="184">
        <f>IFERROR(ROUND(INDEX('M03-S08'!$AA$16:$AA$198,2*(ROWS($I$199:I203)-1)+1),2),0)</f>
        <v>0</v>
      </c>
      <c r="J203" s="184">
        <f>IFERROR(ROUND(INDEX('M03-S08'!$AC$16:$AC$198,2*(ROWS($J$199:J203)-1)+1),2),0)</f>
        <v>0</v>
      </c>
      <c r="K203" s="52">
        <f>IFERROR(ROUND(INDEX('M03-S08'!$AU$16:$AU$198,2*(ROWS($K$199:K203)-1)+1),2),0)</f>
        <v>0</v>
      </c>
      <c r="L203" s="52" t="str">
        <f>IFERROR(IF(R203&gt;0,M203*INDEX(PMECA[Incremental Cost],MATCH(AB203,PMECA[Eff Desc 1],0)),""),"")</f>
        <v/>
      </c>
      <c r="M203" s="456">
        <f>INDEX('M03-S08'!$V$16:$V$198,2*(ROWS($M$199:M203)-1)+1)</f>
        <v>0</v>
      </c>
      <c r="N203" s="184" t="str">
        <f>IF(ISNUMBER(INDEX('M03-S08'!$AO$16:$AO$198,2*(ROWS($R$199:R203)-1)+1)),INDEX('M03-S08'!$AV$16:$AV$198,2*(ROWS($N$199:N203)-1)+1),"")</f>
        <v/>
      </c>
      <c r="O203" s="456" t="str">
        <f>IFERROR(IF(ISNUMBER(INDEX('M03-S08'!$AO$16:$AO$198,2*(ROWS($R$199:R203)-1)+1)),INDEX('M03-S08'!$AW$16:$AW$198,2*(ROWS($O$199:O203)-1)+1),""),"")</f>
        <v/>
      </c>
      <c r="P203" s="113"/>
      <c r="Q203" s="113"/>
      <c r="R203" s="184">
        <f>IF(ISNUMBER(INDEX('M03-S08'!$AO$16:$AO$198,2*(ROWS($R$199:R203)-1)+1)),INDEX('M03-S08'!$AO$16:$AO$198,2*(ROWS($R$199:R203)-1)+1),0)</f>
        <v>0</v>
      </c>
      <c r="S203" s="459"/>
      <c r="T203" s="113"/>
      <c r="U203" s="140"/>
      <c r="V203" s="113"/>
      <c r="W203" s="96" t="str">
        <f>IFERROR(IF(NOT(ISNUMBER(INDEX('M03-S08'!$AO$16:$AO$198,2*(ROWS($R$199:R203)-1)+1))),INDEX('M03-S08'!$BC$16:$BC$198,2*(ROWS($R$199:R203)-1)+1),""),"")</f>
        <v/>
      </c>
      <c r="X203" s="113"/>
      <c r="Y203" s="113"/>
      <c r="Z203" s="111">
        <f>INDEX('M03-S08'!$B$16:$B$198,2*(ROWS($Z$199:Z203)-1)+1)</f>
        <v>5</v>
      </c>
      <c r="AA203" s="111">
        <f>INDEX('M03-S08'!$J$16:$J$198,2*(ROWS($Z$199:AA203)-1)+1)</f>
        <v>0</v>
      </c>
      <c r="AB203" s="111">
        <f>INDEX('M03-S08'!$C$16:$C$198,2*(ROWS($Z$199:AB203)-1)+1)</f>
        <v>0</v>
      </c>
      <c r="AC203" s="96"/>
      <c r="AD203">
        <f>INDEX('M03-S08'!$X$16:$X$198,2*(ROWS($AD$199:AD203)-1)+1)</f>
        <v>0</v>
      </c>
      <c r="AE203" s="459"/>
      <c r="AF203" s="459"/>
      <c r="AG203" s="112"/>
      <c r="AH203" s="112"/>
      <c r="AI203" s="112"/>
      <c r="AJ203" s="112"/>
      <c r="AK203" s="112"/>
      <c r="AL203" s="112"/>
      <c r="AM203" s="112"/>
      <c r="AN203" s="112"/>
      <c r="AO203" s="111" t="str">
        <f>IFERROR(INDEX(PMECA[Program Design],MATCH(AB203,PMECA[Eff Desc 1],0)),"")</f>
        <v/>
      </c>
      <c r="AU203"/>
    </row>
    <row r="204" spans="1:47">
      <c r="A204" s="57">
        <f t="shared" si="17"/>
        <v>0</v>
      </c>
      <c r="B204" s="183" t="str">
        <f t="shared" si="18"/>
        <v/>
      </c>
      <c r="C204" t="str">
        <f>IFERROR(IF(R204&gt;0,INDEX(PMECA[Measure '#],MATCH(AB204,PMECA[Eff Desc 1],0)),""),"")</f>
        <v/>
      </c>
      <c r="D204" t="s">
        <v>947</v>
      </c>
      <c r="F204" s="112"/>
      <c r="G204" s="112"/>
      <c r="H204" s="186" t="str">
        <f>IF(ISNUMBER(INDEX('M03-S08'!$AO$16:$AO$198,2*(ROWS($R$199:R204)-1)+1)),"Total","")</f>
        <v/>
      </c>
      <c r="I204" s="184">
        <f>IFERROR(ROUND(INDEX('M03-S08'!$AA$16:$AA$198,2*(ROWS($I$199:I204)-1)+1),2),0)</f>
        <v>0</v>
      </c>
      <c r="J204" s="184">
        <f>IFERROR(ROUND(INDEX('M03-S08'!$AC$16:$AC$198,2*(ROWS($J$199:J204)-1)+1),2),0)</f>
        <v>0</v>
      </c>
      <c r="K204" s="52">
        <f>IFERROR(ROUND(INDEX('M03-S08'!$AU$16:$AU$198,2*(ROWS($K$199:K204)-1)+1),2),0)</f>
        <v>0</v>
      </c>
      <c r="L204" s="52" t="str">
        <f>IFERROR(IF(R204&gt;0,M204*INDEX(PMECA[Incremental Cost],MATCH(AB204,PMECA[Eff Desc 1],0)),""),"")</f>
        <v/>
      </c>
      <c r="M204" s="456">
        <f>INDEX('M03-S08'!$V$16:$V$198,2*(ROWS($M$199:M204)-1)+1)</f>
        <v>0</v>
      </c>
      <c r="N204" s="184" t="str">
        <f>IF(ISNUMBER(INDEX('M03-S08'!$AO$16:$AO$198,2*(ROWS($R$199:R204)-1)+1)),INDEX('M03-S08'!$AV$16:$AV$198,2*(ROWS($N$199:N204)-1)+1),"")</f>
        <v/>
      </c>
      <c r="O204" s="456" t="str">
        <f>IFERROR(IF(ISNUMBER(INDEX('M03-S08'!$AO$16:$AO$198,2*(ROWS($R$199:R204)-1)+1)),INDEX('M03-S08'!$AW$16:$AW$198,2*(ROWS($O$199:O204)-1)+1),""),"")</f>
        <v/>
      </c>
      <c r="P204" s="113"/>
      <c r="Q204" s="113"/>
      <c r="R204" s="184">
        <f>IF(ISNUMBER(INDEX('M03-S08'!$AO$16:$AO$198,2*(ROWS($R$199:R204)-1)+1)),INDEX('M03-S08'!$AO$16:$AO$198,2*(ROWS($R$199:R204)-1)+1),0)</f>
        <v>0</v>
      </c>
      <c r="S204" s="459"/>
      <c r="T204" s="113"/>
      <c r="U204" s="140"/>
      <c r="V204" s="113"/>
      <c r="W204" s="96" t="str">
        <f>IFERROR(IF(NOT(ISNUMBER(INDEX('M03-S08'!$AO$16:$AO$198,2*(ROWS($R$199:R204)-1)+1))),INDEX('M03-S08'!$BC$16:$BC$198,2*(ROWS($R$199:R204)-1)+1),""),"")</f>
        <v/>
      </c>
      <c r="X204" s="113"/>
      <c r="Y204" s="113"/>
      <c r="Z204" s="111">
        <f>INDEX('M03-S08'!$B$16:$B$198,2*(ROWS($Z$199:Z204)-1)+1)</f>
        <v>6</v>
      </c>
      <c r="AA204" s="111">
        <f>INDEX('M03-S08'!$J$16:$J$198,2*(ROWS($Z$199:AA204)-1)+1)</f>
        <v>0</v>
      </c>
      <c r="AB204" s="111">
        <f>INDEX('M03-S08'!$C$16:$C$198,2*(ROWS($Z$199:AB204)-1)+1)</f>
        <v>0</v>
      </c>
      <c r="AC204" s="96"/>
      <c r="AD204">
        <f>INDEX('M03-S08'!$X$16:$X$198,2*(ROWS($AD$199:AD204)-1)+1)</f>
        <v>0</v>
      </c>
      <c r="AE204" s="459"/>
      <c r="AF204" s="459"/>
      <c r="AG204" s="112"/>
      <c r="AH204" s="112"/>
      <c r="AI204" s="112"/>
      <c r="AJ204" s="112"/>
      <c r="AK204" s="112"/>
      <c r="AL204" s="112"/>
      <c r="AM204" s="112"/>
      <c r="AN204" s="112"/>
      <c r="AO204" s="111" t="str">
        <f>IFERROR(INDEX(PMECA[Program Design],MATCH(AB204,PMECA[Eff Desc 1],0)),"")</f>
        <v/>
      </c>
      <c r="AU204"/>
    </row>
    <row r="205" spans="1:47">
      <c r="A205" s="57">
        <f t="shared" si="17"/>
        <v>0</v>
      </c>
      <c r="B205" s="183" t="str">
        <f t="shared" si="18"/>
        <v/>
      </c>
      <c r="C205" t="str">
        <f>IFERROR(IF(R205&gt;0,INDEX(PMECA[Measure '#],MATCH(AB205,PMECA[Eff Desc 1],0)),""),"")</f>
        <v/>
      </c>
      <c r="D205" t="s">
        <v>947</v>
      </c>
      <c r="F205" s="112"/>
      <c r="G205" s="112"/>
      <c r="H205" s="186" t="str">
        <f>IF(ISNUMBER(INDEX('M03-S08'!$AO$16:$AO$198,2*(ROWS($R$199:R205)-1)+1)),"Total","")</f>
        <v/>
      </c>
      <c r="I205" s="184">
        <f>IFERROR(ROUND(INDEX('M03-S08'!$AA$16:$AA$198,2*(ROWS($I$199:I205)-1)+1),2),0)</f>
        <v>0</v>
      </c>
      <c r="J205" s="184">
        <f>IFERROR(ROUND(INDEX('M03-S08'!$AC$16:$AC$198,2*(ROWS($J$199:J205)-1)+1),2),0)</f>
        <v>0</v>
      </c>
      <c r="K205" s="52">
        <f>IFERROR(ROUND(INDEX('M03-S08'!$AU$16:$AU$198,2*(ROWS($K$199:K205)-1)+1),2),0)</f>
        <v>0</v>
      </c>
      <c r="L205" s="52" t="str">
        <f>IFERROR(IF(R205&gt;0,M205*INDEX(PMECA[Incremental Cost],MATCH(AB205,PMECA[Eff Desc 1],0)),""),"")</f>
        <v/>
      </c>
      <c r="M205" s="456">
        <f>INDEX('M03-S08'!$V$16:$V$198,2*(ROWS($M$199:M205)-1)+1)</f>
        <v>0</v>
      </c>
      <c r="N205" s="184" t="str">
        <f>IF(ISNUMBER(INDEX('M03-S08'!$AO$16:$AO$198,2*(ROWS($R$199:R205)-1)+1)),INDEX('M03-S08'!$AV$16:$AV$198,2*(ROWS($N$199:N205)-1)+1),"")</f>
        <v/>
      </c>
      <c r="O205" s="456" t="str">
        <f>IFERROR(IF(ISNUMBER(INDEX('M03-S08'!$AO$16:$AO$198,2*(ROWS($R$199:R205)-1)+1)),INDEX('M03-S08'!$AW$16:$AW$198,2*(ROWS($O$199:O205)-1)+1),""),"")</f>
        <v/>
      </c>
      <c r="P205" s="113"/>
      <c r="Q205" s="113"/>
      <c r="R205" s="184">
        <f>IF(ISNUMBER(INDEX('M03-S08'!$AO$16:$AO$198,2*(ROWS($R$199:R205)-1)+1)),INDEX('M03-S08'!$AO$16:$AO$198,2*(ROWS($R$199:R205)-1)+1),0)</f>
        <v>0</v>
      </c>
      <c r="S205" s="459"/>
      <c r="T205" s="113"/>
      <c r="U205" s="140"/>
      <c r="V205" s="113"/>
      <c r="W205" s="96" t="str">
        <f>IFERROR(IF(NOT(ISNUMBER(INDEX('M03-S08'!$AO$16:$AO$198,2*(ROWS($R$199:R205)-1)+1))),INDEX('M03-S08'!$BC$16:$BC$198,2*(ROWS($R$199:R205)-1)+1),""),"")</f>
        <v/>
      </c>
      <c r="X205" s="113"/>
      <c r="Y205" s="113"/>
      <c r="Z205" s="111">
        <f>INDEX('M03-S08'!$B$16:$B$198,2*(ROWS($Z$199:Z205)-1)+1)</f>
        <v>7</v>
      </c>
      <c r="AA205" s="111">
        <f>INDEX('M03-S08'!$J$16:$J$198,2*(ROWS($Z$199:AA205)-1)+1)</f>
        <v>0</v>
      </c>
      <c r="AB205" s="111">
        <f>INDEX('M03-S08'!$C$16:$C$198,2*(ROWS($Z$199:AB205)-1)+1)</f>
        <v>0</v>
      </c>
      <c r="AC205" s="96"/>
      <c r="AD205">
        <f>INDEX('M03-S08'!$X$16:$X$198,2*(ROWS($AD$199:AD205)-1)+1)</f>
        <v>0</v>
      </c>
      <c r="AE205" s="459"/>
      <c r="AF205" s="459"/>
      <c r="AG205" s="112"/>
      <c r="AH205" s="112"/>
      <c r="AI205" s="112"/>
      <c r="AJ205" s="112"/>
      <c r="AK205" s="112"/>
      <c r="AL205" s="112"/>
      <c r="AM205" s="112"/>
      <c r="AN205" s="112"/>
      <c r="AO205" s="111" t="str">
        <f>IFERROR(INDEX(PMECA[Program Design],MATCH(AB205,PMECA[Eff Desc 1],0)),"")</f>
        <v/>
      </c>
      <c r="AU205"/>
    </row>
    <row r="206" spans="1:47">
      <c r="A206" s="57">
        <f t="shared" si="17"/>
        <v>0</v>
      </c>
      <c r="B206" s="183" t="str">
        <f t="shared" si="18"/>
        <v/>
      </c>
      <c r="C206" t="str">
        <f>IFERROR(IF(R206&gt;0,INDEX(PMECA[Measure '#],MATCH(AB206,PMECA[Eff Desc 1],0)),""),"")</f>
        <v/>
      </c>
      <c r="D206" t="s">
        <v>947</v>
      </c>
      <c r="F206" s="112"/>
      <c r="G206" s="112"/>
      <c r="H206" s="186" t="str">
        <f>IF(ISNUMBER(INDEX('M03-S08'!$AO$16:$AO$198,2*(ROWS($R$199:R206)-1)+1)),"Total","")</f>
        <v/>
      </c>
      <c r="I206" s="184">
        <f>IFERROR(ROUND(INDEX('M03-S08'!$AA$16:$AA$198,2*(ROWS($I$199:I206)-1)+1),2),0)</f>
        <v>0</v>
      </c>
      <c r="J206" s="184">
        <f>IFERROR(ROUND(INDEX('M03-S08'!$AC$16:$AC$198,2*(ROWS($J$199:J206)-1)+1),2),0)</f>
        <v>0</v>
      </c>
      <c r="K206" s="52">
        <f>IFERROR(ROUND(INDEX('M03-S08'!$AU$16:$AU$198,2*(ROWS($K$199:K206)-1)+1),2),0)</f>
        <v>0</v>
      </c>
      <c r="L206" s="52" t="str">
        <f>IFERROR(IF(R206&gt;0,M206*INDEX(PMECA[Incremental Cost],MATCH(AB206,PMECA[Eff Desc 1],0)),""),"")</f>
        <v/>
      </c>
      <c r="M206" s="456">
        <f>INDEX('M03-S08'!$V$16:$V$198,2*(ROWS($M$199:M206)-1)+1)</f>
        <v>0</v>
      </c>
      <c r="N206" s="184" t="str">
        <f>IF(ISNUMBER(INDEX('M03-S08'!$AO$16:$AO$198,2*(ROWS($R$199:R206)-1)+1)),INDEX('M03-S08'!$AV$16:$AV$198,2*(ROWS($N$199:N206)-1)+1),"")</f>
        <v/>
      </c>
      <c r="O206" s="456" t="str">
        <f>IFERROR(IF(ISNUMBER(INDEX('M03-S08'!$AO$16:$AO$198,2*(ROWS($R$199:R206)-1)+1)),INDEX('M03-S08'!$AW$16:$AW$198,2*(ROWS($O$199:O206)-1)+1),""),"")</f>
        <v/>
      </c>
      <c r="P206" s="113"/>
      <c r="Q206" s="113"/>
      <c r="R206" s="184">
        <f>IF(ISNUMBER(INDEX('M03-S08'!$AO$16:$AO$198,2*(ROWS($R$199:R206)-1)+1)),INDEX('M03-S08'!$AO$16:$AO$198,2*(ROWS($R$199:R206)-1)+1),0)</f>
        <v>0</v>
      </c>
      <c r="S206" s="459"/>
      <c r="T206" s="113"/>
      <c r="U206" s="140"/>
      <c r="V206" s="113"/>
      <c r="W206" s="96" t="str">
        <f>IFERROR(IF(NOT(ISNUMBER(INDEX('M03-S08'!$AO$16:$AO$198,2*(ROWS($R$199:R206)-1)+1))),INDEX('M03-S08'!$BC$16:$BC$198,2*(ROWS($R$199:R206)-1)+1),""),"")</f>
        <v/>
      </c>
      <c r="X206" s="113"/>
      <c r="Y206" s="113"/>
      <c r="Z206" s="111">
        <f>INDEX('M03-S08'!$B$16:$B$198,2*(ROWS($Z$199:Z206)-1)+1)</f>
        <v>8</v>
      </c>
      <c r="AA206" s="111">
        <f>INDEX('M03-S08'!$J$16:$J$198,2*(ROWS($Z$199:AA206)-1)+1)</f>
        <v>0</v>
      </c>
      <c r="AB206" s="111">
        <f>INDEX('M03-S08'!$C$16:$C$198,2*(ROWS($Z$199:AB206)-1)+1)</f>
        <v>0</v>
      </c>
      <c r="AC206" s="96"/>
      <c r="AD206">
        <f>INDEX('M03-S08'!$X$16:$X$198,2*(ROWS($AD$199:AD206)-1)+1)</f>
        <v>0</v>
      </c>
      <c r="AE206" s="459"/>
      <c r="AF206" s="459"/>
      <c r="AG206" s="112"/>
      <c r="AH206" s="112"/>
      <c r="AI206" s="112"/>
      <c r="AJ206" s="112"/>
      <c r="AK206" s="112"/>
      <c r="AL206" s="112"/>
      <c r="AM206" s="112"/>
      <c r="AN206" s="112"/>
      <c r="AO206" s="111" t="str">
        <f>IFERROR(INDEX(PMECA[Program Design],MATCH(AB206,PMECA[Eff Desc 1],0)),"")</f>
        <v/>
      </c>
      <c r="AU206"/>
    </row>
    <row r="207" spans="1:47">
      <c r="A207" s="57">
        <f t="shared" si="17"/>
        <v>0</v>
      </c>
      <c r="B207" s="183" t="str">
        <f t="shared" si="18"/>
        <v/>
      </c>
      <c r="C207" t="str">
        <f>IFERROR(IF(R207&gt;0,INDEX(PMECA[Measure '#],MATCH(AB207,PMECA[Eff Desc 1],0)),""),"")</f>
        <v/>
      </c>
      <c r="D207" t="s">
        <v>947</v>
      </c>
      <c r="F207" s="112"/>
      <c r="G207" s="112"/>
      <c r="H207" s="186" t="str">
        <f>IF(ISNUMBER(INDEX('M03-S08'!$AO$16:$AO$198,2*(ROWS($R$199:R207)-1)+1)),"Total","")</f>
        <v/>
      </c>
      <c r="I207" s="184">
        <f>IFERROR(ROUND(INDEX('M03-S08'!$AA$16:$AA$198,2*(ROWS($I$199:I207)-1)+1),2),0)</f>
        <v>0</v>
      </c>
      <c r="J207" s="184">
        <f>IFERROR(ROUND(INDEX('M03-S08'!$AC$16:$AC$198,2*(ROWS($J$199:J207)-1)+1),2),0)</f>
        <v>0</v>
      </c>
      <c r="K207" s="52">
        <f>IFERROR(ROUND(INDEX('M03-S08'!$AU$16:$AU$198,2*(ROWS($K$199:K207)-1)+1),2),0)</f>
        <v>0</v>
      </c>
      <c r="L207" s="52" t="str">
        <f>IFERROR(IF(R207&gt;0,M207*INDEX(PMECA[Incremental Cost],MATCH(AB207,PMECA[Eff Desc 1],0)),""),"")</f>
        <v/>
      </c>
      <c r="M207" s="456">
        <f>INDEX('M03-S08'!$V$16:$V$198,2*(ROWS($M$199:M207)-1)+1)</f>
        <v>0</v>
      </c>
      <c r="N207" s="184" t="str">
        <f>IF(ISNUMBER(INDEX('M03-S08'!$AO$16:$AO$198,2*(ROWS($R$199:R207)-1)+1)),INDEX('M03-S08'!$AV$16:$AV$198,2*(ROWS($N$199:N207)-1)+1),"")</f>
        <v/>
      </c>
      <c r="O207" s="456" t="str">
        <f>IFERROR(IF(ISNUMBER(INDEX('M03-S08'!$AO$16:$AO$198,2*(ROWS($R$199:R207)-1)+1)),INDEX('M03-S08'!$AW$16:$AW$198,2*(ROWS($O$199:O207)-1)+1),""),"")</f>
        <v/>
      </c>
      <c r="P207" s="113"/>
      <c r="Q207" s="113"/>
      <c r="R207" s="184">
        <f>IF(ISNUMBER(INDEX('M03-S08'!$AO$16:$AO$198,2*(ROWS($R$199:R207)-1)+1)),INDEX('M03-S08'!$AO$16:$AO$198,2*(ROWS($R$199:R207)-1)+1),0)</f>
        <v>0</v>
      </c>
      <c r="S207" s="459"/>
      <c r="T207" s="113"/>
      <c r="U207" s="140"/>
      <c r="V207" s="113"/>
      <c r="W207" s="96" t="str">
        <f>IFERROR(IF(NOT(ISNUMBER(INDEX('M03-S08'!$AO$16:$AO$198,2*(ROWS($R$199:R207)-1)+1))),INDEX('M03-S08'!$BC$16:$BC$198,2*(ROWS($R$199:R207)-1)+1),""),"")</f>
        <v/>
      </c>
      <c r="X207" s="113"/>
      <c r="Y207" s="113"/>
      <c r="Z207" s="111">
        <f>INDEX('M03-S08'!$B$16:$B$198,2*(ROWS($Z$199:Z207)-1)+1)</f>
        <v>9</v>
      </c>
      <c r="AA207" s="111">
        <f>INDEX('M03-S08'!$J$16:$J$198,2*(ROWS($Z$199:AA207)-1)+1)</f>
        <v>0</v>
      </c>
      <c r="AB207" s="111">
        <f>INDEX('M03-S08'!$C$16:$C$198,2*(ROWS($Z$199:AB207)-1)+1)</f>
        <v>0</v>
      </c>
      <c r="AC207" s="96"/>
      <c r="AD207">
        <f>INDEX('M03-S08'!$X$16:$X$198,2*(ROWS($AD$199:AD207)-1)+1)</f>
        <v>0</v>
      </c>
      <c r="AE207" s="459"/>
      <c r="AF207" s="459"/>
      <c r="AG207" s="112"/>
      <c r="AH207" s="112"/>
      <c r="AI207" s="112"/>
      <c r="AJ207" s="112"/>
      <c r="AK207" s="112"/>
      <c r="AL207" s="112"/>
      <c r="AM207" s="112"/>
      <c r="AN207" s="112"/>
      <c r="AO207" s="111" t="str">
        <f>IFERROR(INDEX(PMECA[Program Design],MATCH(AB207,PMECA[Eff Desc 1],0)),"")</f>
        <v/>
      </c>
      <c r="AU207"/>
    </row>
    <row r="208" spans="1:47">
      <c r="A208" s="112"/>
      <c r="B208" s="112"/>
      <c r="C208" s="112"/>
      <c r="D208" s="112"/>
      <c r="E208" s="112"/>
      <c r="F208" s="112"/>
      <c r="G208" s="112"/>
      <c r="H208" s="112"/>
      <c r="I208" s="112"/>
      <c r="J208" s="112"/>
      <c r="K208" s="112"/>
      <c r="L208" s="112"/>
      <c r="M208" s="112"/>
      <c r="N208" s="112"/>
      <c r="O208" s="112"/>
      <c r="P208" s="112"/>
      <c r="Q208" s="112"/>
      <c r="R208" s="112"/>
      <c r="S208" s="112"/>
      <c r="T208" s="112"/>
      <c r="U208" s="112"/>
      <c r="V208" s="112"/>
      <c r="W208" s="112"/>
      <c r="X208" s="112"/>
      <c r="Y208" s="112"/>
      <c r="Z208" s="112"/>
      <c r="AA208" s="112"/>
      <c r="AB208" s="112"/>
      <c r="AC208" s="112"/>
      <c r="AD208" s="112"/>
      <c r="AE208" s="112"/>
      <c r="AF208" s="112"/>
      <c r="AG208" s="112"/>
      <c r="AH208" s="112"/>
      <c r="AI208" s="112"/>
      <c r="AJ208" s="112"/>
      <c r="AK208" s="112"/>
      <c r="AL208" s="112"/>
      <c r="AM208" s="112"/>
      <c r="AN208" s="112"/>
      <c r="AO208" s="112"/>
      <c r="AU208"/>
    </row>
    <row r="209" spans="1:47">
      <c r="A209" s="112"/>
      <c r="B209" s="112"/>
      <c r="C209" s="112"/>
      <c r="D209" s="112"/>
      <c r="E209" s="112"/>
      <c r="F209" s="112"/>
      <c r="G209" s="112"/>
      <c r="H209" s="112"/>
      <c r="I209" s="112"/>
      <c r="J209" s="112"/>
      <c r="K209" s="112"/>
      <c r="L209" s="112"/>
      <c r="M209" s="112"/>
      <c r="N209" s="112"/>
      <c r="O209" s="112"/>
      <c r="P209" s="112"/>
      <c r="Q209" s="112"/>
      <c r="R209" s="112"/>
      <c r="S209" s="112"/>
      <c r="T209" s="112"/>
      <c r="U209" s="112"/>
      <c r="V209" s="112"/>
      <c r="W209" s="112"/>
      <c r="X209" s="112"/>
      <c r="Y209" s="112"/>
      <c r="Z209" s="112"/>
      <c r="AA209" s="112"/>
      <c r="AB209" s="112"/>
      <c r="AC209" s="112"/>
      <c r="AD209" s="112"/>
      <c r="AE209" s="112"/>
      <c r="AF209" s="112"/>
      <c r="AG209" s="112"/>
      <c r="AH209" s="112"/>
      <c r="AI209" s="112"/>
      <c r="AJ209" s="112"/>
      <c r="AK209" s="112"/>
      <c r="AL209" s="112"/>
      <c r="AM209" s="112"/>
      <c r="AN209" s="112"/>
      <c r="AO209" s="112"/>
      <c r="AU209"/>
    </row>
    <row r="210" spans="1:47">
      <c r="A210" s="57">
        <f t="shared" si="17"/>
        <v>0</v>
      </c>
      <c r="B210" s="183" t="str">
        <f t="shared" ref="B210:B212" si="22">IF(C210="","",CONCATENATE(ROW(),"-",C210))</f>
        <v/>
      </c>
      <c r="C210" t="str">
        <f>IFERROR(IF(R210&gt;0,INDEX(PMECA[Measure '#],MATCH(AB210,PMECA[Eff Desc 1],0)),""),"")</f>
        <v/>
      </c>
      <c r="D210" t="s">
        <v>947</v>
      </c>
      <c r="F210" s="112"/>
      <c r="G210" s="112"/>
      <c r="H210" s="186" t="str">
        <f>IF(ISNUMBER(INDEX('M03-S08'!$AO$16:$AO$198,2*(ROWS($R$199:R210)-1)+1)),"Total","")</f>
        <v/>
      </c>
      <c r="I210" s="184">
        <f>IFERROR(ROUND(INDEX('M03-S08'!$AA$16:$AA$198,2*(ROWS($I$199:I210)-1)+1),2),0)</f>
        <v>0</v>
      </c>
      <c r="J210" s="184">
        <f>IFERROR(ROUND(INDEX('M03-S08'!$AC$16:$AC$198,2*(ROWS($J$199:J210)-1)+1),2),0)</f>
        <v>0</v>
      </c>
      <c r="K210" s="52">
        <f>IFERROR(ROUND(INDEX('M03-S08'!$AU$16:$AU$198,2*(ROWS($K$199:K210)-1)+1),2),0)</f>
        <v>0</v>
      </c>
      <c r="L210" s="52" t="str">
        <f>IFERROR(IF(R210&gt;0,M210*INDEX(PMECA[Incremental Cost],MATCH(AB210,PMECA[Eff Desc 1],0)),""),"")</f>
        <v/>
      </c>
      <c r="M210" s="456">
        <f>INDEX('M03-S08'!$V$16:$V$198,2*(ROWS($M$199:M210)-1)+1)</f>
        <v>0</v>
      </c>
      <c r="N210" s="184" t="str">
        <f>IF(ISNUMBER(INDEX('M03-S08'!$AO$16:$AO$198,2*(ROWS($R$199:R210)-1)+1)),INDEX('M03-S08'!$AV$16:$AV$198,2*(ROWS($N$199:N210)-1)+1),"")</f>
        <v/>
      </c>
      <c r="O210" s="456" t="str">
        <f>IFERROR(IF(ISNUMBER(INDEX('M03-S08'!$AO$16:$AO$198,2*(ROWS($R$199:R210)-1)+1)),INDEX('M03-S08'!$AW$16:$AW$198,2*(ROWS($O$199:O210)-1)+1),""),"")</f>
        <v/>
      </c>
      <c r="P210" s="113"/>
      <c r="Q210" s="113"/>
      <c r="R210" s="184">
        <f>IF(ISNUMBER(INDEX('M03-S08'!$AO$16:$AO$198,2*(ROWS($R$199:R210)-1)+1)),INDEX('M03-S08'!$AO$16:$AO$198,2*(ROWS($R$199:R210)-1)+1),0)</f>
        <v>0</v>
      </c>
      <c r="S210" s="459"/>
      <c r="T210" s="113"/>
      <c r="U210" s="140"/>
      <c r="V210" s="113"/>
      <c r="W210" s="96" t="str">
        <f>IFERROR(IF(NOT(ISNUMBER(INDEX('M03-S08'!$AO$16:$AO$198,2*(ROWS($R$199:R210)-1)+1))),INDEX('M03-S08'!$BC$16:$BC$198,2*(ROWS($R$199:R210)-1)+1),""),"")</f>
        <v/>
      </c>
      <c r="X210" s="113"/>
      <c r="Y210" s="113"/>
      <c r="Z210" s="111">
        <f>INDEX('M03-S08'!$B$16:$B$198,2*(ROWS($Z$199:Z210)-1)+1)</f>
        <v>12</v>
      </c>
      <c r="AA210" s="111">
        <f>INDEX('M03-S08'!$J$16:$J$198,2*(ROWS($Z$199:AA210)-1)+1)</f>
        <v>0</v>
      </c>
      <c r="AB210" s="111">
        <f>INDEX('M03-S08'!$C$16:$C$198,2*(ROWS($Z$199:AB210)-1)+1)</f>
        <v>0</v>
      </c>
      <c r="AC210" s="96"/>
      <c r="AD210">
        <f>INDEX('M03-S08'!$X$16:$X$198,2*(ROWS($AD$199:AD210)-1)+1)</f>
        <v>0</v>
      </c>
      <c r="AE210" s="459"/>
      <c r="AF210" s="459"/>
      <c r="AG210" s="112"/>
      <c r="AH210" s="112"/>
      <c r="AI210" s="112"/>
      <c r="AJ210" s="112"/>
      <c r="AK210" s="112"/>
      <c r="AL210" s="112"/>
      <c r="AM210" s="112"/>
      <c r="AN210" s="112"/>
      <c r="AO210" s="111" t="str">
        <f>IFERROR(INDEX(PMECA[Program Design],MATCH(AB210,PMECA[Eff Desc 1],0)),"")</f>
        <v/>
      </c>
      <c r="AU210"/>
    </row>
    <row r="211" spans="1:47">
      <c r="A211" s="57">
        <f t="shared" si="17"/>
        <v>0</v>
      </c>
      <c r="B211" s="183" t="str">
        <f t="shared" si="22"/>
        <v/>
      </c>
      <c r="C211" t="str">
        <f>IFERROR(IF(R211&gt;0,INDEX(PMECA[Measure '#],MATCH(AB211,PMECA[Eff Desc 1],0)),""),"")</f>
        <v/>
      </c>
      <c r="D211" t="s">
        <v>947</v>
      </c>
      <c r="F211" s="112"/>
      <c r="G211" s="112"/>
      <c r="H211" s="186" t="str">
        <f>IF(ISNUMBER(INDEX('M03-S08'!$AO$16:$AO$198,2*(ROWS($R$199:R211)-1)+1)),"Total","")</f>
        <v/>
      </c>
      <c r="I211" s="184">
        <f>IFERROR(ROUND(INDEX('M03-S08'!$AA$16:$AA$198,2*(ROWS($I$199:I211)-1)+1),2),0)</f>
        <v>0</v>
      </c>
      <c r="J211" s="184">
        <f>IFERROR(ROUND(INDEX('M03-S08'!$AC$16:$AC$198,2*(ROWS($J$199:J211)-1)+1),2),0)</f>
        <v>0</v>
      </c>
      <c r="K211" s="52">
        <f>IFERROR(ROUND(INDEX('M03-S08'!$AU$16:$AU$198,2*(ROWS($K$199:K211)-1)+1),2),0)</f>
        <v>0</v>
      </c>
      <c r="L211" s="52" t="str">
        <f>IFERROR(IF(R211&gt;0,M211*INDEX(PMECA[Incremental Cost],MATCH(AB211,PMECA[Eff Desc 1],0)),""),"")</f>
        <v/>
      </c>
      <c r="M211" s="456">
        <f>INDEX('M03-S08'!$V$16:$V$198,2*(ROWS($M$199:M211)-1)+1)</f>
        <v>0</v>
      </c>
      <c r="N211" s="184" t="str">
        <f>IF(ISNUMBER(INDEX('M03-S08'!$AO$16:$AO$198,2*(ROWS($R$199:R211)-1)+1)),INDEX('M03-S08'!$AV$16:$AV$198,2*(ROWS($N$199:N211)-1)+1),"")</f>
        <v/>
      </c>
      <c r="O211" s="456" t="str">
        <f>IFERROR(IF(ISNUMBER(INDEX('M03-S08'!$AO$16:$AO$198,2*(ROWS($R$199:R211)-1)+1)),INDEX('M03-S08'!$AW$16:$AW$198,2*(ROWS($O$199:O211)-1)+1),""),"")</f>
        <v/>
      </c>
      <c r="P211" s="113"/>
      <c r="Q211" s="113"/>
      <c r="R211" s="184">
        <f>IF(ISNUMBER(INDEX('M03-S08'!$AO$16:$AO$198,2*(ROWS($R$199:R211)-1)+1)),INDEX('M03-S08'!$AO$16:$AO$198,2*(ROWS($R$199:R211)-1)+1),0)</f>
        <v>0</v>
      </c>
      <c r="S211" s="459"/>
      <c r="T211" s="113"/>
      <c r="U211" s="140"/>
      <c r="V211" s="113"/>
      <c r="W211" s="96" t="str">
        <f>IFERROR(IF(NOT(ISNUMBER(INDEX('M03-S08'!$AO$16:$AO$198,2*(ROWS($R$199:R211)-1)+1))),INDEX('M03-S08'!$BC$16:$BC$198,2*(ROWS($R$199:R211)-1)+1),""),"")</f>
        <v/>
      </c>
      <c r="X211" s="113"/>
      <c r="Y211" s="113"/>
      <c r="Z211" s="111">
        <f>INDEX('M03-S08'!$B$16:$B$198,2*(ROWS($Z$199:Z211)-1)+1)</f>
        <v>13</v>
      </c>
      <c r="AA211" s="111">
        <f>INDEX('M03-S08'!$J$16:$J$198,2*(ROWS($Z$199:AA211)-1)+1)</f>
        <v>0</v>
      </c>
      <c r="AB211" s="111">
        <f>INDEX('M03-S08'!$C$16:$C$198,2*(ROWS($Z$199:AB211)-1)+1)</f>
        <v>0</v>
      </c>
      <c r="AC211" s="96"/>
      <c r="AD211">
        <f>INDEX('M03-S08'!$X$16:$X$198,2*(ROWS($AD$199:AD211)-1)+1)</f>
        <v>0</v>
      </c>
      <c r="AE211" s="459"/>
      <c r="AF211" s="459"/>
      <c r="AG211" s="112"/>
      <c r="AH211" s="112"/>
      <c r="AI211" s="112"/>
      <c r="AJ211" s="112"/>
      <c r="AK211" s="112"/>
      <c r="AL211" s="112"/>
      <c r="AM211" s="112"/>
      <c r="AN211" s="112"/>
      <c r="AO211" s="111" t="str">
        <f>IFERROR(INDEX(PMECA[Program Design],MATCH(AB211,PMECA[Eff Desc 1],0)),"")</f>
        <v/>
      </c>
      <c r="AU211"/>
    </row>
    <row r="212" spans="1:47">
      <c r="A212" s="57">
        <f t="shared" si="17"/>
        <v>0</v>
      </c>
      <c r="B212" s="183" t="str">
        <f t="shared" si="22"/>
        <v/>
      </c>
      <c r="C212" t="str">
        <f>IFERROR(IF(R212&gt;0,INDEX(PMECA[Measure '#],MATCH(AB212,PMECA[Eff Desc 1],0)),""),"")</f>
        <v/>
      </c>
      <c r="D212" t="s">
        <v>947</v>
      </c>
      <c r="F212" s="112"/>
      <c r="G212" s="112"/>
      <c r="H212" s="186" t="str">
        <f>IF(ISNUMBER(INDEX('M03-S08'!$AO$16:$AO$198,2*(ROWS($R$199:R212)-1)+1)),"Total","")</f>
        <v/>
      </c>
      <c r="I212" s="184">
        <f>IFERROR(ROUND(INDEX('M03-S08'!$AA$16:$AA$198,2*(ROWS($I$199:I212)-1)+1),2),0)</f>
        <v>0</v>
      </c>
      <c r="J212" s="184">
        <f>IFERROR(ROUND(INDEX('M03-S08'!$AC$16:$AC$198,2*(ROWS($J$199:J212)-1)+1),2),0)</f>
        <v>0</v>
      </c>
      <c r="K212" s="52">
        <f>IFERROR(ROUND(INDEX('M03-S08'!$AU$16:$AU$198,2*(ROWS($K$199:K212)-1)+1),2),0)</f>
        <v>0</v>
      </c>
      <c r="L212" s="52" t="str">
        <f>IFERROR(IF(R212&gt;0,M212*INDEX(PMECA[Incremental Cost],MATCH(AB212,PMECA[Eff Desc 1],0)),""),"")</f>
        <v/>
      </c>
      <c r="M212" s="456">
        <f>INDEX('M03-S08'!$V$16:$V$198,2*(ROWS($M$199:M212)-1)+1)</f>
        <v>0</v>
      </c>
      <c r="N212" s="184" t="str">
        <f>IF(ISNUMBER(INDEX('M03-S08'!$AO$16:$AO$198,2*(ROWS($R$199:R212)-1)+1)),INDEX('M03-S08'!$AV$16:$AV$198,2*(ROWS($N$199:N212)-1)+1),"")</f>
        <v/>
      </c>
      <c r="O212" s="456" t="str">
        <f>IFERROR(IF(ISNUMBER(INDEX('M03-S08'!$AO$16:$AO$198,2*(ROWS($R$199:R212)-1)+1)),INDEX('M03-S08'!$AW$16:$AW$198,2*(ROWS($O$199:O212)-1)+1),""),"")</f>
        <v/>
      </c>
      <c r="P212" s="113"/>
      <c r="Q212" s="113"/>
      <c r="R212" s="184">
        <f>IF(ISNUMBER(INDEX('M03-S08'!$AO$16:$AO$198,2*(ROWS($R$199:R212)-1)+1)),INDEX('M03-S08'!$AO$16:$AO$198,2*(ROWS($R$199:R212)-1)+1),0)</f>
        <v>0</v>
      </c>
      <c r="S212" s="459"/>
      <c r="T212" s="113"/>
      <c r="U212" s="140"/>
      <c r="V212" s="113"/>
      <c r="W212" s="96" t="str">
        <f>IFERROR(IF(NOT(ISNUMBER(INDEX('M03-S08'!$AO$16:$AO$198,2*(ROWS($R$199:R212)-1)+1))),INDEX('M03-S08'!$BC$16:$BC$198,2*(ROWS($R$199:R212)-1)+1),""),"")</f>
        <v/>
      </c>
      <c r="X212" s="113"/>
      <c r="Y212" s="113"/>
      <c r="Z212" s="111">
        <f>INDEX('M03-S08'!$B$16:$B$198,2*(ROWS($Z$199:Z212)-1)+1)</f>
        <v>14</v>
      </c>
      <c r="AA212" s="111">
        <f>INDEX('M03-S08'!$J$16:$J$198,2*(ROWS($Z$199:AA212)-1)+1)</f>
        <v>0</v>
      </c>
      <c r="AB212" s="111">
        <f>INDEX('M03-S08'!$C$16:$C$198,2*(ROWS($Z$199:AB212)-1)+1)</f>
        <v>0</v>
      </c>
      <c r="AC212" s="96"/>
      <c r="AD212">
        <f>INDEX('M03-S08'!$X$16:$X$198,2*(ROWS($AD$199:AD212)-1)+1)</f>
        <v>0</v>
      </c>
      <c r="AE212" s="459"/>
      <c r="AF212" s="459"/>
      <c r="AG212" s="112"/>
      <c r="AH212" s="112"/>
      <c r="AI212" s="112"/>
      <c r="AJ212" s="112"/>
      <c r="AK212" s="112"/>
      <c r="AL212" s="112"/>
      <c r="AM212" s="112"/>
      <c r="AN212" s="112"/>
      <c r="AO212" s="111" t="str">
        <f>IFERROR(INDEX(PMECA[Program Design],MATCH(AB212,PMECA[Eff Desc 1],0)),"")</f>
        <v/>
      </c>
      <c r="AU212"/>
    </row>
    <row r="213" spans="1:47">
      <c r="A213" s="57">
        <f t="shared" si="17"/>
        <v>0</v>
      </c>
      <c r="B213" s="183" t="str">
        <f t="shared" ref="B213" ca="1" si="23">IF(C213="","",CONCATENATE(ROW(),"-",C213))</f>
        <v/>
      </c>
      <c r="C213" s="559" t="str">
        <f ca="1">IFERROR(IF(R213&gt;0,INDEX(PMEBONUS[Measure '#],MATCH(AB213,PMEBONUS[Eff Desc 1],0)),""),"")</f>
        <v/>
      </c>
      <c r="D213" t="s">
        <v>947</v>
      </c>
      <c r="F213" s="112"/>
      <c r="G213" s="112"/>
      <c r="H213" s="112"/>
      <c r="I213" s="184">
        <f>IFERROR(ROUND(INDEX('M03-S08'!$AA$16:$AA$198,2*(ROWS($I$199:I213)-1)+1),2),0)</f>
        <v>0</v>
      </c>
      <c r="J213" s="184">
        <f>IFERROR(ROUND(INDEX('M03-S08'!$AC$16:$AC$198,2*(ROWS($J$199:J213)-1)+1),2),0)</f>
        <v>0</v>
      </c>
      <c r="K213" s="52">
        <f>IFERROR(ROUND(INDEX('M03-S08'!$AU$16:$AU$198,2*(ROWS($K$199:K213)-1)+1),2),0)</f>
        <v>0</v>
      </c>
      <c r="M213" s="456">
        <f ca="1">INDEX('M03-S08'!$V$16:$V$198,2*(ROWS($M$199:M213)-1)+1)</f>
        <v>0</v>
      </c>
      <c r="N213" s="184"/>
      <c r="O213" s="456"/>
      <c r="P213" s="112"/>
      <c r="Q213" s="112"/>
      <c r="R213" s="184">
        <f ca="1">IF(ISNUMBER(INDEX('M03-S08'!$AO$16:$AO$198,2*(ROWS($R$199:R213)-1)+1)),INDEX('M03-S08'!$AO$16:$AO$198,2*(ROWS($R$199:R213)-1)+1),0)</f>
        <v>0</v>
      </c>
      <c r="S213" s="459"/>
      <c r="T213" s="113"/>
      <c r="U213" s="140"/>
      <c r="V213" s="113"/>
      <c r="W213" s="96">
        <f ca="1">IFERROR(IF(NOT(ISNUMBER(INDEX('M03-S08'!$AO$16:$AO$198,2*(ROWS($R$199:R213)-1)+1))),INDEX('M03-S08'!$BC$16:$BC$198,2*(ROWS($R$199:R213)-1)+1),""),"")</f>
        <v>0</v>
      </c>
      <c r="X213" s="113"/>
      <c r="Y213" s="113"/>
      <c r="Z213" s="111">
        <f>INDEX('M03-S08'!$B$16:$B$198,2*(ROWS($Z$199:Z213)-1)+1)</f>
        <v>15</v>
      </c>
      <c r="AA213" s="111">
        <f ca="1">INDEX('M03-S08'!$J$16:$J$198,2*(ROWS($Z$199:AA213)-1)+1)</f>
        <v>0</v>
      </c>
      <c r="AB213" s="111">
        <f ca="1">INDEX('M03-S08'!$C$16:$C$198,2*(ROWS($Z$199:AB213)-1)+1)</f>
        <v>0</v>
      </c>
      <c r="AC213" s="96"/>
      <c r="AD213">
        <f>INDEX('M03-S08'!$X$16:$X$198,2*(ROWS($AD$199:AD213)-1)+1)</f>
        <v>0</v>
      </c>
      <c r="AE213" s="459"/>
      <c r="AF213" s="459"/>
      <c r="AG213" s="112"/>
      <c r="AH213" s="112"/>
      <c r="AI213" s="112"/>
      <c r="AJ213" s="112"/>
      <c r="AK213" s="112"/>
      <c r="AL213" s="112"/>
      <c r="AM213" s="112"/>
      <c r="AN213" s="112"/>
      <c r="AO213" s="111" t="str">
        <f ca="1">IFERROR(INDEX(PMEBONUS[Program Design],MATCH(AB213,PMEBONUS[Eff Desc 1],0)),"")</f>
        <v/>
      </c>
      <c r="AU213"/>
    </row>
    <row r="214" spans="1:47">
      <c r="A214" s="146" t="str">
        <f>CONCATENATE(MAIN3," ",M3S6)</f>
        <v>PRESCRIPTIVE MEASURES INPUT HVAC 
(Gas)</v>
      </c>
      <c r="B214" s="148"/>
      <c r="C214" s="148"/>
      <c r="D214" s="120"/>
      <c r="E214" s="120"/>
      <c r="F214" s="124"/>
      <c r="G214" s="120"/>
      <c r="H214" s="120"/>
      <c r="I214" s="125"/>
      <c r="J214" s="125"/>
      <c r="K214" s="125"/>
      <c r="L214" s="125"/>
      <c r="M214" s="457"/>
      <c r="N214" s="125"/>
      <c r="O214" s="457"/>
      <c r="P214" s="125"/>
      <c r="Q214" s="125"/>
      <c r="R214" s="125"/>
      <c r="S214" s="460"/>
      <c r="T214" s="127"/>
      <c r="U214" s="141"/>
      <c r="V214" s="127"/>
      <c r="W214" s="126"/>
      <c r="X214" s="127"/>
      <c r="Y214" s="127"/>
      <c r="Z214" s="124"/>
      <c r="AA214" s="124"/>
      <c r="AB214" s="124"/>
      <c r="AC214" s="126"/>
      <c r="AD214" s="120"/>
      <c r="AE214" s="457"/>
      <c r="AF214" s="457"/>
      <c r="AG214" s="128"/>
      <c r="AH214" s="128"/>
      <c r="AI214" s="128"/>
      <c r="AJ214" s="128"/>
      <c r="AK214" s="127"/>
      <c r="AL214" s="127"/>
      <c r="AM214" s="127"/>
      <c r="AN214" s="127"/>
      <c r="AO214" s="127"/>
      <c r="AU214"/>
    </row>
    <row r="215" spans="1:47">
      <c r="A215" s="57">
        <f t="shared" si="17"/>
        <v>0</v>
      </c>
      <c r="B215" s="183" t="str">
        <f t="shared" ref="B215:B280" si="24">IF(C215="","",CONCATENATE(ROW(),"-",C215))</f>
        <v/>
      </c>
      <c r="C215" t="str">
        <f>IFERROR(IF(R215&gt;0,INDEX(PMGHVAC[Measure '#],MATCH(AB215,PMGHVAC[Eff Desc 1],0)),""),"")</f>
        <v/>
      </c>
      <c r="D215" t="s">
        <v>947</v>
      </c>
      <c r="F215" s="112"/>
      <c r="G215" s="186">
        <f>INDEX('M03-S06'!$AB$16:$AB$196,2*(ROWS($G$215:G215)-1)+1)</f>
        <v>0</v>
      </c>
      <c r="H215" s="186" t="str">
        <f>IF(ISNUMBER(INDEX('M03-S06'!$AN$16:$AN$198,2*(ROWS($R$215:R215)-1)+1)),"Total","")</f>
        <v/>
      </c>
      <c r="I215" s="184">
        <f>IFERROR(ROUND(INDEX('M03-S06'!$AE$16:$AE$198,2*(ROWS($I$215:I215)-1)+1),2),0)</f>
        <v>0</v>
      </c>
      <c r="J215" s="184">
        <f>IFERROR(ROUND(INDEX('M03-S06'!$AG$16:$AG$198,2*(ROWS($J$215:J215)-1)+1),2),0)</f>
        <v>0</v>
      </c>
      <c r="K215" s="52">
        <f>IFERROR(ROUND(INDEX('M03-S06'!$AU$16:$AU$198,2*(ROWS($K$215:K215)-1)+1),2),0)</f>
        <v>0</v>
      </c>
      <c r="M215" s="456">
        <f>INDEX('M03-S06'!$V$16:$V$198,2*(ROWS($M$215:M215)-1)+1)</f>
        <v>0</v>
      </c>
      <c r="N215" s="113"/>
      <c r="O215" s="459"/>
      <c r="P215" s="184" t="str">
        <f>IFERROR(IF(ISNUMBER(INDEX('M03-S06'!$AN$16:$AN$198,2*(ROWS($R$215:R215)-1)+1)),INDEX('M03-S06'!$AK$16:$AK$198,2*(ROWS($P$215:P215)-1)+1),""),"")</f>
        <v/>
      </c>
      <c r="Q215" s="184"/>
      <c r="R215" s="184">
        <f>IF(ISNUMBER(INDEX('M03-S06'!$AN$16:$AN$198,2*(ROWS($R$215:R215)-1)+1)),INDEX('M03-S06'!$AN$16:$AN$198,2*(ROWS($R$215:R215)-1)+1),0)</f>
        <v>0</v>
      </c>
      <c r="S215" s="459"/>
      <c r="T215" s="113"/>
      <c r="U215" s="140"/>
      <c r="V215" s="113"/>
      <c r="W215" s="96">
        <f>IFERROR(IF(NOT(ISNUMBER(INDEX('M03-S06'!$AN$16:$AN$198,2*(ROWS($R$215:R215)-1)+1))),INDEX('M03-S06'!$BC$16:$BC$198,2*(ROWS($R$215:R215)-1)+1),""),"")</f>
        <v>0</v>
      </c>
      <c r="X215" s="113"/>
      <c r="Y215" s="113"/>
      <c r="Z215" s="111">
        <f>INDEX('M03-S06'!$B$16:$B$196,2*(ROWS($Z$215:Z215)-1)+1)</f>
        <v>1</v>
      </c>
      <c r="AA215" s="111" t="str">
        <f>INDEX('M03-S06'!$N$16:$N$198,2*(ROWS($Z$215:AA215)-1)+1)</f>
        <v/>
      </c>
      <c r="AB215" s="111">
        <f>INDEX('M03-S06'!$C$16:$C$198,2*(ROWS($Z$215:AB215)-1)+1)</f>
        <v>0</v>
      </c>
      <c r="AC215" s="96"/>
      <c r="AD215">
        <f>INDEX('M03-S06'!$X$16:$X$198,2*(ROWS($AD$215:AD215)-1)+1)</f>
        <v>0</v>
      </c>
      <c r="AE215" s="459"/>
      <c r="AF215" s="459"/>
      <c r="AG215" s="112"/>
      <c r="AH215" s="112"/>
      <c r="AI215" s="112"/>
      <c r="AJ215" s="112"/>
      <c r="AK215" s="113"/>
      <c r="AL215" s="113"/>
      <c r="AM215" s="113"/>
      <c r="AN215" s="113"/>
      <c r="AO215" s="52" t="str">
        <f>IFERROR(INDEX(PMGHVAC[Program Design],MATCH(AB215,PMGHVAC[Eff Desc 1])),"")</f>
        <v/>
      </c>
      <c r="AU215"/>
    </row>
    <row r="216" spans="1:47">
      <c r="A216" s="57">
        <f t="shared" si="17"/>
        <v>0</v>
      </c>
      <c r="B216" s="183" t="str">
        <f t="shared" ref="B216:B250" si="25">IF(C216="","",CONCATENATE(ROW(),"-",C216))</f>
        <v/>
      </c>
      <c r="C216" t="str">
        <f>IFERROR(IF(R216&gt;0,INDEX(PMGHVAC[Measure '#],MATCH(AB216,PMGHVAC[Eff Desc 1],0)),""),"")</f>
        <v/>
      </c>
      <c r="D216" t="s">
        <v>947</v>
      </c>
      <c r="F216" s="112"/>
      <c r="G216" s="186">
        <f>INDEX('M03-S06'!$AB$16:$AB$196,2*(ROWS($G$215:G216)-1)+1)</f>
        <v>0</v>
      </c>
      <c r="H216" s="186" t="str">
        <f>IF(ISNUMBER(INDEX('M03-S06'!$AN$16:$AN$198,2*(ROWS($R$215:R216)-1)+1)),"Total","")</f>
        <v/>
      </c>
      <c r="I216" s="184">
        <f>IFERROR(ROUND(INDEX('M03-S06'!$AE$16:$AE$198,2*(ROWS($I$215:I216)-1)+1),2),0)</f>
        <v>0</v>
      </c>
      <c r="J216" s="184">
        <f>IFERROR(ROUND(INDEX('M03-S06'!$AG$16:$AG$198,2*(ROWS($J$215:J216)-1)+1),2),0)</f>
        <v>0</v>
      </c>
      <c r="K216" s="52">
        <f>IFERROR(ROUND(INDEX('M03-S06'!$AU$16:$AU$198,2*(ROWS($K$215:K216)-1)+1),2),0)</f>
        <v>0</v>
      </c>
      <c r="M216" s="456">
        <f>INDEX('M03-S06'!$V$16:$V$198,2*(ROWS($M$215:M216)-1)+1)</f>
        <v>0</v>
      </c>
      <c r="N216" s="113"/>
      <c r="O216" s="459"/>
      <c r="P216" s="184" t="str">
        <f>IFERROR(IF(ISNUMBER(INDEX('M03-S06'!$AN$16:$AN$198,2*(ROWS($R$215:R216)-1)+1)),INDEX('M03-S06'!$AK$16:$AK$198,2*(ROWS($P$215:P216)-1)+1),""),"")</f>
        <v/>
      </c>
      <c r="Q216" s="184"/>
      <c r="R216" s="184">
        <f>IF(ISNUMBER(INDEX('M03-S06'!$AN$16:$AN$198,2*(ROWS($R$215:R216)-1)+1)),INDEX('M03-S06'!$AN$16:$AN$198,2*(ROWS($R$215:R216)-1)+1),0)</f>
        <v>0</v>
      </c>
      <c r="S216" s="459"/>
      <c r="T216" s="113"/>
      <c r="U216" s="140"/>
      <c r="V216" s="113"/>
      <c r="W216" s="96">
        <f>IFERROR(IF(NOT(ISNUMBER(INDEX('M03-S06'!$AN$16:$AN$198,2*(ROWS($R$215:R216)-1)+1))),INDEX('M03-S06'!$BC$16:$BC$198,2*(ROWS($R$215:R216)-1)+1),""),"")</f>
        <v>0</v>
      </c>
      <c r="X216" s="113"/>
      <c r="Y216" s="113"/>
      <c r="Z216" s="111">
        <f>INDEX('M03-S06'!$B$16:$B$196,2*(ROWS($Z$215:Z216)-1)+1)</f>
        <v>2</v>
      </c>
      <c r="AA216" s="111" t="str">
        <f>INDEX('M03-S06'!$N$16:$N$198,2*(ROWS($Z$215:AA216)-1)+1)</f>
        <v/>
      </c>
      <c r="AB216" s="111">
        <f>INDEX('M03-S06'!$C$16:$C$198,2*(ROWS($Z$215:AB216)-1)+1)</f>
        <v>0</v>
      </c>
      <c r="AC216" s="96"/>
      <c r="AD216">
        <f>INDEX('M03-S06'!$X$16:$X$198,2*(ROWS($AD$215:AD216)-1)+1)</f>
        <v>0</v>
      </c>
      <c r="AE216" s="459"/>
      <c r="AF216" s="459"/>
      <c r="AG216" s="112"/>
      <c r="AH216" s="112"/>
      <c r="AI216" s="112"/>
      <c r="AJ216" s="112"/>
      <c r="AK216" s="113"/>
      <c r="AL216" s="113"/>
      <c r="AM216" s="113"/>
      <c r="AN216" s="113"/>
      <c r="AO216" s="52" t="str">
        <f>IFERROR(INDEX(PMGHVAC[Program Design],MATCH(AB216,PMGHVAC[Eff Desc 1])),"")</f>
        <v/>
      </c>
      <c r="AU216"/>
    </row>
    <row r="217" spans="1:47">
      <c r="A217" s="57">
        <f t="shared" si="17"/>
        <v>0</v>
      </c>
      <c r="B217" s="183" t="str">
        <f t="shared" si="25"/>
        <v/>
      </c>
      <c r="C217" t="str">
        <f>IFERROR(IF(R217&gt;0,INDEX(PMGHVAC[Measure '#],MATCH(AB217,PMGHVAC[Eff Desc 1],0)),""),"")</f>
        <v/>
      </c>
      <c r="D217" t="s">
        <v>947</v>
      </c>
      <c r="F217" s="112"/>
      <c r="G217" s="186">
        <f>INDEX('M03-S06'!$AB$16:$AB$196,2*(ROWS($G$215:G217)-1)+1)</f>
        <v>0</v>
      </c>
      <c r="H217" s="186" t="str">
        <f>IF(ISNUMBER(INDEX('M03-S06'!$AN$16:$AN$198,2*(ROWS($R$215:R217)-1)+1)),"Total","")</f>
        <v/>
      </c>
      <c r="I217" s="184">
        <f>IFERROR(ROUND(INDEX('M03-S06'!$AE$16:$AE$198,2*(ROWS($I$215:I217)-1)+1),2),0)</f>
        <v>0</v>
      </c>
      <c r="J217" s="184">
        <f>IFERROR(ROUND(INDEX('M03-S06'!$AG$16:$AG$198,2*(ROWS($J$215:J217)-1)+1),2),0)</f>
        <v>0</v>
      </c>
      <c r="K217" s="52">
        <f>IFERROR(ROUND(INDEX('M03-S06'!$AU$16:$AU$198,2*(ROWS($K$215:K217)-1)+1),2),0)</f>
        <v>0</v>
      </c>
      <c r="M217" s="456">
        <f>INDEX('M03-S06'!$V$16:$V$198,2*(ROWS($M$215:M217)-1)+1)</f>
        <v>0</v>
      </c>
      <c r="N217" s="113"/>
      <c r="O217" s="459"/>
      <c r="P217" s="184" t="str">
        <f>IFERROR(IF(ISNUMBER(INDEX('M03-S06'!$AN$16:$AN$198,2*(ROWS($R$215:R217)-1)+1)),INDEX('M03-S06'!$AK$16:$AK$198,2*(ROWS($P$215:P217)-1)+1),""),"")</f>
        <v/>
      </c>
      <c r="Q217" s="184"/>
      <c r="R217" s="184">
        <f>IF(ISNUMBER(INDEX('M03-S06'!$AN$16:$AN$198,2*(ROWS($R$215:R217)-1)+1)),INDEX('M03-S06'!$AN$16:$AN$198,2*(ROWS($R$215:R217)-1)+1),0)</f>
        <v>0</v>
      </c>
      <c r="S217" s="459"/>
      <c r="T217" s="113"/>
      <c r="U217" s="140"/>
      <c r="V217" s="113"/>
      <c r="W217" s="96">
        <f>IFERROR(IF(NOT(ISNUMBER(INDEX('M03-S06'!$AN$16:$AN$198,2*(ROWS($R$215:R217)-1)+1))),INDEX('M03-S06'!$BC$16:$BC$198,2*(ROWS($R$215:R217)-1)+1),""),"")</f>
        <v>0</v>
      </c>
      <c r="X217" s="113"/>
      <c r="Y217" s="113"/>
      <c r="Z217" s="111">
        <f>INDEX('M03-S06'!$B$16:$B$196,2*(ROWS($Z$215:Z217)-1)+1)</f>
        <v>3</v>
      </c>
      <c r="AA217" s="111" t="str">
        <f>INDEX('M03-S06'!$N$16:$N$198,2*(ROWS($Z$215:AA217)-1)+1)</f>
        <v/>
      </c>
      <c r="AB217" s="111">
        <f>INDEX('M03-S06'!$C$16:$C$198,2*(ROWS($Z$215:AB217)-1)+1)</f>
        <v>0</v>
      </c>
      <c r="AC217" s="96"/>
      <c r="AD217">
        <f>INDEX('M03-S06'!$X$16:$X$198,2*(ROWS($AD$215:AD217)-1)+1)</f>
        <v>0</v>
      </c>
      <c r="AE217" s="459"/>
      <c r="AF217" s="459"/>
      <c r="AG217" s="112"/>
      <c r="AH217" s="112"/>
      <c r="AI217" s="112"/>
      <c r="AJ217" s="112"/>
      <c r="AK217" s="113"/>
      <c r="AL217" s="113"/>
      <c r="AM217" s="113"/>
      <c r="AN217" s="113"/>
      <c r="AO217" s="52" t="str">
        <f>IFERROR(INDEX(PMGHVAC[Program Design],MATCH(AB217,PMGHVAC[Eff Desc 1])),"")</f>
        <v/>
      </c>
      <c r="AU217"/>
    </row>
    <row r="218" spans="1:47">
      <c r="A218" s="57">
        <f t="shared" si="17"/>
        <v>0</v>
      </c>
      <c r="B218" s="183" t="str">
        <f t="shared" si="25"/>
        <v/>
      </c>
      <c r="C218" t="str">
        <f>IFERROR(IF(R218&gt;0,INDEX(PMGHVAC[Measure '#],MATCH(AB218,PMGHVAC[Eff Desc 1],0)),""),"")</f>
        <v/>
      </c>
      <c r="D218" t="s">
        <v>947</v>
      </c>
      <c r="F218" s="112"/>
      <c r="G218" s="186">
        <f>INDEX('M03-S06'!$AB$16:$AB$196,2*(ROWS($G$215:G218)-1)+1)</f>
        <v>0</v>
      </c>
      <c r="H218" s="186" t="str">
        <f>IF(ISNUMBER(INDEX('M03-S06'!$AN$16:$AN$198,2*(ROWS($R$215:R218)-1)+1)),"Total","")</f>
        <v/>
      </c>
      <c r="I218" s="184">
        <f>IFERROR(ROUND(INDEX('M03-S06'!$AE$16:$AE$198,2*(ROWS($I$215:I218)-1)+1),2),0)</f>
        <v>0</v>
      </c>
      <c r="J218" s="184">
        <f>IFERROR(ROUND(INDEX('M03-S06'!$AG$16:$AG$198,2*(ROWS($J$215:J218)-1)+1),2),0)</f>
        <v>0</v>
      </c>
      <c r="K218" s="52">
        <f>IFERROR(ROUND(INDEX('M03-S06'!$AU$16:$AU$198,2*(ROWS($K$215:K218)-1)+1),2),0)</f>
        <v>0</v>
      </c>
      <c r="M218" s="456">
        <f>INDEX('M03-S06'!$V$16:$V$198,2*(ROWS($M$215:M218)-1)+1)</f>
        <v>0</v>
      </c>
      <c r="N218" s="113"/>
      <c r="O218" s="459"/>
      <c r="P218" s="184" t="str">
        <f>IFERROR(IF(ISNUMBER(INDEX('M03-S06'!$AN$16:$AN$198,2*(ROWS($R$215:R218)-1)+1)),INDEX('M03-S06'!$AK$16:$AK$198,2*(ROWS($P$215:P218)-1)+1),""),"")</f>
        <v/>
      </c>
      <c r="Q218" s="184"/>
      <c r="R218" s="184">
        <f>IF(ISNUMBER(INDEX('M03-S06'!$AN$16:$AN$198,2*(ROWS($R$215:R218)-1)+1)),INDEX('M03-S06'!$AN$16:$AN$198,2*(ROWS($R$215:R218)-1)+1),0)</f>
        <v>0</v>
      </c>
      <c r="S218" s="459"/>
      <c r="T218" s="113"/>
      <c r="U218" s="140"/>
      <c r="V218" s="113"/>
      <c r="W218" s="96">
        <f>IFERROR(IF(NOT(ISNUMBER(INDEX('M03-S06'!$AN$16:$AN$198,2*(ROWS($R$215:R218)-1)+1))),INDEX('M03-S06'!$BC$16:$BC$198,2*(ROWS($R$215:R218)-1)+1),""),"")</f>
        <v>0</v>
      </c>
      <c r="X218" s="113"/>
      <c r="Y218" s="113"/>
      <c r="Z218" s="111">
        <f>INDEX('M03-S06'!$B$16:$B$196,2*(ROWS($Z$215:Z218)-1)+1)</f>
        <v>4</v>
      </c>
      <c r="AA218" s="111" t="str">
        <f>INDEX('M03-S06'!$N$16:$N$198,2*(ROWS($Z$215:AA218)-1)+1)</f>
        <v/>
      </c>
      <c r="AB218" s="111">
        <f>INDEX('M03-S06'!$C$16:$C$198,2*(ROWS($Z$215:AB218)-1)+1)</f>
        <v>0</v>
      </c>
      <c r="AC218" s="96"/>
      <c r="AD218">
        <f>INDEX('M03-S06'!$X$16:$X$198,2*(ROWS($AD$215:AD218)-1)+1)</f>
        <v>0</v>
      </c>
      <c r="AE218" s="459"/>
      <c r="AF218" s="459"/>
      <c r="AG218" s="112"/>
      <c r="AH218" s="112"/>
      <c r="AI218" s="112"/>
      <c r="AJ218" s="112"/>
      <c r="AK218" s="113"/>
      <c r="AL218" s="113"/>
      <c r="AM218" s="113"/>
      <c r="AN218" s="113"/>
      <c r="AO218" s="52" t="str">
        <f>IFERROR(INDEX(PMGHVAC[Program Design],MATCH(AB218,PMGHVAC[Eff Desc 1])),"")</f>
        <v/>
      </c>
      <c r="AU218"/>
    </row>
    <row r="219" spans="1:47">
      <c r="A219" s="57">
        <f t="shared" si="17"/>
        <v>0</v>
      </c>
      <c r="B219" s="183" t="str">
        <f t="shared" si="25"/>
        <v/>
      </c>
      <c r="C219" t="str">
        <f>IFERROR(IF(R219&gt;0,INDEX(PMGHVAC[Measure '#],MATCH(AB219,PMGHVAC[Eff Desc 1],0)),""),"")</f>
        <v/>
      </c>
      <c r="D219" t="s">
        <v>947</v>
      </c>
      <c r="F219" s="112"/>
      <c r="G219" s="186">
        <f>INDEX('M03-S06'!$AB$16:$AB$196,2*(ROWS($G$215:G219)-1)+1)</f>
        <v>0</v>
      </c>
      <c r="H219" s="186" t="str">
        <f>IF(ISNUMBER(INDEX('M03-S06'!$AN$16:$AN$198,2*(ROWS($R$215:R219)-1)+1)),"Total","")</f>
        <v/>
      </c>
      <c r="I219" s="184">
        <f>IFERROR(ROUND(INDEX('M03-S06'!$AE$16:$AE$198,2*(ROWS($I$215:I219)-1)+1),2),0)</f>
        <v>0</v>
      </c>
      <c r="J219" s="184">
        <f>IFERROR(ROUND(INDEX('M03-S06'!$AG$16:$AG$198,2*(ROWS($J$215:J219)-1)+1),2),0)</f>
        <v>0</v>
      </c>
      <c r="K219" s="52">
        <f>IFERROR(ROUND(INDEX('M03-S06'!$AU$16:$AU$198,2*(ROWS($K$215:K219)-1)+1),2),0)</f>
        <v>0</v>
      </c>
      <c r="M219" s="456">
        <f>INDEX('M03-S06'!$V$16:$V$198,2*(ROWS($M$215:M219)-1)+1)</f>
        <v>0</v>
      </c>
      <c r="N219" s="113"/>
      <c r="O219" s="459"/>
      <c r="P219" s="184" t="str">
        <f>IFERROR(IF(ISNUMBER(INDEX('M03-S06'!$AN$16:$AN$198,2*(ROWS($R$215:R219)-1)+1)),INDEX('M03-S06'!$AK$16:$AK$198,2*(ROWS($P$215:P219)-1)+1),""),"")</f>
        <v/>
      </c>
      <c r="Q219" s="184"/>
      <c r="R219" s="184">
        <f>IF(ISNUMBER(INDEX('M03-S06'!$AN$16:$AN$198,2*(ROWS($R$215:R219)-1)+1)),INDEX('M03-S06'!$AN$16:$AN$198,2*(ROWS($R$215:R219)-1)+1),0)</f>
        <v>0</v>
      </c>
      <c r="S219" s="459"/>
      <c r="T219" s="113"/>
      <c r="U219" s="140"/>
      <c r="V219" s="113"/>
      <c r="W219" s="96">
        <f>IFERROR(IF(NOT(ISNUMBER(INDEX('M03-S06'!$AN$16:$AN$198,2*(ROWS($R$215:R219)-1)+1))),INDEX('M03-S06'!$BC$16:$BC$198,2*(ROWS($R$215:R219)-1)+1),""),"")</f>
        <v>0</v>
      </c>
      <c r="X219" s="113"/>
      <c r="Y219" s="113"/>
      <c r="Z219" s="111">
        <f>INDEX('M03-S06'!$B$16:$B$196,2*(ROWS($Z$215:Z219)-1)+1)</f>
        <v>5</v>
      </c>
      <c r="AA219" s="111" t="str">
        <f>INDEX('M03-S06'!$N$16:$N$198,2*(ROWS($Z$215:AA219)-1)+1)</f>
        <v/>
      </c>
      <c r="AB219" s="111">
        <f>INDEX('M03-S06'!$C$16:$C$198,2*(ROWS($Z$215:AB219)-1)+1)</f>
        <v>0</v>
      </c>
      <c r="AC219" s="96"/>
      <c r="AD219">
        <f>INDEX('M03-S06'!$X$16:$X$198,2*(ROWS($AD$215:AD219)-1)+1)</f>
        <v>0</v>
      </c>
      <c r="AE219" s="459"/>
      <c r="AF219" s="459"/>
      <c r="AG219" s="112"/>
      <c r="AH219" s="112"/>
      <c r="AI219" s="112"/>
      <c r="AJ219" s="112"/>
      <c r="AK219" s="113"/>
      <c r="AL219" s="113"/>
      <c r="AM219" s="113"/>
      <c r="AN219" s="113"/>
      <c r="AO219" s="52" t="str">
        <f>IFERROR(INDEX(PMGHVAC[Program Design],MATCH(AB219,PMGHVAC[Eff Desc 1])),"")</f>
        <v/>
      </c>
      <c r="AU219"/>
    </row>
    <row r="220" spans="1:47">
      <c r="A220" s="57">
        <f t="shared" si="17"/>
        <v>0</v>
      </c>
      <c r="B220" s="183" t="str">
        <f t="shared" si="25"/>
        <v/>
      </c>
      <c r="C220" t="str">
        <f>IFERROR(IF(R220&gt;0,INDEX(PMGHVAC[Measure '#],MATCH(AB220,PMGHVAC[Eff Desc 1],0)),""),"")</f>
        <v/>
      </c>
      <c r="D220" t="s">
        <v>947</v>
      </c>
      <c r="F220" s="112"/>
      <c r="G220" s="186">
        <f>INDEX('M03-S06'!$AB$16:$AB$196,2*(ROWS($G$215:G220)-1)+1)</f>
        <v>0</v>
      </c>
      <c r="H220" s="186" t="str">
        <f>IF(ISNUMBER(INDEX('M03-S06'!$AN$16:$AN$198,2*(ROWS($R$215:R220)-1)+1)),"Total","")</f>
        <v/>
      </c>
      <c r="I220" s="184">
        <f>IFERROR(ROUND(INDEX('M03-S06'!$AE$16:$AE$198,2*(ROWS($I$215:I220)-1)+1),2),0)</f>
        <v>0</v>
      </c>
      <c r="J220" s="184">
        <f>IFERROR(ROUND(INDEX('M03-S06'!$AG$16:$AG$198,2*(ROWS($J$215:J220)-1)+1),2),0)</f>
        <v>0</v>
      </c>
      <c r="K220" s="52">
        <f>IFERROR(ROUND(INDEX('M03-S06'!$AU$16:$AU$198,2*(ROWS($K$215:K220)-1)+1),2),0)</f>
        <v>0</v>
      </c>
      <c r="M220" s="456">
        <f>INDEX('M03-S06'!$V$16:$V$198,2*(ROWS($M$215:M220)-1)+1)</f>
        <v>0</v>
      </c>
      <c r="N220" s="113"/>
      <c r="O220" s="459"/>
      <c r="P220" s="184" t="str">
        <f>IFERROR(IF(ISNUMBER(INDEX('M03-S06'!$AN$16:$AN$198,2*(ROWS($R$215:R220)-1)+1)),INDEX('M03-S06'!$AK$16:$AK$198,2*(ROWS($P$215:P220)-1)+1),""),"")</f>
        <v/>
      </c>
      <c r="Q220" s="184"/>
      <c r="R220" s="184">
        <f>IF(ISNUMBER(INDEX('M03-S06'!$AN$16:$AN$198,2*(ROWS($R$215:R220)-1)+1)),INDEX('M03-S06'!$AN$16:$AN$198,2*(ROWS($R$215:R220)-1)+1),0)</f>
        <v>0</v>
      </c>
      <c r="S220" s="459"/>
      <c r="T220" s="113"/>
      <c r="U220" s="140"/>
      <c r="V220" s="113"/>
      <c r="W220" s="96">
        <f>IFERROR(IF(NOT(ISNUMBER(INDEX('M03-S06'!$AN$16:$AN$198,2*(ROWS($R$215:R220)-1)+1))),INDEX('M03-S06'!$BC$16:$BC$198,2*(ROWS($R$215:R220)-1)+1),""),"")</f>
        <v>0</v>
      </c>
      <c r="X220" s="113"/>
      <c r="Y220" s="113"/>
      <c r="Z220" s="111">
        <f>INDEX('M03-S06'!$B$16:$B$196,2*(ROWS($Z$215:Z220)-1)+1)</f>
        <v>6</v>
      </c>
      <c r="AA220" s="111" t="str">
        <f>INDEX('M03-S06'!$N$16:$N$198,2*(ROWS($Z$215:AA220)-1)+1)</f>
        <v/>
      </c>
      <c r="AB220" s="111">
        <f>INDEX('M03-S06'!$C$16:$C$198,2*(ROWS($Z$215:AB220)-1)+1)</f>
        <v>0</v>
      </c>
      <c r="AC220" s="96"/>
      <c r="AD220">
        <f>INDEX('M03-S06'!$X$16:$X$198,2*(ROWS($AD$215:AD220)-1)+1)</f>
        <v>0</v>
      </c>
      <c r="AE220" s="459"/>
      <c r="AF220" s="459"/>
      <c r="AG220" s="112"/>
      <c r="AH220" s="112"/>
      <c r="AI220" s="112"/>
      <c r="AJ220" s="112"/>
      <c r="AK220" s="113"/>
      <c r="AL220" s="113"/>
      <c r="AM220" s="113"/>
      <c r="AN220" s="113"/>
      <c r="AO220" s="52" t="str">
        <f>IFERROR(INDEX(PMGHVAC[Program Design],MATCH(AB220,PMGHVAC[Eff Desc 1])),"")</f>
        <v/>
      </c>
      <c r="AU220"/>
    </row>
    <row r="221" spans="1:47">
      <c r="A221" s="57">
        <f t="shared" si="17"/>
        <v>0</v>
      </c>
      <c r="B221" s="183" t="str">
        <f t="shared" si="25"/>
        <v/>
      </c>
      <c r="C221" t="str">
        <f>IFERROR(IF(R221&gt;0,INDEX(PMGHVAC[Measure '#],MATCH(AB221,PMGHVAC[Eff Desc 1],0)),""),"")</f>
        <v/>
      </c>
      <c r="D221" t="s">
        <v>947</v>
      </c>
      <c r="F221" s="112"/>
      <c r="G221" s="186">
        <f>INDEX('M03-S06'!$AB$16:$AB$196,2*(ROWS($G$215:G221)-1)+1)</f>
        <v>0</v>
      </c>
      <c r="H221" s="186" t="str">
        <f>IF(ISNUMBER(INDEX('M03-S06'!$AN$16:$AN$198,2*(ROWS($R$215:R221)-1)+1)),"Total","")</f>
        <v/>
      </c>
      <c r="I221" s="184">
        <f>IFERROR(ROUND(INDEX('M03-S06'!$AE$16:$AE$198,2*(ROWS($I$215:I221)-1)+1),2),0)</f>
        <v>0</v>
      </c>
      <c r="J221" s="184">
        <f>IFERROR(ROUND(INDEX('M03-S06'!$AG$16:$AG$198,2*(ROWS($J$215:J221)-1)+1),2),0)</f>
        <v>0</v>
      </c>
      <c r="K221" s="52">
        <f>IFERROR(ROUND(INDEX('M03-S06'!$AU$16:$AU$198,2*(ROWS($K$215:K221)-1)+1),2),0)</f>
        <v>0</v>
      </c>
      <c r="M221" s="456">
        <f>INDEX('M03-S06'!$V$16:$V$198,2*(ROWS($M$215:M221)-1)+1)</f>
        <v>0</v>
      </c>
      <c r="N221" s="113"/>
      <c r="O221" s="459"/>
      <c r="P221" s="184" t="str">
        <f>IFERROR(IF(ISNUMBER(INDEX('M03-S06'!$AN$16:$AN$198,2*(ROWS($R$215:R221)-1)+1)),INDEX('M03-S06'!$AK$16:$AK$198,2*(ROWS($P$215:P221)-1)+1),""),"")</f>
        <v/>
      </c>
      <c r="Q221" s="184"/>
      <c r="R221" s="184">
        <f>IF(ISNUMBER(INDEX('M03-S06'!$AN$16:$AN$198,2*(ROWS($R$215:R221)-1)+1)),INDEX('M03-S06'!$AN$16:$AN$198,2*(ROWS($R$215:R221)-1)+1),0)</f>
        <v>0</v>
      </c>
      <c r="S221" s="459"/>
      <c r="T221" s="113"/>
      <c r="U221" s="140"/>
      <c r="V221" s="113"/>
      <c r="W221" s="96">
        <f>IFERROR(IF(NOT(ISNUMBER(INDEX('M03-S06'!$AN$16:$AN$198,2*(ROWS($R$215:R221)-1)+1))),INDEX('M03-S06'!$BC$16:$BC$198,2*(ROWS($R$215:R221)-1)+1),""),"")</f>
        <v>0</v>
      </c>
      <c r="X221" s="113"/>
      <c r="Y221" s="113"/>
      <c r="Z221" s="111">
        <f>INDEX('M03-S06'!$B$16:$B$196,2*(ROWS($Z$215:Z221)-1)+1)</f>
        <v>7</v>
      </c>
      <c r="AA221" s="111" t="str">
        <f>INDEX('M03-S06'!$N$16:$N$198,2*(ROWS($Z$215:AA221)-1)+1)</f>
        <v/>
      </c>
      <c r="AB221" s="111">
        <f>INDEX('M03-S06'!$C$16:$C$198,2*(ROWS($Z$215:AB221)-1)+1)</f>
        <v>0</v>
      </c>
      <c r="AC221" s="96"/>
      <c r="AD221">
        <f>INDEX('M03-S06'!$X$16:$X$198,2*(ROWS($AD$215:AD221)-1)+1)</f>
        <v>0</v>
      </c>
      <c r="AE221" s="459"/>
      <c r="AF221" s="459"/>
      <c r="AG221" s="112"/>
      <c r="AH221" s="112"/>
      <c r="AI221" s="112"/>
      <c r="AJ221" s="112"/>
      <c r="AK221" s="113"/>
      <c r="AL221" s="113"/>
      <c r="AM221" s="113"/>
      <c r="AN221" s="113"/>
      <c r="AO221" s="52" t="str">
        <f>IFERROR(INDEX(PMGHVAC[Program Design],MATCH(AB221,PMGHVAC[Eff Desc 1])),"")</f>
        <v/>
      </c>
      <c r="AU221"/>
    </row>
    <row r="222" spans="1:47">
      <c r="A222" s="57">
        <f t="shared" si="17"/>
        <v>0</v>
      </c>
      <c r="B222" s="183" t="str">
        <f t="shared" si="25"/>
        <v/>
      </c>
      <c r="C222" t="str">
        <f>IFERROR(IF(R222&gt;0,INDEX(PMGHVAC[Measure '#],MATCH(AB222,PMGHVAC[Eff Desc 1],0)),""),"")</f>
        <v/>
      </c>
      <c r="D222" t="s">
        <v>947</v>
      </c>
      <c r="F222" s="112"/>
      <c r="G222" s="186">
        <f>INDEX('M03-S06'!$AB$16:$AB$196,2*(ROWS($G$215:G222)-1)+1)</f>
        <v>0</v>
      </c>
      <c r="H222" s="186" t="str">
        <f>IF(ISNUMBER(INDEX('M03-S06'!$AN$16:$AN$198,2*(ROWS($R$215:R222)-1)+1)),"Total","")</f>
        <v/>
      </c>
      <c r="I222" s="184">
        <f>IFERROR(ROUND(INDEX('M03-S06'!$AE$16:$AE$198,2*(ROWS($I$215:I222)-1)+1),2),0)</f>
        <v>0</v>
      </c>
      <c r="J222" s="184">
        <f>IFERROR(ROUND(INDEX('M03-S06'!$AG$16:$AG$198,2*(ROWS($J$215:J222)-1)+1),2),0)</f>
        <v>0</v>
      </c>
      <c r="K222" s="52">
        <f>IFERROR(ROUND(INDEX('M03-S06'!$AU$16:$AU$198,2*(ROWS($K$215:K222)-1)+1),2),0)</f>
        <v>0</v>
      </c>
      <c r="M222" s="456">
        <f>INDEX('M03-S06'!$V$16:$V$198,2*(ROWS($M$215:M222)-1)+1)</f>
        <v>0</v>
      </c>
      <c r="N222" s="113"/>
      <c r="O222" s="459"/>
      <c r="P222" s="184" t="str">
        <f>IFERROR(IF(ISNUMBER(INDEX('M03-S06'!$AN$16:$AN$198,2*(ROWS($R$215:R222)-1)+1)),INDEX('M03-S06'!$AK$16:$AK$198,2*(ROWS($P$215:P222)-1)+1),""),"")</f>
        <v/>
      </c>
      <c r="Q222" s="184"/>
      <c r="R222" s="184">
        <f>IF(ISNUMBER(INDEX('M03-S06'!$AN$16:$AN$198,2*(ROWS($R$215:R222)-1)+1)),INDEX('M03-S06'!$AN$16:$AN$198,2*(ROWS($R$215:R222)-1)+1),0)</f>
        <v>0</v>
      </c>
      <c r="S222" s="459"/>
      <c r="T222" s="113"/>
      <c r="U222" s="140"/>
      <c r="V222" s="113"/>
      <c r="W222" s="96">
        <f>IFERROR(IF(NOT(ISNUMBER(INDEX('M03-S06'!$AN$16:$AN$198,2*(ROWS($R$215:R222)-1)+1))),INDEX('M03-S06'!$BC$16:$BC$198,2*(ROWS($R$215:R222)-1)+1),""),"")</f>
        <v>0</v>
      </c>
      <c r="X222" s="113"/>
      <c r="Y222" s="113"/>
      <c r="Z222" s="111">
        <f>INDEX('M03-S06'!$B$16:$B$196,2*(ROWS($Z$215:Z222)-1)+1)</f>
        <v>8</v>
      </c>
      <c r="AA222" s="111" t="str">
        <f>INDEX('M03-S06'!$N$16:$N$198,2*(ROWS($Z$215:AA222)-1)+1)</f>
        <v/>
      </c>
      <c r="AB222" s="111">
        <f>INDEX('M03-S06'!$C$16:$C$198,2*(ROWS($Z$215:AB222)-1)+1)</f>
        <v>0</v>
      </c>
      <c r="AC222" s="96"/>
      <c r="AD222">
        <f>INDEX('M03-S06'!$X$16:$X$198,2*(ROWS($AD$215:AD222)-1)+1)</f>
        <v>0</v>
      </c>
      <c r="AE222" s="459"/>
      <c r="AF222" s="459"/>
      <c r="AG222" s="112"/>
      <c r="AH222" s="112"/>
      <c r="AI222" s="112"/>
      <c r="AJ222" s="112"/>
      <c r="AK222" s="113"/>
      <c r="AL222" s="113"/>
      <c r="AM222" s="113"/>
      <c r="AN222" s="113"/>
      <c r="AO222" s="52" t="str">
        <f>IFERROR(INDEX(PMGHVAC[Program Design],MATCH(AB222,PMGHVAC[Eff Desc 1])),"")</f>
        <v/>
      </c>
      <c r="AU222"/>
    </row>
    <row r="223" spans="1:47">
      <c r="A223" s="57">
        <f t="shared" si="17"/>
        <v>0</v>
      </c>
      <c r="B223" s="183" t="str">
        <f t="shared" si="25"/>
        <v/>
      </c>
      <c r="C223" t="str">
        <f>IFERROR(IF(R223&gt;0,INDEX(PMGHVAC[Measure '#],MATCH(AB223,PMGHVAC[Eff Desc 1],0)),""),"")</f>
        <v/>
      </c>
      <c r="D223" t="s">
        <v>947</v>
      </c>
      <c r="F223" s="112"/>
      <c r="G223" s="186">
        <f>INDEX('M03-S06'!$AB$16:$AB$196,2*(ROWS($G$215:G223)-1)+1)</f>
        <v>0</v>
      </c>
      <c r="H223" s="186" t="str">
        <f>IF(ISNUMBER(INDEX('M03-S06'!$AN$16:$AN$198,2*(ROWS($R$215:R223)-1)+1)),"Total","")</f>
        <v/>
      </c>
      <c r="I223" s="184">
        <f>IFERROR(ROUND(INDEX('M03-S06'!$AE$16:$AE$198,2*(ROWS($I$215:I223)-1)+1),2),0)</f>
        <v>0</v>
      </c>
      <c r="J223" s="184">
        <f>IFERROR(ROUND(INDEX('M03-S06'!$AG$16:$AG$198,2*(ROWS($J$215:J223)-1)+1),2),0)</f>
        <v>0</v>
      </c>
      <c r="K223" s="52">
        <f>IFERROR(ROUND(INDEX('M03-S06'!$AU$16:$AU$198,2*(ROWS($K$215:K223)-1)+1),2),0)</f>
        <v>0</v>
      </c>
      <c r="M223" s="456">
        <f>INDEX('M03-S06'!$V$16:$V$198,2*(ROWS($M$215:M223)-1)+1)</f>
        <v>0</v>
      </c>
      <c r="N223" s="113"/>
      <c r="O223" s="459"/>
      <c r="P223" s="184" t="str">
        <f>IFERROR(IF(ISNUMBER(INDEX('M03-S06'!$AN$16:$AN$198,2*(ROWS($R$215:R223)-1)+1)),INDEX('M03-S06'!$AK$16:$AK$198,2*(ROWS($P$215:P223)-1)+1),""),"")</f>
        <v/>
      </c>
      <c r="Q223" s="184"/>
      <c r="R223" s="184">
        <f>IF(ISNUMBER(INDEX('M03-S06'!$AN$16:$AN$198,2*(ROWS($R$215:R223)-1)+1)),INDEX('M03-S06'!$AN$16:$AN$198,2*(ROWS($R$215:R223)-1)+1),0)</f>
        <v>0</v>
      </c>
      <c r="S223" s="459"/>
      <c r="T223" s="113"/>
      <c r="U223" s="140"/>
      <c r="V223" s="113"/>
      <c r="W223" s="96">
        <f>IFERROR(IF(NOT(ISNUMBER(INDEX('M03-S06'!$AN$16:$AN$198,2*(ROWS($R$215:R223)-1)+1))),INDEX('M03-S06'!$BC$16:$BC$198,2*(ROWS($R$215:R223)-1)+1),""),"")</f>
        <v>0</v>
      </c>
      <c r="X223" s="113"/>
      <c r="Y223" s="113"/>
      <c r="Z223" s="111">
        <f>INDEX('M03-S06'!$B$16:$B$196,2*(ROWS($Z$215:Z223)-1)+1)</f>
        <v>9</v>
      </c>
      <c r="AA223" s="111" t="str">
        <f>INDEX('M03-S06'!$N$16:$N$198,2*(ROWS($Z$215:AA223)-1)+1)</f>
        <v/>
      </c>
      <c r="AB223" s="111">
        <f>INDEX('M03-S06'!$C$16:$C$198,2*(ROWS($Z$215:AB223)-1)+1)</f>
        <v>0</v>
      </c>
      <c r="AC223" s="96"/>
      <c r="AD223">
        <f>INDEX('M03-S06'!$X$16:$X$198,2*(ROWS($AD$215:AD223)-1)+1)</f>
        <v>0</v>
      </c>
      <c r="AE223" s="459"/>
      <c r="AF223" s="459"/>
      <c r="AG223" s="112"/>
      <c r="AH223" s="112"/>
      <c r="AI223" s="112"/>
      <c r="AJ223" s="112"/>
      <c r="AK223" s="113"/>
      <c r="AL223" s="113"/>
      <c r="AM223" s="113"/>
      <c r="AN223" s="113"/>
      <c r="AO223" s="52" t="str">
        <f>IFERROR(INDEX(PMGHVAC[Program Design],MATCH(AB223,PMGHVAC[Eff Desc 1])),"")</f>
        <v/>
      </c>
      <c r="AU223"/>
    </row>
    <row r="224" spans="1:47">
      <c r="A224" s="57">
        <f t="shared" si="17"/>
        <v>0</v>
      </c>
      <c r="B224" s="183" t="str">
        <f t="shared" si="25"/>
        <v/>
      </c>
      <c r="C224" t="str">
        <f>IFERROR(IF(R224&gt;0,INDEX(PMGHVAC[Measure '#],MATCH(AB224,PMGHVAC[Eff Desc 1],0)),""),"")</f>
        <v/>
      </c>
      <c r="D224" t="s">
        <v>947</v>
      </c>
      <c r="F224" s="112"/>
      <c r="G224" s="186">
        <f>INDEX('M03-S06'!$AB$16:$AB$196,2*(ROWS($G$215:G224)-1)+1)</f>
        <v>0</v>
      </c>
      <c r="H224" s="186" t="str">
        <f>IF(ISNUMBER(INDEX('M03-S06'!$AN$16:$AN$198,2*(ROWS($R$215:R224)-1)+1)),"Total","")</f>
        <v/>
      </c>
      <c r="I224" s="184">
        <f>IFERROR(ROUND(INDEX('M03-S06'!$AE$16:$AE$198,2*(ROWS($I$215:I224)-1)+1),2),0)</f>
        <v>0</v>
      </c>
      <c r="J224" s="184">
        <f>IFERROR(ROUND(INDEX('M03-S06'!$AG$16:$AG$198,2*(ROWS($J$215:J224)-1)+1),2),0)</f>
        <v>0</v>
      </c>
      <c r="K224" s="52">
        <f>IFERROR(ROUND(INDEX('M03-S06'!$AU$16:$AU$198,2*(ROWS($K$215:K224)-1)+1),2),0)</f>
        <v>0</v>
      </c>
      <c r="M224" s="456">
        <f>INDEX('M03-S06'!$V$16:$V$198,2*(ROWS($M$215:M224)-1)+1)</f>
        <v>0</v>
      </c>
      <c r="N224" s="113"/>
      <c r="O224" s="459"/>
      <c r="P224" s="184" t="str">
        <f>IFERROR(IF(ISNUMBER(INDEX('M03-S06'!$AN$16:$AN$198,2*(ROWS($R$215:R224)-1)+1)),INDEX('M03-S06'!$AK$16:$AK$198,2*(ROWS($P$215:P224)-1)+1),""),"")</f>
        <v/>
      </c>
      <c r="Q224" s="184"/>
      <c r="R224" s="184">
        <f>IF(ISNUMBER(INDEX('M03-S06'!$AN$16:$AN$198,2*(ROWS($R$215:R224)-1)+1)),INDEX('M03-S06'!$AN$16:$AN$198,2*(ROWS($R$215:R224)-1)+1),0)</f>
        <v>0</v>
      </c>
      <c r="S224" s="459"/>
      <c r="T224" s="113"/>
      <c r="U224" s="140"/>
      <c r="V224" s="113"/>
      <c r="W224" s="96">
        <f>IFERROR(IF(NOT(ISNUMBER(INDEX('M03-S06'!$AN$16:$AN$198,2*(ROWS($R$215:R224)-1)+1))),INDEX('M03-S06'!$BC$16:$BC$198,2*(ROWS($R$215:R224)-1)+1),""),"")</f>
        <v>0</v>
      </c>
      <c r="X224" s="113"/>
      <c r="Y224" s="113"/>
      <c r="Z224" s="111">
        <f>INDEX('M03-S06'!$B$16:$B$196,2*(ROWS($Z$215:Z224)-1)+1)</f>
        <v>10</v>
      </c>
      <c r="AA224" s="111" t="str">
        <f>INDEX('M03-S06'!$N$16:$N$198,2*(ROWS($Z$215:AA224)-1)+1)</f>
        <v/>
      </c>
      <c r="AB224" s="111">
        <f>INDEX('M03-S06'!$C$16:$C$198,2*(ROWS($Z$215:AB224)-1)+1)</f>
        <v>0</v>
      </c>
      <c r="AC224" s="96"/>
      <c r="AD224">
        <f>INDEX('M03-S06'!$X$16:$X$198,2*(ROWS($AD$215:AD224)-1)+1)</f>
        <v>0</v>
      </c>
      <c r="AE224" s="459"/>
      <c r="AF224" s="459"/>
      <c r="AG224" s="112"/>
      <c r="AH224" s="112"/>
      <c r="AI224" s="112"/>
      <c r="AJ224" s="112"/>
      <c r="AK224" s="113"/>
      <c r="AL224" s="113"/>
      <c r="AM224" s="113"/>
      <c r="AN224" s="113"/>
      <c r="AO224" s="52" t="str">
        <f>IFERROR(INDEX(PMGHVAC[Program Design],MATCH(AB224,PMGHVAC[Eff Desc 1])),"")</f>
        <v/>
      </c>
      <c r="AU224"/>
    </row>
    <row r="225" spans="1:47">
      <c r="A225" s="57">
        <f t="shared" si="17"/>
        <v>0</v>
      </c>
      <c r="B225" s="183" t="str">
        <f t="shared" si="25"/>
        <v/>
      </c>
      <c r="C225" t="str">
        <f>IFERROR(IF(R225&gt;0,INDEX(PMGHVAC[Measure '#],MATCH(AB225,PMGHVAC[Eff Desc 1],0)),""),"")</f>
        <v/>
      </c>
      <c r="D225" t="s">
        <v>947</v>
      </c>
      <c r="F225" s="112"/>
      <c r="G225" s="186">
        <f>INDEX('M03-S06'!$AB$16:$AB$196,2*(ROWS($G$215:G225)-1)+1)</f>
        <v>0</v>
      </c>
      <c r="H225" s="186" t="str">
        <f>IF(ISNUMBER(INDEX('M03-S06'!$AN$16:$AN$198,2*(ROWS($R$215:R225)-1)+1)),"Total","")</f>
        <v/>
      </c>
      <c r="I225" s="184">
        <f>IFERROR(ROUND(INDEX('M03-S06'!$AE$16:$AE$198,2*(ROWS($I$215:I225)-1)+1),2),0)</f>
        <v>0</v>
      </c>
      <c r="J225" s="184">
        <f>IFERROR(ROUND(INDEX('M03-S06'!$AG$16:$AG$198,2*(ROWS($J$215:J225)-1)+1),2),0)</f>
        <v>0</v>
      </c>
      <c r="K225" s="52">
        <f>IFERROR(ROUND(INDEX('M03-S06'!$AU$16:$AU$198,2*(ROWS($K$215:K225)-1)+1),2),0)</f>
        <v>0</v>
      </c>
      <c r="M225" s="456">
        <f>INDEX('M03-S06'!$V$16:$V$198,2*(ROWS($M$215:M225)-1)+1)</f>
        <v>0</v>
      </c>
      <c r="N225" s="113"/>
      <c r="O225" s="459"/>
      <c r="P225" s="184" t="str">
        <f>IFERROR(IF(ISNUMBER(INDEX('M03-S06'!$AN$16:$AN$198,2*(ROWS($R$215:R225)-1)+1)),INDEX('M03-S06'!$AK$16:$AK$198,2*(ROWS($P$215:P225)-1)+1),""),"")</f>
        <v/>
      </c>
      <c r="Q225" s="184"/>
      <c r="R225" s="184">
        <f>IF(ISNUMBER(INDEX('M03-S06'!$AN$16:$AN$198,2*(ROWS($R$215:R225)-1)+1)),INDEX('M03-S06'!$AN$16:$AN$198,2*(ROWS($R$215:R225)-1)+1),0)</f>
        <v>0</v>
      </c>
      <c r="S225" s="459"/>
      <c r="T225" s="113"/>
      <c r="U225" s="140"/>
      <c r="V225" s="113"/>
      <c r="W225" s="96">
        <f>IFERROR(IF(NOT(ISNUMBER(INDEX('M03-S06'!$AN$16:$AN$198,2*(ROWS($R$215:R225)-1)+1))),INDEX('M03-S06'!$BC$16:$BC$198,2*(ROWS($R$215:R225)-1)+1),""),"")</f>
        <v>0</v>
      </c>
      <c r="X225" s="113"/>
      <c r="Y225" s="113"/>
      <c r="Z225" s="111">
        <f>INDEX('M03-S06'!$B$16:$B$196,2*(ROWS($Z$215:Z225)-1)+1)</f>
        <v>11</v>
      </c>
      <c r="AA225" s="111" t="str">
        <f>INDEX('M03-S06'!$N$16:$N$198,2*(ROWS($Z$215:AA225)-1)+1)</f>
        <v/>
      </c>
      <c r="AB225" s="111">
        <f>INDEX('M03-S06'!$C$16:$C$198,2*(ROWS($Z$215:AB225)-1)+1)</f>
        <v>0</v>
      </c>
      <c r="AC225" s="96"/>
      <c r="AD225">
        <f>INDEX('M03-S06'!$X$16:$X$198,2*(ROWS($AD$215:AD225)-1)+1)</f>
        <v>0</v>
      </c>
      <c r="AE225" s="459"/>
      <c r="AF225" s="459"/>
      <c r="AG225" s="112"/>
      <c r="AH225" s="112"/>
      <c r="AI225" s="112"/>
      <c r="AJ225" s="112"/>
      <c r="AK225" s="113"/>
      <c r="AL225" s="113"/>
      <c r="AM225" s="113"/>
      <c r="AN225" s="113"/>
      <c r="AO225" s="52" t="str">
        <f>IFERROR(INDEX(PMGHVAC[Program Design],MATCH(AB225,PMGHVAC[Eff Desc 1])),"")</f>
        <v/>
      </c>
      <c r="AU225"/>
    </row>
    <row r="226" spans="1:47">
      <c r="A226" s="57">
        <f t="shared" si="17"/>
        <v>0</v>
      </c>
      <c r="B226" s="183" t="str">
        <f t="shared" si="25"/>
        <v/>
      </c>
      <c r="C226" t="str">
        <f>IFERROR(IF(R226&gt;0,INDEX(PMGHVAC[Measure '#],MATCH(AB226,PMGHVAC[Eff Desc 1],0)),""),"")</f>
        <v/>
      </c>
      <c r="D226" t="s">
        <v>947</v>
      </c>
      <c r="F226" s="112"/>
      <c r="G226" s="186">
        <f>INDEX('M03-S06'!$AB$16:$AB$196,2*(ROWS($G$215:G226)-1)+1)</f>
        <v>0</v>
      </c>
      <c r="H226" s="186" t="str">
        <f>IF(ISNUMBER(INDEX('M03-S06'!$AN$16:$AN$198,2*(ROWS($R$215:R226)-1)+1)),"Total","")</f>
        <v/>
      </c>
      <c r="I226" s="184">
        <f>IFERROR(ROUND(INDEX('M03-S06'!$AE$16:$AE$198,2*(ROWS($I$215:I226)-1)+1),2),0)</f>
        <v>0</v>
      </c>
      <c r="J226" s="184">
        <f>IFERROR(ROUND(INDEX('M03-S06'!$AG$16:$AG$198,2*(ROWS($J$215:J226)-1)+1),2),0)</f>
        <v>0</v>
      </c>
      <c r="K226" s="52">
        <f>IFERROR(ROUND(INDEX('M03-S06'!$AU$16:$AU$198,2*(ROWS($K$215:K226)-1)+1),2),0)</f>
        <v>0</v>
      </c>
      <c r="M226" s="456">
        <f>INDEX('M03-S06'!$V$16:$V$198,2*(ROWS($M$215:M226)-1)+1)</f>
        <v>0</v>
      </c>
      <c r="N226" s="113"/>
      <c r="O226" s="459"/>
      <c r="P226" s="184" t="str">
        <f>IFERROR(IF(ISNUMBER(INDEX('M03-S06'!$AN$16:$AN$198,2*(ROWS($R$215:R226)-1)+1)),INDEX('M03-S06'!$AK$16:$AK$198,2*(ROWS($P$215:P226)-1)+1),""),"")</f>
        <v/>
      </c>
      <c r="Q226" s="184"/>
      <c r="R226" s="184">
        <f>IF(ISNUMBER(INDEX('M03-S06'!$AN$16:$AN$198,2*(ROWS($R$215:R226)-1)+1)),INDEX('M03-S06'!$AN$16:$AN$198,2*(ROWS($R$215:R226)-1)+1),0)</f>
        <v>0</v>
      </c>
      <c r="S226" s="459"/>
      <c r="T226" s="113"/>
      <c r="U226" s="140"/>
      <c r="V226" s="113"/>
      <c r="W226" s="96">
        <f>IFERROR(IF(NOT(ISNUMBER(INDEX('M03-S06'!$AN$16:$AN$198,2*(ROWS($R$215:R226)-1)+1))),INDEX('M03-S06'!$BC$16:$BC$198,2*(ROWS($R$215:R226)-1)+1),""),"")</f>
        <v>0</v>
      </c>
      <c r="X226" s="113"/>
      <c r="Y226" s="113"/>
      <c r="Z226" s="111">
        <f>INDEX('M03-S06'!$B$16:$B$196,2*(ROWS($Z$215:Z226)-1)+1)</f>
        <v>12</v>
      </c>
      <c r="AA226" s="111" t="str">
        <f>INDEX('M03-S06'!$N$16:$N$198,2*(ROWS($Z$215:AA226)-1)+1)</f>
        <v/>
      </c>
      <c r="AB226" s="111">
        <f>INDEX('M03-S06'!$C$16:$C$198,2*(ROWS($Z$215:AB226)-1)+1)</f>
        <v>0</v>
      </c>
      <c r="AC226" s="96"/>
      <c r="AD226">
        <f>INDEX('M03-S06'!$X$16:$X$198,2*(ROWS($AD$215:AD226)-1)+1)</f>
        <v>0</v>
      </c>
      <c r="AE226" s="459"/>
      <c r="AF226" s="459"/>
      <c r="AG226" s="112"/>
      <c r="AH226" s="112"/>
      <c r="AI226" s="112"/>
      <c r="AJ226" s="112"/>
      <c r="AK226" s="113"/>
      <c r="AL226" s="113"/>
      <c r="AM226" s="113"/>
      <c r="AN226" s="113"/>
      <c r="AO226" s="52" t="str">
        <f>IFERROR(INDEX(PMGHVAC[Program Design],MATCH(AB226,PMGHVAC[Eff Desc 1])),"")</f>
        <v/>
      </c>
      <c r="AU226"/>
    </row>
    <row r="227" spans="1:47">
      <c r="A227" s="57">
        <f t="shared" si="17"/>
        <v>0</v>
      </c>
      <c r="B227" s="183" t="str">
        <f t="shared" si="25"/>
        <v/>
      </c>
      <c r="C227" t="str">
        <f>IFERROR(IF(R227&gt;0,INDEX(PMGHVAC[Measure '#],MATCH(AB227,PMGHVAC[Eff Desc 1],0)),""),"")</f>
        <v/>
      </c>
      <c r="D227" t="s">
        <v>947</v>
      </c>
      <c r="F227" s="112"/>
      <c r="G227" s="186">
        <f>INDEX('M03-S06'!$AB$16:$AB$196,2*(ROWS($G$215:G227)-1)+1)</f>
        <v>0</v>
      </c>
      <c r="H227" s="186" t="str">
        <f>IF(ISNUMBER(INDEX('M03-S06'!$AN$16:$AN$198,2*(ROWS($R$215:R227)-1)+1)),"Total","")</f>
        <v/>
      </c>
      <c r="I227" s="184">
        <f>IFERROR(ROUND(INDEX('M03-S06'!$AE$16:$AE$198,2*(ROWS($I$215:I227)-1)+1),2),0)</f>
        <v>0</v>
      </c>
      <c r="J227" s="184">
        <f>IFERROR(ROUND(INDEX('M03-S06'!$AG$16:$AG$198,2*(ROWS($J$215:J227)-1)+1),2),0)</f>
        <v>0</v>
      </c>
      <c r="K227" s="52">
        <f>IFERROR(ROUND(INDEX('M03-S06'!$AU$16:$AU$198,2*(ROWS($K$215:K227)-1)+1),2),0)</f>
        <v>0</v>
      </c>
      <c r="M227" s="456">
        <f>INDEX('M03-S06'!$V$16:$V$198,2*(ROWS($M$215:M227)-1)+1)</f>
        <v>0</v>
      </c>
      <c r="N227" s="113"/>
      <c r="O227" s="459"/>
      <c r="P227" s="184" t="str">
        <f>IFERROR(IF(ISNUMBER(INDEX('M03-S06'!$AN$16:$AN$198,2*(ROWS($R$215:R227)-1)+1)),INDEX('M03-S06'!$AK$16:$AK$198,2*(ROWS($P$215:P227)-1)+1),""),"")</f>
        <v/>
      </c>
      <c r="Q227" s="184"/>
      <c r="R227" s="184">
        <f>IF(ISNUMBER(INDEX('M03-S06'!$AN$16:$AN$198,2*(ROWS($R$215:R227)-1)+1)),INDEX('M03-S06'!$AN$16:$AN$198,2*(ROWS($R$215:R227)-1)+1),0)</f>
        <v>0</v>
      </c>
      <c r="S227" s="459"/>
      <c r="T227" s="113"/>
      <c r="U227" s="140"/>
      <c r="V227" s="113"/>
      <c r="W227" s="96">
        <f>IFERROR(IF(NOT(ISNUMBER(INDEX('M03-S06'!$AN$16:$AN$198,2*(ROWS($R$215:R227)-1)+1))),INDEX('M03-S06'!$BC$16:$BC$198,2*(ROWS($R$215:R227)-1)+1),""),"")</f>
        <v>0</v>
      </c>
      <c r="X227" s="113"/>
      <c r="Y227" s="113"/>
      <c r="Z227" s="111">
        <f>INDEX('M03-S06'!$B$16:$B$196,2*(ROWS($Z$215:Z227)-1)+1)</f>
        <v>13</v>
      </c>
      <c r="AA227" s="111" t="str">
        <f>INDEX('M03-S06'!$N$16:$N$198,2*(ROWS($Z$215:AA227)-1)+1)</f>
        <v/>
      </c>
      <c r="AB227" s="111">
        <f>INDEX('M03-S06'!$C$16:$C$198,2*(ROWS($Z$215:AB227)-1)+1)</f>
        <v>0</v>
      </c>
      <c r="AC227" s="96"/>
      <c r="AD227">
        <f>INDEX('M03-S06'!$X$16:$X$198,2*(ROWS($AD$215:AD227)-1)+1)</f>
        <v>0</v>
      </c>
      <c r="AE227" s="459"/>
      <c r="AF227" s="459"/>
      <c r="AG227" s="112"/>
      <c r="AH227" s="112"/>
      <c r="AI227" s="112"/>
      <c r="AJ227" s="112"/>
      <c r="AK227" s="113"/>
      <c r="AL227" s="113"/>
      <c r="AM227" s="113"/>
      <c r="AN227" s="113"/>
      <c r="AO227" s="52" t="str">
        <f>IFERROR(INDEX(PMGHVAC[Program Design],MATCH(AB227,PMGHVAC[Eff Desc 1])),"")</f>
        <v/>
      </c>
      <c r="AU227"/>
    </row>
    <row r="228" spans="1:47">
      <c r="A228" s="57">
        <f t="shared" si="17"/>
        <v>0</v>
      </c>
      <c r="B228" s="183" t="str">
        <f t="shared" si="25"/>
        <v/>
      </c>
      <c r="C228" t="str">
        <f>IFERROR(IF(R228&gt;0,INDEX(PMGHVAC[Measure '#],MATCH(AB228,PMGHVAC[Eff Desc 1],0)),""),"")</f>
        <v/>
      </c>
      <c r="D228" t="s">
        <v>947</v>
      </c>
      <c r="F228" s="112"/>
      <c r="G228" s="186">
        <f>INDEX('M03-S06'!$AB$16:$AB$196,2*(ROWS($G$215:G228)-1)+1)</f>
        <v>0</v>
      </c>
      <c r="H228" s="186" t="str">
        <f>IF(ISNUMBER(INDEX('M03-S06'!$AN$16:$AN$198,2*(ROWS($R$215:R228)-1)+1)),"Total","")</f>
        <v/>
      </c>
      <c r="I228" s="184">
        <f>IFERROR(ROUND(INDEX('M03-S06'!$AE$16:$AE$198,2*(ROWS($I$215:I228)-1)+1),2),0)</f>
        <v>0</v>
      </c>
      <c r="J228" s="184">
        <f>IFERROR(ROUND(INDEX('M03-S06'!$AG$16:$AG$198,2*(ROWS($J$215:J228)-1)+1),2),0)</f>
        <v>0</v>
      </c>
      <c r="K228" s="52">
        <f>IFERROR(ROUND(INDEX('M03-S06'!$AU$16:$AU$198,2*(ROWS($K$215:K228)-1)+1),2),0)</f>
        <v>0</v>
      </c>
      <c r="M228" s="456">
        <f>INDEX('M03-S06'!$V$16:$V$198,2*(ROWS($M$215:M228)-1)+1)</f>
        <v>0</v>
      </c>
      <c r="N228" s="113"/>
      <c r="O228" s="459"/>
      <c r="P228" s="184" t="str">
        <f>IFERROR(IF(ISNUMBER(INDEX('M03-S06'!$AN$16:$AN$198,2*(ROWS($R$215:R228)-1)+1)),INDEX('M03-S06'!$AK$16:$AK$198,2*(ROWS($P$215:P228)-1)+1),""),"")</f>
        <v/>
      </c>
      <c r="Q228" s="184"/>
      <c r="R228" s="184">
        <f>IF(ISNUMBER(INDEX('M03-S06'!$AN$16:$AN$198,2*(ROWS($R$215:R228)-1)+1)),INDEX('M03-S06'!$AN$16:$AN$198,2*(ROWS($R$215:R228)-1)+1),0)</f>
        <v>0</v>
      </c>
      <c r="S228" s="459"/>
      <c r="T228" s="113"/>
      <c r="U228" s="140"/>
      <c r="V228" s="113"/>
      <c r="W228" s="96">
        <f>IFERROR(IF(NOT(ISNUMBER(INDEX('M03-S06'!$AN$16:$AN$198,2*(ROWS($R$215:R228)-1)+1))),INDEX('M03-S06'!$BC$16:$BC$198,2*(ROWS($R$215:R228)-1)+1),""),"")</f>
        <v>0</v>
      </c>
      <c r="X228" s="113"/>
      <c r="Y228" s="113"/>
      <c r="Z228" s="111">
        <f>INDEX('M03-S06'!$B$16:$B$196,2*(ROWS($Z$215:Z228)-1)+1)</f>
        <v>14</v>
      </c>
      <c r="AA228" s="111" t="str">
        <f>INDEX('M03-S06'!$N$16:$N$198,2*(ROWS($Z$215:AA228)-1)+1)</f>
        <v/>
      </c>
      <c r="AB228" s="111">
        <f>INDEX('M03-S06'!$C$16:$C$198,2*(ROWS($Z$215:AB228)-1)+1)</f>
        <v>0</v>
      </c>
      <c r="AC228" s="96"/>
      <c r="AD228">
        <f>INDEX('M03-S06'!$X$16:$X$198,2*(ROWS($AD$215:AD228)-1)+1)</f>
        <v>0</v>
      </c>
      <c r="AE228" s="459"/>
      <c r="AF228" s="459"/>
      <c r="AG228" s="112"/>
      <c r="AH228" s="112"/>
      <c r="AI228" s="112"/>
      <c r="AJ228" s="112"/>
      <c r="AK228" s="113"/>
      <c r="AL228" s="113"/>
      <c r="AM228" s="113"/>
      <c r="AN228" s="113"/>
      <c r="AO228" s="52" t="str">
        <f>IFERROR(INDEX(PMGHVAC[Program Design],MATCH(AB228,PMGHVAC[Eff Desc 1])),"")</f>
        <v/>
      </c>
      <c r="AU228"/>
    </row>
    <row r="229" spans="1:47">
      <c r="A229" s="57">
        <f t="shared" si="17"/>
        <v>0</v>
      </c>
      <c r="B229" s="183" t="str">
        <f t="shared" si="25"/>
        <v/>
      </c>
      <c r="C229" t="str">
        <f>IFERROR(IF(R229&gt;0,INDEX(PMGHVAC[Measure '#],MATCH(AB229,PMGHVAC[Eff Desc 1],0)),""),"")</f>
        <v/>
      </c>
      <c r="D229" t="s">
        <v>947</v>
      </c>
      <c r="F229" s="112"/>
      <c r="G229" s="186">
        <f>INDEX('M03-S06'!$AB$16:$AB$196,2*(ROWS($G$215:G229)-1)+1)</f>
        <v>0</v>
      </c>
      <c r="H229" s="186" t="str">
        <f>IF(ISNUMBER(INDEX('M03-S06'!$AN$16:$AN$198,2*(ROWS($R$215:R229)-1)+1)),"Total","")</f>
        <v/>
      </c>
      <c r="I229" s="184">
        <f>IFERROR(ROUND(INDEX('M03-S06'!$AE$16:$AE$198,2*(ROWS($I$215:I229)-1)+1),2),0)</f>
        <v>0</v>
      </c>
      <c r="J229" s="184">
        <f>IFERROR(ROUND(INDEX('M03-S06'!$AG$16:$AG$198,2*(ROWS($J$215:J229)-1)+1),2),0)</f>
        <v>0</v>
      </c>
      <c r="K229" s="52">
        <f>IFERROR(ROUND(INDEX('M03-S06'!$AU$16:$AU$198,2*(ROWS($K$215:K229)-1)+1),2),0)</f>
        <v>0</v>
      </c>
      <c r="M229" s="456">
        <f>INDEX('M03-S06'!$V$16:$V$198,2*(ROWS($M$215:M229)-1)+1)</f>
        <v>0</v>
      </c>
      <c r="N229" s="113"/>
      <c r="O229" s="459"/>
      <c r="P229" s="184" t="str">
        <f>IFERROR(IF(ISNUMBER(INDEX('M03-S06'!$AN$16:$AN$198,2*(ROWS($R$215:R229)-1)+1)),INDEX('M03-S06'!$AK$16:$AK$198,2*(ROWS($P$215:P229)-1)+1),""),"")</f>
        <v/>
      </c>
      <c r="Q229" s="184"/>
      <c r="R229" s="184">
        <f>IF(ISNUMBER(INDEX('M03-S06'!$AN$16:$AN$198,2*(ROWS($R$215:R229)-1)+1)),INDEX('M03-S06'!$AN$16:$AN$198,2*(ROWS($R$215:R229)-1)+1),0)</f>
        <v>0</v>
      </c>
      <c r="S229" s="459"/>
      <c r="T229" s="113"/>
      <c r="U229" s="140"/>
      <c r="V229" s="113"/>
      <c r="W229" s="96">
        <f>IFERROR(IF(NOT(ISNUMBER(INDEX('M03-S06'!$AN$16:$AN$198,2*(ROWS($R$215:R229)-1)+1))),INDEX('M03-S06'!$BC$16:$BC$198,2*(ROWS($R$215:R229)-1)+1),""),"")</f>
        <v>0</v>
      </c>
      <c r="X229" s="113"/>
      <c r="Y229" s="113"/>
      <c r="Z229" s="111">
        <f>INDEX('M03-S06'!$B$16:$B$196,2*(ROWS($Z$215:Z229)-1)+1)</f>
        <v>15</v>
      </c>
      <c r="AA229" s="111" t="str">
        <f>INDEX('M03-S06'!$N$16:$N$198,2*(ROWS($Z$215:AA229)-1)+1)</f>
        <v/>
      </c>
      <c r="AB229" s="111">
        <f>INDEX('M03-S06'!$C$16:$C$198,2*(ROWS($Z$215:AB229)-1)+1)</f>
        <v>0</v>
      </c>
      <c r="AC229" s="96"/>
      <c r="AD229">
        <f>INDEX('M03-S06'!$X$16:$X$198,2*(ROWS($AD$215:AD229)-1)+1)</f>
        <v>0</v>
      </c>
      <c r="AE229" s="459"/>
      <c r="AF229" s="459"/>
      <c r="AG229" s="112"/>
      <c r="AH229" s="112"/>
      <c r="AI229" s="112"/>
      <c r="AJ229" s="112"/>
      <c r="AK229" s="113"/>
      <c r="AL229" s="113"/>
      <c r="AM229" s="113"/>
      <c r="AN229" s="113"/>
      <c r="AO229" s="52" t="str">
        <f>IFERROR(INDEX(PMGHVAC[Program Design],MATCH(AB229,PMGHVAC[Eff Desc 1])),"")</f>
        <v/>
      </c>
      <c r="AU229"/>
    </row>
    <row r="230" spans="1:47">
      <c r="A230" s="57">
        <f t="shared" si="17"/>
        <v>0</v>
      </c>
      <c r="B230" s="183" t="str">
        <f t="shared" si="25"/>
        <v/>
      </c>
      <c r="C230" t="str">
        <f>IFERROR(IF(R230&gt;0,INDEX(PMGHVAC[Measure '#],MATCH(AB230,PMGHVAC[Eff Desc 1],0)),""),"")</f>
        <v/>
      </c>
      <c r="D230" t="s">
        <v>947</v>
      </c>
      <c r="F230" s="112"/>
      <c r="G230" s="186">
        <f>INDEX('M03-S06'!$AB$16:$AB$196,2*(ROWS($G$215:G230)-1)+1)</f>
        <v>0</v>
      </c>
      <c r="H230" s="186" t="str">
        <f>IF(ISNUMBER(INDEX('M03-S06'!$AN$16:$AN$198,2*(ROWS($R$215:R230)-1)+1)),"Total","")</f>
        <v/>
      </c>
      <c r="I230" s="184">
        <f>IFERROR(ROUND(INDEX('M03-S06'!$AE$16:$AE$198,2*(ROWS($I$215:I230)-1)+1),2),0)</f>
        <v>0</v>
      </c>
      <c r="J230" s="184">
        <f>IFERROR(ROUND(INDEX('M03-S06'!$AG$16:$AG$198,2*(ROWS($J$215:J230)-1)+1),2),0)</f>
        <v>0</v>
      </c>
      <c r="K230" s="52">
        <f>IFERROR(ROUND(INDEX('M03-S06'!$AU$16:$AU$198,2*(ROWS($K$215:K230)-1)+1),2),0)</f>
        <v>0</v>
      </c>
      <c r="M230" s="456">
        <f>INDEX('M03-S06'!$V$16:$V$198,2*(ROWS($M$215:M230)-1)+1)</f>
        <v>0</v>
      </c>
      <c r="N230" s="113"/>
      <c r="O230" s="459"/>
      <c r="P230" s="184" t="str">
        <f>IFERROR(IF(ISNUMBER(INDEX('M03-S06'!$AN$16:$AN$198,2*(ROWS($R$215:R230)-1)+1)),INDEX('M03-S06'!$AK$16:$AK$198,2*(ROWS($P$215:P230)-1)+1),""),"")</f>
        <v/>
      </c>
      <c r="Q230" s="184"/>
      <c r="R230" s="184">
        <f>IF(ISNUMBER(INDEX('M03-S06'!$AN$16:$AN$198,2*(ROWS($R$215:R230)-1)+1)),INDEX('M03-S06'!$AN$16:$AN$198,2*(ROWS($R$215:R230)-1)+1),0)</f>
        <v>0</v>
      </c>
      <c r="S230" s="459"/>
      <c r="T230" s="113"/>
      <c r="U230" s="140"/>
      <c r="V230" s="113"/>
      <c r="W230" s="96">
        <f>IFERROR(IF(NOT(ISNUMBER(INDEX('M03-S06'!$AN$16:$AN$198,2*(ROWS($R$215:R230)-1)+1))),INDEX('M03-S06'!$BC$16:$BC$198,2*(ROWS($R$215:R230)-1)+1),""),"")</f>
        <v>0</v>
      </c>
      <c r="X230" s="113"/>
      <c r="Y230" s="113"/>
      <c r="Z230" s="111">
        <f>INDEX('M03-S06'!$B$16:$B$196,2*(ROWS($Z$215:Z230)-1)+1)</f>
        <v>16</v>
      </c>
      <c r="AA230" s="111" t="str">
        <f>INDEX('M03-S06'!$N$16:$N$198,2*(ROWS($Z$215:AA230)-1)+1)</f>
        <v/>
      </c>
      <c r="AB230" s="111">
        <f>INDEX('M03-S06'!$C$16:$C$198,2*(ROWS($Z$215:AB230)-1)+1)</f>
        <v>0</v>
      </c>
      <c r="AC230" s="96"/>
      <c r="AD230">
        <f>INDEX('M03-S06'!$X$16:$X$198,2*(ROWS($AD$215:AD230)-1)+1)</f>
        <v>0</v>
      </c>
      <c r="AE230" s="459"/>
      <c r="AF230" s="459"/>
      <c r="AG230" s="112"/>
      <c r="AH230" s="112"/>
      <c r="AI230" s="112"/>
      <c r="AJ230" s="112"/>
      <c r="AK230" s="113"/>
      <c r="AL230" s="113"/>
      <c r="AM230" s="113"/>
      <c r="AN230" s="113"/>
      <c r="AO230" s="52" t="str">
        <f>IFERROR(INDEX(PMGHVAC[Program Design],MATCH(AB230,PMGHVAC[Eff Desc 1])),"")</f>
        <v/>
      </c>
      <c r="AU230"/>
    </row>
    <row r="231" spans="1:47">
      <c r="A231" s="57">
        <f t="shared" si="17"/>
        <v>0</v>
      </c>
      <c r="B231" s="183" t="str">
        <f t="shared" si="25"/>
        <v/>
      </c>
      <c r="C231" t="str">
        <f>IFERROR(IF(R231&gt;0,INDEX(PMGHVAC[Measure '#],MATCH(AB231,PMGHVAC[Eff Desc 1],0)),""),"")</f>
        <v/>
      </c>
      <c r="D231" t="s">
        <v>947</v>
      </c>
      <c r="F231" s="112"/>
      <c r="G231" s="186">
        <f>INDEX('M03-S06'!$AB$16:$AB$196,2*(ROWS($G$215:G231)-1)+1)</f>
        <v>0</v>
      </c>
      <c r="H231" s="186" t="str">
        <f>IF(ISNUMBER(INDEX('M03-S06'!$AN$16:$AN$198,2*(ROWS($R$215:R231)-1)+1)),"Total","")</f>
        <v/>
      </c>
      <c r="I231" s="184">
        <f>IFERROR(ROUND(INDEX('M03-S06'!$AE$16:$AE$198,2*(ROWS($I$215:I231)-1)+1),2),0)</f>
        <v>0</v>
      </c>
      <c r="J231" s="184">
        <f>IFERROR(ROUND(INDEX('M03-S06'!$AG$16:$AG$198,2*(ROWS($J$215:J231)-1)+1),2),0)</f>
        <v>0</v>
      </c>
      <c r="K231" s="52">
        <f>IFERROR(ROUND(INDEX('M03-S06'!$AU$16:$AU$198,2*(ROWS($K$215:K231)-1)+1),2),0)</f>
        <v>0</v>
      </c>
      <c r="M231" s="456">
        <f>INDEX('M03-S06'!$V$16:$V$198,2*(ROWS($M$215:M231)-1)+1)</f>
        <v>0</v>
      </c>
      <c r="N231" s="113"/>
      <c r="O231" s="459"/>
      <c r="P231" s="184" t="str">
        <f>IFERROR(IF(ISNUMBER(INDEX('M03-S06'!$AN$16:$AN$198,2*(ROWS($R$215:R231)-1)+1)),INDEX('M03-S06'!$AK$16:$AK$198,2*(ROWS($P$215:P231)-1)+1),""),"")</f>
        <v/>
      </c>
      <c r="Q231" s="184"/>
      <c r="R231" s="184">
        <f>IF(ISNUMBER(INDEX('M03-S06'!$AN$16:$AN$198,2*(ROWS($R$215:R231)-1)+1)),INDEX('M03-S06'!$AN$16:$AN$198,2*(ROWS($R$215:R231)-1)+1),0)</f>
        <v>0</v>
      </c>
      <c r="S231" s="459"/>
      <c r="T231" s="113"/>
      <c r="U231" s="140"/>
      <c r="V231" s="113"/>
      <c r="W231" s="96">
        <f>IFERROR(IF(NOT(ISNUMBER(INDEX('M03-S06'!$AN$16:$AN$198,2*(ROWS($R$215:R231)-1)+1))),INDEX('M03-S06'!$BC$16:$BC$198,2*(ROWS($R$215:R231)-1)+1),""),"")</f>
        <v>0</v>
      </c>
      <c r="X231" s="113"/>
      <c r="Y231" s="113"/>
      <c r="Z231" s="111">
        <f>INDEX('M03-S06'!$B$16:$B$196,2*(ROWS($Z$215:Z231)-1)+1)</f>
        <v>17</v>
      </c>
      <c r="AA231" s="111" t="str">
        <f>INDEX('M03-S06'!$N$16:$N$198,2*(ROWS($Z$215:AA231)-1)+1)</f>
        <v/>
      </c>
      <c r="AB231" s="111">
        <f>INDEX('M03-S06'!$C$16:$C$198,2*(ROWS($Z$215:AB231)-1)+1)</f>
        <v>0</v>
      </c>
      <c r="AC231" s="96"/>
      <c r="AD231">
        <f>INDEX('M03-S06'!$X$16:$X$198,2*(ROWS($AD$215:AD231)-1)+1)</f>
        <v>0</v>
      </c>
      <c r="AE231" s="459"/>
      <c r="AF231" s="459"/>
      <c r="AG231" s="112"/>
      <c r="AH231" s="112"/>
      <c r="AI231" s="112"/>
      <c r="AJ231" s="112"/>
      <c r="AK231" s="113"/>
      <c r="AL231" s="113"/>
      <c r="AM231" s="113"/>
      <c r="AN231" s="113"/>
      <c r="AO231" s="52" t="str">
        <f>IFERROR(INDEX(PMGHVAC[Program Design],MATCH(AB231,PMGHVAC[Eff Desc 1])),"")</f>
        <v/>
      </c>
      <c r="AU231"/>
    </row>
    <row r="232" spans="1:47">
      <c r="A232" s="57">
        <f t="shared" si="17"/>
        <v>0</v>
      </c>
      <c r="B232" s="183" t="str">
        <f t="shared" si="25"/>
        <v/>
      </c>
      <c r="C232" t="str">
        <f>IFERROR(IF(R232&gt;0,INDEX(PMGHVAC[Measure '#],MATCH(AB232,PMGHVAC[Eff Desc 1],0)),""),"")</f>
        <v/>
      </c>
      <c r="D232" t="s">
        <v>947</v>
      </c>
      <c r="F232" s="112"/>
      <c r="G232" s="186">
        <f>INDEX('M03-S06'!$AB$16:$AB$196,2*(ROWS($G$215:G232)-1)+1)</f>
        <v>0</v>
      </c>
      <c r="H232" s="186" t="str">
        <f>IF(ISNUMBER(INDEX('M03-S06'!$AN$16:$AN$198,2*(ROWS($R$215:R232)-1)+1)),"Total","")</f>
        <v/>
      </c>
      <c r="I232" s="184">
        <f>IFERROR(ROUND(INDEX('M03-S06'!$AE$16:$AE$198,2*(ROWS($I$215:I232)-1)+1),2),0)</f>
        <v>0</v>
      </c>
      <c r="J232" s="184">
        <f>IFERROR(ROUND(INDEX('M03-S06'!$AG$16:$AG$198,2*(ROWS($J$215:J232)-1)+1),2),0)</f>
        <v>0</v>
      </c>
      <c r="K232" s="52">
        <f>IFERROR(ROUND(INDEX('M03-S06'!$AU$16:$AU$198,2*(ROWS($K$215:K232)-1)+1),2),0)</f>
        <v>0</v>
      </c>
      <c r="M232" s="456">
        <f>INDEX('M03-S06'!$V$16:$V$198,2*(ROWS($M$215:M232)-1)+1)</f>
        <v>0</v>
      </c>
      <c r="N232" s="113"/>
      <c r="O232" s="459"/>
      <c r="P232" s="184" t="str">
        <f>IFERROR(IF(ISNUMBER(INDEX('M03-S06'!$AN$16:$AN$198,2*(ROWS($R$215:R232)-1)+1)),INDEX('M03-S06'!$AK$16:$AK$198,2*(ROWS($P$215:P232)-1)+1),""),"")</f>
        <v/>
      </c>
      <c r="Q232" s="184"/>
      <c r="R232" s="184">
        <f>IF(ISNUMBER(INDEX('M03-S06'!$AN$16:$AN$198,2*(ROWS($R$215:R232)-1)+1)),INDEX('M03-S06'!$AN$16:$AN$198,2*(ROWS($R$215:R232)-1)+1),0)</f>
        <v>0</v>
      </c>
      <c r="S232" s="459"/>
      <c r="T232" s="113"/>
      <c r="U232" s="140"/>
      <c r="V232" s="113"/>
      <c r="W232" s="96">
        <f>IFERROR(IF(NOT(ISNUMBER(INDEX('M03-S06'!$AN$16:$AN$198,2*(ROWS($R$215:R232)-1)+1))),INDEX('M03-S06'!$BC$16:$BC$198,2*(ROWS($R$215:R232)-1)+1),""),"")</f>
        <v>0</v>
      </c>
      <c r="X232" s="113"/>
      <c r="Y232" s="113"/>
      <c r="Z232" s="111">
        <f>INDEX('M03-S06'!$B$16:$B$196,2*(ROWS($Z$215:Z232)-1)+1)</f>
        <v>18</v>
      </c>
      <c r="AA232" s="111" t="str">
        <f>INDEX('M03-S06'!$N$16:$N$198,2*(ROWS($Z$215:AA232)-1)+1)</f>
        <v/>
      </c>
      <c r="AB232" s="111">
        <f>INDEX('M03-S06'!$C$16:$C$198,2*(ROWS($Z$215:AB232)-1)+1)</f>
        <v>0</v>
      </c>
      <c r="AC232" s="96"/>
      <c r="AD232">
        <f>INDEX('M03-S06'!$X$16:$X$198,2*(ROWS($AD$215:AD232)-1)+1)</f>
        <v>0</v>
      </c>
      <c r="AE232" s="459"/>
      <c r="AF232" s="459"/>
      <c r="AG232" s="112"/>
      <c r="AH232" s="112"/>
      <c r="AI232" s="112"/>
      <c r="AJ232" s="112"/>
      <c r="AK232" s="113"/>
      <c r="AL232" s="113"/>
      <c r="AM232" s="113"/>
      <c r="AN232" s="113"/>
      <c r="AO232" s="52" t="str">
        <f>IFERROR(INDEX(PMGHVAC[Program Design],MATCH(AB232,PMGHVAC[Eff Desc 1])),"")</f>
        <v/>
      </c>
      <c r="AU232"/>
    </row>
    <row r="233" spans="1:47">
      <c r="A233" s="57">
        <f t="shared" si="17"/>
        <v>0</v>
      </c>
      <c r="B233" s="183" t="str">
        <f t="shared" si="25"/>
        <v/>
      </c>
      <c r="C233" t="str">
        <f>IFERROR(IF(R233&gt;0,INDEX(PMGHVAC[Measure '#],MATCH(AB233,PMGHVAC[Eff Desc 1],0)),""),"")</f>
        <v/>
      </c>
      <c r="D233" t="s">
        <v>947</v>
      </c>
      <c r="F233" s="112"/>
      <c r="G233" s="186">
        <f>INDEX('M03-S06'!$AB$16:$AB$196,2*(ROWS($G$215:G233)-1)+1)</f>
        <v>0</v>
      </c>
      <c r="H233" s="186" t="str">
        <f>IF(ISNUMBER(INDEX('M03-S06'!$AN$16:$AN$198,2*(ROWS($R$215:R233)-1)+1)),"Total","")</f>
        <v/>
      </c>
      <c r="I233" s="184">
        <f>IFERROR(ROUND(INDEX('M03-S06'!$AE$16:$AE$198,2*(ROWS($I$215:I233)-1)+1),2),0)</f>
        <v>0</v>
      </c>
      <c r="J233" s="184">
        <f>IFERROR(ROUND(INDEX('M03-S06'!$AG$16:$AG$198,2*(ROWS($J$215:J233)-1)+1),2),0)</f>
        <v>0</v>
      </c>
      <c r="K233" s="52">
        <f>IFERROR(ROUND(INDEX('M03-S06'!$AU$16:$AU$198,2*(ROWS($K$215:K233)-1)+1),2),0)</f>
        <v>0</v>
      </c>
      <c r="M233" s="456">
        <f>INDEX('M03-S06'!$V$16:$V$198,2*(ROWS($M$215:M233)-1)+1)</f>
        <v>0</v>
      </c>
      <c r="N233" s="113"/>
      <c r="O233" s="459"/>
      <c r="P233" s="184" t="str">
        <f>IFERROR(IF(ISNUMBER(INDEX('M03-S06'!$AN$16:$AN$198,2*(ROWS($R$215:R233)-1)+1)),INDEX('M03-S06'!$AK$16:$AK$198,2*(ROWS($P$215:P233)-1)+1),""),"")</f>
        <v/>
      </c>
      <c r="Q233" s="184"/>
      <c r="R233" s="184">
        <f>IF(ISNUMBER(INDEX('M03-S06'!$AN$16:$AN$198,2*(ROWS($R$215:R233)-1)+1)),INDEX('M03-S06'!$AN$16:$AN$198,2*(ROWS($R$215:R233)-1)+1),0)</f>
        <v>0</v>
      </c>
      <c r="S233" s="459"/>
      <c r="T233" s="113"/>
      <c r="U233" s="140"/>
      <c r="V233" s="113"/>
      <c r="W233" s="96">
        <f>IFERROR(IF(NOT(ISNUMBER(INDEX('M03-S06'!$AN$16:$AN$198,2*(ROWS($R$215:R233)-1)+1))),INDEX('M03-S06'!$BC$16:$BC$198,2*(ROWS($R$215:R233)-1)+1),""),"")</f>
        <v>0</v>
      </c>
      <c r="X233" s="113"/>
      <c r="Y233" s="113"/>
      <c r="Z233" s="111">
        <f>INDEX('M03-S06'!$B$16:$B$196,2*(ROWS($Z$215:Z233)-1)+1)</f>
        <v>19</v>
      </c>
      <c r="AA233" s="111" t="str">
        <f>INDEX('M03-S06'!$N$16:$N$198,2*(ROWS($Z$215:AA233)-1)+1)</f>
        <v/>
      </c>
      <c r="AB233" s="111">
        <f>INDEX('M03-S06'!$C$16:$C$198,2*(ROWS($Z$215:AB233)-1)+1)</f>
        <v>0</v>
      </c>
      <c r="AC233" s="96"/>
      <c r="AD233">
        <f>INDEX('M03-S06'!$X$16:$X$198,2*(ROWS($AD$215:AD233)-1)+1)</f>
        <v>0</v>
      </c>
      <c r="AE233" s="459"/>
      <c r="AF233" s="459"/>
      <c r="AG233" s="112"/>
      <c r="AH233" s="112"/>
      <c r="AI233" s="112"/>
      <c r="AJ233" s="112"/>
      <c r="AK233" s="113"/>
      <c r="AL233" s="113"/>
      <c r="AM233" s="113"/>
      <c r="AN233" s="113"/>
      <c r="AO233" s="52" t="str">
        <f>IFERROR(INDEX(PMGHVAC[Program Design],MATCH(AB233,PMGHVAC[Eff Desc 1])),"")</f>
        <v/>
      </c>
      <c r="AU233"/>
    </row>
    <row r="234" spans="1:47">
      <c r="A234" s="57">
        <f t="shared" si="17"/>
        <v>0</v>
      </c>
      <c r="B234" s="183" t="str">
        <f t="shared" si="25"/>
        <v/>
      </c>
      <c r="C234" t="str">
        <f>IFERROR(IF(R234&gt;0,INDEX(PMGHVAC[Measure '#],MATCH(AB234,PMGHVAC[Eff Desc 1],0)),""),"")</f>
        <v/>
      </c>
      <c r="D234" t="s">
        <v>947</v>
      </c>
      <c r="F234" s="112"/>
      <c r="G234" s="186">
        <f>INDEX('M03-S06'!$AB$16:$AB$196,2*(ROWS($G$215:G234)-1)+1)</f>
        <v>0</v>
      </c>
      <c r="H234" s="186" t="str">
        <f>IF(ISNUMBER(INDEX('M03-S06'!$AN$16:$AN$198,2*(ROWS($R$215:R234)-1)+1)),"Total","")</f>
        <v/>
      </c>
      <c r="I234" s="184">
        <f>IFERROR(ROUND(INDEX('M03-S06'!$AE$16:$AE$198,2*(ROWS($I$215:I234)-1)+1),2),0)</f>
        <v>0</v>
      </c>
      <c r="J234" s="184">
        <f>IFERROR(ROUND(INDEX('M03-S06'!$AG$16:$AG$198,2*(ROWS($J$215:J234)-1)+1),2),0)</f>
        <v>0</v>
      </c>
      <c r="K234" s="52">
        <f>IFERROR(ROUND(INDEX('M03-S06'!$AU$16:$AU$198,2*(ROWS($K$215:K234)-1)+1),2),0)</f>
        <v>0</v>
      </c>
      <c r="M234" s="456">
        <f>INDEX('M03-S06'!$V$16:$V$198,2*(ROWS($M$215:M234)-1)+1)</f>
        <v>0</v>
      </c>
      <c r="N234" s="113"/>
      <c r="O234" s="459"/>
      <c r="P234" s="184" t="str">
        <f>IFERROR(IF(ISNUMBER(INDEX('M03-S06'!$AN$16:$AN$198,2*(ROWS($R$215:R234)-1)+1)),INDEX('M03-S06'!$AK$16:$AK$198,2*(ROWS($P$215:P234)-1)+1),""),"")</f>
        <v/>
      </c>
      <c r="Q234" s="184"/>
      <c r="R234" s="184">
        <f>IF(ISNUMBER(INDEX('M03-S06'!$AN$16:$AN$198,2*(ROWS($R$215:R234)-1)+1)),INDEX('M03-S06'!$AN$16:$AN$198,2*(ROWS($R$215:R234)-1)+1),0)</f>
        <v>0</v>
      </c>
      <c r="S234" s="459"/>
      <c r="T234" s="113"/>
      <c r="U234" s="140"/>
      <c r="V234" s="113"/>
      <c r="W234" s="96">
        <f>IFERROR(IF(NOT(ISNUMBER(INDEX('M03-S06'!$AN$16:$AN$198,2*(ROWS($R$215:R234)-1)+1))),INDEX('M03-S06'!$BC$16:$BC$198,2*(ROWS($R$215:R234)-1)+1),""),"")</f>
        <v>0</v>
      </c>
      <c r="X234" s="113"/>
      <c r="Y234" s="113"/>
      <c r="Z234" s="111">
        <f>INDEX('M03-S06'!$B$16:$B$196,2*(ROWS($Z$215:Z234)-1)+1)</f>
        <v>20</v>
      </c>
      <c r="AA234" s="111" t="str">
        <f>INDEX('M03-S06'!$N$16:$N$198,2*(ROWS($Z$215:AA234)-1)+1)</f>
        <v/>
      </c>
      <c r="AB234" s="111">
        <f>INDEX('M03-S06'!$C$16:$C$198,2*(ROWS($Z$215:AB234)-1)+1)</f>
        <v>0</v>
      </c>
      <c r="AC234" s="96"/>
      <c r="AD234">
        <f>INDEX('M03-S06'!$X$16:$X$198,2*(ROWS($AD$215:AD234)-1)+1)</f>
        <v>0</v>
      </c>
      <c r="AE234" s="459"/>
      <c r="AF234" s="459"/>
      <c r="AG234" s="112"/>
      <c r="AH234" s="112"/>
      <c r="AI234" s="112"/>
      <c r="AJ234" s="112"/>
      <c r="AK234" s="113"/>
      <c r="AL234" s="113"/>
      <c r="AM234" s="113"/>
      <c r="AN234" s="113"/>
      <c r="AO234" s="52" t="str">
        <f>IFERROR(INDEX(PMGHVAC[Program Design],MATCH(AB234,PMGHVAC[Eff Desc 1])),"")</f>
        <v/>
      </c>
      <c r="AU234"/>
    </row>
    <row r="235" spans="1:47">
      <c r="A235" s="57">
        <f t="shared" si="17"/>
        <v>0</v>
      </c>
      <c r="B235" s="183" t="str">
        <f t="shared" si="25"/>
        <v/>
      </c>
      <c r="C235" t="str">
        <f>IFERROR(IF(R235&gt;0,INDEX(PMGHVAC[Measure '#],MATCH(AB235,PMGHVAC[Eff Desc 1],0)),""),"")</f>
        <v/>
      </c>
      <c r="D235" t="s">
        <v>947</v>
      </c>
      <c r="F235" s="112"/>
      <c r="G235" s="186">
        <f>INDEX('M03-S06'!$AB$16:$AB$196,2*(ROWS($G$215:G235)-1)+1)</f>
        <v>0</v>
      </c>
      <c r="H235" s="186" t="str">
        <f>IF(ISNUMBER(INDEX('M03-S06'!$AN$16:$AN$198,2*(ROWS($R$215:R235)-1)+1)),"Total","")</f>
        <v/>
      </c>
      <c r="I235" s="184">
        <f>IFERROR(ROUND(INDEX('M03-S06'!$AE$16:$AE$198,2*(ROWS($I$215:I235)-1)+1),2),0)</f>
        <v>0</v>
      </c>
      <c r="J235" s="184">
        <f>IFERROR(ROUND(INDEX('M03-S06'!$AG$16:$AG$198,2*(ROWS($J$215:J235)-1)+1),2),0)</f>
        <v>0</v>
      </c>
      <c r="K235" s="52">
        <f>IFERROR(ROUND(INDEX('M03-S06'!$AU$16:$AU$198,2*(ROWS($K$215:K235)-1)+1),2),0)</f>
        <v>0</v>
      </c>
      <c r="M235" s="456">
        <f>INDEX('M03-S06'!$V$16:$V$198,2*(ROWS($M$215:M235)-1)+1)</f>
        <v>0</v>
      </c>
      <c r="N235" s="113"/>
      <c r="O235" s="459"/>
      <c r="P235" s="184" t="str">
        <f>IFERROR(IF(ISNUMBER(INDEX('M03-S06'!$AN$16:$AN$198,2*(ROWS($R$215:R235)-1)+1)),INDEX('M03-S06'!$AK$16:$AK$198,2*(ROWS($P$215:P235)-1)+1),""),"")</f>
        <v/>
      </c>
      <c r="Q235" s="184"/>
      <c r="R235" s="184">
        <f>IF(ISNUMBER(INDEX('M03-S06'!$AN$16:$AN$198,2*(ROWS($R$215:R235)-1)+1)),INDEX('M03-S06'!$AN$16:$AN$198,2*(ROWS($R$215:R235)-1)+1),0)</f>
        <v>0</v>
      </c>
      <c r="S235" s="459"/>
      <c r="T235" s="113"/>
      <c r="U235" s="140"/>
      <c r="V235" s="113"/>
      <c r="W235" s="96">
        <f>IFERROR(IF(NOT(ISNUMBER(INDEX('M03-S06'!$AN$16:$AN$198,2*(ROWS($R$215:R235)-1)+1))),INDEX('M03-S06'!$BC$16:$BC$198,2*(ROWS($R$215:R235)-1)+1),""),"")</f>
        <v>0</v>
      </c>
      <c r="X235" s="113"/>
      <c r="Y235" s="113"/>
      <c r="Z235" s="111">
        <f>INDEX('M03-S06'!$B$16:$B$196,2*(ROWS($Z$215:Z235)-1)+1)</f>
        <v>21</v>
      </c>
      <c r="AA235" s="111" t="str">
        <f>INDEX('M03-S06'!$N$16:$N$198,2*(ROWS($Z$215:AA235)-1)+1)</f>
        <v/>
      </c>
      <c r="AB235" s="111">
        <f>INDEX('M03-S06'!$C$16:$C$198,2*(ROWS($Z$215:AB235)-1)+1)</f>
        <v>0</v>
      </c>
      <c r="AC235" s="96"/>
      <c r="AD235">
        <f>INDEX('M03-S06'!$X$16:$X$198,2*(ROWS($AD$215:AD235)-1)+1)</f>
        <v>0</v>
      </c>
      <c r="AE235" s="459"/>
      <c r="AF235" s="459"/>
      <c r="AG235" s="112"/>
      <c r="AH235" s="112"/>
      <c r="AI235" s="112"/>
      <c r="AJ235" s="112"/>
      <c r="AK235" s="113"/>
      <c r="AL235" s="113"/>
      <c r="AM235" s="113"/>
      <c r="AN235" s="113"/>
      <c r="AO235" s="52" t="str">
        <f>IFERROR(INDEX(PMGHVAC[Program Design],MATCH(AB235,PMGHVAC[Eff Desc 1])),"")</f>
        <v/>
      </c>
      <c r="AU235"/>
    </row>
    <row r="236" spans="1:47">
      <c r="A236" s="57">
        <f t="shared" si="17"/>
        <v>0</v>
      </c>
      <c r="B236" s="183" t="str">
        <f t="shared" si="25"/>
        <v/>
      </c>
      <c r="C236" t="str">
        <f>IFERROR(IF(R236&gt;0,INDEX(PMGHVAC[Measure '#],MATCH(AB236,PMGHVAC[Eff Desc 1],0)),""),"")</f>
        <v/>
      </c>
      <c r="D236" t="s">
        <v>947</v>
      </c>
      <c r="F236" s="112"/>
      <c r="G236" s="186">
        <f>INDEX('M03-S06'!$AB$16:$AB$196,2*(ROWS($G$215:G236)-1)+1)</f>
        <v>0</v>
      </c>
      <c r="H236" s="186" t="str">
        <f>IF(ISNUMBER(INDEX('M03-S06'!$AN$16:$AN$198,2*(ROWS($R$215:R236)-1)+1)),"Total","")</f>
        <v/>
      </c>
      <c r="I236" s="184">
        <f>IFERROR(ROUND(INDEX('M03-S06'!$AE$16:$AE$198,2*(ROWS($I$215:I236)-1)+1),2),0)</f>
        <v>0</v>
      </c>
      <c r="J236" s="184">
        <f>IFERROR(ROUND(INDEX('M03-S06'!$AG$16:$AG$198,2*(ROWS($J$215:J236)-1)+1),2),0)</f>
        <v>0</v>
      </c>
      <c r="K236" s="52">
        <f>IFERROR(ROUND(INDEX('M03-S06'!$AU$16:$AU$198,2*(ROWS($K$215:K236)-1)+1),2),0)</f>
        <v>0</v>
      </c>
      <c r="M236" s="456">
        <f>INDEX('M03-S06'!$V$16:$V$198,2*(ROWS($M$215:M236)-1)+1)</f>
        <v>0</v>
      </c>
      <c r="N236" s="113"/>
      <c r="O236" s="459"/>
      <c r="P236" s="184" t="str">
        <f>IFERROR(IF(ISNUMBER(INDEX('M03-S06'!$AN$16:$AN$198,2*(ROWS($R$215:R236)-1)+1)),INDEX('M03-S06'!$AK$16:$AK$198,2*(ROWS($P$215:P236)-1)+1),""),"")</f>
        <v/>
      </c>
      <c r="Q236" s="184"/>
      <c r="R236" s="184">
        <f>IF(ISNUMBER(INDEX('M03-S06'!$AN$16:$AN$198,2*(ROWS($R$215:R236)-1)+1)),INDEX('M03-S06'!$AN$16:$AN$198,2*(ROWS($R$215:R236)-1)+1),0)</f>
        <v>0</v>
      </c>
      <c r="S236" s="459"/>
      <c r="T236" s="113"/>
      <c r="U236" s="140"/>
      <c r="V236" s="113"/>
      <c r="W236" s="96">
        <f>IFERROR(IF(NOT(ISNUMBER(INDEX('M03-S06'!$AN$16:$AN$198,2*(ROWS($R$215:R236)-1)+1))),INDEX('M03-S06'!$BC$16:$BC$198,2*(ROWS($R$215:R236)-1)+1),""),"")</f>
        <v>0</v>
      </c>
      <c r="X236" s="113"/>
      <c r="Y236" s="113"/>
      <c r="Z236" s="111">
        <f>INDEX('M03-S06'!$B$16:$B$196,2*(ROWS($Z$215:Z236)-1)+1)</f>
        <v>22</v>
      </c>
      <c r="AA236" s="111" t="str">
        <f>INDEX('M03-S06'!$N$16:$N$198,2*(ROWS($Z$215:AA236)-1)+1)</f>
        <v/>
      </c>
      <c r="AB236" s="111">
        <f>INDEX('M03-S06'!$C$16:$C$198,2*(ROWS($Z$215:AB236)-1)+1)</f>
        <v>0</v>
      </c>
      <c r="AC236" s="96"/>
      <c r="AD236">
        <f>INDEX('M03-S06'!$X$16:$X$198,2*(ROWS($AD$215:AD236)-1)+1)</f>
        <v>0</v>
      </c>
      <c r="AE236" s="459"/>
      <c r="AF236" s="459"/>
      <c r="AG236" s="112"/>
      <c r="AH236" s="112"/>
      <c r="AI236" s="112"/>
      <c r="AJ236" s="112"/>
      <c r="AK236" s="113"/>
      <c r="AL236" s="113"/>
      <c r="AM236" s="113"/>
      <c r="AN236" s="113"/>
      <c r="AO236" s="52" t="str">
        <f>IFERROR(INDEX(PMGHVAC[Program Design],MATCH(AB236,PMGHVAC[Eff Desc 1])),"")</f>
        <v/>
      </c>
      <c r="AU236"/>
    </row>
    <row r="237" spans="1:47">
      <c r="A237" s="57">
        <f t="shared" si="17"/>
        <v>0</v>
      </c>
      <c r="B237" s="183" t="str">
        <f t="shared" si="25"/>
        <v/>
      </c>
      <c r="C237" t="str">
        <f>IFERROR(IF(R237&gt;0,INDEX(PMGHVAC[Measure '#],MATCH(AB237,PMGHVAC[Eff Desc 1],0)),""),"")</f>
        <v/>
      </c>
      <c r="D237" t="s">
        <v>947</v>
      </c>
      <c r="F237" s="112"/>
      <c r="G237" s="186">
        <f>INDEX('M03-S06'!$AB$16:$AB$196,2*(ROWS($G$215:G237)-1)+1)</f>
        <v>0</v>
      </c>
      <c r="H237" s="186" t="str">
        <f>IF(ISNUMBER(INDEX('M03-S06'!$AN$16:$AN$198,2*(ROWS($R$215:R237)-1)+1)),"Total","")</f>
        <v/>
      </c>
      <c r="I237" s="184">
        <f>IFERROR(ROUND(INDEX('M03-S06'!$AE$16:$AE$198,2*(ROWS($I$215:I237)-1)+1),2),0)</f>
        <v>0</v>
      </c>
      <c r="J237" s="184">
        <f>IFERROR(ROUND(INDEX('M03-S06'!$AG$16:$AG$198,2*(ROWS($J$215:J237)-1)+1),2),0)</f>
        <v>0</v>
      </c>
      <c r="K237" s="52">
        <f>IFERROR(ROUND(INDEX('M03-S06'!$AU$16:$AU$198,2*(ROWS($K$215:K237)-1)+1),2),0)</f>
        <v>0</v>
      </c>
      <c r="M237" s="456">
        <f>INDEX('M03-S06'!$V$16:$V$198,2*(ROWS($M$215:M237)-1)+1)</f>
        <v>0</v>
      </c>
      <c r="N237" s="113"/>
      <c r="O237" s="459"/>
      <c r="P237" s="184" t="str">
        <f>IFERROR(IF(ISNUMBER(INDEX('M03-S06'!$AN$16:$AN$198,2*(ROWS($R$215:R237)-1)+1)),INDEX('M03-S06'!$AK$16:$AK$198,2*(ROWS($P$215:P237)-1)+1),""),"")</f>
        <v/>
      </c>
      <c r="Q237" s="184"/>
      <c r="R237" s="184">
        <f>IF(ISNUMBER(INDEX('M03-S06'!$AN$16:$AN$198,2*(ROWS($R$215:R237)-1)+1)),INDEX('M03-S06'!$AN$16:$AN$198,2*(ROWS($R$215:R237)-1)+1),0)</f>
        <v>0</v>
      </c>
      <c r="S237" s="459"/>
      <c r="T237" s="113"/>
      <c r="U237" s="140"/>
      <c r="V237" s="113"/>
      <c r="W237" s="96">
        <f>IFERROR(IF(NOT(ISNUMBER(INDEX('M03-S06'!$AN$16:$AN$198,2*(ROWS($R$215:R237)-1)+1))),INDEX('M03-S06'!$BC$16:$BC$198,2*(ROWS($R$215:R237)-1)+1),""),"")</f>
        <v>0</v>
      </c>
      <c r="X237" s="113"/>
      <c r="Y237" s="113"/>
      <c r="Z237" s="111">
        <f>INDEX('M03-S06'!$B$16:$B$196,2*(ROWS($Z$215:Z237)-1)+1)</f>
        <v>23</v>
      </c>
      <c r="AA237" s="111" t="str">
        <f>INDEX('M03-S06'!$N$16:$N$198,2*(ROWS($Z$215:AA237)-1)+1)</f>
        <v/>
      </c>
      <c r="AB237" s="111">
        <f>INDEX('M03-S06'!$C$16:$C$198,2*(ROWS($Z$215:AB237)-1)+1)</f>
        <v>0</v>
      </c>
      <c r="AC237" s="96"/>
      <c r="AD237">
        <f>INDEX('M03-S06'!$X$16:$X$198,2*(ROWS($AD$215:AD237)-1)+1)</f>
        <v>0</v>
      </c>
      <c r="AE237" s="459"/>
      <c r="AF237" s="459"/>
      <c r="AG237" s="112"/>
      <c r="AH237" s="112"/>
      <c r="AI237" s="112"/>
      <c r="AJ237" s="112"/>
      <c r="AK237" s="113"/>
      <c r="AL237" s="113"/>
      <c r="AM237" s="113"/>
      <c r="AN237" s="113"/>
      <c r="AO237" s="52" t="str">
        <f>IFERROR(INDEX(PMGHVAC[Program Design],MATCH(AB237,PMGHVAC[Eff Desc 1])),"")</f>
        <v/>
      </c>
      <c r="AU237"/>
    </row>
    <row r="238" spans="1:47">
      <c r="A238" s="57">
        <f t="shared" si="17"/>
        <v>0</v>
      </c>
      <c r="B238" s="183" t="str">
        <f t="shared" si="25"/>
        <v/>
      </c>
      <c r="C238" t="str">
        <f>IFERROR(IF(R238&gt;0,INDEX(PMGHVAC[Measure '#],MATCH(AB238,PMGHVAC[Eff Desc 1],0)),""),"")</f>
        <v/>
      </c>
      <c r="D238" t="s">
        <v>947</v>
      </c>
      <c r="F238" s="112"/>
      <c r="G238" s="186">
        <f>INDEX('M03-S06'!$AB$16:$AB$196,2*(ROWS($G$215:G238)-1)+1)</f>
        <v>0</v>
      </c>
      <c r="H238" s="186" t="str">
        <f>IF(ISNUMBER(INDEX('M03-S06'!$AN$16:$AN$198,2*(ROWS($R$215:R238)-1)+1)),"Total","")</f>
        <v/>
      </c>
      <c r="I238" s="184">
        <f>IFERROR(ROUND(INDEX('M03-S06'!$AE$16:$AE$198,2*(ROWS($I$215:I238)-1)+1),2),0)</f>
        <v>0</v>
      </c>
      <c r="J238" s="184">
        <f>IFERROR(ROUND(INDEX('M03-S06'!$AG$16:$AG$198,2*(ROWS($J$215:J238)-1)+1),2),0)</f>
        <v>0</v>
      </c>
      <c r="K238" s="52">
        <f>IFERROR(ROUND(INDEX('M03-S06'!$AU$16:$AU$198,2*(ROWS($K$215:K238)-1)+1),2),0)</f>
        <v>0</v>
      </c>
      <c r="M238" s="456">
        <f>INDEX('M03-S06'!$V$16:$V$198,2*(ROWS($M$215:M238)-1)+1)</f>
        <v>0</v>
      </c>
      <c r="N238" s="113"/>
      <c r="O238" s="459"/>
      <c r="P238" s="184" t="str">
        <f>IFERROR(IF(ISNUMBER(INDEX('M03-S06'!$AN$16:$AN$198,2*(ROWS($R$215:R238)-1)+1)),INDEX('M03-S06'!$AK$16:$AK$198,2*(ROWS($P$215:P238)-1)+1),""),"")</f>
        <v/>
      </c>
      <c r="Q238" s="184"/>
      <c r="R238" s="184">
        <f>IF(ISNUMBER(INDEX('M03-S06'!$AN$16:$AN$198,2*(ROWS($R$215:R238)-1)+1)),INDEX('M03-S06'!$AN$16:$AN$198,2*(ROWS($R$215:R238)-1)+1),0)</f>
        <v>0</v>
      </c>
      <c r="S238" s="459"/>
      <c r="T238" s="113"/>
      <c r="U238" s="140"/>
      <c r="V238" s="113"/>
      <c r="W238" s="96">
        <f>IFERROR(IF(NOT(ISNUMBER(INDEX('M03-S06'!$AN$16:$AN$198,2*(ROWS($R$215:R238)-1)+1))),INDEX('M03-S06'!$BC$16:$BC$198,2*(ROWS($R$215:R238)-1)+1),""),"")</f>
        <v>0</v>
      </c>
      <c r="X238" s="113"/>
      <c r="Y238" s="113"/>
      <c r="Z238" s="111">
        <f>INDEX('M03-S06'!$B$16:$B$196,2*(ROWS($Z$215:Z238)-1)+1)</f>
        <v>24</v>
      </c>
      <c r="AA238" s="111" t="str">
        <f>INDEX('M03-S06'!$N$16:$N$198,2*(ROWS($Z$215:AA238)-1)+1)</f>
        <v/>
      </c>
      <c r="AB238" s="111">
        <f>INDEX('M03-S06'!$C$16:$C$198,2*(ROWS($Z$215:AB238)-1)+1)</f>
        <v>0</v>
      </c>
      <c r="AC238" s="96"/>
      <c r="AD238">
        <f>INDEX('M03-S06'!$X$16:$X$198,2*(ROWS($AD$215:AD238)-1)+1)</f>
        <v>0</v>
      </c>
      <c r="AE238" s="459"/>
      <c r="AF238" s="459"/>
      <c r="AG238" s="112"/>
      <c r="AH238" s="112"/>
      <c r="AI238" s="112"/>
      <c r="AJ238" s="112"/>
      <c r="AK238" s="113"/>
      <c r="AL238" s="113"/>
      <c r="AM238" s="113"/>
      <c r="AN238" s="113"/>
      <c r="AO238" s="52" t="str">
        <f>IFERROR(INDEX(PMGHVAC[Program Design],MATCH(AB238,PMGHVAC[Eff Desc 1])),"")</f>
        <v/>
      </c>
      <c r="AU238"/>
    </row>
    <row r="239" spans="1:47">
      <c r="A239" s="57">
        <f t="shared" si="17"/>
        <v>0</v>
      </c>
      <c r="B239" s="183" t="str">
        <f t="shared" si="25"/>
        <v/>
      </c>
      <c r="C239" t="str">
        <f>IFERROR(IF(R239&gt;0,INDEX(PMGHVAC[Measure '#],MATCH(AB239,PMGHVAC[Eff Desc 1],0)),""),"")</f>
        <v/>
      </c>
      <c r="D239" t="s">
        <v>947</v>
      </c>
      <c r="F239" s="112"/>
      <c r="G239" s="186">
        <f>INDEX('M03-S06'!$AB$16:$AB$196,2*(ROWS($G$215:G239)-1)+1)</f>
        <v>0</v>
      </c>
      <c r="H239" s="186" t="str">
        <f>IF(ISNUMBER(INDEX('M03-S06'!$AN$16:$AN$198,2*(ROWS($R$215:R239)-1)+1)),"Total","")</f>
        <v/>
      </c>
      <c r="I239" s="184">
        <f>IFERROR(ROUND(INDEX('M03-S06'!$AE$16:$AE$198,2*(ROWS($I$215:I239)-1)+1),2),0)</f>
        <v>0</v>
      </c>
      <c r="J239" s="184">
        <f>IFERROR(ROUND(INDEX('M03-S06'!$AG$16:$AG$198,2*(ROWS($J$215:J239)-1)+1),2),0)</f>
        <v>0</v>
      </c>
      <c r="K239" s="52">
        <f>IFERROR(ROUND(INDEX('M03-S06'!$AU$16:$AU$198,2*(ROWS($K$215:K239)-1)+1),2),0)</f>
        <v>0</v>
      </c>
      <c r="M239" s="456">
        <f>INDEX('M03-S06'!$V$16:$V$198,2*(ROWS($M$215:M239)-1)+1)</f>
        <v>0</v>
      </c>
      <c r="N239" s="113"/>
      <c r="O239" s="459"/>
      <c r="P239" s="184" t="str">
        <f>IFERROR(IF(ISNUMBER(INDEX('M03-S06'!$AN$16:$AN$198,2*(ROWS($R$215:R239)-1)+1)),INDEX('M03-S06'!$AK$16:$AK$198,2*(ROWS($P$215:P239)-1)+1),""),"")</f>
        <v/>
      </c>
      <c r="Q239" s="184"/>
      <c r="R239" s="184">
        <f>IF(ISNUMBER(INDEX('M03-S06'!$AN$16:$AN$198,2*(ROWS($R$215:R239)-1)+1)),INDEX('M03-S06'!$AN$16:$AN$198,2*(ROWS($R$215:R239)-1)+1),0)</f>
        <v>0</v>
      </c>
      <c r="S239" s="459"/>
      <c r="T239" s="113"/>
      <c r="U239" s="140"/>
      <c r="V239" s="113"/>
      <c r="W239" s="96">
        <f>IFERROR(IF(NOT(ISNUMBER(INDEX('M03-S06'!$AN$16:$AN$198,2*(ROWS($R$215:R239)-1)+1))),INDEX('M03-S06'!$BC$16:$BC$198,2*(ROWS($R$215:R239)-1)+1),""),"")</f>
        <v>0</v>
      </c>
      <c r="X239" s="113"/>
      <c r="Y239" s="113"/>
      <c r="Z239" s="111">
        <f>INDEX('M03-S06'!$B$16:$B$196,2*(ROWS($Z$215:Z239)-1)+1)</f>
        <v>25</v>
      </c>
      <c r="AA239" s="111" t="str">
        <f>INDEX('M03-S06'!$N$16:$N$198,2*(ROWS($Z$215:AA239)-1)+1)</f>
        <v/>
      </c>
      <c r="AB239" s="111">
        <f>INDEX('M03-S06'!$C$16:$C$198,2*(ROWS($Z$215:AB239)-1)+1)</f>
        <v>0</v>
      </c>
      <c r="AC239" s="96"/>
      <c r="AD239">
        <f>INDEX('M03-S06'!$X$16:$X$198,2*(ROWS($AD$215:AD239)-1)+1)</f>
        <v>0</v>
      </c>
      <c r="AE239" s="459"/>
      <c r="AF239" s="459"/>
      <c r="AG239" s="112"/>
      <c r="AH239" s="112"/>
      <c r="AI239" s="112"/>
      <c r="AJ239" s="112"/>
      <c r="AK239" s="113"/>
      <c r="AL239" s="113"/>
      <c r="AM239" s="113"/>
      <c r="AN239" s="113"/>
      <c r="AO239" s="52" t="str">
        <f>IFERROR(INDEX(PMGHVAC[Program Design],MATCH(AB239,PMGHVAC[Eff Desc 1])),"")</f>
        <v/>
      </c>
      <c r="AU239"/>
    </row>
    <row r="240" spans="1:47">
      <c r="A240" s="57">
        <f t="shared" si="17"/>
        <v>0</v>
      </c>
      <c r="B240" s="183" t="str">
        <f t="shared" ca="1" si="25"/>
        <v/>
      </c>
      <c r="C240" s="559" t="str">
        <f ca="1">IFERROR(IF(R240&gt;0,INDEX(PMEBONUS[Measure '#],MATCH(AB240,PMEBONUS[Eff Desc 1],0)),""),"")</f>
        <v/>
      </c>
      <c r="D240" t="s">
        <v>947</v>
      </c>
      <c r="F240" s="112"/>
      <c r="G240" s="112"/>
      <c r="H240" s="112"/>
      <c r="I240" s="184">
        <f>IFERROR(ROUND(INDEX('M03-S06'!$AE$16:$AE$198,2*(ROWS($I$215:I240)-1)+1),2),0)</f>
        <v>0</v>
      </c>
      <c r="J240" s="184">
        <f>IFERROR(ROUND(INDEX('M03-S06'!$AG$16:$AG$198,2*(ROWS($J$215:J240)-1)+1),2),0)</f>
        <v>0</v>
      </c>
      <c r="K240" s="52">
        <f>IFERROR(ROUND(INDEX('M03-S06'!$AU$16:$AU$198,2*(ROWS($K$215:K240)-1)+1),2),0)</f>
        <v>0</v>
      </c>
      <c r="M240" s="456">
        <f ca="1">INDEX('M03-S06'!$V$16:$V$198,2*(ROWS($M$215:M240)-1)+1)</f>
        <v>0</v>
      </c>
      <c r="N240" s="113"/>
      <c r="O240" s="459"/>
      <c r="P240" s="112"/>
      <c r="Q240" s="112"/>
      <c r="R240" s="184">
        <f ca="1">IF(ISNUMBER(INDEX('M03-S06'!$AN$16:$AN$198,2*(ROWS($R$215:R240)-1)+1)),INDEX('M03-S06'!$AN$16:$AN$198,2*(ROWS($R$215:R240)-1)+1),0)</f>
        <v>0</v>
      </c>
      <c r="S240" s="459"/>
      <c r="T240" s="113"/>
      <c r="U240" s="140"/>
      <c r="V240" s="113"/>
      <c r="W240" s="96">
        <f ca="1">IFERROR(IF(NOT(ISNUMBER(INDEX('M03-S06'!$AN$16:$AN$198,2*(ROWS($R$215:R240)-1)+1))),INDEX('M03-S06'!$BC$16:$BC$198,2*(ROWS($R$215:R240)-1)+1),""),"")</f>
        <v>0</v>
      </c>
      <c r="X240" s="113"/>
      <c r="Y240" s="113"/>
      <c r="Z240" s="111">
        <f>INDEX('M03-S06'!$B$16:$B$196,2*(ROWS($Z$215:Z240)-1)+1)</f>
        <v>26</v>
      </c>
      <c r="AA240" s="111" t="str">
        <f ca="1">INDEX('M03-S06'!$N$16:$N$198,2*(ROWS($Z$215:AA240)-1)+1)</f>
        <v/>
      </c>
      <c r="AB240" s="111">
        <f ca="1">INDEX('M03-S06'!$C$16:$C$198,2*(ROWS($Z$215:AB240)-1)+1)</f>
        <v>0</v>
      </c>
      <c r="AC240" s="96"/>
      <c r="AD240">
        <f>INDEX('M03-S06'!$X$16:$X$198,2*(ROWS($AD$215:AD240)-1)+1)</f>
        <v>0</v>
      </c>
      <c r="AE240" s="459"/>
      <c r="AF240" s="459"/>
      <c r="AG240" s="112"/>
      <c r="AH240" s="112"/>
      <c r="AI240" s="112"/>
      <c r="AJ240" s="112"/>
      <c r="AK240" s="113"/>
      <c r="AL240" s="113"/>
      <c r="AM240" s="113"/>
      <c r="AN240" s="113"/>
      <c r="AO240" s="52" t="str">
        <f ca="1">IFERROR(INDEX(PMEBONUS[Program Design],MATCH(AB240,PMEBONUS[Eff Desc 1])),"")</f>
        <v/>
      </c>
      <c r="AU240"/>
    </row>
    <row r="241" spans="1:47">
      <c r="A241" s="57">
        <f t="shared" si="17"/>
        <v>0</v>
      </c>
      <c r="B241" s="183" t="str">
        <f t="shared" si="25"/>
        <v/>
      </c>
      <c r="C241" t="str">
        <f>IFERROR(IF(R241&gt;0,INDEX(PMGHVAC[Measure '#],MATCH(AB241,PMGHVAC[Eff Desc 1],0)),""),"")</f>
        <v/>
      </c>
      <c r="D241" t="s">
        <v>947</v>
      </c>
      <c r="F241" s="112"/>
      <c r="G241" s="186">
        <f>INDEX('M03-S06'!$AB$16:$AB$196,2*(ROWS($G$215:G241)-1)+1)</f>
        <v>0</v>
      </c>
      <c r="H241" s="186" t="str">
        <f>IF(ISNUMBER(INDEX('M03-S06'!$AN$16:$AN$198,2*(ROWS($R$215:R241)-1)+1)),"Total","")</f>
        <v/>
      </c>
      <c r="I241" s="184">
        <f>IFERROR(ROUND(INDEX('M03-S06'!$AE$16:$AE$198,2*(ROWS($I$215:I241)-1)+1),2),0)</f>
        <v>0</v>
      </c>
      <c r="J241" s="184">
        <f>IFERROR(ROUND(INDEX('M03-S06'!$AG$16:$AG$198,2*(ROWS($J$215:J241)-1)+1),2),0)</f>
        <v>0</v>
      </c>
      <c r="K241" s="52">
        <f>IFERROR(ROUND(INDEX('M03-S06'!$AU$16:$AU$198,2*(ROWS($K$215:K241)-1)+1),2),0)</f>
        <v>0</v>
      </c>
      <c r="M241" s="456">
        <f>INDEX('M03-S06'!$V$16:$V$198,2*(ROWS($M$215:M241)-1)+1)</f>
        <v>0</v>
      </c>
      <c r="N241" s="113"/>
      <c r="O241" s="459"/>
      <c r="P241" s="184" t="str">
        <f>IFERROR(IF(ISNUMBER(INDEX('M03-S06'!$AN$16:$AN$198,2*(ROWS($R$215:R241)-1)+1)),INDEX('M03-S06'!$AK$16:$AK$198,2*(ROWS($P$215:P241)-1)+1),""),"")</f>
        <v/>
      </c>
      <c r="Q241" s="184"/>
      <c r="R241" s="184">
        <f>IF(ISNUMBER(INDEX('M03-S06'!$AN$16:$AN$198,2*(ROWS($R$215:R241)-1)+1)),INDEX('M03-S06'!$AN$16:$AN$198,2*(ROWS($R$215:R241)-1)+1),0)</f>
        <v>0</v>
      </c>
      <c r="S241" s="459"/>
      <c r="T241" s="113"/>
      <c r="U241" s="140"/>
      <c r="V241" s="113"/>
      <c r="W241" s="96">
        <f>IFERROR(IF(NOT(ISNUMBER(INDEX('M03-S06'!$AN$16:$AN$198,2*(ROWS($R$215:R241)-1)+1))),INDEX('M03-S06'!$BC$16:$BC$198,2*(ROWS($R$215:R241)-1)+1),""),"")</f>
        <v>0</v>
      </c>
      <c r="X241" s="113"/>
      <c r="Y241" s="113"/>
      <c r="Z241" s="111">
        <f>INDEX('M03-S06'!$B$16:$B$196,2*(ROWS($Z$215:Z241)-1)+1)</f>
        <v>27</v>
      </c>
      <c r="AA241" s="111" t="str">
        <f>INDEX('M03-S06'!$N$16:$N$198,2*(ROWS($Z$215:AA241)-1)+1)</f>
        <v/>
      </c>
      <c r="AB241" s="111">
        <f>INDEX('M03-S06'!$C$16:$C$198,2*(ROWS($Z$215:AB241)-1)+1)</f>
        <v>0</v>
      </c>
      <c r="AC241" s="96"/>
      <c r="AD241">
        <f>INDEX('M03-S06'!$X$16:$X$198,2*(ROWS($AD$215:AD241)-1)+1)</f>
        <v>0</v>
      </c>
      <c r="AE241" s="459"/>
      <c r="AF241" s="459"/>
      <c r="AG241" s="112"/>
      <c r="AH241" s="112"/>
      <c r="AI241" s="112"/>
      <c r="AJ241" s="112"/>
      <c r="AK241" s="113"/>
      <c r="AL241" s="113"/>
      <c r="AM241" s="113"/>
      <c r="AN241" s="113"/>
      <c r="AO241" s="52" t="str">
        <f>IFERROR(INDEX(PMGHVAC[Program Design],MATCH(AB241,PMGHVAC[Eff Desc 1])),"")</f>
        <v/>
      </c>
      <c r="AU241"/>
    </row>
    <row r="242" spans="1:47">
      <c r="A242" s="57">
        <f t="shared" si="17"/>
        <v>0</v>
      </c>
      <c r="B242" s="183" t="str">
        <f t="shared" si="25"/>
        <v/>
      </c>
      <c r="C242" t="str">
        <f>IFERROR(IF(R242&gt;0,INDEX(PMGHVAC[Measure '#],MATCH(AB242,PMGHVAC[Eff Desc 1],0)),""),"")</f>
        <v/>
      </c>
      <c r="D242" t="s">
        <v>947</v>
      </c>
      <c r="F242" s="112"/>
      <c r="G242" s="186">
        <f>INDEX('M03-S06'!$AB$16:$AB$196,2*(ROWS($G$215:G242)-1)+1)</f>
        <v>0</v>
      </c>
      <c r="H242" s="186" t="str">
        <f>IF(ISNUMBER(INDEX('M03-S06'!$AN$16:$AN$198,2*(ROWS($R$215:R242)-1)+1)),"Total","")</f>
        <v/>
      </c>
      <c r="I242" s="184">
        <f>IFERROR(ROUND(INDEX('M03-S06'!$AE$16:$AE$198,2*(ROWS($I$215:I242)-1)+1),2),0)</f>
        <v>0</v>
      </c>
      <c r="J242" s="184">
        <f>IFERROR(ROUND(INDEX('M03-S06'!$AG$16:$AG$198,2*(ROWS($J$215:J242)-1)+1),2),0)</f>
        <v>0</v>
      </c>
      <c r="K242" s="52">
        <f>IFERROR(ROUND(INDEX('M03-S06'!$AU$16:$AU$198,2*(ROWS($K$215:K242)-1)+1),2),0)</f>
        <v>0</v>
      </c>
      <c r="M242" s="456">
        <f>INDEX('M03-S06'!$V$16:$V$198,2*(ROWS($M$215:M242)-1)+1)</f>
        <v>0</v>
      </c>
      <c r="N242" s="113"/>
      <c r="O242" s="459"/>
      <c r="P242" s="184" t="str">
        <f>IFERROR(IF(ISNUMBER(INDEX('M03-S06'!$AN$16:$AN$198,2*(ROWS($R$215:R242)-1)+1)),INDEX('M03-S06'!$AK$16:$AK$198,2*(ROWS($P$215:P242)-1)+1),""),"")</f>
        <v/>
      </c>
      <c r="Q242" s="184"/>
      <c r="R242" s="184">
        <f>IF(ISNUMBER(INDEX('M03-S06'!$AN$16:$AN$198,2*(ROWS($R$215:R242)-1)+1)),INDEX('M03-S06'!$AN$16:$AN$198,2*(ROWS($R$215:R242)-1)+1),0)</f>
        <v>0</v>
      </c>
      <c r="S242" s="459"/>
      <c r="T242" s="113"/>
      <c r="U242" s="140"/>
      <c r="V242" s="113"/>
      <c r="W242" s="96">
        <f>IFERROR(IF(NOT(ISNUMBER(INDEX('M03-S06'!$AN$16:$AN$198,2*(ROWS($R$215:R242)-1)+1))),INDEX('M03-S06'!$BC$16:$BC$198,2*(ROWS($R$215:R242)-1)+1),""),"")</f>
        <v>0</v>
      </c>
      <c r="X242" s="113"/>
      <c r="Y242" s="113"/>
      <c r="Z242" s="111">
        <f>INDEX('M03-S06'!$B$16:$B$196,2*(ROWS($Z$215:Z242)-1)+1)</f>
        <v>28</v>
      </c>
      <c r="AA242" s="111" t="str">
        <f>INDEX('M03-S06'!$N$16:$N$198,2*(ROWS($Z$215:AA242)-1)+1)</f>
        <v/>
      </c>
      <c r="AB242" s="111">
        <f>INDEX('M03-S06'!$C$16:$C$198,2*(ROWS($Z$215:AB242)-1)+1)</f>
        <v>0</v>
      </c>
      <c r="AC242" s="96"/>
      <c r="AD242">
        <f>INDEX('M03-S06'!$X$16:$X$198,2*(ROWS($AD$215:AD242)-1)+1)</f>
        <v>0</v>
      </c>
      <c r="AE242" s="459"/>
      <c r="AF242" s="459"/>
      <c r="AG242" s="112"/>
      <c r="AH242" s="112"/>
      <c r="AI242" s="112"/>
      <c r="AJ242" s="112"/>
      <c r="AK242" s="113"/>
      <c r="AL242" s="113"/>
      <c r="AM242" s="113"/>
      <c r="AN242" s="113"/>
      <c r="AO242" s="52" t="str">
        <f>IFERROR(INDEX(PMGHVAC[Program Design],MATCH(AB242,PMGHVAC[Eff Desc 1])),"")</f>
        <v/>
      </c>
      <c r="AU242"/>
    </row>
    <row r="243" spans="1:47">
      <c r="A243" s="57">
        <f t="shared" si="17"/>
        <v>0</v>
      </c>
      <c r="B243" s="183" t="str">
        <f t="shared" si="25"/>
        <v/>
      </c>
      <c r="C243" t="str">
        <f>IFERROR(IF(R243&gt;0,INDEX(PMGHVAC[Measure '#],MATCH(AB243,PMGHVAC[Eff Desc 1],0)),""),"")</f>
        <v/>
      </c>
      <c r="D243" t="s">
        <v>947</v>
      </c>
      <c r="F243" s="112"/>
      <c r="G243" s="186">
        <f>INDEX('M03-S06'!$AB$16:$AB$196,2*(ROWS($G$215:G243)-1)+1)</f>
        <v>0</v>
      </c>
      <c r="H243" s="186" t="str">
        <f>IF(ISNUMBER(INDEX('M03-S06'!$AN$16:$AN$198,2*(ROWS($R$215:R243)-1)+1)),"Total","")</f>
        <v/>
      </c>
      <c r="I243" s="184">
        <f>IFERROR(ROUND(INDEX('M03-S06'!$AE$16:$AE$198,2*(ROWS($I$215:I243)-1)+1),2),0)</f>
        <v>0</v>
      </c>
      <c r="J243" s="184">
        <f>IFERROR(ROUND(INDEX('M03-S06'!$AG$16:$AG$198,2*(ROWS($J$215:J243)-1)+1),2),0)</f>
        <v>0</v>
      </c>
      <c r="K243" s="52">
        <f>IFERROR(ROUND(INDEX('M03-S06'!$AU$16:$AU$198,2*(ROWS($K$215:K243)-1)+1),2),0)</f>
        <v>0</v>
      </c>
      <c r="M243" s="456">
        <f>INDEX('M03-S06'!$V$16:$V$198,2*(ROWS($M$215:M243)-1)+1)</f>
        <v>0</v>
      </c>
      <c r="N243" s="113"/>
      <c r="O243" s="459"/>
      <c r="P243" s="184" t="str">
        <f>IFERROR(IF(ISNUMBER(INDEX('M03-S06'!$AN$16:$AN$198,2*(ROWS($R$215:R243)-1)+1)),INDEX('M03-S06'!$AK$16:$AK$198,2*(ROWS($P$215:P243)-1)+1),""),"")</f>
        <v/>
      </c>
      <c r="Q243" s="184"/>
      <c r="R243" s="184">
        <f>IF(ISNUMBER(INDEX('M03-S06'!$AN$16:$AN$198,2*(ROWS($R$215:R243)-1)+1)),INDEX('M03-S06'!$AN$16:$AN$198,2*(ROWS($R$215:R243)-1)+1),0)</f>
        <v>0</v>
      </c>
      <c r="S243" s="459"/>
      <c r="T243" s="113"/>
      <c r="U243" s="140"/>
      <c r="V243" s="113"/>
      <c r="W243" s="96">
        <f>IFERROR(IF(NOT(ISNUMBER(INDEX('M03-S06'!$AN$16:$AN$198,2*(ROWS($R$215:R243)-1)+1))),INDEX('M03-S06'!$BC$16:$BC$198,2*(ROWS($R$215:R243)-1)+1),""),"")</f>
        <v>0</v>
      </c>
      <c r="X243" s="113"/>
      <c r="Y243" s="113"/>
      <c r="Z243" s="111">
        <f>INDEX('M03-S06'!$B$16:$B$196,2*(ROWS($Z$215:Z243)-1)+1)</f>
        <v>29</v>
      </c>
      <c r="AA243" s="111" t="str">
        <f>INDEX('M03-S06'!$N$16:$N$198,2*(ROWS($Z$215:AA243)-1)+1)</f>
        <v/>
      </c>
      <c r="AB243" s="111">
        <f>INDEX('M03-S06'!$C$16:$C$198,2*(ROWS($Z$215:AB243)-1)+1)</f>
        <v>0</v>
      </c>
      <c r="AC243" s="96"/>
      <c r="AD243">
        <f>INDEX('M03-S06'!$X$16:$X$198,2*(ROWS($AD$215:AD243)-1)+1)</f>
        <v>0</v>
      </c>
      <c r="AE243" s="459"/>
      <c r="AF243" s="459"/>
      <c r="AG243" s="112"/>
      <c r="AH243" s="112"/>
      <c r="AI243" s="112"/>
      <c r="AJ243" s="112"/>
      <c r="AK243" s="113"/>
      <c r="AL243" s="113"/>
      <c r="AM243" s="113"/>
      <c r="AN243" s="113"/>
      <c r="AO243" s="52" t="str">
        <f>IFERROR(INDEX(PMGHVAC[Program Design],MATCH(AB243,PMGHVAC[Eff Desc 1])),"")</f>
        <v/>
      </c>
      <c r="AU243"/>
    </row>
    <row r="244" spans="1:47">
      <c r="A244" s="57">
        <f t="shared" si="17"/>
        <v>0</v>
      </c>
      <c r="B244" s="183" t="str">
        <f t="shared" si="25"/>
        <v/>
      </c>
      <c r="C244" t="str">
        <f>IFERROR(IF(R244&gt;0,INDEX(PMGHVAC[Measure '#],MATCH(AB244,PMGHVAC[Eff Desc 1],0)),""),"")</f>
        <v/>
      </c>
      <c r="D244" t="s">
        <v>947</v>
      </c>
      <c r="F244" s="112"/>
      <c r="G244" s="186">
        <f>INDEX('M03-S06'!$AB$16:$AB$196,2*(ROWS($G$215:G244)-1)+1)</f>
        <v>0</v>
      </c>
      <c r="H244" s="186" t="str">
        <f>IF(ISNUMBER(INDEX('M03-S06'!$AN$16:$AN$198,2*(ROWS($R$215:R244)-1)+1)),"Total","")</f>
        <v/>
      </c>
      <c r="I244" s="184">
        <f>IFERROR(ROUND(INDEX('M03-S06'!$AE$16:$AE$198,2*(ROWS($I$215:I244)-1)+1),2),0)</f>
        <v>0</v>
      </c>
      <c r="J244" s="184">
        <f>IFERROR(ROUND(INDEX('M03-S06'!$AG$16:$AG$198,2*(ROWS($J$215:J244)-1)+1),2),0)</f>
        <v>0</v>
      </c>
      <c r="K244" s="52">
        <f>IFERROR(ROUND(INDEX('M03-S06'!$AU$16:$AU$198,2*(ROWS($K$215:K244)-1)+1),2),0)</f>
        <v>0</v>
      </c>
      <c r="M244" s="456">
        <f>INDEX('M03-S06'!$V$16:$V$198,2*(ROWS($M$215:M244)-1)+1)</f>
        <v>0</v>
      </c>
      <c r="N244" s="113"/>
      <c r="O244" s="459"/>
      <c r="P244" s="184" t="str">
        <f>IFERROR(IF(ISNUMBER(INDEX('M03-S06'!$AN$16:$AN$198,2*(ROWS($R$215:R244)-1)+1)),INDEX('M03-S06'!$AK$16:$AK$198,2*(ROWS($P$215:P244)-1)+1),""),"")</f>
        <v/>
      </c>
      <c r="Q244" s="184"/>
      <c r="R244" s="184">
        <f>IF(ISNUMBER(INDEX('M03-S06'!$AN$16:$AN$198,2*(ROWS($R$215:R244)-1)+1)),INDEX('M03-S06'!$AN$16:$AN$198,2*(ROWS($R$215:R244)-1)+1),0)</f>
        <v>0</v>
      </c>
      <c r="S244" s="459"/>
      <c r="T244" s="113"/>
      <c r="U244" s="140"/>
      <c r="V244" s="113"/>
      <c r="W244" s="96">
        <f>IFERROR(IF(NOT(ISNUMBER(INDEX('M03-S06'!$AN$16:$AN$198,2*(ROWS($R$215:R244)-1)+1))),INDEX('M03-S06'!$BC$16:$BC$198,2*(ROWS($R$215:R244)-1)+1),""),"")</f>
        <v>0</v>
      </c>
      <c r="X244" s="113"/>
      <c r="Y244" s="113"/>
      <c r="Z244" s="111">
        <f>INDEX('M03-S06'!$B$16:$B$196,2*(ROWS($Z$215:Z244)-1)+1)</f>
        <v>30</v>
      </c>
      <c r="AA244" s="111" t="str">
        <f>INDEX('M03-S06'!$N$16:$N$198,2*(ROWS($Z$215:AA244)-1)+1)</f>
        <v/>
      </c>
      <c r="AB244" s="111">
        <f>INDEX('M03-S06'!$C$16:$C$198,2*(ROWS($Z$215:AB244)-1)+1)</f>
        <v>0</v>
      </c>
      <c r="AC244" s="96"/>
      <c r="AD244">
        <f>INDEX('M03-S06'!$X$16:$X$198,2*(ROWS($AD$215:AD244)-1)+1)</f>
        <v>0</v>
      </c>
      <c r="AE244" s="459"/>
      <c r="AF244" s="459"/>
      <c r="AG244" s="112"/>
      <c r="AH244" s="112"/>
      <c r="AI244" s="112"/>
      <c r="AJ244" s="112"/>
      <c r="AK244" s="113"/>
      <c r="AL244" s="113"/>
      <c r="AM244" s="113"/>
      <c r="AN244" s="113"/>
      <c r="AO244" s="52" t="str">
        <f>IFERROR(INDEX(PMGHVAC[Program Design],MATCH(AB244,PMGHVAC[Eff Desc 1])),"")</f>
        <v/>
      </c>
      <c r="AU244"/>
    </row>
    <row r="245" spans="1:47">
      <c r="A245" s="57">
        <f t="shared" si="17"/>
        <v>0</v>
      </c>
      <c r="B245" s="183" t="str">
        <f t="shared" si="25"/>
        <v/>
      </c>
      <c r="C245" t="str">
        <f>IFERROR(IF(R245&gt;0,INDEX(PMGHVAC[Measure '#],MATCH(AB245,PMGHVAC[Eff Desc 1],0)),""),"")</f>
        <v/>
      </c>
      <c r="D245" t="s">
        <v>947</v>
      </c>
      <c r="F245" s="112"/>
      <c r="G245" s="186">
        <f>INDEX('M03-S06'!$AB$16:$AB$196,2*(ROWS($G$215:G245)-1)+1)</f>
        <v>0</v>
      </c>
      <c r="H245" s="186" t="str">
        <f>IF(ISNUMBER(INDEX('M03-S06'!$AN$16:$AN$198,2*(ROWS($R$215:R245)-1)+1)),"Total","")</f>
        <v/>
      </c>
      <c r="I245" s="184">
        <f>IFERROR(ROUND(INDEX('M03-S06'!$AE$16:$AE$198,2*(ROWS($I$215:I245)-1)+1),2),0)</f>
        <v>0</v>
      </c>
      <c r="J245" s="184">
        <f>IFERROR(ROUND(INDEX('M03-S06'!$AG$16:$AG$198,2*(ROWS($J$215:J245)-1)+1),2),0)</f>
        <v>0</v>
      </c>
      <c r="K245" s="52">
        <f>IFERROR(ROUND(INDEX('M03-S06'!$AU$16:$AU$198,2*(ROWS($K$215:K245)-1)+1),2),0)</f>
        <v>0</v>
      </c>
      <c r="M245" s="456">
        <f>INDEX('M03-S06'!$V$16:$V$198,2*(ROWS($M$215:M245)-1)+1)</f>
        <v>0</v>
      </c>
      <c r="N245" s="113"/>
      <c r="O245" s="459"/>
      <c r="P245" s="184" t="str">
        <f>IFERROR(IF(ISNUMBER(INDEX('M03-S06'!$AN$16:$AN$198,2*(ROWS($R$215:R245)-1)+1)),INDEX('M03-S06'!$AK$16:$AK$198,2*(ROWS($P$215:P245)-1)+1),""),"")</f>
        <v/>
      </c>
      <c r="Q245" s="184"/>
      <c r="R245" s="184">
        <f>IF(ISNUMBER(INDEX('M03-S06'!$AN$16:$AN$198,2*(ROWS($R$215:R245)-1)+1)),INDEX('M03-S06'!$AN$16:$AN$198,2*(ROWS($R$215:R245)-1)+1),0)</f>
        <v>0</v>
      </c>
      <c r="S245" s="459"/>
      <c r="T245" s="113"/>
      <c r="U245" s="140"/>
      <c r="V245" s="113"/>
      <c r="W245" s="96">
        <f>IFERROR(IF(NOT(ISNUMBER(INDEX('M03-S06'!$AN$16:$AN$198,2*(ROWS($R$215:R245)-1)+1))),INDEX('M03-S06'!$BC$16:$BC$198,2*(ROWS($R$215:R245)-1)+1),""),"")</f>
        <v>0</v>
      </c>
      <c r="X245" s="113"/>
      <c r="Y245" s="113"/>
      <c r="Z245" s="111">
        <f>INDEX('M03-S06'!$B$16:$B$196,2*(ROWS($Z$215:Z245)-1)+1)</f>
        <v>31</v>
      </c>
      <c r="AA245" s="111" t="str">
        <f>INDEX('M03-S06'!$N$16:$N$198,2*(ROWS($Z$215:AA245)-1)+1)</f>
        <v/>
      </c>
      <c r="AB245" s="111">
        <f>INDEX('M03-S06'!$C$16:$C$198,2*(ROWS($Z$215:AB245)-1)+1)</f>
        <v>0</v>
      </c>
      <c r="AC245" s="96"/>
      <c r="AD245">
        <f>INDEX('M03-S06'!$X$16:$X$198,2*(ROWS($AD$215:AD245)-1)+1)</f>
        <v>0</v>
      </c>
      <c r="AE245" s="459"/>
      <c r="AF245" s="459"/>
      <c r="AG245" s="112"/>
      <c r="AH245" s="112"/>
      <c r="AI245" s="112"/>
      <c r="AJ245" s="112"/>
      <c r="AK245" s="113"/>
      <c r="AL245" s="113"/>
      <c r="AM245" s="113"/>
      <c r="AN245" s="113"/>
      <c r="AO245" s="52" t="str">
        <f>IFERROR(INDEX(PMGHVAC[Program Design],MATCH(AB245,PMGHVAC[Eff Desc 1])),"")</f>
        <v/>
      </c>
      <c r="AU245"/>
    </row>
    <row r="246" spans="1:47">
      <c r="A246" s="57">
        <f t="shared" si="17"/>
        <v>0</v>
      </c>
      <c r="B246" s="183" t="str">
        <f t="shared" si="25"/>
        <v/>
      </c>
      <c r="C246" t="str">
        <f>IFERROR(IF(R246&gt;0,INDEX(PMGHVAC[Measure '#],MATCH(AB246,PMGHVAC[Eff Desc 1],0)),""),"")</f>
        <v/>
      </c>
      <c r="D246" t="s">
        <v>947</v>
      </c>
      <c r="F246" s="112"/>
      <c r="G246" s="186">
        <f>INDEX('M03-S06'!$AB$16:$AB$196,2*(ROWS($G$215:G246)-1)+1)</f>
        <v>0</v>
      </c>
      <c r="H246" s="186" t="str">
        <f>IF(ISNUMBER(INDEX('M03-S06'!$AN$16:$AN$198,2*(ROWS($R$215:R246)-1)+1)),"Total","")</f>
        <v/>
      </c>
      <c r="I246" s="184">
        <f>IFERROR(ROUND(INDEX('M03-S06'!$AE$16:$AE$198,2*(ROWS($I$215:I246)-1)+1),2),0)</f>
        <v>0</v>
      </c>
      <c r="J246" s="184">
        <f>IFERROR(ROUND(INDEX('M03-S06'!$AG$16:$AG$198,2*(ROWS($J$215:J246)-1)+1),2),0)</f>
        <v>0</v>
      </c>
      <c r="K246" s="52">
        <f>IFERROR(ROUND(INDEX('M03-S06'!$AU$16:$AU$198,2*(ROWS($K$215:K246)-1)+1),2),0)</f>
        <v>0</v>
      </c>
      <c r="M246" s="456">
        <f>INDEX('M03-S06'!$V$16:$V$198,2*(ROWS($M$215:M246)-1)+1)</f>
        <v>0</v>
      </c>
      <c r="N246" s="113"/>
      <c r="O246" s="459"/>
      <c r="P246" s="184" t="str">
        <f>IFERROR(IF(ISNUMBER(INDEX('M03-S06'!$AN$16:$AN$198,2*(ROWS($R$215:R246)-1)+1)),INDEX('M03-S06'!$AK$16:$AK$198,2*(ROWS($P$215:P246)-1)+1),""),"")</f>
        <v/>
      </c>
      <c r="Q246" s="184"/>
      <c r="R246" s="184">
        <f>IF(ISNUMBER(INDEX('M03-S06'!$AN$16:$AN$198,2*(ROWS($R$215:R246)-1)+1)),INDEX('M03-S06'!$AN$16:$AN$198,2*(ROWS($R$215:R246)-1)+1),0)</f>
        <v>0</v>
      </c>
      <c r="S246" s="459"/>
      <c r="T246" s="113"/>
      <c r="U246" s="140"/>
      <c r="V246" s="113"/>
      <c r="W246" s="96">
        <f>IFERROR(IF(NOT(ISNUMBER(INDEX('M03-S06'!$AN$16:$AN$198,2*(ROWS($R$215:R246)-1)+1))),INDEX('M03-S06'!$BC$16:$BC$198,2*(ROWS($R$215:R246)-1)+1),""),"")</f>
        <v>0</v>
      </c>
      <c r="X246" s="113"/>
      <c r="Y246" s="113"/>
      <c r="Z246" s="111">
        <f>INDEX('M03-S06'!$B$16:$B$196,2*(ROWS($Z$215:Z246)-1)+1)</f>
        <v>32</v>
      </c>
      <c r="AA246" s="111" t="str">
        <f>INDEX('M03-S06'!$N$16:$N$198,2*(ROWS($Z$215:AA246)-1)+1)</f>
        <v/>
      </c>
      <c r="AB246" s="111">
        <f>INDEX('M03-S06'!$C$16:$C$198,2*(ROWS($Z$215:AB246)-1)+1)</f>
        <v>0</v>
      </c>
      <c r="AC246" s="96"/>
      <c r="AD246">
        <f>INDEX('M03-S06'!$X$16:$X$198,2*(ROWS($AD$215:AD246)-1)+1)</f>
        <v>0</v>
      </c>
      <c r="AE246" s="459"/>
      <c r="AF246" s="459"/>
      <c r="AG246" s="112"/>
      <c r="AH246" s="112"/>
      <c r="AI246" s="112"/>
      <c r="AJ246" s="112"/>
      <c r="AK246" s="113"/>
      <c r="AL246" s="113"/>
      <c r="AM246" s="113"/>
      <c r="AN246" s="113"/>
      <c r="AO246" s="52" t="str">
        <f>IFERROR(INDEX(PMGHVAC[Program Design],MATCH(AB246,PMGHVAC[Eff Desc 1])),"")</f>
        <v/>
      </c>
      <c r="AU246"/>
    </row>
    <row r="247" spans="1:47">
      <c r="A247" s="57">
        <f t="shared" si="17"/>
        <v>0</v>
      </c>
      <c r="B247" s="183" t="str">
        <f t="shared" si="25"/>
        <v/>
      </c>
      <c r="C247" t="str">
        <f>IFERROR(IF(R247&gt;0,INDEX(PMGHVAC[Measure '#],MATCH(AB247,PMGHVAC[Eff Desc 1],0)),""),"")</f>
        <v/>
      </c>
      <c r="D247" t="s">
        <v>947</v>
      </c>
      <c r="F247" s="112"/>
      <c r="G247" s="186">
        <f>INDEX('M03-S06'!$AB$16:$AB$196,2*(ROWS($G$215:G247)-1)+1)</f>
        <v>0</v>
      </c>
      <c r="H247" s="186" t="str">
        <f>IF(ISNUMBER(INDEX('M03-S06'!$AN$16:$AN$198,2*(ROWS($R$215:R247)-1)+1)),"Total","")</f>
        <v/>
      </c>
      <c r="I247" s="184">
        <f>IFERROR(ROUND(INDEX('M03-S06'!$AE$16:$AE$198,2*(ROWS($I$215:I247)-1)+1),2),0)</f>
        <v>0</v>
      </c>
      <c r="J247" s="184">
        <f>IFERROR(ROUND(INDEX('M03-S06'!$AG$16:$AG$198,2*(ROWS($J$215:J247)-1)+1),2),0)</f>
        <v>0</v>
      </c>
      <c r="K247" s="52">
        <f>IFERROR(ROUND(INDEX('M03-S06'!$AU$16:$AU$198,2*(ROWS($K$215:K247)-1)+1),2),0)</f>
        <v>0</v>
      </c>
      <c r="M247" s="456">
        <f>INDEX('M03-S06'!$V$16:$V$198,2*(ROWS($M$215:M247)-1)+1)</f>
        <v>0</v>
      </c>
      <c r="N247" s="113"/>
      <c r="O247" s="459"/>
      <c r="P247" s="184" t="str">
        <f>IFERROR(IF(ISNUMBER(INDEX('M03-S06'!$AN$16:$AN$198,2*(ROWS($R$215:R247)-1)+1)),INDEX('M03-S06'!$AK$16:$AK$198,2*(ROWS($P$215:P247)-1)+1),""),"")</f>
        <v/>
      </c>
      <c r="Q247" s="184"/>
      <c r="R247" s="184">
        <f>IF(ISNUMBER(INDEX('M03-S06'!$AN$16:$AN$198,2*(ROWS($R$215:R247)-1)+1)),INDEX('M03-S06'!$AN$16:$AN$198,2*(ROWS($R$215:R247)-1)+1),0)</f>
        <v>0</v>
      </c>
      <c r="S247" s="459"/>
      <c r="T247" s="113"/>
      <c r="U247" s="140"/>
      <c r="V247" s="113"/>
      <c r="W247" s="96">
        <f>IFERROR(IF(NOT(ISNUMBER(INDEX('M03-S06'!$AN$16:$AN$198,2*(ROWS($R$215:R247)-1)+1))),INDEX('M03-S06'!$BC$16:$BC$198,2*(ROWS($R$215:R247)-1)+1),""),"")</f>
        <v>0</v>
      </c>
      <c r="X247" s="113"/>
      <c r="Y247" s="113"/>
      <c r="Z247" s="111">
        <f>INDEX('M03-S06'!$B$16:$B$196,2*(ROWS($Z$215:Z247)-1)+1)</f>
        <v>33</v>
      </c>
      <c r="AA247" s="111" t="str">
        <f>INDEX('M03-S06'!$N$16:$N$198,2*(ROWS($Z$215:AA247)-1)+1)</f>
        <v/>
      </c>
      <c r="AB247" s="111">
        <f>INDEX('M03-S06'!$C$16:$C$198,2*(ROWS($Z$215:AB247)-1)+1)</f>
        <v>0</v>
      </c>
      <c r="AC247" s="96"/>
      <c r="AD247">
        <f>INDEX('M03-S06'!$X$16:$X$198,2*(ROWS($AD$215:AD247)-1)+1)</f>
        <v>0</v>
      </c>
      <c r="AE247" s="459"/>
      <c r="AF247" s="459"/>
      <c r="AG247" s="112"/>
      <c r="AH247" s="112"/>
      <c r="AI247" s="112"/>
      <c r="AJ247" s="112"/>
      <c r="AK247" s="113"/>
      <c r="AL247" s="113"/>
      <c r="AM247" s="113"/>
      <c r="AN247" s="113"/>
      <c r="AO247" s="52" t="str">
        <f>IFERROR(INDEX(PMGHVAC[Program Design],MATCH(AB247,PMGHVAC[Eff Desc 1])),"")</f>
        <v/>
      </c>
      <c r="AU247"/>
    </row>
    <row r="248" spans="1:47">
      <c r="A248" s="57">
        <f t="shared" si="17"/>
        <v>0</v>
      </c>
      <c r="B248" s="183" t="str">
        <f t="shared" si="25"/>
        <v/>
      </c>
      <c r="C248" t="str">
        <f>IFERROR(IF(R248&gt;0,INDEX(PMGHVAC[Measure '#],MATCH(AB248,PMGHVAC[Eff Desc 1],0)),""),"")</f>
        <v/>
      </c>
      <c r="D248" t="s">
        <v>947</v>
      </c>
      <c r="F248" s="112"/>
      <c r="G248" s="186">
        <f>INDEX('M03-S06'!$AB$16:$AB$196,2*(ROWS($G$215:G248)-1)+1)</f>
        <v>0</v>
      </c>
      <c r="H248" s="186" t="str">
        <f>IF(ISNUMBER(INDEX('M03-S06'!$AN$16:$AN$198,2*(ROWS($R$215:R248)-1)+1)),"Total","")</f>
        <v/>
      </c>
      <c r="I248" s="184">
        <f>IFERROR(ROUND(INDEX('M03-S06'!$AE$16:$AE$198,2*(ROWS($I$215:I248)-1)+1),2),0)</f>
        <v>0</v>
      </c>
      <c r="J248" s="184">
        <f>IFERROR(ROUND(INDEX('M03-S06'!$AG$16:$AG$198,2*(ROWS($J$215:J248)-1)+1),2),0)</f>
        <v>0</v>
      </c>
      <c r="K248" s="52">
        <f>IFERROR(ROUND(INDEX('M03-S06'!$AU$16:$AU$198,2*(ROWS($K$215:K248)-1)+1),2),0)</f>
        <v>0</v>
      </c>
      <c r="M248" s="456">
        <f>INDEX('M03-S06'!$V$16:$V$198,2*(ROWS($M$215:M248)-1)+1)</f>
        <v>0</v>
      </c>
      <c r="N248" s="113"/>
      <c r="O248" s="459"/>
      <c r="P248" s="184" t="str">
        <f>IFERROR(IF(ISNUMBER(INDEX('M03-S06'!$AN$16:$AN$198,2*(ROWS($R$215:R248)-1)+1)),INDEX('M03-S06'!$AK$16:$AK$198,2*(ROWS($P$215:P248)-1)+1),""),"")</f>
        <v/>
      </c>
      <c r="Q248" s="184"/>
      <c r="R248" s="184">
        <f>IF(ISNUMBER(INDEX('M03-S06'!$AN$16:$AN$198,2*(ROWS($R$215:R248)-1)+1)),INDEX('M03-S06'!$AN$16:$AN$198,2*(ROWS($R$215:R248)-1)+1),0)</f>
        <v>0</v>
      </c>
      <c r="S248" s="459"/>
      <c r="T248" s="113"/>
      <c r="U248" s="140"/>
      <c r="V248" s="113"/>
      <c r="W248" s="96">
        <f>IFERROR(IF(NOT(ISNUMBER(INDEX('M03-S06'!$AN$16:$AN$198,2*(ROWS($R$215:R248)-1)+1))),INDEX('M03-S06'!$BC$16:$BC$198,2*(ROWS($R$215:R248)-1)+1),""),"")</f>
        <v>0</v>
      </c>
      <c r="X248" s="113"/>
      <c r="Y248" s="113"/>
      <c r="Z248" s="111">
        <f>INDEX('M03-S06'!$B$16:$B$196,2*(ROWS($Z$215:Z248)-1)+1)</f>
        <v>34</v>
      </c>
      <c r="AA248" s="111" t="str">
        <f>INDEX('M03-S06'!$N$16:$N$198,2*(ROWS($Z$215:AA248)-1)+1)</f>
        <v/>
      </c>
      <c r="AB248" s="111">
        <f>INDEX('M03-S06'!$C$16:$C$198,2*(ROWS($Z$215:AB248)-1)+1)</f>
        <v>0</v>
      </c>
      <c r="AC248" s="96"/>
      <c r="AD248">
        <f>INDEX('M03-S06'!$X$16:$X$198,2*(ROWS($AD$215:AD248)-1)+1)</f>
        <v>0</v>
      </c>
      <c r="AE248" s="459"/>
      <c r="AF248" s="459"/>
      <c r="AG248" s="112"/>
      <c r="AH248" s="112"/>
      <c r="AI248" s="112"/>
      <c r="AJ248" s="112"/>
      <c r="AK248" s="113"/>
      <c r="AL248" s="113"/>
      <c r="AM248" s="113"/>
      <c r="AN248" s="113"/>
      <c r="AO248" s="52" t="str">
        <f>IFERROR(INDEX(PMGHVAC[Program Design],MATCH(AB248,PMGHVAC[Eff Desc 1])),"")</f>
        <v/>
      </c>
      <c r="AU248"/>
    </row>
    <row r="249" spans="1:47">
      <c r="A249" s="57">
        <f t="shared" si="17"/>
        <v>0</v>
      </c>
      <c r="B249" s="183" t="str">
        <f t="shared" si="25"/>
        <v/>
      </c>
      <c r="C249" t="str">
        <f>IFERROR(IF(R249&gt;0,INDEX(PMGHVAC[Measure '#],MATCH(AB249,PMGHVAC[Eff Desc 1],0)),""),"")</f>
        <v/>
      </c>
      <c r="D249" t="s">
        <v>947</v>
      </c>
      <c r="F249" s="112"/>
      <c r="G249" s="186">
        <f>INDEX('M03-S06'!$AB$16:$AB$196,2*(ROWS($G$215:G249)-1)+1)</f>
        <v>0</v>
      </c>
      <c r="H249" s="186" t="str">
        <f>IF(ISNUMBER(INDEX('M03-S06'!$AN$16:$AN$198,2*(ROWS($R$215:R249)-1)+1)),"Total","")</f>
        <v/>
      </c>
      <c r="I249" s="184">
        <f>IFERROR(ROUND(INDEX('M03-S06'!$AE$16:$AE$198,2*(ROWS($I$215:I249)-1)+1),2),0)</f>
        <v>0</v>
      </c>
      <c r="J249" s="184">
        <f>IFERROR(ROUND(INDEX('M03-S06'!$AG$16:$AG$198,2*(ROWS($J$215:J249)-1)+1),2),0)</f>
        <v>0</v>
      </c>
      <c r="K249" s="52">
        <f>IFERROR(ROUND(INDEX('M03-S06'!$AU$16:$AU$198,2*(ROWS($K$215:K249)-1)+1),2),0)</f>
        <v>0</v>
      </c>
      <c r="M249" s="456">
        <f>INDEX('M03-S06'!$V$16:$V$198,2*(ROWS($M$215:M249)-1)+1)</f>
        <v>0</v>
      </c>
      <c r="N249" s="113"/>
      <c r="O249" s="459"/>
      <c r="P249" s="184" t="str">
        <f>IFERROR(IF(ISNUMBER(INDEX('M03-S06'!$AN$16:$AN$198,2*(ROWS($R$215:R249)-1)+1)),INDEX('M03-S06'!$AK$16:$AK$198,2*(ROWS($P$215:P249)-1)+1),""),"")</f>
        <v/>
      </c>
      <c r="Q249" s="184"/>
      <c r="R249" s="184">
        <f>IF(ISNUMBER(INDEX('M03-S06'!$AN$16:$AN$198,2*(ROWS($R$215:R249)-1)+1)),INDEX('M03-S06'!$AN$16:$AN$198,2*(ROWS($R$215:R249)-1)+1),0)</f>
        <v>0</v>
      </c>
      <c r="S249" s="459"/>
      <c r="T249" s="113"/>
      <c r="U249" s="140"/>
      <c r="V249" s="113"/>
      <c r="W249" s="96">
        <f>IFERROR(IF(NOT(ISNUMBER(INDEX('M03-S06'!$AN$16:$AN$198,2*(ROWS($R$215:R249)-1)+1))),INDEX('M03-S06'!$BC$16:$BC$198,2*(ROWS($R$215:R249)-1)+1),""),"")</f>
        <v>0</v>
      </c>
      <c r="X249" s="113"/>
      <c r="Y249" s="113"/>
      <c r="Z249" s="111">
        <f>INDEX('M03-S06'!$B$16:$B$196,2*(ROWS($Z$215:Z249)-1)+1)</f>
        <v>35</v>
      </c>
      <c r="AA249" s="111" t="str">
        <f>INDEX('M03-S06'!$N$16:$N$198,2*(ROWS($Z$215:AA249)-1)+1)</f>
        <v/>
      </c>
      <c r="AB249" s="111">
        <f>INDEX('M03-S06'!$C$16:$C$198,2*(ROWS($Z$215:AB249)-1)+1)</f>
        <v>0</v>
      </c>
      <c r="AC249" s="96"/>
      <c r="AD249">
        <f>INDEX('M03-S06'!$X$16:$X$198,2*(ROWS($AD$215:AD249)-1)+1)</f>
        <v>0</v>
      </c>
      <c r="AE249" s="459"/>
      <c r="AF249" s="459"/>
      <c r="AG249" s="112"/>
      <c r="AH249" s="112"/>
      <c r="AI249" s="112"/>
      <c r="AJ249" s="112"/>
      <c r="AK249" s="113"/>
      <c r="AL249" s="113"/>
      <c r="AM249" s="113"/>
      <c r="AN249" s="113"/>
      <c r="AO249" s="52" t="str">
        <f>IFERROR(INDEX(PMGHVAC[Program Design],MATCH(AB249,PMGHVAC[Eff Desc 1])),"")</f>
        <v/>
      </c>
      <c r="AU249"/>
    </row>
    <row r="250" spans="1:47">
      <c r="A250" s="57">
        <f t="shared" si="17"/>
        <v>0</v>
      </c>
      <c r="B250" s="183" t="str">
        <f t="shared" si="25"/>
        <v/>
      </c>
      <c r="C250" t="str">
        <f>IFERROR(IF(R250&gt;0,INDEX(PMGHVAC[Measure '#],MATCH(AB250,PMGHVAC[Eff Desc 1],0)),""),"")</f>
        <v/>
      </c>
      <c r="D250" t="s">
        <v>947</v>
      </c>
      <c r="F250" s="112"/>
      <c r="G250" s="186">
        <f>INDEX('M03-S06'!$AB$16:$AB$196,2*(ROWS($G$215:G250)-1)+1)</f>
        <v>0</v>
      </c>
      <c r="H250" s="186" t="str">
        <f>IF(ISNUMBER(INDEX('M03-S06'!$AN$16:$AN$198,2*(ROWS($R$215:R250)-1)+1)),"Total","")</f>
        <v/>
      </c>
      <c r="I250" s="184">
        <f>IFERROR(ROUND(INDEX('M03-S06'!$AE$16:$AE$198,2*(ROWS($I$215:I250)-1)+1),2),0)</f>
        <v>0</v>
      </c>
      <c r="J250" s="184">
        <f>IFERROR(ROUND(INDEX('M03-S06'!$AG$16:$AG$198,2*(ROWS($J$215:J250)-1)+1),2),0)</f>
        <v>0</v>
      </c>
      <c r="K250" s="52">
        <f>IFERROR(ROUND(INDEX('M03-S06'!$AU$16:$AU$198,2*(ROWS($K$215:K250)-1)+1),2),0)</f>
        <v>0</v>
      </c>
      <c r="M250" s="456">
        <f>INDEX('M03-S06'!$V$16:$V$198,2*(ROWS($M$215:M250)-1)+1)</f>
        <v>0</v>
      </c>
      <c r="N250" s="113"/>
      <c r="O250" s="459"/>
      <c r="P250" s="184" t="str">
        <f>IFERROR(IF(ISNUMBER(INDEX('M03-S06'!$AN$16:$AN$198,2*(ROWS($R$215:R250)-1)+1)),INDEX('M03-S06'!$AK$16:$AK$198,2*(ROWS($P$215:P250)-1)+1),""),"")</f>
        <v/>
      </c>
      <c r="Q250" s="184"/>
      <c r="R250" s="184">
        <f>IF(ISNUMBER(INDEX('M03-S06'!$AN$16:$AN$198,2*(ROWS($R$215:R250)-1)+1)),INDEX('M03-S06'!$AN$16:$AN$198,2*(ROWS($R$215:R250)-1)+1),0)</f>
        <v>0</v>
      </c>
      <c r="S250" s="459"/>
      <c r="T250" s="113"/>
      <c r="U250" s="140"/>
      <c r="V250" s="113"/>
      <c r="W250" s="96">
        <f>IFERROR(IF(NOT(ISNUMBER(INDEX('M03-S06'!$AN$16:$AN$198,2*(ROWS($R$215:R250)-1)+1))),INDEX('M03-S06'!$BC$16:$BC$198,2*(ROWS($R$215:R250)-1)+1),""),"")</f>
        <v>0</v>
      </c>
      <c r="X250" s="113"/>
      <c r="Y250" s="113"/>
      <c r="Z250" s="111">
        <f>INDEX('M03-S06'!$B$16:$B$196,2*(ROWS($Z$215:Z250)-1)+1)</f>
        <v>36</v>
      </c>
      <c r="AA250" s="111" t="str">
        <f>INDEX('M03-S06'!$N$16:$N$198,2*(ROWS($Z$215:AA250)-1)+1)</f>
        <v/>
      </c>
      <c r="AB250" s="111">
        <f>INDEX('M03-S06'!$C$16:$C$198,2*(ROWS($Z$215:AB250)-1)+1)</f>
        <v>0</v>
      </c>
      <c r="AC250" s="96"/>
      <c r="AD250">
        <f>INDEX('M03-S06'!$X$16:$X$198,2*(ROWS($AD$215:AD250)-1)+1)</f>
        <v>0</v>
      </c>
      <c r="AE250" s="459"/>
      <c r="AF250" s="459"/>
      <c r="AG250" s="112"/>
      <c r="AH250" s="112"/>
      <c r="AI250" s="112"/>
      <c r="AJ250" s="112"/>
      <c r="AK250" s="113"/>
      <c r="AL250" s="113"/>
      <c r="AM250" s="113"/>
      <c r="AN250" s="113"/>
      <c r="AO250" s="52" t="str">
        <f>IFERROR(INDEX(PMGHVAC[Program Design],MATCH(AB250,PMGHVAC[Eff Desc 1])),"")</f>
        <v/>
      </c>
      <c r="AU250"/>
    </row>
    <row r="251" spans="1:47">
      <c r="A251" s="57">
        <f t="shared" si="17"/>
        <v>0</v>
      </c>
      <c r="B251" s="183" t="str">
        <f t="shared" si="24"/>
        <v/>
      </c>
      <c r="C251" t="str">
        <f>IFERROR(IF(R251&gt;0,INDEX(PMGHVAC[Measure '#],MATCH(AB251,PMGHVAC[Eff Desc 1],0)),""),"")</f>
        <v/>
      </c>
      <c r="D251" t="s">
        <v>947</v>
      </c>
      <c r="F251" s="112"/>
      <c r="G251" s="186">
        <f>INDEX('M03-S06'!$AB$16:$AB$196,2*(ROWS($G$215:G251)-1)+1)</f>
        <v>0</v>
      </c>
      <c r="H251" s="186" t="str">
        <f>IF(ISNUMBER(INDEX('M03-S06'!$AN$16:$AN$198,2*(ROWS($R$215:R251)-1)+1)),"Total","")</f>
        <v/>
      </c>
      <c r="I251" s="184">
        <f>IFERROR(ROUND(INDEX('M03-S06'!$AE$16:$AE$198,2*(ROWS($I$215:I251)-1)+1),2),0)</f>
        <v>0</v>
      </c>
      <c r="J251" s="184">
        <f>IFERROR(ROUND(INDEX('M03-S06'!$AG$16:$AG$198,2*(ROWS($J$215:J251)-1)+1),2),0)</f>
        <v>0</v>
      </c>
      <c r="K251" s="52">
        <f>IFERROR(ROUND(INDEX('M03-S06'!$AU$16:$AU$198,2*(ROWS($K$215:K251)-1)+1),2),0)</f>
        <v>0</v>
      </c>
      <c r="M251" s="456">
        <f>INDEX('M03-S06'!$V$16:$V$198,2*(ROWS($M$215:M251)-1)+1)</f>
        <v>0</v>
      </c>
      <c r="N251" s="113"/>
      <c r="O251" s="459"/>
      <c r="P251" s="184" t="str">
        <f>IFERROR(IF(ISNUMBER(INDEX('M03-S06'!$AN$16:$AN$198,2*(ROWS($R$215:R251)-1)+1)),INDEX('M03-S06'!$AK$16:$AK$198,2*(ROWS($P$215:P251)-1)+1),""),"")</f>
        <v/>
      </c>
      <c r="Q251" s="184"/>
      <c r="R251" s="184">
        <f>IF(ISNUMBER(INDEX('M03-S06'!$AN$16:$AN$198,2*(ROWS($R$215:R251)-1)+1)),INDEX('M03-S06'!$AN$16:$AN$198,2*(ROWS($R$215:R251)-1)+1),0)</f>
        <v>0</v>
      </c>
      <c r="S251" s="459"/>
      <c r="T251" s="113"/>
      <c r="U251" s="140"/>
      <c r="V251" s="113"/>
      <c r="W251" s="96">
        <f>IFERROR(IF(NOT(ISNUMBER(INDEX('M03-S06'!$AN$16:$AN$198,2*(ROWS($R$215:R251)-1)+1))),INDEX('M03-S06'!$BC$16:$BC$198,2*(ROWS($R$215:R251)-1)+1),""),"")</f>
        <v>0</v>
      </c>
      <c r="X251" s="113"/>
      <c r="Y251" s="113"/>
      <c r="Z251" s="111">
        <f>INDEX('M03-S06'!$B$16:$B$196,2*(ROWS($Z$215:Z251)-1)+1)</f>
        <v>37</v>
      </c>
      <c r="AA251" s="111" t="str">
        <f>INDEX('M03-S06'!$N$16:$N$198,2*(ROWS($Z$215:AA251)-1)+1)</f>
        <v/>
      </c>
      <c r="AB251" s="111">
        <f>INDEX('M03-S06'!$C$16:$C$198,2*(ROWS($Z$215:AB251)-1)+1)</f>
        <v>0</v>
      </c>
      <c r="AC251" s="96"/>
      <c r="AD251">
        <f>INDEX('M03-S06'!$X$16:$X$198,2*(ROWS($AD$215:AD251)-1)+1)</f>
        <v>0</v>
      </c>
      <c r="AE251" s="459"/>
      <c r="AF251" s="459"/>
      <c r="AG251" s="112"/>
      <c r="AH251" s="112"/>
      <c r="AI251" s="112"/>
      <c r="AJ251" s="112"/>
      <c r="AK251" s="113"/>
      <c r="AL251" s="113"/>
      <c r="AM251" s="113"/>
      <c r="AN251" s="113"/>
      <c r="AO251" s="52" t="str">
        <f>IFERROR(INDEX(PMGHVAC[Program Design],MATCH(AB251,PMGHVAC[Eff Desc 1])),"")</f>
        <v/>
      </c>
      <c r="AU251"/>
    </row>
    <row r="252" spans="1:47">
      <c r="A252" s="57">
        <f t="shared" si="17"/>
        <v>0</v>
      </c>
      <c r="B252" s="183" t="str">
        <f t="shared" si="24"/>
        <v/>
      </c>
      <c r="C252" t="str">
        <f>IFERROR(IF(R252&gt;0,INDEX(PMGHVAC[Measure '#],MATCH(AB252,PMGHVAC[Eff Desc 1],0)),""),"")</f>
        <v/>
      </c>
      <c r="D252" t="s">
        <v>947</v>
      </c>
      <c r="F252" s="112"/>
      <c r="G252" s="186">
        <f>INDEX('M03-S06'!$AB$16:$AB$196,2*(ROWS($G$215:G252)-1)+1)</f>
        <v>0</v>
      </c>
      <c r="H252" s="186" t="str">
        <f>IF(ISNUMBER(INDEX('M03-S06'!$AN$16:$AN$198,2*(ROWS($R$215:R252)-1)+1)),"Total","")</f>
        <v/>
      </c>
      <c r="I252" s="184">
        <f>IFERROR(ROUND(INDEX('M03-S06'!$AE$16:$AE$198,2*(ROWS($I$215:I252)-1)+1),2),0)</f>
        <v>0</v>
      </c>
      <c r="J252" s="184">
        <f>IFERROR(ROUND(INDEX('M03-S06'!$AG$16:$AG$198,2*(ROWS($J$215:J252)-1)+1),2),0)</f>
        <v>0</v>
      </c>
      <c r="K252" s="52">
        <f>IFERROR(ROUND(INDEX('M03-S06'!$AU$16:$AU$198,2*(ROWS($K$215:K252)-1)+1),2),0)</f>
        <v>0</v>
      </c>
      <c r="M252" s="456">
        <f>INDEX('M03-S06'!$V$16:$V$198,2*(ROWS($M$215:M252)-1)+1)</f>
        <v>0</v>
      </c>
      <c r="N252" s="113"/>
      <c r="O252" s="459"/>
      <c r="P252" s="184" t="str">
        <f>IFERROR(IF(ISNUMBER(INDEX('M03-S06'!$AN$16:$AN$198,2*(ROWS($R$215:R252)-1)+1)),INDEX('M03-S06'!$AK$16:$AK$198,2*(ROWS($P$215:P252)-1)+1),""),"")</f>
        <v/>
      </c>
      <c r="Q252" s="184"/>
      <c r="R252" s="184">
        <f>IF(ISNUMBER(INDEX('M03-S06'!$AN$16:$AN$198,2*(ROWS($R$215:R252)-1)+1)),INDEX('M03-S06'!$AN$16:$AN$198,2*(ROWS($R$215:R252)-1)+1),0)</f>
        <v>0</v>
      </c>
      <c r="S252" s="459"/>
      <c r="T252" s="113"/>
      <c r="U252" s="140"/>
      <c r="V252" s="113"/>
      <c r="W252" s="96">
        <f>IFERROR(IF(NOT(ISNUMBER(INDEX('M03-S06'!$AN$16:$AN$198,2*(ROWS($R$215:R252)-1)+1))),INDEX('M03-S06'!$BC$16:$BC$198,2*(ROWS($R$215:R252)-1)+1),""),"")</f>
        <v>0</v>
      </c>
      <c r="X252" s="113"/>
      <c r="Y252" s="113"/>
      <c r="Z252" s="111">
        <f>INDEX('M03-S06'!$B$16:$B$196,2*(ROWS($Z$215:Z252)-1)+1)</f>
        <v>38</v>
      </c>
      <c r="AA252" s="111" t="str">
        <f>INDEX('M03-S06'!$N$16:$N$198,2*(ROWS($Z$215:AA252)-1)+1)</f>
        <v/>
      </c>
      <c r="AB252" s="111">
        <f>INDEX('M03-S06'!$C$16:$C$198,2*(ROWS($Z$215:AB252)-1)+1)</f>
        <v>0</v>
      </c>
      <c r="AC252" s="96"/>
      <c r="AD252">
        <f>INDEX('M03-S06'!$X$16:$X$198,2*(ROWS($AD$215:AD252)-1)+1)</f>
        <v>0</v>
      </c>
      <c r="AE252" s="459"/>
      <c r="AF252" s="459"/>
      <c r="AG252" s="112"/>
      <c r="AH252" s="112"/>
      <c r="AI252" s="112"/>
      <c r="AJ252" s="112"/>
      <c r="AK252" s="113"/>
      <c r="AL252" s="113"/>
      <c r="AM252" s="113"/>
      <c r="AN252" s="113"/>
      <c r="AO252" s="52" t="str">
        <f>IFERROR(INDEX(PMGHVAC[Program Design],MATCH(AB252,PMGHVAC[Eff Desc 1])),"")</f>
        <v/>
      </c>
      <c r="AU252"/>
    </row>
    <row r="253" spans="1:47">
      <c r="A253" s="57">
        <f t="shared" si="17"/>
        <v>0</v>
      </c>
      <c r="B253" s="183" t="str">
        <f t="shared" si="24"/>
        <v/>
      </c>
      <c r="C253" t="str">
        <f>IFERROR(IF(R253&gt;0,INDEX(PMGHVAC[Measure '#],MATCH(AB253,PMGHVAC[Eff Desc 1],0)),""),"")</f>
        <v/>
      </c>
      <c r="D253" t="s">
        <v>947</v>
      </c>
      <c r="F253" s="112"/>
      <c r="G253" s="186">
        <f>INDEX('M03-S06'!$AB$16:$AB$196,2*(ROWS($G$215:G253)-1)+1)</f>
        <v>0</v>
      </c>
      <c r="H253" s="186" t="str">
        <f>IF(ISNUMBER(INDEX('M03-S06'!$AN$16:$AN$198,2*(ROWS($R$215:R253)-1)+1)),"Total","")</f>
        <v/>
      </c>
      <c r="I253" s="184">
        <f>IFERROR(ROUND(INDEX('M03-S06'!$AE$16:$AE$198,2*(ROWS($I$215:I253)-1)+1),2),0)</f>
        <v>0</v>
      </c>
      <c r="J253" s="184">
        <f>IFERROR(ROUND(INDEX('M03-S06'!$AG$16:$AG$198,2*(ROWS($J$215:J253)-1)+1),2),0)</f>
        <v>0</v>
      </c>
      <c r="K253" s="52">
        <f>IFERROR(ROUND(INDEX('M03-S06'!$AU$16:$AU$198,2*(ROWS($K$215:K253)-1)+1),2),0)</f>
        <v>0</v>
      </c>
      <c r="M253" s="456">
        <f>INDEX('M03-S06'!$V$16:$V$198,2*(ROWS($M$215:M253)-1)+1)</f>
        <v>0</v>
      </c>
      <c r="N253" s="113"/>
      <c r="O253" s="459"/>
      <c r="P253" s="184" t="str">
        <f>IFERROR(IF(ISNUMBER(INDEX('M03-S06'!$AN$16:$AN$198,2*(ROWS($R$215:R253)-1)+1)),INDEX('M03-S06'!$AK$16:$AK$198,2*(ROWS($P$215:P253)-1)+1),""),"")</f>
        <v/>
      </c>
      <c r="Q253" s="184"/>
      <c r="R253" s="184">
        <f>IF(ISNUMBER(INDEX('M03-S06'!$AN$16:$AN$198,2*(ROWS($R$215:R253)-1)+1)),INDEX('M03-S06'!$AN$16:$AN$198,2*(ROWS($R$215:R253)-1)+1),0)</f>
        <v>0</v>
      </c>
      <c r="S253" s="459"/>
      <c r="T253" s="113"/>
      <c r="U253" s="140"/>
      <c r="V253" s="113"/>
      <c r="W253" s="96">
        <f>IFERROR(IF(NOT(ISNUMBER(INDEX('M03-S06'!$AN$16:$AN$198,2*(ROWS($R$215:R253)-1)+1))),INDEX('M03-S06'!$BC$16:$BC$198,2*(ROWS($R$215:R253)-1)+1),""),"")</f>
        <v>0</v>
      </c>
      <c r="X253" s="113"/>
      <c r="Y253" s="113"/>
      <c r="Z253" s="111">
        <f>INDEX('M03-S06'!$B$16:$B$196,2*(ROWS($Z$215:Z253)-1)+1)</f>
        <v>39</v>
      </c>
      <c r="AA253" s="111" t="str">
        <f>INDEX('M03-S06'!$N$16:$N$198,2*(ROWS($Z$215:AA253)-1)+1)</f>
        <v/>
      </c>
      <c r="AB253" s="111">
        <f>INDEX('M03-S06'!$C$16:$C$198,2*(ROWS($Z$215:AB253)-1)+1)</f>
        <v>0</v>
      </c>
      <c r="AC253" s="96"/>
      <c r="AD253">
        <f>INDEX('M03-S06'!$X$16:$X$198,2*(ROWS($AD$215:AD253)-1)+1)</f>
        <v>0</v>
      </c>
      <c r="AE253" s="459"/>
      <c r="AF253" s="459"/>
      <c r="AG253" s="112"/>
      <c r="AH253" s="112"/>
      <c r="AI253" s="112"/>
      <c r="AJ253" s="112"/>
      <c r="AK253" s="113"/>
      <c r="AL253" s="113"/>
      <c r="AM253" s="113"/>
      <c r="AN253" s="113"/>
      <c r="AO253" s="52" t="str">
        <f>IFERROR(INDEX(PMGHVAC[Program Design],MATCH(AB253,PMGHVAC[Eff Desc 1])),"")</f>
        <v/>
      </c>
      <c r="AU253"/>
    </row>
    <row r="254" spans="1:47">
      <c r="A254" s="57">
        <f t="shared" si="17"/>
        <v>0</v>
      </c>
      <c r="B254" s="183" t="str">
        <f t="shared" si="24"/>
        <v/>
      </c>
      <c r="C254" t="str">
        <f>IFERROR(IF(R254&gt;0,INDEX(PMGHVAC[Measure '#],MATCH(AB254,PMGHVAC[Eff Desc 1],0)),""),"")</f>
        <v/>
      </c>
      <c r="D254" t="s">
        <v>947</v>
      </c>
      <c r="F254" s="112"/>
      <c r="G254" s="186">
        <f>INDEX('M03-S06'!$AB$16:$AB$196,2*(ROWS($G$215:G254)-1)+1)</f>
        <v>0</v>
      </c>
      <c r="H254" s="186" t="str">
        <f>IF(ISNUMBER(INDEX('M03-S06'!$AN$16:$AN$198,2*(ROWS($R$215:R254)-1)+1)),"Total","")</f>
        <v/>
      </c>
      <c r="I254" s="184">
        <f>IFERROR(ROUND(INDEX('M03-S06'!$AE$16:$AE$198,2*(ROWS($I$215:I254)-1)+1),2),0)</f>
        <v>0</v>
      </c>
      <c r="J254" s="184">
        <f>IFERROR(ROUND(INDEX('M03-S06'!$AG$16:$AG$198,2*(ROWS($J$215:J254)-1)+1),2),0)</f>
        <v>0</v>
      </c>
      <c r="K254" s="52">
        <f>IFERROR(ROUND(INDEX('M03-S06'!$AU$16:$AU$198,2*(ROWS($K$215:K254)-1)+1),2),0)</f>
        <v>0</v>
      </c>
      <c r="M254" s="456">
        <f>INDEX('M03-S06'!$V$16:$V$198,2*(ROWS($M$215:M254)-1)+1)</f>
        <v>0</v>
      </c>
      <c r="N254" s="113"/>
      <c r="O254" s="459"/>
      <c r="P254" s="184" t="str">
        <f>IFERROR(IF(ISNUMBER(INDEX('M03-S06'!$AN$16:$AN$198,2*(ROWS($R$215:R254)-1)+1)),INDEX('M03-S06'!$AK$16:$AK$198,2*(ROWS($P$215:P254)-1)+1),""),"")</f>
        <v/>
      </c>
      <c r="Q254" s="184"/>
      <c r="R254" s="184">
        <f>IF(ISNUMBER(INDEX('M03-S06'!$AN$16:$AN$198,2*(ROWS($R$215:R254)-1)+1)),INDEX('M03-S06'!$AN$16:$AN$198,2*(ROWS($R$215:R254)-1)+1),0)</f>
        <v>0</v>
      </c>
      <c r="S254" s="459"/>
      <c r="T254" s="113"/>
      <c r="U254" s="140"/>
      <c r="V254" s="113"/>
      <c r="W254" s="96">
        <f>IFERROR(IF(NOT(ISNUMBER(INDEX('M03-S06'!$AN$16:$AN$198,2*(ROWS($R$215:R254)-1)+1))),INDEX('M03-S06'!$BC$16:$BC$198,2*(ROWS($R$215:R254)-1)+1),""),"")</f>
        <v>0</v>
      </c>
      <c r="X254" s="113"/>
      <c r="Y254" s="113"/>
      <c r="Z254" s="111">
        <f>INDEX('M03-S06'!$B$16:$B$196,2*(ROWS($Z$215:Z254)-1)+1)</f>
        <v>40</v>
      </c>
      <c r="AA254" s="111" t="str">
        <f>INDEX('M03-S06'!$N$16:$N$198,2*(ROWS($Z$215:AA254)-1)+1)</f>
        <v/>
      </c>
      <c r="AB254" s="111">
        <f>INDEX('M03-S06'!$C$16:$C$198,2*(ROWS($Z$215:AB254)-1)+1)</f>
        <v>0</v>
      </c>
      <c r="AC254" s="96"/>
      <c r="AD254">
        <f>INDEX('M03-S06'!$X$16:$X$198,2*(ROWS($AD$215:AD254)-1)+1)</f>
        <v>0</v>
      </c>
      <c r="AE254" s="459"/>
      <c r="AF254" s="459"/>
      <c r="AG254" s="112"/>
      <c r="AH254" s="112"/>
      <c r="AI254" s="112"/>
      <c r="AJ254" s="112"/>
      <c r="AK254" s="113"/>
      <c r="AL254" s="113"/>
      <c r="AM254" s="113"/>
      <c r="AN254" s="113"/>
      <c r="AO254" s="52" t="str">
        <f>IFERROR(INDEX(PMGHVAC[Program Design],MATCH(AB254,PMGHVAC[Eff Desc 1])),"")</f>
        <v/>
      </c>
      <c r="AU254"/>
    </row>
    <row r="255" spans="1:47">
      <c r="A255" s="57">
        <f t="shared" si="17"/>
        <v>0</v>
      </c>
      <c r="B255" s="183" t="str">
        <f t="shared" si="24"/>
        <v/>
      </c>
      <c r="C255" t="str">
        <f>IFERROR(IF(R255&gt;0,INDEX(PMGHVAC[Measure '#],MATCH(AB255,PMGHVAC[Eff Desc 1],0)),""),"")</f>
        <v/>
      </c>
      <c r="D255" t="s">
        <v>947</v>
      </c>
      <c r="F255" s="112"/>
      <c r="G255" s="186">
        <f>INDEX('M03-S06'!$AB$16:$AB$196,2*(ROWS($G$215:G255)-1)+1)</f>
        <v>0</v>
      </c>
      <c r="H255" s="186" t="str">
        <f>IF(ISNUMBER(INDEX('M03-S06'!$AN$16:$AN$198,2*(ROWS($R$215:R255)-1)+1)),"Total","")</f>
        <v/>
      </c>
      <c r="I255" s="184">
        <f>IFERROR(ROUND(INDEX('M03-S06'!$AE$16:$AE$198,2*(ROWS($I$215:I255)-1)+1),2),0)</f>
        <v>0</v>
      </c>
      <c r="J255" s="184">
        <f>IFERROR(ROUND(INDEX('M03-S06'!$AG$16:$AG$198,2*(ROWS($J$215:J255)-1)+1),2),0)</f>
        <v>0</v>
      </c>
      <c r="K255" s="52">
        <f>IFERROR(ROUND(INDEX('M03-S06'!$AU$16:$AU$198,2*(ROWS($K$215:K255)-1)+1),2),0)</f>
        <v>0</v>
      </c>
      <c r="M255" s="456">
        <f>INDEX('M03-S06'!$V$16:$V$198,2*(ROWS($M$215:M255)-1)+1)</f>
        <v>0</v>
      </c>
      <c r="N255" s="113"/>
      <c r="O255" s="459"/>
      <c r="P255" s="184" t="str">
        <f>IFERROR(IF(ISNUMBER(INDEX('M03-S06'!$AN$16:$AN$198,2*(ROWS($R$215:R255)-1)+1)),INDEX('M03-S06'!$AK$16:$AK$198,2*(ROWS($P$215:P255)-1)+1),""),"")</f>
        <v/>
      </c>
      <c r="Q255" s="184"/>
      <c r="R255" s="184">
        <f>IF(ISNUMBER(INDEX('M03-S06'!$AN$16:$AN$198,2*(ROWS($R$215:R255)-1)+1)),INDEX('M03-S06'!$AN$16:$AN$198,2*(ROWS($R$215:R255)-1)+1),0)</f>
        <v>0</v>
      </c>
      <c r="S255" s="459"/>
      <c r="T255" s="113"/>
      <c r="U255" s="140"/>
      <c r="V255" s="113"/>
      <c r="W255" s="96">
        <f>IFERROR(IF(NOT(ISNUMBER(INDEX('M03-S06'!$AN$16:$AN$198,2*(ROWS($R$215:R255)-1)+1))),INDEX('M03-S06'!$BC$16:$BC$198,2*(ROWS($R$215:R255)-1)+1),""),"")</f>
        <v>0</v>
      </c>
      <c r="X255" s="113"/>
      <c r="Y255" s="113"/>
      <c r="Z255" s="111">
        <f>INDEX('M03-S06'!$B$16:$B$196,2*(ROWS($Z$215:Z255)-1)+1)</f>
        <v>41</v>
      </c>
      <c r="AA255" s="111" t="str">
        <f>INDEX('M03-S06'!$N$16:$N$198,2*(ROWS($Z$215:AA255)-1)+1)</f>
        <v/>
      </c>
      <c r="AB255" s="111">
        <f>INDEX('M03-S06'!$C$16:$C$198,2*(ROWS($Z$215:AB255)-1)+1)</f>
        <v>0</v>
      </c>
      <c r="AC255" s="96"/>
      <c r="AD255">
        <f>INDEX('M03-S06'!$X$16:$X$198,2*(ROWS($AD$215:AD255)-1)+1)</f>
        <v>0</v>
      </c>
      <c r="AE255" s="459"/>
      <c r="AF255" s="459"/>
      <c r="AG255" s="112"/>
      <c r="AH255" s="112"/>
      <c r="AI255" s="112"/>
      <c r="AJ255" s="112"/>
      <c r="AK255" s="113"/>
      <c r="AL255" s="113"/>
      <c r="AM255" s="113"/>
      <c r="AN255" s="113"/>
      <c r="AO255" s="52" t="str">
        <f>IFERROR(INDEX(PMGHVAC[Program Design],MATCH(AB255,PMGHVAC[Eff Desc 1])),"")</f>
        <v/>
      </c>
      <c r="AU255"/>
    </row>
    <row r="256" spans="1:47">
      <c r="A256" s="57">
        <f t="shared" si="17"/>
        <v>0</v>
      </c>
      <c r="B256" s="183" t="str">
        <f t="shared" si="24"/>
        <v/>
      </c>
      <c r="C256" t="str">
        <f>IFERROR(IF(R256&gt;0,INDEX(PMGHVAC[Measure '#],MATCH(AB256,PMGHVAC[Eff Desc 1],0)),""),"")</f>
        <v/>
      </c>
      <c r="D256" t="s">
        <v>947</v>
      </c>
      <c r="F256" s="112"/>
      <c r="G256" s="186">
        <f>INDEX('M03-S06'!$AB$16:$AB$196,2*(ROWS($G$215:G256)-1)+1)</f>
        <v>0</v>
      </c>
      <c r="H256" s="186" t="str">
        <f>IF(ISNUMBER(INDEX('M03-S06'!$AN$16:$AN$198,2*(ROWS($R$215:R256)-1)+1)),"Total","")</f>
        <v/>
      </c>
      <c r="I256" s="184">
        <f>IFERROR(ROUND(INDEX('M03-S06'!$AE$16:$AE$198,2*(ROWS($I$215:I256)-1)+1),2),0)</f>
        <v>0</v>
      </c>
      <c r="J256" s="184">
        <f>IFERROR(ROUND(INDEX('M03-S06'!$AG$16:$AG$198,2*(ROWS($J$215:J256)-1)+1),2),0)</f>
        <v>0</v>
      </c>
      <c r="K256" s="52">
        <f>IFERROR(ROUND(INDEX('M03-S06'!$AU$16:$AU$198,2*(ROWS($K$215:K256)-1)+1),2),0)</f>
        <v>0</v>
      </c>
      <c r="M256" s="456">
        <f>INDEX('M03-S06'!$V$16:$V$198,2*(ROWS($M$215:M256)-1)+1)</f>
        <v>0</v>
      </c>
      <c r="N256" s="113"/>
      <c r="O256" s="459"/>
      <c r="P256" s="184" t="str">
        <f>IFERROR(IF(ISNUMBER(INDEX('M03-S06'!$AN$16:$AN$198,2*(ROWS($R$215:R256)-1)+1)),INDEX('M03-S06'!$AK$16:$AK$198,2*(ROWS($P$215:P256)-1)+1),""),"")</f>
        <v/>
      </c>
      <c r="Q256" s="184"/>
      <c r="R256" s="184">
        <f>IF(ISNUMBER(INDEX('M03-S06'!$AN$16:$AN$198,2*(ROWS($R$215:R256)-1)+1)),INDEX('M03-S06'!$AN$16:$AN$198,2*(ROWS($R$215:R256)-1)+1),0)</f>
        <v>0</v>
      </c>
      <c r="S256" s="459"/>
      <c r="T256" s="113"/>
      <c r="U256" s="140"/>
      <c r="V256" s="113"/>
      <c r="W256" s="96">
        <f>IFERROR(IF(NOT(ISNUMBER(INDEX('M03-S06'!$AN$16:$AN$198,2*(ROWS($R$215:R256)-1)+1))),INDEX('M03-S06'!$BC$16:$BC$198,2*(ROWS($R$215:R256)-1)+1),""),"")</f>
        <v>0</v>
      </c>
      <c r="X256" s="113"/>
      <c r="Y256" s="113"/>
      <c r="Z256" s="111">
        <f>INDEX('M03-S06'!$B$16:$B$196,2*(ROWS($Z$215:Z256)-1)+1)</f>
        <v>42</v>
      </c>
      <c r="AA256" s="111" t="str">
        <f>INDEX('M03-S06'!$N$16:$N$198,2*(ROWS($Z$215:AA256)-1)+1)</f>
        <v/>
      </c>
      <c r="AB256" s="111">
        <f>INDEX('M03-S06'!$C$16:$C$198,2*(ROWS($Z$215:AB256)-1)+1)</f>
        <v>0</v>
      </c>
      <c r="AC256" s="96"/>
      <c r="AD256">
        <f>INDEX('M03-S06'!$X$16:$X$198,2*(ROWS($AD$215:AD256)-1)+1)</f>
        <v>0</v>
      </c>
      <c r="AE256" s="459"/>
      <c r="AF256" s="459"/>
      <c r="AG256" s="112"/>
      <c r="AH256" s="112"/>
      <c r="AI256" s="112"/>
      <c r="AJ256" s="112"/>
      <c r="AK256" s="113"/>
      <c r="AL256" s="113"/>
      <c r="AM256" s="113"/>
      <c r="AN256" s="113"/>
      <c r="AO256" s="52" t="str">
        <f>IFERROR(INDEX(PMGHVAC[Program Design],MATCH(AB256,PMGHVAC[Eff Desc 1])),"")</f>
        <v/>
      </c>
      <c r="AU256"/>
    </row>
    <row r="257" spans="1:47">
      <c r="A257" s="57">
        <f t="shared" si="17"/>
        <v>0</v>
      </c>
      <c r="B257" s="183" t="str">
        <f t="shared" si="24"/>
        <v/>
      </c>
      <c r="C257" t="str">
        <f>IFERROR(IF(R257&gt;0,INDEX(PMGHVAC[Measure '#],MATCH(AB257,PMGHVAC[Eff Desc 1],0)),""),"")</f>
        <v/>
      </c>
      <c r="D257" t="s">
        <v>947</v>
      </c>
      <c r="F257" s="112"/>
      <c r="G257" s="186">
        <f>INDEX('M03-S06'!$AB$16:$AB$196,2*(ROWS($G$215:G257)-1)+1)</f>
        <v>0</v>
      </c>
      <c r="H257" s="186" t="str">
        <f>IF(ISNUMBER(INDEX('M03-S06'!$AN$16:$AN$198,2*(ROWS($R$215:R257)-1)+1)),"Total","")</f>
        <v/>
      </c>
      <c r="I257" s="184">
        <f>IFERROR(ROUND(INDEX('M03-S06'!$AE$16:$AE$198,2*(ROWS($I$215:I257)-1)+1),2),0)</f>
        <v>0</v>
      </c>
      <c r="J257" s="184">
        <f>IFERROR(ROUND(INDEX('M03-S06'!$AG$16:$AG$198,2*(ROWS($J$215:J257)-1)+1),2),0)</f>
        <v>0</v>
      </c>
      <c r="K257" s="52">
        <f>IFERROR(ROUND(INDEX('M03-S06'!$AU$16:$AU$198,2*(ROWS($K$215:K257)-1)+1),2),0)</f>
        <v>0</v>
      </c>
      <c r="M257" s="456">
        <f>INDEX('M03-S06'!$V$16:$V$198,2*(ROWS($M$215:M257)-1)+1)</f>
        <v>0</v>
      </c>
      <c r="N257" s="113"/>
      <c r="O257" s="459"/>
      <c r="P257" s="184" t="str">
        <f>IFERROR(IF(ISNUMBER(INDEX('M03-S06'!$AN$16:$AN$198,2*(ROWS($R$215:R257)-1)+1)),INDEX('M03-S06'!$AK$16:$AK$198,2*(ROWS($P$215:P257)-1)+1),""),"")</f>
        <v/>
      </c>
      <c r="Q257" s="184"/>
      <c r="R257" s="184">
        <f>IF(ISNUMBER(INDEX('M03-S06'!$AN$16:$AN$198,2*(ROWS($R$215:R257)-1)+1)),INDEX('M03-S06'!$AN$16:$AN$198,2*(ROWS($R$215:R257)-1)+1),0)</f>
        <v>0</v>
      </c>
      <c r="S257" s="459"/>
      <c r="T257" s="113"/>
      <c r="U257" s="140"/>
      <c r="V257" s="113"/>
      <c r="W257" s="96">
        <f>IFERROR(IF(NOT(ISNUMBER(INDEX('M03-S06'!$AN$16:$AN$198,2*(ROWS($R$215:R257)-1)+1))),INDEX('M03-S06'!$BC$16:$BC$198,2*(ROWS($R$215:R257)-1)+1),""),"")</f>
        <v>0</v>
      </c>
      <c r="X257" s="113"/>
      <c r="Y257" s="113"/>
      <c r="Z257" s="111">
        <f>INDEX('M03-S06'!$B$16:$B$196,2*(ROWS($Z$215:Z257)-1)+1)</f>
        <v>43</v>
      </c>
      <c r="AA257" s="111" t="str">
        <f>INDEX('M03-S06'!$N$16:$N$198,2*(ROWS($Z$215:AA257)-1)+1)</f>
        <v/>
      </c>
      <c r="AB257" s="111">
        <f>INDEX('M03-S06'!$C$16:$C$198,2*(ROWS($Z$215:AB257)-1)+1)</f>
        <v>0</v>
      </c>
      <c r="AC257" s="96"/>
      <c r="AD257">
        <f>INDEX('M03-S06'!$X$16:$X$198,2*(ROWS($AD$215:AD257)-1)+1)</f>
        <v>0</v>
      </c>
      <c r="AE257" s="459"/>
      <c r="AF257" s="459"/>
      <c r="AG257" s="112"/>
      <c r="AH257" s="112"/>
      <c r="AI257" s="112"/>
      <c r="AJ257" s="112"/>
      <c r="AK257" s="113"/>
      <c r="AL257" s="113"/>
      <c r="AM257" s="113"/>
      <c r="AN257" s="113"/>
      <c r="AO257" s="52" t="str">
        <f>IFERROR(INDEX(PMGHVAC[Program Design],MATCH(AB257,PMGHVAC[Eff Desc 1])),"")</f>
        <v/>
      </c>
      <c r="AU257"/>
    </row>
    <row r="258" spans="1:47">
      <c r="A258" s="57">
        <f t="shared" si="17"/>
        <v>0</v>
      </c>
      <c r="B258" s="183" t="str">
        <f t="shared" si="24"/>
        <v/>
      </c>
      <c r="C258" t="str">
        <f>IFERROR(IF(R258&gt;0,INDEX(PMGHVAC[Measure '#],MATCH(AB258,PMGHVAC[Eff Desc 1],0)),""),"")</f>
        <v/>
      </c>
      <c r="D258" t="s">
        <v>947</v>
      </c>
      <c r="F258" s="112"/>
      <c r="G258" s="186">
        <f>INDEX('M03-S06'!$AB$16:$AB$196,2*(ROWS($G$215:G258)-1)+1)</f>
        <v>0</v>
      </c>
      <c r="H258" s="186" t="str">
        <f>IF(ISNUMBER(INDEX('M03-S06'!$AN$16:$AN$198,2*(ROWS($R$215:R258)-1)+1)),"Total","")</f>
        <v/>
      </c>
      <c r="I258" s="184">
        <f>IFERROR(ROUND(INDEX('M03-S06'!$AE$16:$AE$198,2*(ROWS($I$215:I258)-1)+1),2),0)</f>
        <v>0</v>
      </c>
      <c r="J258" s="184">
        <f>IFERROR(ROUND(INDEX('M03-S06'!$AG$16:$AG$198,2*(ROWS($J$215:J258)-1)+1),2),0)</f>
        <v>0</v>
      </c>
      <c r="K258" s="52">
        <f>IFERROR(ROUND(INDEX('M03-S06'!$AU$16:$AU$198,2*(ROWS($K$215:K258)-1)+1),2),0)</f>
        <v>0</v>
      </c>
      <c r="M258" s="456">
        <f>INDEX('M03-S06'!$V$16:$V$198,2*(ROWS($M$215:M258)-1)+1)</f>
        <v>0</v>
      </c>
      <c r="N258" s="113"/>
      <c r="O258" s="459"/>
      <c r="P258" s="184" t="str">
        <f>IFERROR(IF(ISNUMBER(INDEX('M03-S06'!$AN$16:$AN$198,2*(ROWS($R$215:R258)-1)+1)),INDEX('M03-S06'!$AK$16:$AK$198,2*(ROWS($P$215:P258)-1)+1),""),"")</f>
        <v/>
      </c>
      <c r="Q258" s="184"/>
      <c r="R258" s="184">
        <f>IF(ISNUMBER(INDEX('M03-S06'!$AN$16:$AN$198,2*(ROWS($R$215:R258)-1)+1)),INDEX('M03-S06'!$AN$16:$AN$198,2*(ROWS($R$215:R258)-1)+1),0)</f>
        <v>0</v>
      </c>
      <c r="S258" s="459"/>
      <c r="T258" s="113"/>
      <c r="U258" s="140"/>
      <c r="V258" s="113"/>
      <c r="W258" s="96">
        <f>IFERROR(IF(NOT(ISNUMBER(INDEX('M03-S06'!$AN$16:$AN$198,2*(ROWS($R$215:R258)-1)+1))),INDEX('M03-S06'!$BC$16:$BC$198,2*(ROWS($R$215:R258)-1)+1),""),"")</f>
        <v>0</v>
      </c>
      <c r="X258" s="113"/>
      <c r="Y258" s="113"/>
      <c r="Z258" s="111">
        <f>INDEX('M03-S06'!$B$16:$B$196,2*(ROWS($Z$215:Z258)-1)+1)</f>
        <v>44</v>
      </c>
      <c r="AA258" s="111" t="str">
        <f>INDEX('M03-S06'!$N$16:$N$198,2*(ROWS($Z$215:AA258)-1)+1)</f>
        <v/>
      </c>
      <c r="AB258" s="111">
        <f>INDEX('M03-S06'!$C$16:$C$198,2*(ROWS($Z$215:AB258)-1)+1)</f>
        <v>0</v>
      </c>
      <c r="AC258" s="96"/>
      <c r="AD258">
        <f>INDEX('M03-S06'!$X$16:$X$198,2*(ROWS($AD$215:AD258)-1)+1)</f>
        <v>0</v>
      </c>
      <c r="AE258" s="459"/>
      <c r="AF258" s="459"/>
      <c r="AG258" s="112"/>
      <c r="AH258" s="112"/>
      <c r="AI258" s="112"/>
      <c r="AJ258" s="112"/>
      <c r="AK258" s="113"/>
      <c r="AL258" s="113"/>
      <c r="AM258" s="113"/>
      <c r="AN258" s="113"/>
      <c r="AO258" s="52" t="str">
        <f>IFERROR(INDEX(PMGHVAC[Program Design],MATCH(AB258,PMGHVAC[Eff Desc 1])),"")</f>
        <v/>
      </c>
      <c r="AU258"/>
    </row>
    <row r="259" spans="1:47">
      <c r="A259" s="57">
        <f t="shared" si="17"/>
        <v>0</v>
      </c>
      <c r="B259" s="183" t="str">
        <f t="shared" si="24"/>
        <v/>
      </c>
      <c r="C259" t="str">
        <f>IFERROR(IF(R259&gt;0,INDEX(PMGHVAC[Measure '#],MATCH(AB259,PMGHVAC[Eff Desc 1],0)),""),"")</f>
        <v/>
      </c>
      <c r="D259" t="s">
        <v>947</v>
      </c>
      <c r="F259" s="112"/>
      <c r="G259" s="186">
        <f>INDEX('M03-S06'!$AB$16:$AB$196,2*(ROWS($G$215:G259)-1)+1)</f>
        <v>0</v>
      </c>
      <c r="H259" s="186" t="str">
        <f>IF(ISNUMBER(INDEX('M03-S06'!$AN$16:$AN$198,2*(ROWS($R$215:R259)-1)+1)),"Total","")</f>
        <v/>
      </c>
      <c r="I259" s="184">
        <f>IFERROR(ROUND(INDEX('M03-S06'!$AE$16:$AE$198,2*(ROWS($I$215:I259)-1)+1),2),0)</f>
        <v>0</v>
      </c>
      <c r="J259" s="184">
        <f>IFERROR(ROUND(INDEX('M03-S06'!$AG$16:$AG$198,2*(ROWS($J$215:J259)-1)+1),2),0)</f>
        <v>0</v>
      </c>
      <c r="K259" s="52">
        <f>IFERROR(ROUND(INDEX('M03-S06'!$AU$16:$AU$198,2*(ROWS($K$215:K259)-1)+1),2),0)</f>
        <v>0</v>
      </c>
      <c r="M259" s="456">
        <f>INDEX('M03-S06'!$V$16:$V$198,2*(ROWS($M$215:M259)-1)+1)</f>
        <v>0</v>
      </c>
      <c r="N259" s="113"/>
      <c r="O259" s="459"/>
      <c r="P259" s="184" t="str">
        <f>IFERROR(IF(ISNUMBER(INDEX('M03-S06'!$AN$16:$AN$198,2*(ROWS($R$215:R259)-1)+1)),INDEX('M03-S06'!$AK$16:$AK$198,2*(ROWS($P$215:P259)-1)+1),""),"")</f>
        <v/>
      </c>
      <c r="Q259" s="184"/>
      <c r="R259" s="184">
        <f>IF(ISNUMBER(INDEX('M03-S06'!$AN$16:$AN$198,2*(ROWS($R$215:R259)-1)+1)),INDEX('M03-S06'!$AN$16:$AN$198,2*(ROWS($R$215:R259)-1)+1),0)</f>
        <v>0</v>
      </c>
      <c r="S259" s="459"/>
      <c r="T259" s="113"/>
      <c r="U259" s="140"/>
      <c r="V259" s="113"/>
      <c r="W259" s="96">
        <f>IFERROR(IF(NOT(ISNUMBER(INDEX('M03-S06'!$AN$16:$AN$198,2*(ROWS($R$215:R259)-1)+1))),INDEX('M03-S06'!$BC$16:$BC$198,2*(ROWS($R$215:R259)-1)+1),""),"")</f>
        <v>0</v>
      </c>
      <c r="X259" s="113"/>
      <c r="Y259" s="113"/>
      <c r="Z259" s="111">
        <f>INDEX('M03-S06'!$B$16:$B$196,2*(ROWS($Z$215:Z259)-1)+1)</f>
        <v>45</v>
      </c>
      <c r="AA259" s="111" t="str">
        <f>INDEX('M03-S06'!$N$16:$N$198,2*(ROWS($Z$215:AA259)-1)+1)</f>
        <v/>
      </c>
      <c r="AB259" s="111">
        <f>INDEX('M03-S06'!$C$16:$C$198,2*(ROWS($Z$215:AB259)-1)+1)</f>
        <v>0</v>
      </c>
      <c r="AC259" s="96"/>
      <c r="AD259">
        <f>INDEX('M03-S06'!$X$16:$X$198,2*(ROWS($AD$215:AD259)-1)+1)</f>
        <v>0</v>
      </c>
      <c r="AE259" s="459"/>
      <c r="AF259" s="459"/>
      <c r="AG259" s="112"/>
      <c r="AH259" s="112"/>
      <c r="AI259" s="112"/>
      <c r="AJ259" s="112"/>
      <c r="AK259" s="113"/>
      <c r="AL259" s="113"/>
      <c r="AM259" s="113"/>
      <c r="AN259" s="113"/>
      <c r="AO259" s="52" t="str">
        <f>IFERROR(INDEX(PMGHVAC[Program Design],MATCH(AB259,PMGHVAC[Eff Desc 1])),"")</f>
        <v/>
      </c>
      <c r="AU259"/>
    </row>
    <row r="260" spans="1:47">
      <c r="A260" s="57">
        <f t="shared" si="17"/>
        <v>0</v>
      </c>
      <c r="B260" s="183" t="str">
        <f t="shared" si="24"/>
        <v/>
      </c>
      <c r="C260" t="str">
        <f>IFERROR(IF(R260&gt;0,INDEX(PMGHVAC[Measure '#],MATCH(AB260,PMGHVAC[Eff Desc 1],0)),""),"")</f>
        <v/>
      </c>
      <c r="D260" t="s">
        <v>947</v>
      </c>
      <c r="F260" s="112"/>
      <c r="G260" s="186">
        <f>INDEX('M03-S06'!$AB$16:$AB$196,2*(ROWS($G$215:G260)-1)+1)</f>
        <v>0</v>
      </c>
      <c r="H260" s="186" t="str">
        <f>IF(ISNUMBER(INDEX('M03-S06'!$AN$16:$AN$198,2*(ROWS($R$215:R260)-1)+1)),"Total","")</f>
        <v/>
      </c>
      <c r="I260" s="184">
        <f>IFERROR(ROUND(INDEX('M03-S06'!$AE$16:$AE$198,2*(ROWS($I$215:I260)-1)+1),2),0)</f>
        <v>0</v>
      </c>
      <c r="J260" s="184">
        <f>IFERROR(ROUND(INDEX('M03-S06'!$AG$16:$AG$198,2*(ROWS($J$215:J260)-1)+1),2),0)</f>
        <v>0</v>
      </c>
      <c r="K260" s="52">
        <f>IFERROR(ROUND(INDEX('M03-S06'!$AU$16:$AU$198,2*(ROWS($K$215:K260)-1)+1),2),0)</f>
        <v>0</v>
      </c>
      <c r="M260" s="456">
        <f>INDEX('M03-S06'!$V$16:$V$198,2*(ROWS($M$215:M260)-1)+1)</f>
        <v>0</v>
      </c>
      <c r="N260" s="113"/>
      <c r="O260" s="459"/>
      <c r="P260" s="184" t="str">
        <f>IFERROR(IF(ISNUMBER(INDEX('M03-S06'!$AN$16:$AN$198,2*(ROWS($R$215:R260)-1)+1)),INDEX('M03-S06'!$AK$16:$AK$198,2*(ROWS($P$215:P260)-1)+1),""),"")</f>
        <v/>
      </c>
      <c r="Q260" s="184"/>
      <c r="R260" s="184">
        <f>IF(ISNUMBER(INDEX('M03-S06'!$AN$16:$AN$198,2*(ROWS($R$215:R260)-1)+1)),INDEX('M03-S06'!$AN$16:$AN$198,2*(ROWS($R$215:R260)-1)+1),0)</f>
        <v>0</v>
      </c>
      <c r="S260" s="459"/>
      <c r="T260" s="113"/>
      <c r="U260" s="140"/>
      <c r="V260" s="113"/>
      <c r="W260" s="96">
        <f>IFERROR(IF(NOT(ISNUMBER(INDEX('M03-S06'!$AN$16:$AN$198,2*(ROWS($R$215:R260)-1)+1))),INDEX('M03-S06'!$BC$16:$BC$198,2*(ROWS($R$215:R260)-1)+1),""),"")</f>
        <v>0</v>
      </c>
      <c r="X260" s="113"/>
      <c r="Y260" s="113"/>
      <c r="Z260" s="111">
        <f>INDEX('M03-S06'!$B$16:$B$196,2*(ROWS($Z$215:Z260)-1)+1)</f>
        <v>46</v>
      </c>
      <c r="AA260" s="111" t="str">
        <f>INDEX('M03-S06'!$N$16:$N$198,2*(ROWS($Z$215:AA260)-1)+1)</f>
        <v/>
      </c>
      <c r="AB260" s="111">
        <f>INDEX('M03-S06'!$C$16:$C$198,2*(ROWS($Z$215:AB260)-1)+1)</f>
        <v>0</v>
      </c>
      <c r="AC260" s="96"/>
      <c r="AD260">
        <f>INDEX('M03-S06'!$X$16:$X$198,2*(ROWS($AD$215:AD260)-1)+1)</f>
        <v>0</v>
      </c>
      <c r="AE260" s="459"/>
      <c r="AF260" s="459"/>
      <c r="AG260" s="112"/>
      <c r="AH260" s="112"/>
      <c r="AI260" s="112"/>
      <c r="AJ260" s="112"/>
      <c r="AK260" s="113"/>
      <c r="AL260" s="113"/>
      <c r="AM260" s="113"/>
      <c r="AN260" s="113"/>
      <c r="AO260" s="52" t="str">
        <f>IFERROR(INDEX(PMGHVAC[Program Design],MATCH(AB260,PMGHVAC[Eff Desc 1])),"")</f>
        <v/>
      </c>
      <c r="AU260"/>
    </row>
    <row r="261" spans="1:47">
      <c r="A261" s="57">
        <f t="shared" si="17"/>
        <v>0</v>
      </c>
      <c r="B261" s="183" t="str">
        <f t="shared" si="24"/>
        <v/>
      </c>
      <c r="C261" t="str">
        <f>IFERROR(IF(R261&gt;0,INDEX(PMGHVAC[Measure '#],MATCH(AB261,PMGHVAC[Eff Desc 1],0)),""),"")</f>
        <v/>
      </c>
      <c r="D261" t="s">
        <v>947</v>
      </c>
      <c r="F261" s="112"/>
      <c r="G261" s="186">
        <f>INDEX('M03-S06'!$AB$16:$AB$196,2*(ROWS($G$215:G261)-1)+1)</f>
        <v>0</v>
      </c>
      <c r="H261" s="186" t="str">
        <f>IF(ISNUMBER(INDEX('M03-S06'!$AN$16:$AN$198,2*(ROWS($R$215:R261)-1)+1)),"Total","")</f>
        <v/>
      </c>
      <c r="I261" s="184">
        <f>IFERROR(ROUND(INDEX('M03-S06'!$AE$16:$AE$198,2*(ROWS($I$215:I261)-1)+1),2),0)</f>
        <v>0</v>
      </c>
      <c r="J261" s="184">
        <f>IFERROR(ROUND(INDEX('M03-S06'!$AG$16:$AG$198,2*(ROWS($J$215:J261)-1)+1),2),0)</f>
        <v>0</v>
      </c>
      <c r="K261" s="52">
        <f>IFERROR(ROUND(INDEX('M03-S06'!$AU$16:$AU$198,2*(ROWS($K$215:K261)-1)+1),2),0)</f>
        <v>0</v>
      </c>
      <c r="M261" s="456">
        <f>INDEX('M03-S06'!$V$16:$V$198,2*(ROWS($M$215:M261)-1)+1)</f>
        <v>0</v>
      </c>
      <c r="N261" s="113"/>
      <c r="O261" s="459"/>
      <c r="P261" s="184" t="str">
        <f>IFERROR(IF(ISNUMBER(INDEX('M03-S06'!$AN$16:$AN$198,2*(ROWS($R$215:R261)-1)+1)),INDEX('M03-S06'!$AK$16:$AK$198,2*(ROWS($P$215:P261)-1)+1),""),"")</f>
        <v/>
      </c>
      <c r="Q261" s="184"/>
      <c r="R261" s="184">
        <f>IF(ISNUMBER(INDEX('M03-S06'!$AN$16:$AN$198,2*(ROWS($R$215:R261)-1)+1)),INDEX('M03-S06'!$AN$16:$AN$198,2*(ROWS($R$215:R261)-1)+1),0)</f>
        <v>0</v>
      </c>
      <c r="S261" s="459"/>
      <c r="T261" s="113"/>
      <c r="U261" s="140"/>
      <c r="V261" s="113"/>
      <c r="W261" s="96">
        <f>IFERROR(IF(NOT(ISNUMBER(INDEX('M03-S06'!$AN$16:$AN$198,2*(ROWS($R$215:R261)-1)+1))),INDEX('M03-S06'!$BC$16:$BC$198,2*(ROWS($R$215:R261)-1)+1),""),"")</f>
        <v>0</v>
      </c>
      <c r="X261" s="113"/>
      <c r="Y261" s="113"/>
      <c r="Z261" s="111">
        <f>INDEX('M03-S06'!$B$16:$B$196,2*(ROWS($Z$215:Z261)-1)+1)</f>
        <v>47</v>
      </c>
      <c r="AA261" s="111" t="str">
        <f>INDEX('M03-S06'!$N$16:$N$198,2*(ROWS($Z$215:AA261)-1)+1)</f>
        <v/>
      </c>
      <c r="AB261" s="111">
        <f>INDEX('M03-S06'!$C$16:$C$198,2*(ROWS($Z$215:AB261)-1)+1)</f>
        <v>0</v>
      </c>
      <c r="AC261" s="96"/>
      <c r="AD261">
        <f>INDEX('M03-S06'!$X$16:$X$198,2*(ROWS($AD$215:AD261)-1)+1)</f>
        <v>0</v>
      </c>
      <c r="AE261" s="459"/>
      <c r="AF261" s="459"/>
      <c r="AG261" s="112"/>
      <c r="AH261" s="112"/>
      <c r="AI261" s="112"/>
      <c r="AJ261" s="112"/>
      <c r="AK261" s="113"/>
      <c r="AL261" s="113"/>
      <c r="AM261" s="113"/>
      <c r="AN261" s="113"/>
      <c r="AO261" s="52" t="str">
        <f>IFERROR(INDEX(PMGHVAC[Program Design],MATCH(AB261,PMGHVAC[Eff Desc 1])),"")</f>
        <v/>
      </c>
      <c r="AU261"/>
    </row>
    <row r="262" spans="1:47">
      <c r="A262" s="57">
        <f t="shared" si="17"/>
        <v>0</v>
      </c>
      <c r="B262" s="183" t="str">
        <f t="shared" si="24"/>
        <v/>
      </c>
      <c r="C262" t="str">
        <f>IFERROR(IF(R262&gt;0,INDEX(PMGHVAC[Measure '#],MATCH(AB262,PMGHVAC[Eff Desc 1],0)),""),"")</f>
        <v/>
      </c>
      <c r="D262" t="s">
        <v>947</v>
      </c>
      <c r="F262" s="112"/>
      <c r="G262" s="186">
        <f>INDEX('M03-S06'!$AB$16:$AB$196,2*(ROWS($G$215:G262)-1)+1)</f>
        <v>0</v>
      </c>
      <c r="H262" s="186" t="str">
        <f>IF(ISNUMBER(INDEX('M03-S06'!$AN$16:$AN$198,2*(ROWS($R$215:R262)-1)+1)),"Total","")</f>
        <v/>
      </c>
      <c r="I262" s="184">
        <f>IFERROR(ROUND(INDEX('M03-S06'!$AE$16:$AE$198,2*(ROWS($I$215:I262)-1)+1),2),0)</f>
        <v>0</v>
      </c>
      <c r="J262" s="184">
        <f>IFERROR(ROUND(INDEX('M03-S06'!$AG$16:$AG$198,2*(ROWS($J$215:J262)-1)+1),2),0)</f>
        <v>0</v>
      </c>
      <c r="K262" s="52">
        <f>IFERROR(ROUND(INDEX('M03-S06'!$AU$16:$AU$198,2*(ROWS($K$215:K262)-1)+1),2),0)</f>
        <v>0</v>
      </c>
      <c r="M262" s="456">
        <f>INDEX('M03-S06'!$V$16:$V$198,2*(ROWS($M$215:M262)-1)+1)</f>
        <v>0</v>
      </c>
      <c r="N262" s="113"/>
      <c r="O262" s="459"/>
      <c r="P262" s="184" t="str">
        <f>IFERROR(IF(ISNUMBER(INDEX('M03-S06'!$AN$16:$AN$198,2*(ROWS($R$215:R262)-1)+1)),INDEX('M03-S06'!$AK$16:$AK$198,2*(ROWS($P$215:P262)-1)+1),""),"")</f>
        <v/>
      </c>
      <c r="Q262" s="184"/>
      <c r="R262" s="184">
        <f>IF(ISNUMBER(INDEX('M03-S06'!$AN$16:$AN$198,2*(ROWS($R$215:R262)-1)+1)),INDEX('M03-S06'!$AN$16:$AN$198,2*(ROWS($R$215:R262)-1)+1),0)</f>
        <v>0</v>
      </c>
      <c r="S262" s="459"/>
      <c r="T262" s="113"/>
      <c r="U262" s="140"/>
      <c r="V262" s="113"/>
      <c r="W262" s="96">
        <f>IFERROR(IF(NOT(ISNUMBER(INDEX('M03-S06'!$AN$16:$AN$198,2*(ROWS($R$215:R262)-1)+1))),INDEX('M03-S06'!$BC$16:$BC$198,2*(ROWS($R$215:R262)-1)+1),""),"")</f>
        <v>0</v>
      </c>
      <c r="X262" s="113"/>
      <c r="Y262" s="113"/>
      <c r="Z262" s="111">
        <f>INDEX('M03-S06'!$B$16:$B$196,2*(ROWS($Z$215:Z262)-1)+1)</f>
        <v>48</v>
      </c>
      <c r="AA262" s="111" t="str">
        <f>INDEX('M03-S06'!$N$16:$N$198,2*(ROWS($Z$215:AA262)-1)+1)</f>
        <v/>
      </c>
      <c r="AB262" s="111">
        <f>INDEX('M03-S06'!$C$16:$C$198,2*(ROWS($Z$215:AB262)-1)+1)</f>
        <v>0</v>
      </c>
      <c r="AC262" s="96"/>
      <c r="AD262">
        <f>INDEX('M03-S06'!$X$16:$X$198,2*(ROWS($AD$215:AD262)-1)+1)</f>
        <v>0</v>
      </c>
      <c r="AE262" s="459"/>
      <c r="AF262" s="459"/>
      <c r="AG262" s="112"/>
      <c r="AH262" s="112"/>
      <c r="AI262" s="112"/>
      <c r="AJ262" s="112"/>
      <c r="AK262" s="113"/>
      <c r="AL262" s="113"/>
      <c r="AM262" s="113"/>
      <c r="AN262" s="113"/>
      <c r="AO262" s="52" t="str">
        <f>IFERROR(INDEX(PMGHVAC[Program Design],MATCH(AB262,PMGHVAC[Eff Desc 1])),"")</f>
        <v/>
      </c>
      <c r="AU262"/>
    </row>
    <row r="263" spans="1:47">
      <c r="A263" s="57">
        <f t="shared" si="17"/>
        <v>0</v>
      </c>
      <c r="B263" s="183" t="str">
        <f t="shared" si="24"/>
        <v/>
      </c>
      <c r="C263" t="str">
        <f>IFERROR(IF(R263&gt;0,INDEX(PMGHVAC[Measure '#],MATCH(AB263,PMGHVAC[Eff Desc 1],0)),""),"")</f>
        <v/>
      </c>
      <c r="D263" t="s">
        <v>947</v>
      </c>
      <c r="F263" s="112"/>
      <c r="G263" s="186">
        <f>INDEX('M03-S06'!$AB$16:$AB$196,2*(ROWS($G$215:G263)-1)+1)</f>
        <v>0</v>
      </c>
      <c r="H263" s="186" t="str">
        <f>IF(ISNUMBER(INDEX('M03-S06'!$AN$16:$AN$198,2*(ROWS($R$215:R263)-1)+1)),"Total","")</f>
        <v/>
      </c>
      <c r="I263" s="184">
        <f>IFERROR(ROUND(INDEX('M03-S06'!$AE$16:$AE$198,2*(ROWS($I$215:I263)-1)+1),2),0)</f>
        <v>0</v>
      </c>
      <c r="J263" s="184">
        <f>IFERROR(ROUND(INDEX('M03-S06'!$AG$16:$AG$198,2*(ROWS($J$215:J263)-1)+1),2),0)</f>
        <v>0</v>
      </c>
      <c r="K263" s="52">
        <f>IFERROR(ROUND(INDEX('M03-S06'!$AU$16:$AU$198,2*(ROWS($K$215:K263)-1)+1),2),0)</f>
        <v>0</v>
      </c>
      <c r="M263" s="456">
        <f>INDEX('M03-S06'!$V$16:$V$198,2*(ROWS($M$215:M263)-1)+1)</f>
        <v>0</v>
      </c>
      <c r="N263" s="113"/>
      <c r="O263" s="459"/>
      <c r="P263" s="184" t="str">
        <f>IFERROR(IF(ISNUMBER(INDEX('M03-S06'!$AN$16:$AN$198,2*(ROWS($R$215:R263)-1)+1)),INDEX('M03-S06'!$AK$16:$AK$198,2*(ROWS($P$215:P263)-1)+1),""),"")</f>
        <v/>
      </c>
      <c r="Q263" s="184"/>
      <c r="R263" s="184">
        <f>IF(ISNUMBER(INDEX('M03-S06'!$AN$16:$AN$198,2*(ROWS($R$215:R263)-1)+1)),INDEX('M03-S06'!$AN$16:$AN$198,2*(ROWS($R$215:R263)-1)+1),0)</f>
        <v>0</v>
      </c>
      <c r="S263" s="459"/>
      <c r="T263" s="113"/>
      <c r="U263" s="140"/>
      <c r="V263" s="113"/>
      <c r="W263" s="96">
        <f>IFERROR(IF(NOT(ISNUMBER(INDEX('M03-S06'!$AN$16:$AN$198,2*(ROWS($R$215:R263)-1)+1))),INDEX('M03-S06'!$BC$16:$BC$198,2*(ROWS($R$215:R263)-1)+1),""),"")</f>
        <v>0</v>
      </c>
      <c r="X263" s="113"/>
      <c r="Y263" s="113"/>
      <c r="Z263" s="111">
        <f>INDEX('M03-S06'!$B$16:$B$196,2*(ROWS($Z$215:Z263)-1)+1)</f>
        <v>49</v>
      </c>
      <c r="AA263" s="111" t="str">
        <f>INDEX('M03-S06'!$N$16:$N$198,2*(ROWS($Z$215:AA263)-1)+1)</f>
        <v/>
      </c>
      <c r="AB263" s="111">
        <f>INDEX('M03-S06'!$C$16:$C$198,2*(ROWS($Z$215:AB263)-1)+1)</f>
        <v>0</v>
      </c>
      <c r="AC263" s="96"/>
      <c r="AD263">
        <f>INDEX('M03-S06'!$X$16:$X$198,2*(ROWS($AD$215:AD263)-1)+1)</f>
        <v>0</v>
      </c>
      <c r="AE263" s="459"/>
      <c r="AF263" s="459"/>
      <c r="AG263" s="112"/>
      <c r="AH263" s="112"/>
      <c r="AI263" s="112"/>
      <c r="AJ263" s="112"/>
      <c r="AK263" s="113"/>
      <c r="AL263" s="113"/>
      <c r="AM263" s="113"/>
      <c r="AN263" s="113"/>
      <c r="AO263" s="52" t="str">
        <f>IFERROR(INDEX(PMGHVAC[Program Design],MATCH(AB263,PMGHVAC[Eff Desc 1])),"")</f>
        <v/>
      </c>
      <c r="AU263"/>
    </row>
    <row r="264" spans="1:47">
      <c r="A264" s="57">
        <f t="shared" si="17"/>
        <v>0</v>
      </c>
      <c r="B264" s="183" t="str">
        <f t="shared" ref="B264" si="26">IF(C264="","",CONCATENATE(ROW(),"-",C264))</f>
        <v/>
      </c>
      <c r="C264" t="str">
        <f>IFERROR(IF(R264&gt;0,INDEX(PMGHVAC[Measure '#],MATCH(AB264,PMGHVAC[Eff Desc 1],0)),""),"")</f>
        <v/>
      </c>
      <c r="D264" t="s">
        <v>947</v>
      </c>
      <c r="F264" s="112"/>
      <c r="G264" s="186">
        <f>INDEX('M03-S06'!$AB$16:$AB$196,2*(ROWS($G$215:G264)-1)+1)</f>
        <v>0</v>
      </c>
      <c r="H264" s="186" t="str">
        <f>IF(ISNUMBER(INDEX('M03-S06'!$AN$16:$AN$198,2*(ROWS($R$215:R264)-1)+1)),"Total","")</f>
        <v/>
      </c>
      <c r="I264" s="184">
        <f>IFERROR(ROUND(INDEX('M03-S06'!$AE$16:$AE$198,2*(ROWS($I$215:I264)-1)+1),2),0)</f>
        <v>0</v>
      </c>
      <c r="J264" s="184">
        <f>IFERROR(ROUND(INDEX('M03-S06'!$AG$16:$AG$198,2*(ROWS($J$215:J264)-1)+1),2),0)</f>
        <v>0</v>
      </c>
      <c r="K264" s="52">
        <f>IFERROR(ROUND(INDEX('M03-S06'!$AU$16:$AU$198,2*(ROWS($K$215:K264)-1)+1),2),0)</f>
        <v>0</v>
      </c>
      <c r="M264" s="456">
        <f>INDEX('M03-S06'!$V$16:$V$198,2*(ROWS($M$215:M264)-1)+1)</f>
        <v>0</v>
      </c>
      <c r="N264" s="113"/>
      <c r="O264" s="459"/>
      <c r="P264" s="184" t="str">
        <f>IFERROR(IF(ISNUMBER(INDEX('M03-S06'!$AN$16:$AN$198,2*(ROWS($R$215:R264)-1)+1)),INDEX('M03-S06'!$AK$16:$AK$198,2*(ROWS($P$215:P264)-1)+1),""),"")</f>
        <v/>
      </c>
      <c r="Q264" s="184"/>
      <c r="R264" s="184">
        <f>IF(ISNUMBER(INDEX('M03-S06'!$AN$16:$AN$198,2*(ROWS($R$215:R264)-1)+1)),INDEX('M03-S06'!$AN$16:$AN$198,2*(ROWS($R$215:R264)-1)+1),0)</f>
        <v>0</v>
      </c>
      <c r="S264" s="459"/>
      <c r="T264" s="113"/>
      <c r="U264" s="140"/>
      <c r="V264" s="113"/>
      <c r="W264" s="96">
        <f>IFERROR(IF(NOT(ISNUMBER(INDEX('M03-S06'!$AN$16:$AN$198,2*(ROWS($R$215:R264)-1)+1))),INDEX('M03-S06'!$BC$16:$BC$198,2*(ROWS($R$215:R264)-1)+1),""),"")</f>
        <v>0</v>
      </c>
      <c r="X264" s="113"/>
      <c r="Y264" s="113"/>
      <c r="Z264" s="111">
        <f>INDEX('M03-S06'!$B$16:$B$196,2*(ROWS($Z$215:Z264)-1)+1)</f>
        <v>50</v>
      </c>
      <c r="AA264" s="111" t="str">
        <f>INDEX('M03-S06'!$N$16:$N$198,2*(ROWS($Z$215:AA264)-1)+1)</f>
        <v/>
      </c>
      <c r="AB264" s="111">
        <f>INDEX('M03-S06'!$C$16:$C$198,2*(ROWS($Z$215:AB264)-1)+1)</f>
        <v>0</v>
      </c>
      <c r="AC264" s="96"/>
      <c r="AD264">
        <f>INDEX('M03-S06'!$X$16:$X$198,2*(ROWS($AD$215:AD264)-1)+1)</f>
        <v>0</v>
      </c>
      <c r="AE264" s="459"/>
      <c r="AF264" s="459"/>
      <c r="AG264" s="112"/>
      <c r="AH264" s="112"/>
      <c r="AI264" s="112"/>
      <c r="AJ264" s="112"/>
      <c r="AK264" s="113"/>
      <c r="AL264" s="113"/>
      <c r="AM264" s="113"/>
      <c r="AN264" s="113"/>
      <c r="AO264" s="52" t="str">
        <f>IFERROR(INDEX(PMGHVAC[Program Design],MATCH(AB264,PMGHVAC[Eff Desc 1])),"")</f>
        <v/>
      </c>
      <c r="AU264"/>
    </row>
    <row r="265" spans="1:47">
      <c r="A265" s="192" t="str">
        <f>CONCATENATE(MAIN3," ",M3S7)</f>
        <v>PRESCRIPTIVE MEASURES INPUT Water Heating / Others (Gas)</v>
      </c>
      <c r="B265" s="148"/>
      <c r="C265" s="148"/>
      <c r="D265" s="120"/>
      <c r="E265" s="120"/>
      <c r="F265" s="124"/>
      <c r="G265" s="120"/>
      <c r="H265" s="120"/>
      <c r="I265" s="125"/>
      <c r="J265" s="125"/>
      <c r="K265" s="125"/>
      <c r="L265" s="125"/>
      <c r="M265" s="457"/>
      <c r="N265" s="125"/>
      <c r="O265" s="457"/>
      <c r="P265" s="125"/>
      <c r="Q265" s="125"/>
      <c r="R265" s="125"/>
      <c r="S265" s="460"/>
      <c r="T265" s="127"/>
      <c r="U265" s="141"/>
      <c r="V265" s="127"/>
      <c r="W265" s="126"/>
      <c r="X265" s="127"/>
      <c r="Y265" s="127"/>
      <c r="Z265" s="124"/>
      <c r="AA265" s="124"/>
      <c r="AB265" s="124"/>
      <c r="AC265" s="126"/>
      <c r="AD265" s="120"/>
      <c r="AE265" s="457"/>
      <c r="AF265" s="457"/>
      <c r="AG265" s="128"/>
      <c r="AH265" s="128"/>
      <c r="AI265" s="128"/>
      <c r="AJ265" s="128"/>
      <c r="AK265" s="127"/>
      <c r="AL265" s="127"/>
      <c r="AM265" s="127"/>
      <c r="AN265" s="127"/>
      <c r="AO265" s="127"/>
      <c r="AU265"/>
    </row>
    <row r="266" spans="1:47">
      <c r="A266" s="57">
        <f t="shared" si="17"/>
        <v>0</v>
      </c>
      <c r="B266" s="183" t="str">
        <f t="shared" si="24"/>
        <v/>
      </c>
      <c r="C266" t="str">
        <f>IFERROR(IF(R266&gt;0,INDEX(PMGWATER[Measure '#],MATCH(AB266,PMGWATER[Eff Desc 1],0)),""),"")</f>
        <v/>
      </c>
      <c r="D266" t="s">
        <v>947</v>
      </c>
      <c r="F266" s="112"/>
      <c r="G266" s="186">
        <f>INDEX('M03-S07'!$AB$16:$AB$196,2*(ROWS($G$266:G266)-1)+1)</f>
        <v>0</v>
      </c>
      <c r="H266" s="186" t="str">
        <f>IF(ISNUMBER(INDEX('M03-S07'!$AN$16:$AN$198,2*(ROWS($R$266:R266)-1)+1)),"Total","")</f>
        <v/>
      </c>
      <c r="I266" s="184">
        <f>IFERROR(ROUND(INDEX('M03-S07'!$V$16:$V$196,2*(ROWS($I$266:I266)-1)+1)*INDEX('M03-S07'!$AE$16:$AE$198,2*(ROWS($I$266:I266)-1)+1),2),0)</f>
        <v>0</v>
      </c>
      <c r="J266" s="184">
        <f>IFERROR(ROUND(INDEX('M03-S07'!$V$16:$V$196,2*(ROWS($J$266:J266)-1)+1)*INDEX('M03-S07'!$AG$16:$AG$198,2*(ROWS($J$266:J266)-1)+1),2),0)</f>
        <v>0</v>
      </c>
      <c r="K266" s="52">
        <f>IFERROR(ROUND(INDEX('M03-S07'!$AU$16:$AU$196,2*(ROWS($K$266:K266)-1)+1),2),0)</f>
        <v>0</v>
      </c>
      <c r="M266" s="456">
        <f>INDEX('M03-S07'!$V$16:$V$198,2*(ROWS($M$266:M266)-1)+1)</f>
        <v>0</v>
      </c>
      <c r="N266" s="113"/>
      <c r="O266" s="459"/>
      <c r="P266" s="184" t="str">
        <f>IFERROR(IF(ISNUMBER(INDEX('M03-S07'!$AN$16:$AN$198,2*(ROWS($R$266:R266)-1)+1)),INDEX('M03-S07'!$AK$16:$AK$198,2*(ROWS($P$266:P266)-1)+1),""),"")</f>
        <v/>
      </c>
      <c r="Q266" s="184"/>
      <c r="R266" s="184">
        <f>IF(ISNUMBER(INDEX('M03-S07'!$AN$16:$AN$198,2*(ROWS($R$266:R266)-1)+1)),INDEX('M03-S07'!$AN$16:$AN$198,2*(ROWS($R$266:R266)-1)+1),0)</f>
        <v>0</v>
      </c>
      <c r="S266" s="459"/>
      <c r="T266" s="113"/>
      <c r="U266" s="140"/>
      <c r="V266" s="113"/>
      <c r="W266" s="96">
        <f>IFERROR(IF(NOT(ISNUMBER(INDEX('M03-S07'!$AN$16:$AN$198,2*(ROWS($R$266:R266)-1)+1))),INDEX('M03-S07'!$BC$16:$BC$198,2*(ROWS($R$266:R266)-1)+1),""),"")</f>
        <v>0</v>
      </c>
      <c r="X266" s="113"/>
      <c r="Y266" s="113"/>
      <c r="Z266" s="111">
        <f>INDEX('M03-S07'!$B$16:$B$196,2*(ROWS($Z$266:Z266)-1)+1)</f>
        <v>1</v>
      </c>
      <c r="AA266" s="111" t="str">
        <f>INDEX('M03-S07'!$N$16:$N$198,2*(ROWS($Z$266:AA266)-1)+1)</f>
        <v/>
      </c>
      <c r="AB266" s="111">
        <f>INDEX('M03-S07'!$C$16:$C$198,2*(ROWS($Z$266:AB266)-1)+1)</f>
        <v>0</v>
      </c>
      <c r="AC266" s="96"/>
      <c r="AD266">
        <f>INDEX('M03-S07'!$X$16:$X$196,2*(ROWS($AD$266:AD266)-1)+1)</f>
        <v>0</v>
      </c>
      <c r="AE266" s="459"/>
      <c r="AF266" s="459"/>
      <c r="AG266" s="112"/>
      <c r="AH266" s="112"/>
      <c r="AI266" s="112"/>
      <c r="AJ266" s="112"/>
      <c r="AK266" s="113"/>
      <c r="AL266" s="113"/>
      <c r="AM266" s="113"/>
      <c r="AN266" s="113"/>
      <c r="AO266" s="52" t="str">
        <f>IFERROR(INDEX(PMGWATER[Program Design],MATCH(AB266,PMGWATER[Eff Desc 1],0)),"")</f>
        <v/>
      </c>
      <c r="AU266"/>
    </row>
    <row r="267" spans="1:47">
      <c r="A267" s="57">
        <f t="shared" si="17"/>
        <v>0</v>
      </c>
      <c r="B267" s="183" t="str">
        <f t="shared" si="24"/>
        <v/>
      </c>
      <c r="C267" t="str">
        <f>IFERROR(IF(R267&gt;0,INDEX(PMGWATER[Measure '#],MATCH(AB267,PMGWATER[Eff Desc 1],0)),""),"")</f>
        <v/>
      </c>
      <c r="D267" t="s">
        <v>947</v>
      </c>
      <c r="F267" s="112"/>
      <c r="G267" s="186">
        <f>INDEX('M03-S07'!$AB$16:$AB$196,2*(ROWS($G$266:G267)-1)+1)</f>
        <v>0</v>
      </c>
      <c r="H267" s="186" t="str">
        <f>IF(ISNUMBER(INDEX('M03-S07'!$AN$16:$AN$198,2*(ROWS($R$266:R267)-1)+1)),"Total","")</f>
        <v/>
      </c>
      <c r="I267" s="184">
        <f>IFERROR(ROUND(INDEX('M03-S07'!$V$16:$V$196,2*(ROWS($I$266:I267)-1)+1)*INDEX('M03-S07'!$AE$16:$AE$198,2*(ROWS($I$266:I267)-1)+1),2),0)</f>
        <v>0</v>
      </c>
      <c r="J267" s="184">
        <f>IFERROR(ROUND(INDEX('M03-S07'!$V$16:$V$196,2*(ROWS($J$266:J267)-1)+1)*INDEX('M03-S07'!$AG$16:$AG$198,2*(ROWS($J$266:J267)-1)+1),2),0)</f>
        <v>0</v>
      </c>
      <c r="K267" s="52">
        <f>IFERROR(ROUND(INDEX('M03-S07'!$AU$16:$AU$196,2*(ROWS($K$266:K267)-1)+1),2),0)</f>
        <v>0</v>
      </c>
      <c r="M267" s="456">
        <f>INDEX('M03-S07'!$V$16:$V$198,2*(ROWS($M$266:M267)-1)+1)</f>
        <v>0</v>
      </c>
      <c r="N267" s="113"/>
      <c r="O267" s="459"/>
      <c r="P267" s="184" t="str">
        <f>IFERROR(IF(ISNUMBER(INDEX('M03-S07'!$AN$16:$AN$198,2*(ROWS($R$266:R267)-1)+1)),INDEX('M03-S07'!$AK$16:$AK$198,2*(ROWS($P$266:P267)-1)+1),""),"")</f>
        <v/>
      </c>
      <c r="Q267" s="184"/>
      <c r="R267" s="184">
        <f>IF(ISNUMBER(INDEX('M03-S07'!$AN$16:$AN$198,2*(ROWS($R$266:R267)-1)+1)),INDEX('M03-S07'!$AN$16:$AN$198,2*(ROWS($R$266:R267)-1)+1),0)</f>
        <v>0</v>
      </c>
      <c r="S267" s="459"/>
      <c r="T267" s="113"/>
      <c r="U267" s="140"/>
      <c r="V267" s="113"/>
      <c r="W267" s="96">
        <f>IFERROR(IF(NOT(ISNUMBER(INDEX('M03-S07'!$AN$16:$AN$198,2*(ROWS($R$266:R267)-1)+1))),INDEX('M03-S07'!$BC$16:$BC$198,2*(ROWS($R$266:R267)-1)+1),""),"")</f>
        <v>0</v>
      </c>
      <c r="X267" s="113"/>
      <c r="Y267" s="113"/>
      <c r="Z267" s="111">
        <f>INDEX('M03-S07'!$B$16:$B$196,2*(ROWS($Z$266:Z267)-1)+1)</f>
        <v>2</v>
      </c>
      <c r="AA267" s="111" t="str">
        <f>INDEX('M03-S07'!$N$16:$N$198,2*(ROWS($Z$266:AA267)-1)+1)</f>
        <v/>
      </c>
      <c r="AB267" s="111">
        <f>INDEX('M03-S07'!$C$16:$C$198,2*(ROWS($Z$266:AB267)-1)+1)</f>
        <v>0</v>
      </c>
      <c r="AC267" s="96"/>
      <c r="AD267">
        <f>INDEX('M03-S07'!$X$16:$X$196,2*(ROWS($AD$266:AD267)-1)+1)</f>
        <v>0</v>
      </c>
      <c r="AE267" s="459"/>
      <c r="AF267" s="459"/>
      <c r="AG267" s="112"/>
      <c r="AH267" s="112"/>
      <c r="AI267" s="112"/>
      <c r="AJ267" s="112"/>
      <c r="AK267" s="113"/>
      <c r="AL267" s="113"/>
      <c r="AM267" s="113"/>
      <c r="AN267" s="113"/>
      <c r="AO267" s="52" t="str">
        <f>IFERROR(INDEX(PMGWATER[Program Design],MATCH(AB267,PMGWATER[Eff Desc 1],0)),"")</f>
        <v/>
      </c>
      <c r="AU267"/>
    </row>
    <row r="268" spans="1:47">
      <c r="A268" s="57">
        <f t="shared" si="17"/>
        <v>0</v>
      </c>
      <c r="B268" s="183" t="str">
        <f t="shared" si="24"/>
        <v/>
      </c>
      <c r="C268" t="str">
        <f>IFERROR(IF(R268&gt;0,INDEX(PMGWATER[Measure '#],MATCH(AB268,PMGWATER[Eff Desc 1],0)),""),"")</f>
        <v/>
      </c>
      <c r="D268" t="s">
        <v>947</v>
      </c>
      <c r="F268" s="112"/>
      <c r="G268" s="186">
        <f>INDEX('M03-S07'!$AB$16:$AB$196,2*(ROWS($G$266:G268)-1)+1)</f>
        <v>0</v>
      </c>
      <c r="H268" s="186" t="str">
        <f>IF(ISNUMBER(INDEX('M03-S07'!$AN$16:$AN$198,2*(ROWS($R$266:R268)-1)+1)),"Total","")</f>
        <v/>
      </c>
      <c r="I268" s="184">
        <f>IFERROR(ROUND(INDEX('M03-S07'!$V$16:$V$196,2*(ROWS($I$266:I268)-1)+1)*INDEX('M03-S07'!$AE$16:$AE$198,2*(ROWS($I$266:I268)-1)+1),2),0)</f>
        <v>0</v>
      </c>
      <c r="J268" s="184">
        <f>IFERROR(ROUND(INDEX('M03-S07'!$V$16:$V$196,2*(ROWS($J$266:J268)-1)+1)*INDEX('M03-S07'!$AG$16:$AG$198,2*(ROWS($J$266:J268)-1)+1),2),0)</f>
        <v>0</v>
      </c>
      <c r="K268" s="52">
        <f>IFERROR(ROUND(INDEX('M03-S07'!$AU$16:$AU$196,2*(ROWS($K$266:K268)-1)+1),2),0)</f>
        <v>0</v>
      </c>
      <c r="M268" s="456">
        <f>INDEX('M03-S07'!$V$16:$V$198,2*(ROWS($M$266:M268)-1)+1)</f>
        <v>0</v>
      </c>
      <c r="N268" s="113"/>
      <c r="O268" s="459"/>
      <c r="P268" s="184" t="str">
        <f>IFERROR(IF(ISNUMBER(INDEX('M03-S07'!$AN$16:$AN$198,2*(ROWS($R$266:R268)-1)+1)),INDEX('M03-S07'!$AK$16:$AK$198,2*(ROWS($P$266:P268)-1)+1),""),"")</f>
        <v/>
      </c>
      <c r="Q268" s="184"/>
      <c r="R268" s="184">
        <f>IF(ISNUMBER(INDEX('M03-S07'!$AN$16:$AN$198,2*(ROWS($R$266:R268)-1)+1)),INDEX('M03-S07'!$AN$16:$AN$198,2*(ROWS($R$266:R268)-1)+1),0)</f>
        <v>0</v>
      </c>
      <c r="S268" s="459"/>
      <c r="T268" s="113"/>
      <c r="U268" s="140"/>
      <c r="V268" s="113"/>
      <c r="W268" s="96">
        <f>IFERROR(IF(NOT(ISNUMBER(INDEX('M03-S07'!$AN$16:$AN$198,2*(ROWS($R$266:R268)-1)+1))),INDEX('M03-S07'!$BC$16:$BC$198,2*(ROWS($R$266:R268)-1)+1),""),"")</f>
        <v>0</v>
      </c>
      <c r="X268" s="113"/>
      <c r="Y268" s="113"/>
      <c r="Z268" s="111">
        <f>INDEX('M03-S07'!$B$16:$B$196,2*(ROWS($Z$266:Z268)-1)+1)</f>
        <v>3</v>
      </c>
      <c r="AA268" s="111" t="str">
        <f>INDEX('M03-S07'!$N$16:$N$198,2*(ROWS($Z$266:AA268)-1)+1)</f>
        <v/>
      </c>
      <c r="AB268" s="111">
        <f>INDEX('M03-S07'!$C$16:$C$198,2*(ROWS($Z$266:AB268)-1)+1)</f>
        <v>0</v>
      </c>
      <c r="AC268" s="96"/>
      <c r="AD268">
        <f>INDEX('M03-S07'!$X$16:$X$196,2*(ROWS($AD$266:AD268)-1)+1)</f>
        <v>0</v>
      </c>
      <c r="AE268" s="459"/>
      <c r="AF268" s="459"/>
      <c r="AG268" s="112"/>
      <c r="AH268" s="112"/>
      <c r="AI268" s="112"/>
      <c r="AJ268" s="112"/>
      <c r="AK268" s="113"/>
      <c r="AL268" s="113"/>
      <c r="AM268" s="113"/>
      <c r="AN268" s="113"/>
      <c r="AO268" s="52" t="str">
        <f>IFERROR(INDEX(PMGWATER[Program Design],MATCH(AB268,PMGWATER[Eff Desc 1],0)),"")</f>
        <v/>
      </c>
      <c r="AU268"/>
    </row>
    <row r="269" spans="1:47">
      <c r="A269" s="57">
        <f t="shared" si="17"/>
        <v>0</v>
      </c>
      <c r="B269" s="183" t="str">
        <f t="shared" si="24"/>
        <v/>
      </c>
      <c r="C269" t="str">
        <f>IFERROR(IF(R269&gt;0,INDEX(PMGWATER[Measure '#],MATCH(AB269,PMGWATER[Eff Desc 1],0)),""),"")</f>
        <v/>
      </c>
      <c r="D269" t="s">
        <v>947</v>
      </c>
      <c r="F269" s="112"/>
      <c r="G269" s="186">
        <f>INDEX('M03-S07'!$AB$16:$AB$196,2*(ROWS($G$266:G269)-1)+1)</f>
        <v>0</v>
      </c>
      <c r="H269" s="186" t="str">
        <f>IF(ISNUMBER(INDEX('M03-S07'!$AN$16:$AN$198,2*(ROWS($R$266:R269)-1)+1)),"Total","")</f>
        <v/>
      </c>
      <c r="I269" s="184">
        <f>IFERROR(ROUND(INDEX('M03-S07'!$V$16:$V$196,2*(ROWS($I$266:I269)-1)+1)*INDEX('M03-S07'!$AE$16:$AE$198,2*(ROWS($I$266:I269)-1)+1),2),0)</f>
        <v>0</v>
      </c>
      <c r="J269" s="184">
        <f>IFERROR(ROUND(INDEX('M03-S07'!$V$16:$V$196,2*(ROWS($J$266:J269)-1)+1)*INDEX('M03-S07'!$AG$16:$AG$198,2*(ROWS($J$266:J269)-1)+1),2),0)</f>
        <v>0</v>
      </c>
      <c r="K269" s="52">
        <f>IFERROR(ROUND(INDEX('M03-S07'!$AU$16:$AU$196,2*(ROWS($K$266:K269)-1)+1),2),0)</f>
        <v>0</v>
      </c>
      <c r="M269" s="456">
        <f>INDEX('M03-S07'!$V$16:$V$198,2*(ROWS($M$266:M269)-1)+1)</f>
        <v>0</v>
      </c>
      <c r="N269" s="113"/>
      <c r="O269" s="459"/>
      <c r="P269" s="184" t="str">
        <f>IFERROR(IF(ISNUMBER(INDEX('M03-S07'!$AN$16:$AN$198,2*(ROWS($R$266:R269)-1)+1)),INDEX('M03-S07'!$AK$16:$AK$198,2*(ROWS($P$266:P269)-1)+1),""),"")</f>
        <v/>
      </c>
      <c r="Q269" s="184"/>
      <c r="R269" s="184">
        <f>IF(ISNUMBER(INDEX('M03-S07'!$AN$16:$AN$198,2*(ROWS($R$266:R269)-1)+1)),INDEX('M03-S07'!$AN$16:$AN$198,2*(ROWS($R$266:R269)-1)+1),0)</f>
        <v>0</v>
      </c>
      <c r="S269" s="459"/>
      <c r="T269" s="113"/>
      <c r="U269" s="140"/>
      <c r="V269" s="113"/>
      <c r="W269" s="96">
        <f>IFERROR(IF(NOT(ISNUMBER(INDEX('M03-S07'!$AN$16:$AN$198,2*(ROWS($R$266:R269)-1)+1))),INDEX('M03-S07'!$BC$16:$BC$198,2*(ROWS($R$266:R269)-1)+1),""),"")</f>
        <v>0</v>
      </c>
      <c r="X269" s="113"/>
      <c r="Y269" s="113"/>
      <c r="Z269" s="111">
        <f>INDEX('M03-S07'!$B$16:$B$196,2*(ROWS($Z$266:Z269)-1)+1)</f>
        <v>4</v>
      </c>
      <c r="AA269" s="111" t="str">
        <f>INDEX('M03-S07'!$N$16:$N$198,2*(ROWS($Z$266:AA269)-1)+1)</f>
        <v/>
      </c>
      <c r="AB269" s="111">
        <f>INDEX('M03-S07'!$C$16:$C$198,2*(ROWS($Z$266:AB269)-1)+1)</f>
        <v>0</v>
      </c>
      <c r="AC269" s="96"/>
      <c r="AD269">
        <f>INDEX('M03-S07'!$X$16:$X$196,2*(ROWS($AD$266:AD269)-1)+1)</f>
        <v>0</v>
      </c>
      <c r="AE269" s="459"/>
      <c r="AF269" s="459"/>
      <c r="AG269" s="112"/>
      <c r="AH269" s="112"/>
      <c r="AI269" s="112"/>
      <c r="AJ269" s="112"/>
      <c r="AK269" s="113"/>
      <c r="AL269" s="113"/>
      <c r="AM269" s="113"/>
      <c r="AN269" s="113"/>
      <c r="AO269" s="52" t="str">
        <f>IFERROR(INDEX(PMGWATER[Program Design],MATCH(AB269,PMGWATER[Eff Desc 1],0)),"")</f>
        <v/>
      </c>
      <c r="AU269"/>
    </row>
    <row r="270" spans="1:47">
      <c r="A270" s="57">
        <f t="shared" si="17"/>
        <v>0</v>
      </c>
      <c r="B270" s="183" t="str">
        <f t="shared" si="24"/>
        <v/>
      </c>
      <c r="C270" t="str">
        <f>IFERROR(IF(R270&gt;0,INDEX(PMGWATER[Measure '#],MATCH(AB270,PMGWATER[Eff Desc 1],0)),""),"")</f>
        <v/>
      </c>
      <c r="D270" t="s">
        <v>947</v>
      </c>
      <c r="F270" s="112"/>
      <c r="G270" s="186">
        <f>INDEX('M03-S07'!$AB$16:$AB$196,2*(ROWS($G$266:G270)-1)+1)</f>
        <v>0</v>
      </c>
      <c r="H270" s="186" t="str">
        <f>IF(ISNUMBER(INDEX('M03-S07'!$AN$16:$AN$198,2*(ROWS($R$266:R270)-1)+1)),"Total","")</f>
        <v/>
      </c>
      <c r="I270" s="184">
        <f>IFERROR(ROUND(INDEX('M03-S07'!$V$16:$V$196,2*(ROWS($I$266:I270)-1)+1)*INDEX('M03-S07'!$AE$16:$AE$198,2*(ROWS($I$266:I270)-1)+1),2),0)</f>
        <v>0</v>
      </c>
      <c r="J270" s="184">
        <f>IFERROR(ROUND(INDEX('M03-S07'!$V$16:$V$196,2*(ROWS($J$266:J270)-1)+1)*INDEX('M03-S07'!$AG$16:$AG$198,2*(ROWS($J$266:J270)-1)+1),2),0)</f>
        <v>0</v>
      </c>
      <c r="K270" s="52">
        <f>IFERROR(ROUND(INDEX('M03-S07'!$AU$16:$AU$196,2*(ROWS($K$266:K270)-1)+1),2),0)</f>
        <v>0</v>
      </c>
      <c r="M270" s="456">
        <f>INDEX('M03-S07'!$V$16:$V$198,2*(ROWS($M$266:M270)-1)+1)</f>
        <v>0</v>
      </c>
      <c r="N270" s="113"/>
      <c r="O270" s="459"/>
      <c r="P270" s="184" t="str">
        <f>IFERROR(IF(ISNUMBER(INDEX('M03-S07'!$AN$16:$AN$198,2*(ROWS($R$266:R270)-1)+1)),INDEX('M03-S07'!$AK$16:$AK$198,2*(ROWS($P$266:P270)-1)+1),""),"")</f>
        <v/>
      </c>
      <c r="Q270" s="184"/>
      <c r="R270" s="184">
        <f>IF(ISNUMBER(INDEX('M03-S07'!$AN$16:$AN$198,2*(ROWS($R$266:R270)-1)+1)),INDEX('M03-S07'!$AN$16:$AN$198,2*(ROWS($R$266:R270)-1)+1),0)</f>
        <v>0</v>
      </c>
      <c r="S270" s="459"/>
      <c r="T270" s="113"/>
      <c r="U270" s="140"/>
      <c r="V270" s="113"/>
      <c r="W270" s="96">
        <f>IFERROR(IF(NOT(ISNUMBER(INDEX('M03-S07'!$AN$16:$AN$198,2*(ROWS($R$266:R270)-1)+1))),INDEX('M03-S07'!$BC$16:$BC$198,2*(ROWS($R$266:R270)-1)+1),""),"")</f>
        <v>0</v>
      </c>
      <c r="X270" s="113"/>
      <c r="Y270" s="113"/>
      <c r="Z270" s="111">
        <f>INDEX('M03-S07'!$B$16:$B$196,2*(ROWS($Z$266:Z270)-1)+1)</f>
        <v>5</v>
      </c>
      <c r="AA270" s="111" t="str">
        <f>INDEX('M03-S07'!$N$16:$N$198,2*(ROWS($Z$266:AA270)-1)+1)</f>
        <v/>
      </c>
      <c r="AB270" s="111">
        <f>INDEX('M03-S07'!$C$16:$C$198,2*(ROWS($Z$266:AB270)-1)+1)</f>
        <v>0</v>
      </c>
      <c r="AC270" s="96"/>
      <c r="AD270">
        <f>INDEX('M03-S07'!$X$16:$X$196,2*(ROWS($AD$266:AD270)-1)+1)</f>
        <v>0</v>
      </c>
      <c r="AE270" s="459"/>
      <c r="AF270" s="459"/>
      <c r="AG270" s="112"/>
      <c r="AH270" s="112"/>
      <c r="AI270" s="112"/>
      <c r="AJ270" s="112"/>
      <c r="AK270" s="113"/>
      <c r="AL270" s="113"/>
      <c r="AM270" s="113"/>
      <c r="AN270" s="113"/>
      <c r="AO270" s="52" t="str">
        <f>IFERROR(INDEX(PMGWATER[Program Design],MATCH(AB270,PMGWATER[Eff Desc 1],0)),"")</f>
        <v/>
      </c>
      <c r="AU270"/>
    </row>
    <row r="271" spans="1:47">
      <c r="A271" s="57">
        <f t="shared" si="17"/>
        <v>0</v>
      </c>
      <c r="B271" s="183" t="str">
        <f t="shared" si="24"/>
        <v/>
      </c>
      <c r="C271" t="str">
        <f>IFERROR(IF(R271&gt;0,INDEX(PMGWATER[Measure '#],MATCH(AB271,PMGWATER[Eff Desc 1],0)),""),"")</f>
        <v/>
      </c>
      <c r="D271" t="s">
        <v>947</v>
      </c>
      <c r="F271" s="112"/>
      <c r="G271" s="186">
        <f>INDEX('M03-S07'!$AB$16:$AB$196,2*(ROWS($G$266:G271)-1)+1)</f>
        <v>0</v>
      </c>
      <c r="H271" s="186" t="str">
        <f>IF(ISNUMBER(INDEX('M03-S07'!$AN$16:$AN$198,2*(ROWS($R$266:R271)-1)+1)),"Total","")</f>
        <v/>
      </c>
      <c r="I271" s="184">
        <f>IFERROR(ROUND(INDEX('M03-S07'!$V$16:$V$196,2*(ROWS($I$266:I271)-1)+1)*INDEX('M03-S07'!$AE$16:$AE$198,2*(ROWS($I$266:I271)-1)+1),2),0)</f>
        <v>0</v>
      </c>
      <c r="J271" s="184">
        <f>IFERROR(ROUND(INDEX('M03-S07'!$V$16:$V$196,2*(ROWS($J$266:J271)-1)+1)*INDEX('M03-S07'!$AG$16:$AG$198,2*(ROWS($J$266:J271)-1)+1),2),0)</f>
        <v>0</v>
      </c>
      <c r="K271" s="52">
        <f>IFERROR(ROUND(INDEX('M03-S07'!$AU$16:$AU$196,2*(ROWS($K$266:K271)-1)+1),2),0)</f>
        <v>0</v>
      </c>
      <c r="M271" s="456">
        <f>INDEX('M03-S07'!$V$16:$V$198,2*(ROWS($M$266:M271)-1)+1)</f>
        <v>0</v>
      </c>
      <c r="N271" s="113"/>
      <c r="O271" s="459"/>
      <c r="P271" s="184" t="str">
        <f>IFERROR(IF(ISNUMBER(INDEX('M03-S07'!$AN$16:$AN$198,2*(ROWS($R$266:R271)-1)+1)),INDEX('M03-S07'!$AK$16:$AK$198,2*(ROWS($P$266:P271)-1)+1),""),"")</f>
        <v/>
      </c>
      <c r="Q271" s="184"/>
      <c r="R271" s="184">
        <f>IF(ISNUMBER(INDEX('M03-S07'!$AN$16:$AN$198,2*(ROWS($R$266:R271)-1)+1)),INDEX('M03-S07'!$AN$16:$AN$198,2*(ROWS($R$266:R271)-1)+1),0)</f>
        <v>0</v>
      </c>
      <c r="S271" s="459"/>
      <c r="T271" s="113"/>
      <c r="U271" s="140"/>
      <c r="V271" s="113"/>
      <c r="W271" s="96">
        <f>IFERROR(IF(NOT(ISNUMBER(INDEX('M03-S07'!$AN$16:$AN$198,2*(ROWS($R$266:R271)-1)+1))),INDEX('M03-S07'!$BC$16:$BC$198,2*(ROWS($R$266:R271)-1)+1),""),"")</f>
        <v>0</v>
      </c>
      <c r="X271" s="113"/>
      <c r="Y271" s="113"/>
      <c r="Z271" s="111">
        <f>INDEX('M03-S07'!$B$16:$B$196,2*(ROWS($Z$266:Z271)-1)+1)</f>
        <v>6</v>
      </c>
      <c r="AA271" s="111" t="str">
        <f>INDEX('M03-S07'!$N$16:$N$198,2*(ROWS($Z$266:AA271)-1)+1)</f>
        <v/>
      </c>
      <c r="AB271" s="111">
        <f>INDEX('M03-S07'!$C$16:$C$198,2*(ROWS($Z$266:AB271)-1)+1)</f>
        <v>0</v>
      </c>
      <c r="AC271" s="96"/>
      <c r="AD271">
        <f>INDEX('M03-S07'!$X$16:$X$196,2*(ROWS($AD$266:AD271)-1)+1)</f>
        <v>0</v>
      </c>
      <c r="AE271" s="459"/>
      <c r="AF271" s="459"/>
      <c r="AG271" s="112"/>
      <c r="AH271" s="112"/>
      <c r="AI271" s="112"/>
      <c r="AJ271" s="112"/>
      <c r="AK271" s="113"/>
      <c r="AL271" s="113"/>
      <c r="AM271" s="113"/>
      <c r="AN271" s="113"/>
      <c r="AO271" s="52" t="str">
        <f>IFERROR(INDEX(PMGWATER[Program Design],MATCH(AB271,PMGWATER[Eff Desc 1],0)),"")</f>
        <v/>
      </c>
      <c r="AU271"/>
    </row>
    <row r="272" spans="1:47">
      <c r="A272" s="57">
        <f t="shared" si="17"/>
        <v>0</v>
      </c>
      <c r="B272" s="183" t="str">
        <f t="shared" si="24"/>
        <v/>
      </c>
      <c r="C272" t="str">
        <f>IFERROR(IF(R272&gt;0,INDEX(PMGWATER[Measure '#],MATCH(AB272,PMGWATER[Eff Desc 1],0)),""),"")</f>
        <v/>
      </c>
      <c r="D272" t="s">
        <v>947</v>
      </c>
      <c r="F272" s="112"/>
      <c r="G272" s="186">
        <f>INDEX('M03-S07'!$AB$16:$AB$196,2*(ROWS($G$266:G272)-1)+1)</f>
        <v>0</v>
      </c>
      <c r="H272" s="186" t="str">
        <f>IF(ISNUMBER(INDEX('M03-S07'!$AN$16:$AN$198,2*(ROWS($R$266:R272)-1)+1)),"Total","")</f>
        <v/>
      </c>
      <c r="I272" s="184">
        <f>IFERROR(ROUND(INDEX('M03-S07'!$V$16:$V$196,2*(ROWS($I$266:I272)-1)+1)*INDEX('M03-S07'!$AE$16:$AE$198,2*(ROWS($I$266:I272)-1)+1),2),0)</f>
        <v>0</v>
      </c>
      <c r="J272" s="184">
        <f>IFERROR(ROUND(INDEX('M03-S07'!$V$16:$V$196,2*(ROWS($J$266:J272)-1)+1)*INDEX('M03-S07'!$AG$16:$AG$198,2*(ROWS($J$266:J272)-1)+1),2),0)</f>
        <v>0</v>
      </c>
      <c r="K272" s="52">
        <f>IFERROR(ROUND(INDEX('M03-S07'!$AU$16:$AU$196,2*(ROWS($K$266:K272)-1)+1),2),0)</f>
        <v>0</v>
      </c>
      <c r="M272" s="456">
        <f>INDEX('M03-S07'!$V$16:$V$198,2*(ROWS($M$266:M272)-1)+1)</f>
        <v>0</v>
      </c>
      <c r="N272" s="113"/>
      <c r="O272" s="459"/>
      <c r="P272" s="184" t="str">
        <f>IFERROR(IF(ISNUMBER(INDEX('M03-S07'!$AN$16:$AN$198,2*(ROWS($R$266:R272)-1)+1)),INDEX('M03-S07'!$AK$16:$AK$198,2*(ROWS($P$266:P272)-1)+1),""),"")</f>
        <v/>
      </c>
      <c r="Q272" s="184"/>
      <c r="R272" s="184">
        <f>IF(ISNUMBER(INDEX('M03-S07'!$AN$16:$AN$198,2*(ROWS($R$266:R272)-1)+1)),INDEX('M03-S07'!$AN$16:$AN$198,2*(ROWS($R$266:R272)-1)+1),0)</f>
        <v>0</v>
      </c>
      <c r="S272" s="459"/>
      <c r="T272" s="113"/>
      <c r="U272" s="140"/>
      <c r="V272" s="113"/>
      <c r="W272" s="96">
        <f>IFERROR(IF(NOT(ISNUMBER(INDEX('M03-S07'!$AN$16:$AN$198,2*(ROWS($R$266:R272)-1)+1))),INDEX('M03-S07'!$BC$16:$BC$198,2*(ROWS($R$266:R272)-1)+1),""),"")</f>
        <v>0</v>
      </c>
      <c r="X272" s="113"/>
      <c r="Y272" s="113"/>
      <c r="Z272" s="111">
        <f>INDEX('M03-S07'!$B$16:$B$196,2*(ROWS($Z$266:Z272)-1)+1)</f>
        <v>7</v>
      </c>
      <c r="AA272" s="111" t="str">
        <f>INDEX('M03-S07'!$N$16:$N$198,2*(ROWS($Z$266:AA272)-1)+1)</f>
        <v/>
      </c>
      <c r="AB272" s="111">
        <f>INDEX('M03-S07'!$C$16:$C$198,2*(ROWS($Z$266:AB272)-1)+1)</f>
        <v>0</v>
      </c>
      <c r="AC272" s="96"/>
      <c r="AD272">
        <f>INDEX('M03-S07'!$X$16:$X$196,2*(ROWS($AD$266:AD272)-1)+1)</f>
        <v>0</v>
      </c>
      <c r="AE272" s="459"/>
      <c r="AF272" s="459"/>
      <c r="AG272" s="112"/>
      <c r="AH272" s="112"/>
      <c r="AI272" s="112"/>
      <c r="AJ272" s="112"/>
      <c r="AK272" s="113"/>
      <c r="AL272" s="113"/>
      <c r="AM272" s="113"/>
      <c r="AN272" s="113"/>
      <c r="AO272" s="52" t="str">
        <f>IFERROR(INDEX(PMGWATER[Program Design],MATCH(AB272,PMGWATER[Eff Desc 1],0)),"")</f>
        <v/>
      </c>
      <c r="AU272"/>
    </row>
    <row r="273" spans="1:47">
      <c r="A273" s="57">
        <f t="shared" si="17"/>
        <v>0</v>
      </c>
      <c r="B273" s="183" t="str">
        <f t="shared" si="24"/>
        <v/>
      </c>
      <c r="C273" t="str">
        <f>IFERROR(IF(R273&gt;0,INDEX(PMGWATER[Measure '#],MATCH(AB273,PMGWATER[Eff Desc 1],0)),""),"")</f>
        <v/>
      </c>
      <c r="D273" t="s">
        <v>947</v>
      </c>
      <c r="F273" s="112"/>
      <c r="G273" s="186">
        <f>INDEX('M03-S07'!$AB$16:$AB$196,2*(ROWS($G$266:G273)-1)+1)</f>
        <v>0</v>
      </c>
      <c r="H273" s="186" t="str">
        <f>IF(ISNUMBER(INDEX('M03-S07'!$AN$16:$AN$198,2*(ROWS($R$266:R273)-1)+1)),"Total","")</f>
        <v/>
      </c>
      <c r="I273" s="184">
        <f>IFERROR(ROUND(INDEX('M03-S07'!$V$16:$V$196,2*(ROWS($I$266:I273)-1)+1)*INDEX('M03-S07'!$AE$16:$AE$198,2*(ROWS($I$266:I273)-1)+1),2),0)</f>
        <v>0</v>
      </c>
      <c r="J273" s="184">
        <f>IFERROR(ROUND(INDEX('M03-S07'!$V$16:$V$196,2*(ROWS($J$266:J273)-1)+1)*INDEX('M03-S07'!$AG$16:$AG$198,2*(ROWS($J$266:J273)-1)+1),2),0)</f>
        <v>0</v>
      </c>
      <c r="K273" s="52">
        <f>IFERROR(ROUND(INDEX('M03-S07'!$AU$16:$AU$196,2*(ROWS($K$266:K273)-1)+1),2),0)</f>
        <v>0</v>
      </c>
      <c r="M273" s="456">
        <f>INDEX('M03-S07'!$V$16:$V$198,2*(ROWS($M$266:M273)-1)+1)</f>
        <v>0</v>
      </c>
      <c r="N273" s="113"/>
      <c r="O273" s="459"/>
      <c r="P273" s="184" t="str">
        <f>IFERROR(IF(ISNUMBER(INDEX('M03-S07'!$AN$16:$AN$198,2*(ROWS($R$266:R273)-1)+1)),INDEX('M03-S07'!$AK$16:$AK$198,2*(ROWS($P$266:P273)-1)+1),""),"")</f>
        <v/>
      </c>
      <c r="Q273" s="184"/>
      <c r="R273" s="184">
        <f>IF(ISNUMBER(INDEX('M03-S07'!$AN$16:$AN$198,2*(ROWS($R$266:R273)-1)+1)),INDEX('M03-S07'!$AN$16:$AN$198,2*(ROWS($R$266:R273)-1)+1),0)</f>
        <v>0</v>
      </c>
      <c r="S273" s="459"/>
      <c r="T273" s="113"/>
      <c r="U273" s="140"/>
      <c r="V273" s="113"/>
      <c r="W273" s="96">
        <f>IFERROR(IF(NOT(ISNUMBER(INDEX('M03-S07'!$AN$16:$AN$198,2*(ROWS($R$266:R273)-1)+1))),INDEX('M03-S07'!$BC$16:$BC$198,2*(ROWS($R$266:R273)-1)+1),""),"")</f>
        <v>0</v>
      </c>
      <c r="X273" s="113"/>
      <c r="Y273" s="113"/>
      <c r="Z273" s="111">
        <f>INDEX('M03-S07'!$B$16:$B$196,2*(ROWS($Z$266:Z273)-1)+1)</f>
        <v>8</v>
      </c>
      <c r="AA273" s="111" t="str">
        <f>INDEX('M03-S07'!$N$16:$N$198,2*(ROWS($Z$266:AA273)-1)+1)</f>
        <v/>
      </c>
      <c r="AB273" s="111">
        <f>INDEX('M03-S07'!$C$16:$C$198,2*(ROWS($Z$266:AB273)-1)+1)</f>
        <v>0</v>
      </c>
      <c r="AC273" s="96"/>
      <c r="AD273">
        <f>INDEX('M03-S07'!$X$16:$X$196,2*(ROWS($AD$266:AD273)-1)+1)</f>
        <v>0</v>
      </c>
      <c r="AE273" s="459"/>
      <c r="AF273" s="459"/>
      <c r="AG273" s="112"/>
      <c r="AH273" s="112"/>
      <c r="AI273" s="112"/>
      <c r="AJ273" s="112"/>
      <c r="AK273" s="113"/>
      <c r="AL273" s="113"/>
      <c r="AM273" s="113"/>
      <c r="AN273" s="113"/>
      <c r="AO273" s="52" t="str">
        <f>IFERROR(INDEX(PMGWATER[Program Design],MATCH(AB273,PMGWATER[Eff Desc 1],0)),"")</f>
        <v/>
      </c>
      <c r="AU273"/>
    </row>
    <row r="274" spans="1:47">
      <c r="A274" s="57">
        <f t="shared" si="17"/>
        <v>0</v>
      </c>
      <c r="B274" s="183" t="str">
        <f t="shared" si="24"/>
        <v/>
      </c>
      <c r="C274" t="str">
        <f>IFERROR(IF(R274&gt;0,INDEX(PMGWATER[Measure '#],MATCH(AB274,PMGWATER[Eff Desc 1],0)),""),"")</f>
        <v/>
      </c>
      <c r="D274" t="s">
        <v>947</v>
      </c>
      <c r="F274" s="112"/>
      <c r="G274" s="186">
        <f>INDEX('M03-S07'!$AB$16:$AB$196,2*(ROWS($G$266:G274)-1)+1)</f>
        <v>0</v>
      </c>
      <c r="H274" s="186" t="str">
        <f>IF(ISNUMBER(INDEX('M03-S07'!$AN$16:$AN$198,2*(ROWS($R$266:R274)-1)+1)),"Total","")</f>
        <v/>
      </c>
      <c r="I274" s="184">
        <f>IFERROR(ROUND(INDEX('M03-S07'!$V$16:$V$196,2*(ROWS($I$266:I274)-1)+1)*INDEX('M03-S07'!$AE$16:$AE$198,2*(ROWS($I$266:I274)-1)+1),2),0)</f>
        <v>0</v>
      </c>
      <c r="J274" s="184">
        <f>IFERROR(ROUND(INDEX('M03-S07'!$V$16:$V$196,2*(ROWS($J$266:J274)-1)+1)*INDEX('M03-S07'!$AG$16:$AG$198,2*(ROWS($J$266:J274)-1)+1),2),0)</f>
        <v>0</v>
      </c>
      <c r="K274" s="52">
        <f>IFERROR(ROUND(INDEX('M03-S07'!$AU$16:$AU$196,2*(ROWS($K$266:K274)-1)+1),2),0)</f>
        <v>0</v>
      </c>
      <c r="M274" s="456">
        <f>INDEX('M03-S07'!$V$16:$V$198,2*(ROWS($M$266:M274)-1)+1)</f>
        <v>0</v>
      </c>
      <c r="N274" s="113"/>
      <c r="O274" s="459"/>
      <c r="P274" s="184" t="str">
        <f>IFERROR(IF(ISNUMBER(INDEX('M03-S07'!$AN$16:$AN$198,2*(ROWS($R$266:R274)-1)+1)),INDEX('M03-S07'!$AK$16:$AK$198,2*(ROWS($P$266:P274)-1)+1),""),"")</f>
        <v/>
      </c>
      <c r="Q274" s="184"/>
      <c r="R274" s="184">
        <f>IF(ISNUMBER(INDEX('M03-S07'!$AN$16:$AN$198,2*(ROWS($R$266:R274)-1)+1)),INDEX('M03-S07'!$AN$16:$AN$198,2*(ROWS($R$266:R274)-1)+1),0)</f>
        <v>0</v>
      </c>
      <c r="S274" s="459"/>
      <c r="T274" s="113"/>
      <c r="U274" s="140"/>
      <c r="V274" s="113"/>
      <c r="W274" s="96">
        <f>IFERROR(IF(NOT(ISNUMBER(INDEX('M03-S07'!$AN$16:$AN$198,2*(ROWS($R$266:R274)-1)+1))),INDEX('M03-S07'!$BC$16:$BC$198,2*(ROWS($R$266:R274)-1)+1),""),"")</f>
        <v>0</v>
      </c>
      <c r="X274" s="113"/>
      <c r="Y274" s="113"/>
      <c r="Z274" s="111">
        <f>INDEX('M03-S07'!$B$16:$B$196,2*(ROWS($Z$266:Z274)-1)+1)</f>
        <v>9</v>
      </c>
      <c r="AA274" s="111" t="str">
        <f>INDEX('M03-S07'!$N$16:$N$198,2*(ROWS($Z$266:AA274)-1)+1)</f>
        <v/>
      </c>
      <c r="AB274" s="111">
        <f>INDEX('M03-S07'!$C$16:$C$198,2*(ROWS($Z$266:AB274)-1)+1)</f>
        <v>0</v>
      </c>
      <c r="AC274" s="96"/>
      <c r="AD274">
        <f>INDEX('M03-S07'!$X$16:$X$196,2*(ROWS($AD$266:AD274)-1)+1)</f>
        <v>0</v>
      </c>
      <c r="AE274" s="459"/>
      <c r="AF274" s="459"/>
      <c r="AG274" s="112"/>
      <c r="AH274" s="112"/>
      <c r="AI274" s="112"/>
      <c r="AJ274" s="112"/>
      <c r="AK274" s="113"/>
      <c r="AL274" s="113"/>
      <c r="AM274" s="113"/>
      <c r="AN274" s="113"/>
      <c r="AO274" s="52" t="str">
        <f>IFERROR(INDEX(PMGWATER[Program Design],MATCH(AB274,PMGWATER[Eff Desc 1],0)),"")</f>
        <v/>
      </c>
      <c r="AU274"/>
    </row>
    <row r="275" spans="1:47">
      <c r="A275" s="57">
        <f t="shared" si="17"/>
        <v>0</v>
      </c>
      <c r="B275" s="183" t="str">
        <f t="shared" si="24"/>
        <v/>
      </c>
      <c r="C275" t="str">
        <f>IFERROR(IF(R275&gt;0,INDEX(PMGWATER[Measure '#],MATCH(AB275,PMGWATER[Eff Desc 1],0)),""),"")</f>
        <v/>
      </c>
      <c r="D275" t="s">
        <v>947</v>
      </c>
      <c r="F275" s="112"/>
      <c r="G275" s="186">
        <f>INDEX('M03-S07'!$AB$16:$AB$196,2*(ROWS($G$266:G275)-1)+1)</f>
        <v>0</v>
      </c>
      <c r="H275" s="186" t="str">
        <f>IF(ISNUMBER(INDEX('M03-S07'!$AN$16:$AN$198,2*(ROWS($R$266:R275)-1)+1)),"Total","")</f>
        <v/>
      </c>
      <c r="I275" s="184">
        <f>IFERROR(ROUND(INDEX('M03-S07'!$V$16:$V$196,2*(ROWS($I$266:I275)-1)+1)*INDEX('M03-S07'!$AE$16:$AE$198,2*(ROWS($I$266:I275)-1)+1),2),0)</f>
        <v>0</v>
      </c>
      <c r="J275" s="184">
        <f>IFERROR(ROUND(INDEX('M03-S07'!$V$16:$V$196,2*(ROWS($J$266:J275)-1)+1)*INDEX('M03-S07'!$AG$16:$AG$198,2*(ROWS($J$266:J275)-1)+1),2),0)</f>
        <v>0</v>
      </c>
      <c r="K275" s="52">
        <f>IFERROR(ROUND(INDEX('M03-S07'!$AU$16:$AU$196,2*(ROWS($K$266:K275)-1)+1),2),0)</f>
        <v>0</v>
      </c>
      <c r="M275" s="456">
        <f>INDEX('M03-S07'!$V$16:$V$198,2*(ROWS($M$266:M275)-1)+1)</f>
        <v>0</v>
      </c>
      <c r="N275" s="113"/>
      <c r="O275" s="459"/>
      <c r="P275" s="184" t="str">
        <f>IFERROR(IF(ISNUMBER(INDEX('M03-S07'!$AN$16:$AN$198,2*(ROWS($R$266:R275)-1)+1)),INDEX('M03-S07'!$AK$16:$AK$198,2*(ROWS($P$266:P275)-1)+1),""),"")</f>
        <v/>
      </c>
      <c r="Q275" s="184"/>
      <c r="R275" s="184">
        <f>IF(ISNUMBER(INDEX('M03-S07'!$AN$16:$AN$198,2*(ROWS($R$266:R275)-1)+1)),INDEX('M03-S07'!$AN$16:$AN$198,2*(ROWS($R$266:R275)-1)+1),0)</f>
        <v>0</v>
      </c>
      <c r="S275" s="459"/>
      <c r="T275" s="113"/>
      <c r="U275" s="140"/>
      <c r="V275" s="113"/>
      <c r="W275" s="96">
        <f>IFERROR(IF(NOT(ISNUMBER(INDEX('M03-S07'!$AN$16:$AN$198,2*(ROWS($R$266:R275)-1)+1))),INDEX('M03-S07'!$BC$16:$BC$198,2*(ROWS($R$266:R275)-1)+1),""),"")</f>
        <v>0</v>
      </c>
      <c r="X275" s="113"/>
      <c r="Y275" s="113"/>
      <c r="Z275" s="111">
        <f>INDEX('M03-S07'!$B$16:$B$196,2*(ROWS($Z$266:Z275)-1)+1)</f>
        <v>10</v>
      </c>
      <c r="AA275" s="111" t="str">
        <f>INDEX('M03-S07'!$N$16:$N$198,2*(ROWS($Z$266:AA275)-1)+1)</f>
        <v/>
      </c>
      <c r="AB275" s="111">
        <f>INDEX('M03-S07'!$C$16:$C$198,2*(ROWS($Z$266:AB275)-1)+1)</f>
        <v>0</v>
      </c>
      <c r="AC275" s="96"/>
      <c r="AD275">
        <f>INDEX('M03-S07'!$X$16:$X$196,2*(ROWS($AD$266:AD275)-1)+1)</f>
        <v>0</v>
      </c>
      <c r="AE275" s="459"/>
      <c r="AF275" s="459"/>
      <c r="AG275" s="112"/>
      <c r="AH275" s="112"/>
      <c r="AI275" s="112"/>
      <c r="AJ275" s="112"/>
      <c r="AK275" s="113"/>
      <c r="AL275" s="113"/>
      <c r="AM275" s="113"/>
      <c r="AN275" s="113"/>
      <c r="AO275" s="52" t="str">
        <f>IFERROR(INDEX(PMGWATER[Program Design],MATCH(AB275,PMGWATER[Eff Desc 1],0)),"")</f>
        <v/>
      </c>
      <c r="AU275"/>
    </row>
    <row r="276" spans="1:47">
      <c r="A276" s="57">
        <f t="shared" si="17"/>
        <v>0</v>
      </c>
      <c r="B276" s="183" t="str">
        <f t="shared" si="24"/>
        <v/>
      </c>
      <c r="C276" t="str">
        <f>IFERROR(IF(R276&gt;0,INDEX(PMGWATER[Measure '#],MATCH(AB276,PMGWATER[Eff Desc 1],0)),""),"")</f>
        <v/>
      </c>
      <c r="D276" t="s">
        <v>947</v>
      </c>
      <c r="F276" s="112"/>
      <c r="G276" s="186">
        <f>INDEX('M03-S07'!$AB$16:$AB$196,2*(ROWS($G$266:G276)-1)+1)</f>
        <v>0</v>
      </c>
      <c r="H276" s="186" t="str">
        <f>IF(ISNUMBER(INDEX('M03-S07'!$AN$16:$AN$198,2*(ROWS($R$266:R276)-1)+1)),"Total","")</f>
        <v/>
      </c>
      <c r="I276" s="184">
        <f>IFERROR(ROUND(INDEX('M03-S07'!$V$16:$V$196,2*(ROWS($I$266:I276)-1)+1)*INDEX('M03-S07'!$AE$16:$AE$198,2*(ROWS($I$266:I276)-1)+1),2),0)</f>
        <v>0</v>
      </c>
      <c r="J276" s="184">
        <f>IFERROR(ROUND(INDEX('M03-S07'!$V$16:$V$196,2*(ROWS($J$266:J276)-1)+1)*INDEX('M03-S07'!$AG$16:$AG$198,2*(ROWS($J$266:J276)-1)+1),2),0)</f>
        <v>0</v>
      </c>
      <c r="K276" s="52">
        <f>IFERROR(ROUND(INDEX('M03-S07'!$AU$16:$AU$196,2*(ROWS($K$266:K276)-1)+1),2),0)</f>
        <v>0</v>
      </c>
      <c r="M276" s="456">
        <f>INDEX('M03-S07'!$V$16:$V$198,2*(ROWS($M$266:M276)-1)+1)</f>
        <v>0</v>
      </c>
      <c r="N276" s="113"/>
      <c r="O276" s="459"/>
      <c r="P276" s="184" t="str">
        <f>IFERROR(IF(ISNUMBER(INDEX('M03-S07'!$AN$16:$AN$198,2*(ROWS($R$266:R276)-1)+1)),INDEX('M03-S07'!$AK$16:$AK$198,2*(ROWS($P$266:P276)-1)+1),""),"")</f>
        <v/>
      </c>
      <c r="Q276" s="184"/>
      <c r="R276" s="184">
        <f>IF(ISNUMBER(INDEX('M03-S07'!$AN$16:$AN$198,2*(ROWS($R$266:R276)-1)+1)),INDEX('M03-S07'!$AN$16:$AN$198,2*(ROWS($R$266:R276)-1)+1),0)</f>
        <v>0</v>
      </c>
      <c r="S276" s="459"/>
      <c r="T276" s="113"/>
      <c r="U276" s="140"/>
      <c r="V276" s="113"/>
      <c r="W276" s="96">
        <f>IFERROR(IF(NOT(ISNUMBER(INDEX('M03-S07'!$AN$16:$AN$198,2*(ROWS($R$266:R276)-1)+1))),INDEX('M03-S07'!$BC$16:$BC$198,2*(ROWS($R$266:R276)-1)+1),""),"")</f>
        <v>0</v>
      </c>
      <c r="X276" s="113"/>
      <c r="Y276" s="113"/>
      <c r="Z276" s="111">
        <f>INDEX('M03-S07'!$B$16:$B$196,2*(ROWS($Z$266:Z276)-1)+1)</f>
        <v>0</v>
      </c>
      <c r="AA276" s="111">
        <f>INDEX('M03-S07'!$N$16:$N$198,2*(ROWS($Z$266:AA276)-1)+1)</f>
        <v>0</v>
      </c>
      <c r="AB276" s="111">
        <f>INDEX('M03-S07'!$C$16:$C$198,2*(ROWS($Z$266:AB276)-1)+1)</f>
        <v>0</v>
      </c>
      <c r="AC276" s="96"/>
      <c r="AD276">
        <f>INDEX('M03-S07'!$X$16:$X$196,2*(ROWS($AD$266:AD276)-1)+1)</f>
        <v>0</v>
      </c>
      <c r="AE276" s="459"/>
      <c r="AF276" s="459"/>
      <c r="AG276" s="112"/>
      <c r="AH276" s="112"/>
      <c r="AI276" s="112"/>
      <c r="AJ276" s="112"/>
      <c r="AK276" s="113"/>
      <c r="AL276" s="113"/>
      <c r="AM276" s="113"/>
      <c r="AN276" s="113"/>
      <c r="AO276" s="52" t="str">
        <f>IFERROR(INDEX(PMGWATER[Program Design],MATCH(AB276,PMGWATER[Eff Desc 1],0)),"")</f>
        <v/>
      </c>
      <c r="AU276"/>
    </row>
    <row r="277" spans="1:47">
      <c r="A277" s="57">
        <f t="shared" si="17"/>
        <v>0</v>
      </c>
      <c r="B277" s="183" t="str">
        <f t="shared" si="24"/>
        <v/>
      </c>
      <c r="C277" t="str">
        <f>IFERROR(IF(R277&gt;0,INDEX(PMGWATER[Measure '#],MATCH(AB277,PMGWATER[Eff Desc 1],0)),""),"")</f>
        <v/>
      </c>
      <c r="D277" t="s">
        <v>947</v>
      </c>
      <c r="F277" s="112"/>
      <c r="G277" s="186">
        <f>INDEX('M03-S07'!$AB$16:$AB$196,2*(ROWS($G$266:G277)-1)+1)</f>
        <v>0</v>
      </c>
      <c r="H277" s="186" t="str">
        <f>IF(ISNUMBER(INDEX('M03-S07'!$AN$16:$AN$198,2*(ROWS($R$266:R277)-1)+1)),"Total","")</f>
        <v/>
      </c>
      <c r="I277" s="184">
        <f>IFERROR(ROUND(INDEX('M03-S07'!$V$16:$V$196,2*(ROWS($I$266:I277)-1)+1)*INDEX('M03-S07'!$AE$16:$AE$198,2*(ROWS($I$266:I277)-1)+1),2),0)</f>
        <v>0</v>
      </c>
      <c r="J277" s="184">
        <f>IFERROR(ROUND(INDEX('M03-S07'!$V$16:$V$196,2*(ROWS($J$266:J277)-1)+1)*INDEX('M03-S07'!$AG$16:$AG$198,2*(ROWS($J$266:J277)-1)+1),2),0)</f>
        <v>0</v>
      </c>
      <c r="K277" s="52">
        <f>IFERROR(ROUND(INDEX('M03-S07'!$AU$16:$AU$196,2*(ROWS($K$266:K277)-1)+1),2),0)</f>
        <v>0</v>
      </c>
      <c r="M277" s="456">
        <f>INDEX('M03-S07'!$V$16:$V$198,2*(ROWS($M$266:M277)-1)+1)</f>
        <v>0</v>
      </c>
      <c r="N277" s="113"/>
      <c r="O277" s="459"/>
      <c r="P277" s="184" t="str">
        <f>IFERROR(IF(ISNUMBER(INDEX('M03-S07'!$AN$16:$AN$198,2*(ROWS($R$266:R277)-1)+1)),INDEX('M03-S07'!$AK$16:$AK$198,2*(ROWS($P$266:P277)-1)+1),""),"")</f>
        <v/>
      </c>
      <c r="Q277" s="184"/>
      <c r="R277" s="184">
        <f>IF(ISNUMBER(INDEX('M03-S07'!$AN$16:$AN$198,2*(ROWS($R$266:R277)-1)+1)),INDEX('M03-S07'!$AN$16:$AN$198,2*(ROWS($R$266:R277)-1)+1),0)</f>
        <v>0</v>
      </c>
      <c r="S277" s="459"/>
      <c r="T277" s="113"/>
      <c r="U277" s="140"/>
      <c r="V277" s="113"/>
      <c r="W277" s="96">
        <f>IFERROR(IF(NOT(ISNUMBER(INDEX('M03-S07'!$AN$16:$AN$198,2*(ROWS($R$266:R277)-1)+1))),INDEX('M03-S07'!$BC$16:$BC$198,2*(ROWS($R$266:R277)-1)+1),""),"")</f>
        <v>0</v>
      </c>
      <c r="X277" s="113"/>
      <c r="Y277" s="113"/>
      <c r="Z277" s="111">
        <f>INDEX('M03-S07'!$B$16:$B$196,2*(ROWS($Z$266:Z277)-1)+1)</f>
        <v>0</v>
      </c>
      <c r="AA277" s="111">
        <f>INDEX('M03-S07'!$N$16:$N$198,2*(ROWS($Z$266:AA277)-1)+1)</f>
        <v>0</v>
      </c>
      <c r="AB277" s="111">
        <f>INDEX('M03-S07'!$C$16:$C$198,2*(ROWS($Z$266:AB277)-1)+1)</f>
        <v>0</v>
      </c>
      <c r="AC277" s="96"/>
      <c r="AD277">
        <f>INDEX('M03-S07'!$X$16:$X$196,2*(ROWS($AD$266:AD277)-1)+1)</f>
        <v>0</v>
      </c>
      <c r="AE277" s="459"/>
      <c r="AF277" s="459"/>
      <c r="AG277" s="112"/>
      <c r="AH277" s="112"/>
      <c r="AI277" s="112"/>
      <c r="AJ277" s="112"/>
      <c r="AK277" s="113"/>
      <c r="AL277" s="113"/>
      <c r="AM277" s="113"/>
      <c r="AN277" s="113"/>
      <c r="AO277" s="52" t="str">
        <f>IFERROR(INDEX(PMGWATER[Program Design],MATCH(AB277,PMGWATER[Eff Desc 1],0)),"")</f>
        <v/>
      </c>
      <c r="AU277"/>
    </row>
    <row r="278" spans="1:47">
      <c r="A278" s="57">
        <f t="shared" si="17"/>
        <v>0</v>
      </c>
      <c r="B278" s="183" t="str">
        <f t="shared" si="24"/>
        <v/>
      </c>
      <c r="C278" t="str">
        <f>IFERROR(IF(R278&gt;0,INDEX(PMGWATER[Measure '#],MATCH(AB278,PMGWATER[Eff Desc 1],0)),""),"")</f>
        <v/>
      </c>
      <c r="D278" t="s">
        <v>947</v>
      </c>
      <c r="F278" s="112"/>
      <c r="G278" s="186">
        <f>INDEX('M03-S07'!$AB$16:$AB$196,2*(ROWS($G$266:G278)-1)+1)</f>
        <v>0</v>
      </c>
      <c r="H278" s="186" t="str">
        <f>IF(ISNUMBER(INDEX('M03-S07'!$AN$16:$AN$198,2*(ROWS($R$266:R278)-1)+1)),"Total","")</f>
        <v/>
      </c>
      <c r="I278" s="184">
        <f>IFERROR(ROUND(INDEX('M03-S07'!$V$16:$V$196,2*(ROWS($I$266:I278)-1)+1)*INDEX('M03-S07'!$AE$16:$AE$198,2*(ROWS($I$266:I278)-1)+1),2),0)</f>
        <v>0</v>
      </c>
      <c r="J278" s="184">
        <f>IFERROR(ROUND(INDEX('M03-S07'!$V$16:$V$196,2*(ROWS($J$266:J278)-1)+1)*INDEX('M03-S07'!$AG$16:$AG$198,2*(ROWS($J$266:J278)-1)+1),2),0)</f>
        <v>0</v>
      </c>
      <c r="K278" s="52">
        <f>IFERROR(ROUND(INDEX('M03-S07'!$AU$16:$AU$196,2*(ROWS($K$266:K278)-1)+1),2),0)</f>
        <v>0</v>
      </c>
      <c r="M278" s="456">
        <f>INDEX('M03-S07'!$V$16:$V$198,2*(ROWS($M$266:M278)-1)+1)</f>
        <v>0</v>
      </c>
      <c r="N278" s="113"/>
      <c r="O278" s="459"/>
      <c r="P278" s="184" t="str">
        <f>IFERROR(IF(ISNUMBER(INDEX('M03-S07'!$AN$16:$AN$198,2*(ROWS($R$266:R278)-1)+1)),INDEX('M03-S07'!$AK$16:$AK$198,2*(ROWS($P$266:P278)-1)+1),""),"")</f>
        <v/>
      </c>
      <c r="Q278" s="184"/>
      <c r="R278" s="184">
        <f>IF(ISNUMBER(INDEX('M03-S07'!$AN$16:$AN$198,2*(ROWS($R$266:R278)-1)+1)),INDEX('M03-S07'!$AN$16:$AN$198,2*(ROWS($R$266:R278)-1)+1),0)</f>
        <v>0</v>
      </c>
      <c r="S278" s="459"/>
      <c r="T278" s="113"/>
      <c r="U278" s="140"/>
      <c r="V278" s="113"/>
      <c r="W278" s="96">
        <f>IFERROR(IF(NOT(ISNUMBER(INDEX('M03-S07'!$AN$16:$AN$198,2*(ROWS($R$266:R278)-1)+1))),INDEX('M03-S07'!$BC$16:$BC$198,2*(ROWS($R$266:R278)-1)+1),""),"")</f>
        <v>0</v>
      </c>
      <c r="X278" s="113"/>
      <c r="Y278" s="113"/>
      <c r="Z278" s="111">
        <f>INDEX('M03-S07'!$B$16:$B$196,2*(ROWS($Z$266:Z278)-1)+1)</f>
        <v>0</v>
      </c>
      <c r="AA278" s="111">
        <f>INDEX('M03-S07'!$N$16:$N$198,2*(ROWS($Z$266:AA278)-1)+1)</f>
        <v>0</v>
      </c>
      <c r="AB278" s="111">
        <f>INDEX('M03-S07'!$C$16:$C$198,2*(ROWS($Z$266:AB278)-1)+1)</f>
        <v>0</v>
      </c>
      <c r="AC278" s="96"/>
      <c r="AD278">
        <f>INDEX('M03-S07'!$X$16:$X$196,2*(ROWS($AD$266:AD278)-1)+1)</f>
        <v>0</v>
      </c>
      <c r="AE278" s="459"/>
      <c r="AF278" s="459"/>
      <c r="AG278" s="112"/>
      <c r="AH278" s="112"/>
      <c r="AI278" s="112"/>
      <c r="AJ278" s="112"/>
      <c r="AK278" s="113"/>
      <c r="AL278" s="113"/>
      <c r="AM278" s="113"/>
      <c r="AN278" s="113"/>
      <c r="AO278" s="52" t="str">
        <f>IFERROR(INDEX(PMGWATER[Program Design],MATCH(AB278,PMGWATER[Eff Desc 1],0)),"")</f>
        <v/>
      </c>
      <c r="AU278"/>
    </row>
    <row r="279" spans="1:47">
      <c r="A279" s="57">
        <f t="shared" si="17"/>
        <v>0</v>
      </c>
      <c r="B279" s="183" t="str">
        <f t="shared" si="24"/>
        <v/>
      </c>
      <c r="C279" t="str">
        <f>IFERROR(IF(R279&gt;0,INDEX(PMGWATER[Measure '#],MATCH(AB279,PMGWATER[Eff Desc 1],0)),""),"")</f>
        <v/>
      </c>
      <c r="D279" t="s">
        <v>947</v>
      </c>
      <c r="F279" s="112"/>
      <c r="G279" s="186">
        <f>INDEX('M03-S07'!$AB$16:$AB$196,2*(ROWS($G$266:G279)-1)+1)</f>
        <v>0</v>
      </c>
      <c r="H279" s="186" t="str">
        <f>IF(ISNUMBER(INDEX('M03-S07'!$AN$16:$AN$198,2*(ROWS($R$266:R279)-1)+1)),"Total","")</f>
        <v/>
      </c>
      <c r="I279" s="184">
        <f>IFERROR(ROUND(INDEX('M03-S07'!$V$16:$V$196,2*(ROWS($I$266:I279)-1)+1)*INDEX('M03-S07'!$AE$16:$AE$198,2*(ROWS($I$266:I279)-1)+1),2),0)</f>
        <v>0</v>
      </c>
      <c r="J279" s="184">
        <f>IFERROR(ROUND(INDEX('M03-S07'!$V$16:$V$196,2*(ROWS($J$266:J279)-1)+1)*INDEX('M03-S07'!$AG$16:$AG$198,2*(ROWS($J$266:J279)-1)+1),2),0)</f>
        <v>0</v>
      </c>
      <c r="K279" s="52">
        <f>IFERROR(ROUND(INDEX('M03-S07'!$AU$16:$AU$196,2*(ROWS($K$266:K279)-1)+1),2),0)</f>
        <v>0</v>
      </c>
      <c r="M279" s="456">
        <f>INDEX('M03-S07'!$V$16:$V$198,2*(ROWS($M$266:M279)-1)+1)</f>
        <v>0</v>
      </c>
      <c r="N279" s="113"/>
      <c r="O279" s="459"/>
      <c r="P279" s="184" t="str">
        <f>IFERROR(IF(ISNUMBER(INDEX('M03-S07'!$AN$16:$AN$198,2*(ROWS($R$266:R279)-1)+1)),INDEX('M03-S07'!$AK$16:$AK$198,2*(ROWS($P$266:P279)-1)+1),""),"")</f>
        <v/>
      </c>
      <c r="Q279" s="184"/>
      <c r="R279" s="184">
        <f>IF(ISNUMBER(INDEX('M03-S07'!$AN$16:$AN$198,2*(ROWS($R$266:R279)-1)+1)),INDEX('M03-S07'!$AN$16:$AN$198,2*(ROWS($R$266:R279)-1)+1),0)</f>
        <v>0</v>
      </c>
      <c r="S279" s="459"/>
      <c r="T279" s="113"/>
      <c r="U279" s="140"/>
      <c r="V279" s="113"/>
      <c r="W279" s="96">
        <f>IFERROR(IF(NOT(ISNUMBER(INDEX('M03-S07'!$AN$16:$AN$198,2*(ROWS($R$266:R279)-1)+1))),INDEX('M03-S07'!$BC$16:$BC$198,2*(ROWS($R$266:R279)-1)+1),""),"")</f>
        <v>0</v>
      </c>
      <c r="X279" s="113"/>
      <c r="Y279" s="113"/>
      <c r="Z279" s="111">
        <f>INDEX('M03-S07'!$B$16:$B$196,2*(ROWS($Z$266:Z279)-1)+1)</f>
        <v>0</v>
      </c>
      <c r="AA279" s="111">
        <f>INDEX('M03-S07'!$N$16:$N$198,2*(ROWS($Z$266:AA279)-1)+1)</f>
        <v>0</v>
      </c>
      <c r="AB279" s="111">
        <f>INDEX('M03-S07'!$C$16:$C$198,2*(ROWS($Z$266:AB279)-1)+1)</f>
        <v>0</v>
      </c>
      <c r="AC279" s="96"/>
      <c r="AD279">
        <f>INDEX('M03-S07'!$X$16:$X$196,2*(ROWS($AD$266:AD279)-1)+1)</f>
        <v>0</v>
      </c>
      <c r="AE279" s="459"/>
      <c r="AF279" s="459"/>
      <c r="AG279" s="112"/>
      <c r="AH279" s="112"/>
      <c r="AI279" s="112"/>
      <c r="AJ279" s="112"/>
      <c r="AK279" s="113"/>
      <c r="AL279" s="113"/>
      <c r="AM279" s="113"/>
      <c r="AN279" s="113"/>
      <c r="AO279" s="52" t="str">
        <f>IFERROR(INDEX(PMGWATER[Program Design],MATCH(AB279,PMGWATER[Eff Desc 1],0)),"")</f>
        <v/>
      </c>
      <c r="AU279"/>
    </row>
    <row r="280" spans="1:47">
      <c r="A280" s="57">
        <f t="shared" si="17"/>
        <v>0</v>
      </c>
      <c r="B280" s="183" t="str">
        <f t="shared" si="24"/>
        <v/>
      </c>
      <c r="C280" t="str">
        <f>IFERROR(IF(R280&gt;0,INDEX(PMGWATER[Measure '#],MATCH(AB280,PMGWATER[Eff Desc 1],0)),""),"")</f>
        <v/>
      </c>
      <c r="D280" t="s">
        <v>947</v>
      </c>
      <c r="F280" s="112"/>
      <c r="G280" s="186">
        <f>INDEX('M03-S07'!$AB$16:$AB$196,2*(ROWS($G$266:G280)-1)+1)</f>
        <v>0</v>
      </c>
      <c r="H280" s="186" t="str">
        <f>IF(ISNUMBER(INDEX('M03-S07'!$AN$16:$AN$198,2*(ROWS($R$266:R280)-1)+1)),"Total","")</f>
        <v/>
      </c>
      <c r="I280" s="184">
        <f>IFERROR(ROUND(INDEX('M03-S07'!$V$16:$V$196,2*(ROWS($I$266:I280)-1)+1)*INDEX('M03-S07'!$AE$16:$AE$198,2*(ROWS($I$266:I280)-1)+1),2),0)</f>
        <v>0</v>
      </c>
      <c r="J280" s="184">
        <f>IFERROR(ROUND(INDEX('M03-S07'!$V$16:$V$196,2*(ROWS($J$266:J280)-1)+1)*INDEX('M03-S07'!$AG$16:$AG$198,2*(ROWS($J$266:J280)-1)+1),2),0)</f>
        <v>0</v>
      </c>
      <c r="K280" s="52">
        <f>IFERROR(ROUND(INDEX('M03-S07'!$AU$16:$AU$196,2*(ROWS($K$266:K280)-1)+1),2),0)</f>
        <v>0</v>
      </c>
      <c r="M280" s="456">
        <f>INDEX('M03-S07'!$V$16:$V$198,2*(ROWS($M$266:M280)-1)+1)</f>
        <v>0</v>
      </c>
      <c r="N280" s="113"/>
      <c r="O280" s="459"/>
      <c r="P280" s="184" t="str">
        <f>IFERROR(IF(ISNUMBER(INDEX('M03-S07'!$AN$16:$AN$198,2*(ROWS($R$266:R280)-1)+1)),INDEX('M03-S07'!$AK$16:$AK$198,2*(ROWS($P$266:P280)-1)+1),""),"")</f>
        <v/>
      </c>
      <c r="Q280" s="184"/>
      <c r="R280" s="184">
        <f>IF(ISNUMBER(INDEX('M03-S07'!$AN$16:$AN$198,2*(ROWS($R$266:R280)-1)+1)),INDEX('M03-S07'!$AN$16:$AN$198,2*(ROWS($R$266:R280)-1)+1),0)</f>
        <v>0</v>
      </c>
      <c r="S280" s="459"/>
      <c r="T280" s="113"/>
      <c r="U280" s="140"/>
      <c r="V280" s="113"/>
      <c r="W280" s="96">
        <f>IFERROR(IF(NOT(ISNUMBER(INDEX('M03-S07'!$AN$16:$AN$198,2*(ROWS($R$266:R280)-1)+1))),INDEX('M03-S07'!$BC$16:$BC$198,2*(ROWS($R$266:R280)-1)+1),""),"")</f>
        <v>0</v>
      </c>
      <c r="X280" s="113"/>
      <c r="Y280" s="113"/>
      <c r="Z280" s="111">
        <f>INDEX('M03-S07'!$B$16:$B$196,2*(ROWS($Z$266:Z280)-1)+1)</f>
        <v>0</v>
      </c>
      <c r="AA280" s="111">
        <f>INDEX('M03-S07'!$N$16:$N$198,2*(ROWS($Z$266:AA280)-1)+1)</f>
        <v>0</v>
      </c>
      <c r="AB280" s="111">
        <f>INDEX('M03-S07'!$C$16:$C$198,2*(ROWS($Z$266:AB280)-1)+1)</f>
        <v>0</v>
      </c>
      <c r="AC280" s="96"/>
      <c r="AD280">
        <f>INDEX('M03-S07'!$X$16:$X$196,2*(ROWS($AD$266:AD280)-1)+1)</f>
        <v>0</v>
      </c>
      <c r="AE280" s="459"/>
      <c r="AF280" s="459"/>
      <c r="AG280" s="112"/>
      <c r="AH280" s="112"/>
      <c r="AI280" s="112"/>
      <c r="AJ280" s="112"/>
      <c r="AK280" s="113"/>
      <c r="AL280" s="113"/>
      <c r="AM280" s="113"/>
      <c r="AN280" s="113"/>
      <c r="AO280" s="52" t="str">
        <f>IFERROR(INDEX(PMGWATER[Program Design],MATCH(AB280,PMGWATER[Eff Desc 1],0)),"")</f>
        <v/>
      </c>
      <c r="AU280"/>
    </row>
    <row r="281" spans="1:47">
      <c r="A281" s="192" t="str">
        <f>CONCATENATE(MAIN3," ",M3S9)</f>
        <v>PRESCRIPTIVE MEASURES INPUT Agriculture (Elec/Gas)</v>
      </c>
      <c r="B281" s="148"/>
      <c r="C281" s="148"/>
      <c r="D281" s="120"/>
      <c r="E281" s="120"/>
      <c r="F281" s="124"/>
      <c r="G281" s="120"/>
      <c r="H281" s="120"/>
      <c r="I281" s="125"/>
      <c r="J281" s="125"/>
      <c r="K281" s="125"/>
      <c r="L281" s="125"/>
      <c r="M281" s="457"/>
      <c r="N281" s="125"/>
      <c r="O281" s="457"/>
      <c r="P281" s="125"/>
      <c r="Q281" s="125"/>
      <c r="R281" s="125"/>
      <c r="S281" s="460"/>
      <c r="T281" s="127"/>
      <c r="U281" s="141"/>
      <c r="V281" s="127"/>
      <c r="W281" s="126"/>
      <c r="X281" s="127"/>
      <c r="Y281" s="127"/>
      <c r="Z281" s="124"/>
      <c r="AA281" s="124"/>
      <c r="AB281" s="124"/>
      <c r="AC281" s="126"/>
      <c r="AD281" s="120"/>
      <c r="AE281" s="457"/>
      <c r="AF281" s="457"/>
      <c r="AG281" s="128"/>
      <c r="AH281" s="128"/>
      <c r="AI281" s="128"/>
      <c r="AJ281" s="128"/>
      <c r="AK281" s="127"/>
      <c r="AL281" s="127"/>
      <c r="AM281" s="127"/>
      <c r="AN281" s="127"/>
      <c r="AO281" s="127"/>
      <c r="AU281"/>
    </row>
    <row r="282" spans="1:47">
      <c r="A282" s="57">
        <f t="shared" ref="A282:A296" si="27">PROJID</f>
        <v>0</v>
      </c>
      <c r="B282" s="183" t="str">
        <f>IF(C282="","",CONCATENATE(ROW(),"-",C282))</f>
        <v/>
      </c>
      <c r="C282" t="str">
        <f>IFERROR(IF(R282&gt;0,INDEX(PMEAGG[Measure '#],MATCH(AB282,PMEAGG[Eff Desc 1],0)),""),"")</f>
        <v/>
      </c>
      <c r="D282" t="s">
        <v>947</v>
      </c>
      <c r="F282" s="112"/>
      <c r="G282" s="186">
        <f>INDEX('M03-S09'!$AB$16:$AB$196,2*(ROWS($G$282:G282)-1)+1)</f>
        <v>0</v>
      </c>
      <c r="H282" s="186" t="str">
        <f>IF(ISNUMBER(INDEX('M03-S09'!$AN$16:$AN$198,2*(ROWS($R$282:R282)-1)+1)),"Total","")</f>
        <v/>
      </c>
      <c r="I282" s="184">
        <f>IFERROR(ROUND(INDEX('M03-S09'!$AE$16:$AE$198,2*(ROWS($I$282:I282)-1)+1),2),0)</f>
        <v>0</v>
      </c>
      <c r="J282" s="184">
        <f>IFERROR(ROUND(INDEX('M03-S09'!$AG$16:$AG$198,2*(ROWS($J$282:J282)-1)+1),2),0)</f>
        <v>0</v>
      </c>
      <c r="K282" s="52">
        <f>IFERROR(ROUND(INDEX('M03-S09'!$AU$16:$AU$196,2*(ROWS($K$282:K282)-1)+1),2),0)</f>
        <v>0</v>
      </c>
      <c r="M282" s="456">
        <f>INDEX('M03-S09'!$V$16:$V$198,2*(ROWS($M$266:M266)-1)+1)</f>
        <v>0</v>
      </c>
      <c r="N282" s="184" t="str">
        <f>IF(ISNUMBER(INDEX('M03-S09'!$AN$16:$AN$198,2*(ROWS($R$282:R282)-1)+1)),INDEX('M03-S09'!$AW$16:$AW$198,2*(ROWS($N$282:N282)-1)+1),"")</f>
        <v/>
      </c>
      <c r="O282" s="456" t="str">
        <f>IFERROR(IF(ISNUMBER(INDEX('M03-S09'!$AN$16:$AN$198,2*(ROWS($R$282:R282)-1)+1)),INDEX('M03-S09'!$AV$16:$AV$198,2*(ROWS($O$282:O282)-1)+1),""),"")</f>
        <v/>
      </c>
      <c r="P282" s="113"/>
      <c r="Q282" s="113"/>
      <c r="R282" s="184">
        <f>IF(ISNUMBER(INDEX('M03-S09'!$AN$16:$AN$198,2*(ROWS($R$282:R282)-1)+1)),INDEX('M03-S09'!$AN$16:$AN$198,2*(ROWS($R$282:R282)-1)+1),0)</f>
        <v>0</v>
      </c>
      <c r="S282" s="459"/>
      <c r="T282" s="113"/>
      <c r="U282" s="140"/>
      <c r="V282" s="113"/>
      <c r="W282" s="96" t="str">
        <f>IFERROR(IF(NOT(ISNUMBER(INDEX('M03-S02'!$AN$16:$AN$198,2*(ROWS($R$282:R282)-1)+1))),INDEX('M03-S02'!$BC$16:$BC$198,2*(ROWS($R$282:R282)-1)+1),""),"")</f>
        <v/>
      </c>
      <c r="X282" s="113"/>
      <c r="Y282" s="113"/>
      <c r="Z282" s="111">
        <f>INDEX('M03-S09'!$B$16:$B$198,2*(ROWS($Z$282:Z282)-1)+1)</f>
        <v>1</v>
      </c>
      <c r="AA282" s="111" t="str">
        <f>INDEX('M03-S09'!$N$16:$N$199,2*(ROWS($Z$282:AA282)-1)+1)</f>
        <v/>
      </c>
      <c r="AB282" s="111">
        <f>INDEX('M03-S09'!$C$16:$C$198,2*(ROWS($Z$282:AB282)-1)+1)</f>
        <v>0</v>
      </c>
      <c r="AC282" s="96"/>
      <c r="AD282">
        <f>INDEX('M03-S09'!$X$16:$X$198,2*(ROWS($AD$282:AD282)-1)+1)</f>
        <v>0</v>
      </c>
      <c r="AE282" s="459"/>
      <c r="AF282" s="459"/>
      <c r="AG282" s="112"/>
      <c r="AH282" s="112"/>
      <c r="AI282" s="112"/>
      <c r="AJ282" s="112"/>
      <c r="AK282" s="113"/>
      <c r="AL282" s="113"/>
      <c r="AM282" s="113"/>
      <c r="AN282" s="113"/>
      <c r="AO282" s="52" t="str">
        <f>IFERROR(INDEX(PMEAGG[Program Design],MATCH(AB282,PMEAGG[Eff Desc 1],0)),"")</f>
        <v/>
      </c>
      <c r="AU282"/>
    </row>
    <row r="283" spans="1:47">
      <c r="A283" s="57">
        <f t="shared" si="27"/>
        <v>0</v>
      </c>
      <c r="B283" s="183" t="str">
        <f t="shared" ref="B283:B306" si="28">IF(C283="","",CONCATENATE(ROW(),"-",C283))</f>
        <v/>
      </c>
      <c r="C283" t="str">
        <f>IFERROR(IF(R283&gt;0,INDEX(PMEAGG[Measure '#],MATCH(AB283,PMEAGG[Eff Desc 1],0)),""),"")</f>
        <v/>
      </c>
      <c r="D283" t="s">
        <v>947</v>
      </c>
      <c r="F283" s="112"/>
      <c r="G283" s="186">
        <f>INDEX('M03-S09'!$AB$16:$AB$196,2*(ROWS($G$282:G283)-1)+1)</f>
        <v>0</v>
      </c>
      <c r="H283" s="186" t="str">
        <f>IF(ISNUMBER(INDEX('M03-S09'!$AN$16:$AN$198,2*(ROWS($R$282:R283)-1)+1)),"Total","")</f>
        <v/>
      </c>
      <c r="I283" s="184">
        <f>IFERROR(ROUND(INDEX('M03-S09'!$AE$16:$AE$198,2*(ROWS($I$282:I283)-1)+1),2),0)</f>
        <v>0</v>
      </c>
      <c r="J283" s="184">
        <f>IFERROR(ROUND(INDEX('M03-S09'!$AG$16:$AG$198,2*(ROWS($J$282:J283)-1)+1),2),0)</f>
        <v>0</v>
      </c>
      <c r="K283" s="52">
        <f>IFERROR(ROUND(INDEX('M03-S09'!$AU$16:$AU$196,2*(ROWS($K$282:K283)-1)+1),2),0)</f>
        <v>0</v>
      </c>
      <c r="M283" s="456">
        <f>INDEX('M03-S09'!$V$16:$V$198,2*(ROWS($M$266:M267)-1)+1)</f>
        <v>0</v>
      </c>
      <c r="N283" s="184" t="str">
        <f>IF(ISNUMBER(INDEX('M03-S09'!$AN$16:$AN$198,2*(ROWS($R$282:R283)-1)+1)),INDEX('M03-S09'!$AW$16:$AW$198,2*(ROWS($N$282:N283)-1)+1),"")</f>
        <v/>
      </c>
      <c r="O283" s="456" t="str">
        <f>IFERROR(IF(ISNUMBER(INDEX('M03-S09'!$AN$16:$AN$198,2*(ROWS($R$282:R283)-1)+1)),INDEX('M03-S09'!$AV$16:$AV$198,2*(ROWS($O$282:O283)-1)+1),""),"")</f>
        <v/>
      </c>
      <c r="P283" s="113"/>
      <c r="Q283" s="113"/>
      <c r="R283" s="184">
        <f>IF(ISNUMBER(INDEX('M03-S09'!$AN$16:$AN$198,2*(ROWS($R$282:R283)-1)+1)),INDEX('M03-S09'!$AN$16:$AN$198,2*(ROWS($R$282:R283)-1)+1),0)</f>
        <v>0</v>
      </c>
      <c r="S283" s="459"/>
      <c r="T283" s="113"/>
      <c r="U283" s="140"/>
      <c r="V283" s="113"/>
      <c r="W283" s="96"/>
      <c r="X283" s="113"/>
      <c r="Y283" s="113"/>
      <c r="Z283" s="111">
        <f>INDEX('M03-S09'!$B$16:$B$198,2*(ROWS($Z$282:Z283)-1)+1)</f>
        <v>2</v>
      </c>
      <c r="AA283" s="111" t="str">
        <f>INDEX('M03-S09'!$N$16:$N$199,2*(ROWS($Z$282:AA283)-1)+1)</f>
        <v/>
      </c>
      <c r="AB283" s="111">
        <f>INDEX('M03-S09'!$C$16:$C$198,2*(ROWS($Z$282:AB283)-1)+1)</f>
        <v>0</v>
      </c>
      <c r="AC283" s="96"/>
      <c r="AD283">
        <f>INDEX('M03-S09'!$X$16:$X$198,2*(ROWS($AD$282:AD283)-1)+1)</f>
        <v>0</v>
      </c>
      <c r="AE283" s="459"/>
      <c r="AF283" s="459"/>
      <c r="AG283" s="112"/>
      <c r="AH283" s="112"/>
      <c r="AI283" s="112"/>
      <c r="AJ283" s="112"/>
      <c r="AK283" s="113"/>
      <c r="AL283" s="113"/>
      <c r="AM283" s="113"/>
      <c r="AN283" s="113"/>
      <c r="AO283" s="52" t="str">
        <f>IFERROR(INDEX(PMEAGG[Program Design],MATCH(AB283,PMEAGG[Eff Desc 1],0)),"")</f>
        <v/>
      </c>
      <c r="AU283"/>
    </row>
    <row r="284" spans="1:47">
      <c r="A284" s="57">
        <f t="shared" si="27"/>
        <v>0</v>
      </c>
      <c r="B284" s="183" t="str">
        <f t="shared" si="28"/>
        <v/>
      </c>
      <c r="C284" t="str">
        <f>IFERROR(IF(R284&gt;0,INDEX(PMEAGG[Measure '#],MATCH(AB284,PMEAGG[Eff Desc 1],0)),""),"")</f>
        <v/>
      </c>
      <c r="D284" t="s">
        <v>947</v>
      </c>
      <c r="F284" s="112"/>
      <c r="G284" s="186">
        <f>INDEX('M03-S09'!$AB$16:$AB$196,2*(ROWS($G$282:G284)-1)+1)</f>
        <v>0</v>
      </c>
      <c r="H284" s="186" t="str">
        <f>IF(ISNUMBER(INDEX('M03-S09'!$AN$16:$AN$198,2*(ROWS($R$282:R284)-1)+1)),"Total","")</f>
        <v/>
      </c>
      <c r="I284" s="184">
        <f>IFERROR(ROUND(INDEX('M03-S09'!$AE$16:$AE$198,2*(ROWS($I$282:I284)-1)+1),2),0)</f>
        <v>0</v>
      </c>
      <c r="J284" s="184">
        <f>IFERROR(ROUND(INDEX('M03-S09'!$AG$16:$AG$198,2*(ROWS($J$282:J284)-1)+1),2),0)</f>
        <v>0</v>
      </c>
      <c r="K284" s="52">
        <f>IFERROR(ROUND(INDEX('M03-S09'!$AU$16:$AU$196,2*(ROWS($K$282:K284)-1)+1),2),0)</f>
        <v>0</v>
      </c>
      <c r="M284" s="456">
        <f>INDEX('M03-S09'!$V$16:$V$198,2*(ROWS($M$266:M268)-1)+1)</f>
        <v>0</v>
      </c>
      <c r="N284" s="184" t="str">
        <f>IF(ISNUMBER(INDEX('M03-S09'!$AN$16:$AN$198,2*(ROWS($R$282:R284)-1)+1)),INDEX('M03-S09'!$AW$16:$AW$198,2*(ROWS($N$282:N284)-1)+1),"")</f>
        <v/>
      </c>
      <c r="O284" s="456" t="str">
        <f>IFERROR(IF(ISNUMBER(INDEX('M03-S09'!$AN$16:$AN$198,2*(ROWS($R$282:R284)-1)+1)),INDEX('M03-S09'!$AV$16:$AV$198,2*(ROWS($O$282:O284)-1)+1),""),"")</f>
        <v/>
      </c>
      <c r="P284" s="113"/>
      <c r="Q284" s="113"/>
      <c r="R284" s="184">
        <f>IF(ISNUMBER(INDEX('M03-S09'!$AN$16:$AN$198,2*(ROWS($R$282:R284)-1)+1)),INDEX('M03-S09'!$AN$16:$AN$198,2*(ROWS($R$282:R284)-1)+1),0)</f>
        <v>0</v>
      </c>
      <c r="S284" s="459"/>
      <c r="T284" s="113"/>
      <c r="U284" s="140"/>
      <c r="V284" s="113"/>
      <c r="W284" s="96"/>
      <c r="X284" s="113"/>
      <c r="Y284" s="113"/>
      <c r="Z284" s="111">
        <f>INDEX('M03-S09'!$B$16:$B$198,2*(ROWS($Z$282:Z284)-1)+1)</f>
        <v>3</v>
      </c>
      <c r="AA284" s="111" t="str">
        <f>INDEX('M03-S09'!$N$16:$N$199,2*(ROWS($Z$282:AA284)-1)+1)</f>
        <v/>
      </c>
      <c r="AB284" s="111">
        <f>INDEX('M03-S09'!$C$16:$C$198,2*(ROWS($Z$282:AB284)-1)+1)</f>
        <v>0</v>
      </c>
      <c r="AC284" s="96"/>
      <c r="AD284">
        <f>INDEX('M03-S09'!$X$16:$X$198,2*(ROWS($AD$282:AD284)-1)+1)</f>
        <v>0</v>
      </c>
      <c r="AE284" s="459"/>
      <c r="AF284" s="459"/>
      <c r="AG284" s="112"/>
      <c r="AH284" s="112"/>
      <c r="AI284" s="112"/>
      <c r="AJ284" s="112"/>
      <c r="AK284" s="113"/>
      <c r="AL284" s="113"/>
      <c r="AM284" s="113"/>
      <c r="AN284" s="113"/>
      <c r="AO284" s="52" t="str">
        <f>IFERROR(INDEX(PMEAGG[Program Design],MATCH(AB284,PMEAGG[Eff Desc 1],0)),"")</f>
        <v/>
      </c>
      <c r="AU284"/>
    </row>
    <row r="285" spans="1:47">
      <c r="A285" s="57">
        <f t="shared" si="27"/>
        <v>0</v>
      </c>
      <c r="B285" s="183" t="str">
        <f t="shared" si="28"/>
        <v/>
      </c>
      <c r="C285" t="str">
        <f>IFERROR(IF(R285&gt;0,INDEX(PMEAGG[Measure '#],MATCH(AB285,PMEAGG[Eff Desc 1],0)),""),"")</f>
        <v/>
      </c>
      <c r="D285" t="s">
        <v>947</v>
      </c>
      <c r="F285" s="112"/>
      <c r="G285" s="186">
        <f>INDEX('M03-S09'!$AB$16:$AB$196,2*(ROWS($G$282:G285)-1)+1)</f>
        <v>0</v>
      </c>
      <c r="H285" s="186" t="str">
        <f>IF(ISNUMBER(INDEX('M03-S09'!$AN$16:$AN$198,2*(ROWS($R$282:R285)-1)+1)),"Total","")</f>
        <v/>
      </c>
      <c r="I285" s="184">
        <f>IFERROR(ROUND(INDEX('M03-S09'!$AE$16:$AE$198,2*(ROWS($I$282:I285)-1)+1),2),0)</f>
        <v>0</v>
      </c>
      <c r="J285" s="184">
        <f>IFERROR(ROUND(INDEX('M03-S09'!$AG$16:$AG$198,2*(ROWS($J$282:J285)-1)+1),2),0)</f>
        <v>0</v>
      </c>
      <c r="K285" s="52">
        <f>IFERROR(ROUND(INDEX('M03-S09'!$AU$16:$AU$196,2*(ROWS($K$282:K285)-1)+1),2),0)</f>
        <v>0</v>
      </c>
      <c r="M285" s="456">
        <f>INDEX('M03-S09'!$V$16:$V$198,2*(ROWS($M$266:M269)-1)+1)</f>
        <v>0</v>
      </c>
      <c r="N285" s="184" t="str">
        <f>IF(ISNUMBER(INDEX('M03-S09'!$AN$16:$AN$198,2*(ROWS($R$282:R285)-1)+1)),INDEX('M03-S09'!$AW$16:$AW$198,2*(ROWS($N$282:N285)-1)+1),"")</f>
        <v/>
      </c>
      <c r="O285" s="456" t="str">
        <f>IFERROR(IF(ISNUMBER(INDEX('M03-S09'!$AN$16:$AN$198,2*(ROWS($R$282:R285)-1)+1)),INDEX('M03-S09'!$AV$16:$AV$198,2*(ROWS($O$282:O285)-1)+1),""),"")</f>
        <v/>
      </c>
      <c r="P285" s="113"/>
      <c r="Q285" s="113"/>
      <c r="R285" s="184">
        <f>IF(ISNUMBER(INDEX('M03-S09'!$AN$16:$AN$198,2*(ROWS($R$282:R285)-1)+1)),INDEX('M03-S09'!$AN$16:$AN$198,2*(ROWS($R$282:R285)-1)+1),0)</f>
        <v>0</v>
      </c>
      <c r="S285" s="459"/>
      <c r="T285" s="113"/>
      <c r="U285" s="140"/>
      <c r="V285" s="113"/>
      <c r="W285" s="96"/>
      <c r="X285" s="113"/>
      <c r="Y285" s="113"/>
      <c r="Z285" s="111">
        <f>INDEX('M03-S09'!$B$16:$B$198,2*(ROWS($Z$282:Z285)-1)+1)</f>
        <v>4</v>
      </c>
      <c r="AA285" s="111" t="str">
        <f>INDEX('M03-S09'!$N$16:$N$199,2*(ROWS($Z$282:AA285)-1)+1)</f>
        <v/>
      </c>
      <c r="AB285" s="111">
        <f>INDEX('M03-S09'!$C$16:$C$198,2*(ROWS($Z$282:AB285)-1)+1)</f>
        <v>0</v>
      </c>
      <c r="AC285" s="96"/>
      <c r="AD285">
        <f>INDEX('M03-S09'!$X$16:$X$198,2*(ROWS($AD$282:AD285)-1)+1)</f>
        <v>0</v>
      </c>
      <c r="AE285" s="459"/>
      <c r="AF285" s="459"/>
      <c r="AG285" s="112"/>
      <c r="AH285" s="112"/>
      <c r="AI285" s="112"/>
      <c r="AJ285" s="112"/>
      <c r="AK285" s="113"/>
      <c r="AL285" s="113"/>
      <c r="AM285" s="113"/>
      <c r="AN285" s="113"/>
      <c r="AO285" s="52" t="str">
        <f>IFERROR(INDEX(PMEAGG[Program Design],MATCH(AB285,PMEAGG[Eff Desc 1],0)),"")</f>
        <v/>
      </c>
      <c r="AU285"/>
    </row>
    <row r="286" spans="1:47">
      <c r="A286" s="57">
        <f t="shared" si="27"/>
        <v>0</v>
      </c>
      <c r="B286" s="183" t="str">
        <f t="shared" si="28"/>
        <v/>
      </c>
      <c r="C286" t="str">
        <f>IFERROR(IF(R286&gt;0,INDEX(PMEAGG[Measure '#],MATCH(AB286,PMEAGG[Eff Desc 1],0)),""),"")</f>
        <v/>
      </c>
      <c r="D286" t="s">
        <v>947</v>
      </c>
      <c r="F286" s="112"/>
      <c r="G286" s="186">
        <f>INDEX('M03-S09'!$AB$16:$AB$196,2*(ROWS($G$282:G286)-1)+1)</f>
        <v>0</v>
      </c>
      <c r="H286" s="186" t="str">
        <f>IF(ISNUMBER(INDEX('M03-S09'!$AN$16:$AN$198,2*(ROWS($R$282:R286)-1)+1)),"Total","")</f>
        <v/>
      </c>
      <c r="I286" s="184">
        <f>IFERROR(ROUND(INDEX('M03-S09'!$AE$16:$AE$198,2*(ROWS($I$282:I286)-1)+1),2),0)</f>
        <v>0</v>
      </c>
      <c r="J286" s="184">
        <f>IFERROR(ROUND(INDEX('M03-S09'!$AG$16:$AG$198,2*(ROWS($J$282:J286)-1)+1),2),0)</f>
        <v>0</v>
      </c>
      <c r="K286" s="52">
        <f>IFERROR(ROUND(INDEX('M03-S09'!$AU$16:$AU$196,2*(ROWS($K$282:K286)-1)+1),2),0)</f>
        <v>0</v>
      </c>
      <c r="M286" s="456">
        <f>INDEX('M03-S09'!$V$16:$V$198,2*(ROWS($M$266:M270)-1)+1)</f>
        <v>0</v>
      </c>
      <c r="N286" s="184" t="str">
        <f>IF(ISNUMBER(INDEX('M03-S09'!$AN$16:$AN$198,2*(ROWS($R$282:R286)-1)+1)),INDEX('M03-S09'!$AW$16:$AW$198,2*(ROWS($N$282:N286)-1)+1),"")</f>
        <v/>
      </c>
      <c r="O286" s="456" t="str">
        <f>IFERROR(IF(ISNUMBER(INDEX('M03-S09'!$AN$16:$AN$198,2*(ROWS($R$282:R286)-1)+1)),INDEX('M03-S09'!$AV$16:$AV$198,2*(ROWS($O$282:O286)-1)+1),""),"")</f>
        <v/>
      </c>
      <c r="P286" s="113"/>
      <c r="Q286" s="113"/>
      <c r="R286" s="184">
        <f>IF(ISNUMBER(INDEX('M03-S09'!$AN$16:$AN$198,2*(ROWS($R$282:R286)-1)+1)),INDEX('M03-S09'!$AN$16:$AN$198,2*(ROWS($R$282:R286)-1)+1),0)</f>
        <v>0</v>
      </c>
      <c r="S286" s="459"/>
      <c r="T286" s="113"/>
      <c r="U286" s="140"/>
      <c r="V286" s="113"/>
      <c r="W286" s="96"/>
      <c r="X286" s="113"/>
      <c r="Y286" s="113"/>
      <c r="Z286" s="111">
        <f>INDEX('M03-S09'!$B$16:$B$198,2*(ROWS($Z$282:Z286)-1)+1)</f>
        <v>5</v>
      </c>
      <c r="AA286" s="111" t="str">
        <f>INDEX('M03-S09'!$N$16:$N$199,2*(ROWS($Z$282:AA286)-1)+1)</f>
        <v/>
      </c>
      <c r="AB286" s="111">
        <f>INDEX('M03-S09'!$C$16:$C$198,2*(ROWS($Z$282:AB286)-1)+1)</f>
        <v>0</v>
      </c>
      <c r="AC286" s="96"/>
      <c r="AD286">
        <f>INDEX('M03-S09'!$X$16:$X$198,2*(ROWS($AD$282:AD286)-1)+1)</f>
        <v>0</v>
      </c>
      <c r="AE286" s="459"/>
      <c r="AF286" s="459"/>
      <c r="AG286" s="112"/>
      <c r="AH286" s="112"/>
      <c r="AI286" s="112"/>
      <c r="AJ286" s="112"/>
      <c r="AK286" s="113"/>
      <c r="AL286" s="113"/>
      <c r="AM286" s="113"/>
      <c r="AN286" s="113"/>
      <c r="AO286" s="52" t="str">
        <f>IFERROR(INDEX(PMEAGG[Program Design],MATCH(AB286,PMEAGG[Eff Desc 1],0)),"")</f>
        <v/>
      </c>
      <c r="AU286"/>
    </row>
    <row r="287" spans="1:47">
      <c r="A287" s="57">
        <f t="shared" si="27"/>
        <v>0</v>
      </c>
      <c r="B287" s="183" t="str">
        <f t="shared" si="28"/>
        <v/>
      </c>
      <c r="C287" t="str">
        <f>IFERROR(IF(R287&gt;0,INDEX(PMEAGG[Measure '#],MATCH(AB287,PMEAGG[Eff Desc 1],0)),""),"")</f>
        <v/>
      </c>
      <c r="D287" t="s">
        <v>947</v>
      </c>
      <c r="F287" s="112"/>
      <c r="G287" s="186">
        <f>INDEX('M03-S09'!$AB$16:$AB$196,2*(ROWS($G$282:G287)-1)+1)</f>
        <v>0</v>
      </c>
      <c r="H287" s="186" t="str">
        <f>IF(ISNUMBER(INDEX('M03-S09'!$AN$16:$AN$198,2*(ROWS($R$282:R287)-1)+1)),"Total","")</f>
        <v/>
      </c>
      <c r="I287" s="184">
        <f>IFERROR(ROUND(INDEX('M03-S09'!$AE$16:$AE$198,2*(ROWS($I$282:I287)-1)+1),2),0)</f>
        <v>0</v>
      </c>
      <c r="J287" s="184">
        <f>IFERROR(ROUND(INDEX('M03-S09'!$AG$16:$AG$198,2*(ROWS($J$282:J287)-1)+1),2),0)</f>
        <v>0</v>
      </c>
      <c r="K287" s="52">
        <f>IFERROR(ROUND(INDEX('M03-S09'!$AU$16:$AU$196,2*(ROWS($K$282:K287)-1)+1),2),0)</f>
        <v>0</v>
      </c>
      <c r="M287" s="456">
        <f>INDEX('M03-S09'!$V$16:$V$198,2*(ROWS($M$266:M271)-1)+1)</f>
        <v>0</v>
      </c>
      <c r="N287" s="184" t="str">
        <f>IF(ISNUMBER(INDEX('M03-S09'!$AN$16:$AN$198,2*(ROWS($R$282:R287)-1)+1)),INDEX('M03-S09'!$AW$16:$AW$198,2*(ROWS($N$282:N287)-1)+1),"")</f>
        <v/>
      </c>
      <c r="O287" s="456" t="str">
        <f>IFERROR(IF(ISNUMBER(INDEX('M03-S09'!$AN$16:$AN$198,2*(ROWS($R$282:R287)-1)+1)),INDEX('M03-S09'!$AV$16:$AV$198,2*(ROWS($O$282:O287)-1)+1),""),"")</f>
        <v/>
      </c>
      <c r="P287" s="113"/>
      <c r="Q287" s="113"/>
      <c r="R287" s="184">
        <f>IF(ISNUMBER(INDEX('M03-S09'!$AN$16:$AN$198,2*(ROWS($R$282:R287)-1)+1)),INDEX('M03-S09'!$AN$16:$AN$198,2*(ROWS($R$282:R287)-1)+1),0)</f>
        <v>0</v>
      </c>
      <c r="S287" s="459"/>
      <c r="T287" s="113"/>
      <c r="U287" s="140"/>
      <c r="V287" s="113"/>
      <c r="W287" s="96"/>
      <c r="X287" s="113"/>
      <c r="Y287" s="113"/>
      <c r="Z287" s="111">
        <f>INDEX('M03-S09'!$B$16:$B$198,2*(ROWS($Z$282:Z287)-1)+1)</f>
        <v>6</v>
      </c>
      <c r="AA287" s="111" t="str">
        <f>INDEX('M03-S09'!$N$16:$N$199,2*(ROWS($Z$282:AA287)-1)+1)</f>
        <v/>
      </c>
      <c r="AB287" s="111">
        <f>INDEX('M03-S09'!$C$16:$C$198,2*(ROWS($Z$282:AB287)-1)+1)</f>
        <v>0</v>
      </c>
      <c r="AC287" s="96"/>
      <c r="AD287">
        <f>INDEX('M03-S09'!$X$16:$X$198,2*(ROWS($AD$282:AD287)-1)+1)</f>
        <v>0</v>
      </c>
      <c r="AE287" s="459"/>
      <c r="AF287" s="459"/>
      <c r="AG287" s="112"/>
      <c r="AH287" s="112"/>
      <c r="AI287" s="112"/>
      <c r="AJ287" s="112"/>
      <c r="AK287" s="113"/>
      <c r="AL287" s="113"/>
      <c r="AM287" s="113"/>
      <c r="AN287" s="113"/>
      <c r="AO287" s="52" t="str">
        <f>IFERROR(INDEX(PMEAGG[Program Design],MATCH(AB287,PMEAGG[Eff Desc 1],0)),"")</f>
        <v/>
      </c>
      <c r="AU287"/>
    </row>
    <row r="288" spans="1:47">
      <c r="A288" s="57">
        <f t="shared" si="27"/>
        <v>0</v>
      </c>
      <c r="B288" s="183" t="str">
        <f t="shared" si="28"/>
        <v/>
      </c>
      <c r="C288" t="str">
        <f>IFERROR(IF(R288&gt;0,INDEX(PMEAGG[Measure '#],MATCH(AB288,PMEAGG[Eff Desc 1],0)),""),"")</f>
        <v/>
      </c>
      <c r="D288" t="s">
        <v>947</v>
      </c>
      <c r="F288" s="112"/>
      <c r="G288" s="186">
        <f>INDEX('M03-S09'!$AB$16:$AB$196,2*(ROWS($G$282:G288)-1)+1)</f>
        <v>0</v>
      </c>
      <c r="H288" s="186" t="str">
        <f>IF(ISNUMBER(INDEX('M03-S09'!$AN$16:$AN$198,2*(ROWS($R$282:R288)-1)+1)),"Total","")</f>
        <v/>
      </c>
      <c r="I288" s="184">
        <f>IFERROR(ROUND(INDEX('M03-S09'!$AE$16:$AE$198,2*(ROWS($I$282:I288)-1)+1),2),0)</f>
        <v>0</v>
      </c>
      <c r="J288" s="184">
        <f>IFERROR(ROUND(INDEX('M03-S09'!$AG$16:$AG$198,2*(ROWS($J$282:J288)-1)+1),2),0)</f>
        <v>0</v>
      </c>
      <c r="K288" s="52">
        <f>IFERROR(ROUND(INDEX('M03-S09'!$AU$16:$AU$196,2*(ROWS($K$282:K288)-1)+1),2),0)</f>
        <v>0</v>
      </c>
      <c r="M288" s="456">
        <f>INDEX('M03-S09'!$V$16:$V$198,2*(ROWS($M$266:M272)-1)+1)</f>
        <v>0</v>
      </c>
      <c r="N288" s="184" t="str">
        <f>IF(ISNUMBER(INDEX('M03-S09'!$AN$16:$AN$198,2*(ROWS($R$282:R288)-1)+1)),INDEX('M03-S09'!$AW$16:$AW$198,2*(ROWS($N$282:N288)-1)+1),"")</f>
        <v/>
      </c>
      <c r="O288" s="456" t="str">
        <f>IFERROR(IF(ISNUMBER(INDEX('M03-S09'!$AN$16:$AN$198,2*(ROWS($R$282:R288)-1)+1)),INDEX('M03-S09'!$AV$16:$AV$198,2*(ROWS($O$282:O288)-1)+1),""),"")</f>
        <v/>
      </c>
      <c r="P288" s="113"/>
      <c r="Q288" s="113"/>
      <c r="R288" s="184">
        <f>IF(ISNUMBER(INDEX('M03-S09'!$AN$16:$AN$198,2*(ROWS($R$282:R288)-1)+1)),INDEX('M03-S09'!$AN$16:$AN$198,2*(ROWS($R$282:R288)-1)+1),0)</f>
        <v>0</v>
      </c>
      <c r="S288" s="459"/>
      <c r="T288" s="113"/>
      <c r="U288" s="140"/>
      <c r="V288" s="113"/>
      <c r="W288" s="96"/>
      <c r="X288" s="113"/>
      <c r="Y288" s="113"/>
      <c r="Z288" s="111">
        <f>INDEX('M03-S09'!$B$16:$B$198,2*(ROWS($Z$282:Z288)-1)+1)</f>
        <v>7</v>
      </c>
      <c r="AA288" s="111" t="str">
        <f>INDEX('M03-S09'!$N$16:$N$199,2*(ROWS($Z$282:AA288)-1)+1)</f>
        <v/>
      </c>
      <c r="AB288" s="111">
        <f>INDEX('M03-S09'!$C$16:$C$198,2*(ROWS($Z$282:AB288)-1)+1)</f>
        <v>0</v>
      </c>
      <c r="AC288" s="96"/>
      <c r="AD288">
        <f>INDEX('M03-S09'!$X$16:$X$198,2*(ROWS($AD$282:AD288)-1)+1)</f>
        <v>0</v>
      </c>
      <c r="AE288" s="459"/>
      <c r="AF288" s="459"/>
      <c r="AG288" s="112"/>
      <c r="AH288" s="112"/>
      <c r="AI288" s="112"/>
      <c r="AJ288" s="112"/>
      <c r="AK288" s="113"/>
      <c r="AL288" s="113"/>
      <c r="AM288" s="113"/>
      <c r="AN288" s="113"/>
      <c r="AO288" s="52" t="str">
        <f>IFERROR(INDEX(PMEAGG[Program Design],MATCH(AB288,PMEAGG[Eff Desc 1],0)),"")</f>
        <v/>
      </c>
      <c r="AU288"/>
    </row>
    <row r="289" spans="1:47">
      <c r="A289" s="57">
        <f t="shared" si="27"/>
        <v>0</v>
      </c>
      <c r="B289" s="183" t="str">
        <f t="shared" si="28"/>
        <v/>
      </c>
      <c r="C289" t="str">
        <f>IFERROR(IF(R289&gt;0,INDEX(PMEAGG[Measure '#],MATCH(AB289,PMEAGG[Eff Desc 1],0)),""),"")</f>
        <v/>
      </c>
      <c r="D289" t="s">
        <v>947</v>
      </c>
      <c r="F289" s="112"/>
      <c r="G289" s="186">
        <f>INDEX('M03-S09'!$AB$16:$AB$196,2*(ROWS($G$282:G289)-1)+1)</f>
        <v>0</v>
      </c>
      <c r="H289" s="186" t="str">
        <f>IF(ISNUMBER(INDEX('M03-S09'!$AN$16:$AN$198,2*(ROWS($R$282:R289)-1)+1)),"Total","")</f>
        <v/>
      </c>
      <c r="I289" s="184">
        <f>IFERROR(ROUND(INDEX('M03-S09'!$AE$16:$AE$198,2*(ROWS($I$282:I289)-1)+1),2),0)</f>
        <v>0</v>
      </c>
      <c r="J289" s="184">
        <f>IFERROR(ROUND(INDEX('M03-S09'!$AG$16:$AG$198,2*(ROWS($J$282:J289)-1)+1),2),0)</f>
        <v>0</v>
      </c>
      <c r="K289" s="52">
        <f>IFERROR(ROUND(INDEX('M03-S09'!$AU$16:$AU$196,2*(ROWS($K$282:K289)-1)+1),2),0)</f>
        <v>0</v>
      </c>
      <c r="M289" s="456">
        <f>INDEX('M03-S09'!$V$16:$V$198,2*(ROWS($M$266:M273)-1)+1)</f>
        <v>0</v>
      </c>
      <c r="N289" s="184" t="str">
        <f>IF(ISNUMBER(INDEX('M03-S09'!$AN$16:$AN$198,2*(ROWS($R$282:R289)-1)+1)),INDEX('M03-S09'!$AW$16:$AW$198,2*(ROWS($N$282:N289)-1)+1),"")</f>
        <v/>
      </c>
      <c r="O289" s="456" t="str">
        <f>IFERROR(IF(ISNUMBER(INDEX('M03-S09'!$AN$16:$AN$198,2*(ROWS($R$282:R289)-1)+1)),INDEX('M03-S09'!$AV$16:$AV$198,2*(ROWS($O$282:O289)-1)+1),""),"")</f>
        <v/>
      </c>
      <c r="P289" s="113"/>
      <c r="Q289" s="113"/>
      <c r="R289" s="184">
        <f>IF(ISNUMBER(INDEX('M03-S09'!$AN$16:$AN$198,2*(ROWS($R$282:R289)-1)+1)),INDEX('M03-S09'!$AN$16:$AN$198,2*(ROWS($R$282:R289)-1)+1),0)</f>
        <v>0</v>
      </c>
      <c r="S289" s="459"/>
      <c r="T289" s="113"/>
      <c r="U289" s="140"/>
      <c r="V289" s="113"/>
      <c r="W289" s="96"/>
      <c r="X289" s="113"/>
      <c r="Y289" s="113"/>
      <c r="Z289" s="111">
        <f>INDEX('M03-S09'!$B$16:$B$198,2*(ROWS($Z$282:Z289)-1)+1)</f>
        <v>8</v>
      </c>
      <c r="AA289" s="111" t="str">
        <f>INDEX('M03-S09'!$N$16:$N$199,2*(ROWS($Z$282:AA289)-1)+1)</f>
        <v/>
      </c>
      <c r="AB289" s="111">
        <f>INDEX('M03-S09'!$C$16:$C$198,2*(ROWS($Z$282:AB289)-1)+1)</f>
        <v>0</v>
      </c>
      <c r="AC289" s="96"/>
      <c r="AD289">
        <f>INDEX('M03-S09'!$X$16:$X$198,2*(ROWS($AD$282:AD289)-1)+1)</f>
        <v>0</v>
      </c>
      <c r="AE289" s="459"/>
      <c r="AF289" s="459"/>
      <c r="AG289" s="112"/>
      <c r="AH289" s="112"/>
      <c r="AI289" s="112"/>
      <c r="AJ289" s="112"/>
      <c r="AK289" s="113"/>
      <c r="AL289" s="113"/>
      <c r="AM289" s="113"/>
      <c r="AN289" s="113"/>
      <c r="AO289" s="52" t="str">
        <f>IFERROR(INDEX(PMEAGG[Program Design],MATCH(AB289,PMEAGG[Eff Desc 1],0)),"")</f>
        <v/>
      </c>
      <c r="AU289"/>
    </row>
    <row r="290" spans="1:47">
      <c r="A290" s="57">
        <f t="shared" si="27"/>
        <v>0</v>
      </c>
      <c r="B290" s="183" t="str">
        <f t="shared" si="28"/>
        <v/>
      </c>
      <c r="C290" t="str">
        <f>IFERROR(IF(R290&gt;0,INDEX(PMEAGG[Measure '#],MATCH(AB290,PMEAGG[Eff Desc 1],0)),""),"")</f>
        <v/>
      </c>
      <c r="D290" t="s">
        <v>947</v>
      </c>
      <c r="F290" s="112"/>
      <c r="G290" s="186">
        <f>INDEX('M03-S09'!$AB$16:$AB$196,2*(ROWS($G$282:G290)-1)+1)</f>
        <v>0</v>
      </c>
      <c r="H290" s="186" t="str">
        <f>IF(ISNUMBER(INDEX('M03-S09'!$AN$16:$AN$198,2*(ROWS($R$282:R290)-1)+1)),"Total","")</f>
        <v/>
      </c>
      <c r="I290" s="184">
        <f>IFERROR(ROUND(INDEX('M03-S09'!$AE$16:$AE$198,2*(ROWS($I$282:I290)-1)+1),2),0)</f>
        <v>0</v>
      </c>
      <c r="J290" s="184">
        <f>IFERROR(ROUND(INDEX('M03-S09'!$AG$16:$AG$198,2*(ROWS($J$282:J290)-1)+1),2),0)</f>
        <v>0</v>
      </c>
      <c r="K290" s="52">
        <f>IFERROR(ROUND(INDEX('M03-S09'!$AU$16:$AU$196,2*(ROWS($K$282:K290)-1)+1),2),0)</f>
        <v>0</v>
      </c>
      <c r="M290" s="456">
        <f>INDEX('M03-S09'!$V$16:$V$198,2*(ROWS($M$266:M274)-1)+1)</f>
        <v>0</v>
      </c>
      <c r="N290" s="184" t="str">
        <f>IF(ISNUMBER(INDEX('M03-S09'!$AN$16:$AN$198,2*(ROWS($R$282:R290)-1)+1)),INDEX('M03-S09'!$AW$16:$AW$198,2*(ROWS($N$282:N290)-1)+1),"")</f>
        <v/>
      </c>
      <c r="O290" s="456" t="str">
        <f>IFERROR(IF(ISNUMBER(INDEX('M03-S09'!$AN$16:$AN$198,2*(ROWS($R$282:R290)-1)+1)),INDEX('M03-S09'!$AV$16:$AV$198,2*(ROWS($O$282:O290)-1)+1),""),"")</f>
        <v/>
      </c>
      <c r="P290" s="113"/>
      <c r="Q290" s="113"/>
      <c r="R290" s="184">
        <f>IF(ISNUMBER(INDEX('M03-S09'!$AN$16:$AN$198,2*(ROWS($R$282:R290)-1)+1)),INDEX('M03-S09'!$AN$16:$AN$198,2*(ROWS($R$282:R290)-1)+1),0)</f>
        <v>0</v>
      </c>
      <c r="S290" s="459"/>
      <c r="T290" s="113"/>
      <c r="U290" s="140"/>
      <c r="V290" s="113"/>
      <c r="W290" s="96"/>
      <c r="X290" s="113"/>
      <c r="Y290" s="113"/>
      <c r="Z290" s="111">
        <f>INDEX('M03-S09'!$B$16:$B$198,2*(ROWS($Z$282:Z290)-1)+1)</f>
        <v>9</v>
      </c>
      <c r="AA290" s="111" t="str">
        <f>INDEX('M03-S09'!$N$16:$N$199,2*(ROWS($Z$282:AA290)-1)+1)</f>
        <v/>
      </c>
      <c r="AB290" s="111">
        <f>INDEX('M03-S09'!$C$16:$C$198,2*(ROWS($Z$282:AB290)-1)+1)</f>
        <v>0</v>
      </c>
      <c r="AC290" s="96"/>
      <c r="AD290">
        <f>INDEX('M03-S09'!$X$16:$X$198,2*(ROWS($AD$282:AD290)-1)+1)</f>
        <v>0</v>
      </c>
      <c r="AE290" s="459"/>
      <c r="AF290" s="459"/>
      <c r="AG290" s="112"/>
      <c r="AH290" s="112"/>
      <c r="AI290" s="112"/>
      <c r="AJ290" s="112"/>
      <c r="AK290" s="113"/>
      <c r="AL290" s="113"/>
      <c r="AM290" s="113"/>
      <c r="AN290" s="113"/>
      <c r="AO290" s="52" t="str">
        <f>IFERROR(INDEX(PMEAGG[Program Design],MATCH(AB290,PMEAGG[Eff Desc 1],0)),"")</f>
        <v/>
      </c>
      <c r="AU290"/>
    </row>
    <row r="291" spans="1:47">
      <c r="A291" s="57">
        <f t="shared" si="27"/>
        <v>0</v>
      </c>
      <c r="B291" s="183" t="str">
        <f t="shared" si="28"/>
        <v/>
      </c>
      <c r="C291" t="str">
        <f>IFERROR(IF(R291&gt;0,INDEX(PMEAGG[Measure '#],MATCH(AB291,PMEAGG[Eff Desc 1],0)),""),"")</f>
        <v/>
      </c>
      <c r="D291" t="s">
        <v>947</v>
      </c>
      <c r="F291" s="112"/>
      <c r="G291" s="186">
        <f>INDEX('M03-S09'!$AB$16:$AB$196,2*(ROWS($G$282:G291)-1)+1)</f>
        <v>0</v>
      </c>
      <c r="H291" s="186" t="str">
        <f>IF(ISNUMBER(INDEX('M03-S09'!$AN$16:$AN$198,2*(ROWS($R$282:R291)-1)+1)),"Total","")</f>
        <v/>
      </c>
      <c r="I291" s="184">
        <f>IFERROR(ROUND(INDEX('M03-S09'!$AE$16:$AE$198,2*(ROWS($I$282:I291)-1)+1),2),0)</f>
        <v>0</v>
      </c>
      <c r="J291" s="184">
        <f>IFERROR(ROUND(INDEX('M03-S09'!$AG$16:$AG$198,2*(ROWS($J$282:J291)-1)+1),2),0)</f>
        <v>0</v>
      </c>
      <c r="K291" s="52">
        <f>IFERROR(ROUND(INDEX('M03-S09'!$AU$16:$AU$196,2*(ROWS($K$282:K291)-1)+1),2),0)</f>
        <v>0</v>
      </c>
      <c r="M291" s="456">
        <f>INDEX('M03-S09'!$V$16:$V$198,2*(ROWS($M$266:M275)-1)+1)</f>
        <v>0</v>
      </c>
      <c r="N291" s="184" t="str">
        <f>IF(ISNUMBER(INDEX('M03-S09'!$AN$16:$AN$198,2*(ROWS($R$282:R291)-1)+1)),INDEX('M03-S09'!$AW$16:$AW$198,2*(ROWS($N$282:N291)-1)+1),"")</f>
        <v/>
      </c>
      <c r="O291" s="456" t="str">
        <f>IFERROR(IF(ISNUMBER(INDEX('M03-S09'!$AN$16:$AN$198,2*(ROWS($R$282:R291)-1)+1)),INDEX('M03-S09'!$AV$16:$AV$198,2*(ROWS($O$282:O291)-1)+1),""),"")</f>
        <v/>
      </c>
      <c r="P291" s="113"/>
      <c r="Q291" s="113"/>
      <c r="R291" s="184">
        <f>IF(ISNUMBER(INDEX('M03-S09'!$AN$16:$AN$198,2*(ROWS($R$282:R291)-1)+1)),INDEX('M03-S09'!$AN$16:$AN$198,2*(ROWS($R$282:R291)-1)+1),0)</f>
        <v>0</v>
      </c>
      <c r="S291" s="459"/>
      <c r="T291" s="113"/>
      <c r="U291" s="140"/>
      <c r="V291" s="113"/>
      <c r="W291" s="96"/>
      <c r="X291" s="113"/>
      <c r="Y291" s="113"/>
      <c r="Z291" s="111">
        <f>INDEX('M03-S09'!$B$16:$B$198,2*(ROWS($Z$282:Z291)-1)+1)</f>
        <v>10</v>
      </c>
      <c r="AA291" s="111" t="str">
        <f>INDEX('M03-S09'!$N$16:$N$199,2*(ROWS($Z$282:AA291)-1)+1)</f>
        <v/>
      </c>
      <c r="AB291" s="111">
        <f>INDEX('M03-S09'!$C$16:$C$198,2*(ROWS($Z$282:AB291)-1)+1)</f>
        <v>0</v>
      </c>
      <c r="AC291" s="96"/>
      <c r="AD291">
        <f>INDEX('M03-S09'!$X$16:$X$198,2*(ROWS($AD$282:AD291)-1)+1)</f>
        <v>0</v>
      </c>
      <c r="AE291" s="459"/>
      <c r="AF291" s="459"/>
      <c r="AG291" s="112"/>
      <c r="AH291" s="112"/>
      <c r="AI291" s="112"/>
      <c r="AJ291" s="112"/>
      <c r="AK291" s="113"/>
      <c r="AL291" s="113"/>
      <c r="AM291" s="113"/>
      <c r="AN291" s="113"/>
      <c r="AO291" s="52" t="str">
        <f>IFERROR(INDEX(PMEAGG[Program Design],MATCH(AB291,PMEAGG[Eff Desc 1],0)),"")</f>
        <v/>
      </c>
      <c r="AU291"/>
    </row>
    <row r="292" spans="1:47">
      <c r="A292" s="57">
        <f t="shared" si="27"/>
        <v>0</v>
      </c>
      <c r="B292" s="183" t="str">
        <f t="shared" si="28"/>
        <v/>
      </c>
      <c r="C292" t="str">
        <f>IFERROR(IF(R292&gt;0,INDEX(PMEAGG[Measure '#],MATCH(AB292,PMEAGG[Eff Desc 1],0)),""),"")</f>
        <v/>
      </c>
      <c r="D292" t="s">
        <v>947</v>
      </c>
      <c r="F292" s="112"/>
      <c r="G292" s="186">
        <f>INDEX('M03-S09'!$AB$16:$AB$196,2*(ROWS($G$282:G292)-1)+1)</f>
        <v>0</v>
      </c>
      <c r="H292" s="186" t="str">
        <f>IF(ISNUMBER(INDEX('M03-S09'!$AN$16:$AN$198,2*(ROWS($R$282:R292)-1)+1)),"Total","")</f>
        <v/>
      </c>
      <c r="I292" s="184">
        <f>IFERROR(ROUND(INDEX('M03-S09'!$AE$16:$AE$198,2*(ROWS($I$282:I292)-1)+1),2),0)</f>
        <v>0</v>
      </c>
      <c r="J292" s="184">
        <f>IFERROR(ROUND(INDEX('M03-S09'!$AG$16:$AG$198,2*(ROWS($J$282:J292)-1)+1),2),0)</f>
        <v>0</v>
      </c>
      <c r="K292" s="52">
        <f>IFERROR(ROUND(INDEX('M03-S09'!$AU$16:$AU$196,2*(ROWS($K$282:K292)-1)+1),2),0)</f>
        <v>0</v>
      </c>
      <c r="M292" s="456">
        <f>INDEX('M03-S09'!$V$16:$V$198,2*(ROWS($M$266:M276)-1)+1)</f>
        <v>0</v>
      </c>
      <c r="N292" s="184" t="str">
        <f>IF(ISNUMBER(INDEX('M03-S09'!$AN$16:$AN$198,2*(ROWS($R$282:R292)-1)+1)),INDEX('M03-S09'!$AW$16:$AW$198,2*(ROWS($N$282:N292)-1)+1),"")</f>
        <v/>
      </c>
      <c r="O292" s="456" t="str">
        <f>IFERROR(IF(ISNUMBER(INDEX('M03-S09'!$AN$16:$AN$198,2*(ROWS($R$282:R292)-1)+1)),INDEX('M03-S09'!$AV$16:$AV$198,2*(ROWS($O$282:O292)-1)+1),""),"")</f>
        <v/>
      </c>
      <c r="P292" s="113"/>
      <c r="Q292" s="113"/>
      <c r="R292" s="184">
        <f>IF(ISNUMBER(INDEX('M03-S09'!$AN$16:$AN$198,2*(ROWS($R$282:R292)-1)+1)),INDEX('M03-S09'!$AN$16:$AN$198,2*(ROWS($R$282:R292)-1)+1),0)</f>
        <v>0</v>
      </c>
      <c r="S292" s="459"/>
      <c r="T292" s="113"/>
      <c r="U292" s="140"/>
      <c r="V292" s="113"/>
      <c r="W292" s="96"/>
      <c r="X292" s="113"/>
      <c r="Y292" s="113"/>
      <c r="Z292" s="111">
        <f>INDEX('M03-S09'!$B$16:$B$198,2*(ROWS($Z$282:Z292)-1)+1)</f>
        <v>11</v>
      </c>
      <c r="AA292" s="111" t="str">
        <f>INDEX('M03-S09'!$N$16:$N$199,2*(ROWS($Z$282:AA292)-1)+1)</f>
        <v/>
      </c>
      <c r="AB292" s="111">
        <f>INDEX('M03-S09'!$C$16:$C$198,2*(ROWS($Z$282:AB292)-1)+1)</f>
        <v>0</v>
      </c>
      <c r="AC292" s="96"/>
      <c r="AD292">
        <f>INDEX('M03-S09'!$X$16:$X$198,2*(ROWS($AD$282:AD292)-1)+1)</f>
        <v>0</v>
      </c>
      <c r="AE292" s="459"/>
      <c r="AF292" s="459"/>
      <c r="AG292" s="112"/>
      <c r="AH292" s="112"/>
      <c r="AI292" s="112"/>
      <c r="AJ292" s="112"/>
      <c r="AK292" s="113"/>
      <c r="AL292" s="113"/>
      <c r="AM292" s="113"/>
      <c r="AN292" s="113"/>
      <c r="AO292" s="52" t="str">
        <f>IFERROR(INDEX(PMEAGG[Program Design],MATCH(AB292,PMEAGG[Eff Desc 1],0)),"")</f>
        <v/>
      </c>
      <c r="AU292"/>
    </row>
    <row r="293" spans="1:47">
      <c r="A293" s="57">
        <f t="shared" si="27"/>
        <v>0</v>
      </c>
      <c r="B293" s="183" t="str">
        <f t="shared" si="28"/>
        <v/>
      </c>
      <c r="C293" t="str">
        <f>IFERROR(IF(R293&gt;0,INDEX(PMEAGG[Measure '#],MATCH(AB293,PMEAGG[Eff Desc 1],0)),""),"")</f>
        <v/>
      </c>
      <c r="D293" t="s">
        <v>947</v>
      </c>
      <c r="F293" s="112"/>
      <c r="G293" s="186">
        <f>INDEX('M03-S09'!$AB$16:$AB$196,2*(ROWS($G$282:G293)-1)+1)</f>
        <v>0</v>
      </c>
      <c r="H293" s="186" t="str">
        <f>IF(ISNUMBER(INDEX('M03-S09'!$AN$16:$AN$198,2*(ROWS($R$282:R293)-1)+1)),"Total","")</f>
        <v/>
      </c>
      <c r="I293" s="184">
        <f>IFERROR(ROUND(INDEX('M03-S09'!$AE$16:$AE$198,2*(ROWS($I$282:I293)-1)+1),2),0)</f>
        <v>0</v>
      </c>
      <c r="J293" s="184">
        <f>IFERROR(ROUND(INDEX('M03-S09'!$AG$16:$AG$198,2*(ROWS($J$282:J293)-1)+1),2),0)</f>
        <v>0</v>
      </c>
      <c r="K293" s="52">
        <f>IFERROR(ROUND(INDEX('M03-S09'!$AU$16:$AU$196,2*(ROWS($K$282:K293)-1)+1),2),0)</f>
        <v>0</v>
      </c>
      <c r="M293" s="456">
        <f>INDEX('M03-S09'!$V$16:$V$198,2*(ROWS($M$266:M277)-1)+1)</f>
        <v>0</v>
      </c>
      <c r="N293" s="184" t="str">
        <f>IF(ISNUMBER(INDEX('M03-S09'!$AN$16:$AN$198,2*(ROWS($R$282:R293)-1)+1)),INDEX('M03-S09'!$AW$16:$AW$198,2*(ROWS($N$282:N293)-1)+1),"")</f>
        <v/>
      </c>
      <c r="O293" s="456" t="str">
        <f>IFERROR(IF(ISNUMBER(INDEX('M03-S09'!$AN$16:$AN$198,2*(ROWS($R$282:R293)-1)+1)),INDEX('M03-S09'!$AV$16:$AV$198,2*(ROWS($O$282:O293)-1)+1),""),"")</f>
        <v/>
      </c>
      <c r="P293" s="113"/>
      <c r="Q293" s="113"/>
      <c r="R293" s="184">
        <f>IF(ISNUMBER(INDEX('M03-S09'!$AN$16:$AN$198,2*(ROWS($R$282:R293)-1)+1)),INDEX('M03-S09'!$AN$16:$AN$198,2*(ROWS($R$282:R293)-1)+1),0)</f>
        <v>0</v>
      </c>
      <c r="S293" s="459"/>
      <c r="T293" s="113"/>
      <c r="U293" s="140"/>
      <c r="V293" s="113"/>
      <c r="W293" s="96"/>
      <c r="X293" s="113"/>
      <c r="Y293" s="113"/>
      <c r="Z293" s="111">
        <f>INDEX('M03-S09'!$B$16:$B$198,2*(ROWS($Z$282:Z293)-1)+1)</f>
        <v>12</v>
      </c>
      <c r="AA293" s="111" t="str">
        <f>INDEX('M03-S09'!$N$16:$N$199,2*(ROWS($Z$282:AA293)-1)+1)</f>
        <v/>
      </c>
      <c r="AB293" s="111">
        <f>INDEX('M03-S09'!$C$16:$C$198,2*(ROWS($Z$282:AB293)-1)+1)</f>
        <v>0</v>
      </c>
      <c r="AC293" s="96"/>
      <c r="AD293">
        <f>INDEX('M03-S09'!$X$16:$X$198,2*(ROWS($AD$282:AD293)-1)+1)</f>
        <v>0</v>
      </c>
      <c r="AE293" s="459"/>
      <c r="AF293" s="459"/>
      <c r="AG293" s="112"/>
      <c r="AH293" s="112"/>
      <c r="AI293" s="112"/>
      <c r="AJ293" s="112"/>
      <c r="AK293" s="113"/>
      <c r="AL293" s="113"/>
      <c r="AM293" s="113"/>
      <c r="AN293" s="113"/>
      <c r="AO293" s="52" t="str">
        <f>IFERROR(INDEX(PMEAGG[Program Design],MATCH(AB293,PMEAGG[Eff Desc 1],0)),"")</f>
        <v/>
      </c>
      <c r="AU293"/>
    </row>
    <row r="294" spans="1:47">
      <c r="A294" s="57">
        <f t="shared" si="27"/>
        <v>0</v>
      </c>
      <c r="B294" s="183" t="str">
        <f t="shared" si="28"/>
        <v/>
      </c>
      <c r="C294" t="str">
        <f>IFERROR(IF(R294&gt;0,INDEX(PMEAGG[Measure '#],MATCH(AB294,PMEAGG[Eff Desc 1],0)),""),"")</f>
        <v/>
      </c>
      <c r="D294" t="s">
        <v>947</v>
      </c>
      <c r="F294" s="112"/>
      <c r="G294" s="186">
        <f>INDEX('M03-S09'!$AB$16:$AB$196,2*(ROWS($G$282:G294)-1)+1)</f>
        <v>0</v>
      </c>
      <c r="H294" s="186" t="str">
        <f>IF(ISNUMBER(INDEX('M03-S09'!$AN$16:$AN$198,2*(ROWS($R$282:R294)-1)+1)),"Total","")</f>
        <v/>
      </c>
      <c r="I294" s="184">
        <f>IFERROR(ROUND(INDEX('M03-S09'!$AE$16:$AE$198,2*(ROWS($I$282:I294)-1)+1),2),0)</f>
        <v>0</v>
      </c>
      <c r="J294" s="184">
        <f>IFERROR(ROUND(INDEX('M03-S09'!$AG$16:$AG$198,2*(ROWS($J$282:J294)-1)+1),2),0)</f>
        <v>0</v>
      </c>
      <c r="K294" s="52">
        <f>IFERROR(ROUND(INDEX('M03-S09'!$AU$16:$AU$196,2*(ROWS($K$282:K294)-1)+1),2),0)</f>
        <v>0</v>
      </c>
      <c r="M294" s="456">
        <f>INDEX('M03-S09'!$V$16:$V$198,2*(ROWS($M$266:M278)-1)+1)</f>
        <v>0</v>
      </c>
      <c r="N294" s="184" t="str">
        <f>IF(ISNUMBER(INDEX('M03-S09'!$AN$16:$AN$198,2*(ROWS($R$282:R294)-1)+1)),INDEX('M03-S09'!$AW$16:$AW$198,2*(ROWS($N$282:N294)-1)+1),"")</f>
        <v/>
      </c>
      <c r="O294" s="456" t="str">
        <f>IFERROR(IF(ISNUMBER(INDEX('M03-S09'!$AN$16:$AN$198,2*(ROWS($R$282:R294)-1)+1)),INDEX('M03-S09'!$AV$16:$AV$198,2*(ROWS($O$282:O294)-1)+1),""),"")</f>
        <v/>
      </c>
      <c r="P294" s="113"/>
      <c r="Q294" s="113"/>
      <c r="R294" s="184">
        <f>IF(ISNUMBER(INDEX('M03-S09'!$AN$16:$AN$198,2*(ROWS($R$282:R294)-1)+1)),INDEX('M03-S09'!$AN$16:$AN$198,2*(ROWS($R$282:R294)-1)+1),0)</f>
        <v>0</v>
      </c>
      <c r="S294" s="459"/>
      <c r="T294" s="113"/>
      <c r="U294" s="140"/>
      <c r="V294" s="113"/>
      <c r="W294" s="96"/>
      <c r="X294" s="113"/>
      <c r="Y294" s="113"/>
      <c r="Z294" s="111">
        <f>INDEX('M03-S09'!$B$16:$B$198,2*(ROWS($Z$282:Z294)-1)+1)</f>
        <v>13</v>
      </c>
      <c r="AA294" s="111" t="str">
        <f>INDEX('M03-S09'!$N$16:$N$199,2*(ROWS($Z$282:AA294)-1)+1)</f>
        <v/>
      </c>
      <c r="AB294" s="111">
        <f>INDEX('M03-S09'!$C$16:$C$198,2*(ROWS($Z$282:AB294)-1)+1)</f>
        <v>0</v>
      </c>
      <c r="AC294" s="96"/>
      <c r="AD294">
        <f>INDEX('M03-S09'!$X$16:$X$198,2*(ROWS($AD$282:AD294)-1)+1)</f>
        <v>0</v>
      </c>
      <c r="AE294" s="459"/>
      <c r="AF294" s="459"/>
      <c r="AG294" s="112"/>
      <c r="AH294" s="112"/>
      <c r="AI294" s="112"/>
      <c r="AJ294" s="112"/>
      <c r="AK294" s="113"/>
      <c r="AL294" s="113"/>
      <c r="AM294" s="113"/>
      <c r="AN294" s="113"/>
      <c r="AO294" s="52" t="str">
        <f>IFERROR(INDEX(PMEAGG[Program Design],MATCH(AB294,PMEAGG[Eff Desc 1],0)),"")</f>
        <v/>
      </c>
      <c r="AU294"/>
    </row>
    <row r="295" spans="1:47">
      <c r="A295" s="57">
        <f t="shared" si="27"/>
        <v>0</v>
      </c>
      <c r="B295" s="183" t="str">
        <f t="shared" si="28"/>
        <v/>
      </c>
      <c r="C295" t="str">
        <f>IFERROR(IF(R295&gt;0,INDEX(PMEAGG[Measure '#],MATCH(AB295,PMEAGG[Eff Desc 1],0)),""),"")</f>
        <v/>
      </c>
      <c r="D295" t="s">
        <v>947</v>
      </c>
      <c r="F295" s="112"/>
      <c r="G295" s="186">
        <f>INDEX('M03-S09'!$AB$16:$AB$196,2*(ROWS($G$282:G295)-1)+1)</f>
        <v>0</v>
      </c>
      <c r="H295" s="186" t="str">
        <f>IF(ISNUMBER(INDEX('M03-S09'!$AN$16:$AN$198,2*(ROWS($R$282:R295)-1)+1)),"Total","")</f>
        <v/>
      </c>
      <c r="I295" s="184">
        <f>IFERROR(ROUND(INDEX('M03-S09'!$AE$16:$AE$198,2*(ROWS($I$282:I295)-1)+1),2),0)</f>
        <v>0</v>
      </c>
      <c r="J295" s="184">
        <f>IFERROR(ROUND(INDEX('M03-S09'!$AG$16:$AG$198,2*(ROWS($J$282:J295)-1)+1),2),0)</f>
        <v>0</v>
      </c>
      <c r="K295" s="52">
        <f>IFERROR(ROUND(INDEX('M03-S09'!$AU$16:$AU$196,2*(ROWS($K$282:K295)-1)+1),2),0)</f>
        <v>0</v>
      </c>
      <c r="M295" s="456">
        <f>INDEX('M03-S09'!$V$16:$V$198,2*(ROWS($M$266:M279)-1)+1)</f>
        <v>0</v>
      </c>
      <c r="N295" s="184" t="str">
        <f>IF(ISNUMBER(INDEX('M03-S09'!$AN$16:$AN$198,2*(ROWS($R$282:R295)-1)+1)),INDEX('M03-S09'!$AW$16:$AW$198,2*(ROWS($N$282:N295)-1)+1),"")</f>
        <v/>
      </c>
      <c r="O295" s="456" t="str">
        <f>IFERROR(IF(ISNUMBER(INDEX('M03-S09'!$AN$16:$AN$198,2*(ROWS($R$282:R295)-1)+1)),INDEX('M03-S09'!$AV$16:$AV$198,2*(ROWS($O$282:O295)-1)+1),""),"")</f>
        <v/>
      </c>
      <c r="P295" s="113"/>
      <c r="Q295" s="113"/>
      <c r="R295" s="184">
        <f>IF(ISNUMBER(INDEX('M03-S09'!$AN$16:$AN$198,2*(ROWS($R$282:R295)-1)+1)),INDEX('M03-S09'!$AN$16:$AN$198,2*(ROWS($R$282:R295)-1)+1),0)</f>
        <v>0</v>
      </c>
      <c r="S295" s="459"/>
      <c r="T295" s="113"/>
      <c r="U295" s="140"/>
      <c r="V295" s="113"/>
      <c r="W295" s="96"/>
      <c r="X295" s="113"/>
      <c r="Y295" s="113"/>
      <c r="Z295" s="111">
        <f>INDEX('M03-S09'!$B$16:$B$198,2*(ROWS($Z$282:Z295)-1)+1)</f>
        <v>14</v>
      </c>
      <c r="AA295" s="111" t="str">
        <f>INDEX('M03-S09'!$N$16:$N$199,2*(ROWS($Z$282:AA295)-1)+1)</f>
        <v/>
      </c>
      <c r="AB295" s="111">
        <f>INDEX('M03-S09'!$C$16:$C$198,2*(ROWS($Z$282:AB295)-1)+1)</f>
        <v>0</v>
      </c>
      <c r="AC295" s="96"/>
      <c r="AD295">
        <f>INDEX('M03-S09'!$X$16:$X$198,2*(ROWS($AD$282:AD295)-1)+1)</f>
        <v>0</v>
      </c>
      <c r="AE295" s="459"/>
      <c r="AF295" s="459"/>
      <c r="AG295" s="112"/>
      <c r="AH295" s="112"/>
      <c r="AI295" s="112"/>
      <c r="AJ295" s="112"/>
      <c r="AK295" s="113"/>
      <c r="AL295" s="113"/>
      <c r="AM295" s="113"/>
      <c r="AN295" s="113"/>
      <c r="AO295" s="52" t="str">
        <f>IFERROR(INDEX(PMEAGG[Program Design],MATCH(AB295,PMEAGG[Eff Desc 1],0)),"")</f>
        <v/>
      </c>
      <c r="AU295"/>
    </row>
    <row r="296" spans="1:47">
      <c r="A296" s="57">
        <f t="shared" si="27"/>
        <v>0</v>
      </c>
      <c r="B296" s="183" t="str">
        <f t="shared" si="28"/>
        <v/>
      </c>
      <c r="C296" t="str">
        <f>IFERROR(IF(R296&gt;0,INDEX(PMEAGG[Measure '#],MATCH(AB296,PMEAGG[Eff Desc 1],0)),""),"")</f>
        <v/>
      </c>
      <c r="D296" t="s">
        <v>947</v>
      </c>
      <c r="F296" s="112"/>
      <c r="G296" s="186">
        <f>INDEX('M03-S09'!$AB$16:$AB$196,2*(ROWS($G$282:G296)-1)+1)</f>
        <v>0</v>
      </c>
      <c r="H296" s="186" t="str">
        <f>IF(ISNUMBER(INDEX('M03-S09'!$AN$16:$AN$198,2*(ROWS($R$282:R296)-1)+1)),"Total","")</f>
        <v/>
      </c>
      <c r="I296" s="184">
        <f>IFERROR(ROUND(INDEX('M03-S09'!$AE$16:$AE$198,2*(ROWS($I$282:I296)-1)+1),2),0)</f>
        <v>0</v>
      </c>
      <c r="J296" s="184">
        <f>IFERROR(ROUND(INDEX('M03-S09'!$AG$16:$AG$198,2*(ROWS($J$282:J296)-1)+1),2),0)</f>
        <v>0</v>
      </c>
      <c r="K296" s="52">
        <f>IFERROR(ROUND(INDEX('M03-S09'!$AU$16:$AU$196,2*(ROWS($K$282:K296)-1)+1),2),0)</f>
        <v>0</v>
      </c>
      <c r="M296" s="456">
        <f>INDEX('M03-S09'!$V$16:$V$198,2*(ROWS($M$266:M280)-1)+1)</f>
        <v>0</v>
      </c>
      <c r="N296" s="184" t="str">
        <f>IF(ISNUMBER(INDEX('M03-S09'!$AN$16:$AN$198,2*(ROWS($R$282:R296)-1)+1)),INDEX('M03-S09'!$AW$16:$AW$198,2*(ROWS($N$282:N296)-1)+1),"")</f>
        <v/>
      </c>
      <c r="O296" s="456" t="str">
        <f>IFERROR(IF(ISNUMBER(INDEX('M03-S09'!$AN$16:$AN$198,2*(ROWS($R$282:R296)-1)+1)),INDEX('M03-S09'!$AV$16:$AV$198,2*(ROWS($O$282:O296)-1)+1),""),"")</f>
        <v/>
      </c>
      <c r="P296" s="113"/>
      <c r="Q296" s="113"/>
      <c r="R296" s="184">
        <f>IF(ISNUMBER(INDEX('M03-S09'!$AN$16:$AN$198,2*(ROWS($R$282:R296)-1)+1)),INDEX('M03-S09'!$AN$16:$AN$198,2*(ROWS($R$282:R296)-1)+1),0)</f>
        <v>0</v>
      </c>
      <c r="S296" s="459"/>
      <c r="T296" s="113"/>
      <c r="U296" s="140"/>
      <c r="V296" s="113"/>
      <c r="W296" s="96"/>
      <c r="X296" s="113"/>
      <c r="Y296" s="113"/>
      <c r="Z296" s="111">
        <f>INDEX('M03-S09'!$B$16:$B$198,2*(ROWS($Z$282:Z296)-1)+1)</f>
        <v>15</v>
      </c>
      <c r="AA296" s="111" t="str">
        <f>INDEX('M03-S09'!$N$16:$N$199,2*(ROWS($Z$282:AA296)-1)+1)</f>
        <v/>
      </c>
      <c r="AB296" s="111">
        <f>INDEX('M03-S09'!$C$16:$C$198,2*(ROWS($Z$282:AB296)-1)+1)</f>
        <v>0</v>
      </c>
      <c r="AC296" s="96"/>
      <c r="AD296">
        <f>INDEX('M03-S09'!$X$16:$X$198,2*(ROWS($AD$282:AD296)-1)+1)</f>
        <v>0</v>
      </c>
      <c r="AE296" s="459"/>
      <c r="AF296" s="459"/>
      <c r="AG296" s="112"/>
      <c r="AH296" s="112"/>
      <c r="AI296" s="112"/>
      <c r="AJ296" s="112"/>
      <c r="AK296" s="113"/>
      <c r="AL296" s="113"/>
      <c r="AM296" s="113"/>
      <c r="AN296" s="113"/>
      <c r="AO296" s="52" t="str">
        <f>IFERROR(INDEX(PMEAGG[Program Design],MATCH(AB296,PMEAGG[Eff Desc 1],0)),"")</f>
        <v/>
      </c>
      <c r="AU296"/>
    </row>
    <row r="297" spans="1:47">
      <c r="A297" s="112"/>
      <c r="B297" s="112"/>
      <c r="C297" s="112"/>
      <c r="D297" s="112"/>
      <c r="E297" s="112"/>
      <c r="F297" s="112"/>
      <c r="G297" s="112"/>
      <c r="H297" s="112"/>
      <c r="I297" s="112"/>
      <c r="J297" s="112"/>
      <c r="K297" s="112"/>
      <c r="L297" s="112"/>
      <c r="M297" s="112"/>
      <c r="N297" s="112"/>
      <c r="O297" s="112"/>
      <c r="P297" s="112"/>
      <c r="Q297" s="112"/>
      <c r="R297" s="112"/>
      <c r="S297" s="112"/>
      <c r="T297" s="112"/>
      <c r="U297" s="112"/>
      <c r="V297" s="112"/>
      <c r="W297" s="112"/>
      <c r="X297" s="112"/>
      <c r="Y297" s="112"/>
      <c r="Z297" s="112"/>
      <c r="AA297" s="112"/>
      <c r="AB297" s="112"/>
      <c r="AC297" s="112"/>
      <c r="AD297" s="112"/>
      <c r="AE297" s="112"/>
      <c r="AF297" s="112"/>
      <c r="AG297" s="112"/>
      <c r="AH297" s="112"/>
      <c r="AI297" s="112"/>
      <c r="AJ297" s="112"/>
      <c r="AK297" s="112"/>
      <c r="AL297" s="112"/>
      <c r="AM297" s="112"/>
      <c r="AN297" s="112"/>
      <c r="AO297" s="112"/>
      <c r="AU297"/>
    </row>
    <row r="298" spans="1:47">
      <c r="A298" s="112"/>
      <c r="B298" s="112"/>
      <c r="C298" s="112"/>
      <c r="D298" s="112"/>
      <c r="E298" s="112"/>
      <c r="F298" s="112"/>
      <c r="G298" s="112"/>
      <c r="H298" s="112"/>
      <c r="I298" s="112"/>
      <c r="J298" s="112"/>
      <c r="K298" s="112"/>
      <c r="L298" s="112"/>
      <c r="M298" s="112"/>
      <c r="N298" s="112"/>
      <c r="O298" s="112"/>
      <c r="P298" s="112"/>
      <c r="Q298" s="112"/>
      <c r="R298" s="112"/>
      <c r="S298" s="112"/>
      <c r="T298" s="112"/>
      <c r="U298" s="112"/>
      <c r="V298" s="112"/>
      <c r="W298" s="112"/>
      <c r="X298" s="112"/>
      <c r="Y298" s="112"/>
      <c r="Z298" s="112"/>
      <c r="AA298" s="112"/>
      <c r="AB298" s="112"/>
      <c r="AC298" s="112"/>
      <c r="AD298" s="112"/>
      <c r="AE298" s="112"/>
      <c r="AF298" s="112"/>
      <c r="AG298" s="112"/>
      <c r="AH298" s="112"/>
      <c r="AI298" s="112"/>
      <c r="AJ298" s="112"/>
      <c r="AK298" s="112"/>
      <c r="AL298" s="112"/>
      <c r="AM298" s="112"/>
      <c r="AN298" s="112"/>
      <c r="AO298" s="112"/>
      <c r="AU298"/>
    </row>
    <row r="299" spans="1:47">
      <c r="A299" s="57">
        <f t="shared" ref="A299:A307" si="29">PROJID</f>
        <v>0</v>
      </c>
      <c r="B299" s="183" t="str">
        <f t="shared" si="28"/>
        <v/>
      </c>
      <c r="C299" t="str">
        <f>IFERROR(IF(R299&gt;0,INDEX(PMGAGG[Measure '#],MATCH(AB299,PMGAGG[Eff Desc 1],0)),""),"")</f>
        <v/>
      </c>
      <c r="D299" t="s">
        <v>947</v>
      </c>
      <c r="F299" s="112"/>
      <c r="G299" s="186">
        <f>INDEX('M03-S09'!$AB$16:$AB$196,2*(ROWS($G$282:G299)-1)+1)</f>
        <v>0</v>
      </c>
      <c r="H299" s="186" t="str">
        <f>IF(ISNUMBER(INDEX('M03-S09'!$AN$16:$AN$198,2*(ROWS($R$299:R299)-1)+1)),"Total","")</f>
        <v/>
      </c>
      <c r="I299" s="184">
        <f>IFERROR(ROUND(INDEX('M03-S09'!$AE$16:$AE$198,2*(ROWS($I$282:I299)-1)+1),2),0)</f>
        <v>0</v>
      </c>
      <c r="J299" s="184">
        <f>IFERROR(ROUND(INDEX('M03-S09'!$AG$16:$AG$198,2*(ROWS($J$282:J299)-1)+1),2),0)</f>
        <v>0</v>
      </c>
      <c r="K299" s="52">
        <f>IFERROR(ROUND(INDEX('M03-S09'!$AU$16:$AU$196,2*(ROWS($K$282:K299)-1)+1),2),0)</f>
        <v>0</v>
      </c>
      <c r="M299" s="456">
        <f>INDEX('M03-S09'!$V$16:$V$198,2*(ROWS($M$282:M299)-1)+1)</f>
        <v>0</v>
      </c>
      <c r="N299" s="113"/>
      <c r="O299" s="113"/>
      <c r="P299" s="184" t="str">
        <f>IFERROR(IF(ISNUMBER(INDEX('M03-S09'!$AN$50:$AN$198,2*(ROWS($R$299:R299)-1)+1)),INDEX('M03-S09'!$AK$50:$AK$198,2*(ROWS($P$299:P299)-1)+1),""),"")</f>
        <v/>
      </c>
      <c r="Q299" s="184"/>
      <c r="R299" s="184">
        <f>IF(ISNUMBER(INDEX('M03-S09'!$AN$16:$AN$198,2*(ROWS($R$282:R299)-1)+1)),INDEX('M03-S09'!$AN$16:$AN$198,2*(ROWS($R$282:R299)-1)+1),0)</f>
        <v>0</v>
      </c>
      <c r="S299" s="459"/>
      <c r="T299" s="113"/>
      <c r="U299" s="140"/>
      <c r="V299" s="113"/>
      <c r="W299" s="96"/>
      <c r="X299" s="113"/>
      <c r="Y299" s="113"/>
      <c r="Z299" s="111">
        <f>INDEX('M03-S09'!$B$16:$B$198,2*(ROWS($Z$282:Z299)-1)+1)</f>
        <v>18</v>
      </c>
      <c r="AA299" s="111" t="str">
        <f>INDEX('M03-S09'!$N$16:$N$199,2*(ROWS($Z$282:AA299)-1)+1)</f>
        <v/>
      </c>
      <c r="AB299" s="111">
        <f>INDEX('M03-S09'!$C$16:$C$198,2*(ROWS($Z$282:AB299)-1)+1)</f>
        <v>0</v>
      </c>
      <c r="AC299" s="96"/>
      <c r="AD299">
        <f>INDEX('M03-S09'!$X$16:$X$198,2*(ROWS($AD$282:AD299)-1)+1)</f>
        <v>0</v>
      </c>
      <c r="AE299" s="459"/>
      <c r="AF299" s="459"/>
      <c r="AG299" s="112"/>
      <c r="AH299" s="112"/>
      <c r="AI299" s="112"/>
      <c r="AJ299" s="112"/>
      <c r="AK299" s="113"/>
      <c r="AL299" s="113"/>
      <c r="AM299" s="113"/>
      <c r="AN299" s="113"/>
      <c r="AO299" s="52" t="str">
        <f>IFERROR(INDEX(PMGAGG[Program Design],MATCH(AB299,PMGAGG[Eff Desc 1],0)),"")</f>
        <v/>
      </c>
      <c r="AU299"/>
    </row>
    <row r="300" spans="1:47">
      <c r="A300" s="57">
        <f t="shared" si="29"/>
        <v>0</v>
      </c>
      <c r="B300" s="183" t="str">
        <f t="shared" si="28"/>
        <v/>
      </c>
      <c r="C300" t="str">
        <f>IFERROR(IF(R300&gt;0,INDEX(PMGAGG[Measure '#],MATCH(AB300,PMGAGG[Eff Desc 1],0)),""),"")</f>
        <v/>
      </c>
      <c r="D300" t="s">
        <v>947</v>
      </c>
      <c r="F300" s="112"/>
      <c r="G300" s="186">
        <f>INDEX('M03-S09'!$AB$16:$AB$196,2*(ROWS($G$282:G300)-1)+1)</f>
        <v>0</v>
      </c>
      <c r="H300" s="186" t="str">
        <f>IF(ISNUMBER(INDEX('M03-S09'!$AN$16:$AN$198,2*(ROWS($R$299:R300)-1)+1)),"Total","")</f>
        <v/>
      </c>
      <c r="I300" s="184">
        <f>IFERROR(ROUND(INDEX('M03-S09'!$AE$16:$AE$198,2*(ROWS($I$282:I300)-1)+1),2),0)</f>
        <v>0</v>
      </c>
      <c r="J300" s="184">
        <f>IFERROR(ROUND(INDEX('M03-S09'!$AG$16:$AG$198,2*(ROWS($J$282:J300)-1)+1),2),0)</f>
        <v>0</v>
      </c>
      <c r="K300" s="52">
        <f>IFERROR(ROUND(INDEX('M03-S09'!$AU$16:$AU$196,2*(ROWS($K$282:K300)-1)+1),2),0)</f>
        <v>0</v>
      </c>
      <c r="M300" s="456">
        <f>INDEX('M03-S09'!$V$16:$V$198,2*(ROWS($M$266:M284)-1)+1)</f>
        <v>0</v>
      </c>
      <c r="N300" s="113"/>
      <c r="O300" s="113"/>
      <c r="P300" s="184" t="str">
        <f>IFERROR(IF(ISNUMBER(INDEX('M03-S09'!$AN$50:$AN$198,2*(ROWS($R$299:R300)-1)+1)),INDEX('M03-S09'!$AK$50:$AK$198,2*(ROWS($P$299:P300)-1)+1),""),"")</f>
        <v/>
      </c>
      <c r="Q300" s="184"/>
      <c r="R300" s="184">
        <f>IF(ISNUMBER(INDEX('M03-S09'!$AN$16:$AN$198,2*(ROWS($R$282:R300)-1)+1)),INDEX('M03-S09'!$AN$16:$AN$198,2*(ROWS($R$282:R300)-1)+1),0)</f>
        <v>0</v>
      </c>
      <c r="S300" s="459"/>
      <c r="T300" s="113"/>
      <c r="U300" s="140"/>
      <c r="V300" s="113"/>
      <c r="W300" s="96"/>
      <c r="X300" s="113"/>
      <c r="Y300" s="113"/>
      <c r="Z300" s="111">
        <f>INDEX('M03-S09'!$B$16:$B$198,2*(ROWS($Z$282:Z300)-1)+1)</f>
        <v>19</v>
      </c>
      <c r="AA300" s="111" t="str">
        <f>INDEX('M03-S09'!$N$16:$N$199,2*(ROWS($Z$282:AA300)-1)+1)</f>
        <v/>
      </c>
      <c r="AB300" s="111">
        <f>INDEX('M03-S09'!$C$16:$C$198,2*(ROWS($Z$282:AB300)-1)+1)</f>
        <v>0</v>
      </c>
      <c r="AC300" s="96"/>
      <c r="AD300">
        <f>INDEX('M03-S09'!$X$16:$X$198,2*(ROWS($AD$282:AD300)-1)+1)</f>
        <v>0</v>
      </c>
      <c r="AE300" s="459"/>
      <c r="AF300" s="459"/>
      <c r="AG300" s="112"/>
      <c r="AH300" s="112"/>
      <c r="AI300" s="112"/>
      <c r="AJ300" s="112"/>
      <c r="AK300" s="113"/>
      <c r="AL300" s="113"/>
      <c r="AM300" s="113"/>
      <c r="AN300" s="113"/>
      <c r="AO300" s="52" t="str">
        <f>IFERROR(INDEX(PMGAGG[Program Design],MATCH(AB300,PMGAGG[Eff Desc 1],0)),"")</f>
        <v/>
      </c>
      <c r="AU300"/>
    </row>
    <row r="301" spans="1:47">
      <c r="A301" s="57">
        <f t="shared" si="29"/>
        <v>0</v>
      </c>
      <c r="B301" s="183" t="str">
        <f t="shared" si="28"/>
        <v/>
      </c>
      <c r="C301" t="str">
        <f>IFERROR(IF(R301&gt;0,INDEX(PMGAGG[Measure '#],MATCH(AB301,PMGAGG[Eff Desc 1],0)),""),"")</f>
        <v/>
      </c>
      <c r="D301" t="s">
        <v>947</v>
      </c>
      <c r="F301" s="112"/>
      <c r="G301" s="186">
        <f>INDEX('M03-S09'!$AB$16:$AB$196,2*(ROWS($G$282:G301)-1)+1)</f>
        <v>0</v>
      </c>
      <c r="H301" s="186" t="str">
        <f>IF(ISNUMBER(INDEX('M03-S09'!$AN$16:$AN$198,2*(ROWS($R$299:R301)-1)+1)),"Total","")</f>
        <v/>
      </c>
      <c r="I301" s="184">
        <f>IFERROR(ROUND(INDEX('M03-S09'!$AE$16:$AE$198,2*(ROWS($I$282:I301)-1)+1),2),0)</f>
        <v>0</v>
      </c>
      <c r="J301" s="184">
        <f>IFERROR(ROUND(INDEX('M03-S09'!$AG$16:$AG$198,2*(ROWS($J$282:J301)-1)+1),2),0)</f>
        <v>0</v>
      </c>
      <c r="K301" s="52">
        <f>IFERROR(ROUND(INDEX('M03-S09'!$AU$16:$AU$196,2*(ROWS($K$282:K301)-1)+1),2),0)</f>
        <v>0</v>
      </c>
      <c r="M301" s="456">
        <f>INDEX('M03-S09'!$V$16:$V$198,2*(ROWS($M$266:M285)-1)+1)</f>
        <v>0</v>
      </c>
      <c r="N301" s="113"/>
      <c r="O301" s="113"/>
      <c r="P301" s="184" t="str">
        <f>IFERROR(IF(ISNUMBER(INDEX('M03-S09'!$AN$50:$AN$198,2*(ROWS($R$299:R301)-1)+1)),INDEX('M03-S09'!$AK$50:$AK$198,2*(ROWS($P$299:P301)-1)+1),""),"")</f>
        <v/>
      </c>
      <c r="Q301" s="184"/>
      <c r="R301" s="184">
        <f>IF(ISNUMBER(INDEX('M03-S09'!$AN$16:$AN$198,2*(ROWS($R$282:R301)-1)+1)),INDEX('M03-S09'!$AN$16:$AN$198,2*(ROWS($R$282:R301)-1)+1),0)</f>
        <v>0</v>
      </c>
      <c r="S301" s="459"/>
      <c r="T301" s="113"/>
      <c r="U301" s="140"/>
      <c r="V301" s="113"/>
      <c r="W301" s="96"/>
      <c r="X301" s="113"/>
      <c r="Y301" s="113"/>
      <c r="Z301" s="111">
        <f>INDEX('M03-S09'!$B$16:$B$198,2*(ROWS($Z$282:Z301)-1)+1)</f>
        <v>20</v>
      </c>
      <c r="AA301" s="111" t="str">
        <f>INDEX('M03-S09'!$N$16:$N$199,2*(ROWS($Z$282:AA301)-1)+1)</f>
        <v/>
      </c>
      <c r="AB301" s="111">
        <f>INDEX('M03-S09'!$C$16:$C$198,2*(ROWS($Z$282:AB301)-1)+1)</f>
        <v>0</v>
      </c>
      <c r="AC301" s="96"/>
      <c r="AD301">
        <f>INDEX('M03-S09'!$X$16:$X$198,2*(ROWS($AD$282:AD301)-1)+1)</f>
        <v>0</v>
      </c>
      <c r="AE301" s="459"/>
      <c r="AF301" s="459"/>
      <c r="AG301" s="112"/>
      <c r="AH301" s="112"/>
      <c r="AI301" s="112"/>
      <c r="AJ301" s="112"/>
      <c r="AK301" s="113"/>
      <c r="AL301" s="113"/>
      <c r="AM301" s="113"/>
      <c r="AN301" s="113"/>
      <c r="AO301" s="52" t="str">
        <f>IFERROR(INDEX(PMGAGG[Program Design],MATCH(AB301,PMGAGG[Eff Desc 1],0)),"")</f>
        <v/>
      </c>
      <c r="AU301"/>
    </row>
    <row r="302" spans="1:47">
      <c r="A302" s="57">
        <f t="shared" si="29"/>
        <v>0</v>
      </c>
      <c r="B302" s="183" t="str">
        <f t="shared" si="28"/>
        <v/>
      </c>
      <c r="C302" t="str">
        <f>IFERROR(IF(R302&gt;0,INDEX(PMGAGG[Measure '#],MATCH(AB302,PMGAGG[Eff Desc 1],0)),""),"")</f>
        <v/>
      </c>
      <c r="D302" t="s">
        <v>947</v>
      </c>
      <c r="F302" s="112"/>
      <c r="G302" s="186">
        <f>INDEX('M03-S09'!$AB$16:$AB$196,2*(ROWS($G$282:G302)-1)+1)</f>
        <v>0</v>
      </c>
      <c r="H302" s="186" t="str">
        <f>IF(ISNUMBER(INDEX('M03-S09'!$AN$16:$AN$198,2*(ROWS($R$299:R302)-1)+1)),"Total","")</f>
        <v/>
      </c>
      <c r="I302" s="184">
        <f>IFERROR(ROUND(INDEX('M03-S09'!$AE$16:$AE$198,2*(ROWS($I$282:I302)-1)+1),2),0)</f>
        <v>0</v>
      </c>
      <c r="J302" s="184">
        <f>IFERROR(ROUND(INDEX('M03-S09'!$AG$16:$AG$198,2*(ROWS($J$282:J302)-1)+1),2),0)</f>
        <v>0</v>
      </c>
      <c r="K302" s="52">
        <f>IFERROR(ROUND(INDEX('M03-S09'!$AU$16:$AU$196,2*(ROWS($K$282:K302)-1)+1),2),0)</f>
        <v>0</v>
      </c>
      <c r="M302" s="456">
        <f>INDEX('M03-S09'!$V$16:$V$198,2*(ROWS($M$266:M286)-1)+1)</f>
        <v>0</v>
      </c>
      <c r="N302" s="113"/>
      <c r="O302" s="113"/>
      <c r="P302" s="184" t="str">
        <f>IFERROR(IF(ISNUMBER(INDEX('M03-S09'!$AN$50:$AN$198,2*(ROWS($R$299:R302)-1)+1)),INDEX('M03-S09'!$AK$50:$AK$198,2*(ROWS($P$299:P302)-1)+1),""),"")</f>
        <v/>
      </c>
      <c r="Q302" s="184"/>
      <c r="R302" s="184">
        <f>IF(ISNUMBER(INDEX('M03-S09'!$AN$16:$AN$198,2*(ROWS($R$282:R302)-1)+1)),INDEX('M03-S09'!$AN$16:$AN$198,2*(ROWS($R$282:R302)-1)+1),0)</f>
        <v>0</v>
      </c>
      <c r="S302" s="459"/>
      <c r="T302" s="113"/>
      <c r="U302" s="140"/>
      <c r="V302" s="113"/>
      <c r="W302" s="96"/>
      <c r="X302" s="113"/>
      <c r="Y302" s="113"/>
      <c r="Z302" s="111">
        <f>INDEX('M03-S09'!$B$16:$B$198,2*(ROWS($Z$282:Z302)-1)+1)</f>
        <v>21</v>
      </c>
      <c r="AA302" s="111" t="str">
        <f>INDEX('M03-S09'!$N$16:$N$199,2*(ROWS($Z$282:AA302)-1)+1)</f>
        <v/>
      </c>
      <c r="AB302" s="111">
        <f>INDEX('M03-S09'!$C$16:$C$198,2*(ROWS($Z$282:AB302)-1)+1)</f>
        <v>0</v>
      </c>
      <c r="AC302" s="96"/>
      <c r="AD302">
        <f>INDEX('M03-S09'!$X$16:$X$198,2*(ROWS($AD$282:AD302)-1)+1)</f>
        <v>0</v>
      </c>
      <c r="AE302" s="459"/>
      <c r="AF302" s="459"/>
      <c r="AG302" s="112"/>
      <c r="AH302" s="112"/>
      <c r="AI302" s="112"/>
      <c r="AJ302" s="112"/>
      <c r="AK302" s="113"/>
      <c r="AL302" s="113"/>
      <c r="AM302" s="113"/>
      <c r="AN302" s="113"/>
      <c r="AO302" s="52" t="str">
        <f>IFERROR(INDEX(PMGAGG[Program Design],MATCH(AB302,PMGAGG[Eff Desc 1],0)),"")</f>
        <v/>
      </c>
      <c r="AU302"/>
    </row>
    <row r="303" spans="1:47">
      <c r="A303" s="57">
        <f t="shared" si="29"/>
        <v>0</v>
      </c>
      <c r="B303" s="183" t="str">
        <f t="shared" si="28"/>
        <v/>
      </c>
      <c r="C303" t="str">
        <f>IFERROR(IF(R303&gt;0,INDEX(PMGAGG[Measure '#],MATCH(AB303,PMGAGG[Eff Desc 1],0)),""),"")</f>
        <v/>
      </c>
      <c r="D303" t="s">
        <v>947</v>
      </c>
      <c r="F303" s="112"/>
      <c r="G303" s="186">
        <f>INDEX('M03-S09'!$AB$16:$AB$196,2*(ROWS($G$282:G303)-1)+1)</f>
        <v>0</v>
      </c>
      <c r="H303" s="186" t="str">
        <f>IF(ISNUMBER(INDEX('M03-S09'!$AN$16:$AN$198,2*(ROWS($R$299:R303)-1)+1)),"Total","")</f>
        <v/>
      </c>
      <c r="I303" s="184">
        <f>IFERROR(ROUND(INDEX('M03-S09'!$AE$16:$AE$198,2*(ROWS($I$282:I303)-1)+1),2),0)</f>
        <v>0</v>
      </c>
      <c r="J303" s="184">
        <f>IFERROR(ROUND(INDEX('M03-S09'!$AG$16:$AG$198,2*(ROWS($J$282:J303)-1)+1),2),0)</f>
        <v>0</v>
      </c>
      <c r="K303" s="52">
        <f>IFERROR(ROUND(INDEX('M03-S09'!$AU$16:$AU$196,2*(ROWS($K$282:K303)-1)+1),2),0)</f>
        <v>0</v>
      </c>
      <c r="M303" s="456">
        <f>INDEX('M03-S09'!$V$16:$V$198,2*(ROWS($M$266:M287)-1)+1)</f>
        <v>0</v>
      </c>
      <c r="N303" s="113"/>
      <c r="O303" s="113"/>
      <c r="P303" s="184" t="str">
        <f>IFERROR(IF(ISNUMBER(INDEX('M03-S09'!$AN$50:$AN$198,2*(ROWS($R$299:R303)-1)+1)),INDEX('M03-S09'!$AK$50:$AK$198,2*(ROWS($P$299:P303)-1)+1),""),"")</f>
        <v/>
      </c>
      <c r="Q303" s="184"/>
      <c r="R303" s="184">
        <f>IF(ISNUMBER(INDEX('M03-S09'!$AN$16:$AN$198,2*(ROWS($R$282:R303)-1)+1)),INDEX('M03-S09'!$AN$16:$AN$198,2*(ROWS($R$282:R303)-1)+1),0)</f>
        <v>0</v>
      </c>
      <c r="S303" s="459"/>
      <c r="T303" s="113"/>
      <c r="U303" s="140"/>
      <c r="V303" s="113"/>
      <c r="W303" s="96"/>
      <c r="X303" s="113"/>
      <c r="Y303" s="113"/>
      <c r="Z303" s="111">
        <f>INDEX('M03-S09'!$B$16:$B$198,2*(ROWS($Z$282:Z303)-1)+1)</f>
        <v>22</v>
      </c>
      <c r="AA303" s="111" t="str">
        <f>INDEX('M03-S09'!$N$16:$N$199,2*(ROWS($Z$282:AA303)-1)+1)</f>
        <v/>
      </c>
      <c r="AB303" s="111">
        <f>INDEX('M03-S09'!$C$16:$C$198,2*(ROWS($Z$282:AB303)-1)+1)</f>
        <v>0</v>
      </c>
      <c r="AC303" s="96"/>
      <c r="AD303">
        <f>INDEX('M03-S09'!$X$16:$X$198,2*(ROWS($AD$282:AD303)-1)+1)</f>
        <v>0</v>
      </c>
      <c r="AE303" s="459"/>
      <c r="AF303" s="459"/>
      <c r="AG303" s="112"/>
      <c r="AH303" s="112"/>
      <c r="AI303" s="112"/>
      <c r="AJ303" s="112"/>
      <c r="AK303" s="113"/>
      <c r="AL303" s="113"/>
      <c r="AM303" s="113"/>
      <c r="AN303" s="113"/>
      <c r="AO303" s="52" t="str">
        <f>IFERROR(INDEX(PMGAGG[Program Design],MATCH(AB303,PMGAGG[Eff Desc 1],0)),"")</f>
        <v/>
      </c>
      <c r="AU303"/>
    </row>
    <row r="304" spans="1:47">
      <c r="A304" s="57">
        <f t="shared" si="29"/>
        <v>0</v>
      </c>
      <c r="B304" s="183" t="str">
        <f t="shared" si="28"/>
        <v/>
      </c>
      <c r="C304" t="str">
        <f>IFERROR(IF(R304&gt;0,INDEX(PMGAGG[Measure '#],MATCH(AB304,PMGAGG[Eff Desc 1],0)),""),"")</f>
        <v/>
      </c>
      <c r="D304" t="s">
        <v>947</v>
      </c>
      <c r="F304" s="112"/>
      <c r="G304" s="186">
        <f>INDEX('M03-S09'!$AB$16:$AB$196,2*(ROWS($G$282:G304)-1)+1)</f>
        <v>0</v>
      </c>
      <c r="H304" s="186" t="str">
        <f>IF(ISNUMBER(INDEX('M03-S09'!$AN$16:$AN$198,2*(ROWS($R$299:R304)-1)+1)),"Total","")</f>
        <v/>
      </c>
      <c r="I304" s="184">
        <f>IFERROR(ROUND(INDEX('M03-S09'!$AE$16:$AE$198,2*(ROWS($I$282:I304)-1)+1),2),0)</f>
        <v>0</v>
      </c>
      <c r="J304" s="184">
        <f>IFERROR(ROUND(INDEX('M03-S09'!$AG$16:$AG$198,2*(ROWS($J$282:J304)-1)+1),2),0)</f>
        <v>0</v>
      </c>
      <c r="K304" s="52">
        <f>IFERROR(ROUND(INDEX('M03-S09'!$AU$16:$AU$196,2*(ROWS($K$282:K304)-1)+1),2),0)</f>
        <v>0</v>
      </c>
      <c r="M304" s="456">
        <f>INDEX('M03-S09'!$V$16:$V$198,2*(ROWS($M$266:M288)-1)+1)</f>
        <v>0</v>
      </c>
      <c r="N304" s="113"/>
      <c r="O304" s="113"/>
      <c r="P304" s="184" t="str">
        <f>IFERROR(IF(ISNUMBER(INDEX('M03-S09'!$AN$50:$AN$198,2*(ROWS($R$299:R304)-1)+1)),INDEX('M03-S09'!$AK$50:$AK$198,2*(ROWS($P$299:P304)-1)+1),""),"")</f>
        <v/>
      </c>
      <c r="Q304" s="184"/>
      <c r="R304" s="184">
        <f>IF(ISNUMBER(INDEX('M03-S09'!$AN$16:$AN$198,2*(ROWS($R$282:R304)-1)+1)),INDEX('M03-S09'!$AN$16:$AN$198,2*(ROWS($R$282:R304)-1)+1),0)</f>
        <v>0</v>
      </c>
      <c r="S304" s="459"/>
      <c r="T304" s="113"/>
      <c r="U304" s="140"/>
      <c r="V304" s="113"/>
      <c r="W304" s="96"/>
      <c r="X304" s="113"/>
      <c r="Y304" s="113"/>
      <c r="Z304" s="111">
        <f>INDEX('M03-S09'!$B$16:$B$198,2*(ROWS($Z$282:Z304)-1)+1)</f>
        <v>23</v>
      </c>
      <c r="AA304" s="111" t="str">
        <f>INDEX('M03-S09'!$N$16:$N$199,2*(ROWS($Z$282:AA304)-1)+1)</f>
        <v/>
      </c>
      <c r="AB304" s="111">
        <f>INDEX('M03-S09'!$C$16:$C$198,2*(ROWS($Z$282:AB304)-1)+1)</f>
        <v>0</v>
      </c>
      <c r="AC304" s="96"/>
      <c r="AD304">
        <f>INDEX('M03-S09'!$X$16:$X$198,2*(ROWS($AD$282:AD304)-1)+1)</f>
        <v>0</v>
      </c>
      <c r="AE304" s="459"/>
      <c r="AF304" s="459"/>
      <c r="AG304" s="112"/>
      <c r="AH304" s="112"/>
      <c r="AI304" s="112"/>
      <c r="AJ304" s="112"/>
      <c r="AK304" s="113"/>
      <c r="AL304" s="113"/>
      <c r="AM304" s="113"/>
      <c r="AN304" s="113"/>
      <c r="AO304" s="52" t="str">
        <f>IFERROR(INDEX(PMGAGG[Program Design],MATCH(AB304,PMGAGG[Eff Desc 1],0)),"")</f>
        <v/>
      </c>
      <c r="AU304"/>
    </row>
    <row r="305" spans="1:47">
      <c r="A305" s="57">
        <f t="shared" si="29"/>
        <v>0</v>
      </c>
      <c r="B305" s="183" t="str">
        <f t="shared" si="28"/>
        <v/>
      </c>
      <c r="C305" t="str">
        <f>IFERROR(IF(R305&gt;0,INDEX(PMGAGG[Measure '#],MATCH(AB305,PMGAGG[Eff Desc 1],0)),""),"")</f>
        <v/>
      </c>
      <c r="D305" t="s">
        <v>947</v>
      </c>
      <c r="F305" s="112"/>
      <c r="G305" s="186">
        <f>INDEX('M03-S09'!$AB$16:$AB$196,2*(ROWS($G$282:G305)-1)+1)</f>
        <v>0</v>
      </c>
      <c r="H305" s="186" t="str">
        <f>IF(ISNUMBER(INDEX('M03-S09'!$AN$16:$AN$198,2*(ROWS($R$299:R305)-1)+1)),"Total","")</f>
        <v/>
      </c>
      <c r="I305" s="184">
        <f>IFERROR(ROUND(INDEX('M03-S09'!$AE$16:$AE$198,2*(ROWS($I$282:I305)-1)+1),2),0)</f>
        <v>0</v>
      </c>
      <c r="J305" s="184">
        <f>IFERROR(ROUND(INDEX('M03-S09'!$AG$16:$AG$198,2*(ROWS($J$282:J305)-1)+1),2),0)</f>
        <v>0</v>
      </c>
      <c r="K305" s="52">
        <f>IFERROR(ROUND(INDEX('M03-S09'!$AU$16:$AU$196,2*(ROWS($K$282:K305)-1)+1),2),0)</f>
        <v>0</v>
      </c>
      <c r="M305" s="456">
        <f>INDEX('M03-S09'!$V$16:$V$198,2*(ROWS($M$266:M289)-1)+1)</f>
        <v>0</v>
      </c>
      <c r="N305" s="113"/>
      <c r="O305" s="113"/>
      <c r="P305" s="184" t="str">
        <f>IFERROR(IF(ISNUMBER(INDEX('M03-S09'!$AN$50:$AN$198,2*(ROWS($R$299:R305)-1)+1)),INDEX('M03-S09'!$AK$50:$AK$198,2*(ROWS($P$299:P305)-1)+1),""),"")</f>
        <v/>
      </c>
      <c r="Q305" s="184"/>
      <c r="R305" s="184">
        <f>IF(ISNUMBER(INDEX('M03-S09'!$AN$16:$AN$198,2*(ROWS($R$282:R305)-1)+1)),INDEX('M03-S09'!$AN$16:$AN$198,2*(ROWS($R$282:R305)-1)+1),0)</f>
        <v>0</v>
      </c>
      <c r="S305" s="459"/>
      <c r="T305" s="113"/>
      <c r="U305" s="140"/>
      <c r="V305" s="113"/>
      <c r="W305" s="96"/>
      <c r="X305" s="113"/>
      <c r="Y305" s="113"/>
      <c r="Z305" s="111">
        <f>INDEX('M03-S09'!$B$16:$B$198,2*(ROWS($Z$282:Z305)-1)+1)</f>
        <v>24</v>
      </c>
      <c r="AA305" s="111" t="str">
        <f>INDEX('M03-S09'!$N$16:$N$199,2*(ROWS($Z$282:AA305)-1)+1)</f>
        <v/>
      </c>
      <c r="AB305" s="111">
        <f>INDEX('M03-S09'!$C$16:$C$198,2*(ROWS($Z$282:AB305)-1)+1)</f>
        <v>0</v>
      </c>
      <c r="AC305" s="96"/>
      <c r="AD305">
        <f>INDEX('M03-S09'!$X$16:$X$198,2*(ROWS($AD$282:AD305)-1)+1)</f>
        <v>0</v>
      </c>
      <c r="AE305" s="459"/>
      <c r="AF305" s="459"/>
      <c r="AG305" s="112"/>
      <c r="AH305" s="112"/>
      <c r="AI305" s="112"/>
      <c r="AJ305" s="112"/>
      <c r="AK305" s="113"/>
      <c r="AL305" s="113"/>
      <c r="AM305" s="113"/>
      <c r="AN305" s="113"/>
      <c r="AO305" s="52" t="str">
        <f>IFERROR(INDEX(PMGAGG[Program Design],MATCH(AB305,PMGAGG[Eff Desc 1],0)),"")</f>
        <v/>
      </c>
      <c r="AU305"/>
    </row>
    <row r="306" spans="1:47">
      <c r="A306" s="57">
        <f t="shared" si="29"/>
        <v>0</v>
      </c>
      <c r="B306" s="183" t="str">
        <f t="shared" si="28"/>
        <v/>
      </c>
      <c r="C306" t="str">
        <f>IFERROR(IF(R306&gt;0,INDEX(PMGAGG[Measure '#],MATCH(AB306,PMGAGG[Eff Desc 1],0)),""),"")</f>
        <v/>
      </c>
      <c r="D306" t="s">
        <v>947</v>
      </c>
      <c r="F306" s="112"/>
      <c r="G306" s="186">
        <f>INDEX('M03-S09'!$AB$16:$AB$196,2*(ROWS($G$282:G306)-1)+1)</f>
        <v>0</v>
      </c>
      <c r="H306" s="186" t="str">
        <f>IF(ISNUMBER(INDEX('M03-S09'!$AN$16:$AN$198,2*(ROWS($R$299:R306)-1)+1)),"Total","")</f>
        <v/>
      </c>
      <c r="I306" s="184">
        <f>IFERROR(ROUND(INDEX('M03-S09'!$AE$16:$AE$198,2*(ROWS($I$282:I306)-1)+1),2),0)</f>
        <v>0</v>
      </c>
      <c r="J306" s="184">
        <f>IFERROR(ROUND(INDEX('M03-S09'!$AG$16:$AG$198,2*(ROWS($J$282:J306)-1)+1),2),0)</f>
        <v>0</v>
      </c>
      <c r="K306" s="52">
        <f>IFERROR(ROUND(INDEX('M03-S09'!$AU$16:$AU$196,2*(ROWS($K$282:K306)-1)+1),2),0)</f>
        <v>0</v>
      </c>
      <c r="M306" s="456">
        <f>INDEX('M03-S09'!$V$16:$V$198,2*(ROWS($M$266:M290)-1)+1)</f>
        <v>0</v>
      </c>
      <c r="N306" s="113"/>
      <c r="O306" s="113"/>
      <c r="P306" s="184" t="str">
        <f>IFERROR(IF(ISNUMBER(INDEX('M03-S09'!$AN$50:$AN$198,2*(ROWS($R$299:R306)-1)+1)),INDEX('M03-S09'!$AK$50:$AK$198,2*(ROWS($P$299:P306)-1)+1),""),"")</f>
        <v/>
      </c>
      <c r="Q306" s="184"/>
      <c r="R306" s="184">
        <f>IF(ISNUMBER(INDEX('M03-S09'!$AN$16:$AN$198,2*(ROWS($R$282:R306)-1)+1)),INDEX('M03-S09'!$AN$16:$AN$198,2*(ROWS($R$282:R306)-1)+1),0)</f>
        <v>0</v>
      </c>
      <c r="S306" s="459"/>
      <c r="T306" s="113"/>
      <c r="U306" s="140"/>
      <c r="V306" s="113"/>
      <c r="W306" s="96"/>
      <c r="X306" s="113"/>
      <c r="Y306" s="113"/>
      <c r="Z306" s="111">
        <f>INDEX('M03-S09'!$B$16:$B$198,2*(ROWS($Z$282:Z306)-1)+1)</f>
        <v>25</v>
      </c>
      <c r="AA306" s="111" t="str">
        <f>INDEX('M03-S09'!$N$16:$N$199,2*(ROWS($Z$282:AA306)-1)+1)</f>
        <v/>
      </c>
      <c r="AB306" s="111">
        <f>INDEX('M03-S09'!$C$16:$C$198,2*(ROWS($Z$282:AB306)-1)+1)</f>
        <v>0</v>
      </c>
      <c r="AC306" s="96"/>
      <c r="AD306">
        <f>INDEX('M03-S09'!$X$16:$X$198,2*(ROWS($AD$282:AD306)-1)+1)</f>
        <v>0</v>
      </c>
      <c r="AE306" s="459"/>
      <c r="AF306" s="459"/>
      <c r="AG306" s="112"/>
      <c r="AH306" s="112"/>
      <c r="AI306" s="112"/>
      <c r="AJ306" s="112"/>
      <c r="AK306" s="113"/>
      <c r="AL306" s="113"/>
      <c r="AM306" s="113"/>
      <c r="AN306" s="113"/>
      <c r="AO306" s="52" t="str">
        <f>IFERROR(INDEX(PMGAGG[Program Design],MATCH(AB306,PMGAGG[Eff Desc 1],0)),"")</f>
        <v/>
      </c>
      <c r="AU306"/>
    </row>
    <row r="307" spans="1:47">
      <c r="A307" s="57">
        <f t="shared" si="29"/>
        <v>0</v>
      </c>
      <c r="B307" s="183" t="str">
        <f t="shared" ref="B307" ca="1" si="30">IF(C307="","",CONCATENATE(ROW(),"-",C307))</f>
        <v/>
      </c>
      <c r="C307" s="559" t="str">
        <f ca="1">IFERROR(IF(R307&gt;0,INDEX(PMEBONUS[Measure '#],MATCH(AB307,PMEBONUS[Eff Desc 1],0)),""),"")</f>
        <v/>
      </c>
      <c r="D307" t="s">
        <v>947</v>
      </c>
      <c r="F307" s="112"/>
      <c r="G307" s="186">
        <f>INDEX('M03-S09'!$AB$16:$AB$196,2*(ROWS($G$282:G307)-1)+1)</f>
        <v>0</v>
      </c>
      <c r="H307" s="186"/>
      <c r="I307" s="184">
        <f>IFERROR(ROUND(INDEX('M03-S09'!$AE$16:$AE$198,2*(ROWS($I$282:I307)-1)+1),2),0)</f>
        <v>0</v>
      </c>
      <c r="J307" s="184">
        <f>IFERROR(ROUND(INDEX('M03-S09'!$AG$16:$AG$198,2*(ROWS($J$282:J307)-1)+1),2),0)</f>
        <v>0</v>
      </c>
      <c r="K307" s="52">
        <f>IFERROR(ROUND(INDEX('M03-S09'!$AU$16:$AU$196,2*(ROWS($K$282:K307)-1)+1),2),0)</f>
        <v>0</v>
      </c>
      <c r="M307" s="456">
        <f ca="1">INDEX('M03-S09'!$V$16:$V$198,2*(ROWS($M$266:M291)-1)+1)</f>
        <v>0</v>
      </c>
      <c r="N307" s="184"/>
      <c r="O307" s="456"/>
      <c r="P307" s="113"/>
      <c r="Q307" s="113"/>
      <c r="R307" s="184">
        <f ca="1">IF(ISNUMBER(INDEX('M03-S09'!$AN$16:$AN$198,2*(ROWS($R$282:R307)-1)+1)),INDEX('M03-S09'!$AN$16:$AN$198,2*(ROWS($R$282:R307)-1)+1),0)</f>
        <v>0</v>
      </c>
      <c r="S307" s="459"/>
      <c r="T307" s="113"/>
      <c r="U307" s="140"/>
      <c r="V307" s="113"/>
      <c r="W307" s="96"/>
      <c r="X307" s="113"/>
      <c r="Y307" s="113"/>
      <c r="Z307" s="111">
        <f>INDEX('M03-S09'!$B$16:$B$198,2*(ROWS($Z$282:Z307)-1)+1)</f>
        <v>26</v>
      </c>
      <c r="AA307" s="111" t="str">
        <f ca="1">INDEX('M03-S09'!$N$16:$N$199,2*(ROWS($Z$282:AA307)-1)+1)</f>
        <v/>
      </c>
      <c r="AB307" s="111">
        <f ca="1">INDEX('M03-S09'!$C$16:$C$198,2*(ROWS($Z$282:AB307)-1)+1)</f>
        <v>0</v>
      </c>
      <c r="AC307" s="96"/>
      <c r="AD307">
        <f>INDEX('M03-S09'!$X$16:$X$198,2*(ROWS($AD$282:AD307)-1)+1)</f>
        <v>0</v>
      </c>
      <c r="AE307" s="459"/>
      <c r="AF307" s="459"/>
      <c r="AG307" s="112"/>
      <c r="AH307" s="112"/>
      <c r="AI307" s="112"/>
      <c r="AJ307" s="112"/>
      <c r="AK307" s="113"/>
      <c r="AL307" s="113"/>
      <c r="AM307" s="113"/>
      <c r="AN307" s="113"/>
      <c r="AO307" s="111" t="str">
        <f ca="1">IFERROR(INDEX(PMEBONUS[Program Design],MATCH(AB307,PMEBONUS[Eff Desc 1],0)),"")</f>
        <v/>
      </c>
      <c r="AU307"/>
    </row>
    <row r="308" spans="1:47" ht="14.25" customHeight="1">
      <c r="A308" s="149" t="str">
        <f>CONCATENATE(MAIN4," ",M4S1)</f>
        <v>CUSTOM MEASURES INPUT Custom Lighting</v>
      </c>
      <c r="B308" s="150"/>
      <c r="C308" s="150"/>
      <c r="D308" s="129"/>
      <c r="E308" s="129"/>
      <c r="F308" s="130"/>
      <c r="G308" s="129"/>
      <c r="H308" s="129"/>
      <c r="I308" s="131"/>
      <c r="J308" s="131"/>
      <c r="K308" s="131"/>
      <c r="L308" s="131"/>
      <c r="M308" s="458"/>
      <c r="N308" s="131"/>
      <c r="O308" s="458"/>
      <c r="P308" s="131"/>
      <c r="Q308" s="131"/>
      <c r="R308" s="131"/>
      <c r="S308" s="458"/>
      <c r="T308" s="131"/>
      <c r="U308" s="139"/>
      <c r="V308" s="131"/>
      <c r="W308" s="129"/>
      <c r="X308" s="131"/>
      <c r="Y308" s="131"/>
      <c r="Z308" s="130"/>
      <c r="AA308" s="130"/>
      <c r="AB308" s="130"/>
      <c r="AC308" s="129"/>
      <c r="AD308" s="129"/>
      <c r="AE308" s="458"/>
      <c r="AF308" s="458"/>
      <c r="AG308" s="130"/>
      <c r="AH308" s="130"/>
      <c r="AI308" s="130"/>
      <c r="AJ308" s="130"/>
      <c r="AK308" s="131"/>
      <c r="AL308" s="131"/>
      <c r="AM308" s="131"/>
      <c r="AN308" s="131"/>
      <c r="AO308" s="131"/>
      <c r="AU308"/>
    </row>
    <row r="309" spans="1:47">
      <c r="A309" s="57">
        <f t="shared" ref="A309:A358" si="31">PROJID</f>
        <v>0</v>
      </c>
      <c r="B309" s="183" t="str">
        <f t="shared" ref="B309:B314" si="32">IF(C309="","",CONCATENATE(ROW(),"-",C309))</f>
        <v/>
      </c>
      <c r="C309" s="186" t="str">
        <f>IF(OR(R309&gt;0,T309&gt;0),INDEX('M04-S01'!$AZ$16:$AZ$198,2*(ROWS($C$309:C309)-1)+1),"")</f>
        <v/>
      </c>
      <c r="D309" t="s">
        <v>231</v>
      </c>
      <c r="F309" s="185">
        <f>INDEX('M04-S01'!$Q$16:$Q$198,2*(ROWS($F$309:F309)-1)+1)</f>
        <v>0</v>
      </c>
      <c r="G309" s="186">
        <f>INDEX('M04-S01'!$C$16:$C$198,2*(ROWS($G$309:G309)-1)+1)</f>
        <v>0</v>
      </c>
      <c r="H309" s="186" t="str">
        <f>IF(ISNUMBER(INDEX('M04-S01'!$AN$16:$AN$198,2*(ROWS($R$309:R309)-1)+1)),"Total","")</f>
        <v/>
      </c>
      <c r="I309" s="184">
        <f>IFERROR(ROUND(IF(ISNUMBER(INDEX('M04-S01'!$AN$16:$AN$198,2*(ROWS($R$309:$R309)-1)+1)),INDEX('M04-S01'!$Z$16:$Z$198,2*(ROWS($I$309:$I309)-1)+1)*INDEX('M04-S01'!$AD$16:$AD$198,2*(ROWS($I$309:$I309)-1)+1),""),2),0)</f>
        <v>0</v>
      </c>
      <c r="J309" s="184">
        <f>IFERROR(ROUND(IF(ISNUMBER(INDEX('M04-S01'!$AN$16:$AN$198,2*(ROWS($R$309:$R309)-1)+1)),INDEX('M04-S01'!$Z$16:$Z$198,2*(ROWS($J$309:$J309)-1)+1)*INDEX('M04-S01'!$AF$16:$AF$198,2*(ROWS($J$309:$J309)-1)+1),""),2),0)</f>
        <v>0</v>
      </c>
      <c r="K309" s="52">
        <f>IFERROR(ROUND(IF(ISNUMBER(INDEX('M04-S01'!$AN$16:$AN$198,2*(ROWS($R$309:$R309)-1)+1)),INDEX('M04-S01'!$AH$16:$AH$198,2*(ROWS($K$309:$K309)-1)+1),""),2),0)</f>
        <v>0</v>
      </c>
      <c r="M309" s="456" t="str">
        <f>IF(ISNUMBER(INDEX('M04-S01'!$AN$16:$AN$198,2*(ROWS($R$309:R309)-1)+1)),INDEX('M04-S01'!$Z$16:$Z$198,2*(ROWS($M$309:M309)-1)+1),"")</f>
        <v/>
      </c>
      <c r="N309" s="184" t="str">
        <f>IF(ISNUMBER(INDEX('M04-S01'!$AN$16:$AN$198,2*(ROWS($R$309:R309)-1)+1)),INDEX('M04-S01'!$AK$16:$AK$198,2*(ROWS($N$309:N309)-1)+1),"")</f>
        <v/>
      </c>
      <c r="O309" s="456" t="str">
        <f>IF(ISNUMBER(INDEX('M04-S01'!$AN$16:$AN$198,2*(ROWS($R$309:R309)-1)+1)),INDEX('M04-S01'!$AW$16:$AW$198,2*(ROWS($O$309:O309)-1)+1),"")</f>
        <v/>
      </c>
      <c r="P309" s="113"/>
      <c r="Q309" s="456" t="str">
        <f>IF(ISNUMBER(INDEX('M04-S01'!$AN$16:$AN$198,2*(ROWS($R$309:R309)-1)+1)),INDEX('M04-S01'!$BB$16:$BB$198,2*(ROWS($Q$309:Q309)-1)+1),"")</f>
        <v/>
      </c>
      <c r="R309" s="184">
        <f>IF(ISNUMBER(INDEX('M04-S01'!$AN$16:$AN$198,2*(ROWS($R$309:R309)-1)+1)),INDEX('M04-S01'!$AN$16:$AN$198,2*(ROWS($R$309:R309)-1)+1),0)</f>
        <v>0</v>
      </c>
      <c r="S309" s="23">
        <f>IF(NOT(ISNUMBER(INDEX('M04-S01'!$AN$16:$AN$198,2*(ROWS($R$309:R309)-1)+1))),INDEX('M04-S01'!$Z$16:$Z$198,2*(ROWS($S$309:S309)-1)+1),"")</f>
        <v>0</v>
      </c>
      <c r="T309" s="52" t="str">
        <f>IFERROR(IF(NOT(ISNUMBER(INDEX('M04-S01'!$AN$16:$AN$198,2*(ROWS($R$309:R309)-1)+1))),INDEX('M04-S01'!$AK$16:$AK$198,2*(ROWS($R$309:R309)-1)+1),0),0)</f>
        <v/>
      </c>
      <c r="U309" s="23" t="str">
        <f>IFERROR(IF(NOT(ISNUMBER(INDEX('M04-S01'!$AN$16:$AN$198,2*(ROWS($R$309:R309)-1)+1))),INDEX('M04-S01'!$AW$16:$AW$198,2*(ROWS($R$309:R309)-1)+1),""),"")</f>
        <v/>
      </c>
      <c r="V309" s="113"/>
      <c r="W309" t="str">
        <f>IFERROR(IF(NOT(ISNUMBER(INDEX('M04-S01'!$AN$16:$AN$198,2*(ROWS($R$309:R309)-1)+1))),INDEX('M04-S01'!$BD$16:$BD$198,2*(ROWS($R$309:R309)-1)+1),""),"")</f>
        <v/>
      </c>
      <c r="X309" s="184" t="str">
        <f>IFERROR(ROUND(INDEX('M04-S01'!$O$16:$O$198,2*(ROWS($X$309:X309)-1)+1),3),"")</f>
        <v/>
      </c>
      <c r="Y309" s="184">
        <f>IFERROR(ROUND(INDEX('M04-S01'!$AB$16:$AB$198,2*(ROWS($Y$309:Y309)-1)+1),3),"")</f>
        <v>0</v>
      </c>
      <c r="Z309" s="111">
        <f>INDEX('M04-S01'!$B$16:$B$198,2*(ROWS($Z$309:Z309)-1)+1)</f>
        <v>1</v>
      </c>
      <c r="AA309" s="111">
        <f>INDEX('M04-S01'!$F$16:$F$198,2*(ROWS($Z$309:AA309)-1)+1)</f>
        <v>0</v>
      </c>
      <c r="AB309" s="111">
        <f>INDEX('M04-S01'!$S$16:$S$198,2*(ROWS($Z$309:AB309)-1)+1)</f>
        <v>0</v>
      </c>
      <c r="AC309">
        <f>INDEX('M04-S01'!$J$16:$J$198,2*(ROWS($AC$309:AC309)-1)+1)</f>
        <v>0</v>
      </c>
      <c r="AD309">
        <f>INDEX('M04-S01'!$W$16:$W$198,2*(ROWS($AD$309:AD309)-1)+1)</f>
        <v>0</v>
      </c>
      <c r="AE309" s="459"/>
      <c r="AF309" s="459"/>
      <c r="AG309" s="111" t="str">
        <f>INDEX('M04-S01'!$AX$16:$AX$198,2*(ROWS($AG$309:AG309)-1)+1)</f>
        <v/>
      </c>
      <c r="AH309" s="111" t="str">
        <f>INDEX('M04-S01'!$AY$16:$AY$198,2*(ROWS($AH$309:AH309)-1)+1)</f>
        <v/>
      </c>
      <c r="AI309" s="113"/>
      <c r="AJ309" s="113"/>
      <c r="AK309" s="52" t="str">
        <f>INDEX('M04-S01'!$AV$16:$AV$198,2*(ROWS($AK$309:AK309)-1)+1)</f>
        <v/>
      </c>
      <c r="AL309" s="184">
        <f>IF(NOT(ISNUMBER(INDEX('M04-S01'!$AN$16:$AN$198,2*(ROWS($R$309:$R309)-1)+1))),INDEX('M04-S01'!$Z$16:$Z$198,2*(ROWS($AL$309:$AL309)-1)+1)*INDEX('M04-S01'!$AD$16:$AD$198,2*(ROWS($AL$309:$AL309)-1)+1),"")</f>
        <v>0</v>
      </c>
      <c r="AM309" s="184">
        <f>IF(AND(NOT(ISNUMBER(INDEX('M04-S01'!$AN$16:$AN$198,2*(ROWS($R$309:$R309)-1)+1))),T309&gt;0),INDEX('M04-S01'!$Z$16:$Z$198,2*(ROWS($AM$309:$AM309)-1)+1)*INDEX('M04-S01'!$AF$16:$AF$198,2*(ROWS($AM$309:$AM309)-1)+1),"")</f>
        <v>0</v>
      </c>
      <c r="AN309" s="52" t="str">
        <f>IF(NOT(ISNUMBER(INDEX('M04-S01'!$AN$16:$AN$198,2*(ROWS($R$309:$R309)-1)+1))),INDEX('M04-S01'!$AH$16:$AH$198,2*(ROWS($AN$309:$AN309)-1)+1),"")</f>
        <v/>
      </c>
      <c r="AO309" s="113"/>
      <c r="AU309"/>
    </row>
    <row r="310" spans="1:47">
      <c r="A310" s="57">
        <f t="shared" si="31"/>
        <v>0</v>
      </c>
      <c r="B310" s="183" t="str">
        <f t="shared" si="32"/>
        <v/>
      </c>
      <c r="C310" s="186" t="str">
        <f>IF(OR(R310&gt;0,T310&gt;0),INDEX('M04-S01'!$AZ$16:$AZ$198,2*(ROWS($C$309:C310)-1)+1),"")</f>
        <v/>
      </c>
      <c r="D310" t="s">
        <v>231</v>
      </c>
      <c r="F310" s="185">
        <f>INDEX('M04-S01'!$Q$16:$Q$198,2*(ROWS($F$309:F310)-1)+1)</f>
        <v>0</v>
      </c>
      <c r="G310" s="186">
        <f>INDEX('M04-S01'!$C$16:$C$198,2*(ROWS($G$309:G310)-1)+1)</f>
        <v>0</v>
      </c>
      <c r="H310" s="186" t="str">
        <f>IF(ISNUMBER(INDEX('M04-S01'!$AN$16:$AN$198,2*(ROWS($R$309:R310)-1)+1)),"Total","")</f>
        <v/>
      </c>
      <c r="I310" s="184">
        <f>IFERROR(ROUND(IF(ISNUMBER(INDEX('M04-S01'!$AN$16:$AN$198,2*(ROWS($R$309:$R310)-1)+1)),INDEX('M04-S01'!$Z$16:$Z$198,2*(ROWS($I$309:$I310)-1)+1)*INDEX('M04-S01'!$AD$16:$AD$198,2*(ROWS($I$309:$I310)-1)+1),""),2),0)</f>
        <v>0</v>
      </c>
      <c r="J310" s="184">
        <f>IFERROR(ROUND(IF(ISNUMBER(INDEX('M04-S01'!$AN$16:$AN$198,2*(ROWS($R$309:$R310)-1)+1)),INDEX('M04-S01'!$Z$16:$Z$198,2*(ROWS($J$309:$J310)-1)+1)*INDEX('M04-S01'!$AF$16:$AF$198,2*(ROWS($J$309:$J310)-1)+1),""),2),0)</f>
        <v>0</v>
      </c>
      <c r="K310" s="52">
        <f>IFERROR(ROUND(IF(ISNUMBER(INDEX('M04-S01'!$AN$16:$AN$198,2*(ROWS($R$309:$R310)-1)+1)),INDEX('M04-S01'!$AH$16:$AH$198,2*(ROWS($K$309:$K310)-1)+1),""),2),0)</f>
        <v>0</v>
      </c>
      <c r="M310" s="456" t="str">
        <f>IF(ISNUMBER(INDEX('M04-S01'!$AN$16:$AN$198,2*(ROWS($R$309:R310)-1)+1)),INDEX('M04-S01'!$Z$16:$Z$198,2*(ROWS($M$309:M310)-1)+1),"")</f>
        <v/>
      </c>
      <c r="N310" s="184" t="str">
        <f>IF(ISNUMBER(INDEX('M04-S01'!$AN$16:$AN$198,2*(ROWS($R$309:R310)-1)+1)),INDEX('M04-S01'!$AK$16:$AK$198,2*(ROWS($N$309:N310)-1)+1),"")</f>
        <v/>
      </c>
      <c r="O310" s="456" t="str">
        <f>IF(ISNUMBER(INDEX('M04-S01'!$AN$16:$AN$198,2*(ROWS($R$309:R310)-1)+1)),INDEX('M04-S01'!$AW$16:$AW$198,2*(ROWS($O$309:O310)-1)+1),"")</f>
        <v/>
      </c>
      <c r="P310" s="113"/>
      <c r="Q310" s="456" t="str">
        <f>IF(ISNUMBER(INDEX('M04-S01'!$AN$16:$AN$198,2*(ROWS($R$309:R310)-1)+1)),INDEX('M04-S01'!$BB$16:$BB$198,2*(ROWS($Q$309:Q310)-1)+1),"")</f>
        <v/>
      </c>
      <c r="R310" s="184">
        <f>IF(ISNUMBER(INDEX('M04-S01'!$AN$16:$AN$198,2*(ROWS($R$309:R310)-1)+1)),INDEX('M04-S01'!$AN$16:$AN$198,2*(ROWS($R$309:R310)-1)+1),0)</f>
        <v>0</v>
      </c>
      <c r="S310" s="23">
        <f>IF(NOT(ISNUMBER(INDEX('M04-S01'!$AN$16:$AN$198,2*(ROWS($R$309:R310)-1)+1))),INDEX('M04-S01'!$Z$16:$Z$198,2*(ROWS($S$309:S310)-1)+1),"")</f>
        <v>0</v>
      </c>
      <c r="T310" s="52" t="str">
        <f>IFERROR(IF(NOT(ISNUMBER(INDEX('M04-S01'!$AN$16:$AN$198,2*(ROWS($R$309:R310)-1)+1))),INDEX('M04-S01'!$AK$16:$AK$198,2*(ROWS($R$309:R310)-1)+1),0),0)</f>
        <v/>
      </c>
      <c r="U310" s="23" t="str">
        <f>IFERROR(IF(NOT(ISNUMBER(INDEX('M04-S01'!$AN$16:$AN$198,2*(ROWS($R$309:R310)-1)+1))),INDEX('M04-S01'!$AW$16:$AW$198,2*(ROWS($R$309:R310)-1)+1),""),"")</f>
        <v/>
      </c>
      <c r="V310" s="113"/>
      <c r="W310" t="str">
        <f>IFERROR(IF(NOT(ISNUMBER(INDEX('M04-S01'!$AN$16:$AN$198,2*(ROWS($R$309:R310)-1)+1))),INDEX('M04-S01'!$BD$16:$BD$198,2*(ROWS($R$309:R310)-1)+1),""),"")</f>
        <v/>
      </c>
      <c r="X310" s="184" t="str">
        <f>IFERROR(ROUND(INDEX('M04-S01'!$O$16:$O$198,2*(ROWS($X$309:X310)-1)+1),3),"")</f>
        <v/>
      </c>
      <c r="Y310" s="184">
        <f>IFERROR(ROUND(INDEX('M04-S01'!$AB$16:$AB$198,2*(ROWS($Y$309:Y310)-1)+1),3),"")</f>
        <v>0</v>
      </c>
      <c r="Z310" s="111">
        <f>INDEX('M04-S01'!$B$16:$B$198,2*(ROWS($Z$309:Z310)-1)+1)</f>
        <v>2</v>
      </c>
      <c r="AA310" s="111">
        <f>INDEX('M04-S01'!$F$16:$F$198,2*(ROWS($Z$309:AA310)-1)+1)</f>
        <v>0</v>
      </c>
      <c r="AB310" s="111">
        <f>INDEX('M04-S01'!$S$16:$S$198,2*(ROWS($Z$309:AB310)-1)+1)</f>
        <v>0</v>
      </c>
      <c r="AC310">
        <f>INDEX('M04-S01'!$J$16:$J$198,2*(ROWS($AC$309:AC310)-1)+1)</f>
        <v>0</v>
      </c>
      <c r="AD310">
        <f>INDEX('M04-S01'!$W$16:$W$198,2*(ROWS($AD$309:AD310)-1)+1)</f>
        <v>0</v>
      </c>
      <c r="AE310" s="459"/>
      <c r="AF310" s="459"/>
      <c r="AG310" s="111" t="str">
        <f>INDEX('M04-S01'!$AX$16:$AX$198,2*(ROWS($AG$309:AG310)-1)+1)</f>
        <v/>
      </c>
      <c r="AH310" s="111" t="str">
        <f>INDEX('M04-S01'!$AY$16:$AY$198,2*(ROWS($AH$309:AH310)-1)+1)</f>
        <v/>
      </c>
      <c r="AI310" s="113"/>
      <c r="AJ310" s="113"/>
      <c r="AK310" s="52" t="str">
        <f>INDEX('M04-S01'!$AV$16:$AV$198,2*(ROWS($AK$309:AK310)-1)+1)</f>
        <v/>
      </c>
      <c r="AL310" s="184">
        <f>IF(NOT(ISNUMBER(INDEX('M04-S01'!$AN$16:$AN$198,2*(ROWS($R$309:$R310)-1)+1))),INDEX('M04-S01'!$Z$16:$Z$198,2*(ROWS($AL$309:$AL310)-1)+1)*INDEX('M04-S01'!$AD$16:$AD$198,2*(ROWS($AL$309:$AL310)-1)+1),"")</f>
        <v>0</v>
      </c>
      <c r="AM310" s="184">
        <f>IF(AND(NOT(ISNUMBER(INDEX('M04-S01'!$AN$16:$AN$198,2*(ROWS($R$309:$R310)-1)+1))),T310&gt;0),INDEX('M04-S01'!$Z$16:$Z$198,2*(ROWS($AM$309:$AM310)-1)+1)*INDEX('M04-S01'!$AF$16:$AF$198,2*(ROWS($AM$309:$AM310)-1)+1),"")</f>
        <v>0</v>
      </c>
      <c r="AN310" s="52" t="str">
        <f>IF(NOT(ISNUMBER(INDEX('M04-S01'!$AN$16:$AN$198,2*(ROWS($R$309:$R310)-1)+1))),INDEX('M04-S01'!$AH$16:$AH$198,2*(ROWS($AN$309:$AN310)-1)+1),"")</f>
        <v/>
      </c>
      <c r="AO310" s="113"/>
      <c r="AU310"/>
    </row>
    <row r="311" spans="1:47">
      <c r="A311" s="57">
        <f t="shared" si="31"/>
        <v>0</v>
      </c>
      <c r="B311" s="183" t="str">
        <f t="shared" si="32"/>
        <v/>
      </c>
      <c r="C311" s="186" t="str">
        <f>IF(OR(R311&gt;0,T311&gt;0),INDEX('M04-S01'!$AZ$16:$AZ$198,2*(ROWS($C$309:C311)-1)+1),"")</f>
        <v/>
      </c>
      <c r="D311" t="s">
        <v>231</v>
      </c>
      <c r="F311" s="185">
        <f>INDEX('M04-S01'!$Q$16:$Q$198,2*(ROWS($F$309:F311)-1)+1)</f>
        <v>0</v>
      </c>
      <c r="G311" s="186">
        <f>INDEX('M04-S01'!$C$16:$C$198,2*(ROWS($G$309:G311)-1)+1)</f>
        <v>0</v>
      </c>
      <c r="H311" s="186" t="str">
        <f>IF(ISNUMBER(INDEX('M04-S01'!$AN$16:$AN$198,2*(ROWS($R$309:R311)-1)+1)),"Total","")</f>
        <v/>
      </c>
      <c r="I311" s="184">
        <f>IFERROR(ROUND(IF(ISNUMBER(INDEX('M04-S01'!$AN$16:$AN$198,2*(ROWS($R$309:$R311)-1)+1)),INDEX('M04-S01'!$Z$16:$Z$198,2*(ROWS($I$309:$I311)-1)+1)*INDEX('M04-S01'!$AD$16:$AD$198,2*(ROWS($I$309:$I311)-1)+1),""),2),0)</f>
        <v>0</v>
      </c>
      <c r="J311" s="184">
        <f>IFERROR(ROUND(IF(ISNUMBER(INDEX('M04-S01'!$AN$16:$AN$198,2*(ROWS($R$309:$R311)-1)+1)),INDEX('M04-S01'!$Z$16:$Z$198,2*(ROWS($J$309:$J311)-1)+1)*INDEX('M04-S01'!$AF$16:$AF$198,2*(ROWS($J$309:$J311)-1)+1),""),2),0)</f>
        <v>0</v>
      </c>
      <c r="K311" s="52">
        <f>IFERROR(ROUND(IF(ISNUMBER(INDEX('M04-S01'!$AN$16:$AN$198,2*(ROWS($R$309:$R311)-1)+1)),INDEX('M04-S01'!$AH$16:$AH$198,2*(ROWS($K$309:$K311)-1)+1),""),2),0)</f>
        <v>0</v>
      </c>
      <c r="M311" s="456" t="str">
        <f>IF(ISNUMBER(INDEX('M04-S01'!$AN$16:$AN$198,2*(ROWS($R$309:R311)-1)+1)),INDEX('M04-S01'!$Z$16:$Z$198,2*(ROWS($M$309:M311)-1)+1),"")</f>
        <v/>
      </c>
      <c r="N311" s="184" t="str">
        <f>IF(ISNUMBER(INDEX('M04-S01'!$AN$16:$AN$198,2*(ROWS($R$309:R311)-1)+1)),INDEX('M04-S01'!$AK$16:$AK$198,2*(ROWS($N$309:N311)-1)+1),"")</f>
        <v/>
      </c>
      <c r="O311" s="456" t="str">
        <f>IF(ISNUMBER(INDEX('M04-S01'!$AN$16:$AN$198,2*(ROWS($R$309:R311)-1)+1)),INDEX('M04-S01'!$AW$16:$AW$198,2*(ROWS($O$309:O311)-1)+1),"")</f>
        <v/>
      </c>
      <c r="P311" s="113"/>
      <c r="Q311" s="456" t="str">
        <f>IF(ISNUMBER(INDEX('M04-S01'!$AN$16:$AN$198,2*(ROWS($R$309:R311)-1)+1)),INDEX('M04-S01'!$BB$16:$BB$198,2*(ROWS($Q$309:Q311)-1)+1),"")</f>
        <v/>
      </c>
      <c r="R311" s="184">
        <f>IF(ISNUMBER(INDEX('M04-S01'!$AN$16:$AN$198,2*(ROWS($R$309:R311)-1)+1)),INDEX('M04-S01'!$AN$16:$AN$198,2*(ROWS($R$309:R311)-1)+1),0)</f>
        <v>0</v>
      </c>
      <c r="S311" s="23">
        <f>IF(NOT(ISNUMBER(INDEX('M04-S01'!$AN$16:$AN$198,2*(ROWS($R$309:R311)-1)+1))),INDEX('M04-S01'!$Z$16:$Z$198,2*(ROWS($S$309:S311)-1)+1),"")</f>
        <v>0</v>
      </c>
      <c r="T311" s="52" t="str">
        <f>IFERROR(IF(NOT(ISNUMBER(INDEX('M04-S01'!$AN$16:$AN$198,2*(ROWS($R$309:R311)-1)+1))),INDEX('M04-S01'!$AK$16:$AK$198,2*(ROWS($R$309:R311)-1)+1),0),0)</f>
        <v/>
      </c>
      <c r="U311" s="23" t="str">
        <f>IFERROR(IF(NOT(ISNUMBER(INDEX('M04-S01'!$AN$16:$AN$198,2*(ROWS($R$309:R311)-1)+1))),INDEX('M04-S01'!$AW$16:$AW$198,2*(ROWS($R$309:R311)-1)+1),""),"")</f>
        <v/>
      </c>
      <c r="V311" s="113"/>
      <c r="W311" t="str">
        <f>IFERROR(IF(NOT(ISNUMBER(INDEX('M04-S01'!$AN$16:$AN$198,2*(ROWS($R$309:R311)-1)+1))),INDEX('M04-S01'!$BD$16:$BD$198,2*(ROWS($R$309:R311)-1)+1),""),"")</f>
        <v/>
      </c>
      <c r="X311" s="184" t="str">
        <f>IFERROR(ROUND(INDEX('M04-S01'!$O$16:$O$198,2*(ROWS($X$309:X311)-1)+1),3),"")</f>
        <v/>
      </c>
      <c r="Y311" s="184">
        <f>IFERROR(ROUND(INDEX('M04-S01'!$AB$16:$AB$198,2*(ROWS($Y$309:Y311)-1)+1),3),"")</f>
        <v>0</v>
      </c>
      <c r="Z311" s="111">
        <f>INDEX('M04-S01'!$B$16:$B$198,2*(ROWS($Z$309:Z311)-1)+1)</f>
        <v>3</v>
      </c>
      <c r="AA311" s="111">
        <f>INDEX('M04-S01'!$F$16:$F$198,2*(ROWS($Z$309:AA311)-1)+1)</f>
        <v>0</v>
      </c>
      <c r="AB311" s="111">
        <f>INDEX('M04-S01'!$S$16:$S$198,2*(ROWS($Z$309:AB311)-1)+1)</f>
        <v>0</v>
      </c>
      <c r="AC311">
        <f>INDEX('M04-S01'!$J$16:$J$198,2*(ROWS($AC$309:AC311)-1)+1)</f>
        <v>0</v>
      </c>
      <c r="AD311">
        <f>INDEX('M04-S01'!$W$16:$W$198,2*(ROWS($AD$309:AD311)-1)+1)</f>
        <v>0</v>
      </c>
      <c r="AE311" s="459"/>
      <c r="AF311" s="459"/>
      <c r="AG311" s="111" t="str">
        <f>INDEX('M04-S01'!$AX$16:$AX$198,2*(ROWS($AG$309:AG311)-1)+1)</f>
        <v/>
      </c>
      <c r="AH311" s="111" t="str">
        <f>INDEX('M04-S01'!$AY$16:$AY$198,2*(ROWS($AH$309:AH311)-1)+1)</f>
        <v/>
      </c>
      <c r="AI311" s="113"/>
      <c r="AJ311" s="113"/>
      <c r="AK311" s="52" t="str">
        <f>INDEX('M04-S01'!$AV$16:$AV$198,2*(ROWS($AK$309:AK311)-1)+1)</f>
        <v/>
      </c>
      <c r="AL311" s="184">
        <f>IF(NOT(ISNUMBER(INDEX('M04-S01'!$AN$16:$AN$198,2*(ROWS($R$309:$R311)-1)+1))),INDEX('M04-S01'!$Z$16:$Z$198,2*(ROWS($AL$309:$AL311)-1)+1)*INDEX('M04-S01'!$AD$16:$AD$198,2*(ROWS($AL$309:$AL311)-1)+1),"")</f>
        <v>0</v>
      </c>
      <c r="AM311" s="184">
        <f>IF(AND(NOT(ISNUMBER(INDEX('M04-S01'!$AN$16:$AN$198,2*(ROWS($R$309:$R311)-1)+1))),T311&gt;0),INDEX('M04-S01'!$Z$16:$Z$198,2*(ROWS($AM$309:$AM311)-1)+1)*INDEX('M04-S01'!$AF$16:$AF$198,2*(ROWS($AM$309:$AM311)-1)+1),"")</f>
        <v>0</v>
      </c>
      <c r="AN311" s="52" t="str">
        <f>IF(NOT(ISNUMBER(INDEX('M04-S01'!$AN$16:$AN$198,2*(ROWS($R$309:$R311)-1)+1))),INDEX('M04-S01'!$AH$16:$AH$198,2*(ROWS($AN$309:$AN311)-1)+1),"")</f>
        <v/>
      </c>
      <c r="AO311" s="113"/>
      <c r="AU311"/>
    </row>
    <row r="312" spans="1:47">
      <c r="A312" s="57">
        <f t="shared" si="31"/>
        <v>0</v>
      </c>
      <c r="B312" s="183" t="str">
        <f t="shared" si="32"/>
        <v/>
      </c>
      <c r="C312" s="186" t="str">
        <f>IF(OR(R312&gt;0,T312&gt;0),INDEX('M04-S01'!$AZ$16:$AZ$198,2*(ROWS($C$309:C312)-1)+1),"")</f>
        <v/>
      </c>
      <c r="D312" t="s">
        <v>231</v>
      </c>
      <c r="F312" s="185">
        <f>INDEX('M04-S01'!$Q$16:$Q$198,2*(ROWS($F$309:F312)-1)+1)</f>
        <v>0</v>
      </c>
      <c r="G312" s="186">
        <f>INDEX('M04-S01'!$C$16:$C$198,2*(ROWS($G$309:G312)-1)+1)</f>
        <v>0</v>
      </c>
      <c r="H312" s="186" t="str">
        <f>IF(ISNUMBER(INDEX('M04-S01'!$AN$16:$AN$198,2*(ROWS($R$309:R312)-1)+1)),"Total","")</f>
        <v/>
      </c>
      <c r="I312" s="184">
        <f>IFERROR(ROUND(IF(ISNUMBER(INDEX('M04-S01'!$AN$16:$AN$198,2*(ROWS($R$309:$R312)-1)+1)),INDEX('M04-S01'!$Z$16:$Z$198,2*(ROWS($I$309:$I312)-1)+1)*INDEX('M04-S01'!$AD$16:$AD$198,2*(ROWS($I$309:$I312)-1)+1),""),2),0)</f>
        <v>0</v>
      </c>
      <c r="J312" s="184">
        <f>IFERROR(ROUND(IF(ISNUMBER(INDEX('M04-S01'!$AN$16:$AN$198,2*(ROWS($R$309:$R312)-1)+1)),INDEX('M04-S01'!$Z$16:$Z$198,2*(ROWS($J$309:$J312)-1)+1)*INDEX('M04-S01'!$AF$16:$AF$198,2*(ROWS($J$309:$J312)-1)+1),""),2),0)</f>
        <v>0</v>
      </c>
      <c r="K312" s="52">
        <f>IFERROR(ROUND(IF(ISNUMBER(INDEX('M04-S01'!$AN$16:$AN$198,2*(ROWS($R$309:$R312)-1)+1)),INDEX('M04-S01'!$AH$16:$AH$198,2*(ROWS($K$309:$K312)-1)+1),""),2),0)</f>
        <v>0</v>
      </c>
      <c r="M312" s="456" t="str">
        <f>IF(ISNUMBER(INDEX('M04-S01'!$AN$16:$AN$198,2*(ROWS($R$309:R312)-1)+1)),INDEX('M04-S01'!$Z$16:$Z$198,2*(ROWS($M$309:M312)-1)+1),"")</f>
        <v/>
      </c>
      <c r="N312" s="184" t="str">
        <f>IF(ISNUMBER(INDEX('M04-S01'!$AN$16:$AN$198,2*(ROWS($R$309:R312)-1)+1)),INDEX('M04-S01'!$AK$16:$AK$198,2*(ROWS($N$309:N312)-1)+1),"")</f>
        <v/>
      </c>
      <c r="O312" s="456" t="str">
        <f>IF(ISNUMBER(INDEX('M04-S01'!$AN$16:$AN$198,2*(ROWS($R$309:R312)-1)+1)),INDEX('M04-S01'!$AW$16:$AW$198,2*(ROWS($O$309:O312)-1)+1),"")</f>
        <v/>
      </c>
      <c r="P312" s="113"/>
      <c r="Q312" s="456" t="str">
        <f>IF(ISNUMBER(INDEX('M04-S01'!$AN$16:$AN$198,2*(ROWS($R$309:R312)-1)+1)),INDEX('M04-S01'!$BB$16:$BB$198,2*(ROWS($Q$309:Q312)-1)+1),"")</f>
        <v/>
      </c>
      <c r="R312" s="184">
        <f>IF(ISNUMBER(INDEX('M04-S01'!$AN$16:$AN$198,2*(ROWS($R$309:R312)-1)+1)),INDEX('M04-S01'!$AN$16:$AN$198,2*(ROWS($R$309:R312)-1)+1),0)</f>
        <v>0</v>
      </c>
      <c r="S312" s="23">
        <f>IF(NOT(ISNUMBER(INDEX('M04-S01'!$AN$16:$AN$198,2*(ROWS($R$309:R312)-1)+1))),INDEX('M04-S01'!$Z$16:$Z$198,2*(ROWS($S$309:S312)-1)+1),"")</f>
        <v>0</v>
      </c>
      <c r="T312" s="52" t="str">
        <f>IFERROR(IF(NOT(ISNUMBER(INDEX('M04-S01'!$AN$16:$AN$198,2*(ROWS($R$309:R312)-1)+1))),INDEX('M04-S01'!$AK$16:$AK$198,2*(ROWS($R$309:R312)-1)+1),0),0)</f>
        <v/>
      </c>
      <c r="U312" s="23" t="str">
        <f>IFERROR(IF(NOT(ISNUMBER(INDEX('M04-S01'!$AN$16:$AN$198,2*(ROWS($R$309:R312)-1)+1))),INDEX('M04-S01'!$AW$16:$AW$198,2*(ROWS($R$309:R312)-1)+1),""),"")</f>
        <v/>
      </c>
      <c r="V312" s="113"/>
      <c r="W312" t="str">
        <f>IFERROR(IF(NOT(ISNUMBER(INDEX('M04-S01'!$AN$16:$AN$198,2*(ROWS($R$309:R312)-1)+1))),INDEX('M04-S01'!$BD$16:$BD$198,2*(ROWS($R$309:R312)-1)+1),""),"")</f>
        <v/>
      </c>
      <c r="X312" s="184" t="str">
        <f>IFERROR(ROUND(INDEX('M04-S01'!$O$16:$O$198,2*(ROWS($X$309:X312)-1)+1),3),"")</f>
        <v/>
      </c>
      <c r="Y312" s="184">
        <f>IFERROR(ROUND(INDEX('M04-S01'!$AB$16:$AB$198,2*(ROWS($Y$309:Y312)-1)+1),3),"")</f>
        <v>0</v>
      </c>
      <c r="Z312" s="111">
        <f>INDEX('M04-S01'!$B$16:$B$198,2*(ROWS($Z$309:Z312)-1)+1)</f>
        <v>4</v>
      </c>
      <c r="AA312" s="111">
        <f>INDEX('M04-S01'!$F$16:$F$198,2*(ROWS($Z$309:AA312)-1)+1)</f>
        <v>0</v>
      </c>
      <c r="AB312" s="111">
        <f>INDEX('M04-S01'!$S$16:$S$198,2*(ROWS($Z$309:AB312)-1)+1)</f>
        <v>0</v>
      </c>
      <c r="AC312">
        <f>INDEX('M04-S01'!$J$16:$J$198,2*(ROWS($AC$309:AC312)-1)+1)</f>
        <v>0</v>
      </c>
      <c r="AD312">
        <f>INDEX('M04-S01'!$W$16:$W$198,2*(ROWS($AD$309:AD312)-1)+1)</f>
        <v>0</v>
      </c>
      <c r="AE312" s="459"/>
      <c r="AF312" s="459"/>
      <c r="AG312" s="111" t="str">
        <f>INDEX('M04-S01'!$AX$16:$AX$198,2*(ROWS($AG$309:AG312)-1)+1)</f>
        <v/>
      </c>
      <c r="AH312" s="111" t="str">
        <f>INDEX('M04-S01'!$AY$16:$AY$198,2*(ROWS($AH$309:AH312)-1)+1)</f>
        <v/>
      </c>
      <c r="AI312" s="113"/>
      <c r="AJ312" s="113"/>
      <c r="AK312" s="52" t="str">
        <f>INDEX('M04-S01'!$AV$16:$AV$198,2*(ROWS($AK$309:AK312)-1)+1)</f>
        <v/>
      </c>
      <c r="AL312" s="184">
        <f>IF(NOT(ISNUMBER(INDEX('M04-S01'!$AN$16:$AN$198,2*(ROWS($R$309:$R312)-1)+1))),INDEX('M04-S01'!$Z$16:$Z$198,2*(ROWS($AL$309:$AL312)-1)+1)*INDEX('M04-S01'!$AD$16:$AD$198,2*(ROWS($AL$309:$AL312)-1)+1),"")</f>
        <v>0</v>
      </c>
      <c r="AM312" s="184">
        <f>IF(AND(NOT(ISNUMBER(INDEX('M04-S01'!$AN$16:$AN$198,2*(ROWS($R$309:$R312)-1)+1))),T312&gt;0),INDEX('M04-S01'!$Z$16:$Z$198,2*(ROWS($AM$309:$AM312)-1)+1)*INDEX('M04-S01'!$AF$16:$AF$198,2*(ROWS($AM$309:$AM312)-1)+1),"")</f>
        <v>0</v>
      </c>
      <c r="AN312" s="52" t="str">
        <f>IF(NOT(ISNUMBER(INDEX('M04-S01'!$AN$16:$AN$198,2*(ROWS($R$309:$R312)-1)+1))),INDEX('M04-S01'!$AH$16:$AH$198,2*(ROWS($AN$309:$AN312)-1)+1),"")</f>
        <v/>
      </c>
      <c r="AO312" s="113"/>
      <c r="AU312"/>
    </row>
    <row r="313" spans="1:47">
      <c r="A313" s="57">
        <f t="shared" si="31"/>
        <v>0</v>
      </c>
      <c r="B313" s="183" t="str">
        <f t="shared" si="32"/>
        <v/>
      </c>
      <c r="C313" s="186" t="str">
        <f>IF(OR(R313&gt;0,T313&gt;0),INDEX('M04-S01'!$AZ$16:$AZ$198,2*(ROWS($C$309:C313)-1)+1),"")</f>
        <v/>
      </c>
      <c r="D313" t="s">
        <v>231</v>
      </c>
      <c r="F313" s="185">
        <f>INDEX('M04-S01'!$Q$16:$Q$198,2*(ROWS($F$309:F313)-1)+1)</f>
        <v>0</v>
      </c>
      <c r="G313" s="186">
        <f>INDEX('M04-S01'!$C$16:$C$198,2*(ROWS($G$309:G313)-1)+1)</f>
        <v>0</v>
      </c>
      <c r="H313" s="186" t="str">
        <f>IF(ISNUMBER(INDEX('M04-S01'!$AN$16:$AN$198,2*(ROWS($R$309:R313)-1)+1)),"Total","")</f>
        <v/>
      </c>
      <c r="I313" s="184">
        <f>IFERROR(ROUND(IF(ISNUMBER(INDEX('M04-S01'!$AN$16:$AN$198,2*(ROWS($R$309:$R313)-1)+1)),INDEX('M04-S01'!$Z$16:$Z$198,2*(ROWS($I$309:$I313)-1)+1)*INDEX('M04-S01'!$AD$16:$AD$198,2*(ROWS($I$309:$I313)-1)+1),""),2),0)</f>
        <v>0</v>
      </c>
      <c r="J313" s="184">
        <f>IFERROR(ROUND(IF(ISNUMBER(INDEX('M04-S01'!$AN$16:$AN$198,2*(ROWS($R$309:$R313)-1)+1)),INDEX('M04-S01'!$Z$16:$Z$198,2*(ROWS($J$309:$J313)-1)+1)*INDEX('M04-S01'!$AF$16:$AF$198,2*(ROWS($J$309:$J313)-1)+1),""),2),0)</f>
        <v>0</v>
      </c>
      <c r="K313" s="52">
        <f>IFERROR(ROUND(IF(ISNUMBER(INDEX('M04-S01'!$AN$16:$AN$198,2*(ROWS($R$309:$R313)-1)+1)),INDEX('M04-S01'!$AH$16:$AH$198,2*(ROWS($K$309:$K313)-1)+1),""),2),0)</f>
        <v>0</v>
      </c>
      <c r="M313" s="456" t="str">
        <f>IF(ISNUMBER(INDEX('M04-S01'!$AN$16:$AN$198,2*(ROWS($R$309:R313)-1)+1)),INDEX('M04-S01'!$Z$16:$Z$198,2*(ROWS($M$309:M313)-1)+1),"")</f>
        <v/>
      </c>
      <c r="N313" s="184" t="str">
        <f>IF(ISNUMBER(INDEX('M04-S01'!$AN$16:$AN$198,2*(ROWS($R$309:R313)-1)+1)),INDEX('M04-S01'!$AK$16:$AK$198,2*(ROWS($N$309:N313)-1)+1),"")</f>
        <v/>
      </c>
      <c r="O313" s="456" t="str">
        <f>IF(ISNUMBER(INDEX('M04-S01'!$AN$16:$AN$198,2*(ROWS($R$309:R313)-1)+1)),INDEX('M04-S01'!$AW$16:$AW$198,2*(ROWS($O$309:O313)-1)+1),"")</f>
        <v/>
      </c>
      <c r="P313" s="113"/>
      <c r="Q313" s="456" t="str">
        <f>IF(ISNUMBER(INDEX('M04-S01'!$AN$16:$AN$198,2*(ROWS($R$309:R313)-1)+1)),INDEX('M04-S01'!$BB$16:$BB$198,2*(ROWS($Q$309:Q313)-1)+1),"")</f>
        <v/>
      </c>
      <c r="R313" s="184">
        <f>IF(ISNUMBER(INDEX('M04-S01'!$AN$16:$AN$198,2*(ROWS($R$309:R313)-1)+1)),INDEX('M04-S01'!$AN$16:$AN$198,2*(ROWS($R$309:R313)-1)+1),0)</f>
        <v>0</v>
      </c>
      <c r="S313" s="23">
        <f>IF(NOT(ISNUMBER(INDEX('M04-S01'!$AN$16:$AN$198,2*(ROWS($R$309:R313)-1)+1))),INDEX('M04-S01'!$Z$16:$Z$198,2*(ROWS($S$309:S313)-1)+1),"")</f>
        <v>0</v>
      </c>
      <c r="T313" s="52" t="str">
        <f>IFERROR(IF(NOT(ISNUMBER(INDEX('M04-S01'!$AN$16:$AN$198,2*(ROWS($R$309:R313)-1)+1))),INDEX('M04-S01'!$AK$16:$AK$198,2*(ROWS($R$309:R313)-1)+1),0),0)</f>
        <v/>
      </c>
      <c r="U313" s="23" t="str">
        <f>IFERROR(IF(NOT(ISNUMBER(INDEX('M04-S01'!$AN$16:$AN$198,2*(ROWS($R$309:R313)-1)+1))),INDEX('M04-S01'!$AW$16:$AW$198,2*(ROWS($R$309:R313)-1)+1),""),"")</f>
        <v/>
      </c>
      <c r="V313" s="113"/>
      <c r="W313" t="str">
        <f>IFERROR(IF(NOT(ISNUMBER(INDEX('M04-S01'!$AN$16:$AN$198,2*(ROWS($R$309:R313)-1)+1))),INDEX('M04-S01'!$BD$16:$BD$198,2*(ROWS($R$309:R313)-1)+1),""),"")</f>
        <v/>
      </c>
      <c r="X313" s="184" t="str">
        <f>IFERROR(ROUND(INDEX('M04-S01'!$O$16:$O$198,2*(ROWS($X$309:X313)-1)+1),3),"")</f>
        <v/>
      </c>
      <c r="Y313" s="184">
        <f>IFERROR(ROUND(INDEX('M04-S01'!$AB$16:$AB$198,2*(ROWS($Y$309:Y313)-1)+1),3),"")</f>
        <v>0</v>
      </c>
      <c r="Z313" s="111">
        <f>INDEX('M04-S01'!$B$16:$B$198,2*(ROWS($Z$309:Z313)-1)+1)</f>
        <v>5</v>
      </c>
      <c r="AA313" s="111">
        <f>INDEX('M04-S01'!$F$16:$F$198,2*(ROWS($Z$309:AA313)-1)+1)</f>
        <v>0</v>
      </c>
      <c r="AB313" s="111">
        <f>INDEX('M04-S01'!$S$16:$S$198,2*(ROWS($Z$309:AB313)-1)+1)</f>
        <v>0</v>
      </c>
      <c r="AC313">
        <f>INDEX('M04-S01'!$J$16:$J$198,2*(ROWS($AC$309:AC313)-1)+1)</f>
        <v>0</v>
      </c>
      <c r="AD313">
        <f>INDEX('M04-S01'!$W$16:$W$198,2*(ROWS($AD$309:AD313)-1)+1)</f>
        <v>0</v>
      </c>
      <c r="AE313" s="459"/>
      <c r="AF313" s="459"/>
      <c r="AG313" s="111" t="str">
        <f>INDEX('M04-S01'!$AX$16:$AX$198,2*(ROWS($AG$309:AG313)-1)+1)</f>
        <v/>
      </c>
      <c r="AH313" s="111" t="str">
        <f>INDEX('M04-S01'!$AY$16:$AY$198,2*(ROWS($AH$309:AH313)-1)+1)</f>
        <v/>
      </c>
      <c r="AI313" s="113"/>
      <c r="AJ313" s="113"/>
      <c r="AK313" s="52" t="str">
        <f>INDEX('M04-S01'!$AV$16:$AV$198,2*(ROWS($AK$309:AK313)-1)+1)</f>
        <v/>
      </c>
      <c r="AL313" s="184">
        <f>IF(NOT(ISNUMBER(INDEX('M04-S01'!$AN$16:$AN$198,2*(ROWS($R$309:$R313)-1)+1))),INDEX('M04-S01'!$Z$16:$Z$198,2*(ROWS($AL$309:$AL313)-1)+1)*INDEX('M04-S01'!$AD$16:$AD$198,2*(ROWS($AL$309:$AL313)-1)+1),"")</f>
        <v>0</v>
      </c>
      <c r="AM313" s="184">
        <f>IF(AND(NOT(ISNUMBER(INDEX('M04-S01'!$AN$16:$AN$198,2*(ROWS($R$309:$R313)-1)+1))),T313&gt;0),INDEX('M04-S01'!$Z$16:$Z$198,2*(ROWS($AM$309:$AM313)-1)+1)*INDEX('M04-S01'!$AF$16:$AF$198,2*(ROWS($AM$309:$AM313)-1)+1),"")</f>
        <v>0</v>
      </c>
      <c r="AN313" s="52" t="str">
        <f>IF(NOT(ISNUMBER(INDEX('M04-S01'!$AN$16:$AN$198,2*(ROWS($R$309:$R313)-1)+1))),INDEX('M04-S01'!$AH$16:$AH$198,2*(ROWS($AN$309:$AN313)-1)+1),"")</f>
        <v/>
      </c>
      <c r="AO313" s="113"/>
      <c r="AU313"/>
    </row>
    <row r="314" spans="1:47">
      <c r="A314" s="57">
        <f t="shared" si="31"/>
        <v>0</v>
      </c>
      <c r="B314" s="183" t="str">
        <f t="shared" si="32"/>
        <v/>
      </c>
      <c r="C314" s="186" t="str">
        <f>IF(OR(R314&gt;0,T314&gt;0),INDEX('M04-S01'!$AZ$16:$AZ$198,2*(ROWS($C$309:C314)-1)+1),"")</f>
        <v/>
      </c>
      <c r="D314" t="s">
        <v>231</v>
      </c>
      <c r="F314" s="185">
        <f>INDEX('M04-S01'!$Q$16:$Q$198,2*(ROWS($F$309:F314)-1)+1)</f>
        <v>0</v>
      </c>
      <c r="G314" s="186">
        <f>INDEX('M04-S01'!$C$16:$C$198,2*(ROWS($G$309:G314)-1)+1)</f>
        <v>0</v>
      </c>
      <c r="H314" s="186" t="str">
        <f>IF(ISNUMBER(INDEX('M04-S01'!$AN$16:$AN$198,2*(ROWS($R$309:R314)-1)+1)),"Total","")</f>
        <v/>
      </c>
      <c r="I314" s="184">
        <f>IFERROR(ROUND(IF(ISNUMBER(INDEX('M04-S01'!$AN$16:$AN$198,2*(ROWS($R$309:$R314)-1)+1)),INDEX('M04-S01'!$Z$16:$Z$198,2*(ROWS($I$309:$I314)-1)+1)*INDEX('M04-S01'!$AD$16:$AD$198,2*(ROWS($I$309:$I314)-1)+1),""),2),0)</f>
        <v>0</v>
      </c>
      <c r="J314" s="184">
        <f>IFERROR(ROUND(IF(ISNUMBER(INDEX('M04-S01'!$AN$16:$AN$198,2*(ROWS($R$309:$R314)-1)+1)),INDEX('M04-S01'!$Z$16:$Z$198,2*(ROWS($J$309:$J314)-1)+1)*INDEX('M04-S01'!$AF$16:$AF$198,2*(ROWS($J$309:$J314)-1)+1),""),2),0)</f>
        <v>0</v>
      </c>
      <c r="K314" s="52">
        <f>IFERROR(ROUND(IF(ISNUMBER(INDEX('M04-S01'!$AN$16:$AN$198,2*(ROWS($R$309:$R314)-1)+1)),INDEX('M04-S01'!$AH$16:$AH$198,2*(ROWS($K$309:$K314)-1)+1),""),2),0)</f>
        <v>0</v>
      </c>
      <c r="M314" s="456" t="str">
        <f>IF(ISNUMBER(INDEX('M04-S01'!$AN$16:$AN$198,2*(ROWS($R$309:R314)-1)+1)),INDEX('M04-S01'!$Z$16:$Z$198,2*(ROWS($M$309:M314)-1)+1),"")</f>
        <v/>
      </c>
      <c r="N314" s="184" t="str">
        <f>IF(ISNUMBER(INDEX('M04-S01'!$AN$16:$AN$198,2*(ROWS($R$309:R314)-1)+1)),INDEX('M04-S01'!$AK$16:$AK$198,2*(ROWS($N$309:N314)-1)+1),"")</f>
        <v/>
      </c>
      <c r="O314" s="456" t="str">
        <f>IF(ISNUMBER(INDEX('M04-S01'!$AN$16:$AN$198,2*(ROWS($R$309:R314)-1)+1)),INDEX('M04-S01'!$AW$16:$AW$198,2*(ROWS($O$309:O314)-1)+1),"")</f>
        <v/>
      </c>
      <c r="P314" s="113"/>
      <c r="Q314" s="456" t="str">
        <f>IF(ISNUMBER(INDEX('M04-S01'!$AN$16:$AN$198,2*(ROWS($R$309:R314)-1)+1)),INDEX('M04-S01'!$BB$16:$BB$198,2*(ROWS($Q$309:Q314)-1)+1),"")</f>
        <v/>
      </c>
      <c r="R314" s="184">
        <f>IF(ISNUMBER(INDEX('M04-S01'!$AN$16:$AN$198,2*(ROWS($R$309:R314)-1)+1)),INDEX('M04-S01'!$AN$16:$AN$198,2*(ROWS($R$309:R314)-1)+1),0)</f>
        <v>0</v>
      </c>
      <c r="S314" s="23">
        <f>IF(NOT(ISNUMBER(INDEX('M04-S01'!$AN$16:$AN$198,2*(ROWS($R$309:R314)-1)+1))),INDEX('M04-S01'!$Z$16:$Z$198,2*(ROWS($S$309:S314)-1)+1),"")</f>
        <v>0</v>
      </c>
      <c r="T314" s="52" t="str">
        <f>IFERROR(IF(NOT(ISNUMBER(INDEX('M04-S01'!$AN$16:$AN$198,2*(ROWS($R$309:R314)-1)+1))),INDEX('M04-S01'!$AK$16:$AK$198,2*(ROWS($R$309:R314)-1)+1),0),0)</f>
        <v/>
      </c>
      <c r="U314" s="23" t="str">
        <f>IFERROR(IF(NOT(ISNUMBER(INDEX('M04-S01'!$AN$16:$AN$198,2*(ROWS($R$309:R314)-1)+1))),INDEX('M04-S01'!$AW$16:$AW$198,2*(ROWS($R$309:R314)-1)+1),""),"")</f>
        <v/>
      </c>
      <c r="V314" s="113"/>
      <c r="W314" t="str">
        <f>IFERROR(IF(NOT(ISNUMBER(INDEX('M04-S01'!$AN$16:$AN$198,2*(ROWS($R$309:R314)-1)+1))),INDEX('M04-S01'!$BD$16:$BD$198,2*(ROWS($R$309:R314)-1)+1),""),"")</f>
        <v/>
      </c>
      <c r="X314" s="184" t="str">
        <f>IFERROR(ROUND(INDEX('M04-S01'!$O$16:$O$198,2*(ROWS($X$309:X314)-1)+1),3),"")</f>
        <v/>
      </c>
      <c r="Y314" s="184">
        <f>IFERROR(ROUND(INDEX('M04-S01'!$AB$16:$AB$198,2*(ROWS($Y$309:Y314)-1)+1),3),"")</f>
        <v>0</v>
      </c>
      <c r="Z314" s="111">
        <f>INDEX('M04-S01'!$B$16:$B$198,2*(ROWS($Z$309:Z314)-1)+1)</f>
        <v>6</v>
      </c>
      <c r="AA314" s="111">
        <f>INDEX('M04-S01'!$F$16:$F$198,2*(ROWS($Z$309:AA314)-1)+1)</f>
        <v>0</v>
      </c>
      <c r="AB314" s="111">
        <f>INDEX('M04-S01'!$S$16:$S$198,2*(ROWS($Z$309:AB314)-1)+1)</f>
        <v>0</v>
      </c>
      <c r="AC314">
        <f>INDEX('M04-S01'!$J$16:$J$198,2*(ROWS($AC$309:AC314)-1)+1)</f>
        <v>0</v>
      </c>
      <c r="AD314">
        <f>INDEX('M04-S01'!$W$16:$W$198,2*(ROWS($AD$309:AD314)-1)+1)</f>
        <v>0</v>
      </c>
      <c r="AE314" s="459"/>
      <c r="AF314" s="459"/>
      <c r="AG314" s="111" t="str">
        <f>INDEX('M04-S01'!$AX$16:$AX$198,2*(ROWS($AG$309:AG314)-1)+1)</f>
        <v/>
      </c>
      <c r="AH314" s="111" t="str">
        <f>INDEX('M04-S01'!$AY$16:$AY$198,2*(ROWS($AH$309:AH314)-1)+1)</f>
        <v/>
      </c>
      <c r="AI314" s="113"/>
      <c r="AJ314" s="113"/>
      <c r="AK314" s="52" t="str">
        <f>INDEX('M04-S01'!$AV$16:$AV$198,2*(ROWS($AK$309:AK314)-1)+1)</f>
        <v/>
      </c>
      <c r="AL314" s="184">
        <f>IF(NOT(ISNUMBER(INDEX('M04-S01'!$AN$16:$AN$198,2*(ROWS($R$309:$R314)-1)+1))),INDEX('M04-S01'!$Z$16:$Z$198,2*(ROWS($AL$309:$AL314)-1)+1)*INDEX('M04-S01'!$AD$16:$AD$198,2*(ROWS($AL$309:$AL314)-1)+1),"")</f>
        <v>0</v>
      </c>
      <c r="AM314" s="184">
        <f>IF(AND(NOT(ISNUMBER(INDEX('M04-S01'!$AN$16:$AN$198,2*(ROWS($R$309:$R314)-1)+1))),T314&gt;0),INDEX('M04-S01'!$Z$16:$Z$198,2*(ROWS($AM$309:$AM314)-1)+1)*INDEX('M04-S01'!$AF$16:$AF$198,2*(ROWS($AM$309:$AM314)-1)+1),"")</f>
        <v>0</v>
      </c>
      <c r="AN314" s="52" t="str">
        <f>IF(NOT(ISNUMBER(INDEX('M04-S01'!$AN$16:$AN$198,2*(ROWS($R$309:$R314)-1)+1))),INDEX('M04-S01'!$AH$16:$AH$198,2*(ROWS($AN$309:$AN314)-1)+1),"")</f>
        <v/>
      </c>
      <c r="AO314" s="113"/>
      <c r="AU314"/>
    </row>
    <row r="315" spans="1:47">
      <c r="A315" s="57">
        <f t="shared" si="31"/>
        <v>0</v>
      </c>
      <c r="B315" s="183" t="str">
        <f t="shared" ref="B315:B358" si="33">IF(C315="","",CONCATENATE(ROW(),"-",C315))</f>
        <v/>
      </c>
      <c r="C315" s="186" t="str">
        <f>IF(OR(R315&gt;0,T315&gt;0),INDEX('M04-S01'!$AZ$16:$AZ$198,2*(ROWS($C$309:C315)-1)+1),"")</f>
        <v/>
      </c>
      <c r="D315" t="s">
        <v>231</v>
      </c>
      <c r="F315" s="185">
        <f>INDEX('M04-S01'!$Q$16:$Q$198,2*(ROWS($F$309:F315)-1)+1)</f>
        <v>0</v>
      </c>
      <c r="G315" s="186">
        <f>INDEX('M04-S01'!$C$16:$C$198,2*(ROWS($G$309:G315)-1)+1)</f>
        <v>0</v>
      </c>
      <c r="H315" s="186" t="str">
        <f>IF(ISNUMBER(INDEX('M04-S01'!$AN$16:$AN$198,2*(ROWS($R$309:R315)-1)+1)),"Total","")</f>
        <v/>
      </c>
      <c r="I315" s="184">
        <f>IFERROR(ROUND(IF(ISNUMBER(INDEX('M04-S01'!$AN$16:$AN$198,2*(ROWS($R$309:$R315)-1)+1)),INDEX('M04-S01'!$Z$16:$Z$198,2*(ROWS($I$309:$I315)-1)+1)*INDEX('M04-S01'!$AD$16:$AD$198,2*(ROWS($I$309:$I315)-1)+1),""),2),0)</f>
        <v>0</v>
      </c>
      <c r="J315" s="184">
        <f>IFERROR(ROUND(IF(ISNUMBER(INDEX('M04-S01'!$AN$16:$AN$198,2*(ROWS($R$309:$R315)-1)+1)),INDEX('M04-S01'!$Z$16:$Z$198,2*(ROWS($J$309:$J315)-1)+1)*INDEX('M04-S01'!$AF$16:$AF$198,2*(ROWS($J$309:$J315)-1)+1),""),2),0)</f>
        <v>0</v>
      </c>
      <c r="K315" s="52">
        <f>IFERROR(ROUND(IF(ISNUMBER(INDEX('M04-S01'!$AN$16:$AN$198,2*(ROWS($R$309:$R315)-1)+1)),INDEX('M04-S01'!$AH$16:$AH$198,2*(ROWS($K$309:$K315)-1)+1),""),2),0)</f>
        <v>0</v>
      </c>
      <c r="M315" s="456" t="str">
        <f>IF(ISNUMBER(INDEX('M04-S01'!$AN$16:$AN$198,2*(ROWS($R$309:R315)-1)+1)),INDEX('M04-S01'!$Z$16:$Z$198,2*(ROWS($M$309:M315)-1)+1),"")</f>
        <v/>
      </c>
      <c r="N315" s="184" t="str">
        <f>IF(ISNUMBER(INDEX('M04-S01'!$AN$16:$AN$198,2*(ROWS($R$309:R315)-1)+1)),INDEX('M04-S01'!$AK$16:$AK$198,2*(ROWS($N$309:N315)-1)+1),"")</f>
        <v/>
      </c>
      <c r="O315" s="456" t="str">
        <f>IF(ISNUMBER(INDEX('M04-S01'!$AN$16:$AN$198,2*(ROWS($R$309:R315)-1)+1)),INDEX('M04-S01'!$AW$16:$AW$198,2*(ROWS($O$309:O315)-1)+1),"")</f>
        <v/>
      </c>
      <c r="P315" s="113"/>
      <c r="Q315" s="456" t="str">
        <f>IF(ISNUMBER(INDEX('M04-S01'!$AN$16:$AN$198,2*(ROWS($R$309:R315)-1)+1)),INDEX('M04-S01'!$BB$16:$BB$198,2*(ROWS($Q$309:Q315)-1)+1),"")</f>
        <v/>
      </c>
      <c r="R315" s="184">
        <f>IF(ISNUMBER(INDEX('M04-S01'!$AN$16:$AN$198,2*(ROWS($R$309:R315)-1)+1)),INDEX('M04-S01'!$AN$16:$AN$198,2*(ROWS($R$309:R315)-1)+1),0)</f>
        <v>0</v>
      </c>
      <c r="S315" s="23">
        <f>IF(NOT(ISNUMBER(INDEX('M04-S01'!$AN$16:$AN$198,2*(ROWS($R$309:R315)-1)+1))),INDEX('M04-S01'!$Z$16:$Z$198,2*(ROWS($S$309:S315)-1)+1),"")</f>
        <v>0</v>
      </c>
      <c r="T315" s="52" t="str">
        <f>IFERROR(IF(NOT(ISNUMBER(INDEX('M04-S01'!$AN$16:$AN$198,2*(ROWS($R$309:R315)-1)+1))),INDEX('M04-S01'!$AK$16:$AK$198,2*(ROWS($R$309:R315)-1)+1),0),0)</f>
        <v/>
      </c>
      <c r="U315" s="23" t="str">
        <f>IFERROR(IF(NOT(ISNUMBER(INDEX('M04-S01'!$AN$16:$AN$198,2*(ROWS($R$309:R315)-1)+1))),INDEX('M04-S01'!$AW$16:$AW$198,2*(ROWS($R$309:R315)-1)+1),""),"")</f>
        <v/>
      </c>
      <c r="V315" s="113"/>
      <c r="W315" t="str">
        <f>IFERROR(IF(NOT(ISNUMBER(INDEX('M04-S01'!$AN$16:$AN$198,2*(ROWS($R$309:R315)-1)+1))),INDEX('M04-S01'!$BD$16:$BD$198,2*(ROWS($R$309:R315)-1)+1),""),"")</f>
        <v/>
      </c>
      <c r="X315" s="184" t="str">
        <f>IFERROR(ROUND(INDEX('M04-S01'!$O$16:$O$198,2*(ROWS($X$309:X315)-1)+1),3),"")</f>
        <v/>
      </c>
      <c r="Y315" s="184">
        <f>IFERROR(ROUND(INDEX('M04-S01'!$AB$16:$AB$198,2*(ROWS($Y$309:Y315)-1)+1),3),"")</f>
        <v>0</v>
      </c>
      <c r="Z315" s="111">
        <f>INDEX('M04-S01'!$B$16:$B$198,2*(ROWS($Z$309:Z315)-1)+1)</f>
        <v>7</v>
      </c>
      <c r="AA315" s="111">
        <f>INDEX('M04-S01'!$F$16:$F$198,2*(ROWS($Z$309:AA315)-1)+1)</f>
        <v>0</v>
      </c>
      <c r="AB315" s="111">
        <f>INDEX('M04-S01'!$S$16:$S$198,2*(ROWS($Z$309:AB315)-1)+1)</f>
        <v>0</v>
      </c>
      <c r="AC315">
        <f>INDEX('M04-S01'!$J$16:$J$198,2*(ROWS($AC$309:AC315)-1)+1)</f>
        <v>0</v>
      </c>
      <c r="AD315">
        <f>INDEX('M04-S01'!$W$16:$W$198,2*(ROWS($AD$309:AD315)-1)+1)</f>
        <v>0</v>
      </c>
      <c r="AE315" s="459"/>
      <c r="AF315" s="459"/>
      <c r="AG315" s="111" t="str">
        <f>INDEX('M04-S01'!$AX$16:$AX$198,2*(ROWS($AG$309:AG315)-1)+1)</f>
        <v/>
      </c>
      <c r="AH315" s="111" t="str">
        <f>INDEX('M04-S01'!$AY$16:$AY$198,2*(ROWS($AH$309:AH315)-1)+1)</f>
        <v/>
      </c>
      <c r="AI315" s="113"/>
      <c r="AJ315" s="113"/>
      <c r="AK315" s="52" t="str">
        <f>INDEX('M04-S01'!$AV$16:$AV$198,2*(ROWS($AK$309:AK315)-1)+1)</f>
        <v/>
      </c>
      <c r="AL315" s="184">
        <f>IF(NOT(ISNUMBER(INDEX('M04-S01'!$AN$16:$AN$198,2*(ROWS($R$309:$R315)-1)+1))),INDEX('M04-S01'!$Z$16:$Z$198,2*(ROWS($AL$309:$AL315)-1)+1)*INDEX('M04-S01'!$AD$16:$AD$198,2*(ROWS($AL$309:$AL315)-1)+1),"")</f>
        <v>0</v>
      </c>
      <c r="AM315" s="184">
        <f>IF(AND(NOT(ISNUMBER(INDEX('M04-S01'!$AN$16:$AN$198,2*(ROWS($R$309:$R315)-1)+1))),T315&gt;0),INDEX('M04-S01'!$Z$16:$Z$198,2*(ROWS($AM$309:$AM315)-1)+1)*INDEX('M04-S01'!$AF$16:$AF$198,2*(ROWS($AM$309:$AM315)-1)+1),"")</f>
        <v>0</v>
      </c>
      <c r="AN315" s="52" t="str">
        <f>IF(NOT(ISNUMBER(INDEX('M04-S01'!$AN$16:$AN$198,2*(ROWS($R$309:$R315)-1)+1))),INDEX('M04-S01'!$AH$16:$AH$198,2*(ROWS($AN$309:$AN315)-1)+1),"")</f>
        <v/>
      </c>
      <c r="AO315" s="113"/>
      <c r="AU315"/>
    </row>
    <row r="316" spans="1:47">
      <c r="A316" s="57">
        <f t="shared" si="31"/>
        <v>0</v>
      </c>
      <c r="B316" s="183" t="str">
        <f t="shared" si="33"/>
        <v/>
      </c>
      <c r="C316" s="186" t="str">
        <f>IF(OR(R316&gt;0,T316&gt;0),INDEX('M04-S01'!$AZ$16:$AZ$198,2*(ROWS($C$309:C316)-1)+1),"")</f>
        <v/>
      </c>
      <c r="D316" t="s">
        <v>231</v>
      </c>
      <c r="F316" s="185">
        <f>INDEX('M04-S01'!$Q$16:$Q$198,2*(ROWS($F$309:F316)-1)+1)</f>
        <v>0</v>
      </c>
      <c r="G316" s="186">
        <f>INDEX('M04-S01'!$C$16:$C$198,2*(ROWS($G$309:G316)-1)+1)</f>
        <v>0</v>
      </c>
      <c r="H316" s="186" t="str">
        <f>IF(ISNUMBER(INDEX('M04-S01'!$AN$16:$AN$198,2*(ROWS($R$309:R316)-1)+1)),"Total","")</f>
        <v/>
      </c>
      <c r="I316" s="184">
        <f>IFERROR(ROUND(IF(ISNUMBER(INDEX('M04-S01'!$AN$16:$AN$198,2*(ROWS($R$309:$R316)-1)+1)),INDEX('M04-S01'!$Z$16:$Z$198,2*(ROWS($I$309:$I316)-1)+1)*INDEX('M04-S01'!$AD$16:$AD$198,2*(ROWS($I$309:$I316)-1)+1),""),2),0)</f>
        <v>0</v>
      </c>
      <c r="J316" s="184">
        <f>IFERROR(ROUND(IF(ISNUMBER(INDEX('M04-S01'!$AN$16:$AN$198,2*(ROWS($R$309:$R316)-1)+1)),INDEX('M04-S01'!$Z$16:$Z$198,2*(ROWS($J$309:$J316)-1)+1)*INDEX('M04-S01'!$AF$16:$AF$198,2*(ROWS($J$309:$J316)-1)+1),""),2),0)</f>
        <v>0</v>
      </c>
      <c r="K316" s="52">
        <f>IFERROR(ROUND(IF(ISNUMBER(INDEX('M04-S01'!$AN$16:$AN$198,2*(ROWS($R$309:$R316)-1)+1)),INDEX('M04-S01'!$AH$16:$AH$198,2*(ROWS($K$309:$K316)-1)+1),""),2),0)</f>
        <v>0</v>
      </c>
      <c r="M316" s="456" t="str">
        <f>IF(ISNUMBER(INDEX('M04-S01'!$AN$16:$AN$198,2*(ROWS($R$309:R316)-1)+1)),INDEX('M04-S01'!$Z$16:$Z$198,2*(ROWS($M$309:M316)-1)+1),"")</f>
        <v/>
      </c>
      <c r="N316" s="184" t="str">
        <f>IF(ISNUMBER(INDEX('M04-S01'!$AN$16:$AN$198,2*(ROWS($R$309:R316)-1)+1)),INDEX('M04-S01'!$AK$16:$AK$198,2*(ROWS($N$309:N316)-1)+1),"")</f>
        <v/>
      </c>
      <c r="O316" s="456" t="str">
        <f>IF(ISNUMBER(INDEX('M04-S01'!$AN$16:$AN$198,2*(ROWS($R$309:R316)-1)+1)),INDEX('M04-S01'!$AW$16:$AW$198,2*(ROWS($O$309:O316)-1)+1),"")</f>
        <v/>
      </c>
      <c r="P316" s="113"/>
      <c r="Q316" s="456" t="str">
        <f>IF(ISNUMBER(INDEX('M04-S01'!$AN$16:$AN$198,2*(ROWS($R$309:R316)-1)+1)),INDEX('M04-S01'!$BB$16:$BB$198,2*(ROWS($Q$309:Q316)-1)+1),"")</f>
        <v/>
      </c>
      <c r="R316" s="184">
        <f>IF(ISNUMBER(INDEX('M04-S01'!$AN$16:$AN$198,2*(ROWS($R$309:R316)-1)+1)),INDEX('M04-S01'!$AN$16:$AN$198,2*(ROWS($R$309:R316)-1)+1),0)</f>
        <v>0</v>
      </c>
      <c r="S316" s="23">
        <f>IF(NOT(ISNUMBER(INDEX('M04-S01'!$AN$16:$AN$198,2*(ROWS($R$309:R316)-1)+1))),INDEX('M04-S01'!$Z$16:$Z$198,2*(ROWS($S$309:S316)-1)+1),"")</f>
        <v>0</v>
      </c>
      <c r="T316" s="52" t="str">
        <f>IFERROR(IF(NOT(ISNUMBER(INDEX('M04-S01'!$AN$16:$AN$198,2*(ROWS($R$309:R316)-1)+1))),INDEX('M04-S01'!$AK$16:$AK$198,2*(ROWS($R$309:R316)-1)+1),0),0)</f>
        <v/>
      </c>
      <c r="U316" s="23" t="str">
        <f>IFERROR(IF(NOT(ISNUMBER(INDEX('M04-S01'!$AN$16:$AN$198,2*(ROWS($R$309:R316)-1)+1))),INDEX('M04-S01'!$AW$16:$AW$198,2*(ROWS($R$309:R316)-1)+1),""),"")</f>
        <v/>
      </c>
      <c r="V316" s="113"/>
      <c r="W316" t="str">
        <f>IFERROR(IF(NOT(ISNUMBER(INDEX('M04-S01'!$AN$16:$AN$198,2*(ROWS($R$309:R316)-1)+1))),INDEX('M04-S01'!$BD$16:$BD$198,2*(ROWS($R$309:R316)-1)+1),""),"")</f>
        <v/>
      </c>
      <c r="X316" s="184" t="str">
        <f>IFERROR(ROUND(INDEX('M04-S01'!$O$16:$O$198,2*(ROWS($X$309:X316)-1)+1),3),"")</f>
        <v/>
      </c>
      <c r="Y316" s="184">
        <f>IFERROR(ROUND(INDEX('M04-S01'!$AB$16:$AB$198,2*(ROWS($Y$309:Y316)-1)+1),3),"")</f>
        <v>0</v>
      </c>
      <c r="Z316" s="111">
        <f>INDEX('M04-S01'!$B$16:$B$198,2*(ROWS($Z$309:Z316)-1)+1)</f>
        <v>8</v>
      </c>
      <c r="AA316" s="111">
        <f>INDEX('M04-S01'!$F$16:$F$198,2*(ROWS($Z$309:AA316)-1)+1)</f>
        <v>0</v>
      </c>
      <c r="AB316" s="111">
        <f>INDEX('M04-S01'!$S$16:$S$198,2*(ROWS($Z$309:AB316)-1)+1)</f>
        <v>0</v>
      </c>
      <c r="AC316">
        <f>INDEX('M04-S01'!$J$16:$J$198,2*(ROWS($AC$309:AC316)-1)+1)</f>
        <v>0</v>
      </c>
      <c r="AD316">
        <f>INDEX('M04-S01'!$W$16:$W$198,2*(ROWS($AD$309:AD316)-1)+1)</f>
        <v>0</v>
      </c>
      <c r="AE316" s="459"/>
      <c r="AF316" s="459"/>
      <c r="AG316" s="111" t="str">
        <f>INDEX('M04-S01'!$AX$16:$AX$198,2*(ROWS($AG$309:AG316)-1)+1)</f>
        <v/>
      </c>
      <c r="AH316" s="111" t="str">
        <f>INDEX('M04-S01'!$AY$16:$AY$198,2*(ROWS($AH$309:AH316)-1)+1)</f>
        <v/>
      </c>
      <c r="AI316" s="113"/>
      <c r="AJ316" s="113"/>
      <c r="AK316" s="52" t="str">
        <f>INDEX('M04-S01'!$AV$16:$AV$198,2*(ROWS($AK$309:AK316)-1)+1)</f>
        <v/>
      </c>
      <c r="AL316" s="184">
        <f>IF(NOT(ISNUMBER(INDEX('M04-S01'!$AN$16:$AN$198,2*(ROWS($R$309:$R316)-1)+1))),INDEX('M04-S01'!$Z$16:$Z$198,2*(ROWS($AL$309:$AL316)-1)+1)*INDEX('M04-S01'!$AD$16:$AD$198,2*(ROWS($AL$309:$AL316)-1)+1),"")</f>
        <v>0</v>
      </c>
      <c r="AM316" s="184">
        <f>IF(AND(NOT(ISNUMBER(INDEX('M04-S01'!$AN$16:$AN$198,2*(ROWS($R$309:$R316)-1)+1))),T316&gt;0),INDEX('M04-S01'!$Z$16:$Z$198,2*(ROWS($AM$309:$AM316)-1)+1)*INDEX('M04-S01'!$AF$16:$AF$198,2*(ROWS($AM$309:$AM316)-1)+1),"")</f>
        <v>0</v>
      </c>
      <c r="AN316" s="52" t="str">
        <f>IF(NOT(ISNUMBER(INDEX('M04-S01'!$AN$16:$AN$198,2*(ROWS($R$309:$R316)-1)+1))),INDEX('M04-S01'!$AH$16:$AH$198,2*(ROWS($AN$309:$AN316)-1)+1),"")</f>
        <v/>
      </c>
      <c r="AO316" s="113"/>
      <c r="AU316"/>
    </row>
    <row r="317" spans="1:47">
      <c r="A317" s="57">
        <f t="shared" si="31"/>
        <v>0</v>
      </c>
      <c r="B317" s="183" t="str">
        <f t="shared" si="33"/>
        <v/>
      </c>
      <c r="C317" s="186" t="str">
        <f>IF(OR(R317&gt;0,T317&gt;0),INDEX('M04-S01'!$AZ$16:$AZ$198,2*(ROWS($C$309:C317)-1)+1),"")</f>
        <v/>
      </c>
      <c r="D317" t="s">
        <v>231</v>
      </c>
      <c r="F317" s="185">
        <f>INDEX('M04-S01'!$Q$16:$Q$198,2*(ROWS($F$309:F317)-1)+1)</f>
        <v>0</v>
      </c>
      <c r="G317" s="186">
        <f>INDEX('M04-S01'!$C$16:$C$198,2*(ROWS($G$309:G317)-1)+1)</f>
        <v>0</v>
      </c>
      <c r="H317" s="186" t="str">
        <f>IF(ISNUMBER(INDEX('M04-S01'!$AN$16:$AN$198,2*(ROWS($R$309:R317)-1)+1)),"Total","")</f>
        <v/>
      </c>
      <c r="I317" s="184">
        <f>IFERROR(ROUND(IF(ISNUMBER(INDEX('M04-S01'!$AN$16:$AN$198,2*(ROWS($R$309:$R317)-1)+1)),INDEX('M04-S01'!$Z$16:$Z$198,2*(ROWS($I$309:$I317)-1)+1)*INDEX('M04-S01'!$AD$16:$AD$198,2*(ROWS($I$309:$I317)-1)+1),""),2),0)</f>
        <v>0</v>
      </c>
      <c r="J317" s="184">
        <f>IFERROR(ROUND(IF(ISNUMBER(INDEX('M04-S01'!$AN$16:$AN$198,2*(ROWS($R$309:$R317)-1)+1)),INDEX('M04-S01'!$Z$16:$Z$198,2*(ROWS($J$309:$J317)-1)+1)*INDEX('M04-S01'!$AF$16:$AF$198,2*(ROWS($J$309:$J317)-1)+1),""),2),0)</f>
        <v>0</v>
      </c>
      <c r="K317" s="52">
        <f>IFERROR(ROUND(IF(ISNUMBER(INDEX('M04-S01'!$AN$16:$AN$198,2*(ROWS($R$309:$R317)-1)+1)),INDEX('M04-S01'!$AH$16:$AH$198,2*(ROWS($K$309:$K317)-1)+1),""),2),0)</f>
        <v>0</v>
      </c>
      <c r="M317" s="456" t="str">
        <f>IF(ISNUMBER(INDEX('M04-S01'!$AN$16:$AN$198,2*(ROWS($R$309:R317)-1)+1)),INDEX('M04-S01'!$Z$16:$Z$198,2*(ROWS($M$309:M317)-1)+1),"")</f>
        <v/>
      </c>
      <c r="N317" s="184" t="str">
        <f>IF(ISNUMBER(INDEX('M04-S01'!$AN$16:$AN$198,2*(ROWS($R$309:R317)-1)+1)),INDEX('M04-S01'!$AK$16:$AK$198,2*(ROWS($N$309:N317)-1)+1),"")</f>
        <v/>
      </c>
      <c r="O317" s="456" t="str">
        <f>IF(ISNUMBER(INDEX('M04-S01'!$AN$16:$AN$198,2*(ROWS($R$309:R317)-1)+1)),INDEX('M04-S01'!$AW$16:$AW$198,2*(ROWS($O$309:O317)-1)+1),"")</f>
        <v/>
      </c>
      <c r="P317" s="113"/>
      <c r="Q317" s="456" t="str">
        <f>IF(ISNUMBER(INDEX('M04-S01'!$AN$16:$AN$198,2*(ROWS($R$309:R317)-1)+1)),INDEX('M04-S01'!$BB$16:$BB$198,2*(ROWS($Q$309:Q317)-1)+1),"")</f>
        <v/>
      </c>
      <c r="R317" s="184">
        <f>IF(ISNUMBER(INDEX('M04-S01'!$AN$16:$AN$198,2*(ROWS($R$309:R317)-1)+1)),INDEX('M04-S01'!$AN$16:$AN$198,2*(ROWS($R$309:R317)-1)+1),0)</f>
        <v>0</v>
      </c>
      <c r="S317" s="23">
        <f>IF(NOT(ISNUMBER(INDEX('M04-S01'!$AN$16:$AN$198,2*(ROWS($R$309:R317)-1)+1))),INDEX('M04-S01'!$Z$16:$Z$198,2*(ROWS($S$309:S317)-1)+1),"")</f>
        <v>0</v>
      </c>
      <c r="T317" s="52" t="str">
        <f>IFERROR(IF(NOT(ISNUMBER(INDEX('M04-S01'!$AN$16:$AN$198,2*(ROWS($R$309:R317)-1)+1))),INDEX('M04-S01'!$AK$16:$AK$198,2*(ROWS($R$309:R317)-1)+1),0),0)</f>
        <v/>
      </c>
      <c r="U317" s="23" t="str">
        <f>IFERROR(IF(NOT(ISNUMBER(INDEX('M04-S01'!$AN$16:$AN$198,2*(ROWS($R$309:R317)-1)+1))),INDEX('M04-S01'!$AW$16:$AW$198,2*(ROWS($R$309:R317)-1)+1),""),"")</f>
        <v/>
      </c>
      <c r="V317" s="113"/>
      <c r="W317" t="str">
        <f>IFERROR(IF(NOT(ISNUMBER(INDEX('M04-S01'!$AN$16:$AN$198,2*(ROWS($R$309:R317)-1)+1))),INDEX('M04-S01'!$BD$16:$BD$198,2*(ROWS($R$309:R317)-1)+1),""),"")</f>
        <v/>
      </c>
      <c r="X317" s="184" t="str">
        <f>IFERROR(ROUND(INDEX('M04-S01'!$O$16:$O$198,2*(ROWS($X$309:X317)-1)+1),3),"")</f>
        <v/>
      </c>
      <c r="Y317" s="184">
        <f>IFERROR(ROUND(INDEX('M04-S01'!$AB$16:$AB$198,2*(ROWS($Y$309:Y317)-1)+1),3),"")</f>
        <v>0</v>
      </c>
      <c r="Z317" s="111">
        <f>INDEX('M04-S01'!$B$16:$B$198,2*(ROWS($Z$309:Z317)-1)+1)</f>
        <v>9</v>
      </c>
      <c r="AA317" s="111">
        <f>INDEX('M04-S01'!$F$16:$F$198,2*(ROWS($Z$309:AA317)-1)+1)</f>
        <v>0</v>
      </c>
      <c r="AB317" s="111">
        <f>INDEX('M04-S01'!$S$16:$S$198,2*(ROWS($Z$309:AB317)-1)+1)</f>
        <v>0</v>
      </c>
      <c r="AC317">
        <f>INDEX('M04-S01'!$J$16:$J$198,2*(ROWS($AC$309:AC317)-1)+1)</f>
        <v>0</v>
      </c>
      <c r="AD317">
        <f>INDEX('M04-S01'!$W$16:$W$198,2*(ROWS($AD$309:AD317)-1)+1)</f>
        <v>0</v>
      </c>
      <c r="AE317" s="459"/>
      <c r="AF317" s="459"/>
      <c r="AG317" s="111" t="str">
        <f>INDEX('M04-S01'!$AX$16:$AX$198,2*(ROWS($AG$309:AG317)-1)+1)</f>
        <v/>
      </c>
      <c r="AH317" s="111" t="str">
        <f>INDEX('M04-S01'!$AY$16:$AY$198,2*(ROWS($AH$309:AH317)-1)+1)</f>
        <v/>
      </c>
      <c r="AI317" s="113"/>
      <c r="AJ317" s="113"/>
      <c r="AK317" s="52" t="str">
        <f>INDEX('M04-S01'!$AV$16:$AV$198,2*(ROWS($AK$309:AK317)-1)+1)</f>
        <v/>
      </c>
      <c r="AL317" s="184">
        <f>IF(NOT(ISNUMBER(INDEX('M04-S01'!$AN$16:$AN$198,2*(ROWS($R$309:$R317)-1)+1))),INDEX('M04-S01'!$Z$16:$Z$198,2*(ROWS($AL$309:$AL317)-1)+1)*INDEX('M04-S01'!$AD$16:$AD$198,2*(ROWS($AL$309:$AL317)-1)+1),"")</f>
        <v>0</v>
      </c>
      <c r="AM317" s="184">
        <f>IF(AND(NOT(ISNUMBER(INDEX('M04-S01'!$AN$16:$AN$198,2*(ROWS($R$309:$R317)-1)+1))),T317&gt;0),INDEX('M04-S01'!$Z$16:$Z$198,2*(ROWS($AM$309:$AM317)-1)+1)*INDEX('M04-S01'!$AF$16:$AF$198,2*(ROWS($AM$309:$AM317)-1)+1),"")</f>
        <v>0</v>
      </c>
      <c r="AN317" s="52" t="str">
        <f>IF(NOT(ISNUMBER(INDEX('M04-S01'!$AN$16:$AN$198,2*(ROWS($R$309:$R317)-1)+1))),INDEX('M04-S01'!$AH$16:$AH$198,2*(ROWS($AN$309:$AN317)-1)+1),"")</f>
        <v/>
      </c>
      <c r="AO317" s="113"/>
      <c r="AU317"/>
    </row>
    <row r="318" spans="1:47">
      <c r="A318" s="57">
        <f t="shared" si="31"/>
        <v>0</v>
      </c>
      <c r="B318" s="183" t="str">
        <f t="shared" si="33"/>
        <v/>
      </c>
      <c r="C318" s="186" t="str">
        <f>IF(OR(R318&gt;0,T318&gt;0),INDEX('M04-S01'!$AZ$16:$AZ$198,2*(ROWS($C$309:C318)-1)+1),"")</f>
        <v/>
      </c>
      <c r="D318" t="s">
        <v>231</v>
      </c>
      <c r="F318" s="185">
        <f>INDEX('M04-S01'!$Q$16:$Q$198,2*(ROWS($F$309:F318)-1)+1)</f>
        <v>0</v>
      </c>
      <c r="G318" s="186">
        <f>INDEX('M04-S01'!$C$16:$C$198,2*(ROWS($G$309:G318)-1)+1)</f>
        <v>0</v>
      </c>
      <c r="H318" s="186" t="str">
        <f>IF(ISNUMBER(INDEX('M04-S01'!$AN$16:$AN$198,2*(ROWS($R$309:R318)-1)+1)),"Total","")</f>
        <v/>
      </c>
      <c r="I318" s="184">
        <f>IFERROR(ROUND(IF(ISNUMBER(INDEX('M04-S01'!$AN$16:$AN$198,2*(ROWS($R$309:$R318)-1)+1)),INDEX('M04-S01'!$Z$16:$Z$198,2*(ROWS($I$309:$I318)-1)+1)*INDEX('M04-S01'!$AD$16:$AD$198,2*(ROWS($I$309:$I318)-1)+1),""),2),0)</f>
        <v>0</v>
      </c>
      <c r="J318" s="184">
        <f>IFERROR(ROUND(IF(ISNUMBER(INDEX('M04-S01'!$AN$16:$AN$198,2*(ROWS($R$309:$R318)-1)+1)),INDEX('M04-S01'!$Z$16:$Z$198,2*(ROWS($J$309:$J318)-1)+1)*INDEX('M04-S01'!$AF$16:$AF$198,2*(ROWS($J$309:$J318)-1)+1),""),2),0)</f>
        <v>0</v>
      </c>
      <c r="K318" s="52">
        <f>IFERROR(ROUND(IF(ISNUMBER(INDEX('M04-S01'!$AN$16:$AN$198,2*(ROWS($R$309:$R318)-1)+1)),INDEX('M04-S01'!$AH$16:$AH$198,2*(ROWS($K$309:$K318)-1)+1),""),2),0)</f>
        <v>0</v>
      </c>
      <c r="M318" s="456" t="str">
        <f>IF(ISNUMBER(INDEX('M04-S01'!$AN$16:$AN$198,2*(ROWS($R$309:R318)-1)+1)),INDEX('M04-S01'!$Z$16:$Z$198,2*(ROWS($M$309:M318)-1)+1),"")</f>
        <v/>
      </c>
      <c r="N318" s="184" t="str">
        <f>IF(ISNUMBER(INDEX('M04-S01'!$AN$16:$AN$198,2*(ROWS($R$309:R318)-1)+1)),INDEX('M04-S01'!$AK$16:$AK$198,2*(ROWS($N$309:N318)-1)+1),"")</f>
        <v/>
      </c>
      <c r="O318" s="456" t="str">
        <f>IF(ISNUMBER(INDEX('M04-S01'!$AN$16:$AN$198,2*(ROWS($R$309:R318)-1)+1)),INDEX('M04-S01'!$AW$16:$AW$198,2*(ROWS($O$309:O318)-1)+1),"")</f>
        <v/>
      </c>
      <c r="P318" s="113"/>
      <c r="Q318" s="456" t="str">
        <f>IF(ISNUMBER(INDEX('M04-S01'!$AN$16:$AN$198,2*(ROWS($R$309:R318)-1)+1)),INDEX('M04-S01'!$BB$16:$BB$198,2*(ROWS($Q$309:Q318)-1)+1),"")</f>
        <v/>
      </c>
      <c r="R318" s="184">
        <f>IF(ISNUMBER(INDEX('M04-S01'!$AN$16:$AN$198,2*(ROWS($R$309:R318)-1)+1)),INDEX('M04-S01'!$AN$16:$AN$198,2*(ROWS($R$309:R318)-1)+1),0)</f>
        <v>0</v>
      </c>
      <c r="S318" s="23">
        <f>IF(NOT(ISNUMBER(INDEX('M04-S01'!$AN$16:$AN$198,2*(ROWS($R$309:R318)-1)+1))),INDEX('M04-S01'!$Z$16:$Z$198,2*(ROWS($S$309:S318)-1)+1),"")</f>
        <v>0</v>
      </c>
      <c r="T318" s="52" t="str">
        <f>IFERROR(IF(NOT(ISNUMBER(INDEX('M04-S01'!$AN$16:$AN$198,2*(ROWS($R$309:R318)-1)+1))),INDEX('M04-S01'!$AK$16:$AK$198,2*(ROWS($R$309:R318)-1)+1),0),0)</f>
        <v/>
      </c>
      <c r="U318" s="23" t="str">
        <f>IFERROR(IF(NOT(ISNUMBER(INDEX('M04-S01'!$AN$16:$AN$198,2*(ROWS($R$309:R318)-1)+1))),INDEX('M04-S01'!$AW$16:$AW$198,2*(ROWS($R$309:R318)-1)+1),""),"")</f>
        <v/>
      </c>
      <c r="V318" s="113"/>
      <c r="W318" t="str">
        <f>IFERROR(IF(NOT(ISNUMBER(INDEX('M04-S01'!$AN$16:$AN$198,2*(ROWS($R$309:R318)-1)+1))),INDEX('M04-S01'!$BD$16:$BD$198,2*(ROWS($R$309:R318)-1)+1),""),"")</f>
        <v/>
      </c>
      <c r="X318" s="184" t="str">
        <f>IFERROR(ROUND(INDEX('M04-S01'!$O$16:$O$198,2*(ROWS($X$309:X318)-1)+1),3),"")</f>
        <v/>
      </c>
      <c r="Y318" s="184">
        <f>IFERROR(ROUND(INDEX('M04-S01'!$AB$16:$AB$198,2*(ROWS($Y$309:Y318)-1)+1),3),"")</f>
        <v>0</v>
      </c>
      <c r="Z318" s="111">
        <f>INDEX('M04-S01'!$B$16:$B$198,2*(ROWS($Z$309:Z318)-1)+1)</f>
        <v>10</v>
      </c>
      <c r="AA318" s="111">
        <f>INDEX('M04-S01'!$F$16:$F$198,2*(ROWS($Z$309:AA318)-1)+1)</f>
        <v>0</v>
      </c>
      <c r="AB318" s="111">
        <f>INDEX('M04-S01'!$S$16:$S$198,2*(ROWS($Z$309:AB318)-1)+1)</f>
        <v>0</v>
      </c>
      <c r="AC318">
        <f>INDEX('M04-S01'!$J$16:$J$198,2*(ROWS($AC$309:AC318)-1)+1)</f>
        <v>0</v>
      </c>
      <c r="AD318">
        <f>INDEX('M04-S01'!$W$16:$W$198,2*(ROWS($AD$309:AD318)-1)+1)</f>
        <v>0</v>
      </c>
      <c r="AE318" s="459"/>
      <c r="AF318" s="459"/>
      <c r="AG318" s="111" t="str">
        <f>INDEX('M04-S01'!$AX$16:$AX$198,2*(ROWS($AG$309:AG318)-1)+1)</f>
        <v/>
      </c>
      <c r="AH318" s="111" t="str">
        <f>INDEX('M04-S01'!$AY$16:$AY$198,2*(ROWS($AH$309:AH318)-1)+1)</f>
        <v/>
      </c>
      <c r="AI318" s="113"/>
      <c r="AJ318" s="113"/>
      <c r="AK318" s="52" t="str">
        <f>INDEX('M04-S01'!$AV$16:$AV$198,2*(ROWS($AK$309:AK318)-1)+1)</f>
        <v/>
      </c>
      <c r="AL318" s="184">
        <f>IF(NOT(ISNUMBER(INDEX('M04-S01'!$AN$16:$AN$198,2*(ROWS($R$309:$R318)-1)+1))),INDEX('M04-S01'!$Z$16:$Z$198,2*(ROWS($AL$309:$AL318)-1)+1)*INDEX('M04-S01'!$AD$16:$AD$198,2*(ROWS($AL$309:$AL318)-1)+1),"")</f>
        <v>0</v>
      </c>
      <c r="AM318" s="184">
        <f>IF(AND(NOT(ISNUMBER(INDEX('M04-S01'!$AN$16:$AN$198,2*(ROWS($R$309:$R318)-1)+1))),T318&gt;0),INDEX('M04-S01'!$Z$16:$Z$198,2*(ROWS($AM$309:$AM318)-1)+1)*INDEX('M04-S01'!$AF$16:$AF$198,2*(ROWS($AM$309:$AM318)-1)+1),"")</f>
        <v>0</v>
      </c>
      <c r="AN318" s="52" t="str">
        <f>IF(NOT(ISNUMBER(INDEX('M04-S01'!$AN$16:$AN$198,2*(ROWS($R$309:$R318)-1)+1))),INDEX('M04-S01'!$AH$16:$AH$198,2*(ROWS($AN$309:$AN318)-1)+1),"")</f>
        <v/>
      </c>
      <c r="AO318" s="113"/>
      <c r="AU318"/>
    </row>
    <row r="319" spans="1:47">
      <c r="A319" s="57">
        <f t="shared" si="31"/>
        <v>0</v>
      </c>
      <c r="B319" s="183" t="str">
        <f t="shared" si="33"/>
        <v/>
      </c>
      <c r="C319" s="186" t="str">
        <f>IF(OR(R319&gt;0,T319&gt;0),INDEX('M04-S01'!$AZ$16:$AZ$198,2*(ROWS($C$309:C319)-1)+1),"")</f>
        <v/>
      </c>
      <c r="D319" t="s">
        <v>231</v>
      </c>
      <c r="F319" s="185">
        <f>INDEX('M04-S01'!$Q$16:$Q$198,2*(ROWS($F$309:F319)-1)+1)</f>
        <v>0</v>
      </c>
      <c r="G319" s="186">
        <f>INDEX('M04-S01'!$C$16:$C$198,2*(ROWS($G$309:G319)-1)+1)</f>
        <v>0</v>
      </c>
      <c r="H319" s="186" t="str">
        <f>IF(ISNUMBER(INDEX('M04-S01'!$AN$16:$AN$198,2*(ROWS($R$309:R319)-1)+1)),"Total","")</f>
        <v/>
      </c>
      <c r="I319" s="184">
        <f>IFERROR(ROUND(IF(ISNUMBER(INDEX('M04-S01'!$AN$16:$AN$198,2*(ROWS($R$309:$R319)-1)+1)),INDEX('M04-S01'!$Z$16:$Z$198,2*(ROWS($I$309:$I319)-1)+1)*INDEX('M04-S01'!$AD$16:$AD$198,2*(ROWS($I$309:$I319)-1)+1),""),2),0)</f>
        <v>0</v>
      </c>
      <c r="J319" s="184">
        <f>IFERROR(ROUND(IF(ISNUMBER(INDEX('M04-S01'!$AN$16:$AN$198,2*(ROWS($R$309:$R319)-1)+1)),INDEX('M04-S01'!$Z$16:$Z$198,2*(ROWS($J$309:$J319)-1)+1)*INDEX('M04-S01'!$AF$16:$AF$198,2*(ROWS($J$309:$J319)-1)+1),""),2),0)</f>
        <v>0</v>
      </c>
      <c r="K319" s="52">
        <f>IFERROR(ROUND(IF(ISNUMBER(INDEX('M04-S01'!$AN$16:$AN$198,2*(ROWS($R$309:$R319)-1)+1)),INDEX('M04-S01'!$AH$16:$AH$198,2*(ROWS($K$309:$K319)-1)+1),""),2),0)</f>
        <v>0</v>
      </c>
      <c r="M319" s="456" t="str">
        <f>IF(ISNUMBER(INDEX('M04-S01'!$AN$16:$AN$198,2*(ROWS($R$309:R319)-1)+1)),INDEX('M04-S01'!$Z$16:$Z$198,2*(ROWS($M$309:M319)-1)+1),"")</f>
        <v/>
      </c>
      <c r="N319" s="184" t="str">
        <f>IF(ISNUMBER(INDEX('M04-S01'!$AN$16:$AN$198,2*(ROWS($R$309:R319)-1)+1)),INDEX('M04-S01'!$AK$16:$AK$198,2*(ROWS($N$309:N319)-1)+1),"")</f>
        <v/>
      </c>
      <c r="O319" s="456" t="str">
        <f>IF(ISNUMBER(INDEX('M04-S01'!$AN$16:$AN$198,2*(ROWS($R$309:R319)-1)+1)),INDEX('M04-S01'!$AW$16:$AW$198,2*(ROWS($O$309:O319)-1)+1),"")</f>
        <v/>
      </c>
      <c r="P319" s="113"/>
      <c r="Q319" s="456" t="str">
        <f>IF(ISNUMBER(INDEX('M04-S01'!$AN$16:$AN$198,2*(ROWS($R$309:R319)-1)+1)),INDEX('M04-S01'!$BB$16:$BB$198,2*(ROWS($Q$309:Q319)-1)+1),"")</f>
        <v/>
      </c>
      <c r="R319" s="184">
        <f>IF(ISNUMBER(INDEX('M04-S01'!$AN$16:$AN$198,2*(ROWS($R$309:R319)-1)+1)),INDEX('M04-S01'!$AN$16:$AN$198,2*(ROWS($R$309:R319)-1)+1),0)</f>
        <v>0</v>
      </c>
      <c r="S319" s="23">
        <f>IF(NOT(ISNUMBER(INDEX('M04-S01'!$AN$16:$AN$198,2*(ROWS($R$309:R319)-1)+1))),INDEX('M04-S01'!$Z$16:$Z$198,2*(ROWS($S$309:S319)-1)+1),"")</f>
        <v>0</v>
      </c>
      <c r="T319" s="52" t="str">
        <f>IFERROR(IF(NOT(ISNUMBER(INDEX('M04-S01'!$AN$16:$AN$198,2*(ROWS($R$309:R319)-1)+1))),INDEX('M04-S01'!$AK$16:$AK$198,2*(ROWS($R$309:R319)-1)+1),0),0)</f>
        <v/>
      </c>
      <c r="U319" s="23" t="str">
        <f>IFERROR(IF(NOT(ISNUMBER(INDEX('M04-S01'!$AN$16:$AN$198,2*(ROWS($R$309:R319)-1)+1))),INDEX('M04-S01'!$AW$16:$AW$198,2*(ROWS($R$309:R319)-1)+1),""),"")</f>
        <v/>
      </c>
      <c r="V319" s="113"/>
      <c r="W319" t="str">
        <f>IFERROR(IF(NOT(ISNUMBER(INDEX('M04-S01'!$AN$16:$AN$198,2*(ROWS($R$309:R319)-1)+1))),INDEX('M04-S01'!$BD$16:$BD$198,2*(ROWS($R$309:R319)-1)+1),""),"")</f>
        <v/>
      </c>
      <c r="X319" s="184" t="str">
        <f>IFERROR(ROUND(INDEX('M04-S01'!$O$16:$O$198,2*(ROWS($X$309:X319)-1)+1),3),"")</f>
        <v/>
      </c>
      <c r="Y319" s="184">
        <f>IFERROR(ROUND(INDEX('M04-S01'!$AB$16:$AB$198,2*(ROWS($Y$309:Y319)-1)+1),3),"")</f>
        <v>0</v>
      </c>
      <c r="Z319" s="111">
        <f>INDEX('M04-S01'!$B$16:$B$198,2*(ROWS($Z$309:Z319)-1)+1)</f>
        <v>11</v>
      </c>
      <c r="AA319" s="111">
        <f>INDEX('M04-S01'!$F$16:$F$198,2*(ROWS($Z$309:AA319)-1)+1)</f>
        <v>0</v>
      </c>
      <c r="AB319" s="111">
        <f>INDEX('M04-S01'!$S$16:$S$198,2*(ROWS($Z$309:AB319)-1)+1)</f>
        <v>0</v>
      </c>
      <c r="AC319">
        <f>INDEX('M04-S01'!$J$16:$J$198,2*(ROWS($AC$309:AC319)-1)+1)</f>
        <v>0</v>
      </c>
      <c r="AD319">
        <f>INDEX('M04-S01'!$W$16:$W$198,2*(ROWS($AD$309:AD319)-1)+1)</f>
        <v>0</v>
      </c>
      <c r="AE319" s="459"/>
      <c r="AF319" s="459"/>
      <c r="AG319" s="111" t="str">
        <f>INDEX('M04-S01'!$AX$16:$AX$198,2*(ROWS($AG$309:AG319)-1)+1)</f>
        <v/>
      </c>
      <c r="AH319" s="111" t="str">
        <f>INDEX('M04-S01'!$AY$16:$AY$198,2*(ROWS($AH$309:AH319)-1)+1)</f>
        <v/>
      </c>
      <c r="AI319" s="113"/>
      <c r="AJ319" s="113"/>
      <c r="AK319" s="52" t="str">
        <f>INDEX('M04-S01'!$AV$16:$AV$198,2*(ROWS($AK$309:AK319)-1)+1)</f>
        <v/>
      </c>
      <c r="AL319" s="184">
        <f>IF(NOT(ISNUMBER(INDEX('M04-S01'!$AN$16:$AN$198,2*(ROWS($R$309:$R319)-1)+1))),INDEX('M04-S01'!$Z$16:$Z$198,2*(ROWS($AL$309:$AL319)-1)+1)*INDEX('M04-S01'!$AD$16:$AD$198,2*(ROWS($AL$309:$AL319)-1)+1),"")</f>
        <v>0</v>
      </c>
      <c r="AM319" s="184">
        <f>IF(AND(NOT(ISNUMBER(INDEX('M04-S01'!$AN$16:$AN$198,2*(ROWS($R$309:$R319)-1)+1))),T319&gt;0),INDEX('M04-S01'!$Z$16:$Z$198,2*(ROWS($AM$309:$AM319)-1)+1)*INDEX('M04-S01'!$AF$16:$AF$198,2*(ROWS($AM$309:$AM319)-1)+1),"")</f>
        <v>0</v>
      </c>
      <c r="AN319" s="52" t="str">
        <f>IF(NOT(ISNUMBER(INDEX('M04-S01'!$AN$16:$AN$198,2*(ROWS($R$309:$R319)-1)+1))),INDEX('M04-S01'!$AH$16:$AH$198,2*(ROWS($AN$309:$AN319)-1)+1),"")</f>
        <v/>
      </c>
      <c r="AO319" s="113"/>
      <c r="AU319"/>
    </row>
    <row r="320" spans="1:47">
      <c r="A320" s="57">
        <f t="shared" si="31"/>
        <v>0</v>
      </c>
      <c r="B320" s="183" t="str">
        <f t="shared" si="33"/>
        <v/>
      </c>
      <c r="C320" s="186" t="str">
        <f>IF(OR(R320&gt;0,T320&gt;0),INDEX('M04-S01'!$AZ$16:$AZ$198,2*(ROWS($C$309:C320)-1)+1),"")</f>
        <v/>
      </c>
      <c r="D320" t="s">
        <v>231</v>
      </c>
      <c r="F320" s="185">
        <f>INDEX('M04-S01'!$Q$16:$Q$198,2*(ROWS($F$309:F320)-1)+1)</f>
        <v>0</v>
      </c>
      <c r="G320" s="186">
        <f>INDEX('M04-S01'!$C$16:$C$198,2*(ROWS($G$309:G320)-1)+1)</f>
        <v>0</v>
      </c>
      <c r="H320" s="186" t="str">
        <f>IF(ISNUMBER(INDEX('M04-S01'!$AN$16:$AN$198,2*(ROWS($R$309:R320)-1)+1)),"Total","")</f>
        <v/>
      </c>
      <c r="I320" s="184">
        <f>IFERROR(ROUND(IF(ISNUMBER(INDEX('M04-S01'!$AN$16:$AN$198,2*(ROWS($R$309:$R320)-1)+1)),INDEX('M04-S01'!$Z$16:$Z$198,2*(ROWS($I$309:$I320)-1)+1)*INDEX('M04-S01'!$AD$16:$AD$198,2*(ROWS($I$309:$I320)-1)+1),""),2),0)</f>
        <v>0</v>
      </c>
      <c r="J320" s="184">
        <f>IFERROR(ROUND(IF(ISNUMBER(INDEX('M04-S01'!$AN$16:$AN$198,2*(ROWS($R$309:$R320)-1)+1)),INDEX('M04-S01'!$Z$16:$Z$198,2*(ROWS($J$309:$J320)-1)+1)*INDEX('M04-S01'!$AF$16:$AF$198,2*(ROWS($J$309:$J320)-1)+1),""),2),0)</f>
        <v>0</v>
      </c>
      <c r="K320" s="52">
        <f>IFERROR(ROUND(IF(ISNUMBER(INDEX('M04-S01'!$AN$16:$AN$198,2*(ROWS($R$309:$R320)-1)+1)),INDEX('M04-S01'!$AH$16:$AH$198,2*(ROWS($K$309:$K320)-1)+1),""),2),0)</f>
        <v>0</v>
      </c>
      <c r="M320" s="456" t="str">
        <f>IF(ISNUMBER(INDEX('M04-S01'!$AN$16:$AN$198,2*(ROWS($R$309:R320)-1)+1)),INDEX('M04-S01'!$Z$16:$Z$198,2*(ROWS($M$309:M320)-1)+1),"")</f>
        <v/>
      </c>
      <c r="N320" s="184" t="str">
        <f>IF(ISNUMBER(INDEX('M04-S01'!$AN$16:$AN$198,2*(ROWS($R$309:R320)-1)+1)),INDEX('M04-S01'!$AK$16:$AK$198,2*(ROWS($N$309:N320)-1)+1),"")</f>
        <v/>
      </c>
      <c r="O320" s="456" t="str">
        <f>IF(ISNUMBER(INDEX('M04-S01'!$AN$16:$AN$198,2*(ROWS($R$309:R320)-1)+1)),INDEX('M04-S01'!$AW$16:$AW$198,2*(ROWS($O$309:O320)-1)+1),"")</f>
        <v/>
      </c>
      <c r="P320" s="113"/>
      <c r="Q320" s="456" t="str">
        <f>IF(ISNUMBER(INDEX('M04-S01'!$AN$16:$AN$198,2*(ROWS($R$309:R320)-1)+1)),INDEX('M04-S01'!$BB$16:$BB$198,2*(ROWS($Q$309:Q320)-1)+1),"")</f>
        <v/>
      </c>
      <c r="R320" s="184">
        <f>IF(ISNUMBER(INDEX('M04-S01'!$AN$16:$AN$198,2*(ROWS($R$309:R320)-1)+1)),INDEX('M04-S01'!$AN$16:$AN$198,2*(ROWS($R$309:R320)-1)+1),0)</f>
        <v>0</v>
      </c>
      <c r="S320" s="23">
        <f>IF(NOT(ISNUMBER(INDEX('M04-S01'!$AN$16:$AN$198,2*(ROWS($R$309:R320)-1)+1))),INDEX('M04-S01'!$Z$16:$Z$198,2*(ROWS($S$309:S320)-1)+1),"")</f>
        <v>0</v>
      </c>
      <c r="T320" s="52" t="str">
        <f>IFERROR(IF(NOT(ISNUMBER(INDEX('M04-S01'!$AN$16:$AN$198,2*(ROWS($R$309:R320)-1)+1))),INDEX('M04-S01'!$AK$16:$AK$198,2*(ROWS($R$309:R320)-1)+1),0),0)</f>
        <v/>
      </c>
      <c r="U320" s="23" t="str">
        <f>IFERROR(IF(NOT(ISNUMBER(INDEX('M04-S01'!$AN$16:$AN$198,2*(ROWS($R$309:R320)-1)+1))),INDEX('M04-S01'!$AW$16:$AW$198,2*(ROWS($R$309:R320)-1)+1),""),"")</f>
        <v/>
      </c>
      <c r="V320" s="113"/>
      <c r="W320" t="str">
        <f>IFERROR(IF(NOT(ISNUMBER(INDEX('M04-S01'!$AN$16:$AN$198,2*(ROWS($R$309:R320)-1)+1))),INDEX('M04-S01'!$BD$16:$BD$198,2*(ROWS($R$309:R320)-1)+1),""),"")</f>
        <v/>
      </c>
      <c r="X320" s="184" t="str">
        <f>IFERROR(ROUND(INDEX('M04-S01'!$O$16:$O$198,2*(ROWS($X$309:X320)-1)+1),3),"")</f>
        <v/>
      </c>
      <c r="Y320" s="184">
        <f>IFERROR(ROUND(INDEX('M04-S01'!$AB$16:$AB$198,2*(ROWS($Y$309:Y320)-1)+1),3),"")</f>
        <v>0</v>
      </c>
      <c r="Z320" s="111">
        <f>INDEX('M04-S01'!$B$16:$B$198,2*(ROWS($Z$309:Z320)-1)+1)</f>
        <v>12</v>
      </c>
      <c r="AA320" s="111">
        <f>INDEX('M04-S01'!$F$16:$F$198,2*(ROWS($Z$309:AA320)-1)+1)</f>
        <v>0</v>
      </c>
      <c r="AB320" s="111">
        <f>INDEX('M04-S01'!$S$16:$S$198,2*(ROWS($Z$309:AB320)-1)+1)</f>
        <v>0</v>
      </c>
      <c r="AC320">
        <f>INDEX('M04-S01'!$J$16:$J$198,2*(ROWS($AC$309:AC320)-1)+1)</f>
        <v>0</v>
      </c>
      <c r="AD320">
        <f>INDEX('M04-S01'!$W$16:$W$198,2*(ROWS($AD$309:AD320)-1)+1)</f>
        <v>0</v>
      </c>
      <c r="AE320" s="459"/>
      <c r="AF320" s="459"/>
      <c r="AG320" s="111" t="str">
        <f>INDEX('M04-S01'!$AX$16:$AX$198,2*(ROWS($AG$309:AG320)-1)+1)</f>
        <v/>
      </c>
      <c r="AH320" s="111" t="str">
        <f>INDEX('M04-S01'!$AY$16:$AY$198,2*(ROWS($AH$309:AH320)-1)+1)</f>
        <v/>
      </c>
      <c r="AI320" s="113"/>
      <c r="AJ320" s="113"/>
      <c r="AK320" s="52" t="str">
        <f>INDEX('M04-S01'!$AV$16:$AV$198,2*(ROWS($AK$309:AK320)-1)+1)</f>
        <v/>
      </c>
      <c r="AL320" s="184">
        <f>IF(NOT(ISNUMBER(INDEX('M04-S01'!$AN$16:$AN$198,2*(ROWS($R$309:$R320)-1)+1))),INDEX('M04-S01'!$Z$16:$Z$198,2*(ROWS($AL$309:$AL320)-1)+1)*INDEX('M04-S01'!$AD$16:$AD$198,2*(ROWS($AL$309:$AL320)-1)+1),"")</f>
        <v>0</v>
      </c>
      <c r="AM320" s="184">
        <f>IF(AND(NOT(ISNUMBER(INDEX('M04-S01'!$AN$16:$AN$198,2*(ROWS($R$309:$R320)-1)+1))),T320&gt;0),INDEX('M04-S01'!$Z$16:$Z$198,2*(ROWS($AM$309:$AM320)-1)+1)*INDEX('M04-S01'!$AF$16:$AF$198,2*(ROWS($AM$309:$AM320)-1)+1),"")</f>
        <v>0</v>
      </c>
      <c r="AN320" s="52" t="str">
        <f>IF(NOT(ISNUMBER(INDEX('M04-S01'!$AN$16:$AN$198,2*(ROWS($R$309:$R320)-1)+1))),INDEX('M04-S01'!$AH$16:$AH$198,2*(ROWS($AN$309:$AN320)-1)+1),"")</f>
        <v/>
      </c>
      <c r="AO320" s="113"/>
      <c r="AU320"/>
    </row>
    <row r="321" spans="1:47">
      <c r="A321" s="57">
        <f t="shared" si="31"/>
        <v>0</v>
      </c>
      <c r="B321" s="183" t="str">
        <f t="shared" si="33"/>
        <v/>
      </c>
      <c r="C321" s="186" t="str">
        <f>IF(OR(R321&gt;0,T321&gt;0),INDEX('M04-S01'!$AZ$16:$AZ$198,2*(ROWS($C$309:C321)-1)+1),"")</f>
        <v/>
      </c>
      <c r="D321" t="s">
        <v>231</v>
      </c>
      <c r="F321" s="185">
        <f>INDEX('M04-S01'!$Q$16:$Q$198,2*(ROWS($F$309:F321)-1)+1)</f>
        <v>0</v>
      </c>
      <c r="G321" s="186">
        <f>INDEX('M04-S01'!$C$16:$C$198,2*(ROWS($G$309:G321)-1)+1)</f>
        <v>0</v>
      </c>
      <c r="H321" s="186" t="str">
        <f>IF(ISNUMBER(INDEX('M04-S01'!$AN$16:$AN$198,2*(ROWS($R$309:R321)-1)+1)),"Total","")</f>
        <v/>
      </c>
      <c r="I321" s="184">
        <f>IFERROR(ROUND(IF(ISNUMBER(INDEX('M04-S01'!$AN$16:$AN$198,2*(ROWS($R$309:$R321)-1)+1)),INDEX('M04-S01'!$Z$16:$Z$198,2*(ROWS($I$309:$I321)-1)+1)*INDEX('M04-S01'!$AD$16:$AD$198,2*(ROWS($I$309:$I321)-1)+1),""),2),0)</f>
        <v>0</v>
      </c>
      <c r="J321" s="184">
        <f>IFERROR(ROUND(IF(ISNUMBER(INDEX('M04-S01'!$AN$16:$AN$198,2*(ROWS($R$309:$R321)-1)+1)),INDEX('M04-S01'!$Z$16:$Z$198,2*(ROWS($J$309:$J321)-1)+1)*INDEX('M04-S01'!$AF$16:$AF$198,2*(ROWS($J$309:$J321)-1)+1),""),2),0)</f>
        <v>0</v>
      </c>
      <c r="K321" s="52">
        <f>IFERROR(ROUND(IF(ISNUMBER(INDEX('M04-S01'!$AN$16:$AN$198,2*(ROWS($R$309:$R321)-1)+1)),INDEX('M04-S01'!$AH$16:$AH$198,2*(ROWS($K$309:$K321)-1)+1),""),2),0)</f>
        <v>0</v>
      </c>
      <c r="M321" s="456" t="str">
        <f>IF(ISNUMBER(INDEX('M04-S01'!$AN$16:$AN$198,2*(ROWS($R$309:R321)-1)+1)),INDEX('M04-S01'!$Z$16:$Z$198,2*(ROWS($M$309:M321)-1)+1),"")</f>
        <v/>
      </c>
      <c r="N321" s="184" t="str">
        <f>IF(ISNUMBER(INDEX('M04-S01'!$AN$16:$AN$198,2*(ROWS($R$309:R321)-1)+1)),INDEX('M04-S01'!$AK$16:$AK$198,2*(ROWS($N$309:N321)-1)+1),"")</f>
        <v/>
      </c>
      <c r="O321" s="456" t="str">
        <f>IF(ISNUMBER(INDEX('M04-S01'!$AN$16:$AN$198,2*(ROWS($R$309:R321)-1)+1)),INDEX('M04-S01'!$AW$16:$AW$198,2*(ROWS($O$309:O321)-1)+1),"")</f>
        <v/>
      </c>
      <c r="P321" s="113"/>
      <c r="Q321" s="456" t="str">
        <f>IF(ISNUMBER(INDEX('M04-S01'!$AN$16:$AN$198,2*(ROWS($R$309:R321)-1)+1)),INDEX('M04-S01'!$BB$16:$BB$198,2*(ROWS($Q$309:Q321)-1)+1),"")</f>
        <v/>
      </c>
      <c r="R321" s="184">
        <f>IF(ISNUMBER(INDEX('M04-S01'!$AN$16:$AN$198,2*(ROWS($R$309:R321)-1)+1)),INDEX('M04-S01'!$AN$16:$AN$198,2*(ROWS($R$309:R321)-1)+1),0)</f>
        <v>0</v>
      </c>
      <c r="S321" s="23">
        <f>IF(NOT(ISNUMBER(INDEX('M04-S01'!$AN$16:$AN$198,2*(ROWS($R$309:R321)-1)+1))),INDEX('M04-S01'!$Z$16:$Z$198,2*(ROWS($S$309:S321)-1)+1),"")</f>
        <v>0</v>
      </c>
      <c r="T321" s="52" t="str">
        <f>IFERROR(IF(NOT(ISNUMBER(INDEX('M04-S01'!$AN$16:$AN$198,2*(ROWS($R$309:R321)-1)+1))),INDEX('M04-S01'!$AK$16:$AK$198,2*(ROWS($R$309:R321)-1)+1),0),0)</f>
        <v/>
      </c>
      <c r="U321" s="23" t="str">
        <f>IFERROR(IF(NOT(ISNUMBER(INDEX('M04-S01'!$AN$16:$AN$198,2*(ROWS($R$309:R321)-1)+1))),INDEX('M04-S01'!$AW$16:$AW$198,2*(ROWS($R$309:R321)-1)+1),""),"")</f>
        <v/>
      </c>
      <c r="V321" s="113"/>
      <c r="W321" t="str">
        <f>IFERROR(IF(NOT(ISNUMBER(INDEX('M04-S01'!$AN$16:$AN$198,2*(ROWS($R$309:R321)-1)+1))),INDEX('M04-S01'!$BD$16:$BD$198,2*(ROWS($R$309:R321)-1)+1),""),"")</f>
        <v/>
      </c>
      <c r="X321" s="184" t="str">
        <f>IFERROR(ROUND(INDEX('M04-S01'!$O$16:$O$198,2*(ROWS($X$309:X321)-1)+1),3),"")</f>
        <v/>
      </c>
      <c r="Y321" s="184">
        <f>IFERROR(ROUND(INDEX('M04-S01'!$AB$16:$AB$198,2*(ROWS($Y$309:Y321)-1)+1),3),"")</f>
        <v>0</v>
      </c>
      <c r="Z321" s="111">
        <f>INDEX('M04-S01'!$B$16:$B$198,2*(ROWS($Z$309:Z321)-1)+1)</f>
        <v>13</v>
      </c>
      <c r="AA321" s="111">
        <f>INDEX('M04-S01'!$F$16:$F$198,2*(ROWS($Z$309:AA321)-1)+1)</f>
        <v>0</v>
      </c>
      <c r="AB321" s="111">
        <f>INDEX('M04-S01'!$S$16:$S$198,2*(ROWS($Z$309:AB321)-1)+1)</f>
        <v>0</v>
      </c>
      <c r="AC321">
        <f>INDEX('M04-S01'!$J$16:$J$198,2*(ROWS($AC$309:AC321)-1)+1)</f>
        <v>0</v>
      </c>
      <c r="AD321">
        <f>INDEX('M04-S01'!$W$16:$W$198,2*(ROWS($AD$309:AD321)-1)+1)</f>
        <v>0</v>
      </c>
      <c r="AE321" s="459"/>
      <c r="AF321" s="459"/>
      <c r="AG321" s="111" t="str">
        <f>INDEX('M04-S01'!$AX$16:$AX$198,2*(ROWS($AG$309:AG321)-1)+1)</f>
        <v/>
      </c>
      <c r="AH321" s="111" t="str">
        <f>INDEX('M04-S01'!$AY$16:$AY$198,2*(ROWS($AH$309:AH321)-1)+1)</f>
        <v/>
      </c>
      <c r="AI321" s="113"/>
      <c r="AJ321" s="113"/>
      <c r="AK321" s="52" t="str">
        <f>INDEX('M04-S01'!$AV$16:$AV$198,2*(ROWS($AK$309:AK321)-1)+1)</f>
        <v/>
      </c>
      <c r="AL321" s="184">
        <f>IF(NOT(ISNUMBER(INDEX('M04-S01'!$AN$16:$AN$198,2*(ROWS($R$309:$R321)-1)+1))),INDEX('M04-S01'!$Z$16:$Z$198,2*(ROWS($AL$309:$AL321)-1)+1)*INDEX('M04-S01'!$AD$16:$AD$198,2*(ROWS($AL$309:$AL321)-1)+1),"")</f>
        <v>0</v>
      </c>
      <c r="AM321" s="184">
        <f>IF(AND(NOT(ISNUMBER(INDEX('M04-S01'!$AN$16:$AN$198,2*(ROWS($R$309:$R321)-1)+1))),T321&gt;0),INDEX('M04-S01'!$Z$16:$Z$198,2*(ROWS($AM$309:$AM321)-1)+1)*INDEX('M04-S01'!$AF$16:$AF$198,2*(ROWS($AM$309:$AM321)-1)+1),"")</f>
        <v>0</v>
      </c>
      <c r="AN321" s="52" t="str">
        <f>IF(NOT(ISNUMBER(INDEX('M04-S01'!$AN$16:$AN$198,2*(ROWS($R$309:$R321)-1)+1))),INDEX('M04-S01'!$AH$16:$AH$198,2*(ROWS($AN$309:$AN321)-1)+1),"")</f>
        <v/>
      </c>
      <c r="AO321" s="113"/>
      <c r="AU321"/>
    </row>
    <row r="322" spans="1:47">
      <c r="A322" s="57">
        <f t="shared" si="31"/>
        <v>0</v>
      </c>
      <c r="B322" s="183" t="str">
        <f t="shared" si="33"/>
        <v/>
      </c>
      <c r="C322" s="186" t="str">
        <f>IF(OR(R322&gt;0,T322&gt;0),INDEX('M04-S01'!$AZ$16:$AZ$198,2*(ROWS($C$309:C322)-1)+1),"")</f>
        <v/>
      </c>
      <c r="D322" t="s">
        <v>231</v>
      </c>
      <c r="F322" s="185">
        <f>INDEX('M04-S01'!$Q$16:$Q$198,2*(ROWS($F$309:F322)-1)+1)</f>
        <v>0</v>
      </c>
      <c r="G322" s="186">
        <f>INDEX('M04-S01'!$C$16:$C$198,2*(ROWS($G$309:G322)-1)+1)</f>
        <v>0</v>
      </c>
      <c r="H322" s="186" t="str">
        <f>IF(ISNUMBER(INDEX('M04-S01'!$AN$16:$AN$198,2*(ROWS($R$309:R322)-1)+1)),"Total","")</f>
        <v/>
      </c>
      <c r="I322" s="184">
        <f>IFERROR(ROUND(IF(ISNUMBER(INDEX('M04-S01'!$AN$16:$AN$198,2*(ROWS($R$309:$R322)-1)+1)),INDEX('M04-S01'!$Z$16:$Z$198,2*(ROWS($I$309:$I322)-1)+1)*INDEX('M04-S01'!$AD$16:$AD$198,2*(ROWS($I$309:$I322)-1)+1),""),2),0)</f>
        <v>0</v>
      </c>
      <c r="J322" s="184">
        <f>IFERROR(ROUND(IF(ISNUMBER(INDEX('M04-S01'!$AN$16:$AN$198,2*(ROWS($R$309:$R322)-1)+1)),INDEX('M04-S01'!$Z$16:$Z$198,2*(ROWS($J$309:$J322)-1)+1)*INDEX('M04-S01'!$AF$16:$AF$198,2*(ROWS($J$309:$J322)-1)+1),""),2),0)</f>
        <v>0</v>
      </c>
      <c r="K322" s="52">
        <f>IFERROR(ROUND(IF(ISNUMBER(INDEX('M04-S01'!$AN$16:$AN$198,2*(ROWS($R$309:$R322)-1)+1)),INDEX('M04-S01'!$AH$16:$AH$198,2*(ROWS($K$309:$K322)-1)+1),""),2),0)</f>
        <v>0</v>
      </c>
      <c r="M322" s="456" t="str">
        <f>IF(ISNUMBER(INDEX('M04-S01'!$AN$16:$AN$198,2*(ROWS($R$309:R322)-1)+1)),INDEX('M04-S01'!$Z$16:$Z$198,2*(ROWS($M$309:M322)-1)+1),"")</f>
        <v/>
      </c>
      <c r="N322" s="184" t="str">
        <f>IF(ISNUMBER(INDEX('M04-S01'!$AN$16:$AN$198,2*(ROWS($R$309:R322)-1)+1)),INDEX('M04-S01'!$AK$16:$AK$198,2*(ROWS($N$309:N322)-1)+1),"")</f>
        <v/>
      </c>
      <c r="O322" s="456" t="str">
        <f>IF(ISNUMBER(INDEX('M04-S01'!$AN$16:$AN$198,2*(ROWS($R$309:R322)-1)+1)),INDEX('M04-S01'!$AW$16:$AW$198,2*(ROWS($O$309:O322)-1)+1),"")</f>
        <v/>
      </c>
      <c r="P322" s="113"/>
      <c r="Q322" s="456" t="str">
        <f>IF(ISNUMBER(INDEX('M04-S01'!$AN$16:$AN$198,2*(ROWS($R$309:R322)-1)+1)),INDEX('M04-S01'!$BB$16:$BB$198,2*(ROWS($Q$309:Q322)-1)+1),"")</f>
        <v/>
      </c>
      <c r="R322" s="184">
        <f>IF(ISNUMBER(INDEX('M04-S01'!$AN$16:$AN$198,2*(ROWS($R$309:R322)-1)+1)),INDEX('M04-S01'!$AN$16:$AN$198,2*(ROWS($R$309:R322)-1)+1),0)</f>
        <v>0</v>
      </c>
      <c r="S322" s="23">
        <f>IF(NOT(ISNUMBER(INDEX('M04-S01'!$AN$16:$AN$198,2*(ROWS($R$309:R322)-1)+1))),INDEX('M04-S01'!$Z$16:$Z$198,2*(ROWS($S$309:S322)-1)+1),"")</f>
        <v>0</v>
      </c>
      <c r="T322" s="52" t="str">
        <f>IFERROR(IF(NOT(ISNUMBER(INDEX('M04-S01'!$AN$16:$AN$198,2*(ROWS($R$309:R322)-1)+1))),INDEX('M04-S01'!$AK$16:$AK$198,2*(ROWS($R$309:R322)-1)+1),0),0)</f>
        <v/>
      </c>
      <c r="U322" s="23" t="str">
        <f>IFERROR(IF(NOT(ISNUMBER(INDEX('M04-S01'!$AN$16:$AN$198,2*(ROWS($R$309:R322)-1)+1))),INDEX('M04-S01'!$AW$16:$AW$198,2*(ROWS($R$309:R322)-1)+1),""),"")</f>
        <v/>
      </c>
      <c r="V322" s="113"/>
      <c r="W322" t="str">
        <f>IFERROR(IF(NOT(ISNUMBER(INDEX('M04-S01'!$AN$16:$AN$198,2*(ROWS($R$309:R322)-1)+1))),INDEX('M04-S01'!$BD$16:$BD$198,2*(ROWS($R$309:R322)-1)+1),""),"")</f>
        <v/>
      </c>
      <c r="X322" s="184" t="str">
        <f>IFERROR(ROUND(INDEX('M04-S01'!$O$16:$O$198,2*(ROWS($X$309:X322)-1)+1),3),"")</f>
        <v/>
      </c>
      <c r="Y322" s="184">
        <f>IFERROR(ROUND(INDEX('M04-S01'!$AB$16:$AB$198,2*(ROWS($Y$309:Y322)-1)+1),3),"")</f>
        <v>0</v>
      </c>
      <c r="Z322" s="111">
        <f>INDEX('M04-S01'!$B$16:$B$198,2*(ROWS($Z$309:Z322)-1)+1)</f>
        <v>14</v>
      </c>
      <c r="AA322" s="111">
        <f>INDEX('M04-S01'!$F$16:$F$198,2*(ROWS($Z$309:AA322)-1)+1)</f>
        <v>0</v>
      </c>
      <c r="AB322" s="111">
        <f>INDEX('M04-S01'!$S$16:$S$198,2*(ROWS($Z$309:AB322)-1)+1)</f>
        <v>0</v>
      </c>
      <c r="AC322">
        <f>INDEX('M04-S01'!$J$16:$J$198,2*(ROWS($AC$309:AC322)-1)+1)</f>
        <v>0</v>
      </c>
      <c r="AD322">
        <f>INDEX('M04-S01'!$W$16:$W$198,2*(ROWS($AD$309:AD322)-1)+1)</f>
        <v>0</v>
      </c>
      <c r="AE322" s="459"/>
      <c r="AF322" s="459"/>
      <c r="AG322" s="111" t="str">
        <f>INDEX('M04-S01'!$AX$16:$AX$198,2*(ROWS($AG$309:AG322)-1)+1)</f>
        <v/>
      </c>
      <c r="AH322" s="111" t="str">
        <f>INDEX('M04-S01'!$AY$16:$AY$198,2*(ROWS($AH$309:AH322)-1)+1)</f>
        <v/>
      </c>
      <c r="AI322" s="113"/>
      <c r="AJ322" s="113"/>
      <c r="AK322" s="52" t="str">
        <f>INDEX('M04-S01'!$AV$16:$AV$198,2*(ROWS($AK$309:AK322)-1)+1)</f>
        <v/>
      </c>
      <c r="AL322" s="184">
        <f>IF(NOT(ISNUMBER(INDEX('M04-S01'!$AN$16:$AN$198,2*(ROWS($R$309:$R322)-1)+1))),INDEX('M04-S01'!$Z$16:$Z$198,2*(ROWS($AL$309:$AL322)-1)+1)*INDEX('M04-S01'!$AD$16:$AD$198,2*(ROWS($AL$309:$AL322)-1)+1),"")</f>
        <v>0</v>
      </c>
      <c r="AM322" s="184">
        <f>IF(AND(NOT(ISNUMBER(INDEX('M04-S01'!$AN$16:$AN$198,2*(ROWS($R$309:$R322)-1)+1))),T322&gt;0),INDEX('M04-S01'!$Z$16:$Z$198,2*(ROWS($AM$309:$AM322)-1)+1)*INDEX('M04-S01'!$AF$16:$AF$198,2*(ROWS($AM$309:$AM322)-1)+1),"")</f>
        <v>0</v>
      </c>
      <c r="AN322" s="52" t="str">
        <f>IF(NOT(ISNUMBER(INDEX('M04-S01'!$AN$16:$AN$198,2*(ROWS($R$309:$R322)-1)+1))),INDEX('M04-S01'!$AH$16:$AH$198,2*(ROWS($AN$309:$AN322)-1)+1),"")</f>
        <v/>
      </c>
      <c r="AO322" s="113"/>
      <c r="AU322"/>
    </row>
    <row r="323" spans="1:47">
      <c r="A323" s="57">
        <f t="shared" si="31"/>
        <v>0</v>
      </c>
      <c r="B323" s="183" t="str">
        <f t="shared" si="33"/>
        <v/>
      </c>
      <c r="C323" s="186" t="str">
        <f>IF(OR(R323&gt;0,T323&gt;0),INDEX('M04-S01'!$AZ$16:$AZ$198,2*(ROWS($C$309:C323)-1)+1),"")</f>
        <v/>
      </c>
      <c r="D323" t="s">
        <v>231</v>
      </c>
      <c r="F323" s="185">
        <f>INDEX('M04-S01'!$Q$16:$Q$198,2*(ROWS($F$309:F323)-1)+1)</f>
        <v>0</v>
      </c>
      <c r="G323" s="186">
        <f>INDEX('M04-S01'!$C$16:$C$198,2*(ROWS($G$309:G323)-1)+1)</f>
        <v>0</v>
      </c>
      <c r="H323" s="186" t="str">
        <f>IF(ISNUMBER(INDEX('M04-S01'!$AN$16:$AN$198,2*(ROWS($R$309:R323)-1)+1)),"Total","")</f>
        <v/>
      </c>
      <c r="I323" s="184">
        <f>IFERROR(ROUND(IF(ISNUMBER(INDEX('M04-S01'!$AN$16:$AN$198,2*(ROWS($R$309:$R323)-1)+1)),INDEX('M04-S01'!$Z$16:$Z$198,2*(ROWS($I$309:$I323)-1)+1)*INDEX('M04-S01'!$AD$16:$AD$198,2*(ROWS($I$309:$I323)-1)+1),""),2),0)</f>
        <v>0</v>
      </c>
      <c r="J323" s="184">
        <f>IFERROR(ROUND(IF(ISNUMBER(INDEX('M04-S01'!$AN$16:$AN$198,2*(ROWS($R$309:$R323)-1)+1)),INDEX('M04-S01'!$Z$16:$Z$198,2*(ROWS($J$309:$J323)-1)+1)*INDEX('M04-S01'!$AF$16:$AF$198,2*(ROWS($J$309:$J323)-1)+1),""),2),0)</f>
        <v>0</v>
      </c>
      <c r="K323" s="52">
        <f>IFERROR(ROUND(IF(ISNUMBER(INDEX('M04-S01'!$AN$16:$AN$198,2*(ROWS($R$309:$R323)-1)+1)),INDEX('M04-S01'!$AH$16:$AH$198,2*(ROWS($K$309:$K323)-1)+1),""),2),0)</f>
        <v>0</v>
      </c>
      <c r="M323" s="456" t="str">
        <f>IF(ISNUMBER(INDEX('M04-S01'!$AN$16:$AN$198,2*(ROWS($R$309:R323)-1)+1)),INDEX('M04-S01'!$Z$16:$Z$198,2*(ROWS($M$309:M323)-1)+1),"")</f>
        <v/>
      </c>
      <c r="N323" s="184" t="str">
        <f>IF(ISNUMBER(INDEX('M04-S01'!$AN$16:$AN$198,2*(ROWS($R$309:R323)-1)+1)),INDEX('M04-S01'!$AK$16:$AK$198,2*(ROWS($N$309:N323)-1)+1),"")</f>
        <v/>
      </c>
      <c r="O323" s="456" t="str">
        <f>IF(ISNUMBER(INDEX('M04-S01'!$AN$16:$AN$198,2*(ROWS($R$309:R323)-1)+1)),INDEX('M04-S01'!$AW$16:$AW$198,2*(ROWS($O$309:O323)-1)+1),"")</f>
        <v/>
      </c>
      <c r="P323" s="113"/>
      <c r="Q323" s="456" t="str">
        <f>IF(ISNUMBER(INDEX('M04-S01'!$AN$16:$AN$198,2*(ROWS($R$309:R323)-1)+1)),INDEX('M04-S01'!$BB$16:$BB$198,2*(ROWS($Q$309:Q323)-1)+1),"")</f>
        <v/>
      </c>
      <c r="R323" s="184">
        <f>IF(ISNUMBER(INDEX('M04-S01'!$AN$16:$AN$198,2*(ROWS($R$309:R323)-1)+1)),INDEX('M04-S01'!$AN$16:$AN$198,2*(ROWS($R$309:R323)-1)+1),0)</f>
        <v>0</v>
      </c>
      <c r="S323" s="23">
        <f>IF(NOT(ISNUMBER(INDEX('M04-S01'!$AN$16:$AN$198,2*(ROWS($R$309:R323)-1)+1))),INDEX('M04-S01'!$Z$16:$Z$198,2*(ROWS($S$309:S323)-1)+1),"")</f>
        <v>0</v>
      </c>
      <c r="T323" s="52" t="str">
        <f>IFERROR(IF(NOT(ISNUMBER(INDEX('M04-S01'!$AN$16:$AN$198,2*(ROWS($R$309:R323)-1)+1))),INDEX('M04-S01'!$AK$16:$AK$198,2*(ROWS($R$309:R323)-1)+1),0),0)</f>
        <v/>
      </c>
      <c r="U323" s="23" t="str">
        <f>IFERROR(IF(NOT(ISNUMBER(INDEX('M04-S01'!$AN$16:$AN$198,2*(ROWS($R$309:R323)-1)+1))),INDEX('M04-S01'!$AW$16:$AW$198,2*(ROWS($R$309:R323)-1)+1),""),"")</f>
        <v/>
      </c>
      <c r="V323" s="113"/>
      <c r="W323" t="str">
        <f>IFERROR(IF(NOT(ISNUMBER(INDEX('M04-S01'!$AN$16:$AN$198,2*(ROWS($R$309:R323)-1)+1))),INDEX('M04-S01'!$BD$16:$BD$198,2*(ROWS($R$309:R323)-1)+1),""),"")</f>
        <v/>
      </c>
      <c r="X323" s="184" t="str">
        <f>IFERROR(ROUND(INDEX('M04-S01'!$O$16:$O$198,2*(ROWS($X$309:X323)-1)+1),3),"")</f>
        <v/>
      </c>
      <c r="Y323" s="184">
        <f>IFERROR(ROUND(INDEX('M04-S01'!$AB$16:$AB$198,2*(ROWS($Y$309:Y323)-1)+1),3),"")</f>
        <v>0</v>
      </c>
      <c r="Z323" s="111">
        <f>INDEX('M04-S01'!$B$16:$B$198,2*(ROWS($Z$309:Z323)-1)+1)</f>
        <v>15</v>
      </c>
      <c r="AA323" s="111">
        <f>INDEX('M04-S01'!$F$16:$F$198,2*(ROWS($Z$309:AA323)-1)+1)</f>
        <v>0</v>
      </c>
      <c r="AB323" s="111">
        <f>INDEX('M04-S01'!$S$16:$S$198,2*(ROWS($Z$309:AB323)-1)+1)</f>
        <v>0</v>
      </c>
      <c r="AC323">
        <f>INDEX('M04-S01'!$J$16:$J$198,2*(ROWS($AC$309:AC323)-1)+1)</f>
        <v>0</v>
      </c>
      <c r="AD323">
        <f>INDEX('M04-S01'!$W$16:$W$198,2*(ROWS($AD$309:AD323)-1)+1)</f>
        <v>0</v>
      </c>
      <c r="AE323" s="459"/>
      <c r="AF323" s="459"/>
      <c r="AG323" s="111" t="str">
        <f>INDEX('M04-S01'!$AX$16:$AX$198,2*(ROWS($AG$309:AG323)-1)+1)</f>
        <v/>
      </c>
      <c r="AH323" s="111" t="str">
        <f>INDEX('M04-S01'!$AY$16:$AY$198,2*(ROWS($AH$309:AH323)-1)+1)</f>
        <v/>
      </c>
      <c r="AI323" s="113"/>
      <c r="AJ323" s="113"/>
      <c r="AK323" s="52" t="str">
        <f>INDEX('M04-S01'!$AV$16:$AV$198,2*(ROWS($AK$309:AK323)-1)+1)</f>
        <v/>
      </c>
      <c r="AL323" s="184">
        <f>IF(NOT(ISNUMBER(INDEX('M04-S01'!$AN$16:$AN$198,2*(ROWS($R$309:$R323)-1)+1))),INDEX('M04-S01'!$Z$16:$Z$198,2*(ROWS($AL$309:$AL323)-1)+1)*INDEX('M04-S01'!$AD$16:$AD$198,2*(ROWS($AL$309:$AL323)-1)+1),"")</f>
        <v>0</v>
      </c>
      <c r="AM323" s="184">
        <f>IF(AND(NOT(ISNUMBER(INDEX('M04-S01'!$AN$16:$AN$198,2*(ROWS($R$309:$R323)-1)+1))),T323&gt;0),INDEX('M04-S01'!$Z$16:$Z$198,2*(ROWS($AM$309:$AM323)-1)+1)*INDEX('M04-S01'!$AF$16:$AF$198,2*(ROWS($AM$309:$AM323)-1)+1),"")</f>
        <v>0</v>
      </c>
      <c r="AN323" s="52" t="str">
        <f>IF(NOT(ISNUMBER(INDEX('M04-S01'!$AN$16:$AN$198,2*(ROWS($R$309:$R323)-1)+1))),INDEX('M04-S01'!$AH$16:$AH$198,2*(ROWS($AN$309:$AN323)-1)+1),"")</f>
        <v/>
      </c>
      <c r="AO323" s="113"/>
      <c r="AU323"/>
    </row>
    <row r="324" spans="1:47">
      <c r="A324" s="57">
        <f t="shared" si="31"/>
        <v>0</v>
      </c>
      <c r="B324" s="183" t="str">
        <f t="shared" si="33"/>
        <v/>
      </c>
      <c r="C324" s="186" t="str">
        <f>IF(OR(R324&gt;0,T324&gt;0),INDEX('M04-S01'!$AZ$16:$AZ$198,2*(ROWS($C$309:C324)-1)+1),"")</f>
        <v/>
      </c>
      <c r="D324" t="s">
        <v>231</v>
      </c>
      <c r="F324" s="185">
        <f>INDEX('M04-S01'!$Q$16:$Q$198,2*(ROWS($F$309:F324)-1)+1)</f>
        <v>0</v>
      </c>
      <c r="G324" s="186">
        <f>INDEX('M04-S01'!$C$16:$C$198,2*(ROWS($G$309:G324)-1)+1)</f>
        <v>0</v>
      </c>
      <c r="H324" s="186" t="str">
        <f>IF(ISNUMBER(INDEX('M04-S01'!$AN$16:$AN$198,2*(ROWS($R$309:R324)-1)+1)),"Total","")</f>
        <v/>
      </c>
      <c r="I324" s="184">
        <f>IFERROR(ROUND(IF(ISNUMBER(INDEX('M04-S01'!$AN$16:$AN$198,2*(ROWS($R$309:$R324)-1)+1)),INDEX('M04-S01'!$Z$16:$Z$198,2*(ROWS($I$309:$I324)-1)+1)*INDEX('M04-S01'!$AD$16:$AD$198,2*(ROWS($I$309:$I324)-1)+1),""),2),0)</f>
        <v>0</v>
      </c>
      <c r="J324" s="184">
        <f>IFERROR(ROUND(IF(ISNUMBER(INDEX('M04-S01'!$AN$16:$AN$198,2*(ROWS($R$309:$R324)-1)+1)),INDEX('M04-S01'!$Z$16:$Z$198,2*(ROWS($J$309:$J324)-1)+1)*INDEX('M04-S01'!$AF$16:$AF$198,2*(ROWS($J$309:$J324)-1)+1),""),2),0)</f>
        <v>0</v>
      </c>
      <c r="K324" s="52">
        <f>IFERROR(ROUND(IF(ISNUMBER(INDEX('M04-S01'!$AN$16:$AN$198,2*(ROWS($R$309:$R324)-1)+1)),INDEX('M04-S01'!$AH$16:$AH$198,2*(ROWS($K$309:$K324)-1)+1),""),2),0)</f>
        <v>0</v>
      </c>
      <c r="M324" s="456" t="str">
        <f>IF(ISNUMBER(INDEX('M04-S01'!$AN$16:$AN$198,2*(ROWS($R$309:R324)-1)+1)),INDEX('M04-S01'!$Z$16:$Z$198,2*(ROWS($M$309:M324)-1)+1),"")</f>
        <v/>
      </c>
      <c r="N324" s="184" t="str">
        <f>IF(ISNUMBER(INDEX('M04-S01'!$AN$16:$AN$198,2*(ROWS($R$309:R324)-1)+1)),INDEX('M04-S01'!$AK$16:$AK$198,2*(ROWS($N$309:N324)-1)+1),"")</f>
        <v/>
      </c>
      <c r="O324" s="456" t="str">
        <f>IF(ISNUMBER(INDEX('M04-S01'!$AN$16:$AN$198,2*(ROWS($R$309:R324)-1)+1)),INDEX('M04-S01'!$AW$16:$AW$198,2*(ROWS($O$309:O324)-1)+1),"")</f>
        <v/>
      </c>
      <c r="P324" s="113"/>
      <c r="Q324" s="456" t="str">
        <f>IF(ISNUMBER(INDEX('M04-S01'!$AN$16:$AN$198,2*(ROWS($R$309:R324)-1)+1)),INDEX('M04-S01'!$BB$16:$BB$198,2*(ROWS($Q$309:Q324)-1)+1),"")</f>
        <v/>
      </c>
      <c r="R324" s="184">
        <f>IF(ISNUMBER(INDEX('M04-S01'!$AN$16:$AN$198,2*(ROWS($R$309:R324)-1)+1)),INDEX('M04-S01'!$AN$16:$AN$198,2*(ROWS($R$309:R324)-1)+1),0)</f>
        <v>0</v>
      </c>
      <c r="S324" s="23">
        <f>IF(NOT(ISNUMBER(INDEX('M04-S01'!$AN$16:$AN$198,2*(ROWS($R$309:R324)-1)+1))),INDEX('M04-S01'!$Z$16:$Z$198,2*(ROWS($S$309:S324)-1)+1),"")</f>
        <v>0</v>
      </c>
      <c r="T324" s="52" t="str">
        <f>IFERROR(IF(NOT(ISNUMBER(INDEX('M04-S01'!$AN$16:$AN$198,2*(ROWS($R$309:R324)-1)+1))),INDEX('M04-S01'!$AK$16:$AK$198,2*(ROWS($R$309:R324)-1)+1),0),0)</f>
        <v/>
      </c>
      <c r="U324" s="23" t="str">
        <f>IFERROR(IF(NOT(ISNUMBER(INDEX('M04-S01'!$AN$16:$AN$198,2*(ROWS($R$309:R324)-1)+1))),INDEX('M04-S01'!$AW$16:$AW$198,2*(ROWS($R$309:R324)-1)+1),""),"")</f>
        <v/>
      </c>
      <c r="V324" s="113"/>
      <c r="W324" t="str">
        <f>IFERROR(IF(NOT(ISNUMBER(INDEX('M04-S01'!$AN$16:$AN$198,2*(ROWS($R$309:R324)-1)+1))),INDEX('M04-S01'!$BD$16:$BD$198,2*(ROWS($R$309:R324)-1)+1),""),"")</f>
        <v/>
      </c>
      <c r="X324" s="184" t="str">
        <f>IFERROR(ROUND(INDEX('M04-S01'!$O$16:$O$198,2*(ROWS($X$309:X324)-1)+1),3),"")</f>
        <v/>
      </c>
      <c r="Y324" s="184">
        <f>IFERROR(ROUND(INDEX('M04-S01'!$AB$16:$AB$198,2*(ROWS($Y$309:Y324)-1)+1),3),"")</f>
        <v>0</v>
      </c>
      <c r="Z324" s="111">
        <f>INDEX('M04-S01'!$B$16:$B$198,2*(ROWS($Z$309:Z324)-1)+1)</f>
        <v>16</v>
      </c>
      <c r="AA324" s="111">
        <f>INDEX('M04-S01'!$F$16:$F$198,2*(ROWS($Z$309:AA324)-1)+1)</f>
        <v>0</v>
      </c>
      <c r="AB324" s="111">
        <f>INDEX('M04-S01'!$S$16:$S$198,2*(ROWS($Z$309:AB324)-1)+1)</f>
        <v>0</v>
      </c>
      <c r="AC324">
        <f>INDEX('M04-S01'!$J$16:$J$198,2*(ROWS($AC$309:AC324)-1)+1)</f>
        <v>0</v>
      </c>
      <c r="AD324">
        <f>INDEX('M04-S01'!$W$16:$W$198,2*(ROWS($AD$309:AD324)-1)+1)</f>
        <v>0</v>
      </c>
      <c r="AE324" s="459"/>
      <c r="AF324" s="459"/>
      <c r="AG324" s="111" t="str">
        <f>INDEX('M04-S01'!$AX$16:$AX$198,2*(ROWS($AG$309:AG324)-1)+1)</f>
        <v/>
      </c>
      <c r="AH324" s="111" t="str">
        <f>INDEX('M04-S01'!$AY$16:$AY$198,2*(ROWS($AH$309:AH324)-1)+1)</f>
        <v/>
      </c>
      <c r="AI324" s="113"/>
      <c r="AJ324" s="113"/>
      <c r="AK324" s="52" t="str">
        <f>INDEX('M04-S01'!$AV$16:$AV$198,2*(ROWS($AK$309:AK324)-1)+1)</f>
        <v/>
      </c>
      <c r="AL324" s="184">
        <f>IF(NOT(ISNUMBER(INDEX('M04-S01'!$AN$16:$AN$198,2*(ROWS($R$309:$R324)-1)+1))),INDEX('M04-S01'!$Z$16:$Z$198,2*(ROWS($AL$309:$AL324)-1)+1)*INDEX('M04-S01'!$AD$16:$AD$198,2*(ROWS($AL$309:$AL324)-1)+1),"")</f>
        <v>0</v>
      </c>
      <c r="AM324" s="184">
        <f>IF(AND(NOT(ISNUMBER(INDEX('M04-S01'!$AN$16:$AN$198,2*(ROWS($R$309:$R324)-1)+1))),T324&gt;0),INDEX('M04-S01'!$Z$16:$Z$198,2*(ROWS($AM$309:$AM324)-1)+1)*INDEX('M04-S01'!$AF$16:$AF$198,2*(ROWS($AM$309:$AM324)-1)+1),"")</f>
        <v>0</v>
      </c>
      <c r="AN324" s="52" t="str">
        <f>IF(NOT(ISNUMBER(INDEX('M04-S01'!$AN$16:$AN$198,2*(ROWS($R$309:$R324)-1)+1))),INDEX('M04-S01'!$AH$16:$AH$198,2*(ROWS($AN$309:$AN324)-1)+1),"")</f>
        <v/>
      </c>
      <c r="AO324" s="113"/>
      <c r="AU324"/>
    </row>
    <row r="325" spans="1:47">
      <c r="A325" s="57">
        <f t="shared" si="31"/>
        <v>0</v>
      </c>
      <c r="B325" s="183" t="str">
        <f t="shared" si="33"/>
        <v/>
      </c>
      <c r="C325" s="186" t="str">
        <f>IF(OR(R325&gt;0,T325&gt;0),INDEX('M04-S01'!$AZ$16:$AZ$198,2*(ROWS($C$309:C325)-1)+1),"")</f>
        <v/>
      </c>
      <c r="D325" t="s">
        <v>231</v>
      </c>
      <c r="F325" s="185">
        <f>INDEX('M04-S01'!$Q$16:$Q$198,2*(ROWS($F$309:F325)-1)+1)</f>
        <v>0</v>
      </c>
      <c r="G325" s="186">
        <f>INDEX('M04-S01'!$C$16:$C$198,2*(ROWS($G$309:G325)-1)+1)</f>
        <v>0</v>
      </c>
      <c r="H325" s="186" t="str">
        <f>IF(ISNUMBER(INDEX('M04-S01'!$AN$16:$AN$198,2*(ROWS($R$309:R325)-1)+1)),"Total","")</f>
        <v/>
      </c>
      <c r="I325" s="184">
        <f>IFERROR(ROUND(IF(ISNUMBER(INDEX('M04-S01'!$AN$16:$AN$198,2*(ROWS($R$309:$R325)-1)+1)),INDEX('M04-S01'!$Z$16:$Z$198,2*(ROWS($I$309:$I325)-1)+1)*INDEX('M04-S01'!$AD$16:$AD$198,2*(ROWS($I$309:$I325)-1)+1),""),2),0)</f>
        <v>0</v>
      </c>
      <c r="J325" s="184">
        <f>IFERROR(ROUND(IF(ISNUMBER(INDEX('M04-S01'!$AN$16:$AN$198,2*(ROWS($R$309:$R325)-1)+1)),INDEX('M04-S01'!$Z$16:$Z$198,2*(ROWS($J$309:$J325)-1)+1)*INDEX('M04-S01'!$AF$16:$AF$198,2*(ROWS($J$309:$J325)-1)+1),""),2),0)</f>
        <v>0</v>
      </c>
      <c r="K325" s="52">
        <f>IFERROR(ROUND(IF(ISNUMBER(INDEX('M04-S01'!$AN$16:$AN$198,2*(ROWS($R$309:$R325)-1)+1)),INDEX('M04-S01'!$AH$16:$AH$198,2*(ROWS($K$309:$K325)-1)+1),""),2),0)</f>
        <v>0</v>
      </c>
      <c r="M325" s="456" t="str">
        <f>IF(ISNUMBER(INDEX('M04-S01'!$AN$16:$AN$198,2*(ROWS($R$309:R325)-1)+1)),INDEX('M04-S01'!$Z$16:$Z$198,2*(ROWS($M$309:M325)-1)+1),"")</f>
        <v/>
      </c>
      <c r="N325" s="184" t="str">
        <f>IF(ISNUMBER(INDEX('M04-S01'!$AN$16:$AN$198,2*(ROWS($R$309:R325)-1)+1)),INDEX('M04-S01'!$AK$16:$AK$198,2*(ROWS($N$309:N325)-1)+1),"")</f>
        <v/>
      </c>
      <c r="O325" s="456" t="str">
        <f>IF(ISNUMBER(INDEX('M04-S01'!$AN$16:$AN$198,2*(ROWS($R$309:R325)-1)+1)),INDEX('M04-S01'!$AW$16:$AW$198,2*(ROWS($O$309:O325)-1)+1),"")</f>
        <v/>
      </c>
      <c r="P325" s="113"/>
      <c r="Q325" s="456" t="str">
        <f>IF(ISNUMBER(INDEX('M04-S01'!$AN$16:$AN$198,2*(ROWS($R$309:R325)-1)+1)),INDEX('M04-S01'!$BB$16:$BB$198,2*(ROWS($Q$309:Q325)-1)+1),"")</f>
        <v/>
      </c>
      <c r="R325" s="184">
        <f>IF(ISNUMBER(INDEX('M04-S01'!$AN$16:$AN$198,2*(ROWS($R$309:R325)-1)+1)),INDEX('M04-S01'!$AN$16:$AN$198,2*(ROWS($R$309:R325)-1)+1),0)</f>
        <v>0</v>
      </c>
      <c r="S325" s="23">
        <f>IF(NOT(ISNUMBER(INDEX('M04-S01'!$AN$16:$AN$198,2*(ROWS($R$309:R325)-1)+1))),INDEX('M04-S01'!$Z$16:$Z$198,2*(ROWS($S$309:S325)-1)+1),"")</f>
        <v>0</v>
      </c>
      <c r="T325" s="52" t="str">
        <f>IFERROR(IF(NOT(ISNUMBER(INDEX('M04-S01'!$AN$16:$AN$198,2*(ROWS($R$309:R325)-1)+1))),INDEX('M04-S01'!$AK$16:$AK$198,2*(ROWS($R$309:R325)-1)+1),0),0)</f>
        <v/>
      </c>
      <c r="U325" s="23" t="str">
        <f>IFERROR(IF(NOT(ISNUMBER(INDEX('M04-S01'!$AN$16:$AN$198,2*(ROWS($R$309:R325)-1)+1))),INDEX('M04-S01'!$AW$16:$AW$198,2*(ROWS($R$309:R325)-1)+1),""),"")</f>
        <v/>
      </c>
      <c r="V325" s="113"/>
      <c r="W325" t="str">
        <f>IFERROR(IF(NOT(ISNUMBER(INDEX('M04-S01'!$AN$16:$AN$198,2*(ROWS($R$309:R325)-1)+1))),INDEX('M04-S01'!$BD$16:$BD$198,2*(ROWS($R$309:R325)-1)+1),""),"")</f>
        <v/>
      </c>
      <c r="X325" s="184" t="str">
        <f>IFERROR(ROUND(INDEX('M04-S01'!$O$16:$O$198,2*(ROWS($X$309:X325)-1)+1),3),"")</f>
        <v/>
      </c>
      <c r="Y325" s="184">
        <f>IFERROR(ROUND(INDEX('M04-S01'!$AB$16:$AB$198,2*(ROWS($Y$309:Y325)-1)+1),3),"")</f>
        <v>0</v>
      </c>
      <c r="Z325" s="111">
        <f>INDEX('M04-S01'!$B$16:$B$198,2*(ROWS($Z$309:Z325)-1)+1)</f>
        <v>17</v>
      </c>
      <c r="AA325" s="111">
        <f>INDEX('M04-S01'!$F$16:$F$198,2*(ROWS($Z$309:AA325)-1)+1)</f>
        <v>0</v>
      </c>
      <c r="AB325" s="111">
        <f>INDEX('M04-S01'!$S$16:$S$198,2*(ROWS($Z$309:AB325)-1)+1)</f>
        <v>0</v>
      </c>
      <c r="AC325">
        <f>INDEX('M04-S01'!$J$16:$J$198,2*(ROWS($AC$309:AC325)-1)+1)</f>
        <v>0</v>
      </c>
      <c r="AD325">
        <f>INDEX('M04-S01'!$W$16:$W$198,2*(ROWS($AD$309:AD325)-1)+1)</f>
        <v>0</v>
      </c>
      <c r="AE325" s="459"/>
      <c r="AF325" s="459"/>
      <c r="AG325" s="111" t="str">
        <f>INDEX('M04-S01'!$AX$16:$AX$198,2*(ROWS($AG$309:AG325)-1)+1)</f>
        <v/>
      </c>
      <c r="AH325" s="111" t="str">
        <f>INDEX('M04-S01'!$AY$16:$AY$198,2*(ROWS($AH$309:AH325)-1)+1)</f>
        <v/>
      </c>
      <c r="AI325" s="113"/>
      <c r="AJ325" s="113"/>
      <c r="AK325" s="52" t="str">
        <f>INDEX('M04-S01'!$AV$16:$AV$198,2*(ROWS($AK$309:AK325)-1)+1)</f>
        <v/>
      </c>
      <c r="AL325" s="184">
        <f>IF(NOT(ISNUMBER(INDEX('M04-S01'!$AN$16:$AN$198,2*(ROWS($R$309:$R325)-1)+1))),INDEX('M04-S01'!$Z$16:$Z$198,2*(ROWS($AL$309:$AL325)-1)+1)*INDEX('M04-S01'!$AD$16:$AD$198,2*(ROWS($AL$309:$AL325)-1)+1),"")</f>
        <v>0</v>
      </c>
      <c r="AM325" s="184">
        <f>IF(AND(NOT(ISNUMBER(INDEX('M04-S01'!$AN$16:$AN$198,2*(ROWS($R$309:$R325)-1)+1))),T325&gt;0),INDEX('M04-S01'!$Z$16:$Z$198,2*(ROWS($AM$309:$AM325)-1)+1)*INDEX('M04-S01'!$AF$16:$AF$198,2*(ROWS($AM$309:$AM325)-1)+1),"")</f>
        <v>0</v>
      </c>
      <c r="AN325" s="52" t="str">
        <f>IF(NOT(ISNUMBER(INDEX('M04-S01'!$AN$16:$AN$198,2*(ROWS($R$309:$R325)-1)+1))),INDEX('M04-S01'!$AH$16:$AH$198,2*(ROWS($AN$309:$AN325)-1)+1),"")</f>
        <v/>
      </c>
      <c r="AO325" s="113"/>
      <c r="AU325"/>
    </row>
    <row r="326" spans="1:47">
      <c r="A326" s="57">
        <f t="shared" si="31"/>
        <v>0</v>
      </c>
      <c r="B326" s="183" t="str">
        <f t="shared" si="33"/>
        <v/>
      </c>
      <c r="C326" s="186" t="str">
        <f>IF(OR(R326&gt;0,T326&gt;0),INDEX('M04-S01'!$AZ$16:$AZ$198,2*(ROWS($C$309:C326)-1)+1),"")</f>
        <v/>
      </c>
      <c r="D326" t="s">
        <v>231</v>
      </c>
      <c r="F326" s="185">
        <f>INDEX('M04-S01'!$Q$16:$Q$198,2*(ROWS($F$309:F326)-1)+1)</f>
        <v>0</v>
      </c>
      <c r="G326" s="186">
        <f>INDEX('M04-S01'!$C$16:$C$198,2*(ROWS($G$309:G326)-1)+1)</f>
        <v>0</v>
      </c>
      <c r="H326" s="186" t="str">
        <f>IF(ISNUMBER(INDEX('M04-S01'!$AN$16:$AN$198,2*(ROWS($R$309:R326)-1)+1)),"Total","")</f>
        <v/>
      </c>
      <c r="I326" s="184">
        <f>IFERROR(ROUND(IF(ISNUMBER(INDEX('M04-S01'!$AN$16:$AN$198,2*(ROWS($R$309:$R326)-1)+1)),INDEX('M04-S01'!$Z$16:$Z$198,2*(ROWS($I$309:$I326)-1)+1)*INDEX('M04-S01'!$AD$16:$AD$198,2*(ROWS($I$309:$I326)-1)+1),""),2),0)</f>
        <v>0</v>
      </c>
      <c r="J326" s="184">
        <f>IFERROR(ROUND(IF(ISNUMBER(INDEX('M04-S01'!$AN$16:$AN$198,2*(ROWS($R$309:$R326)-1)+1)),INDEX('M04-S01'!$Z$16:$Z$198,2*(ROWS($J$309:$J326)-1)+1)*INDEX('M04-S01'!$AF$16:$AF$198,2*(ROWS($J$309:$J326)-1)+1),""),2),0)</f>
        <v>0</v>
      </c>
      <c r="K326" s="52">
        <f>IFERROR(ROUND(IF(ISNUMBER(INDEX('M04-S01'!$AN$16:$AN$198,2*(ROWS($R$309:$R326)-1)+1)),INDEX('M04-S01'!$AH$16:$AH$198,2*(ROWS($K$309:$K326)-1)+1),""),2),0)</f>
        <v>0</v>
      </c>
      <c r="M326" s="456" t="str">
        <f>IF(ISNUMBER(INDEX('M04-S01'!$AN$16:$AN$198,2*(ROWS($R$309:R326)-1)+1)),INDEX('M04-S01'!$Z$16:$Z$198,2*(ROWS($M$309:M326)-1)+1),"")</f>
        <v/>
      </c>
      <c r="N326" s="184" t="str">
        <f>IF(ISNUMBER(INDEX('M04-S01'!$AN$16:$AN$198,2*(ROWS($R$309:R326)-1)+1)),INDEX('M04-S01'!$AK$16:$AK$198,2*(ROWS($N$309:N326)-1)+1),"")</f>
        <v/>
      </c>
      <c r="O326" s="456" t="str">
        <f>IF(ISNUMBER(INDEX('M04-S01'!$AN$16:$AN$198,2*(ROWS($R$309:R326)-1)+1)),INDEX('M04-S01'!$AW$16:$AW$198,2*(ROWS($O$309:O326)-1)+1),"")</f>
        <v/>
      </c>
      <c r="P326" s="113"/>
      <c r="Q326" s="456" t="str">
        <f>IF(ISNUMBER(INDEX('M04-S01'!$AN$16:$AN$198,2*(ROWS($R$309:R326)-1)+1)),INDEX('M04-S01'!$BB$16:$BB$198,2*(ROWS($Q$309:Q326)-1)+1),"")</f>
        <v/>
      </c>
      <c r="R326" s="184">
        <f>IF(ISNUMBER(INDEX('M04-S01'!$AN$16:$AN$198,2*(ROWS($R$309:R326)-1)+1)),INDEX('M04-S01'!$AN$16:$AN$198,2*(ROWS($R$309:R326)-1)+1),0)</f>
        <v>0</v>
      </c>
      <c r="S326" s="23">
        <f>IF(NOT(ISNUMBER(INDEX('M04-S01'!$AN$16:$AN$198,2*(ROWS($R$309:R326)-1)+1))),INDEX('M04-S01'!$Z$16:$Z$198,2*(ROWS($S$309:S326)-1)+1),"")</f>
        <v>0</v>
      </c>
      <c r="T326" s="52" t="str">
        <f>IFERROR(IF(NOT(ISNUMBER(INDEX('M04-S01'!$AN$16:$AN$198,2*(ROWS($R$309:R326)-1)+1))),INDEX('M04-S01'!$AK$16:$AK$198,2*(ROWS($R$309:R326)-1)+1),0),0)</f>
        <v/>
      </c>
      <c r="U326" s="23" t="str">
        <f>IFERROR(IF(NOT(ISNUMBER(INDEX('M04-S01'!$AN$16:$AN$198,2*(ROWS($R$309:R326)-1)+1))),INDEX('M04-S01'!$AW$16:$AW$198,2*(ROWS($R$309:R326)-1)+1),""),"")</f>
        <v/>
      </c>
      <c r="V326" s="113"/>
      <c r="W326" t="str">
        <f>IFERROR(IF(NOT(ISNUMBER(INDEX('M04-S01'!$AN$16:$AN$198,2*(ROWS($R$309:R326)-1)+1))),INDEX('M04-S01'!$BD$16:$BD$198,2*(ROWS($R$309:R326)-1)+1),""),"")</f>
        <v/>
      </c>
      <c r="X326" s="184" t="str">
        <f>IFERROR(ROUND(INDEX('M04-S01'!$O$16:$O$198,2*(ROWS($X$309:X326)-1)+1),3),"")</f>
        <v/>
      </c>
      <c r="Y326" s="184">
        <f>IFERROR(ROUND(INDEX('M04-S01'!$AB$16:$AB$198,2*(ROWS($Y$309:Y326)-1)+1),3),"")</f>
        <v>0</v>
      </c>
      <c r="Z326" s="111">
        <f>INDEX('M04-S01'!$B$16:$B$198,2*(ROWS($Z$309:Z326)-1)+1)</f>
        <v>18</v>
      </c>
      <c r="AA326" s="111">
        <f>INDEX('M04-S01'!$F$16:$F$198,2*(ROWS($Z$309:AA326)-1)+1)</f>
        <v>0</v>
      </c>
      <c r="AB326" s="111">
        <f>INDEX('M04-S01'!$S$16:$S$198,2*(ROWS($Z$309:AB326)-1)+1)</f>
        <v>0</v>
      </c>
      <c r="AC326">
        <f>INDEX('M04-S01'!$J$16:$J$198,2*(ROWS($AC$309:AC326)-1)+1)</f>
        <v>0</v>
      </c>
      <c r="AD326">
        <f>INDEX('M04-S01'!$W$16:$W$198,2*(ROWS($AD$309:AD326)-1)+1)</f>
        <v>0</v>
      </c>
      <c r="AE326" s="459"/>
      <c r="AF326" s="459"/>
      <c r="AG326" s="111" t="str">
        <f>INDEX('M04-S01'!$AX$16:$AX$198,2*(ROWS($AG$309:AG326)-1)+1)</f>
        <v/>
      </c>
      <c r="AH326" s="111" t="str">
        <f>INDEX('M04-S01'!$AY$16:$AY$198,2*(ROWS($AH$309:AH326)-1)+1)</f>
        <v/>
      </c>
      <c r="AI326" s="113"/>
      <c r="AJ326" s="113"/>
      <c r="AK326" s="52" t="str">
        <f>INDEX('M04-S01'!$AV$16:$AV$198,2*(ROWS($AK$309:AK326)-1)+1)</f>
        <v/>
      </c>
      <c r="AL326" s="184">
        <f>IF(NOT(ISNUMBER(INDEX('M04-S01'!$AN$16:$AN$198,2*(ROWS($R$309:$R326)-1)+1))),INDEX('M04-S01'!$Z$16:$Z$198,2*(ROWS($AL$309:$AL326)-1)+1)*INDEX('M04-S01'!$AD$16:$AD$198,2*(ROWS($AL$309:$AL326)-1)+1),"")</f>
        <v>0</v>
      </c>
      <c r="AM326" s="184">
        <f>IF(AND(NOT(ISNUMBER(INDEX('M04-S01'!$AN$16:$AN$198,2*(ROWS($R$309:$R326)-1)+1))),T326&gt;0),INDEX('M04-S01'!$Z$16:$Z$198,2*(ROWS($AM$309:$AM326)-1)+1)*INDEX('M04-S01'!$AF$16:$AF$198,2*(ROWS($AM$309:$AM326)-1)+1),"")</f>
        <v>0</v>
      </c>
      <c r="AN326" s="52" t="str">
        <f>IF(NOT(ISNUMBER(INDEX('M04-S01'!$AN$16:$AN$198,2*(ROWS($R$309:$R326)-1)+1))),INDEX('M04-S01'!$AH$16:$AH$198,2*(ROWS($AN$309:$AN326)-1)+1),"")</f>
        <v/>
      </c>
      <c r="AO326" s="113"/>
      <c r="AU326"/>
    </row>
    <row r="327" spans="1:47">
      <c r="A327" s="57">
        <f t="shared" si="31"/>
        <v>0</v>
      </c>
      <c r="B327" s="183" t="str">
        <f t="shared" si="33"/>
        <v/>
      </c>
      <c r="C327" s="186" t="str">
        <f>IF(OR(R327&gt;0,T327&gt;0),INDEX('M04-S01'!$AZ$16:$AZ$198,2*(ROWS($C$309:C327)-1)+1),"")</f>
        <v/>
      </c>
      <c r="D327" t="s">
        <v>231</v>
      </c>
      <c r="F327" s="185">
        <f>INDEX('M04-S01'!$Q$16:$Q$198,2*(ROWS($F$309:F327)-1)+1)</f>
        <v>0</v>
      </c>
      <c r="G327" s="186">
        <f>INDEX('M04-S01'!$C$16:$C$198,2*(ROWS($G$309:G327)-1)+1)</f>
        <v>0</v>
      </c>
      <c r="H327" s="186" t="str">
        <f>IF(ISNUMBER(INDEX('M04-S01'!$AN$16:$AN$198,2*(ROWS($R$309:R327)-1)+1)),"Total","")</f>
        <v/>
      </c>
      <c r="I327" s="184">
        <f>IFERROR(ROUND(IF(ISNUMBER(INDEX('M04-S01'!$AN$16:$AN$198,2*(ROWS($R$309:$R327)-1)+1)),INDEX('M04-S01'!$Z$16:$Z$198,2*(ROWS($I$309:$I327)-1)+1)*INDEX('M04-S01'!$AD$16:$AD$198,2*(ROWS($I$309:$I327)-1)+1),""),2),0)</f>
        <v>0</v>
      </c>
      <c r="J327" s="184">
        <f>IFERROR(ROUND(IF(ISNUMBER(INDEX('M04-S01'!$AN$16:$AN$198,2*(ROWS($R$309:$R327)-1)+1)),INDEX('M04-S01'!$Z$16:$Z$198,2*(ROWS($J$309:$J327)-1)+1)*INDEX('M04-S01'!$AF$16:$AF$198,2*(ROWS($J$309:$J327)-1)+1),""),2),0)</f>
        <v>0</v>
      </c>
      <c r="K327" s="52">
        <f>IFERROR(ROUND(IF(ISNUMBER(INDEX('M04-S01'!$AN$16:$AN$198,2*(ROWS($R$309:$R327)-1)+1)),INDEX('M04-S01'!$AH$16:$AH$198,2*(ROWS($K$309:$K327)-1)+1),""),2),0)</f>
        <v>0</v>
      </c>
      <c r="M327" s="456" t="str">
        <f>IF(ISNUMBER(INDEX('M04-S01'!$AN$16:$AN$198,2*(ROWS($R$309:R327)-1)+1)),INDEX('M04-S01'!$Z$16:$Z$198,2*(ROWS($M$309:M327)-1)+1),"")</f>
        <v/>
      </c>
      <c r="N327" s="184" t="str">
        <f>IF(ISNUMBER(INDEX('M04-S01'!$AN$16:$AN$198,2*(ROWS($R$309:R327)-1)+1)),INDEX('M04-S01'!$AK$16:$AK$198,2*(ROWS($N$309:N327)-1)+1),"")</f>
        <v/>
      </c>
      <c r="O327" s="456" t="str">
        <f>IF(ISNUMBER(INDEX('M04-S01'!$AN$16:$AN$198,2*(ROWS($R$309:R327)-1)+1)),INDEX('M04-S01'!$AW$16:$AW$198,2*(ROWS($O$309:O327)-1)+1),"")</f>
        <v/>
      </c>
      <c r="P327" s="113"/>
      <c r="Q327" s="456" t="str">
        <f>IF(ISNUMBER(INDEX('M04-S01'!$AN$16:$AN$198,2*(ROWS($R$309:R327)-1)+1)),INDEX('M04-S01'!$BB$16:$BB$198,2*(ROWS($Q$309:Q327)-1)+1),"")</f>
        <v/>
      </c>
      <c r="R327" s="184">
        <f>IF(ISNUMBER(INDEX('M04-S01'!$AN$16:$AN$198,2*(ROWS($R$309:R327)-1)+1)),INDEX('M04-S01'!$AN$16:$AN$198,2*(ROWS($R$309:R327)-1)+1),0)</f>
        <v>0</v>
      </c>
      <c r="S327" s="23">
        <f>IF(NOT(ISNUMBER(INDEX('M04-S01'!$AN$16:$AN$198,2*(ROWS($R$309:R327)-1)+1))),INDEX('M04-S01'!$Z$16:$Z$198,2*(ROWS($S$309:S327)-1)+1),"")</f>
        <v>0</v>
      </c>
      <c r="T327" s="52" t="str">
        <f>IFERROR(IF(NOT(ISNUMBER(INDEX('M04-S01'!$AN$16:$AN$198,2*(ROWS($R$309:R327)-1)+1))),INDEX('M04-S01'!$AK$16:$AK$198,2*(ROWS($R$309:R327)-1)+1),0),0)</f>
        <v/>
      </c>
      <c r="U327" s="23" t="str">
        <f>IFERROR(IF(NOT(ISNUMBER(INDEX('M04-S01'!$AN$16:$AN$198,2*(ROWS($R$309:R327)-1)+1))),INDEX('M04-S01'!$AW$16:$AW$198,2*(ROWS($R$309:R327)-1)+1),""),"")</f>
        <v/>
      </c>
      <c r="V327" s="113"/>
      <c r="W327" t="str">
        <f>IFERROR(IF(NOT(ISNUMBER(INDEX('M04-S01'!$AN$16:$AN$198,2*(ROWS($R$309:R327)-1)+1))),INDEX('M04-S01'!$BD$16:$BD$198,2*(ROWS($R$309:R327)-1)+1),""),"")</f>
        <v/>
      </c>
      <c r="X327" s="184" t="str">
        <f>IFERROR(ROUND(INDEX('M04-S01'!$O$16:$O$198,2*(ROWS($X$309:X327)-1)+1),3),"")</f>
        <v/>
      </c>
      <c r="Y327" s="184">
        <f>IFERROR(ROUND(INDEX('M04-S01'!$AB$16:$AB$198,2*(ROWS($Y$309:Y327)-1)+1),3),"")</f>
        <v>0</v>
      </c>
      <c r="Z327" s="111">
        <f>INDEX('M04-S01'!$B$16:$B$198,2*(ROWS($Z$309:Z327)-1)+1)</f>
        <v>19</v>
      </c>
      <c r="AA327" s="111">
        <f>INDEX('M04-S01'!$F$16:$F$198,2*(ROWS($Z$309:AA327)-1)+1)</f>
        <v>0</v>
      </c>
      <c r="AB327" s="111">
        <f>INDEX('M04-S01'!$S$16:$S$198,2*(ROWS($Z$309:AB327)-1)+1)</f>
        <v>0</v>
      </c>
      <c r="AC327">
        <f>INDEX('M04-S01'!$J$16:$J$198,2*(ROWS($AC$309:AC327)-1)+1)</f>
        <v>0</v>
      </c>
      <c r="AD327">
        <f>INDEX('M04-S01'!$W$16:$W$198,2*(ROWS($AD$309:AD327)-1)+1)</f>
        <v>0</v>
      </c>
      <c r="AE327" s="459"/>
      <c r="AF327" s="459"/>
      <c r="AG327" s="111" t="str">
        <f>INDEX('M04-S01'!$AX$16:$AX$198,2*(ROWS($AG$309:AG327)-1)+1)</f>
        <v/>
      </c>
      <c r="AH327" s="111" t="str">
        <f>INDEX('M04-S01'!$AY$16:$AY$198,2*(ROWS($AH$309:AH327)-1)+1)</f>
        <v/>
      </c>
      <c r="AI327" s="113"/>
      <c r="AJ327" s="113"/>
      <c r="AK327" s="52" t="str">
        <f>INDEX('M04-S01'!$AV$16:$AV$198,2*(ROWS($AK$309:AK327)-1)+1)</f>
        <v/>
      </c>
      <c r="AL327" s="184">
        <f>IF(NOT(ISNUMBER(INDEX('M04-S01'!$AN$16:$AN$198,2*(ROWS($R$309:$R327)-1)+1))),INDEX('M04-S01'!$Z$16:$Z$198,2*(ROWS($AL$309:$AL327)-1)+1)*INDEX('M04-S01'!$AD$16:$AD$198,2*(ROWS($AL$309:$AL327)-1)+1),"")</f>
        <v>0</v>
      </c>
      <c r="AM327" s="184">
        <f>IF(AND(NOT(ISNUMBER(INDEX('M04-S01'!$AN$16:$AN$198,2*(ROWS($R$309:$R327)-1)+1))),T327&gt;0),INDEX('M04-S01'!$Z$16:$Z$198,2*(ROWS($AM$309:$AM327)-1)+1)*INDEX('M04-S01'!$AF$16:$AF$198,2*(ROWS($AM$309:$AM327)-1)+1),"")</f>
        <v>0</v>
      </c>
      <c r="AN327" s="52" t="str">
        <f>IF(NOT(ISNUMBER(INDEX('M04-S01'!$AN$16:$AN$198,2*(ROWS($R$309:$R327)-1)+1))),INDEX('M04-S01'!$AH$16:$AH$198,2*(ROWS($AN$309:$AN327)-1)+1),"")</f>
        <v/>
      </c>
      <c r="AO327" s="113"/>
      <c r="AU327"/>
    </row>
    <row r="328" spans="1:47">
      <c r="A328" s="57">
        <f t="shared" si="31"/>
        <v>0</v>
      </c>
      <c r="B328" s="183" t="str">
        <f t="shared" si="33"/>
        <v/>
      </c>
      <c r="C328" s="186" t="str">
        <f>IF(OR(R328&gt;0,T328&gt;0),INDEX('M04-S01'!$AZ$16:$AZ$198,2*(ROWS($C$309:C328)-1)+1),"")</f>
        <v/>
      </c>
      <c r="D328" t="s">
        <v>231</v>
      </c>
      <c r="F328" s="185">
        <f>INDEX('M04-S01'!$Q$16:$Q$198,2*(ROWS($F$309:F328)-1)+1)</f>
        <v>0</v>
      </c>
      <c r="G328" s="186">
        <f>INDEX('M04-S01'!$C$16:$C$198,2*(ROWS($G$309:G328)-1)+1)</f>
        <v>0</v>
      </c>
      <c r="H328" s="186" t="str">
        <f>IF(ISNUMBER(INDEX('M04-S01'!$AN$16:$AN$198,2*(ROWS($R$309:R328)-1)+1)),"Total","")</f>
        <v/>
      </c>
      <c r="I328" s="184">
        <f>IFERROR(ROUND(IF(ISNUMBER(INDEX('M04-S01'!$AN$16:$AN$198,2*(ROWS($R$309:$R328)-1)+1)),INDEX('M04-S01'!$Z$16:$Z$198,2*(ROWS($I$309:$I328)-1)+1)*INDEX('M04-S01'!$AD$16:$AD$198,2*(ROWS($I$309:$I328)-1)+1),""),2),0)</f>
        <v>0</v>
      </c>
      <c r="J328" s="184">
        <f>IFERROR(ROUND(IF(ISNUMBER(INDEX('M04-S01'!$AN$16:$AN$198,2*(ROWS($R$309:$R328)-1)+1)),INDEX('M04-S01'!$Z$16:$Z$198,2*(ROWS($J$309:$J328)-1)+1)*INDEX('M04-S01'!$AF$16:$AF$198,2*(ROWS($J$309:$J328)-1)+1),""),2),0)</f>
        <v>0</v>
      </c>
      <c r="K328" s="52">
        <f>IFERROR(ROUND(IF(ISNUMBER(INDEX('M04-S01'!$AN$16:$AN$198,2*(ROWS($R$309:$R328)-1)+1)),INDEX('M04-S01'!$AH$16:$AH$198,2*(ROWS($K$309:$K328)-1)+1),""),2),0)</f>
        <v>0</v>
      </c>
      <c r="M328" s="456" t="str">
        <f>IF(ISNUMBER(INDEX('M04-S01'!$AN$16:$AN$198,2*(ROWS($R$309:R328)-1)+1)),INDEX('M04-S01'!$Z$16:$Z$198,2*(ROWS($M$309:M328)-1)+1),"")</f>
        <v/>
      </c>
      <c r="N328" s="184" t="str">
        <f>IF(ISNUMBER(INDEX('M04-S01'!$AN$16:$AN$198,2*(ROWS($R$309:R328)-1)+1)),INDEX('M04-S01'!$AK$16:$AK$198,2*(ROWS($N$309:N328)-1)+1),"")</f>
        <v/>
      </c>
      <c r="O328" s="456" t="str">
        <f>IF(ISNUMBER(INDEX('M04-S01'!$AN$16:$AN$198,2*(ROWS($R$309:R328)-1)+1)),INDEX('M04-S01'!$AW$16:$AW$198,2*(ROWS($O$309:O328)-1)+1),"")</f>
        <v/>
      </c>
      <c r="P328" s="113"/>
      <c r="Q328" s="456" t="str">
        <f>IF(ISNUMBER(INDEX('M04-S01'!$AN$16:$AN$198,2*(ROWS($R$309:R328)-1)+1)),INDEX('M04-S01'!$BB$16:$BB$198,2*(ROWS($Q$309:Q328)-1)+1),"")</f>
        <v/>
      </c>
      <c r="R328" s="184">
        <f>IF(ISNUMBER(INDEX('M04-S01'!$AN$16:$AN$198,2*(ROWS($R$309:R328)-1)+1)),INDEX('M04-S01'!$AN$16:$AN$198,2*(ROWS($R$309:R328)-1)+1),0)</f>
        <v>0</v>
      </c>
      <c r="S328" s="23">
        <f>IF(NOT(ISNUMBER(INDEX('M04-S01'!$AN$16:$AN$198,2*(ROWS($R$309:R328)-1)+1))),INDEX('M04-S01'!$Z$16:$Z$198,2*(ROWS($S$309:S328)-1)+1),"")</f>
        <v>0</v>
      </c>
      <c r="T328" s="52" t="str">
        <f>IFERROR(IF(NOT(ISNUMBER(INDEX('M04-S01'!$AN$16:$AN$198,2*(ROWS($R$309:R328)-1)+1))),INDEX('M04-S01'!$AK$16:$AK$198,2*(ROWS($R$309:R328)-1)+1),0),0)</f>
        <v/>
      </c>
      <c r="U328" s="23" t="str">
        <f>IFERROR(IF(NOT(ISNUMBER(INDEX('M04-S01'!$AN$16:$AN$198,2*(ROWS($R$309:R328)-1)+1))),INDEX('M04-S01'!$AW$16:$AW$198,2*(ROWS($R$309:R328)-1)+1),""),"")</f>
        <v/>
      </c>
      <c r="V328" s="113"/>
      <c r="W328" t="str">
        <f>IFERROR(IF(NOT(ISNUMBER(INDEX('M04-S01'!$AN$16:$AN$198,2*(ROWS($R$309:R328)-1)+1))),INDEX('M04-S01'!$BD$16:$BD$198,2*(ROWS($R$309:R328)-1)+1),""),"")</f>
        <v/>
      </c>
      <c r="X328" s="184" t="str">
        <f>IFERROR(ROUND(INDEX('M04-S01'!$O$16:$O$198,2*(ROWS($X$309:X328)-1)+1),3),"")</f>
        <v/>
      </c>
      <c r="Y328" s="184">
        <f>IFERROR(ROUND(INDEX('M04-S01'!$AB$16:$AB$198,2*(ROWS($Y$309:Y328)-1)+1),3),"")</f>
        <v>0</v>
      </c>
      <c r="Z328" s="111">
        <f>INDEX('M04-S01'!$B$16:$B$198,2*(ROWS($Z$309:Z328)-1)+1)</f>
        <v>20</v>
      </c>
      <c r="AA328" s="111">
        <f>INDEX('M04-S01'!$F$16:$F$198,2*(ROWS($Z$309:AA328)-1)+1)</f>
        <v>0</v>
      </c>
      <c r="AB328" s="111">
        <f>INDEX('M04-S01'!$S$16:$S$198,2*(ROWS($Z$309:AB328)-1)+1)</f>
        <v>0</v>
      </c>
      <c r="AC328">
        <f>INDEX('M04-S01'!$J$16:$J$198,2*(ROWS($AC$309:AC328)-1)+1)</f>
        <v>0</v>
      </c>
      <c r="AD328">
        <f>INDEX('M04-S01'!$W$16:$W$198,2*(ROWS($AD$309:AD328)-1)+1)</f>
        <v>0</v>
      </c>
      <c r="AE328" s="459"/>
      <c r="AF328" s="459"/>
      <c r="AG328" s="111" t="str">
        <f>INDEX('M04-S01'!$AX$16:$AX$198,2*(ROWS($AG$309:AG328)-1)+1)</f>
        <v/>
      </c>
      <c r="AH328" s="111" t="str">
        <f>INDEX('M04-S01'!$AY$16:$AY$198,2*(ROWS($AH$309:AH328)-1)+1)</f>
        <v/>
      </c>
      <c r="AI328" s="113"/>
      <c r="AJ328" s="113"/>
      <c r="AK328" s="52" t="str">
        <f>INDEX('M04-S01'!$AV$16:$AV$198,2*(ROWS($AK$309:AK328)-1)+1)</f>
        <v/>
      </c>
      <c r="AL328" s="184">
        <f>IF(NOT(ISNUMBER(INDEX('M04-S01'!$AN$16:$AN$198,2*(ROWS($R$309:$R328)-1)+1))),INDEX('M04-S01'!$Z$16:$Z$198,2*(ROWS($AL$309:$AL328)-1)+1)*INDEX('M04-S01'!$AD$16:$AD$198,2*(ROWS($AL$309:$AL328)-1)+1),"")</f>
        <v>0</v>
      </c>
      <c r="AM328" s="184">
        <f>IF(AND(NOT(ISNUMBER(INDEX('M04-S01'!$AN$16:$AN$198,2*(ROWS($R$309:$R328)-1)+1))),T328&gt;0),INDEX('M04-S01'!$Z$16:$Z$198,2*(ROWS($AM$309:$AM328)-1)+1)*INDEX('M04-S01'!$AF$16:$AF$198,2*(ROWS($AM$309:$AM328)-1)+1),"")</f>
        <v>0</v>
      </c>
      <c r="AN328" s="52" t="str">
        <f>IF(NOT(ISNUMBER(INDEX('M04-S01'!$AN$16:$AN$198,2*(ROWS($R$309:$R328)-1)+1))),INDEX('M04-S01'!$AH$16:$AH$198,2*(ROWS($AN$309:$AN328)-1)+1),"")</f>
        <v/>
      </c>
      <c r="AO328" s="113"/>
      <c r="AU328"/>
    </row>
    <row r="329" spans="1:47">
      <c r="A329" s="57">
        <f t="shared" si="31"/>
        <v>0</v>
      </c>
      <c r="B329" s="183" t="str">
        <f t="shared" si="33"/>
        <v/>
      </c>
      <c r="C329" s="186" t="str">
        <f>IF(OR(R329&gt;0,T329&gt;0),INDEX('M04-S01'!$AZ$16:$AZ$198,2*(ROWS($C$309:C329)-1)+1),"")</f>
        <v/>
      </c>
      <c r="D329" t="s">
        <v>231</v>
      </c>
      <c r="F329" s="185">
        <f>INDEX('M04-S01'!$Q$16:$Q$198,2*(ROWS($F$309:F329)-1)+1)</f>
        <v>0</v>
      </c>
      <c r="G329" s="186">
        <f>INDEX('M04-S01'!$C$16:$C$198,2*(ROWS($G$309:G329)-1)+1)</f>
        <v>0</v>
      </c>
      <c r="H329" s="186" t="str">
        <f>IF(ISNUMBER(INDEX('M04-S01'!$AN$16:$AN$198,2*(ROWS($R$309:R329)-1)+1)),"Total","")</f>
        <v/>
      </c>
      <c r="I329" s="184">
        <f>IFERROR(ROUND(IF(ISNUMBER(INDEX('M04-S01'!$AN$16:$AN$198,2*(ROWS($R$309:$R329)-1)+1)),INDEX('M04-S01'!$Z$16:$Z$198,2*(ROWS($I$309:$I329)-1)+1)*INDEX('M04-S01'!$AD$16:$AD$198,2*(ROWS($I$309:$I329)-1)+1),""),2),0)</f>
        <v>0</v>
      </c>
      <c r="J329" s="184">
        <f>IFERROR(ROUND(IF(ISNUMBER(INDEX('M04-S01'!$AN$16:$AN$198,2*(ROWS($R$309:$R329)-1)+1)),INDEX('M04-S01'!$Z$16:$Z$198,2*(ROWS($J$309:$J329)-1)+1)*INDEX('M04-S01'!$AF$16:$AF$198,2*(ROWS($J$309:$J329)-1)+1),""),2),0)</f>
        <v>0</v>
      </c>
      <c r="K329" s="52">
        <f>IFERROR(ROUND(IF(ISNUMBER(INDEX('M04-S01'!$AN$16:$AN$198,2*(ROWS($R$309:$R329)-1)+1)),INDEX('M04-S01'!$AH$16:$AH$198,2*(ROWS($K$309:$K329)-1)+1),""),2),0)</f>
        <v>0</v>
      </c>
      <c r="M329" s="456" t="str">
        <f>IF(ISNUMBER(INDEX('M04-S01'!$AN$16:$AN$198,2*(ROWS($R$309:R329)-1)+1)),INDEX('M04-S01'!$Z$16:$Z$198,2*(ROWS($M$309:M329)-1)+1),"")</f>
        <v/>
      </c>
      <c r="N329" s="184" t="str">
        <f>IF(ISNUMBER(INDEX('M04-S01'!$AN$16:$AN$198,2*(ROWS($R$309:R329)-1)+1)),INDEX('M04-S01'!$AK$16:$AK$198,2*(ROWS($N$309:N329)-1)+1),"")</f>
        <v/>
      </c>
      <c r="O329" s="456" t="str">
        <f>IF(ISNUMBER(INDEX('M04-S01'!$AN$16:$AN$198,2*(ROWS($R$309:R329)-1)+1)),INDEX('M04-S01'!$AW$16:$AW$198,2*(ROWS($O$309:O329)-1)+1),"")</f>
        <v/>
      </c>
      <c r="P329" s="113"/>
      <c r="Q329" s="456" t="str">
        <f>IF(ISNUMBER(INDEX('M04-S01'!$AN$16:$AN$198,2*(ROWS($R$309:R329)-1)+1)),INDEX('M04-S01'!$BB$16:$BB$198,2*(ROWS($Q$309:Q329)-1)+1),"")</f>
        <v/>
      </c>
      <c r="R329" s="184">
        <f>IF(ISNUMBER(INDEX('M04-S01'!$AN$16:$AN$198,2*(ROWS($R$309:R329)-1)+1)),INDEX('M04-S01'!$AN$16:$AN$198,2*(ROWS($R$309:R329)-1)+1),0)</f>
        <v>0</v>
      </c>
      <c r="S329" s="23">
        <f>IF(NOT(ISNUMBER(INDEX('M04-S01'!$AN$16:$AN$198,2*(ROWS($R$309:R329)-1)+1))),INDEX('M04-S01'!$Z$16:$Z$198,2*(ROWS($S$309:S329)-1)+1),"")</f>
        <v>0</v>
      </c>
      <c r="T329" s="52" t="str">
        <f>IFERROR(IF(NOT(ISNUMBER(INDEX('M04-S01'!$AN$16:$AN$198,2*(ROWS($R$309:R329)-1)+1))),INDEX('M04-S01'!$AK$16:$AK$198,2*(ROWS($R$309:R329)-1)+1),0),0)</f>
        <v/>
      </c>
      <c r="U329" s="23" t="str">
        <f>IFERROR(IF(NOT(ISNUMBER(INDEX('M04-S01'!$AN$16:$AN$198,2*(ROWS($R$309:R329)-1)+1))),INDEX('M04-S01'!$AW$16:$AW$198,2*(ROWS($R$309:R329)-1)+1),""),"")</f>
        <v/>
      </c>
      <c r="V329" s="113"/>
      <c r="W329" t="str">
        <f>IFERROR(IF(NOT(ISNUMBER(INDEX('M04-S01'!$AN$16:$AN$198,2*(ROWS($R$309:R329)-1)+1))),INDEX('M04-S01'!$BD$16:$BD$198,2*(ROWS($R$309:R329)-1)+1),""),"")</f>
        <v/>
      </c>
      <c r="X329" s="184" t="str">
        <f>IFERROR(ROUND(INDEX('M04-S01'!$O$16:$O$198,2*(ROWS($X$309:X329)-1)+1),3),"")</f>
        <v/>
      </c>
      <c r="Y329" s="184">
        <f>IFERROR(ROUND(INDEX('M04-S01'!$AB$16:$AB$198,2*(ROWS($Y$309:Y329)-1)+1),3),"")</f>
        <v>0</v>
      </c>
      <c r="Z329" s="111">
        <f>INDEX('M04-S01'!$B$16:$B$198,2*(ROWS($Z$309:Z329)-1)+1)</f>
        <v>21</v>
      </c>
      <c r="AA329" s="111">
        <f>INDEX('M04-S01'!$F$16:$F$198,2*(ROWS($Z$309:AA329)-1)+1)</f>
        <v>0</v>
      </c>
      <c r="AB329" s="111">
        <f>INDEX('M04-S01'!$S$16:$S$198,2*(ROWS($Z$309:AB329)-1)+1)</f>
        <v>0</v>
      </c>
      <c r="AC329">
        <f>INDEX('M04-S01'!$J$16:$J$198,2*(ROWS($AC$309:AC329)-1)+1)</f>
        <v>0</v>
      </c>
      <c r="AD329">
        <f>INDEX('M04-S01'!$W$16:$W$198,2*(ROWS($AD$309:AD329)-1)+1)</f>
        <v>0</v>
      </c>
      <c r="AE329" s="459"/>
      <c r="AF329" s="459"/>
      <c r="AG329" s="111" t="str">
        <f>INDEX('M04-S01'!$AX$16:$AX$198,2*(ROWS($AG$309:AG329)-1)+1)</f>
        <v/>
      </c>
      <c r="AH329" s="111" t="str">
        <f>INDEX('M04-S01'!$AY$16:$AY$198,2*(ROWS($AH$309:AH329)-1)+1)</f>
        <v/>
      </c>
      <c r="AI329" s="113"/>
      <c r="AJ329" s="113"/>
      <c r="AK329" s="52" t="str">
        <f>INDEX('M04-S01'!$AV$16:$AV$198,2*(ROWS($AK$309:AK329)-1)+1)</f>
        <v/>
      </c>
      <c r="AL329" s="184">
        <f>IF(NOT(ISNUMBER(INDEX('M04-S01'!$AN$16:$AN$198,2*(ROWS($R$309:$R329)-1)+1))),INDEX('M04-S01'!$Z$16:$Z$198,2*(ROWS($AL$309:$AL329)-1)+1)*INDEX('M04-S01'!$AD$16:$AD$198,2*(ROWS($AL$309:$AL329)-1)+1),"")</f>
        <v>0</v>
      </c>
      <c r="AM329" s="184">
        <f>IF(AND(NOT(ISNUMBER(INDEX('M04-S01'!$AN$16:$AN$198,2*(ROWS($R$309:$R329)-1)+1))),T329&gt;0),INDEX('M04-S01'!$Z$16:$Z$198,2*(ROWS($AM$309:$AM329)-1)+1)*INDEX('M04-S01'!$AF$16:$AF$198,2*(ROWS($AM$309:$AM329)-1)+1),"")</f>
        <v>0</v>
      </c>
      <c r="AN329" s="52" t="str">
        <f>IF(NOT(ISNUMBER(INDEX('M04-S01'!$AN$16:$AN$198,2*(ROWS($R$309:$R329)-1)+1))),INDEX('M04-S01'!$AH$16:$AH$198,2*(ROWS($AN$309:$AN329)-1)+1),"")</f>
        <v/>
      </c>
      <c r="AO329" s="113"/>
      <c r="AU329"/>
    </row>
    <row r="330" spans="1:47">
      <c r="A330" s="57">
        <f t="shared" si="31"/>
        <v>0</v>
      </c>
      <c r="B330" s="183" t="str">
        <f t="shared" si="33"/>
        <v/>
      </c>
      <c r="C330" s="186" t="str">
        <f>IF(OR(R330&gt;0,T330&gt;0),INDEX('M04-S01'!$AZ$16:$AZ$198,2*(ROWS($C$309:C330)-1)+1),"")</f>
        <v/>
      </c>
      <c r="D330" t="s">
        <v>231</v>
      </c>
      <c r="F330" s="185">
        <f>INDEX('M04-S01'!$Q$16:$Q$198,2*(ROWS($F$309:F330)-1)+1)</f>
        <v>0</v>
      </c>
      <c r="G330" s="186">
        <f>INDEX('M04-S01'!$C$16:$C$198,2*(ROWS($G$309:G330)-1)+1)</f>
        <v>0</v>
      </c>
      <c r="H330" s="186" t="str">
        <f>IF(ISNUMBER(INDEX('M04-S01'!$AN$16:$AN$198,2*(ROWS($R$309:R330)-1)+1)),"Total","")</f>
        <v/>
      </c>
      <c r="I330" s="184">
        <f>IFERROR(ROUND(IF(ISNUMBER(INDEX('M04-S01'!$AN$16:$AN$198,2*(ROWS($R$309:$R330)-1)+1)),INDEX('M04-S01'!$Z$16:$Z$198,2*(ROWS($I$309:$I330)-1)+1)*INDEX('M04-S01'!$AD$16:$AD$198,2*(ROWS($I$309:$I330)-1)+1),""),2),0)</f>
        <v>0</v>
      </c>
      <c r="J330" s="184">
        <f>IFERROR(ROUND(IF(ISNUMBER(INDEX('M04-S01'!$AN$16:$AN$198,2*(ROWS($R$309:$R330)-1)+1)),INDEX('M04-S01'!$Z$16:$Z$198,2*(ROWS($J$309:$J330)-1)+1)*INDEX('M04-S01'!$AF$16:$AF$198,2*(ROWS($J$309:$J330)-1)+1),""),2),0)</f>
        <v>0</v>
      </c>
      <c r="K330" s="52">
        <f>IFERROR(ROUND(IF(ISNUMBER(INDEX('M04-S01'!$AN$16:$AN$198,2*(ROWS($R$309:$R330)-1)+1)),INDEX('M04-S01'!$AH$16:$AH$198,2*(ROWS($K$309:$K330)-1)+1),""),2),0)</f>
        <v>0</v>
      </c>
      <c r="M330" s="456" t="str">
        <f>IF(ISNUMBER(INDEX('M04-S01'!$AN$16:$AN$198,2*(ROWS($R$309:R330)-1)+1)),INDEX('M04-S01'!$Z$16:$Z$198,2*(ROWS($M$309:M330)-1)+1),"")</f>
        <v/>
      </c>
      <c r="N330" s="184" t="str">
        <f>IF(ISNUMBER(INDEX('M04-S01'!$AN$16:$AN$198,2*(ROWS($R$309:R330)-1)+1)),INDEX('M04-S01'!$AK$16:$AK$198,2*(ROWS($N$309:N330)-1)+1),"")</f>
        <v/>
      </c>
      <c r="O330" s="456" t="str">
        <f>IF(ISNUMBER(INDEX('M04-S01'!$AN$16:$AN$198,2*(ROWS($R$309:R330)-1)+1)),INDEX('M04-S01'!$AW$16:$AW$198,2*(ROWS($O$309:O330)-1)+1),"")</f>
        <v/>
      </c>
      <c r="P330" s="113"/>
      <c r="Q330" s="456" t="str">
        <f>IF(ISNUMBER(INDEX('M04-S01'!$AN$16:$AN$198,2*(ROWS($R$309:R330)-1)+1)),INDEX('M04-S01'!$BB$16:$BB$198,2*(ROWS($Q$309:Q330)-1)+1),"")</f>
        <v/>
      </c>
      <c r="R330" s="184">
        <f>IF(ISNUMBER(INDEX('M04-S01'!$AN$16:$AN$198,2*(ROWS($R$309:R330)-1)+1)),INDEX('M04-S01'!$AN$16:$AN$198,2*(ROWS($R$309:R330)-1)+1),0)</f>
        <v>0</v>
      </c>
      <c r="S330" s="23">
        <f>IF(NOT(ISNUMBER(INDEX('M04-S01'!$AN$16:$AN$198,2*(ROWS($R$309:R330)-1)+1))),INDEX('M04-S01'!$Z$16:$Z$198,2*(ROWS($S$309:S330)-1)+1),"")</f>
        <v>0</v>
      </c>
      <c r="T330" s="52" t="str">
        <f>IFERROR(IF(NOT(ISNUMBER(INDEX('M04-S01'!$AN$16:$AN$198,2*(ROWS($R$309:R330)-1)+1))),INDEX('M04-S01'!$AK$16:$AK$198,2*(ROWS($R$309:R330)-1)+1),0),0)</f>
        <v/>
      </c>
      <c r="U330" s="23" t="str">
        <f>IFERROR(IF(NOT(ISNUMBER(INDEX('M04-S01'!$AN$16:$AN$198,2*(ROWS($R$309:R330)-1)+1))),INDEX('M04-S01'!$AW$16:$AW$198,2*(ROWS($R$309:R330)-1)+1),""),"")</f>
        <v/>
      </c>
      <c r="V330" s="113"/>
      <c r="W330" t="str">
        <f>IFERROR(IF(NOT(ISNUMBER(INDEX('M04-S01'!$AN$16:$AN$198,2*(ROWS($R$309:R330)-1)+1))),INDEX('M04-S01'!$BD$16:$BD$198,2*(ROWS($R$309:R330)-1)+1),""),"")</f>
        <v/>
      </c>
      <c r="X330" s="184" t="str">
        <f>IFERROR(ROUND(INDEX('M04-S01'!$O$16:$O$198,2*(ROWS($X$309:X330)-1)+1),3),"")</f>
        <v/>
      </c>
      <c r="Y330" s="184">
        <f>IFERROR(ROUND(INDEX('M04-S01'!$AB$16:$AB$198,2*(ROWS($Y$309:Y330)-1)+1),3),"")</f>
        <v>0</v>
      </c>
      <c r="Z330" s="111">
        <f>INDEX('M04-S01'!$B$16:$B$198,2*(ROWS($Z$309:Z330)-1)+1)</f>
        <v>22</v>
      </c>
      <c r="AA330" s="111">
        <f>INDEX('M04-S01'!$F$16:$F$198,2*(ROWS($Z$309:AA330)-1)+1)</f>
        <v>0</v>
      </c>
      <c r="AB330" s="111">
        <f>INDEX('M04-S01'!$S$16:$S$198,2*(ROWS($Z$309:AB330)-1)+1)</f>
        <v>0</v>
      </c>
      <c r="AC330">
        <f>INDEX('M04-S01'!$J$16:$J$198,2*(ROWS($AC$309:AC330)-1)+1)</f>
        <v>0</v>
      </c>
      <c r="AD330">
        <f>INDEX('M04-S01'!$W$16:$W$198,2*(ROWS($AD$309:AD330)-1)+1)</f>
        <v>0</v>
      </c>
      <c r="AE330" s="459"/>
      <c r="AF330" s="459"/>
      <c r="AG330" s="111" t="str">
        <f>INDEX('M04-S01'!$AX$16:$AX$198,2*(ROWS($AG$309:AG330)-1)+1)</f>
        <v/>
      </c>
      <c r="AH330" s="111" t="str">
        <f>INDEX('M04-S01'!$AY$16:$AY$198,2*(ROWS($AH$309:AH330)-1)+1)</f>
        <v/>
      </c>
      <c r="AI330" s="113"/>
      <c r="AJ330" s="113"/>
      <c r="AK330" s="52" t="str">
        <f>INDEX('M04-S01'!$AV$16:$AV$198,2*(ROWS($AK$309:AK330)-1)+1)</f>
        <v/>
      </c>
      <c r="AL330" s="184">
        <f>IF(NOT(ISNUMBER(INDEX('M04-S01'!$AN$16:$AN$198,2*(ROWS($R$309:$R330)-1)+1))),INDEX('M04-S01'!$Z$16:$Z$198,2*(ROWS($AL$309:$AL330)-1)+1)*INDEX('M04-S01'!$AD$16:$AD$198,2*(ROWS($AL$309:$AL330)-1)+1),"")</f>
        <v>0</v>
      </c>
      <c r="AM330" s="184">
        <f>IF(AND(NOT(ISNUMBER(INDEX('M04-S01'!$AN$16:$AN$198,2*(ROWS($R$309:$R330)-1)+1))),T330&gt;0),INDEX('M04-S01'!$Z$16:$Z$198,2*(ROWS($AM$309:$AM330)-1)+1)*INDEX('M04-S01'!$AF$16:$AF$198,2*(ROWS($AM$309:$AM330)-1)+1),"")</f>
        <v>0</v>
      </c>
      <c r="AN330" s="52" t="str">
        <f>IF(NOT(ISNUMBER(INDEX('M04-S01'!$AN$16:$AN$198,2*(ROWS($R$309:$R330)-1)+1))),INDEX('M04-S01'!$AH$16:$AH$198,2*(ROWS($AN$309:$AN330)-1)+1),"")</f>
        <v/>
      </c>
      <c r="AO330" s="113"/>
      <c r="AU330"/>
    </row>
    <row r="331" spans="1:47">
      <c r="A331" s="57">
        <f t="shared" si="31"/>
        <v>0</v>
      </c>
      <c r="B331" s="183" t="str">
        <f t="shared" si="33"/>
        <v/>
      </c>
      <c r="C331" s="186" t="str">
        <f>IF(OR(R331&gt;0,T331&gt;0),INDEX('M04-S01'!$AZ$16:$AZ$198,2*(ROWS($C$309:C331)-1)+1),"")</f>
        <v/>
      </c>
      <c r="D331" t="s">
        <v>231</v>
      </c>
      <c r="F331" s="185">
        <f>INDEX('M04-S01'!$Q$16:$Q$198,2*(ROWS($F$309:F331)-1)+1)</f>
        <v>0</v>
      </c>
      <c r="G331" s="186">
        <f>INDEX('M04-S01'!$C$16:$C$198,2*(ROWS($G$309:G331)-1)+1)</f>
        <v>0</v>
      </c>
      <c r="H331" s="186" t="str">
        <f>IF(ISNUMBER(INDEX('M04-S01'!$AN$16:$AN$198,2*(ROWS($R$309:R331)-1)+1)),"Total","")</f>
        <v/>
      </c>
      <c r="I331" s="184">
        <f>IFERROR(ROUND(IF(ISNUMBER(INDEX('M04-S01'!$AN$16:$AN$198,2*(ROWS($R$309:$R331)-1)+1)),INDEX('M04-S01'!$Z$16:$Z$198,2*(ROWS($I$309:$I331)-1)+1)*INDEX('M04-S01'!$AD$16:$AD$198,2*(ROWS($I$309:$I331)-1)+1),""),2),0)</f>
        <v>0</v>
      </c>
      <c r="J331" s="184">
        <f>IFERROR(ROUND(IF(ISNUMBER(INDEX('M04-S01'!$AN$16:$AN$198,2*(ROWS($R$309:$R331)-1)+1)),INDEX('M04-S01'!$Z$16:$Z$198,2*(ROWS($J$309:$J331)-1)+1)*INDEX('M04-S01'!$AF$16:$AF$198,2*(ROWS($J$309:$J331)-1)+1),""),2),0)</f>
        <v>0</v>
      </c>
      <c r="K331" s="52">
        <f>IFERROR(ROUND(IF(ISNUMBER(INDEX('M04-S01'!$AN$16:$AN$198,2*(ROWS($R$309:$R331)-1)+1)),INDEX('M04-S01'!$AH$16:$AH$198,2*(ROWS($K$309:$K331)-1)+1),""),2),0)</f>
        <v>0</v>
      </c>
      <c r="M331" s="456" t="str">
        <f>IF(ISNUMBER(INDEX('M04-S01'!$AN$16:$AN$198,2*(ROWS($R$309:R331)-1)+1)),INDEX('M04-S01'!$Z$16:$Z$198,2*(ROWS($M$309:M331)-1)+1),"")</f>
        <v/>
      </c>
      <c r="N331" s="184" t="str">
        <f>IF(ISNUMBER(INDEX('M04-S01'!$AN$16:$AN$198,2*(ROWS($R$309:R331)-1)+1)),INDEX('M04-S01'!$AK$16:$AK$198,2*(ROWS($N$309:N331)-1)+1),"")</f>
        <v/>
      </c>
      <c r="O331" s="456" t="str">
        <f>IF(ISNUMBER(INDEX('M04-S01'!$AN$16:$AN$198,2*(ROWS($R$309:R331)-1)+1)),INDEX('M04-S01'!$AW$16:$AW$198,2*(ROWS($O$309:O331)-1)+1),"")</f>
        <v/>
      </c>
      <c r="P331" s="113"/>
      <c r="Q331" s="456" t="str">
        <f>IF(ISNUMBER(INDEX('M04-S01'!$AN$16:$AN$198,2*(ROWS($R$309:R331)-1)+1)),INDEX('M04-S01'!$BB$16:$BB$198,2*(ROWS($Q$309:Q331)-1)+1),"")</f>
        <v/>
      </c>
      <c r="R331" s="184">
        <f>IF(ISNUMBER(INDEX('M04-S01'!$AN$16:$AN$198,2*(ROWS($R$309:R331)-1)+1)),INDEX('M04-S01'!$AN$16:$AN$198,2*(ROWS($R$309:R331)-1)+1),0)</f>
        <v>0</v>
      </c>
      <c r="S331" s="23">
        <f>IF(NOT(ISNUMBER(INDEX('M04-S01'!$AN$16:$AN$198,2*(ROWS($R$309:R331)-1)+1))),INDEX('M04-S01'!$Z$16:$Z$198,2*(ROWS($S$309:S331)-1)+1),"")</f>
        <v>0</v>
      </c>
      <c r="T331" s="52" t="str">
        <f>IFERROR(IF(NOT(ISNUMBER(INDEX('M04-S01'!$AN$16:$AN$198,2*(ROWS($R$309:R331)-1)+1))),INDEX('M04-S01'!$AK$16:$AK$198,2*(ROWS($R$309:R331)-1)+1),0),0)</f>
        <v/>
      </c>
      <c r="U331" s="23" t="str">
        <f>IFERROR(IF(NOT(ISNUMBER(INDEX('M04-S01'!$AN$16:$AN$198,2*(ROWS($R$309:R331)-1)+1))),INDEX('M04-S01'!$AW$16:$AW$198,2*(ROWS($R$309:R331)-1)+1),""),"")</f>
        <v/>
      </c>
      <c r="V331" s="113"/>
      <c r="W331" t="str">
        <f>IFERROR(IF(NOT(ISNUMBER(INDEX('M04-S01'!$AN$16:$AN$198,2*(ROWS($R$309:R331)-1)+1))),INDEX('M04-S01'!$BD$16:$BD$198,2*(ROWS($R$309:R331)-1)+1),""),"")</f>
        <v/>
      </c>
      <c r="X331" s="184" t="str">
        <f>IFERROR(ROUND(INDEX('M04-S01'!$O$16:$O$198,2*(ROWS($X$309:X331)-1)+1),3),"")</f>
        <v/>
      </c>
      <c r="Y331" s="184">
        <f>IFERROR(ROUND(INDEX('M04-S01'!$AB$16:$AB$198,2*(ROWS($Y$309:Y331)-1)+1),3),"")</f>
        <v>0</v>
      </c>
      <c r="Z331" s="111">
        <f>INDEX('M04-S01'!$B$16:$B$198,2*(ROWS($Z$309:Z331)-1)+1)</f>
        <v>23</v>
      </c>
      <c r="AA331" s="111">
        <f>INDEX('M04-S01'!$F$16:$F$198,2*(ROWS($Z$309:AA331)-1)+1)</f>
        <v>0</v>
      </c>
      <c r="AB331" s="111">
        <f>INDEX('M04-S01'!$S$16:$S$198,2*(ROWS($Z$309:AB331)-1)+1)</f>
        <v>0</v>
      </c>
      <c r="AC331">
        <f>INDEX('M04-S01'!$J$16:$J$198,2*(ROWS($AC$309:AC331)-1)+1)</f>
        <v>0</v>
      </c>
      <c r="AD331">
        <f>INDEX('M04-S01'!$W$16:$W$198,2*(ROWS($AD$309:AD331)-1)+1)</f>
        <v>0</v>
      </c>
      <c r="AE331" s="459"/>
      <c r="AF331" s="459"/>
      <c r="AG331" s="111" t="str">
        <f>INDEX('M04-S01'!$AX$16:$AX$198,2*(ROWS($AG$309:AG331)-1)+1)</f>
        <v/>
      </c>
      <c r="AH331" s="111" t="str">
        <f>INDEX('M04-S01'!$AY$16:$AY$198,2*(ROWS($AH$309:AH331)-1)+1)</f>
        <v/>
      </c>
      <c r="AI331" s="113"/>
      <c r="AJ331" s="113"/>
      <c r="AK331" s="52" t="str">
        <f>INDEX('M04-S01'!$AV$16:$AV$198,2*(ROWS($AK$309:AK331)-1)+1)</f>
        <v/>
      </c>
      <c r="AL331" s="184">
        <f>IF(NOT(ISNUMBER(INDEX('M04-S01'!$AN$16:$AN$198,2*(ROWS($R$309:$R331)-1)+1))),INDEX('M04-S01'!$Z$16:$Z$198,2*(ROWS($AL$309:$AL331)-1)+1)*INDEX('M04-S01'!$AD$16:$AD$198,2*(ROWS($AL$309:$AL331)-1)+1),"")</f>
        <v>0</v>
      </c>
      <c r="AM331" s="184">
        <f>IF(AND(NOT(ISNUMBER(INDEX('M04-S01'!$AN$16:$AN$198,2*(ROWS($R$309:$R331)-1)+1))),T331&gt;0),INDEX('M04-S01'!$Z$16:$Z$198,2*(ROWS($AM$309:$AM331)-1)+1)*INDEX('M04-S01'!$AF$16:$AF$198,2*(ROWS($AM$309:$AM331)-1)+1),"")</f>
        <v>0</v>
      </c>
      <c r="AN331" s="52" t="str">
        <f>IF(NOT(ISNUMBER(INDEX('M04-S01'!$AN$16:$AN$198,2*(ROWS($R$309:$R331)-1)+1))),INDEX('M04-S01'!$AH$16:$AH$198,2*(ROWS($AN$309:$AN331)-1)+1),"")</f>
        <v/>
      </c>
      <c r="AO331" s="113"/>
      <c r="AU331"/>
    </row>
    <row r="332" spans="1:47">
      <c r="A332" s="57">
        <f t="shared" si="31"/>
        <v>0</v>
      </c>
      <c r="B332" s="183" t="str">
        <f t="shared" si="33"/>
        <v/>
      </c>
      <c r="C332" s="186" t="str">
        <f>IF(OR(R332&gt;0,T332&gt;0),INDEX('M04-S01'!$AZ$16:$AZ$198,2*(ROWS($C$309:C332)-1)+1),"")</f>
        <v/>
      </c>
      <c r="D332" t="s">
        <v>231</v>
      </c>
      <c r="F332" s="185">
        <f>INDEX('M04-S01'!$Q$16:$Q$198,2*(ROWS($F$309:F332)-1)+1)</f>
        <v>0</v>
      </c>
      <c r="G332" s="186">
        <f>INDEX('M04-S01'!$C$16:$C$198,2*(ROWS($G$309:G332)-1)+1)</f>
        <v>0</v>
      </c>
      <c r="H332" s="186" t="str">
        <f>IF(ISNUMBER(INDEX('M04-S01'!$AN$16:$AN$198,2*(ROWS($R$309:R332)-1)+1)),"Total","")</f>
        <v/>
      </c>
      <c r="I332" s="184">
        <f>IFERROR(ROUND(IF(ISNUMBER(INDEX('M04-S01'!$AN$16:$AN$198,2*(ROWS($R$309:$R332)-1)+1)),INDEX('M04-S01'!$Z$16:$Z$198,2*(ROWS($I$309:$I332)-1)+1)*INDEX('M04-S01'!$AD$16:$AD$198,2*(ROWS($I$309:$I332)-1)+1),""),2),0)</f>
        <v>0</v>
      </c>
      <c r="J332" s="184">
        <f>IFERROR(ROUND(IF(ISNUMBER(INDEX('M04-S01'!$AN$16:$AN$198,2*(ROWS($R$309:$R332)-1)+1)),INDEX('M04-S01'!$Z$16:$Z$198,2*(ROWS($J$309:$J332)-1)+1)*INDEX('M04-S01'!$AF$16:$AF$198,2*(ROWS($J$309:$J332)-1)+1),""),2),0)</f>
        <v>0</v>
      </c>
      <c r="K332" s="52">
        <f>IFERROR(ROUND(IF(ISNUMBER(INDEX('M04-S01'!$AN$16:$AN$198,2*(ROWS($R$309:$R332)-1)+1)),INDEX('M04-S01'!$AH$16:$AH$198,2*(ROWS($K$309:$K332)-1)+1),""),2),0)</f>
        <v>0</v>
      </c>
      <c r="M332" s="456" t="str">
        <f>IF(ISNUMBER(INDEX('M04-S01'!$AN$16:$AN$198,2*(ROWS($R$309:R332)-1)+1)),INDEX('M04-S01'!$Z$16:$Z$198,2*(ROWS($M$309:M332)-1)+1),"")</f>
        <v/>
      </c>
      <c r="N332" s="184" t="str">
        <f>IF(ISNUMBER(INDEX('M04-S01'!$AN$16:$AN$198,2*(ROWS($R$309:R332)-1)+1)),INDEX('M04-S01'!$AK$16:$AK$198,2*(ROWS($N$309:N332)-1)+1),"")</f>
        <v/>
      </c>
      <c r="O332" s="456" t="str">
        <f>IF(ISNUMBER(INDEX('M04-S01'!$AN$16:$AN$198,2*(ROWS($R$309:R332)-1)+1)),INDEX('M04-S01'!$AW$16:$AW$198,2*(ROWS($O$309:O332)-1)+1),"")</f>
        <v/>
      </c>
      <c r="P332" s="113"/>
      <c r="Q332" s="456" t="str">
        <f>IF(ISNUMBER(INDEX('M04-S01'!$AN$16:$AN$198,2*(ROWS($R$309:R332)-1)+1)),INDEX('M04-S01'!$BB$16:$BB$198,2*(ROWS($Q$309:Q332)-1)+1),"")</f>
        <v/>
      </c>
      <c r="R332" s="184">
        <f>IF(ISNUMBER(INDEX('M04-S01'!$AN$16:$AN$198,2*(ROWS($R$309:R332)-1)+1)),INDEX('M04-S01'!$AN$16:$AN$198,2*(ROWS($R$309:R332)-1)+1),0)</f>
        <v>0</v>
      </c>
      <c r="S332" s="23">
        <f>IF(NOT(ISNUMBER(INDEX('M04-S01'!$AN$16:$AN$198,2*(ROWS($R$309:R332)-1)+1))),INDEX('M04-S01'!$Z$16:$Z$198,2*(ROWS($S$309:S332)-1)+1),"")</f>
        <v>0</v>
      </c>
      <c r="T332" s="52" t="str">
        <f>IFERROR(IF(NOT(ISNUMBER(INDEX('M04-S01'!$AN$16:$AN$198,2*(ROWS($R$309:R332)-1)+1))),INDEX('M04-S01'!$AK$16:$AK$198,2*(ROWS($R$309:R332)-1)+1),0),0)</f>
        <v/>
      </c>
      <c r="U332" s="23" t="str">
        <f>IFERROR(IF(NOT(ISNUMBER(INDEX('M04-S01'!$AN$16:$AN$198,2*(ROWS($R$309:R332)-1)+1))),INDEX('M04-S01'!$AW$16:$AW$198,2*(ROWS($R$309:R332)-1)+1),""),"")</f>
        <v/>
      </c>
      <c r="V332" s="113"/>
      <c r="W332" t="str">
        <f>IFERROR(IF(NOT(ISNUMBER(INDEX('M04-S01'!$AN$16:$AN$198,2*(ROWS($R$309:R332)-1)+1))),INDEX('M04-S01'!$BD$16:$BD$198,2*(ROWS($R$309:R332)-1)+1),""),"")</f>
        <v/>
      </c>
      <c r="X332" s="184" t="str">
        <f>IFERROR(ROUND(INDEX('M04-S01'!$O$16:$O$198,2*(ROWS($X$309:X332)-1)+1),3),"")</f>
        <v/>
      </c>
      <c r="Y332" s="184">
        <f>IFERROR(ROUND(INDEX('M04-S01'!$AB$16:$AB$198,2*(ROWS($Y$309:Y332)-1)+1),3),"")</f>
        <v>0</v>
      </c>
      <c r="Z332" s="111">
        <f>INDEX('M04-S01'!$B$16:$B$198,2*(ROWS($Z$309:Z332)-1)+1)</f>
        <v>24</v>
      </c>
      <c r="AA332" s="111">
        <f>INDEX('M04-S01'!$F$16:$F$198,2*(ROWS($Z$309:AA332)-1)+1)</f>
        <v>0</v>
      </c>
      <c r="AB332" s="111">
        <f>INDEX('M04-S01'!$S$16:$S$198,2*(ROWS($Z$309:AB332)-1)+1)</f>
        <v>0</v>
      </c>
      <c r="AC332">
        <f>INDEX('M04-S01'!$J$16:$J$198,2*(ROWS($AC$309:AC332)-1)+1)</f>
        <v>0</v>
      </c>
      <c r="AD332">
        <f>INDEX('M04-S01'!$W$16:$W$198,2*(ROWS($AD$309:AD332)-1)+1)</f>
        <v>0</v>
      </c>
      <c r="AE332" s="459"/>
      <c r="AF332" s="459"/>
      <c r="AG332" s="111" t="str">
        <f>INDEX('M04-S01'!$AX$16:$AX$198,2*(ROWS($AG$309:AG332)-1)+1)</f>
        <v/>
      </c>
      <c r="AH332" s="111" t="str">
        <f>INDEX('M04-S01'!$AY$16:$AY$198,2*(ROWS($AH$309:AH332)-1)+1)</f>
        <v/>
      </c>
      <c r="AI332" s="113"/>
      <c r="AJ332" s="113"/>
      <c r="AK332" s="52" t="str">
        <f>INDEX('M04-S01'!$AV$16:$AV$198,2*(ROWS($AK$309:AK332)-1)+1)</f>
        <v/>
      </c>
      <c r="AL332" s="184">
        <f>IF(NOT(ISNUMBER(INDEX('M04-S01'!$AN$16:$AN$198,2*(ROWS($R$309:$R332)-1)+1))),INDEX('M04-S01'!$Z$16:$Z$198,2*(ROWS($AL$309:$AL332)-1)+1)*INDEX('M04-S01'!$AD$16:$AD$198,2*(ROWS($AL$309:$AL332)-1)+1),"")</f>
        <v>0</v>
      </c>
      <c r="AM332" s="184">
        <f>IF(AND(NOT(ISNUMBER(INDEX('M04-S01'!$AN$16:$AN$198,2*(ROWS($R$309:$R332)-1)+1))),T332&gt;0),INDEX('M04-S01'!$Z$16:$Z$198,2*(ROWS($AM$309:$AM332)-1)+1)*INDEX('M04-S01'!$AF$16:$AF$198,2*(ROWS($AM$309:$AM332)-1)+1),"")</f>
        <v>0</v>
      </c>
      <c r="AN332" s="52" t="str">
        <f>IF(NOT(ISNUMBER(INDEX('M04-S01'!$AN$16:$AN$198,2*(ROWS($R$309:$R332)-1)+1))),INDEX('M04-S01'!$AH$16:$AH$198,2*(ROWS($AN$309:$AN332)-1)+1),"")</f>
        <v/>
      </c>
      <c r="AO332" s="113"/>
      <c r="AU332"/>
    </row>
    <row r="333" spans="1:47">
      <c r="A333" s="57">
        <f t="shared" si="31"/>
        <v>0</v>
      </c>
      <c r="B333" s="183" t="str">
        <f t="shared" si="33"/>
        <v/>
      </c>
      <c r="C333" s="186" t="str">
        <f>IF(OR(R333&gt;0,T333&gt;0),INDEX('M04-S01'!$AZ$16:$AZ$198,2*(ROWS($C$309:C333)-1)+1),"")</f>
        <v/>
      </c>
      <c r="D333" t="s">
        <v>231</v>
      </c>
      <c r="F333" s="185">
        <f>INDEX('M04-S01'!$Q$16:$Q$198,2*(ROWS($F$309:F333)-1)+1)</f>
        <v>0</v>
      </c>
      <c r="G333" s="186">
        <f>INDEX('M04-S01'!$C$16:$C$198,2*(ROWS($G$309:G333)-1)+1)</f>
        <v>0</v>
      </c>
      <c r="H333" s="186" t="str">
        <f>IF(ISNUMBER(INDEX('M04-S01'!$AN$16:$AN$198,2*(ROWS($R$309:R333)-1)+1)),"Total","")</f>
        <v/>
      </c>
      <c r="I333" s="184">
        <f>IFERROR(ROUND(IF(ISNUMBER(INDEX('M04-S01'!$AN$16:$AN$198,2*(ROWS($R$309:$R333)-1)+1)),INDEX('M04-S01'!$Z$16:$Z$198,2*(ROWS($I$309:$I333)-1)+1)*INDEX('M04-S01'!$AD$16:$AD$198,2*(ROWS($I$309:$I333)-1)+1),""),2),0)</f>
        <v>0</v>
      </c>
      <c r="J333" s="184">
        <f>IFERROR(ROUND(IF(ISNUMBER(INDEX('M04-S01'!$AN$16:$AN$198,2*(ROWS($R$309:$R333)-1)+1)),INDEX('M04-S01'!$Z$16:$Z$198,2*(ROWS($J$309:$J333)-1)+1)*INDEX('M04-S01'!$AF$16:$AF$198,2*(ROWS($J$309:$J333)-1)+1),""),2),0)</f>
        <v>0</v>
      </c>
      <c r="K333" s="52">
        <f>IFERROR(ROUND(IF(ISNUMBER(INDEX('M04-S01'!$AN$16:$AN$198,2*(ROWS($R$309:$R333)-1)+1)),INDEX('M04-S01'!$AH$16:$AH$198,2*(ROWS($K$309:$K333)-1)+1),""),2),0)</f>
        <v>0</v>
      </c>
      <c r="M333" s="456" t="str">
        <f>IF(ISNUMBER(INDEX('M04-S01'!$AN$16:$AN$198,2*(ROWS($R$309:R333)-1)+1)),INDEX('M04-S01'!$Z$16:$Z$198,2*(ROWS($M$309:M333)-1)+1),"")</f>
        <v/>
      </c>
      <c r="N333" s="184" t="str">
        <f>IF(ISNUMBER(INDEX('M04-S01'!$AN$16:$AN$198,2*(ROWS($R$309:R333)-1)+1)),INDEX('M04-S01'!$AK$16:$AK$198,2*(ROWS($N$309:N333)-1)+1),"")</f>
        <v/>
      </c>
      <c r="O333" s="456" t="str">
        <f>IF(ISNUMBER(INDEX('M04-S01'!$AN$16:$AN$198,2*(ROWS($R$309:R333)-1)+1)),INDEX('M04-S01'!$AW$16:$AW$198,2*(ROWS($O$309:O333)-1)+1),"")</f>
        <v/>
      </c>
      <c r="P333" s="113"/>
      <c r="Q333" s="456" t="str">
        <f>IF(ISNUMBER(INDEX('M04-S01'!$AN$16:$AN$198,2*(ROWS($R$309:R333)-1)+1)),INDEX('M04-S01'!$BB$16:$BB$198,2*(ROWS($Q$309:Q333)-1)+1),"")</f>
        <v/>
      </c>
      <c r="R333" s="184">
        <f>IF(ISNUMBER(INDEX('M04-S01'!$AN$16:$AN$198,2*(ROWS($R$309:R333)-1)+1)),INDEX('M04-S01'!$AN$16:$AN$198,2*(ROWS($R$309:R333)-1)+1),0)</f>
        <v>0</v>
      </c>
      <c r="S333" s="23">
        <f>IF(NOT(ISNUMBER(INDEX('M04-S01'!$AN$16:$AN$198,2*(ROWS($R$309:R333)-1)+1))),INDEX('M04-S01'!$Z$16:$Z$198,2*(ROWS($S$309:S333)-1)+1),"")</f>
        <v>0</v>
      </c>
      <c r="T333" s="52" t="str">
        <f>IFERROR(IF(NOT(ISNUMBER(INDEX('M04-S01'!$AN$16:$AN$198,2*(ROWS($R$309:R333)-1)+1))),INDEX('M04-S01'!$AK$16:$AK$198,2*(ROWS($R$309:R333)-1)+1),0),0)</f>
        <v/>
      </c>
      <c r="U333" s="23" t="str">
        <f>IFERROR(IF(NOT(ISNUMBER(INDEX('M04-S01'!$AN$16:$AN$198,2*(ROWS($R$309:R333)-1)+1))),INDEX('M04-S01'!$AW$16:$AW$198,2*(ROWS($R$309:R333)-1)+1),""),"")</f>
        <v/>
      </c>
      <c r="V333" s="113"/>
      <c r="W333" t="str">
        <f>IFERROR(IF(NOT(ISNUMBER(INDEX('M04-S01'!$AN$16:$AN$198,2*(ROWS($R$309:R333)-1)+1))),INDEX('M04-S01'!$BD$16:$BD$198,2*(ROWS($R$309:R333)-1)+1),""),"")</f>
        <v/>
      </c>
      <c r="X333" s="184" t="str">
        <f>IFERROR(ROUND(INDEX('M04-S01'!$O$16:$O$198,2*(ROWS($X$309:X333)-1)+1),3),"")</f>
        <v/>
      </c>
      <c r="Y333" s="184">
        <f>IFERROR(ROUND(INDEX('M04-S01'!$AB$16:$AB$198,2*(ROWS($Y$309:Y333)-1)+1),3),"")</f>
        <v>0</v>
      </c>
      <c r="Z333" s="111">
        <f>INDEX('M04-S01'!$B$16:$B$198,2*(ROWS($Z$309:Z333)-1)+1)</f>
        <v>25</v>
      </c>
      <c r="AA333" s="111">
        <f>INDEX('M04-S01'!$F$16:$F$198,2*(ROWS($Z$309:AA333)-1)+1)</f>
        <v>0</v>
      </c>
      <c r="AB333" s="111">
        <f>INDEX('M04-S01'!$S$16:$S$198,2*(ROWS($Z$309:AB333)-1)+1)</f>
        <v>0</v>
      </c>
      <c r="AC333">
        <f>INDEX('M04-S01'!$J$16:$J$198,2*(ROWS($AC$309:AC333)-1)+1)</f>
        <v>0</v>
      </c>
      <c r="AD333">
        <f>INDEX('M04-S01'!$W$16:$W$198,2*(ROWS($AD$309:AD333)-1)+1)</f>
        <v>0</v>
      </c>
      <c r="AE333" s="459"/>
      <c r="AF333" s="459"/>
      <c r="AG333" s="111" t="str">
        <f>INDEX('M04-S01'!$AX$16:$AX$198,2*(ROWS($AG$309:AG333)-1)+1)</f>
        <v/>
      </c>
      <c r="AH333" s="111" t="str">
        <f>INDEX('M04-S01'!$AY$16:$AY$198,2*(ROWS($AH$309:AH333)-1)+1)</f>
        <v/>
      </c>
      <c r="AI333" s="113"/>
      <c r="AJ333" s="113"/>
      <c r="AK333" s="52" t="str">
        <f>INDEX('M04-S01'!$AV$16:$AV$198,2*(ROWS($AK$309:AK333)-1)+1)</f>
        <v/>
      </c>
      <c r="AL333" s="184">
        <f>IF(NOT(ISNUMBER(INDEX('M04-S01'!$AN$16:$AN$198,2*(ROWS($R$309:$R333)-1)+1))),INDEX('M04-S01'!$Z$16:$Z$198,2*(ROWS($AL$309:$AL333)-1)+1)*INDEX('M04-S01'!$AD$16:$AD$198,2*(ROWS($AL$309:$AL333)-1)+1),"")</f>
        <v>0</v>
      </c>
      <c r="AM333" s="184">
        <f>IF(AND(NOT(ISNUMBER(INDEX('M04-S01'!$AN$16:$AN$198,2*(ROWS($R$309:$R333)-1)+1))),T333&gt;0),INDEX('M04-S01'!$Z$16:$Z$198,2*(ROWS($AM$309:$AM333)-1)+1)*INDEX('M04-S01'!$AF$16:$AF$198,2*(ROWS($AM$309:$AM333)-1)+1),"")</f>
        <v>0</v>
      </c>
      <c r="AN333" s="52" t="str">
        <f>IF(NOT(ISNUMBER(INDEX('M04-S01'!$AN$16:$AN$198,2*(ROWS($R$309:$R333)-1)+1))),INDEX('M04-S01'!$AH$16:$AH$198,2*(ROWS($AN$309:$AN333)-1)+1),"")</f>
        <v/>
      </c>
      <c r="AO333" s="113"/>
      <c r="AU333"/>
    </row>
    <row r="334" spans="1:47">
      <c r="A334" s="57">
        <f t="shared" si="31"/>
        <v>0</v>
      </c>
      <c r="B334" s="183" t="str">
        <f t="shared" si="33"/>
        <v/>
      </c>
      <c r="C334" s="186" t="str">
        <f>IF(OR(R334&gt;0,T334&gt;0),INDEX('M04-S01'!$AZ$16:$AZ$198,2*(ROWS($C$309:C334)-1)+1),"")</f>
        <v/>
      </c>
      <c r="D334" t="s">
        <v>231</v>
      </c>
      <c r="F334" s="185">
        <f>INDEX('M04-S01'!$Q$16:$Q$198,2*(ROWS($F$309:F334)-1)+1)</f>
        <v>0</v>
      </c>
      <c r="G334" s="186">
        <f>INDEX('M04-S01'!$C$16:$C$198,2*(ROWS($G$309:G334)-1)+1)</f>
        <v>0</v>
      </c>
      <c r="H334" s="186" t="str">
        <f>IF(ISNUMBER(INDEX('M04-S01'!$AN$16:$AN$198,2*(ROWS($R$309:R334)-1)+1)),"Total","")</f>
        <v/>
      </c>
      <c r="I334" s="184">
        <f>IFERROR(ROUND(IF(ISNUMBER(INDEX('M04-S01'!$AN$16:$AN$198,2*(ROWS($R$309:$R334)-1)+1)),INDEX('M04-S01'!$Z$16:$Z$198,2*(ROWS($I$309:$I334)-1)+1)*INDEX('M04-S01'!$AD$16:$AD$198,2*(ROWS($I$309:$I334)-1)+1),""),2),0)</f>
        <v>0</v>
      </c>
      <c r="J334" s="184">
        <f>IFERROR(ROUND(IF(ISNUMBER(INDEX('M04-S01'!$AN$16:$AN$198,2*(ROWS($R$309:$R334)-1)+1)),INDEX('M04-S01'!$Z$16:$Z$198,2*(ROWS($J$309:$J334)-1)+1)*INDEX('M04-S01'!$AF$16:$AF$198,2*(ROWS($J$309:$J334)-1)+1),""),2),0)</f>
        <v>0</v>
      </c>
      <c r="K334" s="52">
        <f>IFERROR(ROUND(IF(ISNUMBER(INDEX('M04-S01'!$AN$16:$AN$198,2*(ROWS($R$309:$R334)-1)+1)),INDEX('M04-S01'!$AH$16:$AH$198,2*(ROWS($K$309:$K334)-1)+1),""),2),0)</f>
        <v>0</v>
      </c>
      <c r="M334" s="456" t="str">
        <f>IF(ISNUMBER(INDEX('M04-S01'!$AN$16:$AN$198,2*(ROWS($R$309:R334)-1)+1)),INDEX('M04-S01'!$Z$16:$Z$198,2*(ROWS($M$309:M334)-1)+1),"")</f>
        <v/>
      </c>
      <c r="N334" s="184" t="str">
        <f>IF(ISNUMBER(INDEX('M04-S01'!$AN$16:$AN$198,2*(ROWS($R$309:R334)-1)+1)),INDEX('M04-S01'!$AK$16:$AK$198,2*(ROWS($N$309:N334)-1)+1),"")</f>
        <v/>
      </c>
      <c r="O334" s="456" t="str">
        <f>IF(ISNUMBER(INDEX('M04-S01'!$AN$16:$AN$198,2*(ROWS($R$309:R334)-1)+1)),INDEX('M04-S01'!$AW$16:$AW$198,2*(ROWS($O$309:O334)-1)+1),"")</f>
        <v/>
      </c>
      <c r="P334" s="113"/>
      <c r="Q334" s="456" t="str">
        <f>IF(ISNUMBER(INDEX('M04-S01'!$AN$16:$AN$198,2*(ROWS($R$309:R334)-1)+1)),INDEX('M04-S01'!$BB$16:$BB$198,2*(ROWS($Q$309:Q334)-1)+1),"")</f>
        <v/>
      </c>
      <c r="R334" s="184">
        <f>IF(ISNUMBER(INDEX('M04-S01'!$AN$16:$AN$198,2*(ROWS($R$309:R334)-1)+1)),INDEX('M04-S01'!$AN$16:$AN$198,2*(ROWS($R$309:R334)-1)+1),0)</f>
        <v>0</v>
      </c>
      <c r="S334" s="23">
        <f>IF(NOT(ISNUMBER(INDEX('M04-S01'!$AN$16:$AN$198,2*(ROWS($R$309:R334)-1)+1))),INDEX('M04-S01'!$Z$16:$Z$198,2*(ROWS($S$309:S334)-1)+1),"")</f>
        <v>0</v>
      </c>
      <c r="T334" s="52" t="str">
        <f>IFERROR(IF(NOT(ISNUMBER(INDEX('M04-S01'!$AN$16:$AN$198,2*(ROWS($R$309:R334)-1)+1))),INDEX('M04-S01'!$AK$16:$AK$198,2*(ROWS($R$309:R334)-1)+1),0),0)</f>
        <v/>
      </c>
      <c r="U334" s="23" t="str">
        <f>IFERROR(IF(NOT(ISNUMBER(INDEX('M04-S01'!$AN$16:$AN$198,2*(ROWS($R$309:R334)-1)+1))),INDEX('M04-S01'!$AW$16:$AW$198,2*(ROWS($R$309:R334)-1)+1),""),"")</f>
        <v/>
      </c>
      <c r="V334" s="113"/>
      <c r="W334" t="str">
        <f>IFERROR(IF(NOT(ISNUMBER(INDEX('M04-S01'!$AN$16:$AN$198,2*(ROWS($R$309:R334)-1)+1))),INDEX('M04-S01'!$BD$16:$BD$198,2*(ROWS($R$309:R334)-1)+1),""),"")</f>
        <v/>
      </c>
      <c r="X334" s="184" t="str">
        <f>IFERROR(ROUND(INDEX('M04-S01'!$O$16:$O$198,2*(ROWS($X$309:X334)-1)+1),3),"")</f>
        <v/>
      </c>
      <c r="Y334" s="184">
        <f>IFERROR(ROUND(INDEX('M04-S01'!$AB$16:$AB$198,2*(ROWS($Y$309:Y334)-1)+1),3),"")</f>
        <v>0</v>
      </c>
      <c r="Z334" s="111">
        <f>INDEX('M04-S01'!$B$16:$B$198,2*(ROWS($Z$309:Z334)-1)+1)</f>
        <v>26</v>
      </c>
      <c r="AA334" s="111">
        <f>INDEX('M04-S01'!$F$16:$F$198,2*(ROWS($Z$309:AA334)-1)+1)</f>
        <v>0</v>
      </c>
      <c r="AB334" s="111">
        <f>INDEX('M04-S01'!$S$16:$S$198,2*(ROWS($Z$309:AB334)-1)+1)</f>
        <v>0</v>
      </c>
      <c r="AC334">
        <f>INDEX('M04-S01'!$J$16:$J$198,2*(ROWS($AC$309:AC334)-1)+1)</f>
        <v>0</v>
      </c>
      <c r="AD334">
        <f>INDEX('M04-S01'!$W$16:$W$198,2*(ROWS($AD$309:AD334)-1)+1)</f>
        <v>0</v>
      </c>
      <c r="AE334" s="459"/>
      <c r="AF334" s="459"/>
      <c r="AG334" s="111" t="str">
        <f>INDEX('M04-S01'!$AX$16:$AX$198,2*(ROWS($AG$309:AG334)-1)+1)</f>
        <v/>
      </c>
      <c r="AH334" s="111" t="str">
        <f>INDEX('M04-S01'!$AY$16:$AY$198,2*(ROWS($AH$309:AH334)-1)+1)</f>
        <v/>
      </c>
      <c r="AI334" s="113"/>
      <c r="AJ334" s="113"/>
      <c r="AK334" s="52" t="str">
        <f>INDEX('M04-S01'!$AV$16:$AV$198,2*(ROWS($AK$309:AK334)-1)+1)</f>
        <v/>
      </c>
      <c r="AL334" s="184">
        <f>IF(NOT(ISNUMBER(INDEX('M04-S01'!$AN$16:$AN$198,2*(ROWS($R$309:$R334)-1)+1))),INDEX('M04-S01'!$Z$16:$Z$198,2*(ROWS($AL$309:$AL334)-1)+1)*INDEX('M04-S01'!$AD$16:$AD$198,2*(ROWS($AL$309:$AL334)-1)+1),"")</f>
        <v>0</v>
      </c>
      <c r="AM334" s="184">
        <f>IF(AND(NOT(ISNUMBER(INDEX('M04-S01'!$AN$16:$AN$198,2*(ROWS($R$309:$R334)-1)+1))),T334&gt;0),INDEX('M04-S01'!$Z$16:$Z$198,2*(ROWS($AM$309:$AM334)-1)+1)*INDEX('M04-S01'!$AF$16:$AF$198,2*(ROWS($AM$309:$AM334)-1)+1),"")</f>
        <v>0</v>
      </c>
      <c r="AN334" s="52" t="str">
        <f>IF(NOT(ISNUMBER(INDEX('M04-S01'!$AN$16:$AN$198,2*(ROWS($R$309:$R334)-1)+1))),INDEX('M04-S01'!$AH$16:$AH$198,2*(ROWS($AN$309:$AN334)-1)+1),"")</f>
        <v/>
      </c>
      <c r="AO334" s="113"/>
      <c r="AU334"/>
    </row>
    <row r="335" spans="1:47">
      <c r="A335" s="57">
        <f t="shared" si="31"/>
        <v>0</v>
      </c>
      <c r="B335" s="183" t="str">
        <f t="shared" si="33"/>
        <v/>
      </c>
      <c r="C335" s="186" t="str">
        <f>IF(OR(R335&gt;0,T335&gt;0),INDEX('M04-S01'!$AZ$16:$AZ$198,2*(ROWS($C$309:C335)-1)+1),"")</f>
        <v/>
      </c>
      <c r="D335" t="s">
        <v>231</v>
      </c>
      <c r="F335" s="185">
        <f>INDEX('M04-S01'!$Q$16:$Q$198,2*(ROWS($F$309:F335)-1)+1)</f>
        <v>0</v>
      </c>
      <c r="G335" s="186">
        <f>INDEX('M04-S01'!$C$16:$C$198,2*(ROWS($G$309:G335)-1)+1)</f>
        <v>0</v>
      </c>
      <c r="H335" s="186" t="str">
        <f>IF(ISNUMBER(INDEX('M04-S01'!$AN$16:$AN$198,2*(ROWS($R$309:R335)-1)+1)),"Total","")</f>
        <v/>
      </c>
      <c r="I335" s="184">
        <f>IFERROR(ROUND(IF(ISNUMBER(INDEX('M04-S01'!$AN$16:$AN$198,2*(ROWS($R$309:$R335)-1)+1)),INDEX('M04-S01'!$Z$16:$Z$198,2*(ROWS($I$309:$I335)-1)+1)*INDEX('M04-S01'!$AD$16:$AD$198,2*(ROWS($I$309:$I335)-1)+1),""),2),0)</f>
        <v>0</v>
      </c>
      <c r="J335" s="184">
        <f>IFERROR(ROUND(IF(ISNUMBER(INDEX('M04-S01'!$AN$16:$AN$198,2*(ROWS($R$309:$R335)-1)+1)),INDEX('M04-S01'!$Z$16:$Z$198,2*(ROWS($J$309:$J335)-1)+1)*INDEX('M04-S01'!$AF$16:$AF$198,2*(ROWS($J$309:$J335)-1)+1),""),2),0)</f>
        <v>0</v>
      </c>
      <c r="K335" s="52">
        <f>IFERROR(ROUND(IF(ISNUMBER(INDEX('M04-S01'!$AN$16:$AN$198,2*(ROWS($R$309:$R335)-1)+1)),INDEX('M04-S01'!$AH$16:$AH$198,2*(ROWS($K$309:$K335)-1)+1),""),2),0)</f>
        <v>0</v>
      </c>
      <c r="M335" s="456" t="str">
        <f>IF(ISNUMBER(INDEX('M04-S01'!$AN$16:$AN$198,2*(ROWS($R$309:R335)-1)+1)),INDEX('M04-S01'!$Z$16:$Z$198,2*(ROWS($M$309:M335)-1)+1),"")</f>
        <v/>
      </c>
      <c r="N335" s="184" t="str">
        <f>IF(ISNUMBER(INDEX('M04-S01'!$AN$16:$AN$198,2*(ROWS($R$309:R335)-1)+1)),INDEX('M04-S01'!$AK$16:$AK$198,2*(ROWS($N$309:N335)-1)+1),"")</f>
        <v/>
      </c>
      <c r="O335" s="456" t="str">
        <f>IF(ISNUMBER(INDEX('M04-S01'!$AN$16:$AN$198,2*(ROWS($R$309:R335)-1)+1)),INDEX('M04-S01'!$AW$16:$AW$198,2*(ROWS($O$309:O335)-1)+1),"")</f>
        <v/>
      </c>
      <c r="P335" s="113"/>
      <c r="Q335" s="456" t="str">
        <f>IF(ISNUMBER(INDEX('M04-S01'!$AN$16:$AN$198,2*(ROWS($R$309:R335)-1)+1)),INDEX('M04-S01'!$BB$16:$BB$198,2*(ROWS($Q$309:Q335)-1)+1),"")</f>
        <v/>
      </c>
      <c r="R335" s="184">
        <f>IF(ISNUMBER(INDEX('M04-S01'!$AN$16:$AN$198,2*(ROWS($R$309:R335)-1)+1)),INDEX('M04-S01'!$AN$16:$AN$198,2*(ROWS($R$309:R335)-1)+1),0)</f>
        <v>0</v>
      </c>
      <c r="S335" s="23">
        <f>IF(NOT(ISNUMBER(INDEX('M04-S01'!$AN$16:$AN$198,2*(ROWS($R$309:R335)-1)+1))),INDEX('M04-S01'!$Z$16:$Z$198,2*(ROWS($S$309:S335)-1)+1),"")</f>
        <v>0</v>
      </c>
      <c r="T335" s="52" t="str">
        <f>IFERROR(IF(NOT(ISNUMBER(INDEX('M04-S01'!$AN$16:$AN$198,2*(ROWS($R$309:R335)-1)+1))),INDEX('M04-S01'!$AK$16:$AK$198,2*(ROWS($R$309:R335)-1)+1),0),0)</f>
        <v/>
      </c>
      <c r="U335" s="23" t="str">
        <f>IFERROR(IF(NOT(ISNUMBER(INDEX('M04-S01'!$AN$16:$AN$198,2*(ROWS($R$309:R335)-1)+1))),INDEX('M04-S01'!$AW$16:$AW$198,2*(ROWS($R$309:R335)-1)+1),""),"")</f>
        <v/>
      </c>
      <c r="V335" s="113"/>
      <c r="W335" t="str">
        <f>IFERROR(IF(NOT(ISNUMBER(INDEX('M04-S01'!$AN$16:$AN$198,2*(ROWS($R$309:R335)-1)+1))),INDEX('M04-S01'!$BD$16:$BD$198,2*(ROWS($R$309:R335)-1)+1),""),"")</f>
        <v/>
      </c>
      <c r="X335" s="184" t="str">
        <f>IFERROR(ROUND(INDEX('M04-S01'!$O$16:$O$198,2*(ROWS($X$309:X335)-1)+1),3),"")</f>
        <v/>
      </c>
      <c r="Y335" s="184">
        <f>IFERROR(ROUND(INDEX('M04-S01'!$AB$16:$AB$198,2*(ROWS($Y$309:Y335)-1)+1),3),"")</f>
        <v>0</v>
      </c>
      <c r="Z335" s="111">
        <f>INDEX('M04-S01'!$B$16:$B$198,2*(ROWS($Z$309:Z335)-1)+1)</f>
        <v>27</v>
      </c>
      <c r="AA335" s="111">
        <f>INDEX('M04-S01'!$F$16:$F$198,2*(ROWS($Z$309:AA335)-1)+1)</f>
        <v>0</v>
      </c>
      <c r="AB335" s="111">
        <f>INDEX('M04-S01'!$S$16:$S$198,2*(ROWS($Z$309:AB335)-1)+1)</f>
        <v>0</v>
      </c>
      <c r="AC335">
        <f>INDEX('M04-S01'!$J$16:$J$198,2*(ROWS($AC$309:AC335)-1)+1)</f>
        <v>0</v>
      </c>
      <c r="AD335">
        <f>INDEX('M04-S01'!$W$16:$W$198,2*(ROWS($AD$309:AD335)-1)+1)</f>
        <v>0</v>
      </c>
      <c r="AE335" s="459"/>
      <c r="AF335" s="459"/>
      <c r="AG335" s="111" t="str">
        <f>INDEX('M04-S01'!$AX$16:$AX$198,2*(ROWS($AG$309:AG335)-1)+1)</f>
        <v/>
      </c>
      <c r="AH335" s="111" t="str">
        <f>INDEX('M04-S01'!$AY$16:$AY$198,2*(ROWS($AH$309:AH335)-1)+1)</f>
        <v/>
      </c>
      <c r="AI335" s="113"/>
      <c r="AJ335" s="113"/>
      <c r="AK335" s="52" t="str">
        <f>INDEX('M04-S01'!$AV$16:$AV$198,2*(ROWS($AK$309:AK335)-1)+1)</f>
        <v/>
      </c>
      <c r="AL335" s="184">
        <f>IF(NOT(ISNUMBER(INDEX('M04-S01'!$AN$16:$AN$198,2*(ROWS($R$309:$R335)-1)+1))),INDEX('M04-S01'!$Z$16:$Z$198,2*(ROWS($AL$309:$AL335)-1)+1)*INDEX('M04-S01'!$AD$16:$AD$198,2*(ROWS($AL$309:$AL335)-1)+1),"")</f>
        <v>0</v>
      </c>
      <c r="AM335" s="184">
        <f>IF(AND(NOT(ISNUMBER(INDEX('M04-S01'!$AN$16:$AN$198,2*(ROWS($R$309:$R335)-1)+1))),T335&gt;0),INDEX('M04-S01'!$Z$16:$Z$198,2*(ROWS($AM$309:$AM335)-1)+1)*INDEX('M04-S01'!$AF$16:$AF$198,2*(ROWS($AM$309:$AM335)-1)+1),"")</f>
        <v>0</v>
      </c>
      <c r="AN335" s="52" t="str">
        <f>IF(NOT(ISNUMBER(INDEX('M04-S01'!$AN$16:$AN$198,2*(ROWS($R$309:$R335)-1)+1))),INDEX('M04-S01'!$AH$16:$AH$198,2*(ROWS($AN$309:$AN335)-1)+1),"")</f>
        <v/>
      </c>
      <c r="AO335" s="113"/>
      <c r="AU335"/>
    </row>
    <row r="336" spans="1:47">
      <c r="A336" s="57">
        <f t="shared" si="31"/>
        <v>0</v>
      </c>
      <c r="B336" s="183" t="str">
        <f t="shared" si="33"/>
        <v/>
      </c>
      <c r="C336" s="186" t="str">
        <f>IF(OR(R336&gt;0,T336&gt;0),INDEX('M04-S01'!$AZ$16:$AZ$198,2*(ROWS($C$309:C336)-1)+1),"")</f>
        <v/>
      </c>
      <c r="D336" t="s">
        <v>231</v>
      </c>
      <c r="F336" s="185">
        <f>INDEX('M04-S01'!$Q$16:$Q$198,2*(ROWS($F$309:F336)-1)+1)</f>
        <v>0</v>
      </c>
      <c r="G336" s="186">
        <f>INDEX('M04-S01'!$C$16:$C$198,2*(ROWS($G$309:G336)-1)+1)</f>
        <v>0</v>
      </c>
      <c r="H336" s="186" t="str">
        <f>IF(ISNUMBER(INDEX('M04-S01'!$AN$16:$AN$198,2*(ROWS($R$309:R336)-1)+1)),"Total","")</f>
        <v/>
      </c>
      <c r="I336" s="184">
        <f>IFERROR(ROUND(IF(ISNUMBER(INDEX('M04-S01'!$AN$16:$AN$198,2*(ROWS($R$309:$R336)-1)+1)),INDEX('M04-S01'!$Z$16:$Z$198,2*(ROWS($I$309:$I336)-1)+1)*INDEX('M04-S01'!$AD$16:$AD$198,2*(ROWS($I$309:$I336)-1)+1),""),2),0)</f>
        <v>0</v>
      </c>
      <c r="J336" s="184">
        <f>IFERROR(ROUND(IF(ISNUMBER(INDEX('M04-S01'!$AN$16:$AN$198,2*(ROWS($R$309:$R336)-1)+1)),INDEX('M04-S01'!$Z$16:$Z$198,2*(ROWS($J$309:$J336)-1)+1)*INDEX('M04-S01'!$AF$16:$AF$198,2*(ROWS($J$309:$J336)-1)+1),""),2),0)</f>
        <v>0</v>
      </c>
      <c r="K336" s="52">
        <f>IFERROR(ROUND(IF(ISNUMBER(INDEX('M04-S01'!$AN$16:$AN$198,2*(ROWS($R$309:$R336)-1)+1)),INDEX('M04-S01'!$AH$16:$AH$198,2*(ROWS($K$309:$K336)-1)+1),""),2),0)</f>
        <v>0</v>
      </c>
      <c r="M336" s="456" t="str">
        <f>IF(ISNUMBER(INDEX('M04-S01'!$AN$16:$AN$198,2*(ROWS($R$309:R336)-1)+1)),INDEX('M04-S01'!$Z$16:$Z$198,2*(ROWS($M$309:M336)-1)+1),"")</f>
        <v/>
      </c>
      <c r="N336" s="184" t="str">
        <f>IF(ISNUMBER(INDEX('M04-S01'!$AN$16:$AN$198,2*(ROWS($R$309:R336)-1)+1)),INDEX('M04-S01'!$AK$16:$AK$198,2*(ROWS($N$309:N336)-1)+1),"")</f>
        <v/>
      </c>
      <c r="O336" s="456" t="str">
        <f>IF(ISNUMBER(INDEX('M04-S01'!$AN$16:$AN$198,2*(ROWS($R$309:R336)-1)+1)),INDEX('M04-S01'!$AW$16:$AW$198,2*(ROWS($O$309:O336)-1)+1),"")</f>
        <v/>
      </c>
      <c r="P336" s="113"/>
      <c r="Q336" s="456" t="str">
        <f>IF(ISNUMBER(INDEX('M04-S01'!$AN$16:$AN$198,2*(ROWS($R$309:R336)-1)+1)),INDEX('M04-S01'!$BB$16:$BB$198,2*(ROWS($Q$309:Q336)-1)+1),"")</f>
        <v/>
      </c>
      <c r="R336" s="184">
        <f>IF(ISNUMBER(INDEX('M04-S01'!$AN$16:$AN$198,2*(ROWS($R$309:R336)-1)+1)),INDEX('M04-S01'!$AN$16:$AN$198,2*(ROWS($R$309:R336)-1)+1),0)</f>
        <v>0</v>
      </c>
      <c r="S336" s="23">
        <f>IF(NOT(ISNUMBER(INDEX('M04-S01'!$AN$16:$AN$198,2*(ROWS($R$309:R336)-1)+1))),INDEX('M04-S01'!$Z$16:$Z$198,2*(ROWS($S$309:S336)-1)+1),"")</f>
        <v>0</v>
      </c>
      <c r="T336" s="52" t="str">
        <f>IFERROR(IF(NOT(ISNUMBER(INDEX('M04-S01'!$AN$16:$AN$198,2*(ROWS($R$309:R336)-1)+1))),INDEX('M04-S01'!$AK$16:$AK$198,2*(ROWS($R$309:R336)-1)+1),0),0)</f>
        <v/>
      </c>
      <c r="U336" s="23" t="str">
        <f>IFERROR(IF(NOT(ISNUMBER(INDEX('M04-S01'!$AN$16:$AN$198,2*(ROWS($R$309:R336)-1)+1))),INDEX('M04-S01'!$AW$16:$AW$198,2*(ROWS($R$309:R336)-1)+1),""),"")</f>
        <v/>
      </c>
      <c r="V336" s="113"/>
      <c r="W336" t="str">
        <f>IFERROR(IF(NOT(ISNUMBER(INDEX('M04-S01'!$AN$16:$AN$198,2*(ROWS($R$309:R336)-1)+1))),INDEX('M04-S01'!$BD$16:$BD$198,2*(ROWS($R$309:R336)-1)+1),""),"")</f>
        <v/>
      </c>
      <c r="X336" s="184" t="str">
        <f>IFERROR(ROUND(INDEX('M04-S01'!$O$16:$O$198,2*(ROWS($X$309:X336)-1)+1),3),"")</f>
        <v/>
      </c>
      <c r="Y336" s="184">
        <f>IFERROR(ROUND(INDEX('M04-S01'!$AB$16:$AB$198,2*(ROWS($Y$309:Y336)-1)+1),3),"")</f>
        <v>0</v>
      </c>
      <c r="Z336" s="111">
        <f>INDEX('M04-S01'!$B$16:$B$198,2*(ROWS($Z$309:Z336)-1)+1)</f>
        <v>28</v>
      </c>
      <c r="AA336" s="111">
        <f>INDEX('M04-S01'!$F$16:$F$198,2*(ROWS($Z$309:AA336)-1)+1)</f>
        <v>0</v>
      </c>
      <c r="AB336" s="111">
        <f>INDEX('M04-S01'!$S$16:$S$198,2*(ROWS($Z$309:AB336)-1)+1)</f>
        <v>0</v>
      </c>
      <c r="AC336">
        <f>INDEX('M04-S01'!$J$16:$J$198,2*(ROWS($AC$309:AC336)-1)+1)</f>
        <v>0</v>
      </c>
      <c r="AD336">
        <f>INDEX('M04-S01'!$W$16:$W$198,2*(ROWS($AD$309:AD336)-1)+1)</f>
        <v>0</v>
      </c>
      <c r="AE336" s="459"/>
      <c r="AF336" s="459"/>
      <c r="AG336" s="111" t="str">
        <f>INDEX('M04-S01'!$AX$16:$AX$198,2*(ROWS($AG$309:AG336)-1)+1)</f>
        <v/>
      </c>
      <c r="AH336" s="111" t="str">
        <f>INDEX('M04-S01'!$AY$16:$AY$198,2*(ROWS($AH$309:AH336)-1)+1)</f>
        <v/>
      </c>
      <c r="AI336" s="113"/>
      <c r="AJ336" s="113"/>
      <c r="AK336" s="52" t="str">
        <f>INDEX('M04-S01'!$AV$16:$AV$198,2*(ROWS($AK$309:AK336)-1)+1)</f>
        <v/>
      </c>
      <c r="AL336" s="184">
        <f>IF(NOT(ISNUMBER(INDEX('M04-S01'!$AN$16:$AN$198,2*(ROWS($R$309:$R336)-1)+1))),INDEX('M04-S01'!$Z$16:$Z$198,2*(ROWS($AL$309:$AL336)-1)+1)*INDEX('M04-S01'!$AD$16:$AD$198,2*(ROWS($AL$309:$AL336)-1)+1),"")</f>
        <v>0</v>
      </c>
      <c r="AM336" s="184">
        <f>IF(AND(NOT(ISNUMBER(INDEX('M04-S01'!$AN$16:$AN$198,2*(ROWS($R$309:$R336)-1)+1))),T336&gt;0),INDEX('M04-S01'!$Z$16:$Z$198,2*(ROWS($AM$309:$AM336)-1)+1)*INDEX('M04-S01'!$AF$16:$AF$198,2*(ROWS($AM$309:$AM336)-1)+1),"")</f>
        <v>0</v>
      </c>
      <c r="AN336" s="52" t="str">
        <f>IF(NOT(ISNUMBER(INDEX('M04-S01'!$AN$16:$AN$198,2*(ROWS($R$309:$R336)-1)+1))),INDEX('M04-S01'!$AH$16:$AH$198,2*(ROWS($AN$309:$AN336)-1)+1),"")</f>
        <v/>
      </c>
      <c r="AO336" s="113"/>
      <c r="AU336"/>
    </row>
    <row r="337" spans="1:47">
      <c r="A337" s="57">
        <f t="shared" si="31"/>
        <v>0</v>
      </c>
      <c r="B337" s="183" t="str">
        <f t="shared" si="33"/>
        <v/>
      </c>
      <c r="C337" s="186" t="str">
        <f>IF(OR(R337&gt;0,T337&gt;0),INDEX('M04-S01'!$AZ$16:$AZ$198,2*(ROWS($C$309:C337)-1)+1),"")</f>
        <v/>
      </c>
      <c r="D337" t="s">
        <v>231</v>
      </c>
      <c r="F337" s="185">
        <f>INDEX('M04-S01'!$Q$16:$Q$198,2*(ROWS($F$309:F337)-1)+1)</f>
        <v>0</v>
      </c>
      <c r="G337" s="186">
        <f>INDEX('M04-S01'!$C$16:$C$198,2*(ROWS($G$309:G337)-1)+1)</f>
        <v>0</v>
      </c>
      <c r="H337" s="186" t="str">
        <f>IF(ISNUMBER(INDEX('M04-S01'!$AN$16:$AN$198,2*(ROWS($R$309:R337)-1)+1)),"Total","")</f>
        <v/>
      </c>
      <c r="I337" s="184">
        <f>IFERROR(ROUND(IF(ISNUMBER(INDEX('M04-S01'!$AN$16:$AN$198,2*(ROWS($R$309:$R337)-1)+1)),INDEX('M04-S01'!$Z$16:$Z$198,2*(ROWS($I$309:$I337)-1)+1)*INDEX('M04-S01'!$AD$16:$AD$198,2*(ROWS($I$309:$I337)-1)+1),""),2),0)</f>
        <v>0</v>
      </c>
      <c r="J337" s="184">
        <f>IFERROR(ROUND(IF(ISNUMBER(INDEX('M04-S01'!$AN$16:$AN$198,2*(ROWS($R$309:$R337)-1)+1)),INDEX('M04-S01'!$Z$16:$Z$198,2*(ROWS($J$309:$J337)-1)+1)*INDEX('M04-S01'!$AF$16:$AF$198,2*(ROWS($J$309:$J337)-1)+1),""),2),0)</f>
        <v>0</v>
      </c>
      <c r="K337" s="52">
        <f>IFERROR(ROUND(IF(ISNUMBER(INDEX('M04-S01'!$AN$16:$AN$198,2*(ROWS($R$309:$R337)-1)+1)),INDEX('M04-S01'!$AH$16:$AH$198,2*(ROWS($K$309:$K337)-1)+1),""),2),0)</f>
        <v>0</v>
      </c>
      <c r="M337" s="456" t="str">
        <f>IF(ISNUMBER(INDEX('M04-S01'!$AN$16:$AN$198,2*(ROWS($R$309:R337)-1)+1)),INDEX('M04-S01'!$Z$16:$Z$198,2*(ROWS($M$309:M337)-1)+1),"")</f>
        <v/>
      </c>
      <c r="N337" s="184" t="str">
        <f>IF(ISNUMBER(INDEX('M04-S01'!$AN$16:$AN$198,2*(ROWS($R$309:R337)-1)+1)),INDEX('M04-S01'!$AK$16:$AK$198,2*(ROWS($N$309:N337)-1)+1),"")</f>
        <v/>
      </c>
      <c r="O337" s="456" t="str">
        <f>IF(ISNUMBER(INDEX('M04-S01'!$AN$16:$AN$198,2*(ROWS($R$309:R337)-1)+1)),INDEX('M04-S01'!$AW$16:$AW$198,2*(ROWS($O$309:O337)-1)+1),"")</f>
        <v/>
      </c>
      <c r="P337" s="113"/>
      <c r="Q337" s="456" t="str">
        <f>IF(ISNUMBER(INDEX('M04-S01'!$AN$16:$AN$198,2*(ROWS($R$309:R337)-1)+1)),INDEX('M04-S01'!$BB$16:$BB$198,2*(ROWS($Q$309:Q337)-1)+1),"")</f>
        <v/>
      </c>
      <c r="R337" s="184">
        <f>IF(ISNUMBER(INDEX('M04-S01'!$AN$16:$AN$198,2*(ROWS($R$309:R337)-1)+1)),INDEX('M04-S01'!$AN$16:$AN$198,2*(ROWS($R$309:R337)-1)+1),0)</f>
        <v>0</v>
      </c>
      <c r="S337" s="23">
        <f>IF(NOT(ISNUMBER(INDEX('M04-S01'!$AN$16:$AN$198,2*(ROWS($R$309:R337)-1)+1))),INDEX('M04-S01'!$Z$16:$Z$198,2*(ROWS($S$309:S337)-1)+1),"")</f>
        <v>0</v>
      </c>
      <c r="T337" s="52" t="str">
        <f>IFERROR(IF(NOT(ISNUMBER(INDEX('M04-S01'!$AN$16:$AN$198,2*(ROWS($R$309:R337)-1)+1))),INDEX('M04-S01'!$AK$16:$AK$198,2*(ROWS($R$309:R337)-1)+1),0),0)</f>
        <v/>
      </c>
      <c r="U337" s="23" t="str">
        <f>IFERROR(IF(NOT(ISNUMBER(INDEX('M04-S01'!$AN$16:$AN$198,2*(ROWS($R$309:R337)-1)+1))),INDEX('M04-S01'!$AW$16:$AW$198,2*(ROWS($R$309:R337)-1)+1),""),"")</f>
        <v/>
      </c>
      <c r="V337" s="113"/>
      <c r="W337" t="str">
        <f>IFERROR(IF(NOT(ISNUMBER(INDEX('M04-S01'!$AN$16:$AN$198,2*(ROWS($R$309:R337)-1)+1))),INDEX('M04-S01'!$BD$16:$BD$198,2*(ROWS($R$309:R337)-1)+1),""),"")</f>
        <v/>
      </c>
      <c r="X337" s="184" t="str">
        <f>IFERROR(ROUND(INDEX('M04-S01'!$O$16:$O$198,2*(ROWS($X$309:X337)-1)+1),3),"")</f>
        <v/>
      </c>
      <c r="Y337" s="184">
        <f>IFERROR(ROUND(INDEX('M04-S01'!$AB$16:$AB$198,2*(ROWS($Y$309:Y337)-1)+1),3),"")</f>
        <v>0</v>
      </c>
      <c r="Z337" s="111">
        <f>INDEX('M04-S01'!$B$16:$B$198,2*(ROWS($Z$309:Z337)-1)+1)</f>
        <v>29</v>
      </c>
      <c r="AA337" s="111">
        <f>INDEX('M04-S01'!$F$16:$F$198,2*(ROWS($Z$309:AA337)-1)+1)</f>
        <v>0</v>
      </c>
      <c r="AB337" s="111">
        <f>INDEX('M04-S01'!$S$16:$S$198,2*(ROWS($Z$309:AB337)-1)+1)</f>
        <v>0</v>
      </c>
      <c r="AC337">
        <f>INDEX('M04-S01'!$J$16:$J$198,2*(ROWS($AC$309:AC337)-1)+1)</f>
        <v>0</v>
      </c>
      <c r="AD337">
        <f>INDEX('M04-S01'!$W$16:$W$198,2*(ROWS($AD$309:AD337)-1)+1)</f>
        <v>0</v>
      </c>
      <c r="AE337" s="459"/>
      <c r="AF337" s="459"/>
      <c r="AG337" s="111" t="str">
        <f>INDEX('M04-S01'!$AX$16:$AX$198,2*(ROWS($AG$309:AG337)-1)+1)</f>
        <v/>
      </c>
      <c r="AH337" s="111" t="str">
        <f>INDEX('M04-S01'!$AY$16:$AY$198,2*(ROWS($AH$309:AH337)-1)+1)</f>
        <v/>
      </c>
      <c r="AI337" s="113"/>
      <c r="AJ337" s="113"/>
      <c r="AK337" s="52" t="str">
        <f>INDEX('M04-S01'!$AV$16:$AV$198,2*(ROWS($AK$309:AK337)-1)+1)</f>
        <v/>
      </c>
      <c r="AL337" s="184">
        <f>IF(NOT(ISNUMBER(INDEX('M04-S01'!$AN$16:$AN$198,2*(ROWS($R$309:$R337)-1)+1))),INDEX('M04-S01'!$Z$16:$Z$198,2*(ROWS($AL$309:$AL337)-1)+1)*INDEX('M04-S01'!$AD$16:$AD$198,2*(ROWS($AL$309:$AL337)-1)+1),"")</f>
        <v>0</v>
      </c>
      <c r="AM337" s="184">
        <f>IF(AND(NOT(ISNUMBER(INDEX('M04-S01'!$AN$16:$AN$198,2*(ROWS($R$309:$R337)-1)+1))),T337&gt;0),INDEX('M04-S01'!$Z$16:$Z$198,2*(ROWS($AM$309:$AM337)-1)+1)*INDEX('M04-S01'!$AF$16:$AF$198,2*(ROWS($AM$309:$AM337)-1)+1),"")</f>
        <v>0</v>
      </c>
      <c r="AN337" s="52" t="str">
        <f>IF(NOT(ISNUMBER(INDEX('M04-S01'!$AN$16:$AN$198,2*(ROWS($R$309:$R337)-1)+1))),INDEX('M04-S01'!$AH$16:$AH$198,2*(ROWS($AN$309:$AN337)-1)+1),"")</f>
        <v/>
      </c>
      <c r="AO337" s="113"/>
      <c r="AU337"/>
    </row>
    <row r="338" spans="1:47">
      <c r="A338" s="57">
        <f t="shared" si="31"/>
        <v>0</v>
      </c>
      <c r="B338" s="183" t="str">
        <f t="shared" si="33"/>
        <v/>
      </c>
      <c r="C338" s="186" t="str">
        <f>IF(OR(R338&gt;0,T338&gt;0),INDEX('M04-S01'!$AZ$16:$AZ$198,2*(ROWS($C$309:C338)-1)+1),"")</f>
        <v/>
      </c>
      <c r="D338" t="s">
        <v>231</v>
      </c>
      <c r="F338" s="185">
        <f>INDEX('M04-S01'!$Q$16:$Q$198,2*(ROWS($F$309:F338)-1)+1)</f>
        <v>0</v>
      </c>
      <c r="G338" s="186">
        <f>INDEX('M04-S01'!$C$16:$C$198,2*(ROWS($G$309:G338)-1)+1)</f>
        <v>0</v>
      </c>
      <c r="H338" s="186" t="str">
        <f>IF(ISNUMBER(INDEX('M04-S01'!$AN$16:$AN$198,2*(ROWS($R$309:R338)-1)+1)),"Total","")</f>
        <v/>
      </c>
      <c r="I338" s="184">
        <f>IFERROR(ROUND(IF(ISNUMBER(INDEX('M04-S01'!$AN$16:$AN$198,2*(ROWS($R$309:$R338)-1)+1)),INDEX('M04-S01'!$Z$16:$Z$198,2*(ROWS($I$309:$I338)-1)+1)*INDEX('M04-S01'!$AD$16:$AD$198,2*(ROWS($I$309:$I338)-1)+1),""),2),0)</f>
        <v>0</v>
      </c>
      <c r="J338" s="184">
        <f>IFERROR(ROUND(IF(ISNUMBER(INDEX('M04-S01'!$AN$16:$AN$198,2*(ROWS($R$309:$R338)-1)+1)),INDEX('M04-S01'!$Z$16:$Z$198,2*(ROWS($J$309:$J338)-1)+1)*INDEX('M04-S01'!$AF$16:$AF$198,2*(ROWS($J$309:$J338)-1)+1),""),2),0)</f>
        <v>0</v>
      </c>
      <c r="K338" s="52">
        <f>IFERROR(ROUND(IF(ISNUMBER(INDEX('M04-S01'!$AN$16:$AN$198,2*(ROWS($R$309:$R338)-1)+1)),INDEX('M04-S01'!$AH$16:$AH$198,2*(ROWS($K$309:$K338)-1)+1),""),2),0)</f>
        <v>0</v>
      </c>
      <c r="M338" s="456" t="str">
        <f>IF(ISNUMBER(INDEX('M04-S01'!$AN$16:$AN$198,2*(ROWS($R$309:R338)-1)+1)),INDEX('M04-S01'!$Z$16:$Z$198,2*(ROWS($M$309:M338)-1)+1),"")</f>
        <v/>
      </c>
      <c r="N338" s="184" t="str">
        <f>IF(ISNUMBER(INDEX('M04-S01'!$AN$16:$AN$198,2*(ROWS($R$309:R338)-1)+1)),INDEX('M04-S01'!$AK$16:$AK$198,2*(ROWS($N$309:N338)-1)+1),"")</f>
        <v/>
      </c>
      <c r="O338" s="456" t="str">
        <f>IF(ISNUMBER(INDEX('M04-S01'!$AN$16:$AN$198,2*(ROWS($R$309:R338)-1)+1)),INDEX('M04-S01'!$AW$16:$AW$198,2*(ROWS($O$309:O338)-1)+1),"")</f>
        <v/>
      </c>
      <c r="P338" s="113"/>
      <c r="Q338" s="456" t="str">
        <f>IF(ISNUMBER(INDEX('M04-S01'!$AN$16:$AN$198,2*(ROWS($R$309:R338)-1)+1)),INDEX('M04-S01'!$BB$16:$BB$198,2*(ROWS($Q$309:Q338)-1)+1),"")</f>
        <v/>
      </c>
      <c r="R338" s="184">
        <f>IF(ISNUMBER(INDEX('M04-S01'!$AN$16:$AN$198,2*(ROWS($R$309:R338)-1)+1)),INDEX('M04-S01'!$AN$16:$AN$198,2*(ROWS($R$309:R338)-1)+1),0)</f>
        <v>0</v>
      </c>
      <c r="S338" s="23">
        <f>IF(NOT(ISNUMBER(INDEX('M04-S01'!$AN$16:$AN$198,2*(ROWS($R$309:R338)-1)+1))),INDEX('M04-S01'!$Z$16:$Z$198,2*(ROWS($S$309:S338)-1)+1),"")</f>
        <v>0</v>
      </c>
      <c r="T338" s="52" t="str">
        <f>IFERROR(IF(NOT(ISNUMBER(INDEX('M04-S01'!$AN$16:$AN$198,2*(ROWS($R$309:R338)-1)+1))),INDEX('M04-S01'!$AK$16:$AK$198,2*(ROWS($R$309:R338)-1)+1),0),0)</f>
        <v/>
      </c>
      <c r="U338" s="23" t="str">
        <f>IFERROR(IF(NOT(ISNUMBER(INDEX('M04-S01'!$AN$16:$AN$198,2*(ROWS($R$309:R338)-1)+1))),INDEX('M04-S01'!$AW$16:$AW$198,2*(ROWS($R$309:R338)-1)+1),""),"")</f>
        <v/>
      </c>
      <c r="V338" s="113"/>
      <c r="W338" t="str">
        <f>IFERROR(IF(NOT(ISNUMBER(INDEX('M04-S01'!$AN$16:$AN$198,2*(ROWS($R$309:R338)-1)+1))),INDEX('M04-S01'!$BD$16:$BD$198,2*(ROWS($R$309:R338)-1)+1),""),"")</f>
        <v/>
      </c>
      <c r="X338" s="184" t="str">
        <f>IFERROR(ROUND(INDEX('M04-S01'!$O$16:$O$198,2*(ROWS($X$309:X338)-1)+1),3),"")</f>
        <v/>
      </c>
      <c r="Y338" s="184">
        <f>IFERROR(ROUND(INDEX('M04-S01'!$AB$16:$AB$198,2*(ROWS($Y$309:Y338)-1)+1),3),"")</f>
        <v>0</v>
      </c>
      <c r="Z338" s="111">
        <f>INDEX('M04-S01'!$B$16:$B$198,2*(ROWS($Z$309:Z338)-1)+1)</f>
        <v>30</v>
      </c>
      <c r="AA338" s="111">
        <f>INDEX('M04-S01'!$F$16:$F$198,2*(ROWS($Z$309:AA338)-1)+1)</f>
        <v>0</v>
      </c>
      <c r="AB338" s="111">
        <f>INDEX('M04-S01'!$S$16:$S$198,2*(ROWS($Z$309:AB338)-1)+1)</f>
        <v>0</v>
      </c>
      <c r="AC338">
        <f>INDEX('M04-S01'!$J$16:$J$198,2*(ROWS($AC$309:AC338)-1)+1)</f>
        <v>0</v>
      </c>
      <c r="AD338">
        <f>INDEX('M04-S01'!$W$16:$W$198,2*(ROWS($AD$309:AD338)-1)+1)</f>
        <v>0</v>
      </c>
      <c r="AE338" s="459"/>
      <c r="AF338" s="459"/>
      <c r="AG338" s="111" t="str">
        <f>INDEX('M04-S01'!$AX$16:$AX$198,2*(ROWS($AG$309:AG338)-1)+1)</f>
        <v/>
      </c>
      <c r="AH338" s="111" t="str">
        <f>INDEX('M04-S01'!$AY$16:$AY$198,2*(ROWS($AH$309:AH338)-1)+1)</f>
        <v/>
      </c>
      <c r="AI338" s="113"/>
      <c r="AJ338" s="113"/>
      <c r="AK338" s="52" t="str">
        <f>INDEX('M04-S01'!$AV$16:$AV$198,2*(ROWS($AK$309:AK338)-1)+1)</f>
        <v/>
      </c>
      <c r="AL338" s="184">
        <f>IF(NOT(ISNUMBER(INDEX('M04-S01'!$AN$16:$AN$198,2*(ROWS($R$309:$R338)-1)+1))),INDEX('M04-S01'!$Z$16:$Z$198,2*(ROWS($AL$309:$AL338)-1)+1)*INDEX('M04-S01'!$AD$16:$AD$198,2*(ROWS($AL$309:$AL338)-1)+1),"")</f>
        <v>0</v>
      </c>
      <c r="AM338" s="184">
        <f>IF(AND(NOT(ISNUMBER(INDEX('M04-S01'!$AN$16:$AN$198,2*(ROWS($R$309:$R338)-1)+1))),T338&gt;0),INDEX('M04-S01'!$Z$16:$Z$198,2*(ROWS($AM$309:$AM338)-1)+1)*INDEX('M04-S01'!$AF$16:$AF$198,2*(ROWS($AM$309:$AM338)-1)+1),"")</f>
        <v>0</v>
      </c>
      <c r="AN338" s="52" t="str">
        <f>IF(NOT(ISNUMBER(INDEX('M04-S01'!$AN$16:$AN$198,2*(ROWS($R$309:$R338)-1)+1))),INDEX('M04-S01'!$AH$16:$AH$198,2*(ROWS($AN$309:$AN338)-1)+1),"")</f>
        <v/>
      </c>
      <c r="AO338" s="113"/>
      <c r="AU338"/>
    </row>
    <row r="339" spans="1:47">
      <c r="A339" s="57">
        <f t="shared" si="31"/>
        <v>0</v>
      </c>
      <c r="B339" s="183" t="str">
        <f t="shared" si="33"/>
        <v/>
      </c>
      <c r="C339" s="186" t="str">
        <f>IF(OR(R339&gt;0,T339&gt;0),INDEX('M04-S01'!$AZ$16:$AZ$198,2*(ROWS($C$309:C339)-1)+1),"")</f>
        <v/>
      </c>
      <c r="D339" t="s">
        <v>231</v>
      </c>
      <c r="F339" s="185">
        <f>INDEX('M04-S01'!$Q$16:$Q$198,2*(ROWS($F$309:F339)-1)+1)</f>
        <v>0</v>
      </c>
      <c r="G339" s="186">
        <f>INDEX('M04-S01'!$C$16:$C$198,2*(ROWS($G$309:G339)-1)+1)</f>
        <v>0</v>
      </c>
      <c r="H339" s="186" t="str">
        <f>IF(ISNUMBER(INDEX('M04-S01'!$AN$16:$AN$198,2*(ROWS($R$309:R339)-1)+1)),"Total","")</f>
        <v/>
      </c>
      <c r="I339" s="184">
        <f>IFERROR(ROUND(IF(ISNUMBER(INDEX('M04-S01'!$AN$16:$AN$198,2*(ROWS($R$309:$R339)-1)+1)),INDEX('M04-S01'!$Z$16:$Z$198,2*(ROWS($I$309:$I339)-1)+1)*INDEX('M04-S01'!$AD$16:$AD$198,2*(ROWS($I$309:$I339)-1)+1),""),2),0)</f>
        <v>0</v>
      </c>
      <c r="J339" s="184">
        <f>IFERROR(ROUND(IF(ISNUMBER(INDEX('M04-S01'!$AN$16:$AN$198,2*(ROWS($R$309:$R339)-1)+1)),INDEX('M04-S01'!$Z$16:$Z$198,2*(ROWS($J$309:$J339)-1)+1)*INDEX('M04-S01'!$AF$16:$AF$198,2*(ROWS($J$309:$J339)-1)+1),""),2),0)</f>
        <v>0</v>
      </c>
      <c r="K339" s="52">
        <f>IFERROR(ROUND(IF(ISNUMBER(INDEX('M04-S01'!$AN$16:$AN$198,2*(ROWS($R$309:$R339)-1)+1)),INDEX('M04-S01'!$AH$16:$AH$198,2*(ROWS($K$309:$K339)-1)+1),""),2),0)</f>
        <v>0</v>
      </c>
      <c r="M339" s="456" t="str">
        <f>IF(ISNUMBER(INDEX('M04-S01'!$AN$16:$AN$198,2*(ROWS($R$309:R339)-1)+1)),INDEX('M04-S01'!$Z$16:$Z$198,2*(ROWS($M$309:M339)-1)+1),"")</f>
        <v/>
      </c>
      <c r="N339" s="184" t="str">
        <f>IF(ISNUMBER(INDEX('M04-S01'!$AN$16:$AN$198,2*(ROWS($R$309:R339)-1)+1)),INDEX('M04-S01'!$AK$16:$AK$198,2*(ROWS($N$309:N339)-1)+1),"")</f>
        <v/>
      </c>
      <c r="O339" s="456" t="str">
        <f>IF(ISNUMBER(INDEX('M04-S01'!$AN$16:$AN$198,2*(ROWS($R$309:R339)-1)+1)),INDEX('M04-S01'!$AW$16:$AW$198,2*(ROWS($O$309:O339)-1)+1),"")</f>
        <v/>
      </c>
      <c r="P339" s="113"/>
      <c r="Q339" s="456" t="str">
        <f>IF(ISNUMBER(INDEX('M04-S01'!$AN$16:$AN$198,2*(ROWS($R$309:R339)-1)+1)),INDEX('M04-S01'!$BB$16:$BB$198,2*(ROWS($Q$309:Q339)-1)+1),"")</f>
        <v/>
      </c>
      <c r="R339" s="184">
        <f>IF(ISNUMBER(INDEX('M04-S01'!$AN$16:$AN$198,2*(ROWS($R$309:R339)-1)+1)),INDEX('M04-S01'!$AN$16:$AN$198,2*(ROWS($R$309:R339)-1)+1),0)</f>
        <v>0</v>
      </c>
      <c r="S339" s="23">
        <f>IF(NOT(ISNUMBER(INDEX('M04-S01'!$AN$16:$AN$198,2*(ROWS($R$309:R339)-1)+1))),INDEX('M04-S01'!$Z$16:$Z$198,2*(ROWS($S$309:S339)-1)+1),"")</f>
        <v>0</v>
      </c>
      <c r="T339" s="52" t="str">
        <f>IFERROR(IF(NOT(ISNUMBER(INDEX('M04-S01'!$AN$16:$AN$198,2*(ROWS($R$309:R339)-1)+1))),INDEX('M04-S01'!$AK$16:$AK$198,2*(ROWS($R$309:R339)-1)+1),0),0)</f>
        <v/>
      </c>
      <c r="U339" s="23" t="str">
        <f>IFERROR(IF(NOT(ISNUMBER(INDEX('M04-S01'!$AN$16:$AN$198,2*(ROWS($R$309:R339)-1)+1))),INDEX('M04-S01'!$AW$16:$AW$198,2*(ROWS($R$309:R339)-1)+1),""),"")</f>
        <v/>
      </c>
      <c r="V339" s="113"/>
      <c r="W339" t="str">
        <f>IFERROR(IF(NOT(ISNUMBER(INDEX('M04-S01'!$AN$16:$AN$198,2*(ROWS($R$309:R339)-1)+1))),INDEX('M04-S01'!$BD$16:$BD$198,2*(ROWS($R$309:R339)-1)+1),""),"")</f>
        <v/>
      </c>
      <c r="X339" s="184" t="str">
        <f>IFERROR(ROUND(INDEX('M04-S01'!$O$16:$O$198,2*(ROWS($X$309:X339)-1)+1),3),"")</f>
        <v/>
      </c>
      <c r="Y339" s="184">
        <f>IFERROR(ROUND(INDEX('M04-S01'!$AB$16:$AB$198,2*(ROWS($Y$309:Y339)-1)+1),3),"")</f>
        <v>0</v>
      </c>
      <c r="Z339" s="111">
        <f>INDEX('M04-S01'!$B$16:$B$198,2*(ROWS($Z$309:Z339)-1)+1)</f>
        <v>31</v>
      </c>
      <c r="AA339" s="111">
        <f>INDEX('M04-S01'!$F$16:$F$198,2*(ROWS($Z$309:AA339)-1)+1)</f>
        <v>0</v>
      </c>
      <c r="AB339" s="111">
        <f>INDEX('M04-S01'!$S$16:$S$198,2*(ROWS($Z$309:AB339)-1)+1)</f>
        <v>0</v>
      </c>
      <c r="AC339">
        <f>INDEX('M04-S01'!$J$16:$J$198,2*(ROWS($AC$309:AC339)-1)+1)</f>
        <v>0</v>
      </c>
      <c r="AD339">
        <f>INDEX('M04-S01'!$W$16:$W$198,2*(ROWS($AD$309:AD339)-1)+1)</f>
        <v>0</v>
      </c>
      <c r="AE339" s="459"/>
      <c r="AF339" s="459"/>
      <c r="AG339" s="111" t="str">
        <f>INDEX('M04-S01'!$AX$16:$AX$198,2*(ROWS($AG$309:AG339)-1)+1)</f>
        <v/>
      </c>
      <c r="AH339" s="111" t="str">
        <f>INDEX('M04-S01'!$AY$16:$AY$198,2*(ROWS($AH$309:AH339)-1)+1)</f>
        <v/>
      </c>
      <c r="AI339" s="113"/>
      <c r="AJ339" s="113"/>
      <c r="AK339" s="52" t="str">
        <f>INDEX('M04-S01'!$AV$16:$AV$198,2*(ROWS($AK$309:AK339)-1)+1)</f>
        <v/>
      </c>
      <c r="AL339" s="184">
        <f>IF(NOT(ISNUMBER(INDEX('M04-S01'!$AN$16:$AN$198,2*(ROWS($R$309:$R339)-1)+1))),INDEX('M04-S01'!$Z$16:$Z$198,2*(ROWS($AL$309:$AL339)-1)+1)*INDEX('M04-S01'!$AD$16:$AD$198,2*(ROWS($AL$309:$AL339)-1)+1),"")</f>
        <v>0</v>
      </c>
      <c r="AM339" s="184">
        <f>IF(AND(NOT(ISNUMBER(INDEX('M04-S01'!$AN$16:$AN$198,2*(ROWS($R$309:$R339)-1)+1))),T339&gt;0),INDEX('M04-S01'!$Z$16:$Z$198,2*(ROWS($AM$309:$AM339)-1)+1)*INDEX('M04-S01'!$AF$16:$AF$198,2*(ROWS($AM$309:$AM339)-1)+1),"")</f>
        <v>0</v>
      </c>
      <c r="AN339" s="52" t="str">
        <f>IF(NOT(ISNUMBER(INDEX('M04-S01'!$AN$16:$AN$198,2*(ROWS($R$309:$R339)-1)+1))),INDEX('M04-S01'!$AH$16:$AH$198,2*(ROWS($AN$309:$AN339)-1)+1),"")</f>
        <v/>
      </c>
      <c r="AO339" s="113"/>
      <c r="AU339"/>
    </row>
    <row r="340" spans="1:47">
      <c r="A340" s="57">
        <f t="shared" si="31"/>
        <v>0</v>
      </c>
      <c r="B340" s="183" t="str">
        <f t="shared" si="33"/>
        <v/>
      </c>
      <c r="C340" s="186" t="str">
        <f>IF(OR(R340&gt;0,T340&gt;0),INDEX('M04-S01'!$AZ$16:$AZ$198,2*(ROWS($C$309:C340)-1)+1),"")</f>
        <v/>
      </c>
      <c r="D340" t="s">
        <v>231</v>
      </c>
      <c r="F340" s="185">
        <f>INDEX('M04-S01'!$Q$16:$Q$198,2*(ROWS($F$309:F340)-1)+1)</f>
        <v>0</v>
      </c>
      <c r="G340" s="186">
        <f>INDEX('M04-S01'!$C$16:$C$198,2*(ROWS($G$309:G340)-1)+1)</f>
        <v>0</v>
      </c>
      <c r="H340" s="186" t="str">
        <f>IF(ISNUMBER(INDEX('M04-S01'!$AN$16:$AN$198,2*(ROWS($R$309:R340)-1)+1)),"Total","")</f>
        <v/>
      </c>
      <c r="I340" s="184">
        <f>IFERROR(ROUND(IF(ISNUMBER(INDEX('M04-S01'!$AN$16:$AN$198,2*(ROWS($R$309:$R340)-1)+1)),INDEX('M04-S01'!$Z$16:$Z$198,2*(ROWS($I$309:$I340)-1)+1)*INDEX('M04-S01'!$AD$16:$AD$198,2*(ROWS($I$309:$I340)-1)+1),""),2),0)</f>
        <v>0</v>
      </c>
      <c r="J340" s="184">
        <f>IFERROR(ROUND(IF(ISNUMBER(INDEX('M04-S01'!$AN$16:$AN$198,2*(ROWS($R$309:$R340)-1)+1)),INDEX('M04-S01'!$Z$16:$Z$198,2*(ROWS($J$309:$J340)-1)+1)*INDEX('M04-S01'!$AF$16:$AF$198,2*(ROWS($J$309:$J340)-1)+1),""),2),0)</f>
        <v>0</v>
      </c>
      <c r="K340" s="52">
        <f>IFERROR(ROUND(IF(ISNUMBER(INDEX('M04-S01'!$AN$16:$AN$198,2*(ROWS($R$309:$R340)-1)+1)),INDEX('M04-S01'!$AH$16:$AH$198,2*(ROWS($K$309:$K340)-1)+1),""),2),0)</f>
        <v>0</v>
      </c>
      <c r="M340" s="456" t="str">
        <f>IF(ISNUMBER(INDEX('M04-S01'!$AN$16:$AN$198,2*(ROWS($R$309:R340)-1)+1)),INDEX('M04-S01'!$Z$16:$Z$198,2*(ROWS($M$309:M340)-1)+1),"")</f>
        <v/>
      </c>
      <c r="N340" s="184" t="str">
        <f>IF(ISNUMBER(INDEX('M04-S01'!$AN$16:$AN$198,2*(ROWS($R$309:R340)-1)+1)),INDEX('M04-S01'!$AK$16:$AK$198,2*(ROWS($N$309:N340)-1)+1),"")</f>
        <v/>
      </c>
      <c r="O340" s="456" t="str">
        <f>IF(ISNUMBER(INDEX('M04-S01'!$AN$16:$AN$198,2*(ROWS($R$309:R340)-1)+1)),INDEX('M04-S01'!$AW$16:$AW$198,2*(ROWS($O$309:O340)-1)+1),"")</f>
        <v/>
      </c>
      <c r="P340" s="113"/>
      <c r="Q340" s="456" t="str">
        <f>IF(ISNUMBER(INDEX('M04-S01'!$AN$16:$AN$198,2*(ROWS($R$309:R340)-1)+1)),INDEX('M04-S01'!$BB$16:$BB$198,2*(ROWS($Q$309:Q340)-1)+1),"")</f>
        <v/>
      </c>
      <c r="R340" s="184">
        <f>IF(ISNUMBER(INDEX('M04-S01'!$AN$16:$AN$198,2*(ROWS($R$309:R340)-1)+1)),INDEX('M04-S01'!$AN$16:$AN$198,2*(ROWS($R$309:R340)-1)+1),0)</f>
        <v>0</v>
      </c>
      <c r="S340" s="23">
        <f>IF(NOT(ISNUMBER(INDEX('M04-S01'!$AN$16:$AN$198,2*(ROWS($R$309:R340)-1)+1))),INDEX('M04-S01'!$Z$16:$Z$198,2*(ROWS($S$309:S340)-1)+1),"")</f>
        <v>0</v>
      </c>
      <c r="T340" s="52" t="str">
        <f>IFERROR(IF(NOT(ISNUMBER(INDEX('M04-S01'!$AN$16:$AN$198,2*(ROWS($R$309:R340)-1)+1))),INDEX('M04-S01'!$AK$16:$AK$198,2*(ROWS($R$309:R340)-1)+1),0),0)</f>
        <v/>
      </c>
      <c r="U340" s="23" t="str">
        <f>IFERROR(IF(NOT(ISNUMBER(INDEX('M04-S01'!$AN$16:$AN$198,2*(ROWS($R$309:R340)-1)+1))),INDEX('M04-S01'!$AW$16:$AW$198,2*(ROWS($R$309:R340)-1)+1),""),"")</f>
        <v/>
      </c>
      <c r="V340" s="113"/>
      <c r="W340" t="str">
        <f>IFERROR(IF(NOT(ISNUMBER(INDEX('M04-S01'!$AN$16:$AN$198,2*(ROWS($R$309:R340)-1)+1))),INDEX('M04-S01'!$BD$16:$BD$198,2*(ROWS($R$309:R340)-1)+1),""),"")</f>
        <v/>
      </c>
      <c r="X340" s="184" t="str">
        <f>IFERROR(ROUND(INDEX('M04-S01'!$O$16:$O$198,2*(ROWS($X$309:X340)-1)+1),3),"")</f>
        <v/>
      </c>
      <c r="Y340" s="184">
        <f>IFERROR(ROUND(INDEX('M04-S01'!$AB$16:$AB$198,2*(ROWS($Y$309:Y340)-1)+1),3),"")</f>
        <v>0</v>
      </c>
      <c r="Z340" s="111">
        <f>INDEX('M04-S01'!$B$16:$B$198,2*(ROWS($Z$309:Z340)-1)+1)</f>
        <v>32</v>
      </c>
      <c r="AA340" s="111">
        <f>INDEX('M04-S01'!$F$16:$F$198,2*(ROWS($Z$309:AA340)-1)+1)</f>
        <v>0</v>
      </c>
      <c r="AB340" s="111">
        <f>INDEX('M04-S01'!$S$16:$S$198,2*(ROWS($Z$309:AB340)-1)+1)</f>
        <v>0</v>
      </c>
      <c r="AC340">
        <f>INDEX('M04-S01'!$J$16:$J$198,2*(ROWS($AC$309:AC340)-1)+1)</f>
        <v>0</v>
      </c>
      <c r="AD340">
        <f>INDEX('M04-S01'!$W$16:$W$198,2*(ROWS($AD$309:AD340)-1)+1)</f>
        <v>0</v>
      </c>
      <c r="AE340" s="459"/>
      <c r="AF340" s="459"/>
      <c r="AG340" s="111" t="str">
        <f>INDEX('M04-S01'!$AX$16:$AX$198,2*(ROWS($AG$309:AG340)-1)+1)</f>
        <v/>
      </c>
      <c r="AH340" s="111" t="str">
        <f>INDEX('M04-S01'!$AY$16:$AY$198,2*(ROWS($AH$309:AH340)-1)+1)</f>
        <v/>
      </c>
      <c r="AI340" s="113"/>
      <c r="AJ340" s="113"/>
      <c r="AK340" s="52" t="str">
        <f>INDEX('M04-S01'!$AV$16:$AV$198,2*(ROWS($AK$309:AK340)-1)+1)</f>
        <v/>
      </c>
      <c r="AL340" s="184">
        <f>IF(NOT(ISNUMBER(INDEX('M04-S01'!$AN$16:$AN$198,2*(ROWS($R$309:$R340)-1)+1))),INDEX('M04-S01'!$Z$16:$Z$198,2*(ROWS($AL$309:$AL340)-1)+1)*INDEX('M04-S01'!$AD$16:$AD$198,2*(ROWS($AL$309:$AL340)-1)+1),"")</f>
        <v>0</v>
      </c>
      <c r="AM340" s="184">
        <f>IF(AND(NOT(ISNUMBER(INDEX('M04-S01'!$AN$16:$AN$198,2*(ROWS($R$309:$R340)-1)+1))),T340&gt;0),INDEX('M04-S01'!$Z$16:$Z$198,2*(ROWS($AM$309:$AM340)-1)+1)*INDEX('M04-S01'!$AF$16:$AF$198,2*(ROWS($AM$309:$AM340)-1)+1),"")</f>
        <v>0</v>
      </c>
      <c r="AN340" s="52" t="str">
        <f>IF(NOT(ISNUMBER(INDEX('M04-S01'!$AN$16:$AN$198,2*(ROWS($R$309:$R340)-1)+1))),INDEX('M04-S01'!$AH$16:$AH$198,2*(ROWS($AN$309:$AN340)-1)+1),"")</f>
        <v/>
      </c>
      <c r="AO340" s="113"/>
      <c r="AU340"/>
    </row>
    <row r="341" spans="1:47">
      <c r="A341" s="57">
        <f t="shared" si="31"/>
        <v>0</v>
      </c>
      <c r="B341" s="183" t="str">
        <f t="shared" si="33"/>
        <v/>
      </c>
      <c r="C341" s="186" t="str">
        <f>IF(OR(R341&gt;0,T341&gt;0),INDEX('M04-S01'!$AZ$16:$AZ$198,2*(ROWS($C$309:C341)-1)+1),"")</f>
        <v/>
      </c>
      <c r="D341" t="s">
        <v>231</v>
      </c>
      <c r="F341" s="185">
        <f>INDEX('M04-S01'!$Q$16:$Q$198,2*(ROWS($F$309:F341)-1)+1)</f>
        <v>0</v>
      </c>
      <c r="G341" s="186">
        <f>INDEX('M04-S01'!$C$16:$C$198,2*(ROWS($G$309:G341)-1)+1)</f>
        <v>0</v>
      </c>
      <c r="H341" s="186" t="str">
        <f>IF(ISNUMBER(INDEX('M04-S01'!$AN$16:$AN$198,2*(ROWS($R$309:R341)-1)+1)),"Total","")</f>
        <v/>
      </c>
      <c r="I341" s="184">
        <f>IFERROR(ROUND(IF(ISNUMBER(INDEX('M04-S01'!$AN$16:$AN$198,2*(ROWS($R$309:$R341)-1)+1)),INDEX('M04-S01'!$Z$16:$Z$198,2*(ROWS($I$309:$I341)-1)+1)*INDEX('M04-S01'!$AD$16:$AD$198,2*(ROWS($I$309:$I341)-1)+1),""),2),0)</f>
        <v>0</v>
      </c>
      <c r="J341" s="184">
        <f>IFERROR(ROUND(IF(ISNUMBER(INDEX('M04-S01'!$AN$16:$AN$198,2*(ROWS($R$309:$R341)-1)+1)),INDEX('M04-S01'!$Z$16:$Z$198,2*(ROWS($J$309:$J341)-1)+1)*INDEX('M04-S01'!$AF$16:$AF$198,2*(ROWS($J$309:$J341)-1)+1),""),2),0)</f>
        <v>0</v>
      </c>
      <c r="K341" s="52">
        <f>IFERROR(ROUND(IF(ISNUMBER(INDEX('M04-S01'!$AN$16:$AN$198,2*(ROWS($R$309:$R341)-1)+1)),INDEX('M04-S01'!$AH$16:$AH$198,2*(ROWS($K$309:$K341)-1)+1),""),2),0)</f>
        <v>0</v>
      </c>
      <c r="M341" s="456" t="str">
        <f>IF(ISNUMBER(INDEX('M04-S01'!$AN$16:$AN$198,2*(ROWS($R$309:R341)-1)+1)),INDEX('M04-S01'!$Z$16:$Z$198,2*(ROWS($M$309:M341)-1)+1),"")</f>
        <v/>
      </c>
      <c r="N341" s="184" t="str">
        <f>IF(ISNUMBER(INDEX('M04-S01'!$AN$16:$AN$198,2*(ROWS($R$309:R341)-1)+1)),INDEX('M04-S01'!$AK$16:$AK$198,2*(ROWS($N$309:N341)-1)+1),"")</f>
        <v/>
      </c>
      <c r="O341" s="456" t="str">
        <f>IF(ISNUMBER(INDEX('M04-S01'!$AN$16:$AN$198,2*(ROWS($R$309:R341)-1)+1)),INDEX('M04-S01'!$AW$16:$AW$198,2*(ROWS($O$309:O341)-1)+1),"")</f>
        <v/>
      </c>
      <c r="P341" s="113"/>
      <c r="Q341" s="456" t="str">
        <f>IF(ISNUMBER(INDEX('M04-S01'!$AN$16:$AN$198,2*(ROWS($R$309:R341)-1)+1)),INDEX('M04-S01'!$BB$16:$BB$198,2*(ROWS($Q$309:Q341)-1)+1),"")</f>
        <v/>
      </c>
      <c r="R341" s="184">
        <f>IF(ISNUMBER(INDEX('M04-S01'!$AN$16:$AN$198,2*(ROWS($R$309:R341)-1)+1)),INDEX('M04-S01'!$AN$16:$AN$198,2*(ROWS($R$309:R341)-1)+1),0)</f>
        <v>0</v>
      </c>
      <c r="S341" s="23">
        <f>IF(NOT(ISNUMBER(INDEX('M04-S01'!$AN$16:$AN$198,2*(ROWS($R$309:R341)-1)+1))),INDEX('M04-S01'!$Z$16:$Z$198,2*(ROWS($S$309:S341)-1)+1),"")</f>
        <v>0</v>
      </c>
      <c r="T341" s="52" t="str">
        <f>IFERROR(IF(NOT(ISNUMBER(INDEX('M04-S01'!$AN$16:$AN$198,2*(ROWS($R$309:R341)-1)+1))),INDEX('M04-S01'!$AK$16:$AK$198,2*(ROWS($R$309:R341)-1)+1),0),0)</f>
        <v/>
      </c>
      <c r="U341" s="23" t="str">
        <f>IFERROR(IF(NOT(ISNUMBER(INDEX('M04-S01'!$AN$16:$AN$198,2*(ROWS($R$309:R341)-1)+1))),INDEX('M04-S01'!$AW$16:$AW$198,2*(ROWS($R$309:R341)-1)+1),""),"")</f>
        <v/>
      </c>
      <c r="V341" s="113"/>
      <c r="W341" t="str">
        <f>IFERROR(IF(NOT(ISNUMBER(INDEX('M04-S01'!$AN$16:$AN$198,2*(ROWS($R$309:R341)-1)+1))),INDEX('M04-S01'!$BD$16:$BD$198,2*(ROWS($R$309:R341)-1)+1),""),"")</f>
        <v/>
      </c>
      <c r="X341" s="184" t="str">
        <f>IFERROR(ROUND(INDEX('M04-S01'!$O$16:$O$198,2*(ROWS($X$309:X341)-1)+1),3),"")</f>
        <v/>
      </c>
      <c r="Y341" s="184">
        <f>IFERROR(ROUND(INDEX('M04-S01'!$AB$16:$AB$198,2*(ROWS($Y$309:Y341)-1)+1),3),"")</f>
        <v>0</v>
      </c>
      <c r="Z341" s="111">
        <f>INDEX('M04-S01'!$B$16:$B$198,2*(ROWS($Z$309:Z341)-1)+1)</f>
        <v>33</v>
      </c>
      <c r="AA341" s="111">
        <f>INDEX('M04-S01'!$F$16:$F$198,2*(ROWS($Z$309:AA341)-1)+1)</f>
        <v>0</v>
      </c>
      <c r="AB341" s="111">
        <f>INDEX('M04-S01'!$S$16:$S$198,2*(ROWS($Z$309:AB341)-1)+1)</f>
        <v>0</v>
      </c>
      <c r="AC341">
        <f>INDEX('M04-S01'!$J$16:$J$198,2*(ROWS($AC$309:AC341)-1)+1)</f>
        <v>0</v>
      </c>
      <c r="AD341">
        <f>INDEX('M04-S01'!$W$16:$W$198,2*(ROWS($AD$309:AD341)-1)+1)</f>
        <v>0</v>
      </c>
      <c r="AE341" s="459"/>
      <c r="AF341" s="459"/>
      <c r="AG341" s="111" t="str">
        <f>INDEX('M04-S01'!$AX$16:$AX$198,2*(ROWS($AG$309:AG341)-1)+1)</f>
        <v/>
      </c>
      <c r="AH341" s="111" t="str">
        <f>INDEX('M04-S01'!$AY$16:$AY$198,2*(ROWS($AH$309:AH341)-1)+1)</f>
        <v/>
      </c>
      <c r="AI341" s="113"/>
      <c r="AJ341" s="113"/>
      <c r="AK341" s="52" t="str">
        <f>INDEX('M04-S01'!$AV$16:$AV$198,2*(ROWS($AK$309:AK341)-1)+1)</f>
        <v/>
      </c>
      <c r="AL341" s="184">
        <f>IF(NOT(ISNUMBER(INDEX('M04-S01'!$AN$16:$AN$198,2*(ROWS($R$309:$R341)-1)+1))),INDEX('M04-S01'!$Z$16:$Z$198,2*(ROWS($AL$309:$AL341)-1)+1)*INDEX('M04-S01'!$AD$16:$AD$198,2*(ROWS($AL$309:$AL341)-1)+1),"")</f>
        <v>0</v>
      </c>
      <c r="AM341" s="184">
        <f>IF(AND(NOT(ISNUMBER(INDEX('M04-S01'!$AN$16:$AN$198,2*(ROWS($R$309:$R341)-1)+1))),T341&gt;0),INDEX('M04-S01'!$Z$16:$Z$198,2*(ROWS($AM$309:$AM341)-1)+1)*INDEX('M04-S01'!$AF$16:$AF$198,2*(ROWS($AM$309:$AM341)-1)+1),"")</f>
        <v>0</v>
      </c>
      <c r="AN341" s="52" t="str">
        <f>IF(NOT(ISNUMBER(INDEX('M04-S01'!$AN$16:$AN$198,2*(ROWS($R$309:$R341)-1)+1))),INDEX('M04-S01'!$AH$16:$AH$198,2*(ROWS($AN$309:$AN341)-1)+1),"")</f>
        <v/>
      </c>
      <c r="AO341" s="113"/>
      <c r="AU341"/>
    </row>
    <row r="342" spans="1:47">
      <c r="A342" s="57">
        <f t="shared" si="31"/>
        <v>0</v>
      </c>
      <c r="B342" s="183" t="str">
        <f t="shared" si="33"/>
        <v/>
      </c>
      <c r="C342" s="186" t="str">
        <f>IF(OR(R342&gt;0,T342&gt;0),INDEX('M04-S01'!$AZ$16:$AZ$198,2*(ROWS($C$309:C342)-1)+1),"")</f>
        <v/>
      </c>
      <c r="D342" t="s">
        <v>231</v>
      </c>
      <c r="F342" s="185">
        <f>INDEX('M04-S01'!$Q$16:$Q$198,2*(ROWS($F$309:F342)-1)+1)</f>
        <v>0</v>
      </c>
      <c r="G342" s="186">
        <f>INDEX('M04-S01'!$C$16:$C$198,2*(ROWS($G$309:G342)-1)+1)</f>
        <v>0</v>
      </c>
      <c r="H342" s="186" t="str">
        <f>IF(ISNUMBER(INDEX('M04-S01'!$AN$16:$AN$198,2*(ROWS($R$309:R342)-1)+1)),"Total","")</f>
        <v/>
      </c>
      <c r="I342" s="184">
        <f>IFERROR(ROUND(IF(ISNUMBER(INDEX('M04-S01'!$AN$16:$AN$198,2*(ROWS($R$309:$R342)-1)+1)),INDEX('M04-S01'!$Z$16:$Z$198,2*(ROWS($I$309:$I342)-1)+1)*INDEX('M04-S01'!$AD$16:$AD$198,2*(ROWS($I$309:$I342)-1)+1),""),2),0)</f>
        <v>0</v>
      </c>
      <c r="J342" s="184">
        <f>IFERROR(ROUND(IF(ISNUMBER(INDEX('M04-S01'!$AN$16:$AN$198,2*(ROWS($R$309:$R342)-1)+1)),INDEX('M04-S01'!$Z$16:$Z$198,2*(ROWS($J$309:$J342)-1)+1)*INDEX('M04-S01'!$AF$16:$AF$198,2*(ROWS($J$309:$J342)-1)+1),""),2),0)</f>
        <v>0</v>
      </c>
      <c r="K342" s="52">
        <f>IFERROR(ROUND(IF(ISNUMBER(INDEX('M04-S01'!$AN$16:$AN$198,2*(ROWS($R$309:$R342)-1)+1)),INDEX('M04-S01'!$AH$16:$AH$198,2*(ROWS($K$309:$K342)-1)+1),""),2),0)</f>
        <v>0</v>
      </c>
      <c r="M342" s="456" t="str">
        <f>IF(ISNUMBER(INDEX('M04-S01'!$AN$16:$AN$198,2*(ROWS($R$309:R342)-1)+1)),INDEX('M04-S01'!$Z$16:$Z$198,2*(ROWS($M$309:M342)-1)+1),"")</f>
        <v/>
      </c>
      <c r="N342" s="184" t="str">
        <f>IF(ISNUMBER(INDEX('M04-S01'!$AN$16:$AN$198,2*(ROWS($R$309:R342)-1)+1)),INDEX('M04-S01'!$AK$16:$AK$198,2*(ROWS($N$309:N342)-1)+1),"")</f>
        <v/>
      </c>
      <c r="O342" s="456" t="str">
        <f>IF(ISNUMBER(INDEX('M04-S01'!$AN$16:$AN$198,2*(ROWS($R$309:R342)-1)+1)),INDEX('M04-S01'!$AW$16:$AW$198,2*(ROWS($O$309:O342)-1)+1),"")</f>
        <v/>
      </c>
      <c r="P342" s="113"/>
      <c r="Q342" s="456" t="str">
        <f>IF(ISNUMBER(INDEX('M04-S01'!$AN$16:$AN$198,2*(ROWS($R$309:R342)-1)+1)),INDEX('M04-S01'!$BB$16:$BB$198,2*(ROWS($Q$309:Q342)-1)+1),"")</f>
        <v/>
      </c>
      <c r="R342" s="184">
        <f>IF(ISNUMBER(INDEX('M04-S01'!$AN$16:$AN$198,2*(ROWS($R$309:R342)-1)+1)),INDEX('M04-S01'!$AN$16:$AN$198,2*(ROWS($R$309:R342)-1)+1),0)</f>
        <v>0</v>
      </c>
      <c r="S342" s="23">
        <f>IF(NOT(ISNUMBER(INDEX('M04-S01'!$AN$16:$AN$198,2*(ROWS($R$309:R342)-1)+1))),INDEX('M04-S01'!$Z$16:$Z$198,2*(ROWS($S$309:S342)-1)+1),"")</f>
        <v>0</v>
      </c>
      <c r="T342" s="52" t="str">
        <f>IFERROR(IF(NOT(ISNUMBER(INDEX('M04-S01'!$AN$16:$AN$198,2*(ROWS($R$309:R342)-1)+1))),INDEX('M04-S01'!$AK$16:$AK$198,2*(ROWS($R$309:R342)-1)+1),0),0)</f>
        <v/>
      </c>
      <c r="U342" s="23" t="str">
        <f>IFERROR(IF(NOT(ISNUMBER(INDEX('M04-S01'!$AN$16:$AN$198,2*(ROWS($R$309:R342)-1)+1))),INDEX('M04-S01'!$AW$16:$AW$198,2*(ROWS($R$309:R342)-1)+1),""),"")</f>
        <v/>
      </c>
      <c r="V342" s="113"/>
      <c r="W342" t="str">
        <f>IFERROR(IF(NOT(ISNUMBER(INDEX('M04-S01'!$AN$16:$AN$198,2*(ROWS($R$309:R342)-1)+1))),INDEX('M04-S01'!$BD$16:$BD$198,2*(ROWS($R$309:R342)-1)+1),""),"")</f>
        <v/>
      </c>
      <c r="X342" s="184" t="str">
        <f>IFERROR(ROUND(INDEX('M04-S01'!$O$16:$O$198,2*(ROWS($X$309:X342)-1)+1),3),"")</f>
        <v/>
      </c>
      <c r="Y342" s="184">
        <f>IFERROR(ROUND(INDEX('M04-S01'!$AB$16:$AB$198,2*(ROWS($Y$309:Y342)-1)+1),3),"")</f>
        <v>0</v>
      </c>
      <c r="Z342" s="111">
        <f>INDEX('M04-S01'!$B$16:$B$198,2*(ROWS($Z$309:Z342)-1)+1)</f>
        <v>34</v>
      </c>
      <c r="AA342" s="111">
        <f>INDEX('M04-S01'!$F$16:$F$198,2*(ROWS($Z$309:AA342)-1)+1)</f>
        <v>0</v>
      </c>
      <c r="AB342" s="111">
        <f>INDEX('M04-S01'!$S$16:$S$198,2*(ROWS($Z$309:AB342)-1)+1)</f>
        <v>0</v>
      </c>
      <c r="AC342">
        <f>INDEX('M04-S01'!$J$16:$J$198,2*(ROWS($AC$309:AC342)-1)+1)</f>
        <v>0</v>
      </c>
      <c r="AD342">
        <f>INDEX('M04-S01'!$W$16:$W$198,2*(ROWS($AD$309:AD342)-1)+1)</f>
        <v>0</v>
      </c>
      <c r="AE342" s="459"/>
      <c r="AF342" s="459"/>
      <c r="AG342" s="111" t="str">
        <f>INDEX('M04-S01'!$AX$16:$AX$198,2*(ROWS($AG$309:AG342)-1)+1)</f>
        <v/>
      </c>
      <c r="AH342" s="111" t="str">
        <f>INDEX('M04-S01'!$AY$16:$AY$198,2*(ROWS($AH$309:AH342)-1)+1)</f>
        <v/>
      </c>
      <c r="AI342" s="113"/>
      <c r="AJ342" s="113"/>
      <c r="AK342" s="52" t="str">
        <f>INDEX('M04-S01'!$AV$16:$AV$198,2*(ROWS($AK$309:AK342)-1)+1)</f>
        <v/>
      </c>
      <c r="AL342" s="184">
        <f>IF(NOT(ISNUMBER(INDEX('M04-S01'!$AN$16:$AN$198,2*(ROWS($R$309:$R342)-1)+1))),INDEX('M04-S01'!$Z$16:$Z$198,2*(ROWS($AL$309:$AL342)-1)+1)*INDEX('M04-S01'!$AD$16:$AD$198,2*(ROWS($AL$309:$AL342)-1)+1),"")</f>
        <v>0</v>
      </c>
      <c r="AM342" s="184">
        <f>IF(AND(NOT(ISNUMBER(INDEX('M04-S01'!$AN$16:$AN$198,2*(ROWS($R$309:$R342)-1)+1))),T342&gt;0),INDEX('M04-S01'!$Z$16:$Z$198,2*(ROWS($AM$309:$AM342)-1)+1)*INDEX('M04-S01'!$AF$16:$AF$198,2*(ROWS($AM$309:$AM342)-1)+1),"")</f>
        <v>0</v>
      </c>
      <c r="AN342" s="52" t="str">
        <f>IF(NOT(ISNUMBER(INDEX('M04-S01'!$AN$16:$AN$198,2*(ROWS($R$309:$R342)-1)+1))),INDEX('M04-S01'!$AH$16:$AH$198,2*(ROWS($AN$309:$AN342)-1)+1),"")</f>
        <v/>
      </c>
      <c r="AO342" s="113"/>
      <c r="AU342"/>
    </row>
    <row r="343" spans="1:47">
      <c r="A343" s="57">
        <f t="shared" si="31"/>
        <v>0</v>
      </c>
      <c r="B343" s="183" t="str">
        <f t="shared" si="33"/>
        <v/>
      </c>
      <c r="C343" s="186" t="str">
        <f>IF(OR(R343&gt;0,T343&gt;0),INDEX('M04-S01'!$AZ$16:$AZ$198,2*(ROWS($C$309:C343)-1)+1),"")</f>
        <v/>
      </c>
      <c r="D343" t="s">
        <v>231</v>
      </c>
      <c r="F343" s="185">
        <f>INDEX('M04-S01'!$Q$16:$Q$198,2*(ROWS($F$309:F343)-1)+1)</f>
        <v>0</v>
      </c>
      <c r="G343" s="186">
        <f>INDEX('M04-S01'!$C$16:$C$198,2*(ROWS($G$309:G343)-1)+1)</f>
        <v>0</v>
      </c>
      <c r="H343" s="186" t="str">
        <f>IF(ISNUMBER(INDEX('M04-S01'!$AN$16:$AN$198,2*(ROWS($R$309:R343)-1)+1)),"Total","")</f>
        <v/>
      </c>
      <c r="I343" s="184">
        <f>IFERROR(ROUND(IF(ISNUMBER(INDEX('M04-S01'!$AN$16:$AN$198,2*(ROWS($R$309:$R343)-1)+1)),INDEX('M04-S01'!$Z$16:$Z$198,2*(ROWS($I$309:$I343)-1)+1)*INDEX('M04-S01'!$AD$16:$AD$198,2*(ROWS($I$309:$I343)-1)+1),""),2),0)</f>
        <v>0</v>
      </c>
      <c r="J343" s="184">
        <f>IFERROR(ROUND(IF(ISNUMBER(INDEX('M04-S01'!$AN$16:$AN$198,2*(ROWS($R$309:$R343)-1)+1)),INDEX('M04-S01'!$Z$16:$Z$198,2*(ROWS($J$309:$J343)-1)+1)*INDEX('M04-S01'!$AF$16:$AF$198,2*(ROWS($J$309:$J343)-1)+1),""),2),0)</f>
        <v>0</v>
      </c>
      <c r="K343" s="52">
        <f>IFERROR(ROUND(IF(ISNUMBER(INDEX('M04-S01'!$AN$16:$AN$198,2*(ROWS($R$309:$R343)-1)+1)),INDEX('M04-S01'!$AH$16:$AH$198,2*(ROWS($K$309:$K343)-1)+1),""),2),0)</f>
        <v>0</v>
      </c>
      <c r="M343" s="456" t="str">
        <f>IF(ISNUMBER(INDEX('M04-S01'!$AN$16:$AN$198,2*(ROWS($R$309:R343)-1)+1)),INDEX('M04-S01'!$Z$16:$Z$198,2*(ROWS($M$309:M343)-1)+1),"")</f>
        <v/>
      </c>
      <c r="N343" s="184" t="str">
        <f>IF(ISNUMBER(INDEX('M04-S01'!$AN$16:$AN$198,2*(ROWS($R$309:R343)-1)+1)),INDEX('M04-S01'!$AK$16:$AK$198,2*(ROWS($N$309:N343)-1)+1),"")</f>
        <v/>
      </c>
      <c r="O343" s="456" t="str">
        <f>IF(ISNUMBER(INDEX('M04-S01'!$AN$16:$AN$198,2*(ROWS($R$309:R343)-1)+1)),INDEX('M04-S01'!$AW$16:$AW$198,2*(ROWS($O$309:O343)-1)+1),"")</f>
        <v/>
      </c>
      <c r="P343" s="113"/>
      <c r="Q343" s="456" t="str">
        <f>IF(ISNUMBER(INDEX('M04-S01'!$AN$16:$AN$198,2*(ROWS($R$309:R343)-1)+1)),INDEX('M04-S01'!$BB$16:$BB$198,2*(ROWS($Q$309:Q343)-1)+1),"")</f>
        <v/>
      </c>
      <c r="R343" s="184">
        <f>IF(ISNUMBER(INDEX('M04-S01'!$AN$16:$AN$198,2*(ROWS($R$309:R343)-1)+1)),INDEX('M04-S01'!$AN$16:$AN$198,2*(ROWS($R$309:R343)-1)+1),0)</f>
        <v>0</v>
      </c>
      <c r="S343" s="23">
        <f>IF(NOT(ISNUMBER(INDEX('M04-S01'!$AN$16:$AN$198,2*(ROWS($R$309:R343)-1)+1))),INDEX('M04-S01'!$Z$16:$Z$198,2*(ROWS($S$309:S343)-1)+1),"")</f>
        <v>0</v>
      </c>
      <c r="T343" s="52" t="str">
        <f>IFERROR(IF(NOT(ISNUMBER(INDEX('M04-S01'!$AN$16:$AN$198,2*(ROWS($R$309:R343)-1)+1))),INDEX('M04-S01'!$AK$16:$AK$198,2*(ROWS($R$309:R343)-1)+1),0),0)</f>
        <v/>
      </c>
      <c r="U343" s="23" t="str">
        <f>IFERROR(IF(NOT(ISNUMBER(INDEX('M04-S01'!$AN$16:$AN$198,2*(ROWS($R$309:R343)-1)+1))),INDEX('M04-S01'!$AW$16:$AW$198,2*(ROWS($R$309:R343)-1)+1),""),"")</f>
        <v/>
      </c>
      <c r="V343" s="113"/>
      <c r="W343" t="str">
        <f>IFERROR(IF(NOT(ISNUMBER(INDEX('M04-S01'!$AN$16:$AN$198,2*(ROWS($R$309:R343)-1)+1))),INDEX('M04-S01'!$BD$16:$BD$198,2*(ROWS($R$309:R343)-1)+1),""),"")</f>
        <v/>
      </c>
      <c r="X343" s="184" t="str">
        <f>IFERROR(ROUND(INDEX('M04-S01'!$O$16:$O$198,2*(ROWS($X$309:X343)-1)+1),3),"")</f>
        <v/>
      </c>
      <c r="Y343" s="184">
        <f>IFERROR(ROUND(INDEX('M04-S01'!$AB$16:$AB$198,2*(ROWS($Y$309:Y343)-1)+1),3),"")</f>
        <v>0</v>
      </c>
      <c r="Z343" s="111">
        <f>INDEX('M04-S01'!$B$16:$B$198,2*(ROWS($Z$309:Z343)-1)+1)</f>
        <v>35</v>
      </c>
      <c r="AA343" s="111">
        <f>INDEX('M04-S01'!$F$16:$F$198,2*(ROWS($Z$309:AA343)-1)+1)</f>
        <v>0</v>
      </c>
      <c r="AB343" s="111">
        <f>INDEX('M04-S01'!$S$16:$S$198,2*(ROWS($Z$309:AB343)-1)+1)</f>
        <v>0</v>
      </c>
      <c r="AC343">
        <f>INDEX('M04-S01'!$J$16:$J$198,2*(ROWS($AC$309:AC343)-1)+1)</f>
        <v>0</v>
      </c>
      <c r="AD343">
        <f>INDEX('M04-S01'!$W$16:$W$198,2*(ROWS($AD$309:AD343)-1)+1)</f>
        <v>0</v>
      </c>
      <c r="AE343" s="459"/>
      <c r="AF343" s="459"/>
      <c r="AG343" s="111" t="str">
        <f>INDEX('M04-S01'!$AX$16:$AX$198,2*(ROWS($AG$309:AG343)-1)+1)</f>
        <v/>
      </c>
      <c r="AH343" s="111" t="str">
        <f>INDEX('M04-S01'!$AY$16:$AY$198,2*(ROWS($AH$309:AH343)-1)+1)</f>
        <v/>
      </c>
      <c r="AI343" s="113"/>
      <c r="AJ343" s="113"/>
      <c r="AK343" s="52" t="str">
        <f>INDEX('M04-S01'!$AV$16:$AV$198,2*(ROWS($AK$309:AK343)-1)+1)</f>
        <v/>
      </c>
      <c r="AL343" s="184">
        <f>IF(NOT(ISNUMBER(INDEX('M04-S01'!$AN$16:$AN$198,2*(ROWS($R$309:$R343)-1)+1))),INDEX('M04-S01'!$Z$16:$Z$198,2*(ROWS($AL$309:$AL343)-1)+1)*INDEX('M04-S01'!$AD$16:$AD$198,2*(ROWS($AL$309:$AL343)-1)+1),"")</f>
        <v>0</v>
      </c>
      <c r="AM343" s="184">
        <f>IF(AND(NOT(ISNUMBER(INDEX('M04-S01'!$AN$16:$AN$198,2*(ROWS($R$309:$R343)-1)+1))),T343&gt;0),INDEX('M04-S01'!$Z$16:$Z$198,2*(ROWS($AM$309:$AM343)-1)+1)*INDEX('M04-S01'!$AF$16:$AF$198,2*(ROWS($AM$309:$AM343)-1)+1),"")</f>
        <v>0</v>
      </c>
      <c r="AN343" s="52" t="str">
        <f>IF(NOT(ISNUMBER(INDEX('M04-S01'!$AN$16:$AN$198,2*(ROWS($R$309:$R343)-1)+1))),INDEX('M04-S01'!$AH$16:$AH$198,2*(ROWS($AN$309:$AN343)-1)+1),"")</f>
        <v/>
      </c>
      <c r="AO343" s="113"/>
      <c r="AU343"/>
    </row>
    <row r="344" spans="1:47">
      <c r="A344" s="57">
        <f t="shared" si="31"/>
        <v>0</v>
      </c>
      <c r="B344" s="183" t="str">
        <f t="shared" si="33"/>
        <v/>
      </c>
      <c r="C344" s="186" t="str">
        <f>IF(OR(R344&gt;0,T344&gt;0),INDEX('M04-S01'!$AZ$16:$AZ$198,2*(ROWS($C$309:C344)-1)+1),"")</f>
        <v/>
      </c>
      <c r="D344" t="s">
        <v>231</v>
      </c>
      <c r="F344" s="185">
        <f>INDEX('M04-S01'!$Q$16:$Q$198,2*(ROWS($F$309:F344)-1)+1)</f>
        <v>0</v>
      </c>
      <c r="G344" s="186">
        <f>INDEX('M04-S01'!$C$16:$C$198,2*(ROWS($G$309:G344)-1)+1)</f>
        <v>0</v>
      </c>
      <c r="H344" s="186" t="str">
        <f>IF(ISNUMBER(INDEX('M04-S01'!$AN$16:$AN$198,2*(ROWS($R$309:R344)-1)+1)),"Total","")</f>
        <v/>
      </c>
      <c r="I344" s="184">
        <f>IFERROR(ROUND(IF(ISNUMBER(INDEX('M04-S01'!$AN$16:$AN$198,2*(ROWS($R$309:$R344)-1)+1)),INDEX('M04-S01'!$Z$16:$Z$198,2*(ROWS($I$309:$I344)-1)+1)*INDEX('M04-S01'!$AD$16:$AD$198,2*(ROWS($I$309:$I344)-1)+1),""),2),0)</f>
        <v>0</v>
      </c>
      <c r="J344" s="184">
        <f>IFERROR(ROUND(IF(ISNUMBER(INDEX('M04-S01'!$AN$16:$AN$198,2*(ROWS($R$309:$R344)-1)+1)),INDEX('M04-S01'!$Z$16:$Z$198,2*(ROWS($J$309:$J344)-1)+1)*INDEX('M04-S01'!$AF$16:$AF$198,2*(ROWS($J$309:$J344)-1)+1),""),2),0)</f>
        <v>0</v>
      </c>
      <c r="K344" s="52">
        <f>IFERROR(ROUND(IF(ISNUMBER(INDEX('M04-S01'!$AN$16:$AN$198,2*(ROWS($R$309:$R344)-1)+1)),INDEX('M04-S01'!$AH$16:$AH$198,2*(ROWS($K$309:$K344)-1)+1),""),2),0)</f>
        <v>0</v>
      </c>
      <c r="M344" s="456" t="str">
        <f>IF(ISNUMBER(INDEX('M04-S01'!$AN$16:$AN$198,2*(ROWS($R$309:R344)-1)+1)),INDEX('M04-S01'!$Z$16:$Z$198,2*(ROWS($M$309:M344)-1)+1),"")</f>
        <v/>
      </c>
      <c r="N344" s="184" t="str">
        <f>IF(ISNUMBER(INDEX('M04-S01'!$AN$16:$AN$198,2*(ROWS($R$309:R344)-1)+1)),INDEX('M04-S01'!$AK$16:$AK$198,2*(ROWS($N$309:N344)-1)+1),"")</f>
        <v/>
      </c>
      <c r="O344" s="456" t="str">
        <f>IF(ISNUMBER(INDEX('M04-S01'!$AN$16:$AN$198,2*(ROWS($R$309:R344)-1)+1)),INDEX('M04-S01'!$AW$16:$AW$198,2*(ROWS($O$309:O344)-1)+1),"")</f>
        <v/>
      </c>
      <c r="P344" s="113"/>
      <c r="Q344" s="456" t="str">
        <f>IF(ISNUMBER(INDEX('M04-S01'!$AN$16:$AN$198,2*(ROWS($R$309:R344)-1)+1)),INDEX('M04-S01'!$BB$16:$BB$198,2*(ROWS($Q$309:Q344)-1)+1),"")</f>
        <v/>
      </c>
      <c r="R344" s="184">
        <f>IF(ISNUMBER(INDEX('M04-S01'!$AN$16:$AN$198,2*(ROWS($R$309:R344)-1)+1)),INDEX('M04-S01'!$AN$16:$AN$198,2*(ROWS($R$309:R344)-1)+1),0)</f>
        <v>0</v>
      </c>
      <c r="S344" s="23">
        <f>IF(NOT(ISNUMBER(INDEX('M04-S01'!$AN$16:$AN$198,2*(ROWS($R$309:R344)-1)+1))),INDEX('M04-S01'!$Z$16:$Z$198,2*(ROWS($S$309:S344)-1)+1),"")</f>
        <v>0</v>
      </c>
      <c r="T344" s="52" t="str">
        <f>IFERROR(IF(NOT(ISNUMBER(INDEX('M04-S01'!$AN$16:$AN$198,2*(ROWS($R$309:R344)-1)+1))),INDEX('M04-S01'!$AK$16:$AK$198,2*(ROWS($R$309:R344)-1)+1),0),0)</f>
        <v/>
      </c>
      <c r="U344" s="23" t="str">
        <f>IFERROR(IF(NOT(ISNUMBER(INDEX('M04-S01'!$AN$16:$AN$198,2*(ROWS($R$309:R344)-1)+1))),INDEX('M04-S01'!$AW$16:$AW$198,2*(ROWS($R$309:R344)-1)+1),""),"")</f>
        <v/>
      </c>
      <c r="V344" s="113"/>
      <c r="W344" t="str">
        <f>IFERROR(IF(NOT(ISNUMBER(INDEX('M04-S01'!$AN$16:$AN$198,2*(ROWS($R$309:R344)-1)+1))),INDEX('M04-S01'!$BD$16:$BD$198,2*(ROWS($R$309:R344)-1)+1),""),"")</f>
        <v/>
      </c>
      <c r="X344" s="184" t="str">
        <f>IFERROR(ROUND(INDEX('M04-S01'!$O$16:$O$198,2*(ROWS($X$309:X344)-1)+1),3),"")</f>
        <v/>
      </c>
      <c r="Y344" s="184">
        <f>IFERROR(ROUND(INDEX('M04-S01'!$AB$16:$AB$198,2*(ROWS($Y$309:Y344)-1)+1),3),"")</f>
        <v>0</v>
      </c>
      <c r="Z344" s="111">
        <f>INDEX('M04-S01'!$B$16:$B$198,2*(ROWS($Z$309:Z344)-1)+1)</f>
        <v>36</v>
      </c>
      <c r="AA344" s="111">
        <f>INDEX('M04-S01'!$F$16:$F$198,2*(ROWS($Z$309:AA344)-1)+1)</f>
        <v>0</v>
      </c>
      <c r="AB344" s="111">
        <f>INDEX('M04-S01'!$S$16:$S$198,2*(ROWS($Z$309:AB344)-1)+1)</f>
        <v>0</v>
      </c>
      <c r="AC344">
        <f>INDEX('M04-S01'!$J$16:$J$198,2*(ROWS($AC$309:AC344)-1)+1)</f>
        <v>0</v>
      </c>
      <c r="AD344">
        <f>INDEX('M04-S01'!$W$16:$W$198,2*(ROWS($AD$309:AD344)-1)+1)</f>
        <v>0</v>
      </c>
      <c r="AE344" s="459"/>
      <c r="AF344" s="459"/>
      <c r="AG344" s="111" t="str">
        <f>INDEX('M04-S01'!$AX$16:$AX$198,2*(ROWS($AG$309:AG344)-1)+1)</f>
        <v/>
      </c>
      <c r="AH344" s="111" t="str">
        <f>INDEX('M04-S01'!$AY$16:$AY$198,2*(ROWS($AH$309:AH344)-1)+1)</f>
        <v/>
      </c>
      <c r="AI344" s="113"/>
      <c r="AJ344" s="113"/>
      <c r="AK344" s="52" t="str">
        <f>INDEX('M04-S01'!$AV$16:$AV$198,2*(ROWS($AK$309:AK344)-1)+1)</f>
        <v/>
      </c>
      <c r="AL344" s="184">
        <f>IF(NOT(ISNUMBER(INDEX('M04-S01'!$AN$16:$AN$198,2*(ROWS($R$309:$R344)-1)+1))),INDEX('M04-S01'!$Z$16:$Z$198,2*(ROWS($AL$309:$AL344)-1)+1)*INDEX('M04-S01'!$AD$16:$AD$198,2*(ROWS($AL$309:$AL344)-1)+1),"")</f>
        <v>0</v>
      </c>
      <c r="AM344" s="184">
        <f>IF(AND(NOT(ISNUMBER(INDEX('M04-S01'!$AN$16:$AN$198,2*(ROWS($R$309:$R344)-1)+1))),T344&gt;0),INDEX('M04-S01'!$Z$16:$Z$198,2*(ROWS($AM$309:$AM344)-1)+1)*INDEX('M04-S01'!$AF$16:$AF$198,2*(ROWS($AM$309:$AM344)-1)+1),"")</f>
        <v>0</v>
      </c>
      <c r="AN344" s="52" t="str">
        <f>IF(NOT(ISNUMBER(INDEX('M04-S01'!$AN$16:$AN$198,2*(ROWS($R$309:$R344)-1)+1))),INDEX('M04-S01'!$AH$16:$AH$198,2*(ROWS($AN$309:$AN344)-1)+1),"")</f>
        <v/>
      </c>
      <c r="AO344" s="113"/>
      <c r="AU344"/>
    </row>
    <row r="345" spans="1:47">
      <c r="A345" s="57">
        <f t="shared" si="31"/>
        <v>0</v>
      </c>
      <c r="B345" s="183" t="str">
        <f t="shared" si="33"/>
        <v/>
      </c>
      <c r="C345" s="186" t="str">
        <f>IF(OR(R345&gt;0,T345&gt;0),INDEX('M04-S01'!$AZ$16:$AZ$198,2*(ROWS($C$309:C345)-1)+1),"")</f>
        <v/>
      </c>
      <c r="D345" t="s">
        <v>231</v>
      </c>
      <c r="F345" s="185">
        <f>INDEX('M04-S01'!$Q$16:$Q$198,2*(ROWS($F$309:F345)-1)+1)</f>
        <v>0</v>
      </c>
      <c r="G345" s="186">
        <f>INDEX('M04-S01'!$C$16:$C$198,2*(ROWS($G$309:G345)-1)+1)</f>
        <v>0</v>
      </c>
      <c r="H345" s="186" t="str">
        <f>IF(ISNUMBER(INDEX('M04-S01'!$AN$16:$AN$198,2*(ROWS($R$309:R345)-1)+1)),"Total","")</f>
        <v/>
      </c>
      <c r="I345" s="184">
        <f>IFERROR(ROUND(IF(ISNUMBER(INDEX('M04-S01'!$AN$16:$AN$198,2*(ROWS($R$309:$R345)-1)+1)),INDEX('M04-S01'!$Z$16:$Z$198,2*(ROWS($I$309:$I345)-1)+1)*INDEX('M04-S01'!$AD$16:$AD$198,2*(ROWS($I$309:$I345)-1)+1),""),2),0)</f>
        <v>0</v>
      </c>
      <c r="J345" s="184">
        <f>IFERROR(ROUND(IF(ISNUMBER(INDEX('M04-S01'!$AN$16:$AN$198,2*(ROWS($R$309:$R345)-1)+1)),INDEX('M04-S01'!$Z$16:$Z$198,2*(ROWS($J$309:$J345)-1)+1)*INDEX('M04-S01'!$AF$16:$AF$198,2*(ROWS($J$309:$J345)-1)+1),""),2),0)</f>
        <v>0</v>
      </c>
      <c r="K345" s="52">
        <f>IFERROR(ROUND(IF(ISNUMBER(INDEX('M04-S01'!$AN$16:$AN$198,2*(ROWS($R$309:$R345)-1)+1)),INDEX('M04-S01'!$AH$16:$AH$198,2*(ROWS($K$309:$K345)-1)+1),""),2),0)</f>
        <v>0</v>
      </c>
      <c r="M345" s="456" t="str">
        <f>IF(ISNUMBER(INDEX('M04-S01'!$AN$16:$AN$198,2*(ROWS($R$309:R345)-1)+1)),INDEX('M04-S01'!$Z$16:$Z$198,2*(ROWS($M$309:M345)-1)+1),"")</f>
        <v/>
      </c>
      <c r="N345" s="184" t="str">
        <f>IF(ISNUMBER(INDEX('M04-S01'!$AN$16:$AN$198,2*(ROWS($R$309:R345)-1)+1)),INDEX('M04-S01'!$AK$16:$AK$198,2*(ROWS($N$309:N345)-1)+1),"")</f>
        <v/>
      </c>
      <c r="O345" s="456" t="str">
        <f>IF(ISNUMBER(INDEX('M04-S01'!$AN$16:$AN$198,2*(ROWS($R$309:R345)-1)+1)),INDEX('M04-S01'!$AW$16:$AW$198,2*(ROWS($O$309:O345)-1)+1),"")</f>
        <v/>
      </c>
      <c r="P345" s="113"/>
      <c r="Q345" s="456" t="str">
        <f>IF(ISNUMBER(INDEX('M04-S01'!$AN$16:$AN$198,2*(ROWS($R$309:R345)-1)+1)),INDEX('M04-S01'!$BB$16:$BB$198,2*(ROWS($Q$309:Q345)-1)+1),"")</f>
        <v/>
      </c>
      <c r="R345" s="184">
        <f>IF(ISNUMBER(INDEX('M04-S01'!$AN$16:$AN$198,2*(ROWS($R$309:R345)-1)+1)),INDEX('M04-S01'!$AN$16:$AN$198,2*(ROWS($R$309:R345)-1)+1),0)</f>
        <v>0</v>
      </c>
      <c r="S345" s="23">
        <f>IF(NOT(ISNUMBER(INDEX('M04-S01'!$AN$16:$AN$198,2*(ROWS($R$309:R345)-1)+1))),INDEX('M04-S01'!$Z$16:$Z$198,2*(ROWS($S$309:S345)-1)+1),"")</f>
        <v>0</v>
      </c>
      <c r="T345" s="52" t="str">
        <f>IFERROR(IF(NOT(ISNUMBER(INDEX('M04-S01'!$AN$16:$AN$198,2*(ROWS($R$309:R345)-1)+1))),INDEX('M04-S01'!$AK$16:$AK$198,2*(ROWS($R$309:R345)-1)+1),0),0)</f>
        <v/>
      </c>
      <c r="U345" s="23" t="str">
        <f>IFERROR(IF(NOT(ISNUMBER(INDEX('M04-S01'!$AN$16:$AN$198,2*(ROWS($R$309:R345)-1)+1))),INDEX('M04-S01'!$AW$16:$AW$198,2*(ROWS($R$309:R345)-1)+1),""),"")</f>
        <v/>
      </c>
      <c r="V345" s="113"/>
      <c r="W345" t="str">
        <f>IFERROR(IF(NOT(ISNUMBER(INDEX('M04-S01'!$AN$16:$AN$198,2*(ROWS($R$309:R345)-1)+1))),INDEX('M04-S01'!$BD$16:$BD$198,2*(ROWS($R$309:R345)-1)+1),""),"")</f>
        <v/>
      </c>
      <c r="X345" s="184" t="str">
        <f>IFERROR(ROUND(INDEX('M04-S01'!$O$16:$O$198,2*(ROWS($X$309:X345)-1)+1),3),"")</f>
        <v/>
      </c>
      <c r="Y345" s="184">
        <f>IFERROR(ROUND(INDEX('M04-S01'!$AB$16:$AB$198,2*(ROWS($Y$309:Y345)-1)+1),3),"")</f>
        <v>0</v>
      </c>
      <c r="Z345" s="111">
        <f>INDEX('M04-S01'!$B$16:$B$198,2*(ROWS($Z$309:Z345)-1)+1)</f>
        <v>37</v>
      </c>
      <c r="AA345" s="111">
        <f>INDEX('M04-S01'!$F$16:$F$198,2*(ROWS($Z$309:AA345)-1)+1)</f>
        <v>0</v>
      </c>
      <c r="AB345" s="111">
        <f>INDEX('M04-S01'!$S$16:$S$198,2*(ROWS($Z$309:AB345)-1)+1)</f>
        <v>0</v>
      </c>
      <c r="AC345">
        <f>INDEX('M04-S01'!$J$16:$J$198,2*(ROWS($AC$309:AC345)-1)+1)</f>
        <v>0</v>
      </c>
      <c r="AD345">
        <f>INDEX('M04-S01'!$W$16:$W$198,2*(ROWS($AD$309:AD345)-1)+1)</f>
        <v>0</v>
      </c>
      <c r="AE345" s="459"/>
      <c r="AF345" s="459"/>
      <c r="AG345" s="111" t="str">
        <f>INDEX('M04-S01'!$AX$16:$AX$198,2*(ROWS($AG$309:AG345)-1)+1)</f>
        <v/>
      </c>
      <c r="AH345" s="111" t="str">
        <f>INDEX('M04-S01'!$AY$16:$AY$198,2*(ROWS($AH$309:AH345)-1)+1)</f>
        <v/>
      </c>
      <c r="AI345" s="113"/>
      <c r="AJ345" s="113"/>
      <c r="AK345" s="52" t="str">
        <f>INDEX('M04-S01'!$AV$16:$AV$198,2*(ROWS($AK$309:AK345)-1)+1)</f>
        <v/>
      </c>
      <c r="AL345" s="184">
        <f>IF(NOT(ISNUMBER(INDEX('M04-S01'!$AN$16:$AN$198,2*(ROWS($R$309:$R345)-1)+1))),INDEX('M04-S01'!$Z$16:$Z$198,2*(ROWS($AL$309:$AL345)-1)+1)*INDEX('M04-S01'!$AD$16:$AD$198,2*(ROWS($AL$309:$AL345)-1)+1),"")</f>
        <v>0</v>
      </c>
      <c r="AM345" s="184">
        <f>IF(AND(NOT(ISNUMBER(INDEX('M04-S01'!$AN$16:$AN$198,2*(ROWS($R$309:$R345)-1)+1))),T345&gt;0),INDEX('M04-S01'!$Z$16:$Z$198,2*(ROWS($AM$309:$AM345)-1)+1)*INDEX('M04-S01'!$AF$16:$AF$198,2*(ROWS($AM$309:$AM345)-1)+1),"")</f>
        <v>0</v>
      </c>
      <c r="AN345" s="52" t="str">
        <f>IF(NOT(ISNUMBER(INDEX('M04-S01'!$AN$16:$AN$198,2*(ROWS($R$309:$R345)-1)+1))),INDEX('M04-S01'!$AH$16:$AH$198,2*(ROWS($AN$309:$AN345)-1)+1),"")</f>
        <v/>
      </c>
      <c r="AO345" s="113"/>
      <c r="AU345"/>
    </row>
    <row r="346" spans="1:47">
      <c r="A346" s="57">
        <f t="shared" si="31"/>
        <v>0</v>
      </c>
      <c r="B346" s="183" t="str">
        <f t="shared" si="33"/>
        <v/>
      </c>
      <c r="C346" s="186" t="str">
        <f>IF(OR(R346&gt;0,T346&gt;0),INDEX('M04-S01'!$AZ$16:$AZ$198,2*(ROWS($C$309:C346)-1)+1),"")</f>
        <v/>
      </c>
      <c r="D346" t="s">
        <v>231</v>
      </c>
      <c r="F346" s="185">
        <f>INDEX('M04-S01'!$Q$16:$Q$198,2*(ROWS($F$309:F346)-1)+1)</f>
        <v>0</v>
      </c>
      <c r="G346" s="186">
        <f>INDEX('M04-S01'!$C$16:$C$198,2*(ROWS($G$309:G346)-1)+1)</f>
        <v>0</v>
      </c>
      <c r="H346" s="186" t="str">
        <f>IF(ISNUMBER(INDEX('M04-S01'!$AN$16:$AN$198,2*(ROWS($R$309:R346)-1)+1)),"Total","")</f>
        <v/>
      </c>
      <c r="I346" s="184">
        <f>IFERROR(ROUND(IF(ISNUMBER(INDEX('M04-S01'!$AN$16:$AN$198,2*(ROWS($R$309:$R346)-1)+1)),INDEX('M04-S01'!$Z$16:$Z$198,2*(ROWS($I$309:$I346)-1)+1)*INDEX('M04-S01'!$AD$16:$AD$198,2*(ROWS($I$309:$I346)-1)+1),""),2),0)</f>
        <v>0</v>
      </c>
      <c r="J346" s="184">
        <f>IFERROR(ROUND(IF(ISNUMBER(INDEX('M04-S01'!$AN$16:$AN$198,2*(ROWS($R$309:$R346)-1)+1)),INDEX('M04-S01'!$Z$16:$Z$198,2*(ROWS($J$309:$J346)-1)+1)*INDEX('M04-S01'!$AF$16:$AF$198,2*(ROWS($J$309:$J346)-1)+1),""),2),0)</f>
        <v>0</v>
      </c>
      <c r="K346" s="52">
        <f>IFERROR(ROUND(IF(ISNUMBER(INDEX('M04-S01'!$AN$16:$AN$198,2*(ROWS($R$309:$R346)-1)+1)),INDEX('M04-S01'!$AH$16:$AH$198,2*(ROWS($K$309:$K346)-1)+1),""),2),0)</f>
        <v>0</v>
      </c>
      <c r="M346" s="456" t="str">
        <f>IF(ISNUMBER(INDEX('M04-S01'!$AN$16:$AN$198,2*(ROWS($R$309:R346)-1)+1)),INDEX('M04-S01'!$Z$16:$Z$198,2*(ROWS($M$309:M346)-1)+1),"")</f>
        <v/>
      </c>
      <c r="N346" s="184" t="str">
        <f>IF(ISNUMBER(INDEX('M04-S01'!$AN$16:$AN$198,2*(ROWS($R$309:R346)-1)+1)),INDEX('M04-S01'!$AK$16:$AK$198,2*(ROWS($N$309:N346)-1)+1),"")</f>
        <v/>
      </c>
      <c r="O346" s="456" t="str">
        <f>IF(ISNUMBER(INDEX('M04-S01'!$AN$16:$AN$198,2*(ROWS($R$309:R346)-1)+1)),INDEX('M04-S01'!$AW$16:$AW$198,2*(ROWS($O$309:O346)-1)+1),"")</f>
        <v/>
      </c>
      <c r="P346" s="113"/>
      <c r="Q346" s="456" t="str">
        <f>IF(ISNUMBER(INDEX('M04-S01'!$AN$16:$AN$198,2*(ROWS($R$309:R346)-1)+1)),INDEX('M04-S01'!$BB$16:$BB$198,2*(ROWS($Q$309:Q346)-1)+1),"")</f>
        <v/>
      </c>
      <c r="R346" s="184">
        <f>IF(ISNUMBER(INDEX('M04-S01'!$AN$16:$AN$198,2*(ROWS($R$309:R346)-1)+1)),INDEX('M04-S01'!$AN$16:$AN$198,2*(ROWS($R$309:R346)-1)+1),0)</f>
        <v>0</v>
      </c>
      <c r="S346" s="23">
        <f>IF(NOT(ISNUMBER(INDEX('M04-S01'!$AN$16:$AN$198,2*(ROWS($R$309:R346)-1)+1))),INDEX('M04-S01'!$Z$16:$Z$198,2*(ROWS($S$309:S346)-1)+1),"")</f>
        <v>0</v>
      </c>
      <c r="T346" s="52" t="str">
        <f>IFERROR(IF(NOT(ISNUMBER(INDEX('M04-S01'!$AN$16:$AN$198,2*(ROWS($R$309:R346)-1)+1))),INDEX('M04-S01'!$AK$16:$AK$198,2*(ROWS($R$309:R346)-1)+1),0),0)</f>
        <v/>
      </c>
      <c r="U346" s="23" t="str">
        <f>IFERROR(IF(NOT(ISNUMBER(INDEX('M04-S01'!$AN$16:$AN$198,2*(ROWS($R$309:R346)-1)+1))),INDEX('M04-S01'!$AW$16:$AW$198,2*(ROWS($R$309:R346)-1)+1),""),"")</f>
        <v/>
      </c>
      <c r="V346" s="113"/>
      <c r="W346" t="str">
        <f>IFERROR(IF(NOT(ISNUMBER(INDEX('M04-S01'!$AN$16:$AN$198,2*(ROWS($R$309:R346)-1)+1))),INDEX('M04-S01'!$BD$16:$BD$198,2*(ROWS($R$309:R346)-1)+1),""),"")</f>
        <v/>
      </c>
      <c r="X346" s="184" t="str">
        <f>IFERROR(ROUND(INDEX('M04-S01'!$O$16:$O$198,2*(ROWS($X$309:X346)-1)+1),3),"")</f>
        <v/>
      </c>
      <c r="Y346" s="184">
        <f>IFERROR(ROUND(INDEX('M04-S01'!$AB$16:$AB$198,2*(ROWS($Y$309:Y346)-1)+1),3),"")</f>
        <v>0</v>
      </c>
      <c r="Z346" s="111">
        <f>INDEX('M04-S01'!$B$16:$B$198,2*(ROWS($Z$309:Z346)-1)+1)</f>
        <v>38</v>
      </c>
      <c r="AA346" s="111">
        <f>INDEX('M04-S01'!$F$16:$F$198,2*(ROWS($Z$309:AA346)-1)+1)</f>
        <v>0</v>
      </c>
      <c r="AB346" s="111">
        <f>INDEX('M04-S01'!$S$16:$S$198,2*(ROWS($Z$309:AB346)-1)+1)</f>
        <v>0</v>
      </c>
      <c r="AC346">
        <f>INDEX('M04-S01'!$J$16:$J$198,2*(ROWS($AC$309:AC346)-1)+1)</f>
        <v>0</v>
      </c>
      <c r="AD346">
        <f>INDEX('M04-S01'!$W$16:$W$198,2*(ROWS($AD$309:AD346)-1)+1)</f>
        <v>0</v>
      </c>
      <c r="AE346" s="459"/>
      <c r="AF346" s="459"/>
      <c r="AG346" s="111" t="str">
        <f>INDEX('M04-S01'!$AX$16:$AX$198,2*(ROWS($AG$309:AG346)-1)+1)</f>
        <v/>
      </c>
      <c r="AH346" s="111" t="str">
        <f>INDEX('M04-S01'!$AY$16:$AY$198,2*(ROWS($AH$309:AH346)-1)+1)</f>
        <v/>
      </c>
      <c r="AI346" s="113"/>
      <c r="AJ346" s="113"/>
      <c r="AK346" s="52" t="str">
        <f>INDEX('M04-S01'!$AV$16:$AV$198,2*(ROWS($AK$309:AK346)-1)+1)</f>
        <v/>
      </c>
      <c r="AL346" s="184">
        <f>IF(NOT(ISNUMBER(INDEX('M04-S01'!$AN$16:$AN$198,2*(ROWS($R$309:$R346)-1)+1))),INDEX('M04-S01'!$Z$16:$Z$198,2*(ROWS($AL$309:$AL346)-1)+1)*INDEX('M04-S01'!$AD$16:$AD$198,2*(ROWS($AL$309:$AL346)-1)+1),"")</f>
        <v>0</v>
      </c>
      <c r="AM346" s="184">
        <f>IF(AND(NOT(ISNUMBER(INDEX('M04-S01'!$AN$16:$AN$198,2*(ROWS($R$309:$R346)-1)+1))),T346&gt;0),INDEX('M04-S01'!$Z$16:$Z$198,2*(ROWS($AM$309:$AM346)-1)+1)*INDEX('M04-S01'!$AF$16:$AF$198,2*(ROWS($AM$309:$AM346)-1)+1),"")</f>
        <v>0</v>
      </c>
      <c r="AN346" s="52" t="str">
        <f>IF(NOT(ISNUMBER(INDEX('M04-S01'!$AN$16:$AN$198,2*(ROWS($R$309:$R346)-1)+1))),INDEX('M04-S01'!$AH$16:$AH$198,2*(ROWS($AN$309:$AN346)-1)+1),"")</f>
        <v/>
      </c>
      <c r="AO346" s="113"/>
      <c r="AU346"/>
    </row>
    <row r="347" spans="1:47">
      <c r="A347" s="57">
        <f t="shared" si="31"/>
        <v>0</v>
      </c>
      <c r="B347" s="183" t="str">
        <f t="shared" si="33"/>
        <v/>
      </c>
      <c r="C347" s="186" t="str">
        <f>IF(OR(R347&gt;0,T347&gt;0),INDEX('M04-S01'!$AZ$16:$AZ$198,2*(ROWS($C$309:C347)-1)+1),"")</f>
        <v/>
      </c>
      <c r="D347" t="s">
        <v>231</v>
      </c>
      <c r="F347" s="185">
        <f>INDEX('M04-S01'!$Q$16:$Q$198,2*(ROWS($F$309:F347)-1)+1)</f>
        <v>0</v>
      </c>
      <c r="G347" s="186">
        <f>INDEX('M04-S01'!$C$16:$C$198,2*(ROWS($G$309:G347)-1)+1)</f>
        <v>0</v>
      </c>
      <c r="H347" s="186" t="str">
        <f>IF(ISNUMBER(INDEX('M04-S01'!$AN$16:$AN$198,2*(ROWS($R$309:R347)-1)+1)),"Total","")</f>
        <v/>
      </c>
      <c r="I347" s="184">
        <f>IFERROR(ROUND(IF(ISNUMBER(INDEX('M04-S01'!$AN$16:$AN$198,2*(ROWS($R$309:$R347)-1)+1)),INDEX('M04-S01'!$Z$16:$Z$198,2*(ROWS($I$309:$I347)-1)+1)*INDEX('M04-S01'!$AD$16:$AD$198,2*(ROWS($I$309:$I347)-1)+1),""),2),0)</f>
        <v>0</v>
      </c>
      <c r="J347" s="184">
        <f>IFERROR(ROUND(IF(ISNUMBER(INDEX('M04-S01'!$AN$16:$AN$198,2*(ROWS($R$309:$R347)-1)+1)),INDEX('M04-S01'!$Z$16:$Z$198,2*(ROWS($J$309:$J347)-1)+1)*INDEX('M04-S01'!$AF$16:$AF$198,2*(ROWS($J$309:$J347)-1)+1),""),2),0)</f>
        <v>0</v>
      </c>
      <c r="K347" s="52">
        <f>IFERROR(ROUND(IF(ISNUMBER(INDEX('M04-S01'!$AN$16:$AN$198,2*(ROWS($R$309:$R347)-1)+1)),INDEX('M04-S01'!$AH$16:$AH$198,2*(ROWS($K$309:$K347)-1)+1),""),2),0)</f>
        <v>0</v>
      </c>
      <c r="M347" s="456" t="str">
        <f>IF(ISNUMBER(INDEX('M04-S01'!$AN$16:$AN$198,2*(ROWS($R$309:R347)-1)+1)),INDEX('M04-S01'!$Z$16:$Z$198,2*(ROWS($M$309:M347)-1)+1),"")</f>
        <v/>
      </c>
      <c r="N347" s="184" t="str">
        <f>IF(ISNUMBER(INDEX('M04-S01'!$AN$16:$AN$198,2*(ROWS($R$309:R347)-1)+1)),INDEX('M04-S01'!$AK$16:$AK$198,2*(ROWS($N$309:N347)-1)+1),"")</f>
        <v/>
      </c>
      <c r="O347" s="456" t="str">
        <f>IF(ISNUMBER(INDEX('M04-S01'!$AN$16:$AN$198,2*(ROWS($R$309:R347)-1)+1)),INDEX('M04-S01'!$AW$16:$AW$198,2*(ROWS($O$309:O347)-1)+1),"")</f>
        <v/>
      </c>
      <c r="P347" s="113"/>
      <c r="Q347" s="456" t="str">
        <f>IF(ISNUMBER(INDEX('M04-S01'!$AN$16:$AN$198,2*(ROWS($R$309:R347)-1)+1)),INDEX('M04-S01'!$BB$16:$BB$198,2*(ROWS($Q$309:Q347)-1)+1),"")</f>
        <v/>
      </c>
      <c r="R347" s="184">
        <f>IF(ISNUMBER(INDEX('M04-S01'!$AN$16:$AN$198,2*(ROWS($R$309:R347)-1)+1)),INDEX('M04-S01'!$AN$16:$AN$198,2*(ROWS($R$309:R347)-1)+1),0)</f>
        <v>0</v>
      </c>
      <c r="S347" s="23">
        <f>IF(NOT(ISNUMBER(INDEX('M04-S01'!$AN$16:$AN$198,2*(ROWS($R$309:R347)-1)+1))),INDEX('M04-S01'!$Z$16:$Z$198,2*(ROWS($S$309:S347)-1)+1),"")</f>
        <v>0</v>
      </c>
      <c r="T347" s="52" t="str">
        <f>IFERROR(IF(NOT(ISNUMBER(INDEX('M04-S01'!$AN$16:$AN$198,2*(ROWS($R$309:R347)-1)+1))),INDEX('M04-S01'!$AK$16:$AK$198,2*(ROWS($R$309:R347)-1)+1),0),0)</f>
        <v/>
      </c>
      <c r="U347" s="23" t="str">
        <f>IFERROR(IF(NOT(ISNUMBER(INDEX('M04-S01'!$AN$16:$AN$198,2*(ROWS($R$309:R347)-1)+1))),INDEX('M04-S01'!$AW$16:$AW$198,2*(ROWS($R$309:R347)-1)+1),""),"")</f>
        <v/>
      </c>
      <c r="V347" s="113"/>
      <c r="W347" t="str">
        <f>IFERROR(IF(NOT(ISNUMBER(INDEX('M04-S01'!$AN$16:$AN$198,2*(ROWS($R$309:R347)-1)+1))),INDEX('M04-S01'!$BD$16:$BD$198,2*(ROWS($R$309:R347)-1)+1),""),"")</f>
        <v/>
      </c>
      <c r="X347" s="184" t="str">
        <f>IFERROR(ROUND(INDEX('M04-S01'!$O$16:$O$198,2*(ROWS($X$309:X347)-1)+1),3),"")</f>
        <v/>
      </c>
      <c r="Y347" s="184">
        <f>IFERROR(ROUND(INDEX('M04-S01'!$AB$16:$AB$198,2*(ROWS($Y$309:Y347)-1)+1),3),"")</f>
        <v>0</v>
      </c>
      <c r="Z347" s="111">
        <f>INDEX('M04-S01'!$B$16:$B$198,2*(ROWS($Z$309:Z347)-1)+1)</f>
        <v>39</v>
      </c>
      <c r="AA347" s="111">
        <f>INDEX('M04-S01'!$F$16:$F$198,2*(ROWS($Z$309:AA347)-1)+1)</f>
        <v>0</v>
      </c>
      <c r="AB347" s="111">
        <f>INDEX('M04-S01'!$S$16:$S$198,2*(ROWS($Z$309:AB347)-1)+1)</f>
        <v>0</v>
      </c>
      <c r="AC347">
        <f>INDEX('M04-S01'!$J$16:$J$198,2*(ROWS($AC$309:AC347)-1)+1)</f>
        <v>0</v>
      </c>
      <c r="AD347">
        <f>INDEX('M04-S01'!$W$16:$W$198,2*(ROWS($AD$309:AD347)-1)+1)</f>
        <v>0</v>
      </c>
      <c r="AE347" s="459"/>
      <c r="AF347" s="459"/>
      <c r="AG347" s="111" t="str">
        <f>INDEX('M04-S01'!$AX$16:$AX$198,2*(ROWS($AG$309:AG347)-1)+1)</f>
        <v/>
      </c>
      <c r="AH347" s="111" t="str">
        <f>INDEX('M04-S01'!$AY$16:$AY$198,2*(ROWS($AH$309:AH347)-1)+1)</f>
        <v/>
      </c>
      <c r="AI347" s="113"/>
      <c r="AJ347" s="113"/>
      <c r="AK347" s="52" t="str">
        <f>INDEX('M04-S01'!$AV$16:$AV$198,2*(ROWS($AK$309:AK347)-1)+1)</f>
        <v/>
      </c>
      <c r="AL347" s="184">
        <f>IF(NOT(ISNUMBER(INDEX('M04-S01'!$AN$16:$AN$198,2*(ROWS($R$309:$R347)-1)+1))),INDEX('M04-S01'!$Z$16:$Z$198,2*(ROWS($AL$309:$AL347)-1)+1)*INDEX('M04-S01'!$AD$16:$AD$198,2*(ROWS($AL$309:$AL347)-1)+1),"")</f>
        <v>0</v>
      </c>
      <c r="AM347" s="184">
        <f>IF(AND(NOT(ISNUMBER(INDEX('M04-S01'!$AN$16:$AN$198,2*(ROWS($R$309:$R347)-1)+1))),T347&gt;0),INDEX('M04-S01'!$Z$16:$Z$198,2*(ROWS($AM$309:$AM347)-1)+1)*INDEX('M04-S01'!$AF$16:$AF$198,2*(ROWS($AM$309:$AM347)-1)+1),"")</f>
        <v>0</v>
      </c>
      <c r="AN347" s="52" t="str">
        <f>IF(NOT(ISNUMBER(INDEX('M04-S01'!$AN$16:$AN$198,2*(ROWS($R$309:$R347)-1)+1))),INDEX('M04-S01'!$AH$16:$AH$198,2*(ROWS($AN$309:$AN347)-1)+1),"")</f>
        <v/>
      </c>
      <c r="AO347" s="113"/>
      <c r="AU347"/>
    </row>
    <row r="348" spans="1:47">
      <c r="A348" s="57">
        <f t="shared" si="31"/>
        <v>0</v>
      </c>
      <c r="B348" s="183" t="str">
        <f t="shared" si="33"/>
        <v/>
      </c>
      <c r="C348" s="186" t="str">
        <f>IF(OR(R348&gt;0,T348&gt;0),INDEX('M04-S01'!$AZ$16:$AZ$198,2*(ROWS($C$309:C348)-1)+1),"")</f>
        <v/>
      </c>
      <c r="D348" t="s">
        <v>231</v>
      </c>
      <c r="F348" s="185">
        <f>INDEX('M04-S01'!$Q$16:$Q$198,2*(ROWS($F$309:F348)-1)+1)</f>
        <v>0</v>
      </c>
      <c r="G348" s="186">
        <f>INDEX('M04-S01'!$C$16:$C$198,2*(ROWS($G$309:G348)-1)+1)</f>
        <v>0</v>
      </c>
      <c r="H348" s="186" t="str">
        <f>IF(ISNUMBER(INDEX('M04-S01'!$AN$16:$AN$198,2*(ROWS($R$309:R348)-1)+1)),"Total","")</f>
        <v/>
      </c>
      <c r="I348" s="184">
        <f>IFERROR(ROUND(IF(ISNUMBER(INDEX('M04-S01'!$AN$16:$AN$198,2*(ROWS($R$309:$R348)-1)+1)),INDEX('M04-S01'!$Z$16:$Z$198,2*(ROWS($I$309:$I348)-1)+1)*INDEX('M04-S01'!$AD$16:$AD$198,2*(ROWS($I$309:$I348)-1)+1),""),2),0)</f>
        <v>0</v>
      </c>
      <c r="J348" s="184">
        <f>IFERROR(ROUND(IF(ISNUMBER(INDEX('M04-S01'!$AN$16:$AN$198,2*(ROWS($R$309:$R348)-1)+1)),INDEX('M04-S01'!$Z$16:$Z$198,2*(ROWS($J$309:$J348)-1)+1)*INDEX('M04-S01'!$AF$16:$AF$198,2*(ROWS($J$309:$J348)-1)+1),""),2),0)</f>
        <v>0</v>
      </c>
      <c r="K348" s="52">
        <f>IFERROR(ROUND(IF(ISNUMBER(INDEX('M04-S01'!$AN$16:$AN$198,2*(ROWS($R$309:$R348)-1)+1)),INDEX('M04-S01'!$AH$16:$AH$198,2*(ROWS($K$309:$K348)-1)+1),""),2),0)</f>
        <v>0</v>
      </c>
      <c r="M348" s="456" t="str">
        <f>IF(ISNUMBER(INDEX('M04-S01'!$AN$16:$AN$198,2*(ROWS($R$309:R348)-1)+1)),INDEX('M04-S01'!$Z$16:$Z$198,2*(ROWS($M$309:M348)-1)+1),"")</f>
        <v/>
      </c>
      <c r="N348" s="184" t="str">
        <f>IF(ISNUMBER(INDEX('M04-S01'!$AN$16:$AN$198,2*(ROWS($R$309:R348)-1)+1)),INDEX('M04-S01'!$AK$16:$AK$198,2*(ROWS($N$309:N348)-1)+1),"")</f>
        <v/>
      </c>
      <c r="O348" s="456" t="str">
        <f>IF(ISNUMBER(INDEX('M04-S01'!$AN$16:$AN$198,2*(ROWS($R$309:R348)-1)+1)),INDEX('M04-S01'!$AW$16:$AW$198,2*(ROWS($O$309:O348)-1)+1),"")</f>
        <v/>
      </c>
      <c r="P348" s="113"/>
      <c r="Q348" s="456" t="str">
        <f>IF(ISNUMBER(INDEX('M04-S01'!$AN$16:$AN$198,2*(ROWS($R$309:R348)-1)+1)),INDEX('M04-S01'!$BB$16:$BB$198,2*(ROWS($Q$309:Q348)-1)+1),"")</f>
        <v/>
      </c>
      <c r="R348" s="184">
        <f>IF(ISNUMBER(INDEX('M04-S01'!$AN$16:$AN$198,2*(ROWS($R$309:R348)-1)+1)),INDEX('M04-S01'!$AN$16:$AN$198,2*(ROWS($R$309:R348)-1)+1),0)</f>
        <v>0</v>
      </c>
      <c r="S348" s="23">
        <f>IF(NOT(ISNUMBER(INDEX('M04-S01'!$AN$16:$AN$198,2*(ROWS($R$309:R348)-1)+1))),INDEX('M04-S01'!$Z$16:$Z$198,2*(ROWS($S$309:S348)-1)+1),"")</f>
        <v>0</v>
      </c>
      <c r="T348" s="52" t="str">
        <f>IFERROR(IF(NOT(ISNUMBER(INDEX('M04-S01'!$AN$16:$AN$198,2*(ROWS($R$309:R348)-1)+1))),INDEX('M04-S01'!$AK$16:$AK$198,2*(ROWS($R$309:R348)-1)+1),0),0)</f>
        <v/>
      </c>
      <c r="U348" s="23" t="str">
        <f>IFERROR(IF(NOT(ISNUMBER(INDEX('M04-S01'!$AN$16:$AN$198,2*(ROWS($R$309:R348)-1)+1))),INDEX('M04-S01'!$AW$16:$AW$198,2*(ROWS($R$309:R348)-1)+1),""),"")</f>
        <v/>
      </c>
      <c r="V348" s="113"/>
      <c r="W348" t="str">
        <f>IFERROR(IF(NOT(ISNUMBER(INDEX('M04-S01'!$AN$16:$AN$198,2*(ROWS($R$309:R348)-1)+1))),INDEX('M04-S01'!$BD$16:$BD$198,2*(ROWS($R$309:R348)-1)+1),""),"")</f>
        <v/>
      </c>
      <c r="X348" s="184" t="str">
        <f>IFERROR(ROUND(INDEX('M04-S01'!$O$16:$O$198,2*(ROWS($X$309:X348)-1)+1),3),"")</f>
        <v/>
      </c>
      <c r="Y348" s="184">
        <f>IFERROR(ROUND(INDEX('M04-S01'!$AB$16:$AB$198,2*(ROWS($Y$309:Y348)-1)+1),3),"")</f>
        <v>0</v>
      </c>
      <c r="Z348" s="111">
        <f>INDEX('M04-S01'!$B$16:$B$198,2*(ROWS($Z$309:Z348)-1)+1)</f>
        <v>40</v>
      </c>
      <c r="AA348" s="111">
        <f>INDEX('M04-S01'!$F$16:$F$198,2*(ROWS($Z$309:AA348)-1)+1)</f>
        <v>0</v>
      </c>
      <c r="AB348" s="111">
        <f>INDEX('M04-S01'!$S$16:$S$198,2*(ROWS($Z$309:AB348)-1)+1)</f>
        <v>0</v>
      </c>
      <c r="AC348">
        <f>INDEX('M04-S01'!$J$16:$J$198,2*(ROWS($AC$309:AC348)-1)+1)</f>
        <v>0</v>
      </c>
      <c r="AD348">
        <f>INDEX('M04-S01'!$W$16:$W$198,2*(ROWS($AD$309:AD348)-1)+1)</f>
        <v>0</v>
      </c>
      <c r="AE348" s="459"/>
      <c r="AF348" s="459"/>
      <c r="AG348" s="111" t="str">
        <f>INDEX('M04-S01'!$AX$16:$AX$198,2*(ROWS($AG$309:AG348)-1)+1)</f>
        <v/>
      </c>
      <c r="AH348" s="111" t="str">
        <f>INDEX('M04-S01'!$AY$16:$AY$198,2*(ROWS($AH$309:AH348)-1)+1)</f>
        <v/>
      </c>
      <c r="AI348" s="113"/>
      <c r="AJ348" s="113"/>
      <c r="AK348" s="52" t="str">
        <f>INDEX('M04-S01'!$AV$16:$AV$198,2*(ROWS($AK$309:AK348)-1)+1)</f>
        <v/>
      </c>
      <c r="AL348" s="184">
        <f>IF(NOT(ISNUMBER(INDEX('M04-S01'!$AN$16:$AN$198,2*(ROWS($R$309:$R348)-1)+1))),INDEX('M04-S01'!$Z$16:$Z$198,2*(ROWS($AL$309:$AL348)-1)+1)*INDEX('M04-S01'!$AD$16:$AD$198,2*(ROWS($AL$309:$AL348)-1)+1),"")</f>
        <v>0</v>
      </c>
      <c r="AM348" s="184">
        <f>IF(AND(NOT(ISNUMBER(INDEX('M04-S01'!$AN$16:$AN$198,2*(ROWS($R$309:$R348)-1)+1))),T348&gt;0),INDEX('M04-S01'!$Z$16:$Z$198,2*(ROWS($AM$309:$AM348)-1)+1)*INDEX('M04-S01'!$AF$16:$AF$198,2*(ROWS($AM$309:$AM348)-1)+1),"")</f>
        <v>0</v>
      </c>
      <c r="AN348" s="52" t="str">
        <f>IF(NOT(ISNUMBER(INDEX('M04-S01'!$AN$16:$AN$198,2*(ROWS($R$309:$R348)-1)+1))),INDEX('M04-S01'!$AH$16:$AH$198,2*(ROWS($AN$309:$AN348)-1)+1),"")</f>
        <v/>
      </c>
      <c r="AO348" s="113"/>
      <c r="AU348"/>
    </row>
    <row r="349" spans="1:47">
      <c r="A349" s="57">
        <f t="shared" si="31"/>
        <v>0</v>
      </c>
      <c r="B349" s="183" t="str">
        <f t="shared" si="33"/>
        <v/>
      </c>
      <c r="C349" s="186" t="str">
        <f>IF(OR(R349&gt;0,T349&gt;0),INDEX('M04-S01'!$AZ$16:$AZ$198,2*(ROWS($C$309:C349)-1)+1),"")</f>
        <v/>
      </c>
      <c r="D349" t="s">
        <v>231</v>
      </c>
      <c r="F349" s="185">
        <f>INDEX('M04-S01'!$Q$16:$Q$198,2*(ROWS($F$309:F349)-1)+1)</f>
        <v>0</v>
      </c>
      <c r="G349" s="186">
        <f>INDEX('M04-S01'!$C$16:$C$198,2*(ROWS($G$309:G349)-1)+1)</f>
        <v>0</v>
      </c>
      <c r="H349" s="186" t="str">
        <f>IF(ISNUMBER(INDEX('M04-S01'!$AN$16:$AN$198,2*(ROWS($R$309:R349)-1)+1)),"Total","")</f>
        <v/>
      </c>
      <c r="I349" s="184">
        <f>IFERROR(ROUND(IF(ISNUMBER(INDEX('M04-S01'!$AN$16:$AN$198,2*(ROWS($R$309:$R349)-1)+1)),INDEX('M04-S01'!$Z$16:$Z$198,2*(ROWS($I$309:$I349)-1)+1)*INDEX('M04-S01'!$AD$16:$AD$198,2*(ROWS($I$309:$I349)-1)+1),""),2),0)</f>
        <v>0</v>
      </c>
      <c r="J349" s="184">
        <f>IFERROR(ROUND(IF(ISNUMBER(INDEX('M04-S01'!$AN$16:$AN$198,2*(ROWS($R$309:$R349)-1)+1)),INDEX('M04-S01'!$Z$16:$Z$198,2*(ROWS($J$309:$J349)-1)+1)*INDEX('M04-S01'!$AF$16:$AF$198,2*(ROWS($J$309:$J349)-1)+1),""),2),0)</f>
        <v>0</v>
      </c>
      <c r="K349" s="52">
        <f>IFERROR(ROUND(IF(ISNUMBER(INDEX('M04-S01'!$AN$16:$AN$198,2*(ROWS($R$309:$R349)-1)+1)),INDEX('M04-S01'!$AH$16:$AH$198,2*(ROWS($K$309:$K349)-1)+1),""),2),0)</f>
        <v>0</v>
      </c>
      <c r="M349" s="456" t="str">
        <f>IF(ISNUMBER(INDEX('M04-S01'!$AN$16:$AN$198,2*(ROWS($R$309:R349)-1)+1)),INDEX('M04-S01'!$Z$16:$Z$198,2*(ROWS($M$309:M349)-1)+1),"")</f>
        <v/>
      </c>
      <c r="N349" s="184" t="str">
        <f>IF(ISNUMBER(INDEX('M04-S01'!$AN$16:$AN$198,2*(ROWS($R$309:R349)-1)+1)),INDEX('M04-S01'!$AK$16:$AK$198,2*(ROWS($N$309:N349)-1)+1),"")</f>
        <v/>
      </c>
      <c r="O349" s="456" t="str">
        <f>IF(ISNUMBER(INDEX('M04-S01'!$AN$16:$AN$198,2*(ROWS($R$309:R349)-1)+1)),INDEX('M04-S01'!$AW$16:$AW$198,2*(ROWS($O$309:O349)-1)+1),"")</f>
        <v/>
      </c>
      <c r="P349" s="113"/>
      <c r="Q349" s="456" t="str">
        <f>IF(ISNUMBER(INDEX('M04-S01'!$AN$16:$AN$198,2*(ROWS($R$309:R349)-1)+1)),INDEX('M04-S01'!$BB$16:$BB$198,2*(ROWS($Q$309:Q349)-1)+1),"")</f>
        <v/>
      </c>
      <c r="R349" s="184">
        <f>IF(ISNUMBER(INDEX('M04-S01'!$AN$16:$AN$198,2*(ROWS($R$309:R349)-1)+1)),INDEX('M04-S01'!$AN$16:$AN$198,2*(ROWS($R$309:R349)-1)+1),0)</f>
        <v>0</v>
      </c>
      <c r="S349" s="23">
        <f>IF(NOT(ISNUMBER(INDEX('M04-S01'!$AN$16:$AN$198,2*(ROWS($R$309:R349)-1)+1))),INDEX('M04-S01'!$Z$16:$Z$198,2*(ROWS($S$309:S349)-1)+1),"")</f>
        <v>0</v>
      </c>
      <c r="T349" s="52" t="str">
        <f>IFERROR(IF(NOT(ISNUMBER(INDEX('M04-S01'!$AN$16:$AN$198,2*(ROWS($R$309:R349)-1)+1))),INDEX('M04-S01'!$AK$16:$AK$198,2*(ROWS($R$309:R349)-1)+1),0),0)</f>
        <v/>
      </c>
      <c r="U349" s="23" t="str">
        <f>IFERROR(IF(NOT(ISNUMBER(INDEX('M04-S01'!$AN$16:$AN$198,2*(ROWS($R$309:R349)-1)+1))),INDEX('M04-S01'!$AW$16:$AW$198,2*(ROWS($R$309:R349)-1)+1),""),"")</f>
        <v/>
      </c>
      <c r="V349" s="113"/>
      <c r="W349" t="str">
        <f>IFERROR(IF(NOT(ISNUMBER(INDEX('M04-S01'!$AN$16:$AN$198,2*(ROWS($R$309:R349)-1)+1))),INDEX('M04-S01'!$BD$16:$BD$198,2*(ROWS($R$309:R349)-1)+1),""),"")</f>
        <v/>
      </c>
      <c r="X349" s="184" t="str">
        <f>IFERROR(ROUND(INDEX('M04-S01'!$O$16:$O$198,2*(ROWS($X$309:X349)-1)+1),3),"")</f>
        <v/>
      </c>
      <c r="Y349" s="184">
        <f>IFERROR(ROUND(INDEX('M04-S01'!$AB$16:$AB$198,2*(ROWS($Y$309:Y349)-1)+1),3),"")</f>
        <v>0</v>
      </c>
      <c r="Z349" s="111">
        <f>INDEX('M04-S01'!$B$16:$B$198,2*(ROWS($Z$309:Z349)-1)+1)</f>
        <v>41</v>
      </c>
      <c r="AA349" s="111">
        <f>INDEX('M04-S01'!$F$16:$F$198,2*(ROWS($Z$309:AA349)-1)+1)</f>
        <v>0</v>
      </c>
      <c r="AB349" s="111">
        <f>INDEX('M04-S01'!$S$16:$S$198,2*(ROWS($Z$309:AB349)-1)+1)</f>
        <v>0</v>
      </c>
      <c r="AC349">
        <f>INDEX('M04-S01'!$J$16:$J$198,2*(ROWS($AC$309:AC349)-1)+1)</f>
        <v>0</v>
      </c>
      <c r="AD349">
        <f>INDEX('M04-S01'!$W$16:$W$198,2*(ROWS($AD$309:AD349)-1)+1)</f>
        <v>0</v>
      </c>
      <c r="AE349" s="459"/>
      <c r="AF349" s="459"/>
      <c r="AG349" s="111" t="str">
        <f>INDEX('M04-S01'!$AX$16:$AX$198,2*(ROWS($AG$309:AG349)-1)+1)</f>
        <v/>
      </c>
      <c r="AH349" s="111" t="str">
        <f>INDEX('M04-S01'!$AY$16:$AY$198,2*(ROWS($AH$309:AH349)-1)+1)</f>
        <v/>
      </c>
      <c r="AI349" s="113"/>
      <c r="AJ349" s="113"/>
      <c r="AK349" s="52" t="str">
        <f>INDEX('M04-S01'!$AV$16:$AV$198,2*(ROWS($AK$309:AK349)-1)+1)</f>
        <v/>
      </c>
      <c r="AL349" s="184">
        <f>IF(NOT(ISNUMBER(INDEX('M04-S01'!$AN$16:$AN$198,2*(ROWS($R$309:$R349)-1)+1))),INDEX('M04-S01'!$Z$16:$Z$198,2*(ROWS($AL$309:$AL349)-1)+1)*INDEX('M04-S01'!$AD$16:$AD$198,2*(ROWS($AL$309:$AL349)-1)+1),"")</f>
        <v>0</v>
      </c>
      <c r="AM349" s="184">
        <f>IF(AND(NOT(ISNUMBER(INDEX('M04-S01'!$AN$16:$AN$198,2*(ROWS($R$309:$R349)-1)+1))),T349&gt;0),INDEX('M04-S01'!$Z$16:$Z$198,2*(ROWS($AM$309:$AM349)-1)+1)*INDEX('M04-S01'!$AF$16:$AF$198,2*(ROWS($AM$309:$AM349)-1)+1),"")</f>
        <v>0</v>
      </c>
      <c r="AN349" s="52" t="str">
        <f>IF(NOT(ISNUMBER(INDEX('M04-S01'!$AN$16:$AN$198,2*(ROWS($R$309:$R349)-1)+1))),INDEX('M04-S01'!$AH$16:$AH$198,2*(ROWS($AN$309:$AN349)-1)+1),"")</f>
        <v/>
      </c>
      <c r="AO349" s="113"/>
      <c r="AU349"/>
    </row>
    <row r="350" spans="1:47">
      <c r="A350" s="57">
        <f t="shared" si="31"/>
        <v>0</v>
      </c>
      <c r="B350" s="183" t="str">
        <f t="shared" si="33"/>
        <v/>
      </c>
      <c r="C350" s="186" t="str">
        <f>IF(OR(R350&gt;0,T350&gt;0),INDEX('M04-S01'!$AZ$16:$AZ$198,2*(ROWS($C$309:C350)-1)+1),"")</f>
        <v/>
      </c>
      <c r="D350" t="s">
        <v>231</v>
      </c>
      <c r="F350" s="185">
        <f>INDEX('M04-S01'!$Q$16:$Q$198,2*(ROWS($F$309:F350)-1)+1)</f>
        <v>0</v>
      </c>
      <c r="G350" s="186">
        <f>INDEX('M04-S01'!$C$16:$C$198,2*(ROWS($G$309:G350)-1)+1)</f>
        <v>0</v>
      </c>
      <c r="H350" s="186" t="str">
        <f>IF(ISNUMBER(INDEX('M04-S01'!$AN$16:$AN$198,2*(ROWS($R$309:R350)-1)+1)),"Total","")</f>
        <v/>
      </c>
      <c r="I350" s="184">
        <f>IFERROR(ROUND(IF(ISNUMBER(INDEX('M04-S01'!$AN$16:$AN$198,2*(ROWS($R$309:$R350)-1)+1)),INDEX('M04-S01'!$Z$16:$Z$198,2*(ROWS($I$309:$I350)-1)+1)*INDEX('M04-S01'!$AD$16:$AD$198,2*(ROWS($I$309:$I350)-1)+1),""),2),0)</f>
        <v>0</v>
      </c>
      <c r="J350" s="184">
        <f>IFERROR(ROUND(IF(ISNUMBER(INDEX('M04-S01'!$AN$16:$AN$198,2*(ROWS($R$309:$R350)-1)+1)),INDEX('M04-S01'!$Z$16:$Z$198,2*(ROWS($J$309:$J350)-1)+1)*INDEX('M04-S01'!$AF$16:$AF$198,2*(ROWS($J$309:$J350)-1)+1),""),2),0)</f>
        <v>0</v>
      </c>
      <c r="K350" s="52">
        <f>IFERROR(ROUND(IF(ISNUMBER(INDEX('M04-S01'!$AN$16:$AN$198,2*(ROWS($R$309:$R350)-1)+1)),INDEX('M04-S01'!$AH$16:$AH$198,2*(ROWS($K$309:$K350)-1)+1),""),2),0)</f>
        <v>0</v>
      </c>
      <c r="M350" s="456" t="str">
        <f>IF(ISNUMBER(INDEX('M04-S01'!$AN$16:$AN$198,2*(ROWS($R$309:R350)-1)+1)),INDEX('M04-S01'!$Z$16:$Z$198,2*(ROWS($M$309:M350)-1)+1),"")</f>
        <v/>
      </c>
      <c r="N350" s="184" t="str">
        <f>IF(ISNUMBER(INDEX('M04-S01'!$AN$16:$AN$198,2*(ROWS($R$309:R350)-1)+1)),INDEX('M04-S01'!$AK$16:$AK$198,2*(ROWS($N$309:N350)-1)+1),"")</f>
        <v/>
      </c>
      <c r="O350" s="456" t="str">
        <f>IF(ISNUMBER(INDEX('M04-S01'!$AN$16:$AN$198,2*(ROWS($R$309:R350)-1)+1)),INDEX('M04-S01'!$AW$16:$AW$198,2*(ROWS($O$309:O350)-1)+1),"")</f>
        <v/>
      </c>
      <c r="P350" s="113"/>
      <c r="Q350" s="456" t="str">
        <f>IF(ISNUMBER(INDEX('M04-S01'!$AN$16:$AN$198,2*(ROWS($R$309:R350)-1)+1)),INDEX('M04-S01'!$BB$16:$BB$198,2*(ROWS($Q$309:Q350)-1)+1),"")</f>
        <v/>
      </c>
      <c r="R350" s="184">
        <f>IF(ISNUMBER(INDEX('M04-S01'!$AN$16:$AN$198,2*(ROWS($R$309:R350)-1)+1)),INDEX('M04-S01'!$AN$16:$AN$198,2*(ROWS($R$309:R350)-1)+1),0)</f>
        <v>0</v>
      </c>
      <c r="S350" s="23">
        <f>IF(NOT(ISNUMBER(INDEX('M04-S01'!$AN$16:$AN$198,2*(ROWS($R$309:R350)-1)+1))),INDEX('M04-S01'!$Z$16:$Z$198,2*(ROWS($S$309:S350)-1)+1),"")</f>
        <v>0</v>
      </c>
      <c r="T350" s="52" t="str">
        <f>IFERROR(IF(NOT(ISNUMBER(INDEX('M04-S01'!$AN$16:$AN$198,2*(ROWS($R$309:R350)-1)+1))),INDEX('M04-S01'!$AK$16:$AK$198,2*(ROWS($R$309:R350)-1)+1),0),0)</f>
        <v/>
      </c>
      <c r="U350" s="23" t="str">
        <f>IFERROR(IF(NOT(ISNUMBER(INDEX('M04-S01'!$AN$16:$AN$198,2*(ROWS($R$309:R350)-1)+1))),INDEX('M04-S01'!$AW$16:$AW$198,2*(ROWS($R$309:R350)-1)+1),""),"")</f>
        <v/>
      </c>
      <c r="V350" s="113"/>
      <c r="W350" t="str">
        <f>IFERROR(IF(NOT(ISNUMBER(INDEX('M04-S01'!$AN$16:$AN$198,2*(ROWS($R$309:R350)-1)+1))),INDEX('M04-S01'!$BD$16:$BD$198,2*(ROWS($R$309:R350)-1)+1),""),"")</f>
        <v/>
      </c>
      <c r="X350" s="184" t="str">
        <f>IFERROR(ROUND(INDEX('M04-S01'!$O$16:$O$198,2*(ROWS($X$309:X350)-1)+1),3),"")</f>
        <v/>
      </c>
      <c r="Y350" s="184">
        <f>IFERROR(ROUND(INDEX('M04-S01'!$AB$16:$AB$198,2*(ROWS($Y$309:Y350)-1)+1),3),"")</f>
        <v>0</v>
      </c>
      <c r="Z350" s="111">
        <f>INDEX('M04-S01'!$B$16:$B$198,2*(ROWS($Z$309:Z350)-1)+1)</f>
        <v>42</v>
      </c>
      <c r="AA350" s="111">
        <f>INDEX('M04-S01'!$F$16:$F$198,2*(ROWS($Z$309:AA350)-1)+1)</f>
        <v>0</v>
      </c>
      <c r="AB350" s="111">
        <f>INDEX('M04-S01'!$S$16:$S$198,2*(ROWS($Z$309:AB350)-1)+1)</f>
        <v>0</v>
      </c>
      <c r="AC350">
        <f>INDEX('M04-S01'!$J$16:$J$198,2*(ROWS($AC$309:AC350)-1)+1)</f>
        <v>0</v>
      </c>
      <c r="AD350">
        <f>INDEX('M04-S01'!$W$16:$W$198,2*(ROWS($AD$309:AD350)-1)+1)</f>
        <v>0</v>
      </c>
      <c r="AE350" s="459"/>
      <c r="AF350" s="459"/>
      <c r="AG350" s="111" t="str">
        <f>INDEX('M04-S01'!$AX$16:$AX$198,2*(ROWS($AG$309:AG350)-1)+1)</f>
        <v/>
      </c>
      <c r="AH350" s="111" t="str">
        <f>INDEX('M04-S01'!$AY$16:$AY$198,2*(ROWS($AH$309:AH350)-1)+1)</f>
        <v/>
      </c>
      <c r="AI350" s="113"/>
      <c r="AJ350" s="113"/>
      <c r="AK350" s="52" t="str">
        <f>INDEX('M04-S01'!$AV$16:$AV$198,2*(ROWS($AK$309:AK350)-1)+1)</f>
        <v/>
      </c>
      <c r="AL350" s="184">
        <f>IF(NOT(ISNUMBER(INDEX('M04-S01'!$AN$16:$AN$198,2*(ROWS($R$309:$R350)-1)+1))),INDEX('M04-S01'!$Z$16:$Z$198,2*(ROWS($AL$309:$AL350)-1)+1)*INDEX('M04-S01'!$AD$16:$AD$198,2*(ROWS($AL$309:$AL350)-1)+1),"")</f>
        <v>0</v>
      </c>
      <c r="AM350" s="184">
        <f>IF(AND(NOT(ISNUMBER(INDEX('M04-S01'!$AN$16:$AN$198,2*(ROWS($R$309:$R350)-1)+1))),T350&gt;0),INDEX('M04-S01'!$Z$16:$Z$198,2*(ROWS($AM$309:$AM350)-1)+1)*INDEX('M04-S01'!$AF$16:$AF$198,2*(ROWS($AM$309:$AM350)-1)+1),"")</f>
        <v>0</v>
      </c>
      <c r="AN350" s="52" t="str">
        <f>IF(NOT(ISNUMBER(INDEX('M04-S01'!$AN$16:$AN$198,2*(ROWS($R$309:$R350)-1)+1))),INDEX('M04-S01'!$AH$16:$AH$198,2*(ROWS($AN$309:$AN350)-1)+1),"")</f>
        <v/>
      </c>
      <c r="AO350" s="113"/>
      <c r="AU350"/>
    </row>
    <row r="351" spans="1:47">
      <c r="A351" s="57">
        <f t="shared" si="31"/>
        <v>0</v>
      </c>
      <c r="B351" s="183" t="str">
        <f t="shared" si="33"/>
        <v/>
      </c>
      <c r="C351" s="186" t="str">
        <f>IF(OR(R351&gt;0,T351&gt;0),INDEX('M04-S01'!$AZ$16:$AZ$198,2*(ROWS($C$309:C351)-1)+1),"")</f>
        <v/>
      </c>
      <c r="D351" t="s">
        <v>231</v>
      </c>
      <c r="F351" s="185">
        <f>INDEX('M04-S01'!$Q$16:$Q$198,2*(ROWS($F$309:F351)-1)+1)</f>
        <v>0</v>
      </c>
      <c r="G351" s="186">
        <f>INDEX('M04-S01'!$C$16:$C$198,2*(ROWS($G$309:G351)-1)+1)</f>
        <v>0</v>
      </c>
      <c r="H351" s="186" t="str">
        <f>IF(ISNUMBER(INDEX('M04-S01'!$AN$16:$AN$198,2*(ROWS($R$309:R351)-1)+1)),"Total","")</f>
        <v/>
      </c>
      <c r="I351" s="184">
        <f>IFERROR(ROUND(IF(ISNUMBER(INDEX('M04-S01'!$AN$16:$AN$198,2*(ROWS($R$309:$R351)-1)+1)),INDEX('M04-S01'!$Z$16:$Z$198,2*(ROWS($I$309:$I351)-1)+1)*INDEX('M04-S01'!$AD$16:$AD$198,2*(ROWS($I$309:$I351)-1)+1),""),2),0)</f>
        <v>0</v>
      </c>
      <c r="J351" s="184">
        <f>IFERROR(ROUND(IF(ISNUMBER(INDEX('M04-S01'!$AN$16:$AN$198,2*(ROWS($R$309:$R351)-1)+1)),INDEX('M04-S01'!$Z$16:$Z$198,2*(ROWS($J$309:$J351)-1)+1)*INDEX('M04-S01'!$AF$16:$AF$198,2*(ROWS($J$309:$J351)-1)+1),""),2),0)</f>
        <v>0</v>
      </c>
      <c r="K351" s="52">
        <f>IFERROR(ROUND(IF(ISNUMBER(INDEX('M04-S01'!$AN$16:$AN$198,2*(ROWS($R$309:$R351)-1)+1)),INDEX('M04-S01'!$AH$16:$AH$198,2*(ROWS($K$309:$K351)-1)+1),""),2),0)</f>
        <v>0</v>
      </c>
      <c r="M351" s="456" t="str">
        <f>IF(ISNUMBER(INDEX('M04-S01'!$AN$16:$AN$198,2*(ROWS($R$309:R351)-1)+1)),INDEX('M04-S01'!$Z$16:$Z$198,2*(ROWS($M$309:M351)-1)+1),"")</f>
        <v/>
      </c>
      <c r="N351" s="184" t="str">
        <f>IF(ISNUMBER(INDEX('M04-S01'!$AN$16:$AN$198,2*(ROWS($R$309:R351)-1)+1)),INDEX('M04-S01'!$AK$16:$AK$198,2*(ROWS($N$309:N351)-1)+1),"")</f>
        <v/>
      </c>
      <c r="O351" s="456" t="str">
        <f>IF(ISNUMBER(INDEX('M04-S01'!$AN$16:$AN$198,2*(ROWS($R$309:R351)-1)+1)),INDEX('M04-S01'!$AW$16:$AW$198,2*(ROWS($O$309:O351)-1)+1),"")</f>
        <v/>
      </c>
      <c r="P351" s="113"/>
      <c r="Q351" s="456" t="str">
        <f>IF(ISNUMBER(INDEX('M04-S01'!$AN$16:$AN$198,2*(ROWS($R$309:R351)-1)+1)),INDEX('M04-S01'!$BB$16:$BB$198,2*(ROWS($Q$309:Q351)-1)+1),"")</f>
        <v/>
      </c>
      <c r="R351" s="184">
        <f>IF(ISNUMBER(INDEX('M04-S01'!$AN$16:$AN$198,2*(ROWS($R$309:R351)-1)+1)),INDEX('M04-S01'!$AN$16:$AN$198,2*(ROWS($R$309:R351)-1)+1),0)</f>
        <v>0</v>
      </c>
      <c r="S351" s="23">
        <f>IF(NOT(ISNUMBER(INDEX('M04-S01'!$AN$16:$AN$198,2*(ROWS($R$309:R351)-1)+1))),INDEX('M04-S01'!$Z$16:$Z$198,2*(ROWS($S$309:S351)-1)+1),"")</f>
        <v>0</v>
      </c>
      <c r="T351" s="52" t="str">
        <f>IFERROR(IF(NOT(ISNUMBER(INDEX('M04-S01'!$AN$16:$AN$198,2*(ROWS($R$309:R351)-1)+1))),INDEX('M04-S01'!$AK$16:$AK$198,2*(ROWS($R$309:R351)-1)+1),0),0)</f>
        <v/>
      </c>
      <c r="U351" s="23" t="str">
        <f>IFERROR(IF(NOT(ISNUMBER(INDEX('M04-S01'!$AN$16:$AN$198,2*(ROWS($R$309:R351)-1)+1))),INDEX('M04-S01'!$AW$16:$AW$198,2*(ROWS($R$309:R351)-1)+1),""),"")</f>
        <v/>
      </c>
      <c r="V351" s="113"/>
      <c r="W351" t="str">
        <f>IFERROR(IF(NOT(ISNUMBER(INDEX('M04-S01'!$AN$16:$AN$198,2*(ROWS($R$309:R351)-1)+1))),INDEX('M04-S01'!$BD$16:$BD$198,2*(ROWS($R$309:R351)-1)+1),""),"")</f>
        <v/>
      </c>
      <c r="X351" s="184" t="str">
        <f>IFERROR(ROUND(INDEX('M04-S01'!$O$16:$O$198,2*(ROWS($X$309:X351)-1)+1),3),"")</f>
        <v/>
      </c>
      <c r="Y351" s="184">
        <f>IFERROR(ROUND(INDEX('M04-S01'!$AB$16:$AB$198,2*(ROWS($Y$309:Y351)-1)+1),3),"")</f>
        <v>0</v>
      </c>
      <c r="Z351" s="111">
        <f>INDEX('M04-S01'!$B$16:$B$198,2*(ROWS($Z$309:Z351)-1)+1)</f>
        <v>43</v>
      </c>
      <c r="AA351" s="111">
        <f>INDEX('M04-S01'!$F$16:$F$198,2*(ROWS($Z$309:AA351)-1)+1)</f>
        <v>0</v>
      </c>
      <c r="AB351" s="111">
        <f>INDEX('M04-S01'!$S$16:$S$198,2*(ROWS($Z$309:AB351)-1)+1)</f>
        <v>0</v>
      </c>
      <c r="AC351">
        <f>INDEX('M04-S01'!$J$16:$J$198,2*(ROWS($AC$309:AC351)-1)+1)</f>
        <v>0</v>
      </c>
      <c r="AD351">
        <f>INDEX('M04-S01'!$W$16:$W$198,2*(ROWS($AD$309:AD351)-1)+1)</f>
        <v>0</v>
      </c>
      <c r="AE351" s="459"/>
      <c r="AF351" s="459"/>
      <c r="AG351" s="111" t="str">
        <f>INDEX('M04-S01'!$AX$16:$AX$198,2*(ROWS($AG$309:AG351)-1)+1)</f>
        <v/>
      </c>
      <c r="AH351" s="111" t="str">
        <f>INDEX('M04-S01'!$AY$16:$AY$198,2*(ROWS($AH$309:AH351)-1)+1)</f>
        <v/>
      </c>
      <c r="AI351" s="113"/>
      <c r="AJ351" s="113"/>
      <c r="AK351" s="52" t="str">
        <f>INDEX('M04-S01'!$AV$16:$AV$198,2*(ROWS($AK$309:AK351)-1)+1)</f>
        <v/>
      </c>
      <c r="AL351" s="184">
        <f>IF(NOT(ISNUMBER(INDEX('M04-S01'!$AN$16:$AN$198,2*(ROWS($R$309:$R351)-1)+1))),INDEX('M04-S01'!$Z$16:$Z$198,2*(ROWS($AL$309:$AL351)-1)+1)*INDEX('M04-S01'!$AD$16:$AD$198,2*(ROWS($AL$309:$AL351)-1)+1),"")</f>
        <v>0</v>
      </c>
      <c r="AM351" s="184">
        <f>IF(AND(NOT(ISNUMBER(INDEX('M04-S01'!$AN$16:$AN$198,2*(ROWS($R$309:$R351)-1)+1))),T351&gt;0),INDEX('M04-S01'!$Z$16:$Z$198,2*(ROWS($AM$309:$AM351)-1)+1)*INDEX('M04-S01'!$AF$16:$AF$198,2*(ROWS($AM$309:$AM351)-1)+1),"")</f>
        <v>0</v>
      </c>
      <c r="AN351" s="52" t="str">
        <f>IF(NOT(ISNUMBER(INDEX('M04-S01'!$AN$16:$AN$198,2*(ROWS($R$309:$R351)-1)+1))),INDEX('M04-S01'!$AH$16:$AH$198,2*(ROWS($AN$309:$AN351)-1)+1),"")</f>
        <v/>
      </c>
      <c r="AO351" s="113"/>
      <c r="AU351"/>
    </row>
    <row r="352" spans="1:47">
      <c r="A352" s="57">
        <f t="shared" si="31"/>
        <v>0</v>
      </c>
      <c r="B352" s="183" t="str">
        <f t="shared" si="33"/>
        <v/>
      </c>
      <c r="C352" s="186" t="str">
        <f>IF(OR(R352&gt;0,T352&gt;0),INDEX('M04-S01'!$AZ$16:$AZ$198,2*(ROWS($C$309:C352)-1)+1),"")</f>
        <v/>
      </c>
      <c r="D352" t="s">
        <v>231</v>
      </c>
      <c r="F352" s="185">
        <f>INDEX('M04-S01'!$Q$16:$Q$198,2*(ROWS($F$309:F352)-1)+1)</f>
        <v>0</v>
      </c>
      <c r="G352" s="186">
        <f>INDEX('M04-S01'!$C$16:$C$198,2*(ROWS($G$309:G352)-1)+1)</f>
        <v>0</v>
      </c>
      <c r="H352" s="186" t="str">
        <f>IF(ISNUMBER(INDEX('M04-S01'!$AN$16:$AN$198,2*(ROWS($R$309:R352)-1)+1)),"Total","")</f>
        <v/>
      </c>
      <c r="I352" s="184">
        <f>IFERROR(ROUND(IF(ISNUMBER(INDEX('M04-S01'!$AN$16:$AN$198,2*(ROWS($R$309:$R352)-1)+1)),INDEX('M04-S01'!$Z$16:$Z$198,2*(ROWS($I$309:$I352)-1)+1)*INDEX('M04-S01'!$AD$16:$AD$198,2*(ROWS($I$309:$I352)-1)+1),""),2),0)</f>
        <v>0</v>
      </c>
      <c r="J352" s="184">
        <f>IFERROR(ROUND(IF(ISNUMBER(INDEX('M04-S01'!$AN$16:$AN$198,2*(ROWS($R$309:$R352)-1)+1)),INDEX('M04-S01'!$Z$16:$Z$198,2*(ROWS($J$309:$J352)-1)+1)*INDEX('M04-S01'!$AF$16:$AF$198,2*(ROWS($J$309:$J352)-1)+1),""),2),0)</f>
        <v>0</v>
      </c>
      <c r="K352" s="52">
        <f>IFERROR(ROUND(IF(ISNUMBER(INDEX('M04-S01'!$AN$16:$AN$198,2*(ROWS($R$309:$R352)-1)+1)),INDEX('M04-S01'!$AH$16:$AH$198,2*(ROWS($K$309:$K352)-1)+1),""),2),0)</f>
        <v>0</v>
      </c>
      <c r="M352" s="456" t="str">
        <f>IF(ISNUMBER(INDEX('M04-S01'!$AN$16:$AN$198,2*(ROWS($R$309:R352)-1)+1)),INDEX('M04-S01'!$Z$16:$Z$198,2*(ROWS($M$309:M352)-1)+1),"")</f>
        <v/>
      </c>
      <c r="N352" s="184" t="str">
        <f>IF(ISNUMBER(INDEX('M04-S01'!$AN$16:$AN$198,2*(ROWS($R$309:R352)-1)+1)),INDEX('M04-S01'!$AK$16:$AK$198,2*(ROWS($N$309:N352)-1)+1),"")</f>
        <v/>
      </c>
      <c r="O352" s="456" t="str">
        <f>IF(ISNUMBER(INDEX('M04-S01'!$AN$16:$AN$198,2*(ROWS($R$309:R352)-1)+1)),INDEX('M04-S01'!$AW$16:$AW$198,2*(ROWS($O$309:O352)-1)+1),"")</f>
        <v/>
      </c>
      <c r="P352" s="113"/>
      <c r="Q352" s="456" t="str">
        <f>IF(ISNUMBER(INDEX('M04-S01'!$AN$16:$AN$198,2*(ROWS($R$309:R352)-1)+1)),INDEX('M04-S01'!$BB$16:$BB$198,2*(ROWS($Q$309:Q352)-1)+1),"")</f>
        <v/>
      </c>
      <c r="R352" s="184">
        <f>IF(ISNUMBER(INDEX('M04-S01'!$AN$16:$AN$198,2*(ROWS($R$309:R352)-1)+1)),INDEX('M04-S01'!$AN$16:$AN$198,2*(ROWS($R$309:R352)-1)+1),0)</f>
        <v>0</v>
      </c>
      <c r="S352" s="23">
        <f>IF(NOT(ISNUMBER(INDEX('M04-S01'!$AN$16:$AN$198,2*(ROWS($R$309:R352)-1)+1))),INDEX('M04-S01'!$Z$16:$Z$198,2*(ROWS($S$309:S352)-1)+1),"")</f>
        <v>0</v>
      </c>
      <c r="T352" s="52" t="str">
        <f>IFERROR(IF(NOT(ISNUMBER(INDEX('M04-S01'!$AN$16:$AN$198,2*(ROWS($R$309:R352)-1)+1))),INDEX('M04-S01'!$AK$16:$AK$198,2*(ROWS($R$309:R352)-1)+1),0),0)</f>
        <v/>
      </c>
      <c r="U352" s="23" t="str">
        <f>IFERROR(IF(NOT(ISNUMBER(INDEX('M04-S01'!$AN$16:$AN$198,2*(ROWS($R$309:R352)-1)+1))),INDEX('M04-S01'!$AW$16:$AW$198,2*(ROWS($R$309:R352)-1)+1),""),"")</f>
        <v/>
      </c>
      <c r="V352" s="113"/>
      <c r="W352" t="str">
        <f>IFERROR(IF(NOT(ISNUMBER(INDEX('M04-S01'!$AN$16:$AN$198,2*(ROWS($R$309:R352)-1)+1))),INDEX('M04-S01'!$BD$16:$BD$198,2*(ROWS($R$309:R352)-1)+1),""),"")</f>
        <v/>
      </c>
      <c r="X352" s="184" t="str">
        <f>IFERROR(ROUND(INDEX('M04-S01'!$O$16:$O$198,2*(ROWS($X$309:X352)-1)+1),3),"")</f>
        <v/>
      </c>
      <c r="Y352" s="184">
        <f>IFERROR(ROUND(INDEX('M04-S01'!$AB$16:$AB$198,2*(ROWS($Y$309:Y352)-1)+1),3),"")</f>
        <v>0</v>
      </c>
      <c r="Z352" s="111">
        <f>INDEX('M04-S01'!$B$16:$B$198,2*(ROWS($Z$309:Z352)-1)+1)</f>
        <v>44</v>
      </c>
      <c r="AA352" s="111">
        <f>INDEX('M04-S01'!$F$16:$F$198,2*(ROWS($Z$309:AA352)-1)+1)</f>
        <v>0</v>
      </c>
      <c r="AB352" s="111">
        <f>INDEX('M04-S01'!$S$16:$S$198,2*(ROWS($Z$309:AB352)-1)+1)</f>
        <v>0</v>
      </c>
      <c r="AC352">
        <f>INDEX('M04-S01'!$J$16:$J$198,2*(ROWS($AC$309:AC352)-1)+1)</f>
        <v>0</v>
      </c>
      <c r="AD352">
        <f>INDEX('M04-S01'!$W$16:$W$198,2*(ROWS($AD$309:AD352)-1)+1)</f>
        <v>0</v>
      </c>
      <c r="AE352" s="459"/>
      <c r="AF352" s="459"/>
      <c r="AG352" s="111" t="str">
        <f>INDEX('M04-S01'!$AX$16:$AX$198,2*(ROWS($AG$309:AG352)-1)+1)</f>
        <v/>
      </c>
      <c r="AH352" s="111" t="str">
        <f>INDEX('M04-S01'!$AY$16:$AY$198,2*(ROWS($AH$309:AH352)-1)+1)</f>
        <v/>
      </c>
      <c r="AI352" s="113"/>
      <c r="AJ352" s="113"/>
      <c r="AK352" s="52" t="str">
        <f>INDEX('M04-S01'!$AV$16:$AV$198,2*(ROWS($AK$309:AK352)-1)+1)</f>
        <v/>
      </c>
      <c r="AL352" s="184">
        <f>IF(NOT(ISNUMBER(INDEX('M04-S01'!$AN$16:$AN$198,2*(ROWS($R$309:$R352)-1)+1))),INDEX('M04-S01'!$Z$16:$Z$198,2*(ROWS($AL$309:$AL352)-1)+1)*INDEX('M04-S01'!$AD$16:$AD$198,2*(ROWS($AL$309:$AL352)-1)+1),"")</f>
        <v>0</v>
      </c>
      <c r="AM352" s="184">
        <f>IF(AND(NOT(ISNUMBER(INDEX('M04-S01'!$AN$16:$AN$198,2*(ROWS($R$309:$R352)-1)+1))),T352&gt;0),INDEX('M04-S01'!$Z$16:$Z$198,2*(ROWS($AM$309:$AM352)-1)+1)*INDEX('M04-S01'!$AF$16:$AF$198,2*(ROWS($AM$309:$AM352)-1)+1),"")</f>
        <v>0</v>
      </c>
      <c r="AN352" s="52" t="str">
        <f>IF(NOT(ISNUMBER(INDEX('M04-S01'!$AN$16:$AN$198,2*(ROWS($R$309:$R352)-1)+1))),INDEX('M04-S01'!$AH$16:$AH$198,2*(ROWS($AN$309:$AN352)-1)+1),"")</f>
        <v/>
      </c>
      <c r="AO352" s="113"/>
      <c r="AU352"/>
    </row>
    <row r="353" spans="1:47">
      <c r="A353" s="57">
        <f t="shared" si="31"/>
        <v>0</v>
      </c>
      <c r="B353" s="183" t="str">
        <f t="shared" si="33"/>
        <v/>
      </c>
      <c r="C353" s="186" t="str">
        <f>IF(OR(R353&gt;0,T353&gt;0),INDEX('M04-S01'!$AZ$16:$AZ$198,2*(ROWS($C$309:C353)-1)+1),"")</f>
        <v/>
      </c>
      <c r="D353" t="s">
        <v>231</v>
      </c>
      <c r="F353" s="185">
        <f>INDEX('M04-S01'!$Q$16:$Q$198,2*(ROWS($F$309:F353)-1)+1)</f>
        <v>0</v>
      </c>
      <c r="G353" s="186">
        <f>INDEX('M04-S01'!$C$16:$C$198,2*(ROWS($G$309:G353)-1)+1)</f>
        <v>0</v>
      </c>
      <c r="H353" s="186" t="str">
        <f>IF(ISNUMBER(INDEX('M04-S01'!$AN$16:$AN$198,2*(ROWS($R$309:R353)-1)+1)),"Total","")</f>
        <v/>
      </c>
      <c r="I353" s="184">
        <f>IFERROR(ROUND(IF(ISNUMBER(INDEX('M04-S01'!$AN$16:$AN$198,2*(ROWS($R$309:$R353)-1)+1)),INDEX('M04-S01'!$Z$16:$Z$198,2*(ROWS($I$309:$I353)-1)+1)*INDEX('M04-S01'!$AD$16:$AD$198,2*(ROWS($I$309:$I353)-1)+1),""),2),0)</f>
        <v>0</v>
      </c>
      <c r="J353" s="184">
        <f>IFERROR(ROUND(IF(ISNUMBER(INDEX('M04-S01'!$AN$16:$AN$198,2*(ROWS($R$309:$R353)-1)+1)),INDEX('M04-S01'!$Z$16:$Z$198,2*(ROWS($J$309:$J353)-1)+1)*INDEX('M04-S01'!$AF$16:$AF$198,2*(ROWS($J$309:$J353)-1)+1),""),2),0)</f>
        <v>0</v>
      </c>
      <c r="K353" s="52">
        <f>IFERROR(ROUND(IF(ISNUMBER(INDEX('M04-S01'!$AN$16:$AN$198,2*(ROWS($R$309:$R353)-1)+1)),INDEX('M04-S01'!$AH$16:$AH$198,2*(ROWS($K$309:$K353)-1)+1),""),2),0)</f>
        <v>0</v>
      </c>
      <c r="M353" s="456" t="str">
        <f>IF(ISNUMBER(INDEX('M04-S01'!$AN$16:$AN$198,2*(ROWS($R$309:R353)-1)+1)),INDEX('M04-S01'!$Z$16:$Z$198,2*(ROWS($M$309:M353)-1)+1),"")</f>
        <v/>
      </c>
      <c r="N353" s="184" t="str">
        <f>IF(ISNUMBER(INDEX('M04-S01'!$AN$16:$AN$198,2*(ROWS($R$309:R353)-1)+1)),INDEX('M04-S01'!$AK$16:$AK$198,2*(ROWS($N$309:N353)-1)+1),"")</f>
        <v/>
      </c>
      <c r="O353" s="456" t="str">
        <f>IF(ISNUMBER(INDEX('M04-S01'!$AN$16:$AN$198,2*(ROWS($R$309:R353)-1)+1)),INDEX('M04-S01'!$AW$16:$AW$198,2*(ROWS($O$309:O353)-1)+1),"")</f>
        <v/>
      </c>
      <c r="P353" s="113"/>
      <c r="Q353" s="456" t="str">
        <f>IF(ISNUMBER(INDEX('M04-S01'!$AN$16:$AN$198,2*(ROWS($R$309:R353)-1)+1)),INDEX('M04-S01'!$BB$16:$BB$198,2*(ROWS($Q$309:Q353)-1)+1),"")</f>
        <v/>
      </c>
      <c r="R353" s="184">
        <f>IF(ISNUMBER(INDEX('M04-S01'!$AN$16:$AN$198,2*(ROWS($R$309:R353)-1)+1)),INDEX('M04-S01'!$AN$16:$AN$198,2*(ROWS($R$309:R353)-1)+1),0)</f>
        <v>0</v>
      </c>
      <c r="S353" s="23">
        <f>IF(NOT(ISNUMBER(INDEX('M04-S01'!$AN$16:$AN$198,2*(ROWS($R$309:R353)-1)+1))),INDEX('M04-S01'!$Z$16:$Z$198,2*(ROWS($S$309:S353)-1)+1),"")</f>
        <v>0</v>
      </c>
      <c r="T353" s="52" t="str">
        <f>IFERROR(IF(NOT(ISNUMBER(INDEX('M04-S01'!$AN$16:$AN$198,2*(ROWS($R$309:R353)-1)+1))),INDEX('M04-S01'!$AK$16:$AK$198,2*(ROWS($R$309:R353)-1)+1),0),0)</f>
        <v/>
      </c>
      <c r="U353" s="23" t="str">
        <f>IFERROR(IF(NOT(ISNUMBER(INDEX('M04-S01'!$AN$16:$AN$198,2*(ROWS($R$309:R353)-1)+1))),INDEX('M04-S01'!$AW$16:$AW$198,2*(ROWS($R$309:R353)-1)+1),""),"")</f>
        <v/>
      </c>
      <c r="V353" s="113"/>
      <c r="W353" t="str">
        <f>IFERROR(IF(NOT(ISNUMBER(INDEX('M04-S01'!$AN$16:$AN$198,2*(ROWS($R$309:R353)-1)+1))),INDEX('M04-S01'!$BD$16:$BD$198,2*(ROWS($R$309:R353)-1)+1),""),"")</f>
        <v/>
      </c>
      <c r="X353" s="184" t="str">
        <f>IFERROR(ROUND(INDEX('M04-S01'!$O$16:$O$198,2*(ROWS($X$309:X353)-1)+1),3),"")</f>
        <v/>
      </c>
      <c r="Y353" s="184">
        <f>IFERROR(ROUND(INDEX('M04-S01'!$AB$16:$AB$198,2*(ROWS($Y$309:Y353)-1)+1),3),"")</f>
        <v>0</v>
      </c>
      <c r="Z353" s="111">
        <f>INDEX('M04-S01'!$B$16:$B$198,2*(ROWS($Z$309:Z353)-1)+1)</f>
        <v>45</v>
      </c>
      <c r="AA353" s="111">
        <f>INDEX('M04-S01'!$F$16:$F$198,2*(ROWS($Z$309:AA353)-1)+1)</f>
        <v>0</v>
      </c>
      <c r="AB353" s="111">
        <f>INDEX('M04-S01'!$S$16:$S$198,2*(ROWS($Z$309:AB353)-1)+1)</f>
        <v>0</v>
      </c>
      <c r="AC353">
        <f>INDEX('M04-S01'!$J$16:$J$198,2*(ROWS($AC$309:AC353)-1)+1)</f>
        <v>0</v>
      </c>
      <c r="AD353">
        <f>INDEX('M04-S01'!$W$16:$W$198,2*(ROWS($AD$309:AD353)-1)+1)</f>
        <v>0</v>
      </c>
      <c r="AE353" s="459"/>
      <c r="AF353" s="459"/>
      <c r="AG353" s="111" t="str">
        <f>INDEX('M04-S01'!$AX$16:$AX$198,2*(ROWS($AG$309:AG353)-1)+1)</f>
        <v/>
      </c>
      <c r="AH353" s="111" t="str">
        <f>INDEX('M04-S01'!$AY$16:$AY$198,2*(ROWS($AH$309:AH353)-1)+1)</f>
        <v/>
      </c>
      <c r="AI353" s="113"/>
      <c r="AJ353" s="113"/>
      <c r="AK353" s="52" t="str">
        <f>INDEX('M04-S01'!$AV$16:$AV$198,2*(ROWS($AK$309:AK353)-1)+1)</f>
        <v/>
      </c>
      <c r="AL353" s="184">
        <f>IF(NOT(ISNUMBER(INDEX('M04-S01'!$AN$16:$AN$198,2*(ROWS($R$309:$R353)-1)+1))),INDEX('M04-S01'!$Z$16:$Z$198,2*(ROWS($AL$309:$AL353)-1)+1)*INDEX('M04-S01'!$AD$16:$AD$198,2*(ROWS($AL$309:$AL353)-1)+1),"")</f>
        <v>0</v>
      </c>
      <c r="AM353" s="184">
        <f>IF(AND(NOT(ISNUMBER(INDEX('M04-S01'!$AN$16:$AN$198,2*(ROWS($R$309:$R353)-1)+1))),T353&gt;0),INDEX('M04-S01'!$Z$16:$Z$198,2*(ROWS($AM$309:$AM353)-1)+1)*INDEX('M04-S01'!$AF$16:$AF$198,2*(ROWS($AM$309:$AM353)-1)+1),"")</f>
        <v>0</v>
      </c>
      <c r="AN353" s="52" t="str">
        <f>IF(NOT(ISNUMBER(INDEX('M04-S01'!$AN$16:$AN$198,2*(ROWS($R$309:$R353)-1)+1))),INDEX('M04-S01'!$AH$16:$AH$198,2*(ROWS($AN$309:$AN353)-1)+1),"")</f>
        <v/>
      </c>
      <c r="AO353" s="113"/>
      <c r="AU353"/>
    </row>
    <row r="354" spans="1:47">
      <c r="A354" s="57">
        <f t="shared" si="31"/>
        <v>0</v>
      </c>
      <c r="B354" s="183" t="str">
        <f t="shared" si="33"/>
        <v/>
      </c>
      <c r="C354" s="186" t="str">
        <f>IF(OR(R354&gt;0,T354&gt;0),INDEX('M04-S01'!$AZ$16:$AZ$198,2*(ROWS($C$309:C354)-1)+1),"")</f>
        <v/>
      </c>
      <c r="D354" t="s">
        <v>231</v>
      </c>
      <c r="F354" s="185">
        <f>INDEX('M04-S01'!$Q$16:$Q$198,2*(ROWS($F$309:F354)-1)+1)</f>
        <v>0</v>
      </c>
      <c r="G354" s="186">
        <f>INDEX('M04-S01'!$C$16:$C$198,2*(ROWS($G$309:G354)-1)+1)</f>
        <v>0</v>
      </c>
      <c r="H354" s="186" t="str">
        <f>IF(ISNUMBER(INDEX('M04-S01'!$AN$16:$AN$198,2*(ROWS($R$309:R354)-1)+1)),"Total","")</f>
        <v/>
      </c>
      <c r="I354" s="184">
        <f>IFERROR(ROUND(IF(ISNUMBER(INDEX('M04-S01'!$AN$16:$AN$198,2*(ROWS($R$309:$R354)-1)+1)),INDEX('M04-S01'!$Z$16:$Z$198,2*(ROWS($I$309:$I354)-1)+1)*INDEX('M04-S01'!$AD$16:$AD$198,2*(ROWS($I$309:$I354)-1)+1),""),2),0)</f>
        <v>0</v>
      </c>
      <c r="J354" s="184">
        <f>IFERROR(ROUND(IF(ISNUMBER(INDEX('M04-S01'!$AN$16:$AN$198,2*(ROWS($R$309:$R354)-1)+1)),INDEX('M04-S01'!$Z$16:$Z$198,2*(ROWS($J$309:$J354)-1)+1)*INDEX('M04-S01'!$AF$16:$AF$198,2*(ROWS($J$309:$J354)-1)+1),""),2),0)</f>
        <v>0</v>
      </c>
      <c r="K354" s="52">
        <f>IFERROR(ROUND(IF(ISNUMBER(INDEX('M04-S01'!$AN$16:$AN$198,2*(ROWS($R$309:$R354)-1)+1)),INDEX('M04-S01'!$AH$16:$AH$198,2*(ROWS($K$309:$K354)-1)+1),""),2),0)</f>
        <v>0</v>
      </c>
      <c r="M354" s="456" t="str">
        <f>IF(ISNUMBER(INDEX('M04-S01'!$AN$16:$AN$198,2*(ROWS($R$309:R354)-1)+1)),INDEX('M04-S01'!$Z$16:$Z$198,2*(ROWS($M$309:M354)-1)+1),"")</f>
        <v/>
      </c>
      <c r="N354" s="184" t="str">
        <f>IF(ISNUMBER(INDEX('M04-S01'!$AN$16:$AN$198,2*(ROWS($R$309:R354)-1)+1)),INDEX('M04-S01'!$AK$16:$AK$198,2*(ROWS($N$309:N354)-1)+1),"")</f>
        <v/>
      </c>
      <c r="O354" s="456" t="str">
        <f>IF(ISNUMBER(INDEX('M04-S01'!$AN$16:$AN$198,2*(ROWS($R$309:R354)-1)+1)),INDEX('M04-S01'!$AW$16:$AW$198,2*(ROWS($O$309:O354)-1)+1),"")</f>
        <v/>
      </c>
      <c r="P354" s="113"/>
      <c r="Q354" s="456" t="str">
        <f>IF(ISNUMBER(INDEX('M04-S01'!$AN$16:$AN$198,2*(ROWS($R$309:R354)-1)+1)),INDEX('M04-S01'!$BB$16:$BB$198,2*(ROWS($Q$309:Q354)-1)+1),"")</f>
        <v/>
      </c>
      <c r="R354" s="184">
        <f>IF(ISNUMBER(INDEX('M04-S01'!$AN$16:$AN$198,2*(ROWS($R$309:R354)-1)+1)),INDEX('M04-S01'!$AN$16:$AN$198,2*(ROWS($R$309:R354)-1)+1),0)</f>
        <v>0</v>
      </c>
      <c r="S354" s="23">
        <f>IF(NOT(ISNUMBER(INDEX('M04-S01'!$AN$16:$AN$198,2*(ROWS($R$309:R354)-1)+1))),INDEX('M04-S01'!$Z$16:$Z$198,2*(ROWS($S$309:S354)-1)+1),"")</f>
        <v>0</v>
      </c>
      <c r="T354" s="52" t="str">
        <f>IFERROR(IF(NOT(ISNUMBER(INDEX('M04-S01'!$AN$16:$AN$198,2*(ROWS($R$309:R354)-1)+1))),INDEX('M04-S01'!$AK$16:$AK$198,2*(ROWS($R$309:R354)-1)+1),0),0)</f>
        <v/>
      </c>
      <c r="U354" s="23" t="str">
        <f>IFERROR(IF(NOT(ISNUMBER(INDEX('M04-S01'!$AN$16:$AN$198,2*(ROWS($R$309:R354)-1)+1))),INDEX('M04-S01'!$AW$16:$AW$198,2*(ROWS($R$309:R354)-1)+1),""),"")</f>
        <v/>
      </c>
      <c r="V354" s="113"/>
      <c r="W354" t="str">
        <f>IFERROR(IF(NOT(ISNUMBER(INDEX('M04-S01'!$AN$16:$AN$198,2*(ROWS($R$309:R354)-1)+1))),INDEX('M04-S01'!$BD$16:$BD$198,2*(ROWS($R$309:R354)-1)+1),""),"")</f>
        <v/>
      </c>
      <c r="X354" s="184" t="str">
        <f>IFERROR(ROUND(INDEX('M04-S01'!$O$16:$O$198,2*(ROWS($X$309:X354)-1)+1),3),"")</f>
        <v/>
      </c>
      <c r="Y354" s="184">
        <f>IFERROR(ROUND(INDEX('M04-S01'!$AB$16:$AB$198,2*(ROWS($Y$309:Y354)-1)+1),3),"")</f>
        <v>0</v>
      </c>
      <c r="Z354" s="111">
        <f>INDEX('M04-S01'!$B$16:$B$198,2*(ROWS($Z$309:Z354)-1)+1)</f>
        <v>46</v>
      </c>
      <c r="AA354" s="111">
        <f>INDEX('M04-S01'!$F$16:$F$198,2*(ROWS($Z$309:AA354)-1)+1)</f>
        <v>0</v>
      </c>
      <c r="AB354" s="111">
        <f>INDEX('M04-S01'!$S$16:$S$198,2*(ROWS($Z$309:AB354)-1)+1)</f>
        <v>0</v>
      </c>
      <c r="AC354">
        <f>INDEX('M04-S01'!$J$16:$J$198,2*(ROWS($AC$309:AC354)-1)+1)</f>
        <v>0</v>
      </c>
      <c r="AD354">
        <f>INDEX('M04-S01'!$W$16:$W$198,2*(ROWS($AD$309:AD354)-1)+1)</f>
        <v>0</v>
      </c>
      <c r="AE354" s="459"/>
      <c r="AF354" s="459"/>
      <c r="AG354" s="111" t="str">
        <f>INDEX('M04-S01'!$AX$16:$AX$198,2*(ROWS($AG$309:AG354)-1)+1)</f>
        <v/>
      </c>
      <c r="AH354" s="111" t="str">
        <f>INDEX('M04-S01'!$AY$16:$AY$198,2*(ROWS($AH$309:AH354)-1)+1)</f>
        <v/>
      </c>
      <c r="AI354" s="113"/>
      <c r="AJ354" s="113"/>
      <c r="AK354" s="52" t="str">
        <f>INDEX('M04-S01'!$AV$16:$AV$198,2*(ROWS($AK$309:AK354)-1)+1)</f>
        <v/>
      </c>
      <c r="AL354" s="184">
        <f>IF(NOT(ISNUMBER(INDEX('M04-S01'!$AN$16:$AN$198,2*(ROWS($R$309:$R354)-1)+1))),INDEX('M04-S01'!$Z$16:$Z$198,2*(ROWS($AL$309:$AL354)-1)+1)*INDEX('M04-S01'!$AD$16:$AD$198,2*(ROWS($AL$309:$AL354)-1)+1),"")</f>
        <v>0</v>
      </c>
      <c r="AM354" s="184">
        <f>IF(AND(NOT(ISNUMBER(INDEX('M04-S01'!$AN$16:$AN$198,2*(ROWS($R$309:$R354)-1)+1))),T354&gt;0),INDEX('M04-S01'!$Z$16:$Z$198,2*(ROWS($AM$309:$AM354)-1)+1)*INDEX('M04-S01'!$AF$16:$AF$198,2*(ROWS($AM$309:$AM354)-1)+1),"")</f>
        <v>0</v>
      </c>
      <c r="AN354" s="52" t="str">
        <f>IF(NOT(ISNUMBER(INDEX('M04-S01'!$AN$16:$AN$198,2*(ROWS($R$309:$R354)-1)+1))),INDEX('M04-S01'!$AH$16:$AH$198,2*(ROWS($AN$309:$AN354)-1)+1),"")</f>
        <v/>
      </c>
      <c r="AO354" s="113"/>
      <c r="AU354"/>
    </row>
    <row r="355" spans="1:47">
      <c r="A355" s="57">
        <f t="shared" si="31"/>
        <v>0</v>
      </c>
      <c r="B355" s="183" t="str">
        <f t="shared" si="33"/>
        <v/>
      </c>
      <c r="C355" s="186" t="str">
        <f>IF(OR(R355&gt;0,T355&gt;0),INDEX('M04-S01'!$AZ$16:$AZ$198,2*(ROWS($C$309:C355)-1)+1),"")</f>
        <v/>
      </c>
      <c r="D355" t="s">
        <v>231</v>
      </c>
      <c r="F355" s="185">
        <f>INDEX('M04-S01'!$Q$16:$Q$198,2*(ROWS($F$309:F355)-1)+1)</f>
        <v>0</v>
      </c>
      <c r="G355" s="186">
        <f>INDEX('M04-S01'!$C$16:$C$198,2*(ROWS($G$309:G355)-1)+1)</f>
        <v>0</v>
      </c>
      <c r="H355" s="186" t="str">
        <f>IF(ISNUMBER(INDEX('M04-S01'!$AN$16:$AN$198,2*(ROWS($R$309:R355)-1)+1)),"Total","")</f>
        <v/>
      </c>
      <c r="I355" s="184">
        <f>IFERROR(ROUND(IF(ISNUMBER(INDEX('M04-S01'!$AN$16:$AN$198,2*(ROWS($R$309:$R355)-1)+1)),INDEX('M04-S01'!$Z$16:$Z$198,2*(ROWS($I$309:$I355)-1)+1)*INDEX('M04-S01'!$AD$16:$AD$198,2*(ROWS($I$309:$I355)-1)+1),""),2),0)</f>
        <v>0</v>
      </c>
      <c r="J355" s="184">
        <f>IFERROR(ROUND(IF(ISNUMBER(INDEX('M04-S01'!$AN$16:$AN$198,2*(ROWS($R$309:$R355)-1)+1)),INDEX('M04-S01'!$Z$16:$Z$198,2*(ROWS($J$309:$J355)-1)+1)*INDEX('M04-S01'!$AF$16:$AF$198,2*(ROWS($J$309:$J355)-1)+1),""),2),0)</f>
        <v>0</v>
      </c>
      <c r="K355" s="52">
        <f>IFERROR(ROUND(IF(ISNUMBER(INDEX('M04-S01'!$AN$16:$AN$198,2*(ROWS($R$309:$R355)-1)+1)),INDEX('M04-S01'!$AH$16:$AH$198,2*(ROWS($K$309:$K355)-1)+1),""),2),0)</f>
        <v>0</v>
      </c>
      <c r="M355" s="456" t="str">
        <f>IF(ISNUMBER(INDEX('M04-S01'!$AN$16:$AN$198,2*(ROWS($R$309:R355)-1)+1)),INDEX('M04-S01'!$Z$16:$Z$198,2*(ROWS($M$309:M355)-1)+1),"")</f>
        <v/>
      </c>
      <c r="N355" s="184" t="str">
        <f>IF(ISNUMBER(INDEX('M04-S01'!$AN$16:$AN$198,2*(ROWS($R$309:R355)-1)+1)),INDEX('M04-S01'!$AK$16:$AK$198,2*(ROWS($N$309:N355)-1)+1),"")</f>
        <v/>
      </c>
      <c r="O355" s="456" t="str">
        <f>IF(ISNUMBER(INDEX('M04-S01'!$AN$16:$AN$198,2*(ROWS($R$309:R355)-1)+1)),INDEX('M04-S01'!$AW$16:$AW$198,2*(ROWS($O$309:O355)-1)+1),"")</f>
        <v/>
      </c>
      <c r="P355" s="113"/>
      <c r="Q355" s="456" t="str">
        <f>IF(ISNUMBER(INDEX('M04-S01'!$AN$16:$AN$198,2*(ROWS($R$309:R355)-1)+1)),INDEX('M04-S01'!$BB$16:$BB$198,2*(ROWS($Q$309:Q355)-1)+1),"")</f>
        <v/>
      </c>
      <c r="R355" s="184">
        <f>IF(ISNUMBER(INDEX('M04-S01'!$AN$16:$AN$198,2*(ROWS($R$309:R355)-1)+1)),INDEX('M04-S01'!$AN$16:$AN$198,2*(ROWS($R$309:R355)-1)+1),0)</f>
        <v>0</v>
      </c>
      <c r="S355" s="23">
        <f>IF(NOT(ISNUMBER(INDEX('M04-S01'!$AN$16:$AN$198,2*(ROWS($R$309:R355)-1)+1))),INDEX('M04-S01'!$Z$16:$Z$198,2*(ROWS($S$309:S355)-1)+1),"")</f>
        <v>0</v>
      </c>
      <c r="T355" s="52" t="str">
        <f>IFERROR(IF(NOT(ISNUMBER(INDEX('M04-S01'!$AN$16:$AN$198,2*(ROWS($R$309:R355)-1)+1))),INDEX('M04-S01'!$AK$16:$AK$198,2*(ROWS($R$309:R355)-1)+1),0),0)</f>
        <v/>
      </c>
      <c r="U355" s="23" t="str">
        <f>IFERROR(IF(NOT(ISNUMBER(INDEX('M04-S01'!$AN$16:$AN$198,2*(ROWS($R$309:R355)-1)+1))),INDEX('M04-S01'!$AW$16:$AW$198,2*(ROWS($R$309:R355)-1)+1),""),"")</f>
        <v/>
      </c>
      <c r="V355" s="113"/>
      <c r="W355" t="str">
        <f>IFERROR(IF(NOT(ISNUMBER(INDEX('M04-S01'!$AN$16:$AN$198,2*(ROWS($R$309:R355)-1)+1))),INDEX('M04-S01'!$BD$16:$BD$198,2*(ROWS($R$309:R355)-1)+1),""),"")</f>
        <v/>
      </c>
      <c r="X355" s="184" t="str">
        <f>IFERROR(ROUND(INDEX('M04-S01'!$O$16:$O$198,2*(ROWS($X$309:X355)-1)+1),3),"")</f>
        <v/>
      </c>
      <c r="Y355" s="184">
        <f>IFERROR(ROUND(INDEX('M04-S01'!$AB$16:$AB$198,2*(ROWS($Y$309:Y355)-1)+1),3),"")</f>
        <v>0</v>
      </c>
      <c r="Z355" s="111">
        <f>INDEX('M04-S01'!$B$16:$B$198,2*(ROWS($Z$309:Z355)-1)+1)</f>
        <v>47</v>
      </c>
      <c r="AA355" s="111">
        <f>INDEX('M04-S01'!$F$16:$F$198,2*(ROWS($Z$309:AA355)-1)+1)</f>
        <v>0</v>
      </c>
      <c r="AB355" s="111">
        <f>INDEX('M04-S01'!$S$16:$S$198,2*(ROWS($Z$309:AB355)-1)+1)</f>
        <v>0</v>
      </c>
      <c r="AC355">
        <f>INDEX('M04-S01'!$J$16:$J$198,2*(ROWS($AC$309:AC355)-1)+1)</f>
        <v>0</v>
      </c>
      <c r="AD355">
        <f>INDEX('M04-S01'!$W$16:$W$198,2*(ROWS($AD$309:AD355)-1)+1)</f>
        <v>0</v>
      </c>
      <c r="AE355" s="459"/>
      <c r="AF355" s="459"/>
      <c r="AG355" s="111" t="str">
        <f>INDEX('M04-S01'!$AX$16:$AX$198,2*(ROWS($AG$309:AG355)-1)+1)</f>
        <v/>
      </c>
      <c r="AH355" s="111" t="str">
        <f>INDEX('M04-S01'!$AY$16:$AY$198,2*(ROWS($AH$309:AH355)-1)+1)</f>
        <v/>
      </c>
      <c r="AI355" s="113"/>
      <c r="AJ355" s="113"/>
      <c r="AK355" s="52" t="str">
        <f>INDEX('M04-S01'!$AV$16:$AV$198,2*(ROWS($AK$309:AK355)-1)+1)</f>
        <v/>
      </c>
      <c r="AL355" s="184">
        <f>IF(NOT(ISNUMBER(INDEX('M04-S01'!$AN$16:$AN$198,2*(ROWS($R$309:$R355)-1)+1))),INDEX('M04-S01'!$Z$16:$Z$198,2*(ROWS($AL$309:$AL355)-1)+1)*INDEX('M04-S01'!$AD$16:$AD$198,2*(ROWS($AL$309:$AL355)-1)+1),"")</f>
        <v>0</v>
      </c>
      <c r="AM355" s="184">
        <f>IF(AND(NOT(ISNUMBER(INDEX('M04-S01'!$AN$16:$AN$198,2*(ROWS($R$309:$R355)-1)+1))),T355&gt;0),INDEX('M04-S01'!$Z$16:$Z$198,2*(ROWS($AM$309:$AM355)-1)+1)*INDEX('M04-S01'!$AF$16:$AF$198,2*(ROWS($AM$309:$AM355)-1)+1),"")</f>
        <v>0</v>
      </c>
      <c r="AN355" s="52" t="str">
        <f>IF(NOT(ISNUMBER(INDEX('M04-S01'!$AN$16:$AN$198,2*(ROWS($R$309:$R355)-1)+1))),INDEX('M04-S01'!$AH$16:$AH$198,2*(ROWS($AN$309:$AN355)-1)+1),"")</f>
        <v/>
      </c>
      <c r="AO355" s="113"/>
      <c r="AU355"/>
    </row>
    <row r="356" spans="1:47">
      <c r="A356" s="57">
        <f t="shared" si="31"/>
        <v>0</v>
      </c>
      <c r="B356" s="183" t="str">
        <f t="shared" si="33"/>
        <v/>
      </c>
      <c r="C356" s="186" t="str">
        <f>IF(OR(R356&gt;0,T356&gt;0),INDEX('M04-S01'!$AZ$16:$AZ$198,2*(ROWS($C$309:C356)-1)+1),"")</f>
        <v/>
      </c>
      <c r="D356" t="s">
        <v>231</v>
      </c>
      <c r="F356" s="185">
        <f>INDEX('M04-S01'!$Q$16:$Q$198,2*(ROWS($F$309:F356)-1)+1)</f>
        <v>0</v>
      </c>
      <c r="G356" s="186">
        <f>INDEX('M04-S01'!$C$16:$C$198,2*(ROWS($G$309:G356)-1)+1)</f>
        <v>0</v>
      </c>
      <c r="H356" s="186" t="str">
        <f>IF(ISNUMBER(INDEX('M04-S01'!$AN$16:$AN$198,2*(ROWS($R$309:R356)-1)+1)),"Total","")</f>
        <v/>
      </c>
      <c r="I356" s="184">
        <f>IFERROR(ROUND(IF(ISNUMBER(INDEX('M04-S01'!$AN$16:$AN$198,2*(ROWS($R$309:$R356)-1)+1)),INDEX('M04-S01'!$Z$16:$Z$198,2*(ROWS($I$309:$I356)-1)+1)*INDEX('M04-S01'!$AD$16:$AD$198,2*(ROWS($I$309:$I356)-1)+1),""),2),0)</f>
        <v>0</v>
      </c>
      <c r="J356" s="184">
        <f>IFERROR(ROUND(IF(ISNUMBER(INDEX('M04-S01'!$AN$16:$AN$198,2*(ROWS($R$309:$R356)-1)+1)),INDEX('M04-S01'!$Z$16:$Z$198,2*(ROWS($J$309:$J356)-1)+1)*INDEX('M04-S01'!$AF$16:$AF$198,2*(ROWS($J$309:$J356)-1)+1),""),2),0)</f>
        <v>0</v>
      </c>
      <c r="K356" s="52">
        <f>IFERROR(ROUND(IF(ISNUMBER(INDEX('M04-S01'!$AN$16:$AN$198,2*(ROWS($R$309:$R356)-1)+1)),INDEX('M04-S01'!$AH$16:$AH$198,2*(ROWS($K$309:$K356)-1)+1),""),2),0)</f>
        <v>0</v>
      </c>
      <c r="M356" s="456" t="str">
        <f>IF(ISNUMBER(INDEX('M04-S01'!$AN$16:$AN$198,2*(ROWS($R$309:R356)-1)+1)),INDEX('M04-S01'!$Z$16:$Z$198,2*(ROWS($M$309:M356)-1)+1),"")</f>
        <v/>
      </c>
      <c r="N356" s="184" t="str">
        <f>IF(ISNUMBER(INDEX('M04-S01'!$AN$16:$AN$198,2*(ROWS($R$309:R356)-1)+1)),INDEX('M04-S01'!$AK$16:$AK$198,2*(ROWS($N$309:N356)-1)+1),"")</f>
        <v/>
      </c>
      <c r="O356" s="456" t="str">
        <f>IF(ISNUMBER(INDEX('M04-S01'!$AN$16:$AN$198,2*(ROWS($R$309:R356)-1)+1)),INDEX('M04-S01'!$AW$16:$AW$198,2*(ROWS($O$309:O356)-1)+1),"")</f>
        <v/>
      </c>
      <c r="P356" s="113"/>
      <c r="Q356" s="456" t="str">
        <f>IF(ISNUMBER(INDEX('M04-S01'!$AN$16:$AN$198,2*(ROWS($R$309:R356)-1)+1)),INDEX('M04-S01'!$BB$16:$BB$198,2*(ROWS($Q$309:Q356)-1)+1),"")</f>
        <v/>
      </c>
      <c r="R356" s="184">
        <f>IF(ISNUMBER(INDEX('M04-S01'!$AN$16:$AN$198,2*(ROWS($R$309:R356)-1)+1)),INDEX('M04-S01'!$AN$16:$AN$198,2*(ROWS($R$309:R356)-1)+1),0)</f>
        <v>0</v>
      </c>
      <c r="S356" s="23">
        <f>IF(NOT(ISNUMBER(INDEX('M04-S01'!$AN$16:$AN$198,2*(ROWS($R$309:R356)-1)+1))),INDEX('M04-S01'!$Z$16:$Z$198,2*(ROWS($S$309:S356)-1)+1),"")</f>
        <v>0</v>
      </c>
      <c r="T356" s="52" t="str">
        <f>IFERROR(IF(NOT(ISNUMBER(INDEX('M04-S01'!$AN$16:$AN$198,2*(ROWS($R$309:R356)-1)+1))),INDEX('M04-S01'!$AK$16:$AK$198,2*(ROWS($R$309:R356)-1)+1),0),0)</f>
        <v/>
      </c>
      <c r="U356" s="23" t="str">
        <f>IFERROR(IF(NOT(ISNUMBER(INDEX('M04-S01'!$AN$16:$AN$198,2*(ROWS($R$309:R356)-1)+1))),INDEX('M04-S01'!$AW$16:$AW$198,2*(ROWS($R$309:R356)-1)+1),""),"")</f>
        <v/>
      </c>
      <c r="V356" s="113"/>
      <c r="W356" t="str">
        <f>IFERROR(IF(NOT(ISNUMBER(INDEX('M04-S01'!$AN$16:$AN$198,2*(ROWS($R$309:R356)-1)+1))),INDEX('M04-S01'!$BD$16:$BD$198,2*(ROWS($R$309:R356)-1)+1),""),"")</f>
        <v/>
      </c>
      <c r="X356" s="184" t="str">
        <f>IFERROR(ROUND(INDEX('M04-S01'!$O$16:$O$198,2*(ROWS($X$309:X356)-1)+1),3),"")</f>
        <v/>
      </c>
      <c r="Y356" s="184">
        <f>IFERROR(ROUND(INDEX('M04-S01'!$AB$16:$AB$198,2*(ROWS($Y$309:Y356)-1)+1),3),"")</f>
        <v>0</v>
      </c>
      <c r="Z356" s="111">
        <f>INDEX('M04-S01'!$B$16:$B$198,2*(ROWS($Z$309:Z356)-1)+1)</f>
        <v>48</v>
      </c>
      <c r="AA356" s="111">
        <f>INDEX('M04-S01'!$F$16:$F$198,2*(ROWS($Z$309:AA356)-1)+1)</f>
        <v>0</v>
      </c>
      <c r="AB356" s="111">
        <f>INDEX('M04-S01'!$S$16:$S$198,2*(ROWS($Z$309:AB356)-1)+1)</f>
        <v>0</v>
      </c>
      <c r="AC356">
        <f>INDEX('M04-S01'!$J$16:$J$198,2*(ROWS($AC$309:AC356)-1)+1)</f>
        <v>0</v>
      </c>
      <c r="AD356">
        <f>INDEX('M04-S01'!$W$16:$W$198,2*(ROWS($AD$309:AD356)-1)+1)</f>
        <v>0</v>
      </c>
      <c r="AE356" s="459"/>
      <c r="AF356" s="459"/>
      <c r="AG356" s="111" t="str">
        <f>INDEX('M04-S01'!$AX$16:$AX$198,2*(ROWS($AG$309:AG356)-1)+1)</f>
        <v/>
      </c>
      <c r="AH356" s="111" t="str">
        <f>INDEX('M04-S01'!$AY$16:$AY$198,2*(ROWS($AH$309:AH356)-1)+1)</f>
        <v/>
      </c>
      <c r="AI356" s="113"/>
      <c r="AJ356" s="113"/>
      <c r="AK356" s="52" t="str">
        <f>INDEX('M04-S01'!$AV$16:$AV$198,2*(ROWS($AK$309:AK356)-1)+1)</f>
        <v/>
      </c>
      <c r="AL356" s="184">
        <f>IF(NOT(ISNUMBER(INDEX('M04-S01'!$AN$16:$AN$198,2*(ROWS($R$309:$R356)-1)+1))),INDEX('M04-S01'!$Z$16:$Z$198,2*(ROWS($AL$309:$AL356)-1)+1)*INDEX('M04-S01'!$AD$16:$AD$198,2*(ROWS($AL$309:$AL356)-1)+1),"")</f>
        <v>0</v>
      </c>
      <c r="AM356" s="184">
        <f>IF(AND(NOT(ISNUMBER(INDEX('M04-S01'!$AN$16:$AN$198,2*(ROWS($R$309:$R356)-1)+1))),T356&gt;0),INDEX('M04-S01'!$Z$16:$Z$198,2*(ROWS($AM$309:$AM356)-1)+1)*INDEX('M04-S01'!$AF$16:$AF$198,2*(ROWS($AM$309:$AM356)-1)+1),"")</f>
        <v>0</v>
      </c>
      <c r="AN356" s="52" t="str">
        <f>IF(NOT(ISNUMBER(INDEX('M04-S01'!$AN$16:$AN$198,2*(ROWS($R$309:$R356)-1)+1))),INDEX('M04-S01'!$AH$16:$AH$198,2*(ROWS($AN$309:$AN356)-1)+1),"")</f>
        <v/>
      </c>
      <c r="AO356" s="113"/>
      <c r="AU356"/>
    </row>
    <row r="357" spans="1:47">
      <c r="A357" s="57">
        <f t="shared" si="31"/>
        <v>0</v>
      </c>
      <c r="B357" s="183" t="str">
        <f t="shared" si="33"/>
        <v/>
      </c>
      <c r="C357" s="186" t="str">
        <f>IF(OR(R357&gt;0,T357&gt;0),INDEX('M04-S01'!$AZ$16:$AZ$198,2*(ROWS($C$309:C357)-1)+1),"")</f>
        <v/>
      </c>
      <c r="D357" t="s">
        <v>231</v>
      </c>
      <c r="F357" s="185">
        <f>INDEX('M04-S01'!$Q$16:$Q$198,2*(ROWS($F$309:F357)-1)+1)</f>
        <v>0</v>
      </c>
      <c r="G357" s="186">
        <f>INDEX('M04-S01'!$C$16:$C$198,2*(ROWS($G$309:G357)-1)+1)</f>
        <v>0</v>
      </c>
      <c r="H357" s="186" t="str">
        <f>IF(ISNUMBER(INDEX('M04-S01'!$AN$16:$AN$198,2*(ROWS($R$309:R357)-1)+1)),"Total","")</f>
        <v/>
      </c>
      <c r="I357" s="184">
        <f>IFERROR(ROUND(IF(ISNUMBER(INDEX('M04-S01'!$AN$16:$AN$198,2*(ROWS($R$309:$R357)-1)+1)),INDEX('M04-S01'!$Z$16:$Z$198,2*(ROWS($I$309:$I357)-1)+1)*INDEX('M04-S01'!$AD$16:$AD$198,2*(ROWS($I$309:$I357)-1)+1),""),2),0)</f>
        <v>0</v>
      </c>
      <c r="J357" s="184">
        <f>IFERROR(ROUND(IF(ISNUMBER(INDEX('M04-S01'!$AN$16:$AN$198,2*(ROWS($R$309:$R357)-1)+1)),INDEX('M04-S01'!$Z$16:$Z$198,2*(ROWS($J$309:$J357)-1)+1)*INDEX('M04-S01'!$AF$16:$AF$198,2*(ROWS($J$309:$J357)-1)+1),""),2),0)</f>
        <v>0</v>
      </c>
      <c r="K357" s="52">
        <f>IFERROR(ROUND(IF(ISNUMBER(INDEX('M04-S01'!$AN$16:$AN$198,2*(ROWS($R$309:$R357)-1)+1)),INDEX('M04-S01'!$AH$16:$AH$198,2*(ROWS($K$309:$K357)-1)+1),""),2),0)</f>
        <v>0</v>
      </c>
      <c r="M357" s="456" t="str">
        <f>IF(ISNUMBER(INDEX('M04-S01'!$AN$16:$AN$198,2*(ROWS($R$309:R357)-1)+1)),INDEX('M04-S01'!$Z$16:$Z$198,2*(ROWS($M$309:M357)-1)+1),"")</f>
        <v/>
      </c>
      <c r="N357" s="184" t="str">
        <f>IF(ISNUMBER(INDEX('M04-S01'!$AN$16:$AN$198,2*(ROWS($R$309:R357)-1)+1)),INDEX('M04-S01'!$AK$16:$AK$198,2*(ROWS($N$309:N357)-1)+1),"")</f>
        <v/>
      </c>
      <c r="O357" s="456" t="str">
        <f>IF(ISNUMBER(INDEX('M04-S01'!$AN$16:$AN$198,2*(ROWS($R$309:R357)-1)+1)),INDEX('M04-S01'!$AW$16:$AW$198,2*(ROWS($O$309:O357)-1)+1),"")</f>
        <v/>
      </c>
      <c r="P357" s="113"/>
      <c r="Q357" s="456" t="str">
        <f>IF(ISNUMBER(INDEX('M04-S01'!$AN$16:$AN$198,2*(ROWS($R$309:R357)-1)+1)),INDEX('M04-S01'!$BB$16:$BB$198,2*(ROWS($Q$309:Q357)-1)+1),"")</f>
        <v/>
      </c>
      <c r="R357" s="184">
        <f>IF(ISNUMBER(INDEX('M04-S01'!$AN$16:$AN$198,2*(ROWS($R$309:R357)-1)+1)),INDEX('M04-S01'!$AN$16:$AN$198,2*(ROWS($R$309:R357)-1)+1),0)</f>
        <v>0</v>
      </c>
      <c r="S357" s="23">
        <f>IF(NOT(ISNUMBER(INDEX('M04-S01'!$AN$16:$AN$198,2*(ROWS($R$309:R357)-1)+1))),INDEX('M04-S01'!$Z$16:$Z$198,2*(ROWS($S$309:S357)-1)+1),"")</f>
        <v>0</v>
      </c>
      <c r="T357" s="52" t="str">
        <f>IFERROR(IF(NOT(ISNUMBER(INDEX('M04-S01'!$AN$16:$AN$198,2*(ROWS($R$309:R357)-1)+1))),INDEX('M04-S01'!$AK$16:$AK$198,2*(ROWS($R$309:R357)-1)+1),0),0)</f>
        <v/>
      </c>
      <c r="U357" s="23" t="str">
        <f>IFERROR(IF(NOT(ISNUMBER(INDEX('M04-S01'!$AN$16:$AN$198,2*(ROWS($R$309:R357)-1)+1))),INDEX('M04-S01'!$AW$16:$AW$198,2*(ROWS($R$309:R357)-1)+1),""),"")</f>
        <v/>
      </c>
      <c r="V357" s="113"/>
      <c r="W357" t="str">
        <f>IFERROR(IF(NOT(ISNUMBER(INDEX('M04-S01'!$AN$16:$AN$198,2*(ROWS($R$309:R357)-1)+1))),INDEX('M04-S01'!$BD$16:$BD$198,2*(ROWS($R$309:R357)-1)+1),""),"")</f>
        <v/>
      </c>
      <c r="X357" s="184" t="str">
        <f>IFERROR(ROUND(INDEX('M04-S01'!$O$16:$O$198,2*(ROWS($X$309:X357)-1)+1),3),"")</f>
        <v/>
      </c>
      <c r="Y357" s="184">
        <f>IFERROR(ROUND(INDEX('M04-S01'!$AB$16:$AB$198,2*(ROWS($Y$309:Y357)-1)+1),3),"")</f>
        <v>0</v>
      </c>
      <c r="Z357" s="111">
        <f>INDEX('M04-S01'!$B$16:$B$198,2*(ROWS($Z$309:Z357)-1)+1)</f>
        <v>49</v>
      </c>
      <c r="AA357" s="111">
        <f>INDEX('M04-S01'!$F$16:$F$198,2*(ROWS($Z$309:AA357)-1)+1)</f>
        <v>0</v>
      </c>
      <c r="AB357" s="111">
        <f>INDEX('M04-S01'!$S$16:$S$198,2*(ROWS($Z$309:AB357)-1)+1)</f>
        <v>0</v>
      </c>
      <c r="AC357">
        <f>INDEX('M04-S01'!$J$16:$J$198,2*(ROWS($AC$309:AC357)-1)+1)</f>
        <v>0</v>
      </c>
      <c r="AD357">
        <f>INDEX('M04-S01'!$W$16:$W$198,2*(ROWS($AD$309:AD357)-1)+1)</f>
        <v>0</v>
      </c>
      <c r="AE357" s="459"/>
      <c r="AF357" s="459"/>
      <c r="AG357" s="111" t="str">
        <f>INDEX('M04-S01'!$AX$16:$AX$198,2*(ROWS($AG$309:AG357)-1)+1)</f>
        <v/>
      </c>
      <c r="AH357" s="111" t="str">
        <f>INDEX('M04-S01'!$AY$16:$AY$198,2*(ROWS($AH$309:AH357)-1)+1)</f>
        <v/>
      </c>
      <c r="AI357" s="113"/>
      <c r="AJ357" s="113"/>
      <c r="AK357" s="52" t="str">
        <f>INDEX('M04-S01'!$AV$16:$AV$198,2*(ROWS($AK$309:AK357)-1)+1)</f>
        <v/>
      </c>
      <c r="AL357" s="184">
        <f>IF(NOT(ISNUMBER(INDEX('M04-S01'!$AN$16:$AN$198,2*(ROWS($R$309:$R357)-1)+1))),INDEX('M04-S01'!$Z$16:$Z$198,2*(ROWS($AL$309:$AL357)-1)+1)*INDEX('M04-S01'!$AD$16:$AD$198,2*(ROWS($AL$309:$AL357)-1)+1),"")</f>
        <v>0</v>
      </c>
      <c r="AM357" s="184">
        <f>IF(AND(NOT(ISNUMBER(INDEX('M04-S01'!$AN$16:$AN$198,2*(ROWS($R$309:$R357)-1)+1))),T357&gt;0),INDEX('M04-S01'!$Z$16:$Z$198,2*(ROWS($AM$309:$AM357)-1)+1)*INDEX('M04-S01'!$AF$16:$AF$198,2*(ROWS($AM$309:$AM357)-1)+1),"")</f>
        <v>0</v>
      </c>
      <c r="AN357" s="52" t="str">
        <f>IF(NOT(ISNUMBER(INDEX('M04-S01'!$AN$16:$AN$198,2*(ROWS($R$309:$R357)-1)+1))),INDEX('M04-S01'!$AH$16:$AH$198,2*(ROWS($AN$309:$AN357)-1)+1),"")</f>
        <v/>
      </c>
      <c r="AO357" s="113"/>
      <c r="AU357"/>
    </row>
    <row r="358" spans="1:47">
      <c r="A358" s="57">
        <f t="shared" si="31"/>
        <v>0</v>
      </c>
      <c r="B358" s="183" t="str">
        <f t="shared" ca="1" si="33"/>
        <v/>
      </c>
      <c r="C358" s="559" t="str">
        <f ca="1">IF(OR(R358&gt;0,T358&gt;0),INDEX('M04-S01'!$AZ$16:$AZ$198,2*(ROWS($C$309:C358)-1)+1),"")</f>
        <v/>
      </c>
      <c r="D358" t="s">
        <v>231</v>
      </c>
      <c r="F358" s="185">
        <f>INDEX('M04-S01'!$Q$16:$Q$198,2*(ROWS($F$309:F358)-1)+1)</f>
        <v>0</v>
      </c>
      <c r="G358" s="186">
        <f>INDEX('M04-S01'!$C$16:$C$198,2*(ROWS($G$309:G358)-1)+1)</f>
        <v>0</v>
      </c>
      <c r="H358" s="186" t="str">
        <f ca="1">IF(ISNUMBER(INDEX('M04-S01'!$AN$16:$AN$198,2*(ROWS($R$309:R358)-1)+1)),"Total","")</f>
        <v/>
      </c>
      <c r="I358" s="184">
        <f ca="1">IFERROR(ROUND(IF(ISNUMBER(INDEX('M04-S01'!$AN$16:$AN$198,2*(ROWS($R$309:$R358)-1)+1)),INDEX('M04-S01'!$Z$16:$Z$198,2*(ROWS($I$309:$I358)-1)+1)*INDEX('M04-S01'!$AD$16:$AD$198,2*(ROWS($I$309:$I358)-1)+1),""),2),0)</f>
        <v>0</v>
      </c>
      <c r="J358" s="184">
        <f ca="1">IFERROR(ROUND(IF(ISNUMBER(INDEX('M04-S01'!$AN$16:$AN$198,2*(ROWS($R$309:$R358)-1)+1)),INDEX('M04-S01'!$Z$16:$Z$198,2*(ROWS($J$309:$J358)-1)+1)*INDEX('M04-S01'!$AF$16:$AF$198,2*(ROWS($J$309:$J358)-1)+1),""),2),0)</f>
        <v>0</v>
      </c>
      <c r="K358" s="52">
        <f ca="1">IFERROR(ROUND(IF(ISNUMBER(INDEX('M04-S01'!$AN$16:$AN$198,2*(ROWS($R$309:$R358)-1)+1)),INDEX('M04-S01'!$AH$16:$AH$198,2*(ROWS($K$309:$K358)-1)+1),""),2),0)</f>
        <v>0</v>
      </c>
      <c r="M358" s="456" t="str">
        <f ca="1">IF(ISNUMBER(INDEX('M04-S01'!$AN$16:$AN$198,2*(ROWS($R$309:R358)-1)+1)),INDEX('M04-S01'!$Z$16:$Z$198,2*(ROWS($M$309:M358)-1)+1),"")</f>
        <v/>
      </c>
      <c r="N358" s="184" t="str">
        <f ca="1">IF(ISNUMBER(INDEX('M04-S01'!$AN$16:$AN$198,2*(ROWS($R$309:R358)-1)+1)),INDEX('M04-S01'!$AK$16:$AK$198,2*(ROWS($N$309:N358)-1)+1),"")</f>
        <v/>
      </c>
      <c r="O358" s="456" t="str">
        <f ca="1">IF(ISNUMBER(INDEX('M04-S01'!$AN$16:$AN$198,2*(ROWS($R$309:R358)-1)+1)),INDEX('M04-S01'!$AW$16:$AW$198,2*(ROWS($O$309:O358)-1)+1),"")</f>
        <v/>
      </c>
      <c r="P358" s="113"/>
      <c r="Q358" s="456"/>
      <c r="R358" s="184">
        <f ca="1">IF(ISNUMBER(INDEX('M04-S01'!$AN$16:$AN$198,2*(ROWS($R$309:R358)-1)+1)),INDEX('M04-S01'!$AN$16:$AN$198,2*(ROWS($R$309:R358)-1)+1),0)</f>
        <v>0</v>
      </c>
      <c r="S358" s="23">
        <f ca="1">IF(NOT(ISNUMBER(INDEX('M04-S01'!$AN$16:$AN$198,2*(ROWS($R$309:R358)-1)+1))),INDEX('M04-S01'!$Z$16:$Z$198,2*(ROWS($S$309:S358)-1)+1),"")</f>
        <v>0</v>
      </c>
      <c r="T358" s="52" t="str">
        <f ca="1">IFERROR(IF(NOT(ISNUMBER(INDEX('M04-S01'!$AN$16:$AN$198,2*(ROWS($R$309:R358)-1)+1))),INDEX('M04-S01'!$AK$16:$AK$198,2*(ROWS($R$309:R358)-1)+1),0),0)</f>
        <v/>
      </c>
      <c r="U358" s="23" t="str">
        <f ca="1">IFERROR(IF(NOT(ISNUMBER(INDEX('M04-S01'!$AN$16:$AN$198,2*(ROWS($R$309:R358)-1)+1))),INDEX('M04-S01'!$AW$16:$AW$198,2*(ROWS($R$309:R358)-1)+1),""),"")</f>
        <v/>
      </c>
      <c r="V358" s="113"/>
      <c r="W358" t="str">
        <f ca="1">IFERROR(IF(NOT(ISNUMBER(INDEX('M04-S01'!$AN$16:$AN$198,2*(ROWS($R$309:R358)-1)+1))),INDEX('M04-S01'!$BD$16:$BD$198,2*(ROWS($R$309:R358)-1)+1),""),"")</f>
        <v/>
      </c>
      <c r="X358" s="184" t="str">
        <f ca="1">IFERROR(ROUND(INDEX('M04-S01'!$O$16:$O$198,2*(ROWS($X$309:X358)-1)+1),3),"")</f>
        <v/>
      </c>
      <c r="Y358" s="184">
        <f>IFERROR(ROUND(INDEX('M04-S01'!$AB$16:$AB$198,2*(ROWS($Y$309:Y358)-1)+1),3),"")</f>
        <v>0</v>
      </c>
      <c r="Z358" s="111">
        <f>INDEX('M04-S01'!$B$16:$B$198,2*(ROWS($Z$309:Z358)-1)+1)</f>
        <v>50</v>
      </c>
      <c r="AA358" s="111">
        <f ca="1">INDEX('M04-S01'!$F$16:$F$198,2*(ROWS($Z$309:AA358)-1)+1)</f>
        <v>0</v>
      </c>
      <c r="AB358" s="111">
        <f ca="1">INDEX('M04-S01'!$S$16:$S$198,2*(ROWS($Z$309:AB358)-1)+1)</f>
        <v>0</v>
      </c>
      <c r="AC358">
        <f>INDEX('M04-S01'!$J$16:$J$198,2*(ROWS($AC$309:AC358)-1)+1)</f>
        <v>0</v>
      </c>
      <c r="AD358">
        <f>INDEX('M04-S01'!$W$16:$W$198,2*(ROWS($AD$309:AD358)-1)+1)</f>
        <v>0</v>
      </c>
      <c r="AE358" s="459"/>
      <c r="AF358" s="459"/>
      <c r="AG358" s="111" t="str">
        <f ca="1">INDEX('M04-S01'!$AX$16:$AX$198,2*(ROWS($AG$309:AG358)-1)+1)</f>
        <v/>
      </c>
      <c r="AH358" s="111" t="str">
        <f ca="1">INDEX('M04-S01'!$AY$16:$AY$198,2*(ROWS($AH$309:AH358)-1)+1)</f>
        <v/>
      </c>
      <c r="AI358" s="113"/>
      <c r="AJ358" s="113"/>
      <c r="AK358" s="52" t="str">
        <f ca="1">INDEX('M04-S01'!$AV$16:$AV$198,2*(ROWS($AK$309:AK358)-1)+1)</f>
        <v/>
      </c>
      <c r="AL358" s="184">
        <f ca="1">IF(NOT(ISNUMBER(INDEX('M04-S01'!$AN$16:$AN$198,2*(ROWS($R$309:$R358)-1)+1))),INDEX('M04-S01'!$Z$16:$Z$198,2*(ROWS($AL$309:$AL358)-1)+1)*INDEX('M04-S01'!$AD$16:$AD$198,2*(ROWS($AL$309:$AL358)-1)+1),"")</f>
        <v>0</v>
      </c>
      <c r="AM358" s="184">
        <f ca="1">IF(AND(NOT(ISNUMBER(INDEX('M04-S01'!$AN$16:$AN$198,2*(ROWS($R$309:$R358)-1)+1))),T358&gt;0),INDEX('M04-S01'!$Z$16:$Z$198,2*(ROWS($AM$309:$AM358)-1)+1)*INDEX('M04-S01'!$AF$16:$AF$198,2*(ROWS($AM$309:$AM358)-1)+1),"")</f>
        <v>0</v>
      </c>
      <c r="AN358" s="52" t="str">
        <f ca="1">IF(NOT(ISNUMBER(INDEX('M04-S01'!$AN$16:$AN$198,2*(ROWS($R$309:$R358)-1)+1))),INDEX('M04-S01'!$AH$16:$AH$198,2*(ROWS($AN$309:$AN358)-1)+1),"")</f>
        <v/>
      </c>
      <c r="AO358" s="113"/>
      <c r="AU358"/>
    </row>
    <row r="359" spans="1:47">
      <c r="A359" s="149" t="str">
        <f>CONCATENATE(MAIN4," ",M4S2)</f>
        <v>CUSTOM MEASURES INPUT New Construction Lighting</v>
      </c>
      <c r="B359" s="150"/>
      <c r="C359" s="150"/>
      <c r="D359" s="129"/>
      <c r="E359" s="129"/>
      <c r="F359" s="130"/>
      <c r="G359" s="129"/>
      <c r="H359" s="129"/>
      <c r="I359" s="131"/>
      <c r="J359" s="131"/>
      <c r="K359" s="131"/>
      <c r="L359" s="131"/>
      <c r="M359" s="458"/>
      <c r="N359" s="131"/>
      <c r="O359" s="458"/>
      <c r="P359" s="131"/>
      <c r="Q359" s="131"/>
      <c r="R359" s="131"/>
      <c r="S359" s="458"/>
      <c r="T359" s="131"/>
      <c r="U359" s="458"/>
      <c r="V359" s="131"/>
      <c r="W359" s="129"/>
      <c r="X359" s="131"/>
      <c r="Y359" s="131"/>
      <c r="Z359" s="130"/>
      <c r="AA359" s="130"/>
      <c r="AB359" s="130"/>
      <c r="AC359" s="129"/>
      <c r="AD359" s="129"/>
      <c r="AE359" s="467"/>
      <c r="AF359" s="467"/>
      <c r="AG359" s="130"/>
      <c r="AH359" s="130"/>
      <c r="AI359" s="130"/>
      <c r="AJ359" s="130"/>
      <c r="AK359" s="131"/>
      <c r="AL359" s="131"/>
      <c r="AM359" s="131"/>
      <c r="AN359" s="131"/>
      <c r="AO359" s="131"/>
      <c r="AU359"/>
    </row>
    <row r="360" spans="1:47">
      <c r="A360" s="57">
        <f t="shared" ref="A360:A384" si="34">PROJID</f>
        <v>0</v>
      </c>
      <c r="B360" s="183" t="str">
        <f>IF(C360="","",CONCATENATE(ROW(),"-",C360))</f>
        <v/>
      </c>
      <c r="C360" s="186" t="str">
        <f>IF(OR(R360&gt;0,T360&gt;0),INDEX('M04-S02'!$BE$16:$BE$198,2*(ROWS($C$360:C360)-1)+1),"")</f>
        <v/>
      </c>
      <c r="D360" t="s">
        <v>195</v>
      </c>
      <c r="F360" s="112"/>
      <c r="G360" s="96"/>
      <c r="H360" s="186" t="str">
        <f>IF(ISNUMBER(INDEX('M04-S02'!$AN$16:$AN$198,2*(ROWS($R$360:R360)-1)+1)),"Incremental","")</f>
        <v/>
      </c>
      <c r="I360" s="184">
        <f>IFERROR(ROUND(IF(ISNUMBER(INDEX('M04-S02'!$AN$16:$AN$198,2*(ROWS($R$360:$R360)-1)+1)),INDEX('M04-S02'!$AF$16:$AF$198,2*(ROWS($I$360:$I360)-1)+1),""),2),0)</f>
        <v>0</v>
      </c>
      <c r="J360" s="184">
        <f>IFERROR(ROUND(IF(ISNUMBER(INDEX('M04-S02'!$AN$16:$AN$198,2*(ROWS($R$360:$R360)-1)+1)),INDEX('M04-S02'!$AW$16:$AW$198,2*(ROWS($J$360:$J360)-1)+1),""),2),0)</f>
        <v>0</v>
      </c>
      <c r="K360" s="52">
        <f>IFERROR(ROUND(IF(ISNUMBER(INDEX('M04-S02'!$AN$16:$AN$198,2*(ROWS($R$360:$R360)-1)+1)),INDEX('M04-S02'!$AF$16:$AF$198,2*(ROWS($K$360:$K360)-1)+1),""),2),0)</f>
        <v>0</v>
      </c>
      <c r="L360" s="52" t="str">
        <f>IF(ISNUMBER(INDEX('M04-S02'!$AN$16:$AN$198,2*(ROWS($R$360:R360)-1)+1)),ROUND(INDEX('M04-S02'!$BB$16:$BB$198,2*(ROWS($L$360:L360)-1)+1),4),"")</f>
        <v/>
      </c>
      <c r="M360" s="456" t="str">
        <f>IF(ISNUMBER(INDEX('M04-S02'!$AN$16:$AN$198,2*(ROWS($R$360:R360)-1)+1)),ROUND(INDEX('M04-S02'!$C$16:$C$198,2*(ROWS($M$360:M360)-1)+1)/1000,4),"")</f>
        <v/>
      </c>
      <c r="N360" s="184" t="str">
        <f>IF(ISNUMBER(INDEX('M04-S02'!$AN$16:$AN$198,2*(ROWS($R$360:R360)-1)+1)),INDEX('M04-S02'!$AK$16:$AK$198,2*(ROWS($N$360:N360)-1)+1),"")</f>
        <v/>
      </c>
      <c r="O360" s="456" t="str">
        <f>IF(ISNUMBER(INDEX('M04-S02'!$AN$16:$AN$198,2*(ROWS($R$360:R360)-1)+1)),INDEX('M04-S02'!$AV$16:$AV$198,2*(ROWS($O$360:O360)-1)+1),"")</f>
        <v/>
      </c>
      <c r="P360" s="113"/>
      <c r="Q360" s="184" t="str">
        <f>IF(ISNUMBER(INDEX('M04-S02'!$AN$16:$AN$198,2*(ROWS($R$360:R360)-1)+1)),INDEX('M04-S02'!$BC$16:$BC$198,2*(ROWS($Q$360:Q360)-1)+1),"")</f>
        <v/>
      </c>
      <c r="R360" s="184">
        <f>IF(ISNUMBER(INDEX('M04-S02'!$AN$16:$AN$198,2*(ROWS($R$360:R360)-1)+1)),INDEX('M04-S02'!$AN$16:$AN$198,2*(ROWS($R$360:R360)-1)+1),0)</f>
        <v>0</v>
      </c>
      <c r="S360" s="23">
        <f>IF(NOT(ISNUMBER(INDEX('M04-S02'!$AN$16:$AN$198,2*(ROWS($R$360:R360)-1)+1))),ROUND(INDEX('M04-S02'!$C$16:$C$198,2*(ROWS($S$360:S360)-1)+1)/1000,4),"")</f>
        <v>0</v>
      </c>
      <c r="T360" s="52" t="str">
        <f>IFERROR(IF(NOT(ISNUMBER(INDEX('M04-S02'!$AN$16:$AN$198,2*(ROWS($R$360:R360)-1)+1))),INDEX('M04-S02'!$AK$16:$AK$198,2*(ROWS($R$360:R360)-1)+1),0),0)</f>
        <v/>
      </c>
      <c r="U360" s="23" t="str">
        <f>IFERROR(IF(NOT(ISNUMBER(INDEX('M04-S02'!$AN$16:$AN$198,2*(ROWS($R$360:R360)-1)+1))),INDEX('M04-S02'!$AV$16:$AV$198,2*(ROWS($R$360:R360)-1)+1),0),"")</f>
        <v/>
      </c>
      <c r="V360" s="113"/>
      <c r="W360" t="str">
        <f>IFERROR(IF(NOT(ISNUMBER(INDEX('M04-S02'!$AN$16:$AN$198,2*(ROWS($R$360:R360)-1)+1))),INDEX('M04-S02'!$BC$16:$BC$198,2*(ROWS($R$360:R360)-1)+1),""),"")</f>
        <v/>
      </c>
      <c r="X360" s="184" t="str">
        <f>IFERROR(ROUND(INDEX('M04-S02'!$N$16:$N$198,2*(ROWS($X$360:X360)-1)+1),3),"")</f>
        <v/>
      </c>
      <c r="Y360" s="184" t="str">
        <f>IFERROR(ROUND(INDEX('M04-S02'!$AA$16:$AA$198,2*(ROWS($Y$360:Y360)-1)+1),3),"")</f>
        <v/>
      </c>
      <c r="Z360" s="111">
        <f>INDEX('M04-S02'!$B$16:$B$198,2*(ROWS($Z$360:Z360)-1)+1)</f>
        <v>1</v>
      </c>
      <c r="AA360" s="96"/>
      <c r="AB360" s="96"/>
      <c r="AC360" t="str">
        <f>INDEX('M04-S02'!$F$16:$F$198,2*(ROWS($AC$360:AC360)-1)+1)</f>
        <v/>
      </c>
      <c r="AD360" t="str">
        <f>INDEX('M04-S02'!$S$16:$S$198,2*(ROWS($AD$360:AD360)-1)+1)</f>
        <v/>
      </c>
      <c r="AE360" s="459"/>
      <c r="AF360" s="459"/>
      <c r="AG360" s="111" t="str">
        <f>IFERROR(IF(ISNUMBER((INDEX('M04-S02'!$N$16:$N$198,2*(ROWS($AG$360:AG360)-1)+1)*INDEX('M04-S02'!$Q$16:$Q$198,2*(ROWS($AG$360:AG360)-1)+1))/1000),((INDEX('M04-S02'!$N$16:$N$198,2*(ROWS($AG$360:AG360)-1)+1)*INDEX('M04-S02'!$Q$16:$Q$198,2*(ROWS($AG$360:AG360)-1)+1))/1000),""),"")</f>
        <v/>
      </c>
      <c r="AH360" s="111" t="str">
        <f>IFERROR(IF(ISNUMBER((INDEX('M04-S02'!$AA$16:$AA$198,2*(ROWS($AH$360:AH360)-1)+1)*INDEX('M04-S02'!$Q$16:$Q$198,2*(ROWS($AH$360:AH360)-1)+1))/1000),((INDEX('M04-S02'!$AA$16:$AA$198,2*(ROWS($AH$360:AH360)-1)+1)*INDEX('M04-S02'!$Q$16:$Q$198,2*(ROWS($AH$360:AH360)-1)+1))/1000),""),"")</f>
        <v/>
      </c>
      <c r="AI360" s="96"/>
      <c r="AJ360" s="96"/>
      <c r="AK360" s="52" t="str">
        <f>INDEX('M04-S02'!$AU$16:$AU$198,2*(ROWS($AK$360:AK360)-1)+1)</f>
        <v/>
      </c>
      <c r="AL360" s="184">
        <f>IF(NOT(ISNUMBER(INDEX('M04-S02'!$AN$16:$AN$198,2*(ROWS($R$360:$R360)-1)+1))),INDEX('M04-S02'!$AD$16:$AD$198,2*(ROWS($AL$360:$AL360)-1)+1),"")</f>
        <v>0</v>
      </c>
      <c r="AM360" s="184">
        <f>IF(NOT(ISNUMBER(INDEX('M04-S02'!$AN$16:$AN$198,2*(ROWS($R$360:$R360)-1)+1))),INDEX('M04-S02'!$AF$16:$AF$198,2*(ROWS($AM$360:$AM360)-1)+1),"")</f>
        <v>0</v>
      </c>
      <c r="AN360" s="52" t="str">
        <f>IF(NOT(ISNUMBER(INDEX('M04-S02'!$AN$16:$AN$198,2*(ROWS($R$360:$R360)-1)+1))),INDEX('M04-S02'!$AH$16:$AH$198,2*(ROWS($AN$360:$AN360)-1)+1),"")</f>
        <v/>
      </c>
      <c r="AO360" s="113"/>
      <c r="AU360"/>
    </row>
    <row r="361" spans="1:47">
      <c r="A361" s="57">
        <f t="shared" si="34"/>
        <v>0</v>
      </c>
      <c r="B361" s="183" t="str">
        <f t="shared" ref="B361" si="35">IF(C361="","",CONCATENATE(ROW(),"-",C361))</f>
        <v/>
      </c>
      <c r="C361" s="186" t="str">
        <f>IF(OR(R361&gt;0,T361&gt;0),INDEX('M04-S02'!$BE$16:$BE$198,2*(ROWS($C$360:C361)-1)+1),"")</f>
        <v/>
      </c>
      <c r="D361" t="s">
        <v>195</v>
      </c>
      <c r="F361" s="112"/>
      <c r="G361" s="96"/>
      <c r="H361" s="186" t="str">
        <f>IF(ISNUMBER(INDEX('M04-S02'!$AN$16:$AN$198,2*(ROWS($R$360:R361)-1)+1)),"Incremental","")</f>
        <v/>
      </c>
      <c r="I361" s="184">
        <f>IFERROR(ROUND(IF(ISNUMBER(INDEX('M04-S02'!$AN$16:$AN$198,2*(ROWS($R$360:$R361)-1)+1)),INDEX('M04-S02'!$AF$16:$AF$198,2*(ROWS($I$360:$I361)-1)+1),""),2),0)</f>
        <v>0</v>
      </c>
      <c r="J361" s="184">
        <f>IFERROR(ROUND(IF(ISNUMBER(INDEX('M04-S02'!$AN$16:$AN$198,2*(ROWS($R$360:$R361)-1)+1)),INDEX('M04-S02'!$AW$16:$AW$198,2*(ROWS($J$360:$J361)-1)+1),""),2),0)</f>
        <v>0</v>
      </c>
      <c r="K361" s="52">
        <f>IFERROR(ROUND(IF(ISNUMBER(INDEX('M04-S02'!$AN$16:$AN$198,2*(ROWS($R$360:$R361)-1)+1)),INDEX('M04-S02'!$AF$16:$AF$198,2*(ROWS($K$360:$K361)-1)+1),""),2),0)</f>
        <v>0</v>
      </c>
      <c r="L361" s="52" t="str">
        <f>IF(ISNUMBER(INDEX('M04-S02'!$AN$16:$AN$198,2*(ROWS($R$360:R361)-1)+1)),ROUND(INDEX('M04-S02'!$BB$16:$BB$198,2*(ROWS($L$360:L361)-1)+1),4),"")</f>
        <v/>
      </c>
      <c r="M361" s="456" t="str">
        <f>IF(ISNUMBER(INDEX('M04-S02'!$AN$16:$AN$198,2*(ROWS($R$360:R361)-1)+1)),ROUND(INDEX('M04-S02'!$C$16:$C$198,2*(ROWS($M$360:M361)-1)+1)/1000,4),"")</f>
        <v/>
      </c>
      <c r="N361" s="184" t="str">
        <f>IF(ISNUMBER(INDEX('M04-S02'!$AN$16:$AN$198,2*(ROWS($R$360:R361)-1)+1)),INDEX('M04-S02'!$AK$16:$AK$198,2*(ROWS($N$360:N361)-1)+1),"")</f>
        <v/>
      </c>
      <c r="O361" s="456" t="str">
        <f>IF(ISNUMBER(INDEX('M04-S02'!$AN$16:$AN$198,2*(ROWS($R$360:R361)-1)+1)),INDEX('M04-S02'!$AV$16:$AV$198,2*(ROWS($O$360:O361)-1)+1),"")</f>
        <v/>
      </c>
      <c r="P361" s="113"/>
      <c r="Q361" s="184" t="str">
        <f>IF(ISNUMBER(INDEX('M04-S02'!$AN$16:$AN$198,2*(ROWS($R$360:R361)-1)+1)),INDEX('M04-S02'!$BC$16:$BC$198,2*(ROWS($Q$360:Q361)-1)+1),"")</f>
        <v/>
      </c>
      <c r="R361" s="184">
        <f>IF(ISNUMBER(INDEX('M04-S02'!$AN$16:$AN$198,2*(ROWS($R$360:R361)-1)+1)),INDEX('M04-S02'!$AN$16:$AN$198,2*(ROWS($R$360:R361)-1)+1),0)</f>
        <v>0</v>
      </c>
      <c r="S361" s="23">
        <f>IF(NOT(ISNUMBER(INDEX('M04-S02'!$AN$16:$AN$198,2*(ROWS($R$360:R361)-1)+1))),ROUND(INDEX('M04-S02'!$C$16:$C$198,2*(ROWS($S$360:S361)-1)+1)/1000,4),"")</f>
        <v>0</v>
      </c>
      <c r="T361" s="52" t="str">
        <f>IFERROR(IF(NOT(ISNUMBER(INDEX('M04-S02'!$AN$16:$AN$198,2*(ROWS($R$360:R361)-1)+1))),INDEX('M04-S02'!$AK$16:$AK$198,2*(ROWS($R$360:R361)-1)+1),0),0)</f>
        <v/>
      </c>
      <c r="U361" s="23" t="str">
        <f>IFERROR(IF(NOT(ISNUMBER(INDEX('M04-S02'!$AN$16:$AN$198,2*(ROWS($R$360:R361)-1)+1))),INDEX('M04-S02'!$AV$16:$AV$198,2*(ROWS($R$360:R361)-1)+1),0),"")</f>
        <v/>
      </c>
      <c r="V361" s="113"/>
      <c r="W361" t="str">
        <f>IFERROR(IF(NOT(ISNUMBER(INDEX('M04-S02'!$AN$16:$AN$198,2*(ROWS($R$360:R361)-1)+1))),INDEX('M04-S02'!$BC$16:$BC$198,2*(ROWS($R$360:R361)-1)+1),""),"")</f>
        <v/>
      </c>
      <c r="X361" s="184" t="str">
        <f>IFERROR(ROUND(INDEX('M04-S02'!$N$16:$N$198,2*(ROWS($X$360:X361)-1)+1),3),"")</f>
        <v/>
      </c>
      <c r="Y361" s="184" t="str">
        <f>IFERROR(ROUND(INDEX('M04-S02'!$AA$16:$AA$198,2*(ROWS($Y$360:Y361)-1)+1),3),"")</f>
        <v/>
      </c>
      <c r="Z361" s="111">
        <f>INDEX('M04-S02'!$B$16:$B$198,2*(ROWS($Z$360:Z361)-1)+1)</f>
        <v>2</v>
      </c>
      <c r="AA361" s="96"/>
      <c r="AB361" s="96"/>
      <c r="AC361" t="str">
        <f>INDEX('M04-S02'!$F$16:$F$198,2*(ROWS($AC$360:AC361)-1)+1)</f>
        <v/>
      </c>
      <c r="AD361" t="str">
        <f>INDEX('M04-S02'!$S$16:$S$198,2*(ROWS($AD$360:AD361)-1)+1)</f>
        <v/>
      </c>
      <c r="AE361" s="459"/>
      <c r="AF361" s="459"/>
      <c r="AG361" s="111" t="str">
        <f>IFERROR(IF(ISNUMBER((INDEX('M04-S02'!$N$16:$N$198,2*(ROWS($AG$360:AG361)-1)+1)*INDEX('M04-S02'!$Q$16:$Q$198,2*(ROWS($AG$360:AG361)-1)+1))/1000),((INDEX('M04-S02'!$N$16:$N$198,2*(ROWS($AG$360:AG361)-1)+1)*INDEX('M04-S02'!$Q$16:$Q$198,2*(ROWS($AG$360:AG361)-1)+1))/1000),""),"")</f>
        <v/>
      </c>
      <c r="AH361" s="111" t="str">
        <f>IFERROR(IF(ISNUMBER((INDEX('M04-S02'!$AA$16:$AA$198,2*(ROWS($AH$360:AH361)-1)+1)*INDEX('M04-S02'!$Q$16:$Q$198,2*(ROWS($AH$360:AH361)-1)+1))/1000),((INDEX('M04-S02'!$AA$16:$AA$198,2*(ROWS($AH$360:AH361)-1)+1)*INDEX('M04-S02'!$Q$16:$Q$198,2*(ROWS($AH$360:AH361)-1)+1))/1000),""),"")</f>
        <v/>
      </c>
      <c r="AI361" s="96"/>
      <c r="AJ361" s="96"/>
      <c r="AK361" s="52" t="str">
        <f>INDEX('M04-S02'!$AU$16:$AU$198,2*(ROWS($AK$360:AK361)-1)+1)</f>
        <v/>
      </c>
      <c r="AL361" s="184">
        <f>IF(NOT(ISNUMBER(INDEX('M04-S02'!$AN$16:$AN$198,2*(ROWS($R$360:$R361)-1)+1))),INDEX('M04-S02'!$AD$16:$AD$198,2*(ROWS($AL$360:$AL361)-1)+1),"")</f>
        <v>0</v>
      </c>
      <c r="AM361" s="184">
        <f>IF(NOT(ISNUMBER(INDEX('M04-S02'!$AN$16:$AN$198,2*(ROWS($R$360:$R361)-1)+1))),INDEX('M04-S02'!$AF$16:$AF$198,2*(ROWS($AM$360:$AM361)-1)+1),"")</f>
        <v>0</v>
      </c>
      <c r="AN361" s="52" t="str">
        <f>IF(NOT(ISNUMBER(INDEX('M04-S02'!$AN$16:$AN$198,2*(ROWS($R$360:$R361)-1)+1))),INDEX('M04-S02'!$AH$16:$AH$198,2*(ROWS($AN$360:$AN361)-1)+1),"")</f>
        <v/>
      </c>
      <c r="AO361" s="113"/>
      <c r="AU361"/>
    </row>
    <row r="362" spans="1:47">
      <c r="A362" s="57">
        <f t="shared" si="34"/>
        <v>0</v>
      </c>
      <c r="B362" s="183" t="str">
        <f t="shared" ref="B362:B384" si="36">IF(C362="","",CONCATENATE(ROW(),"-",C362))</f>
        <v/>
      </c>
      <c r="C362" s="186" t="str">
        <f>IF(OR(R362&gt;0,T362&gt;0),INDEX('M04-S02'!$BE$16:$BE$198,2*(ROWS($C$360:C362)-1)+1),"")</f>
        <v/>
      </c>
      <c r="D362" t="s">
        <v>195</v>
      </c>
      <c r="F362" s="112"/>
      <c r="G362" s="96"/>
      <c r="H362" s="186" t="str">
        <f>IF(ISNUMBER(INDEX('M04-S02'!$AN$16:$AN$198,2*(ROWS($R$360:R362)-1)+1)),"Incremental","")</f>
        <v/>
      </c>
      <c r="I362" s="184">
        <f>IFERROR(ROUND(IF(ISNUMBER(INDEX('M04-S02'!$AN$16:$AN$198,2*(ROWS($R$360:$R362)-1)+1)),INDEX('M04-S02'!$AF$16:$AF$198,2*(ROWS($I$360:$I362)-1)+1),""),2),0)</f>
        <v>0</v>
      </c>
      <c r="J362" s="184">
        <f>IFERROR(ROUND(IF(ISNUMBER(INDEX('M04-S02'!$AN$16:$AN$198,2*(ROWS($R$360:$R362)-1)+1)),INDEX('M04-S02'!$AW$16:$AW$198,2*(ROWS($J$360:$J362)-1)+1),""),2),0)</f>
        <v>0</v>
      </c>
      <c r="K362" s="52">
        <f>IFERROR(ROUND(IF(ISNUMBER(INDEX('M04-S02'!$AN$16:$AN$198,2*(ROWS($R$360:$R362)-1)+1)),INDEX('M04-S02'!$AF$16:$AF$198,2*(ROWS($K$360:$K362)-1)+1),""),2),0)</f>
        <v>0</v>
      </c>
      <c r="L362" s="52" t="str">
        <f>IF(ISNUMBER(INDEX('M04-S02'!$AN$16:$AN$198,2*(ROWS($R$360:R362)-1)+1)),ROUND(INDEX('M04-S02'!$BB$16:$BB$198,2*(ROWS($L$360:L362)-1)+1),4),"")</f>
        <v/>
      </c>
      <c r="M362" s="456" t="str">
        <f>IF(ISNUMBER(INDEX('M04-S02'!$AN$16:$AN$198,2*(ROWS($R$360:R362)-1)+1)),ROUND(INDEX('M04-S02'!$C$16:$C$198,2*(ROWS($M$360:M362)-1)+1)/1000,4),"")</f>
        <v/>
      </c>
      <c r="N362" s="184" t="str">
        <f>IF(ISNUMBER(INDEX('M04-S02'!$AN$16:$AN$198,2*(ROWS($R$360:R362)-1)+1)),INDEX('M04-S02'!$AK$16:$AK$198,2*(ROWS($N$360:N362)-1)+1),"")</f>
        <v/>
      </c>
      <c r="O362" s="456" t="str">
        <f>IF(ISNUMBER(INDEX('M04-S02'!$AN$16:$AN$198,2*(ROWS($R$360:R362)-1)+1)),INDEX('M04-S02'!$AV$16:$AV$198,2*(ROWS($O$360:O362)-1)+1),"")</f>
        <v/>
      </c>
      <c r="P362" s="113"/>
      <c r="Q362" s="184" t="str">
        <f>IF(ISNUMBER(INDEX('M04-S02'!$AN$16:$AN$198,2*(ROWS($R$360:R362)-1)+1)),INDEX('M04-S02'!$BC$16:$BC$198,2*(ROWS($Q$360:Q362)-1)+1),"")</f>
        <v/>
      </c>
      <c r="R362" s="184">
        <f>IF(ISNUMBER(INDEX('M04-S02'!$AN$16:$AN$198,2*(ROWS($R$360:R362)-1)+1)),INDEX('M04-S02'!$AN$16:$AN$198,2*(ROWS($R$360:R362)-1)+1),0)</f>
        <v>0</v>
      </c>
      <c r="S362" s="23">
        <f>IF(NOT(ISNUMBER(INDEX('M04-S02'!$AN$16:$AN$198,2*(ROWS($R$360:R362)-1)+1))),ROUND(INDEX('M04-S02'!$C$16:$C$198,2*(ROWS($S$360:S362)-1)+1)/1000,4),"")</f>
        <v>0</v>
      </c>
      <c r="T362" s="52" t="str">
        <f>IFERROR(IF(NOT(ISNUMBER(INDEX('M04-S02'!$AN$16:$AN$198,2*(ROWS($R$360:R362)-1)+1))),INDEX('M04-S02'!$AK$16:$AK$198,2*(ROWS($R$360:R362)-1)+1),0),0)</f>
        <v/>
      </c>
      <c r="U362" s="23" t="str">
        <f>IFERROR(IF(NOT(ISNUMBER(INDEX('M04-S02'!$AN$16:$AN$198,2*(ROWS($R$360:R362)-1)+1))),INDEX('M04-S02'!$AV$16:$AV$198,2*(ROWS($R$360:R362)-1)+1),0),"")</f>
        <v/>
      </c>
      <c r="V362" s="113"/>
      <c r="W362" t="str">
        <f>IFERROR(IF(NOT(ISNUMBER(INDEX('M04-S02'!$AN$16:$AN$198,2*(ROWS($R$360:R362)-1)+1))),INDEX('M04-S02'!$BC$16:$BC$198,2*(ROWS($R$360:R362)-1)+1),""),"")</f>
        <v/>
      </c>
      <c r="X362" s="184" t="str">
        <f>IFERROR(ROUND(INDEX('M04-S02'!$N$16:$N$198,2*(ROWS($X$360:X362)-1)+1),3),"")</f>
        <v/>
      </c>
      <c r="Y362" s="184" t="str">
        <f>IFERROR(ROUND(INDEX('M04-S02'!$AA$16:$AA$198,2*(ROWS($Y$360:Y362)-1)+1),3),"")</f>
        <v/>
      </c>
      <c r="Z362" s="111">
        <f>INDEX('M04-S02'!$B$16:$B$198,2*(ROWS($Z$360:Z362)-1)+1)</f>
        <v>3</v>
      </c>
      <c r="AA362" s="96"/>
      <c r="AB362" s="96"/>
      <c r="AC362" t="str">
        <f>INDEX('M04-S02'!$F$16:$F$198,2*(ROWS($AC$360:AC362)-1)+1)</f>
        <v/>
      </c>
      <c r="AD362" t="str">
        <f>INDEX('M04-S02'!$S$16:$S$198,2*(ROWS($AD$360:AD362)-1)+1)</f>
        <v/>
      </c>
      <c r="AE362" s="459"/>
      <c r="AF362" s="459"/>
      <c r="AG362" s="111" t="str">
        <f>IFERROR(IF(ISNUMBER((INDEX('M04-S02'!$N$16:$N$198,2*(ROWS($AG$360:AG362)-1)+1)*INDEX('M04-S02'!$Q$16:$Q$198,2*(ROWS($AG$360:AG362)-1)+1))/1000),((INDEX('M04-S02'!$N$16:$N$198,2*(ROWS($AG$360:AG362)-1)+1)*INDEX('M04-S02'!$Q$16:$Q$198,2*(ROWS($AG$360:AG362)-1)+1))/1000),""),"")</f>
        <v/>
      </c>
      <c r="AH362" s="111" t="str">
        <f>IFERROR(IF(ISNUMBER((INDEX('M04-S02'!$AA$16:$AA$198,2*(ROWS($AH$360:AH362)-1)+1)*INDEX('M04-S02'!$Q$16:$Q$198,2*(ROWS($AH$360:AH362)-1)+1))/1000),((INDEX('M04-S02'!$AA$16:$AA$198,2*(ROWS($AH$360:AH362)-1)+1)*INDEX('M04-S02'!$Q$16:$Q$198,2*(ROWS($AH$360:AH362)-1)+1))/1000),""),"")</f>
        <v/>
      </c>
      <c r="AI362" s="96"/>
      <c r="AJ362" s="96"/>
      <c r="AK362" s="52" t="str">
        <f>INDEX('M04-S02'!$AU$16:$AU$198,2*(ROWS($AK$360:AK362)-1)+1)</f>
        <v/>
      </c>
      <c r="AL362" s="184">
        <f>IF(NOT(ISNUMBER(INDEX('M04-S02'!$AN$16:$AN$198,2*(ROWS($R$360:$R362)-1)+1))),INDEX('M04-S02'!$AD$16:$AD$198,2*(ROWS($AL$360:$AL362)-1)+1),"")</f>
        <v>0</v>
      </c>
      <c r="AM362" s="184">
        <f>IF(NOT(ISNUMBER(INDEX('M04-S02'!$AN$16:$AN$198,2*(ROWS($R$360:$R362)-1)+1))),INDEX('M04-S02'!$AF$16:$AF$198,2*(ROWS($AM$360:$AM362)-1)+1),"")</f>
        <v>0</v>
      </c>
      <c r="AN362" s="52" t="str">
        <f>IF(NOT(ISNUMBER(INDEX('M04-S02'!$AN$16:$AN$198,2*(ROWS($R$360:$R362)-1)+1))),INDEX('M04-S02'!$AH$16:$AH$198,2*(ROWS($AN$360:$AN362)-1)+1),"")</f>
        <v/>
      </c>
      <c r="AO362" s="113"/>
      <c r="AU362"/>
    </row>
    <row r="363" spans="1:47">
      <c r="A363" s="57">
        <f t="shared" si="34"/>
        <v>0</v>
      </c>
      <c r="B363" s="183" t="str">
        <f t="shared" si="36"/>
        <v/>
      </c>
      <c r="C363" s="186" t="str">
        <f>IF(OR(R363&gt;0,T363&gt;0),INDEX('M04-S02'!$BE$16:$BE$198,2*(ROWS($C$360:C363)-1)+1),"")</f>
        <v/>
      </c>
      <c r="D363" t="s">
        <v>195</v>
      </c>
      <c r="F363" s="112"/>
      <c r="G363" s="96"/>
      <c r="H363" s="186" t="str">
        <f>IF(ISNUMBER(INDEX('M04-S02'!$AN$16:$AN$198,2*(ROWS($R$360:R363)-1)+1)),"Incremental","")</f>
        <v/>
      </c>
      <c r="I363" s="184">
        <f>IFERROR(ROUND(IF(ISNUMBER(INDEX('M04-S02'!$AN$16:$AN$198,2*(ROWS($R$360:$R363)-1)+1)),INDEX('M04-S02'!$AF$16:$AF$198,2*(ROWS($I$360:$I363)-1)+1),""),2),0)</f>
        <v>0</v>
      </c>
      <c r="J363" s="184">
        <f>IFERROR(ROUND(IF(ISNUMBER(INDEX('M04-S02'!$AN$16:$AN$198,2*(ROWS($R$360:$R363)-1)+1)),INDEX('M04-S02'!$AW$16:$AW$198,2*(ROWS($J$360:$J363)-1)+1),""),2),0)</f>
        <v>0</v>
      </c>
      <c r="K363" s="52">
        <f>IFERROR(ROUND(IF(ISNUMBER(INDEX('M04-S02'!$AN$16:$AN$198,2*(ROWS($R$360:$R363)-1)+1)),INDEX('M04-S02'!$AF$16:$AF$198,2*(ROWS($K$360:$K363)-1)+1),""),2),0)</f>
        <v>0</v>
      </c>
      <c r="L363" s="52" t="str">
        <f>IF(ISNUMBER(INDEX('M04-S02'!$AN$16:$AN$198,2*(ROWS($R$360:R363)-1)+1)),ROUND(INDEX('M04-S02'!$BB$16:$BB$198,2*(ROWS($L$360:L363)-1)+1),4),"")</f>
        <v/>
      </c>
      <c r="M363" s="456" t="str">
        <f>IF(ISNUMBER(INDEX('M04-S02'!$AN$16:$AN$198,2*(ROWS($R$360:R363)-1)+1)),ROUND(INDEX('M04-S02'!$C$16:$C$198,2*(ROWS($M$360:M363)-1)+1)/1000,4),"")</f>
        <v/>
      </c>
      <c r="N363" s="184" t="str">
        <f>IF(ISNUMBER(INDEX('M04-S02'!$AN$16:$AN$198,2*(ROWS($R$360:R363)-1)+1)),INDEX('M04-S02'!$AK$16:$AK$198,2*(ROWS($N$360:N363)-1)+1),"")</f>
        <v/>
      </c>
      <c r="O363" s="456" t="str">
        <f>IF(ISNUMBER(INDEX('M04-S02'!$AN$16:$AN$198,2*(ROWS($R$360:R363)-1)+1)),INDEX('M04-S02'!$AV$16:$AV$198,2*(ROWS($O$360:O363)-1)+1),"")</f>
        <v/>
      </c>
      <c r="P363" s="113"/>
      <c r="Q363" s="184" t="str">
        <f>IF(ISNUMBER(INDEX('M04-S02'!$AN$16:$AN$198,2*(ROWS($R$360:R363)-1)+1)),INDEX('M04-S02'!$BC$16:$BC$198,2*(ROWS($Q$360:Q363)-1)+1),"")</f>
        <v/>
      </c>
      <c r="R363" s="184">
        <f>IF(ISNUMBER(INDEX('M04-S02'!$AN$16:$AN$198,2*(ROWS($R$360:R363)-1)+1)),INDEX('M04-S02'!$AN$16:$AN$198,2*(ROWS($R$360:R363)-1)+1),0)</f>
        <v>0</v>
      </c>
      <c r="S363" s="23">
        <f>IF(NOT(ISNUMBER(INDEX('M04-S02'!$AN$16:$AN$198,2*(ROWS($R$360:R363)-1)+1))),ROUND(INDEX('M04-S02'!$C$16:$C$198,2*(ROWS($S$360:S363)-1)+1)/1000,4),"")</f>
        <v>0</v>
      </c>
      <c r="T363" s="52" t="str">
        <f>IFERROR(IF(NOT(ISNUMBER(INDEX('M04-S02'!$AN$16:$AN$198,2*(ROWS($R$360:R363)-1)+1))),INDEX('M04-S02'!$AK$16:$AK$198,2*(ROWS($R$360:R363)-1)+1),0),0)</f>
        <v/>
      </c>
      <c r="U363" s="23" t="str">
        <f>IFERROR(IF(NOT(ISNUMBER(INDEX('M04-S02'!$AN$16:$AN$198,2*(ROWS($R$360:R363)-1)+1))),INDEX('M04-S02'!$AV$16:$AV$198,2*(ROWS($R$360:R363)-1)+1),0),"")</f>
        <v/>
      </c>
      <c r="V363" s="113"/>
      <c r="W363" t="str">
        <f>IFERROR(IF(NOT(ISNUMBER(INDEX('M04-S02'!$AN$16:$AN$198,2*(ROWS($R$360:R363)-1)+1))),INDEX('M04-S02'!$BC$16:$BC$198,2*(ROWS($R$360:R363)-1)+1),""),"")</f>
        <v/>
      </c>
      <c r="X363" s="184" t="str">
        <f>IFERROR(ROUND(INDEX('M04-S02'!$N$16:$N$198,2*(ROWS($X$360:X363)-1)+1),3),"")</f>
        <v/>
      </c>
      <c r="Y363" s="184" t="str">
        <f>IFERROR(ROUND(INDEX('M04-S02'!$AA$16:$AA$198,2*(ROWS($Y$360:Y363)-1)+1),3),"")</f>
        <v/>
      </c>
      <c r="Z363" s="111">
        <f>INDEX('M04-S02'!$B$16:$B$198,2*(ROWS($Z$360:Z363)-1)+1)</f>
        <v>4</v>
      </c>
      <c r="AA363" s="96"/>
      <c r="AB363" s="96"/>
      <c r="AC363" t="str">
        <f>INDEX('M04-S02'!$F$16:$F$198,2*(ROWS($AC$360:AC363)-1)+1)</f>
        <v/>
      </c>
      <c r="AD363" t="str">
        <f>INDEX('M04-S02'!$S$16:$S$198,2*(ROWS($AD$360:AD363)-1)+1)</f>
        <v/>
      </c>
      <c r="AE363" s="459"/>
      <c r="AF363" s="459"/>
      <c r="AG363" s="111" t="str">
        <f>IFERROR(IF(ISNUMBER((INDEX('M04-S02'!$N$16:$N$198,2*(ROWS($AG$360:AG363)-1)+1)*INDEX('M04-S02'!$Q$16:$Q$198,2*(ROWS($AG$360:AG363)-1)+1))/1000),((INDEX('M04-S02'!$N$16:$N$198,2*(ROWS($AG$360:AG363)-1)+1)*INDEX('M04-S02'!$Q$16:$Q$198,2*(ROWS($AG$360:AG363)-1)+1))/1000),""),"")</f>
        <v/>
      </c>
      <c r="AH363" s="111" t="str">
        <f>IFERROR(IF(ISNUMBER((INDEX('M04-S02'!$AA$16:$AA$198,2*(ROWS($AH$360:AH363)-1)+1)*INDEX('M04-S02'!$Q$16:$Q$198,2*(ROWS($AH$360:AH363)-1)+1))/1000),((INDEX('M04-S02'!$AA$16:$AA$198,2*(ROWS($AH$360:AH363)-1)+1)*INDEX('M04-S02'!$Q$16:$Q$198,2*(ROWS($AH$360:AH363)-1)+1))/1000),""),"")</f>
        <v/>
      </c>
      <c r="AI363" s="96"/>
      <c r="AJ363" s="96"/>
      <c r="AK363" s="52" t="str">
        <f>INDEX('M04-S02'!$AU$16:$AU$198,2*(ROWS($AK$360:AK363)-1)+1)</f>
        <v/>
      </c>
      <c r="AL363" s="184">
        <f>IF(NOT(ISNUMBER(INDEX('M04-S02'!$AN$16:$AN$198,2*(ROWS($R$360:$R363)-1)+1))),INDEX('M04-S02'!$AD$16:$AD$198,2*(ROWS($AL$360:$AL363)-1)+1),"")</f>
        <v>0</v>
      </c>
      <c r="AM363" s="184">
        <f>IF(NOT(ISNUMBER(INDEX('M04-S02'!$AN$16:$AN$198,2*(ROWS($R$360:$R363)-1)+1))),INDEX('M04-S02'!$AF$16:$AF$198,2*(ROWS($AM$360:$AM363)-1)+1),"")</f>
        <v>0</v>
      </c>
      <c r="AN363" s="52" t="str">
        <f>IF(NOT(ISNUMBER(INDEX('M04-S02'!$AN$16:$AN$198,2*(ROWS($R$360:$R363)-1)+1))),INDEX('M04-S02'!$AH$16:$AH$198,2*(ROWS($AN$360:$AN363)-1)+1),"")</f>
        <v/>
      </c>
      <c r="AO363" s="113"/>
      <c r="AU363"/>
    </row>
    <row r="364" spans="1:47">
      <c r="A364" s="57">
        <f t="shared" si="34"/>
        <v>0</v>
      </c>
      <c r="B364" s="183" t="str">
        <f t="shared" si="36"/>
        <v/>
      </c>
      <c r="C364" s="186" t="str">
        <f>IF(OR(R364&gt;0,T364&gt;0),INDEX('M04-S02'!$BE$16:$BE$198,2*(ROWS($C$360:C364)-1)+1),"")</f>
        <v/>
      </c>
      <c r="D364" t="s">
        <v>195</v>
      </c>
      <c r="F364" s="112"/>
      <c r="G364" s="96"/>
      <c r="H364" s="186" t="str">
        <f>IF(ISNUMBER(INDEX('M04-S02'!$AN$16:$AN$198,2*(ROWS($R$360:R364)-1)+1)),"Incremental","")</f>
        <v/>
      </c>
      <c r="I364" s="184">
        <f>IFERROR(ROUND(IF(ISNUMBER(INDEX('M04-S02'!$AN$16:$AN$198,2*(ROWS($R$360:$R364)-1)+1)),INDEX('M04-S02'!$AF$16:$AF$198,2*(ROWS($I$360:$I364)-1)+1),""),2),0)</f>
        <v>0</v>
      </c>
      <c r="J364" s="184">
        <f>IFERROR(ROUND(IF(ISNUMBER(INDEX('M04-S02'!$AN$16:$AN$198,2*(ROWS($R$360:$R364)-1)+1)),INDEX('M04-S02'!$AW$16:$AW$198,2*(ROWS($J$360:$J364)-1)+1),""),2),0)</f>
        <v>0</v>
      </c>
      <c r="K364" s="52">
        <f>IFERROR(ROUND(IF(ISNUMBER(INDEX('M04-S02'!$AN$16:$AN$198,2*(ROWS($R$360:$R364)-1)+1)),INDEX('M04-S02'!$AF$16:$AF$198,2*(ROWS($K$360:$K364)-1)+1),""),2),0)</f>
        <v>0</v>
      </c>
      <c r="L364" s="52" t="str">
        <f>IF(ISNUMBER(INDEX('M04-S02'!$AN$16:$AN$198,2*(ROWS($R$360:R364)-1)+1)),ROUND(INDEX('M04-S02'!$BB$16:$BB$198,2*(ROWS($L$360:L364)-1)+1),4),"")</f>
        <v/>
      </c>
      <c r="M364" s="456" t="str">
        <f>IF(ISNUMBER(INDEX('M04-S02'!$AN$16:$AN$198,2*(ROWS($R$360:R364)-1)+1)),ROUND(INDEX('M04-S02'!$C$16:$C$198,2*(ROWS($M$360:M364)-1)+1)/1000,4),"")</f>
        <v/>
      </c>
      <c r="N364" s="184" t="str">
        <f>IF(ISNUMBER(INDEX('M04-S02'!$AN$16:$AN$198,2*(ROWS($R$360:R364)-1)+1)),INDEX('M04-S02'!$AK$16:$AK$198,2*(ROWS($N$360:N364)-1)+1),"")</f>
        <v/>
      </c>
      <c r="O364" s="456" t="str">
        <f>IF(ISNUMBER(INDEX('M04-S02'!$AN$16:$AN$198,2*(ROWS($R$360:R364)-1)+1)),INDEX('M04-S02'!$AV$16:$AV$198,2*(ROWS($O$360:O364)-1)+1),"")</f>
        <v/>
      </c>
      <c r="P364" s="113"/>
      <c r="Q364" s="184" t="str">
        <f>IF(ISNUMBER(INDEX('M04-S02'!$AN$16:$AN$198,2*(ROWS($R$360:R364)-1)+1)),INDEX('M04-S02'!$BC$16:$BC$198,2*(ROWS($Q$360:Q364)-1)+1),"")</f>
        <v/>
      </c>
      <c r="R364" s="184">
        <f>IF(ISNUMBER(INDEX('M04-S02'!$AN$16:$AN$198,2*(ROWS($R$360:R364)-1)+1)),INDEX('M04-S02'!$AN$16:$AN$198,2*(ROWS($R$360:R364)-1)+1),0)</f>
        <v>0</v>
      </c>
      <c r="S364" s="23">
        <f>IF(NOT(ISNUMBER(INDEX('M04-S02'!$AN$16:$AN$198,2*(ROWS($R$360:R364)-1)+1))),ROUND(INDEX('M04-S02'!$C$16:$C$198,2*(ROWS($S$360:S364)-1)+1)/1000,4),"")</f>
        <v>0</v>
      </c>
      <c r="T364" s="52" t="str">
        <f>IFERROR(IF(NOT(ISNUMBER(INDEX('M04-S02'!$AN$16:$AN$198,2*(ROWS($R$360:R364)-1)+1))),INDEX('M04-S02'!$AK$16:$AK$198,2*(ROWS($R$360:R364)-1)+1),0),0)</f>
        <v/>
      </c>
      <c r="U364" s="23" t="str">
        <f>IFERROR(IF(NOT(ISNUMBER(INDEX('M04-S02'!$AN$16:$AN$198,2*(ROWS($R$360:R364)-1)+1))),INDEX('M04-S02'!$AV$16:$AV$198,2*(ROWS($R$360:R364)-1)+1),0),"")</f>
        <v/>
      </c>
      <c r="V364" s="113"/>
      <c r="W364" t="str">
        <f>IFERROR(IF(NOT(ISNUMBER(INDEX('M04-S02'!$AN$16:$AN$198,2*(ROWS($R$360:R364)-1)+1))),INDEX('M04-S02'!$BC$16:$BC$198,2*(ROWS($R$360:R364)-1)+1),""),"")</f>
        <v/>
      </c>
      <c r="X364" s="184" t="str">
        <f>IFERROR(ROUND(INDEX('M04-S02'!$N$16:$N$198,2*(ROWS($X$360:X364)-1)+1),3),"")</f>
        <v/>
      </c>
      <c r="Y364" s="184" t="str">
        <f>IFERROR(ROUND(INDEX('M04-S02'!$AA$16:$AA$198,2*(ROWS($Y$360:Y364)-1)+1),3),"")</f>
        <v/>
      </c>
      <c r="Z364" s="111">
        <f>INDEX('M04-S02'!$B$16:$B$198,2*(ROWS($Z$360:Z364)-1)+1)</f>
        <v>5</v>
      </c>
      <c r="AA364" s="96"/>
      <c r="AB364" s="96"/>
      <c r="AC364" t="str">
        <f>INDEX('M04-S02'!$F$16:$F$198,2*(ROWS($AC$360:AC364)-1)+1)</f>
        <v/>
      </c>
      <c r="AD364" t="str">
        <f>INDEX('M04-S02'!$S$16:$S$198,2*(ROWS($AD$360:AD364)-1)+1)</f>
        <v/>
      </c>
      <c r="AE364" s="459"/>
      <c r="AF364" s="459"/>
      <c r="AG364" s="111" t="str">
        <f>IFERROR(IF(ISNUMBER((INDEX('M04-S02'!$N$16:$N$198,2*(ROWS($AG$360:AG364)-1)+1)*INDEX('M04-S02'!$Q$16:$Q$198,2*(ROWS($AG$360:AG364)-1)+1))/1000),((INDEX('M04-S02'!$N$16:$N$198,2*(ROWS($AG$360:AG364)-1)+1)*INDEX('M04-S02'!$Q$16:$Q$198,2*(ROWS($AG$360:AG364)-1)+1))/1000),""),"")</f>
        <v/>
      </c>
      <c r="AH364" s="111" t="str">
        <f>IFERROR(IF(ISNUMBER((INDEX('M04-S02'!$AA$16:$AA$198,2*(ROWS($AH$360:AH364)-1)+1)*INDEX('M04-S02'!$Q$16:$Q$198,2*(ROWS($AH$360:AH364)-1)+1))/1000),((INDEX('M04-S02'!$AA$16:$AA$198,2*(ROWS($AH$360:AH364)-1)+1)*INDEX('M04-S02'!$Q$16:$Q$198,2*(ROWS($AH$360:AH364)-1)+1))/1000),""),"")</f>
        <v/>
      </c>
      <c r="AI364" s="96"/>
      <c r="AJ364" s="96"/>
      <c r="AK364" s="52" t="str">
        <f>INDEX('M04-S02'!$AU$16:$AU$198,2*(ROWS($AK$360:AK364)-1)+1)</f>
        <v/>
      </c>
      <c r="AL364" s="184">
        <f>IF(NOT(ISNUMBER(INDEX('M04-S02'!$AN$16:$AN$198,2*(ROWS($R$360:$R364)-1)+1))),INDEX('M04-S02'!$AD$16:$AD$198,2*(ROWS($AL$360:$AL364)-1)+1),"")</f>
        <v>0</v>
      </c>
      <c r="AM364" s="184">
        <f>IF(NOT(ISNUMBER(INDEX('M04-S02'!$AN$16:$AN$198,2*(ROWS($R$360:$R364)-1)+1))),INDEX('M04-S02'!$AF$16:$AF$198,2*(ROWS($AM$360:$AM364)-1)+1),"")</f>
        <v>0</v>
      </c>
      <c r="AN364" s="52" t="str">
        <f>IF(NOT(ISNUMBER(INDEX('M04-S02'!$AN$16:$AN$198,2*(ROWS($R$360:$R364)-1)+1))),INDEX('M04-S02'!$AH$16:$AH$198,2*(ROWS($AN$360:$AN364)-1)+1),"")</f>
        <v/>
      </c>
      <c r="AO364" s="113"/>
      <c r="AU364"/>
    </row>
    <row r="365" spans="1:47">
      <c r="A365" s="57">
        <f t="shared" si="34"/>
        <v>0</v>
      </c>
      <c r="B365" s="183" t="str">
        <f t="shared" si="36"/>
        <v/>
      </c>
      <c r="C365" s="186" t="str">
        <f>IF(OR(R365&gt;0,T365&gt;0),INDEX('M04-S02'!$BE$16:$BE$198,2*(ROWS($C$360:C365)-1)+1),"")</f>
        <v/>
      </c>
      <c r="D365" t="s">
        <v>195</v>
      </c>
      <c r="F365" s="112"/>
      <c r="G365" s="96"/>
      <c r="H365" s="186" t="str">
        <f>IF(ISNUMBER(INDEX('M04-S02'!$AN$16:$AN$198,2*(ROWS($R$360:R365)-1)+1)),"Incremental","")</f>
        <v/>
      </c>
      <c r="I365" s="184">
        <f>IFERROR(ROUND(IF(ISNUMBER(INDEX('M04-S02'!$AN$16:$AN$198,2*(ROWS($R$360:$R365)-1)+1)),INDEX('M04-S02'!$AF$16:$AF$198,2*(ROWS($I$360:$I365)-1)+1),""),2),0)</f>
        <v>0</v>
      </c>
      <c r="J365" s="184">
        <f>IFERROR(ROUND(IF(ISNUMBER(INDEX('M04-S02'!$AN$16:$AN$198,2*(ROWS($R$360:$R365)-1)+1)),INDEX('M04-S02'!$AW$16:$AW$198,2*(ROWS($J$360:$J365)-1)+1),""),2),0)</f>
        <v>0</v>
      </c>
      <c r="K365" s="52">
        <f>IFERROR(ROUND(IF(ISNUMBER(INDEX('M04-S02'!$AN$16:$AN$198,2*(ROWS($R$360:$R365)-1)+1)),INDEX('M04-S02'!$AF$16:$AF$198,2*(ROWS($K$360:$K365)-1)+1),""),2),0)</f>
        <v>0</v>
      </c>
      <c r="L365" s="52" t="str">
        <f>IF(ISNUMBER(INDEX('M04-S02'!$AN$16:$AN$198,2*(ROWS($R$360:R365)-1)+1)),ROUND(INDEX('M04-S02'!$BB$16:$BB$198,2*(ROWS($L$360:L365)-1)+1),4),"")</f>
        <v/>
      </c>
      <c r="M365" s="456" t="str">
        <f>IF(ISNUMBER(INDEX('M04-S02'!$AN$16:$AN$198,2*(ROWS($R$360:R365)-1)+1)),ROUND(INDEX('M04-S02'!$C$16:$C$198,2*(ROWS($M$360:M365)-1)+1)/1000,4),"")</f>
        <v/>
      </c>
      <c r="N365" s="184" t="str">
        <f>IF(ISNUMBER(INDEX('M04-S02'!$AN$16:$AN$198,2*(ROWS($R$360:R365)-1)+1)),INDEX('M04-S02'!$AK$16:$AK$198,2*(ROWS($N$360:N365)-1)+1),"")</f>
        <v/>
      </c>
      <c r="O365" s="456" t="str">
        <f>IF(ISNUMBER(INDEX('M04-S02'!$AN$16:$AN$198,2*(ROWS($R$360:R365)-1)+1)),INDEX('M04-S02'!$AV$16:$AV$198,2*(ROWS($O$360:O365)-1)+1),"")</f>
        <v/>
      </c>
      <c r="P365" s="113"/>
      <c r="Q365" s="184" t="str">
        <f>IF(ISNUMBER(INDEX('M04-S02'!$AN$16:$AN$198,2*(ROWS($R$360:R365)-1)+1)),INDEX('M04-S02'!$BC$16:$BC$198,2*(ROWS($Q$360:Q365)-1)+1),"")</f>
        <v/>
      </c>
      <c r="R365" s="184">
        <f>IF(ISNUMBER(INDEX('M04-S02'!$AN$16:$AN$198,2*(ROWS($R$360:R365)-1)+1)),INDEX('M04-S02'!$AN$16:$AN$198,2*(ROWS($R$360:R365)-1)+1),0)</f>
        <v>0</v>
      </c>
      <c r="S365" s="23">
        <f>IF(NOT(ISNUMBER(INDEX('M04-S02'!$AN$16:$AN$198,2*(ROWS($R$360:R365)-1)+1))),ROUND(INDEX('M04-S02'!$C$16:$C$198,2*(ROWS($S$360:S365)-1)+1)/1000,4),"")</f>
        <v>0</v>
      </c>
      <c r="T365" s="52" t="str">
        <f>IFERROR(IF(NOT(ISNUMBER(INDEX('M04-S02'!$AN$16:$AN$198,2*(ROWS($R$360:R365)-1)+1))),INDEX('M04-S02'!$AK$16:$AK$198,2*(ROWS($R$360:R365)-1)+1),0),0)</f>
        <v/>
      </c>
      <c r="U365" s="23" t="str">
        <f>IFERROR(IF(NOT(ISNUMBER(INDEX('M04-S02'!$AN$16:$AN$198,2*(ROWS($R$360:R365)-1)+1))),INDEX('M04-S02'!$AV$16:$AV$198,2*(ROWS($R$360:R365)-1)+1),0),"")</f>
        <v/>
      </c>
      <c r="V365" s="113"/>
      <c r="W365" t="str">
        <f>IFERROR(IF(NOT(ISNUMBER(INDEX('M04-S02'!$AN$16:$AN$198,2*(ROWS($R$360:R365)-1)+1))),INDEX('M04-S02'!$BC$16:$BC$198,2*(ROWS($R$360:R365)-1)+1),""),"")</f>
        <v/>
      </c>
      <c r="X365" s="184" t="str">
        <f>IFERROR(ROUND(INDEX('M04-S02'!$N$16:$N$198,2*(ROWS($X$360:X365)-1)+1),3),"")</f>
        <v/>
      </c>
      <c r="Y365" s="184" t="str">
        <f>IFERROR(ROUND(INDEX('M04-S02'!$AA$16:$AA$198,2*(ROWS($Y$360:Y365)-1)+1),3),"")</f>
        <v/>
      </c>
      <c r="Z365" s="111">
        <f>INDEX('M04-S02'!$B$16:$B$198,2*(ROWS($Z$360:Z365)-1)+1)</f>
        <v>6</v>
      </c>
      <c r="AA365" s="96"/>
      <c r="AB365" s="96"/>
      <c r="AC365" t="str">
        <f>INDEX('M04-S02'!$F$16:$F$198,2*(ROWS($AC$360:AC365)-1)+1)</f>
        <v/>
      </c>
      <c r="AD365" t="str">
        <f>INDEX('M04-S02'!$S$16:$S$198,2*(ROWS($AD$360:AD365)-1)+1)</f>
        <v/>
      </c>
      <c r="AE365" s="459"/>
      <c r="AF365" s="459"/>
      <c r="AG365" s="111" t="str">
        <f>IFERROR(IF(ISNUMBER((INDEX('M04-S02'!$N$16:$N$198,2*(ROWS($AG$360:AG365)-1)+1)*INDEX('M04-S02'!$Q$16:$Q$198,2*(ROWS($AG$360:AG365)-1)+1))/1000),((INDEX('M04-S02'!$N$16:$N$198,2*(ROWS($AG$360:AG365)-1)+1)*INDEX('M04-S02'!$Q$16:$Q$198,2*(ROWS($AG$360:AG365)-1)+1))/1000),""),"")</f>
        <v/>
      </c>
      <c r="AH365" s="111" t="str">
        <f>IFERROR(IF(ISNUMBER((INDEX('M04-S02'!$AA$16:$AA$198,2*(ROWS($AH$360:AH365)-1)+1)*INDEX('M04-S02'!$Q$16:$Q$198,2*(ROWS($AH$360:AH365)-1)+1))/1000),((INDEX('M04-S02'!$AA$16:$AA$198,2*(ROWS($AH$360:AH365)-1)+1)*INDEX('M04-S02'!$Q$16:$Q$198,2*(ROWS($AH$360:AH365)-1)+1))/1000),""),"")</f>
        <v/>
      </c>
      <c r="AI365" s="96"/>
      <c r="AJ365" s="96"/>
      <c r="AK365" s="52" t="str">
        <f>INDEX('M04-S02'!$AU$16:$AU$198,2*(ROWS($AK$360:AK365)-1)+1)</f>
        <v/>
      </c>
      <c r="AL365" s="184">
        <f>IF(NOT(ISNUMBER(INDEX('M04-S02'!$AN$16:$AN$198,2*(ROWS($R$360:$R365)-1)+1))),INDEX('M04-S02'!$AD$16:$AD$198,2*(ROWS($AL$360:$AL365)-1)+1),"")</f>
        <v>0</v>
      </c>
      <c r="AM365" s="184">
        <f>IF(NOT(ISNUMBER(INDEX('M04-S02'!$AN$16:$AN$198,2*(ROWS($R$360:$R365)-1)+1))),INDEX('M04-S02'!$AF$16:$AF$198,2*(ROWS($AM$360:$AM365)-1)+1),"")</f>
        <v>0</v>
      </c>
      <c r="AN365" s="52" t="str">
        <f>IF(NOT(ISNUMBER(INDEX('M04-S02'!$AN$16:$AN$198,2*(ROWS($R$360:$R365)-1)+1))),INDEX('M04-S02'!$AH$16:$AH$198,2*(ROWS($AN$360:$AN365)-1)+1),"")</f>
        <v/>
      </c>
      <c r="AO365" s="113"/>
      <c r="AU365"/>
    </row>
    <row r="366" spans="1:47">
      <c r="A366" s="57">
        <f t="shared" si="34"/>
        <v>0</v>
      </c>
      <c r="B366" s="183" t="str">
        <f t="shared" si="36"/>
        <v/>
      </c>
      <c r="C366" s="186" t="str">
        <f>IF(OR(R366&gt;0,T366&gt;0),INDEX('M04-S02'!$BE$16:$BE$198,2*(ROWS($C$360:C366)-1)+1),"")</f>
        <v/>
      </c>
      <c r="D366" t="s">
        <v>195</v>
      </c>
      <c r="F366" s="112"/>
      <c r="G366" s="96"/>
      <c r="H366" s="186" t="str">
        <f>IF(ISNUMBER(INDEX('M04-S02'!$AN$16:$AN$198,2*(ROWS($R$360:R366)-1)+1)),"Incremental","")</f>
        <v/>
      </c>
      <c r="I366" s="184">
        <f>IFERROR(ROUND(IF(ISNUMBER(INDEX('M04-S02'!$AN$16:$AN$198,2*(ROWS($R$360:$R366)-1)+1)),INDEX('M04-S02'!$AF$16:$AF$198,2*(ROWS($I$360:$I366)-1)+1),""),2),0)</f>
        <v>0</v>
      </c>
      <c r="J366" s="184">
        <f>IFERROR(ROUND(IF(ISNUMBER(INDEX('M04-S02'!$AN$16:$AN$198,2*(ROWS($R$360:$R366)-1)+1)),INDEX('M04-S02'!$AW$16:$AW$198,2*(ROWS($J$360:$J366)-1)+1),""),2),0)</f>
        <v>0</v>
      </c>
      <c r="K366" s="52">
        <f>IFERROR(ROUND(IF(ISNUMBER(INDEX('M04-S02'!$AN$16:$AN$198,2*(ROWS($R$360:$R366)-1)+1)),INDEX('M04-S02'!$AF$16:$AF$198,2*(ROWS($K$360:$K366)-1)+1),""),2),0)</f>
        <v>0</v>
      </c>
      <c r="L366" s="52" t="str">
        <f>IF(ISNUMBER(INDEX('M04-S02'!$AN$16:$AN$198,2*(ROWS($R$360:R366)-1)+1)),ROUND(INDEX('M04-S02'!$BB$16:$BB$198,2*(ROWS($L$360:L366)-1)+1),4),"")</f>
        <v/>
      </c>
      <c r="M366" s="456" t="str">
        <f>IF(ISNUMBER(INDEX('M04-S02'!$AN$16:$AN$198,2*(ROWS($R$360:R366)-1)+1)),ROUND(INDEX('M04-S02'!$C$16:$C$198,2*(ROWS($M$360:M366)-1)+1)/1000,4),"")</f>
        <v/>
      </c>
      <c r="N366" s="184" t="str">
        <f>IF(ISNUMBER(INDEX('M04-S02'!$AN$16:$AN$198,2*(ROWS($R$360:R366)-1)+1)),INDEX('M04-S02'!$AK$16:$AK$198,2*(ROWS($N$360:N366)-1)+1),"")</f>
        <v/>
      </c>
      <c r="O366" s="456" t="str">
        <f>IF(ISNUMBER(INDEX('M04-S02'!$AN$16:$AN$198,2*(ROWS($R$360:R366)-1)+1)),INDEX('M04-S02'!$AV$16:$AV$198,2*(ROWS($O$360:O366)-1)+1),"")</f>
        <v/>
      </c>
      <c r="P366" s="113"/>
      <c r="Q366" s="113"/>
      <c r="R366" s="184">
        <f>IF(ISNUMBER(INDEX('M04-S02'!$AN$16:$AN$198,2*(ROWS($R$360:R366)-1)+1)),INDEX('M04-S02'!$AN$16:$AN$198,2*(ROWS($R$360:R366)-1)+1),0)</f>
        <v>0</v>
      </c>
      <c r="S366" s="23">
        <f>IF(NOT(ISNUMBER(INDEX('M04-S02'!$AN$16:$AN$198,2*(ROWS($R$360:R366)-1)+1))),ROUND(INDEX('M04-S02'!$C$16:$C$198,2*(ROWS($S$360:S366)-1)+1)/1000,4),"")</f>
        <v>0</v>
      </c>
      <c r="T366" s="52">
        <f>IFERROR(IF(NOT(ISNUMBER(INDEX('M04-S02'!$AN$16:$AN$198,2*(ROWS($R$360:R366)-1)+1))),INDEX('M04-S02'!$AK$16:$AK$198,2*(ROWS($R$360:R366)-1)+1),0),0)</f>
        <v>0</v>
      </c>
      <c r="U366" s="23">
        <f>IFERROR(IF(NOT(ISNUMBER(INDEX('M04-S02'!$AN$16:$AN$198,2*(ROWS($R$360:R366)-1)+1))),INDEX('M04-S02'!$AV$16:$AV$198,2*(ROWS($R$360:R366)-1)+1),0),"")</f>
        <v>0</v>
      </c>
      <c r="V366" s="113"/>
      <c r="W366">
        <f>IFERROR(IF(NOT(ISNUMBER(INDEX('M04-S02'!$AN$16:$AN$198,2*(ROWS($R$360:R366)-1)+1))),INDEX('M04-S02'!$BC$16:$BC$198,2*(ROWS($R$360:R366)-1)+1),""),"")</f>
        <v>0</v>
      </c>
      <c r="X366" s="184">
        <f>IFERROR(ROUND(INDEX('M04-S02'!$N$16:$N$198,2*(ROWS($X$360:X366)-1)+1),3),"")</f>
        <v>0</v>
      </c>
      <c r="Y366" s="184">
        <f>IFERROR(ROUND(INDEX('M04-S02'!$AA$16:$AA$198,2*(ROWS($Y$360:Y366)-1)+1),3),"")</f>
        <v>0</v>
      </c>
      <c r="Z366" s="111">
        <f>INDEX('M04-S02'!$B$16:$B$198,2*(ROWS($Z$360:Z366)-1)+1)</f>
        <v>0</v>
      </c>
      <c r="AA366" s="96"/>
      <c r="AB366" s="96"/>
      <c r="AC366">
        <f>INDEX('M04-S02'!$F$16:$F$198,2*(ROWS($AC$360:AC366)-1)+1)</f>
        <v>0</v>
      </c>
      <c r="AD366">
        <f>INDEX('M04-S02'!$S$16:$S$198,2*(ROWS($AD$360:AD366)-1)+1)</f>
        <v>0</v>
      </c>
      <c r="AE366" s="459"/>
      <c r="AF366" s="459"/>
      <c r="AG366" s="111">
        <f>IFERROR(IF(ISNUMBER((INDEX('M04-S02'!$N$16:$N$198,2*(ROWS($AG$360:AG366)-1)+1)*INDEX('M04-S02'!$Q$16:$Q$198,2*(ROWS($AG$360:AG366)-1)+1))/1000),((INDEX('M04-S02'!$N$16:$N$198,2*(ROWS($AG$360:AG366)-1)+1)*INDEX('M04-S02'!$Q$16:$Q$198,2*(ROWS($AG$360:AG366)-1)+1))/1000),""),"")</f>
        <v>0</v>
      </c>
      <c r="AH366" s="111">
        <f>IFERROR(IF(ISNUMBER((INDEX('M04-S02'!$AA$16:$AA$198,2*(ROWS($AH$360:AH366)-1)+1)*INDEX('M04-S02'!$Q$16:$Q$198,2*(ROWS($AH$360:AH366)-1)+1))/1000),((INDEX('M04-S02'!$AA$16:$AA$198,2*(ROWS($AH$360:AH366)-1)+1)*INDEX('M04-S02'!$Q$16:$Q$198,2*(ROWS($AH$360:AH366)-1)+1))/1000),""),"")</f>
        <v>0</v>
      </c>
      <c r="AI366" s="96"/>
      <c r="AJ366" s="96"/>
      <c r="AK366" s="52">
        <f>INDEX('M04-S02'!$AU$16:$AU$198,2*(ROWS($AK$360:AK366)-1)+1)</f>
        <v>0</v>
      </c>
      <c r="AL366" s="184">
        <f>IF(NOT(ISNUMBER(INDEX('M04-S02'!$AN$16:$AN$198,2*(ROWS($R$360:$R366)-1)+1))),INDEX('M04-S02'!$AD$16:$AD$198,2*(ROWS($AL$360:$AL366)-1)+1),"")</f>
        <v>0</v>
      </c>
      <c r="AM366" s="184">
        <f>IF(NOT(ISNUMBER(INDEX('M04-S02'!$AN$16:$AN$198,2*(ROWS($R$360:$R366)-1)+1))),INDEX('M04-S02'!$AF$16:$AF$198,2*(ROWS($AM$360:$AM366)-1)+1),"")</f>
        <v>0</v>
      </c>
      <c r="AN366" s="52">
        <f>IF(NOT(ISNUMBER(INDEX('M04-S02'!$AN$16:$AN$198,2*(ROWS($R$360:$R366)-1)+1))),INDEX('M04-S02'!$AH$16:$AH$198,2*(ROWS($AN$360:$AN366)-1)+1),"")</f>
        <v>0</v>
      </c>
      <c r="AO366" s="113"/>
      <c r="AU366"/>
    </row>
    <row r="367" spans="1:47">
      <c r="A367" s="57">
        <f t="shared" si="34"/>
        <v>0</v>
      </c>
      <c r="B367" s="183" t="str">
        <f t="shared" si="36"/>
        <v/>
      </c>
      <c r="C367" s="186" t="str">
        <f>IF(OR(R367&gt;0,T367&gt;0),INDEX('M04-S02'!$BE$16:$BE$198,2*(ROWS($C$360:C367)-1)+1),"")</f>
        <v/>
      </c>
      <c r="D367" t="s">
        <v>195</v>
      </c>
      <c r="F367" s="112"/>
      <c r="G367" s="96"/>
      <c r="H367" s="186" t="str">
        <f>IF(ISNUMBER(INDEX('M04-S02'!$AN$16:$AN$198,2*(ROWS($R$360:R367)-1)+1)),"Incremental","")</f>
        <v/>
      </c>
      <c r="I367" s="184">
        <f>IFERROR(ROUND(IF(ISNUMBER(INDEX('M04-S02'!$AN$16:$AN$198,2*(ROWS($R$360:$R367)-1)+1)),INDEX('M04-S02'!$AF$16:$AF$198,2*(ROWS($I$360:$I367)-1)+1),""),2),0)</f>
        <v>0</v>
      </c>
      <c r="J367" s="184">
        <f>IFERROR(ROUND(IF(ISNUMBER(INDEX('M04-S02'!$AN$16:$AN$198,2*(ROWS($R$360:$R367)-1)+1)),INDEX('M04-S02'!$AW$16:$AW$198,2*(ROWS($J$360:$J367)-1)+1),""),2),0)</f>
        <v>0</v>
      </c>
      <c r="K367" s="52">
        <f>IFERROR(ROUND(IF(ISNUMBER(INDEX('M04-S02'!$AN$16:$AN$198,2*(ROWS($R$360:$R367)-1)+1)),INDEX('M04-S02'!$AF$16:$AF$198,2*(ROWS($K$360:$K367)-1)+1),""),2),0)</f>
        <v>0</v>
      </c>
      <c r="L367" s="52" t="str">
        <f>IF(ISNUMBER(INDEX('M04-S02'!$AN$16:$AN$198,2*(ROWS($R$360:R367)-1)+1)),ROUND(INDEX('M04-S02'!$BB$16:$BB$198,2*(ROWS($L$360:L367)-1)+1),4),"")</f>
        <v/>
      </c>
      <c r="M367" s="456" t="str">
        <f>IF(ISNUMBER(INDEX('M04-S02'!$AN$16:$AN$198,2*(ROWS($R$360:R367)-1)+1)),ROUND(INDEX('M04-S02'!$C$16:$C$198,2*(ROWS($M$360:M367)-1)+1)/1000,4),"")</f>
        <v/>
      </c>
      <c r="N367" s="184" t="str">
        <f>IF(ISNUMBER(INDEX('M04-S02'!$AN$16:$AN$198,2*(ROWS($R$360:R367)-1)+1)),INDEX('M04-S02'!$AK$16:$AK$198,2*(ROWS($N$360:N367)-1)+1),"")</f>
        <v/>
      </c>
      <c r="O367" s="456" t="str">
        <f>IF(ISNUMBER(INDEX('M04-S02'!$AN$16:$AN$198,2*(ROWS($R$360:R367)-1)+1)),INDEX('M04-S02'!$AV$16:$AV$198,2*(ROWS($O$360:O367)-1)+1),"")</f>
        <v/>
      </c>
      <c r="P367" s="113"/>
      <c r="Q367" s="113"/>
      <c r="R367" s="184">
        <f>IF(ISNUMBER(INDEX('M04-S02'!$AN$16:$AN$198,2*(ROWS($R$360:R367)-1)+1)),INDEX('M04-S02'!$AN$16:$AN$198,2*(ROWS($R$360:R367)-1)+1),0)</f>
        <v>0</v>
      </c>
      <c r="S367" s="23">
        <f>IF(NOT(ISNUMBER(INDEX('M04-S02'!$AN$16:$AN$198,2*(ROWS($R$360:R367)-1)+1))),ROUND(INDEX('M04-S02'!$C$16:$C$198,2*(ROWS($S$360:S367)-1)+1)/1000,4),"")</f>
        <v>0</v>
      </c>
      <c r="T367" s="52">
        <f>IFERROR(IF(NOT(ISNUMBER(INDEX('M04-S02'!$AN$16:$AN$198,2*(ROWS($R$360:R367)-1)+1))),INDEX('M04-S02'!$AK$16:$AK$198,2*(ROWS($R$360:R367)-1)+1),0),0)</f>
        <v>0</v>
      </c>
      <c r="U367" s="23">
        <f>IFERROR(IF(NOT(ISNUMBER(INDEX('M04-S02'!$AN$16:$AN$198,2*(ROWS($R$360:R367)-1)+1))),INDEX('M04-S02'!$AV$16:$AV$198,2*(ROWS($R$360:R367)-1)+1),0),"")</f>
        <v>0</v>
      </c>
      <c r="V367" s="113"/>
      <c r="W367">
        <f>IFERROR(IF(NOT(ISNUMBER(INDEX('M04-S02'!$AN$16:$AN$198,2*(ROWS($R$360:R367)-1)+1))),INDEX('M04-S02'!$BC$16:$BC$198,2*(ROWS($R$360:R367)-1)+1),""),"")</f>
        <v>0</v>
      </c>
      <c r="X367" s="184">
        <f>IFERROR(ROUND(INDEX('M04-S02'!$N$16:$N$198,2*(ROWS($X$360:X367)-1)+1),3),"")</f>
        <v>0</v>
      </c>
      <c r="Y367" s="184">
        <f>IFERROR(ROUND(INDEX('M04-S02'!$AA$16:$AA$198,2*(ROWS($Y$360:Y367)-1)+1),3),"")</f>
        <v>0</v>
      </c>
      <c r="Z367" s="111">
        <f>INDEX('M04-S02'!$B$16:$B$198,2*(ROWS($Z$360:Z367)-1)+1)</f>
        <v>0</v>
      </c>
      <c r="AA367" s="96"/>
      <c r="AB367" s="96"/>
      <c r="AC367">
        <f>INDEX('M04-S02'!$F$16:$F$198,2*(ROWS($AC$360:AC367)-1)+1)</f>
        <v>0</v>
      </c>
      <c r="AD367">
        <f>INDEX('M04-S02'!$S$16:$S$198,2*(ROWS($AD$360:AD367)-1)+1)</f>
        <v>0</v>
      </c>
      <c r="AE367" s="459"/>
      <c r="AF367" s="459"/>
      <c r="AG367" s="111">
        <f>IFERROR(IF(ISNUMBER((INDEX('M04-S02'!$N$16:$N$198,2*(ROWS($AG$360:AG367)-1)+1)*INDEX('M04-S02'!$Q$16:$Q$198,2*(ROWS($AG$360:AG367)-1)+1))/1000),((INDEX('M04-S02'!$N$16:$N$198,2*(ROWS($AG$360:AG367)-1)+1)*INDEX('M04-S02'!$Q$16:$Q$198,2*(ROWS($AG$360:AG367)-1)+1))/1000),""),"")</f>
        <v>0</v>
      </c>
      <c r="AH367" s="111">
        <f>IFERROR(IF(ISNUMBER((INDEX('M04-S02'!$AA$16:$AA$198,2*(ROWS($AH$360:AH367)-1)+1)*INDEX('M04-S02'!$Q$16:$Q$198,2*(ROWS($AH$360:AH367)-1)+1))/1000),((INDEX('M04-S02'!$AA$16:$AA$198,2*(ROWS($AH$360:AH367)-1)+1)*INDEX('M04-S02'!$Q$16:$Q$198,2*(ROWS($AH$360:AH367)-1)+1))/1000),""),"")</f>
        <v>0</v>
      </c>
      <c r="AI367" s="96"/>
      <c r="AJ367" s="96"/>
      <c r="AK367" s="52">
        <f>INDEX('M04-S02'!$AU$16:$AU$198,2*(ROWS($AK$360:AK367)-1)+1)</f>
        <v>0</v>
      </c>
      <c r="AL367" s="184">
        <f>IF(NOT(ISNUMBER(INDEX('M04-S02'!$AN$16:$AN$198,2*(ROWS($R$360:$R367)-1)+1))),INDEX('M04-S02'!$AD$16:$AD$198,2*(ROWS($AL$360:$AL367)-1)+1),"")</f>
        <v>0</v>
      </c>
      <c r="AM367" s="184">
        <f>IF(NOT(ISNUMBER(INDEX('M04-S02'!$AN$16:$AN$198,2*(ROWS($R$360:$R367)-1)+1))),INDEX('M04-S02'!$AF$16:$AF$198,2*(ROWS($AM$360:$AM367)-1)+1),"")</f>
        <v>0</v>
      </c>
      <c r="AN367" s="52">
        <f>IF(NOT(ISNUMBER(INDEX('M04-S02'!$AN$16:$AN$198,2*(ROWS($R$360:$R367)-1)+1))),INDEX('M04-S02'!$AH$16:$AH$198,2*(ROWS($AN$360:$AN367)-1)+1),"")</f>
        <v>0</v>
      </c>
      <c r="AO367" s="113"/>
      <c r="AU367"/>
    </row>
    <row r="368" spans="1:47">
      <c r="A368" s="57">
        <f t="shared" si="34"/>
        <v>0</v>
      </c>
      <c r="B368" s="183" t="str">
        <f t="shared" si="36"/>
        <v/>
      </c>
      <c r="C368" s="186" t="str">
        <f>IF(OR(R368&gt;0,T368&gt;0),INDEX('M04-S02'!$BE$16:$BE$198,2*(ROWS($C$360:C368)-1)+1),"")</f>
        <v/>
      </c>
      <c r="D368" t="s">
        <v>195</v>
      </c>
      <c r="F368" s="112"/>
      <c r="G368" s="96"/>
      <c r="H368" s="96"/>
      <c r="I368" s="184">
        <f>IFERROR(ROUND(IF(ISNUMBER(INDEX('M04-S02'!$AN$16:$AN$198,2*(ROWS($R$360:$R368)-1)+1)),INDEX('M04-S02'!$AF$16:$AF$198,2*(ROWS($I$360:$I368)-1)+1),""),2),0)</f>
        <v>0</v>
      </c>
      <c r="J368" s="184">
        <f>IFERROR(ROUND(IF(ISNUMBER(INDEX('M04-S02'!$AN$16:$AN$198,2*(ROWS($R$360:$R368)-1)+1)),INDEX('M04-S02'!$AW$16:$AW$198,2*(ROWS($J$360:$J368)-1)+1),""),2),0)</f>
        <v>0</v>
      </c>
      <c r="K368" s="52">
        <f>IFERROR(ROUND(IF(ISNUMBER(INDEX('M04-S02'!$AN$16:$AN$198,2*(ROWS($R$360:$R368)-1)+1)),INDEX('M04-S02'!$AF$16:$AF$198,2*(ROWS($K$360:$K368)-1)+1),""),2),0)</f>
        <v>0</v>
      </c>
      <c r="L368" s="52" t="str">
        <f>IF(ISNUMBER(INDEX('M04-S02'!$AN$16:$AN$198,2*(ROWS($R$360:R368)-1)+1)),ROUND(INDEX('M04-S02'!$BB$16:$BB$198,2*(ROWS($L$360:L368)-1)+1),4),"")</f>
        <v/>
      </c>
      <c r="M368" s="456" t="str">
        <f>IF(ISNUMBER(INDEX('M04-S02'!$AN$16:$AN$198,2*(ROWS($R$360:R368)-1)+1)),ROUND(INDEX('M04-S02'!$C$16:$C$198,2*(ROWS($M$360:M368)-1)+1)/1000,4),"")</f>
        <v/>
      </c>
      <c r="N368" s="184" t="str">
        <f>IF(ISNUMBER(INDEX('M04-S02'!$AN$16:$AN$198,2*(ROWS($R$360:R368)-1)+1)),INDEX('M04-S02'!$AK$16:$AK$198,2*(ROWS($N$360:N368)-1)+1),"")</f>
        <v/>
      </c>
      <c r="O368" s="456" t="str">
        <f>IF(ISNUMBER(INDEX('M04-S02'!$AN$16:$AN$198,2*(ROWS($R$360:R368)-1)+1)),INDEX('M04-S02'!$AV$16:$AV$198,2*(ROWS($O$360:O368)-1)+1),"")</f>
        <v/>
      </c>
      <c r="P368" s="113"/>
      <c r="Q368" s="113"/>
      <c r="R368" s="184">
        <f>IF(ISNUMBER(INDEX('M04-S02'!$AN$16:$AN$198,2*(ROWS($R$360:R368)-1)+1)),INDEX('M04-S02'!$AN$16:$AN$198,2*(ROWS($R$360:R368)-1)+1),0)</f>
        <v>0</v>
      </c>
      <c r="S368" s="23">
        <f>IF(NOT(ISNUMBER(INDEX('M04-S02'!$AN$16:$AN$198,2*(ROWS($R$360:R368)-1)+1))),ROUND(INDEX('M04-S02'!$C$16:$C$198,2*(ROWS($S$360:S368)-1)+1)/1000,4),"")</f>
        <v>0</v>
      </c>
      <c r="T368" s="52">
        <f>IFERROR(IF(NOT(ISNUMBER(INDEX('M04-S02'!$AN$16:$AN$198,2*(ROWS($R$360:R368)-1)+1))),INDEX('M04-S02'!$AK$16:$AK$198,2*(ROWS($R$360:R368)-1)+1),0),0)</f>
        <v>0</v>
      </c>
      <c r="U368" s="23">
        <f>IFERROR(IF(NOT(ISNUMBER(INDEX('M04-S02'!$AN$16:$AN$198,2*(ROWS($R$360:R368)-1)+1))),INDEX('M04-S02'!$AV$16:$AV$198,2*(ROWS($R$360:R368)-1)+1),0),"")</f>
        <v>0</v>
      </c>
      <c r="V368" s="113"/>
      <c r="W368">
        <f>IFERROR(IF(NOT(ISNUMBER(INDEX('M04-S02'!$AN$16:$AN$198,2*(ROWS($R$360:R368)-1)+1))),INDEX('M04-S02'!$BC$16:$BC$198,2*(ROWS($R$360:R368)-1)+1),""),"")</f>
        <v>0</v>
      </c>
      <c r="X368" s="184">
        <f>IFERROR(ROUND(INDEX('M04-S02'!$N$16:$N$198,2*(ROWS($X$360:X368)-1)+1),3),"")</f>
        <v>0</v>
      </c>
      <c r="Y368" s="184">
        <f>IFERROR(ROUND(INDEX('M04-S02'!$AA$16:$AA$198,2*(ROWS($Y$360:Y368)-1)+1),3),"")</f>
        <v>0</v>
      </c>
      <c r="Z368" s="111">
        <f>INDEX('M04-S02'!$B$16:$B$198,2*(ROWS($Z$360:Z368)-1)+1)</f>
        <v>0</v>
      </c>
      <c r="AA368" s="96"/>
      <c r="AB368" s="96"/>
      <c r="AC368">
        <f>INDEX('M04-S02'!$F$16:$F$198,2*(ROWS($AC$360:AC368)-1)+1)</f>
        <v>0</v>
      </c>
      <c r="AD368">
        <f>INDEX('M04-S02'!$S$16:$S$198,2*(ROWS($AD$360:AD368)-1)+1)</f>
        <v>0</v>
      </c>
      <c r="AE368" s="459"/>
      <c r="AF368" s="459"/>
      <c r="AG368" s="111">
        <f>IFERROR(IF(ISNUMBER((INDEX('M04-S02'!$N$16:$N$198,2*(ROWS($AG$360:AG368)-1)+1)*INDEX('M04-S02'!$Q$16:$Q$198,2*(ROWS($AG$360:AG368)-1)+1))/1000),((INDEX('M04-S02'!$N$16:$N$198,2*(ROWS($AG$360:AG368)-1)+1)*INDEX('M04-S02'!$Q$16:$Q$198,2*(ROWS($AG$360:AG368)-1)+1))/1000),""),"")</f>
        <v>0</v>
      </c>
      <c r="AH368" s="111">
        <f>IFERROR(IF(ISNUMBER((INDEX('M04-S02'!$AA$16:$AA$198,2*(ROWS($AH$360:AH368)-1)+1)*INDEX('M04-S02'!$Q$16:$Q$198,2*(ROWS($AH$360:AH368)-1)+1))/1000),((INDEX('M04-S02'!$AA$16:$AA$198,2*(ROWS($AH$360:AH368)-1)+1)*INDEX('M04-S02'!$Q$16:$Q$198,2*(ROWS($AH$360:AH368)-1)+1))/1000),""),"")</f>
        <v>0</v>
      </c>
      <c r="AI368" s="96"/>
      <c r="AJ368" s="96"/>
      <c r="AK368" s="52">
        <f>INDEX('M04-S02'!$AU$16:$AU$198,2*(ROWS($AK$360:AK368)-1)+1)</f>
        <v>0</v>
      </c>
      <c r="AL368" s="184">
        <f>IF(NOT(ISNUMBER(INDEX('M04-S02'!$AN$16:$AN$198,2*(ROWS($R$360:$R368)-1)+1))),INDEX('M04-S02'!$AD$16:$AD$198,2*(ROWS($AL$360:$AL368)-1)+1),"")</f>
        <v>0</v>
      </c>
      <c r="AM368" s="184">
        <f>IF(NOT(ISNUMBER(INDEX('M04-S02'!$AN$16:$AN$198,2*(ROWS($R$360:$R368)-1)+1))),INDEX('M04-S02'!$AF$16:$AF$198,2*(ROWS($AM$360:$AM368)-1)+1),"")</f>
        <v>0</v>
      </c>
      <c r="AN368" s="52">
        <f>IF(NOT(ISNUMBER(INDEX('M04-S02'!$AN$16:$AN$198,2*(ROWS($R$360:$R368)-1)+1))),INDEX('M04-S02'!$AH$16:$AH$198,2*(ROWS($AN$360:$AN368)-1)+1),"")</f>
        <v>0</v>
      </c>
      <c r="AO368" s="113"/>
      <c r="AU368"/>
    </row>
    <row r="369" spans="1:47">
      <c r="A369" s="57">
        <f t="shared" si="34"/>
        <v>0</v>
      </c>
      <c r="B369" s="183" t="str">
        <f t="shared" si="36"/>
        <v/>
      </c>
      <c r="C369" s="186" t="str">
        <f>IF(OR(R369&gt;0,T369&gt;0),INDEX('M04-S02'!$BE$16:$BE$198,2*(ROWS($C$360:C369)-1)+1),"")</f>
        <v/>
      </c>
      <c r="D369" t="s">
        <v>195</v>
      </c>
      <c r="F369" s="112"/>
      <c r="G369" s="96"/>
      <c r="H369" s="96"/>
      <c r="I369" s="184">
        <f>IFERROR(ROUND(IF(ISNUMBER(INDEX('M04-S02'!$AN$16:$AN$198,2*(ROWS($R$360:$R369)-1)+1)),INDEX('M04-S02'!$AF$16:$AF$198,2*(ROWS($I$360:$I369)-1)+1),""),2),0)</f>
        <v>0</v>
      </c>
      <c r="J369" s="184">
        <f>IFERROR(ROUND(IF(ISNUMBER(INDEX('M04-S02'!$AN$16:$AN$198,2*(ROWS($R$360:$R369)-1)+1)),INDEX('M04-S02'!$AW$16:$AW$198,2*(ROWS($J$360:$J369)-1)+1),""),2),0)</f>
        <v>0</v>
      </c>
      <c r="K369" s="52">
        <f>IFERROR(ROUND(IF(ISNUMBER(INDEX('M04-S02'!$AN$16:$AN$198,2*(ROWS($R$360:$R369)-1)+1)),INDEX('M04-S02'!$AF$16:$AF$198,2*(ROWS($K$360:$K369)-1)+1),""),2),0)</f>
        <v>0</v>
      </c>
      <c r="L369" s="52" t="str">
        <f>IF(ISNUMBER(INDEX('M04-S02'!$AN$16:$AN$198,2*(ROWS($R$360:R369)-1)+1)),ROUND(INDEX('M04-S02'!$BB$16:$BB$198,2*(ROWS($L$360:L369)-1)+1),4),"")</f>
        <v/>
      </c>
      <c r="M369" s="456" t="str">
        <f>IF(ISNUMBER(INDEX('M04-S02'!$AN$16:$AN$198,2*(ROWS($R$360:R369)-1)+1)),ROUND(INDEX('M04-S02'!$C$16:$C$198,2*(ROWS($M$360:M369)-1)+1)/1000,4),"")</f>
        <v/>
      </c>
      <c r="N369" s="184" t="str">
        <f>IF(ISNUMBER(INDEX('M04-S02'!$AN$16:$AN$198,2*(ROWS($R$360:R369)-1)+1)),INDEX('M04-S02'!$AK$16:$AK$198,2*(ROWS($N$360:N369)-1)+1),"")</f>
        <v/>
      </c>
      <c r="O369" s="456" t="str">
        <f>IF(ISNUMBER(INDEX('M04-S02'!$AN$16:$AN$198,2*(ROWS($R$360:R369)-1)+1)),INDEX('M04-S02'!$AV$16:$AV$198,2*(ROWS($O$360:O369)-1)+1),"")</f>
        <v/>
      </c>
      <c r="P369" s="113"/>
      <c r="Q369" s="113"/>
      <c r="R369" s="184">
        <f>IF(ISNUMBER(INDEX('M04-S02'!$AN$16:$AN$198,2*(ROWS($R$360:R369)-1)+1)),INDEX('M04-S02'!$AN$16:$AN$198,2*(ROWS($R$360:R369)-1)+1),0)</f>
        <v>0</v>
      </c>
      <c r="S369" s="23">
        <f>IF(NOT(ISNUMBER(INDEX('M04-S02'!$AN$16:$AN$198,2*(ROWS($R$360:R369)-1)+1))),ROUND(INDEX('M04-S02'!$C$16:$C$198,2*(ROWS($S$360:S369)-1)+1)/1000,4),"")</f>
        <v>0</v>
      </c>
      <c r="T369" s="52">
        <f>IFERROR(IF(NOT(ISNUMBER(INDEX('M04-S02'!$AN$16:$AN$198,2*(ROWS($R$360:R369)-1)+1))),INDEX('M04-S02'!$AK$16:$AK$198,2*(ROWS($R$360:R369)-1)+1),0),0)</f>
        <v>0</v>
      </c>
      <c r="U369" s="23">
        <f>IFERROR(IF(NOT(ISNUMBER(INDEX('M04-S02'!$AN$16:$AN$198,2*(ROWS($R$360:R369)-1)+1))),INDEX('M04-S02'!$AV$16:$AV$198,2*(ROWS($R$360:R369)-1)+1),0),"")</f>
        <v>0</v>
      </c>
      <c r="V369" s="113"/>
      <c r="W369">
        <f>IFERROR(IF(NOT(ISNUMBER(INDEX('M04-S02'!$AN$16:$AN$198,2*(ROWS($R$360:R369)-1)+1))),INDEX('M04-S02'!$BC$16:$BC$198,2*(ROWS($R$360:R369)-1)+1),""),"")</f>
        <v>0</v>
      </c>
      <c r="X369" s="184">
        <f>IFERROR(ROUND(INDEX('M04-S02'!$N$16:$N$198,2*(ROWS($X$360:X369)-1)+1),3),"")</f>
        <v>0</v>
      </c>
      <c r="Y369" s="184">
        <f>IFERROR(ROUND(INDEX('M04-S02'!$AA$16:$AA$198,2*(ROWS($Y$360:Y369)-1)+1),3),"")</f>
        <v>0</v>
      </c>
      <c r="Z369" s="111">
        <f>INDEX('M04-S02'!$B$16:$B$198,2*(ROWS($Z$360:Z369)-1)+1)</f>
        <v>0</v>
      </c>
      <c r="AA369" s="96"/>
      <c r="AB369" s="96"/>
      <c r="AC369">
        <f>INDEX('M04-S02'!$F$16:$F$198,2*(ROWS($AC$360:AC369)-1)+1)</f>
        <v>0</v>
      </c>
      <c r="AD369">
        <f>INDEX('M04-S02'!$S$16:$S$198,2*(ROWS($AD$360:AD369)-1)+1)</f>
        <v>0</v>
      </c>
      <c r="AE369" s="459"/>
      <c r="AF369" s="459"/>
      <c r="AG369" s="111">
        <f>IFERROR(IF(ISNUMBER((INDEX('M04-S02'!$N$16:$N$198,2*(ROWS($AG$360:AG369)-1)+1)*INDEX('M04-S02'!$Q$16:$Q$198,2*(ROWS($AG$360:AG369)-1)+1))/1000),((INDEX('M04-S02'!$N$16:$N$198,2*(ROWS($AG$360:AG369)-1)+1)*INDEX('M04-S02'!$Q$16:$Q$198,2*(ROWS($AG$360:AG369)-1)+1))/1000),""),"")</f>
        <v>0</v>
      </c>
      <c r="AH369" s="111">
        <f>IFERROR(IF(ISNUMBER((INDEX('M04-S02'!$AA$16:$AA$198,2*(ROWS($AH$360:AH369)-1)+1)*INDEX('M04-S02'!$Q$16:$Q$198,2*(ROWS($AH$360:AH369)-1)+1))/1000),((INDEX('M04-S02'!$AA$16:$AA$198,2*(ROWS($AH$360:AH369)-1)+1)*INDEX('M04-S02'!$Q$16:$Q$198,2*(ROWS($AH$360:AH369)-1)+1))/1000),""),"")</f>
        <v>0</v>
      </c>
      <c r="AI369" s="96"/>
      <c r="AJ369" s="96"/>
      <c r="AK369" s="52">
        <f>INDEX('M04-S02'!$AU$16:$AU$198,2*(ROWS($AK$360:AK369)-1)+1)</f>
        <v>0</v>
      </c>
      <c r="AL369" s="184">
        <f>IF(NOT(ISNUMBER(INDEX('M04-S02'!$AN$16:$AN$198,2*(ROWS($R$360:$R369)-1)+1))),INDEX('M04-S02'!$AD$16:$AD$198,2*(ROWS($AL$360:$AL369)-1)+1),"")</f>
        <v>0</v>
      </c>
      <c r="AM369" s="184">
        <f>IF(NOT(ISNUMBER(INDEX('M04-S02'!$AN$16:$AN$198,2*(ROWS($R$360:$R369)-1)+1))),INDEX('M04-S02'!$AF$16:$AF$198,2*(ROWS($AM$360:$AM369)-1)+1),"")</f>
        <v>0</v>
      </c>
      <c r="AN369" s="52">
        <f>IF(NOT(ISNUMBER(INDEX('M04-S02'!$AN$16:$AN$198,2*(ROWS($R$360:$R369)-1)+1))),INDEX('M04-S02'!$AH$16:$AH$198,2*(ROWS($AN$360:$AN369)-1)+1),"")</f>
        <v>0</v>
      </c>
      <c r="AO369" s="113"/>
      <c r="AU369"/>
    </row>
    <row r="370" spans="1:47">
      <c r="A370" s="57">
        <f t="shared" si="34"/>
        <v>0</v>
      </c>
      <c r="B370" s="183" t="str">
        <f t="shared" si="36"/>
        <v/>
      </c>
      <c r="C370" s="186" t="str">
        <f>IF(OR(R370&gt;0,T370&gt;0),INDEX('M04-S02'!$BE$16:$BE$198,2*(ROWS($C$360:C370)-1)+1),"")</f>
        <v/>
      </c>
      <c r="D370" t="s">
        <v>195</v>
      </c>
      <c r="F370" s="112"/>
      <c r="G370" s="96"/>
      <c r="H370" s="96"/>
      <c r="I370" s="184">
        <f>IFERROR(ROUND(IF(ISNUMBER(INDEX('M04-S02'!$AN$16:$AN$198,2*(ROWS($R$360:$R370)-1)+1)),INDEX('M04-S02'!$AF$16:$AF$198,2*(ROWS($I$360:$I370)-1)+1),""),2),0)</f>
        <v>0</v>
      </c>
      <c r="J370" s="184">
        <f>IFERROR(ROUND(IF(ISNUMBER(INDEX('M04-S02'!$AN$16:$AN$198,2*(ROWS($R$360:$R370)-1)+1)),INDEX('M04-S02'!$AW$16:$AW$198,2*(ROWS($J$360:$J370)-1)+1),""),2),0)</f>
        <v>0</v>
      </c>
      <c r="K370" s="52">
        <f>IFERROR(ROUND(IF(ISNUMBER(INDEX('M04-S02'!$AN$16:$AN$198,2*(ROWS($R$360:$R370)-1)+1)),INDEX('M04-S02'!$AF$16:$AF$198,2*(ROWS($K$360:$K370)-1)+1),""),2),0)</f>
        <v>0</v>
      </c>
      <c r="L370" s="52" t="str">
        <f>IF(ISNUMBER(INDEX('M04-S02'!$AN$16:$AN$198,2*(ROWS($R$360:R370)-1)+1)),ROUND(INDEX('M04-S02'!$BB$16:$BB$198,2*(ROWS($L$360:L370)-1)+1),4),"")</f>
        <v/>
      </c>
      <c r="M370" s="456" t="str">
        <f>IF(ISNUMBER(INDEX('M04-S02'!$AN$16:$AN$198,2*(ROWS($R$360:R370)-1)+1)),ROUND(INDEX('M04-S02'!$C$16:$C$198,2*(ROWS($M$360:M370)-1)+1)/1000,4),"")</f>
        <v/>
      </c>
      <c r="N370" s="184" t="str">
        <f>IF(ISNUMBER(INDEX('M04-S02'!$AN$16:$AN$198,2*(ROWS($R$360:R370)-1)+1)),INDEX('M04-S02'!$AK$16:$AK$198,2*(ROWS($N$360:N370)-1)+1),"")</f>
        <v/>
      </c>
      <c r="O370" s="456" t="str">
        <f>IF(ISNUMBER(INDEX('M04-S02'!$AN$16:$AN$198,2*(ROWS($R$360:R370)-1)+1)),INDEX('M04-S02'!$AV$16:$AV$198,2*(ROWS($O$360:O370)-1)+1),"")</f>
        <v/>
      </c>
      <c r="P370" s="113"/>
      <c r="Q370" s="113"/>
      <c r="R370" s="184">
        <f>IF(ISNUMBER(INDEX('M04-S02'!$AN$16:$AN$198,2*(ROWS($R$360:R370)-1)+1)),INDEX('M04-S02'!$AN$16:$AN$198,2*(ROWS($R$360:R370)-1)+1),0)</f>
        <v>0</v>
      </c>
      <c r="S370" s="23">
        <f>IF(NOT(ISNUMBER(INDEX('M04-S02'!$AN$16:$AN$198,2*(ROWS($R$360:R370)-1)+1))),ROUND(INDEX('M04-S02'!$C$16:$C$198,2*(ROWS($S$360:S370)-1)+1)/1000,4),"")</f>
        <v>0</v>
      </c>
      <c r="T370" s="52">
        <f>IFERROR(IF(NOT(ISNUMBER(INDEX('M04-S02'!$AN$16:$AN$198,2*(ROWS($R$360:R370)-1)+1))),INDEX('M04-S02'!$AK$16:$AK$198,2*(ROWS($R$360:R370)-1)+1),0),0)</f>
        <v>0</v>
      </c>
      <c r="U370" s="23">
        <f>IFERROR(IF(NOT(ISNUMBER(INDEX('M04-S02'!$AN$16:$AN$198,2*(ROWS($R$360:R370)-1)+1))),INDEX('M04-S02'!$AV$16:$AV$198,2*(ROWS($R$360:R370)-1)+1),0),"")</f>
        <v>0</v>
      </c>
      <c r="V370" s="113"/>
      <c r="W370">
        <f>IFERROR(IF(NOT(ISNUMBER(INDEX('M04-S02'!$AN$16:$AN$198,2*(ROWS($R$360:R370)-1)+1))),INDEX('M04-S02'!$BC$16:$BC$198,2*(ROWS($R$360:R370)-1)+1),""),"")</f>
        <v>0</v>
      </c>
      <c r="X370" s="184">
        <f>IFERROR(ROUND(INDEX('M04-S02'!$N$16:$N$198,2*(ROWS($X$360:X370)-1)+1),3),"")</f>
        <v>0</v>
      </c>
      <c r="Y370" s="184">
        <f>IFERROR(ROUND(INDEX('M04-S02'!$AA$16:$AA$198,2*(ROWS($Y$360:Y370)-1)+1),3),"")</f>
        <v>0</v>
      </c>
      <c r="Z370" s="111">
        <f>INDEX('M04-S02'!$B$16:$B$198,2*(ROWS($Z$360:Z370)-1)+1)</f>
        <v>11</v>
      </c>
      <c r="AA370" s="96"/>
      <c r="AB370" s="96"/>
      <c r="AC370">
        <f>INDEX('M04-S02'!$F$16:$F$198,2*(ROWS($AC$360:AC370)-1)+1)</f>
        <v>0</v>
      </c>
      <c r="AD370">
        <f>INDEX('M04-S02'!$S$16:$S$198,2*(ROWS($AD$360:AD370)-1)+1)</f>
        <v>0</v>
      </c>
      <c r="AE370" s="459"/>
      <c r="AF370" s="459"/>
      <c r="AG370" s="111">
        <f>IFERROR(IF(ISNUMBER((INDEX('M04-S02'!$N$16:$N$198,2*(ROWS($AG$360:AG370)-1)+1)*INDEX('M04-S02'!$Q$16:$Q$198,2*(ROWS($AG$360:AG370)-1)+1))/1000),((INDEX('M04-S02'!$N$16:$N$198,2*(ROWS($AG$360:AG370)-1)+1)*INDEX('M04-S02'!$Q$16:$Q$198,2*(ROWS($AG$360:AG370)-1)+1))/1000),""),"")</f>
        <v>0</v>
      </c>
      <c r="AH370" s="111">
        <f>IFERROR(IF(ISNUMBER((INDEX('M04-S02'!$AA$16:$AA$198,2*(ROWS($AH$360:AH370)-1)+1)*INDEX('M04-S02'!$Q$16:$Q$198,2*(ROWS($AH$360:AH370)-1)+1))/1000),((INDEX('M04-S02'!$AA$16:$AA$198,2*(ROWS($AH$360:AH370)-1)+1)*INDEX('M04-S02'!$Q$16:$Q$198,2*(ROWS($AH$360:AH370)-1)+1))/1000),""),"")</f>
        <v>0</v>
      </c>
      <c r="AI370" s="96"/>
      <c r="AJ370" s="96"/>
      <c r="AK370" s="52">
        <f>INDEX('M04-S02'!$AU$16:$AU$198,2*(ROWS($AK$360:AK370)-1)+1)</f>
        <v>0</v>
      </c>
      <c r="AL370" s="184">
        <f>IF(NOT(ISNUMBER(INDEX('M04-S02'!$AN$16:$AN$198,2*(ROWS($R$360:$R370)-1)+1))),INDEX('M04-S02'!$AD$16:$AD$198,2*(ROWS($AL$360:$AL370)-1)+1),"")</f>
        <v>0</v>
      </c>
      <c r="AM370" s="184">
        <f>IF(NOT(ISNUMBER(INDEX('M04-S02'!$AN$16:$AN$198,2*(ROWS($R$360:$R370)-1)+1))),INDEX('M04-S02'!$AF$16:$AF$198,2*(ROWS($AM$360:$AM370)-1)+1),"")</f>
        <v>0</v>
      </c>
      <c r="AN370" s="52">
        <f>IF(NOT(ISNUMBER(INDEX('M04-S02'!$AN$16:$AN$198,2*(ROWS($R$360:$R370)-1)+1))),INDEX('M04-S02'!$AH$16:$AH$198,2*(ROWS($AN$360:$AN370)-1)+1),"")</f>
        <v>0</v>
      </c>
      <c r="AO370" s="113"/>
      <c r="AU370"/>
    </row>
    <row r="371" spans="1:47">
      <c r="A371" s="57">
        <f t="shared" si="34"/>
        <v>0</v>
      </c>
      <c r="B371" s="183" t="str">
        <f t="shared" si="36"/>
        <v/>
      </c>
      <c r="C371" s="186" t="str">
        <f>IF(OR(R371&gt;0,T371&gt;0),INDEX('M04-S02'!$BE$16:$BE$198,2*(ROWS($C$360:C371)-1)+1),"")</f>
        <v/>
      </c>
      <c r="D371" t="s">
        <v>195</v>
      </c>
      <c r="F371" s="112"/>
      <c r="G371" s="96"/>
      <c r="H371" s="96"/>
      <c r="I371" s="184">
        <f>IFERROR(ROUND(IF(ISNUMBER(INDEX('M04-S02'!$AN$16:$AN$198,2*(ROWS($R$360:$R371)-1)+1)),INDEX('M04-S02'!$AF$16:$AF$198,2*(ROWS($I$360:$I371)-1)+1),""),2),0)</f>
        <v>0</v>
      </c>
      <c r="J371" s="184">
        <f>IFERROR(ROUND(IF(ISNUMBER(INDEX('M04-S02'!$AN$16:$AN$198,2*(ROWS($R$360:$R371)-1)+1)),INDEX('M04-S02'!$AW$16:$AW$198,2*(ROWS($J$360:$J371)-1)+1),""),2),0)</f>
        <v>0</v>
      </c>
      <c r="K371" s="52">
        <f>IFERROR(ROUND(IF(ISNUMBER(INDEX('M04-S02'!$AN$16:$AN$198,2*(ROWS($R$360:$R371)-1)+1)),INDEX('M04-S02'!$AF$16:$AF$198,2*(ROWS($K$360:$K371)-1)+1),""),2),0)</f>
        <v>0</v>
      </c>
      <c r="L371" s="52" t="str">
        <f>IF(ISNUMBER(INDEX('M04-S02'!$AN$16:$AN$198,2*(ROWS($R$360:R371)-1)+1)),ROUND(INDEX('M04-S02'!$BB$16:$BB$198,2*(ROWS($L$360:L371)-1)+1),4),"")</f>
        <v/>
      </c>
      <c r="M371" s="456" t="str">
        <f>IF(ISNUMBER(INDEX('M04-S02'!$AN$16:$AN$198,2*(ROWS($R$360:R371)-1)+1)),ROUND(INDEX('M04-S02'!$C$16:$C$198,2*(ROWS($M$360:M371)-1)+1)/1000,4),"")</f>
        <v/>
      </c>
      <c r="N371" s="184" t="str">
        <f>IF(ISNUMBER(INDEX('M04-S02'!$AN$16:$AN$198,2*(ROWS($R$360:R371)-1)+1)),INDEX('M04-S02'!$AK$16:$AK$198,2*(ROWS($N$360:N371)-1)+1),"")</f>
        <v/>
      </c>
      <c r="O371" s="456" t="str">
        <f>IF(ISNUMBER(INDEX('M04-S02'!$AN$16:$AN$198,2*(ROWS($R$360:R371)-1)+1)),INDEX('M04-S02'!$AV$16:$AV$198,2*(ROWS($O$360:O371)-1)+1),"")</f>
        <v/>
      </c>
      <c r="P371" s="113"/>
      <c r="Q371" s="113"/>
      <c r="R371" s="184">
        <f>IF(ISNUMBER(INDEX('M04-S02'!$AN$16:$AN$198,2*(ROWS($R$360:R371)-1)+1)),INDEX('M04-S02'!$AN$16:$AN$198,2*(ROWS($R$360:R371)-1)+1),0)</f>
        <v>0</v>
      </c>
      <c r="S371" s="23">
        <f>IF(NOT(ISNUMBER(INDEX('M04-S02'!$AN$16:$AN$198,2*(ROWS($R$360:R371)-1)+1))),ROUND(INDEX('M04-S02'!$C$16:$C$198,2*(ROWS($S$360:S371)-1)+1)/1000,4),"")</f>
        <v>0</v>
      </c>
      <c r="T371" s="52">
        <f>IFERROR(IF(NOT(ISNUMBER(INDEX('M04-S02'!$AN$16:$AN$198,2*(ROWS($R$360:R371)-1)+1))),INDEX('M04-S02'!$AK$16:$AK$198,2*(ROWS($R$360:R371)-1)+1),0),0)</f>
        <v>0</v>
      </c>
      <c r="U371" s="23">
        <f>IFERROR(IF(NOT(ISNUMBER(INDEX('M04-S02'!$AN$16:$AN$198,2*(ROWS($R$360:R371)-1)+1))),INDEX('M04-S02'!$AV$16:$AV$198,2*(ROWS($R$360:R371)-1)+1),0),"")</f>
        <v>0</v>
      </c>
      <c r="V371" s="113"/>
      <c r="W371">
        <f>IFERROR(IF(NOT(ISNUMBER(INDEX('M04-S02'!$AN$16:$AN$198,2*(ROWS($R$360:R371)-1)+1))),INDEX('M04-S02'!$BC$16:$BC$198,2*(ROWS($R$360:R371)-1)+1),""),"")</f>
        <v>0</v>
      </c>
      <c r="X371" s="184">
        <f>IFERROR(ROUND(INDEX('M04-S02'!$N$16:$N$198,2*(ROWS($X$360:X371)-1)+1),3),"")</f>
        <v>0</v>
      </c>
      <c r="Y371" s="184">
        <f>IFERROR(ROUND(INDEX('M04-S02'!$AA$16:$AA$198,2*(ROWS($Y$360:Y371)-1)+1),3),"")</f>
        <v>0</v>
      </c>
      <c r="Z371" s="111">
        <f>INDEX('M04-S02'!$B$16:$B$198,2*(ROWS($Z$360:Z371)-1)+1)</f>
        <v>12</v>
      </c>
      <c r="AA371" s="96"/>
      <c r="AB371" s="96"/>
      <c r="AC371">
        <f>INDEX('M04-S02'!$F$16:$F$198,2*(ROWS($AC$360:AC371)-1)+1)</f>
        <v>0</v>
      </c>
      <c r="AD371">
        <f>INDEX('M04-S02'!$S$16:$S$198,2*(ROWS($AD$360:AD371)-1)+1)</f>
        <v>0</v>
      </c>
      <c r="AE371" s="459"/>
      <c r="AF371" s="459"/>
      <c r="AG371" s="111">
        <f>IFERROR(IF(ISNUMBER((INDEX('M04-S02'!$N$16:$N$198,2*(ROWS($AG$360:AG371)-1)+1)*INDEX('M04-S02'!$Q$16:$Q$198,2*(ROWS($AG$360:AG371)-1)+1))/1000),((INDEX('M04-S02'!$N$16:$N$198,2*(ROWS($AG$360:AG371)-1)+1)*INDEX('M04-S02'!$Q$16:$Q$198,2*(ROWS($AG$360:AG371)-1)+1))/1000),""),"")</f>
        <v>0</v>
      </c>
      <c r="AH371" s="111">
        <f>IFERROR(IF(ISNUMBER((INDEX('M04-S02'!$AA$16:$AA$198,2*(ROWS($AH$360:AH371)-1)+1)*INDEX('M04-S02'!$Q$16:$Q$198,2*(ROWS($AH$360:AH371)-1)+1))/1000),((INDEX('M04-S02'!$AA$16:$AA$198,2*(ROWS($AH$360:AH371)-1)+1)*INDEX('M04-S02'!$Q$16:$Q$198,2*(ROWS($AH$360:AH371)-1)+1))/1000),""),"")</f>
        <v>0</v>
      </c>
      <c r="AI371" s="96"/>
      <c r="AJ371" s="96"/>
      <c r="AK371" s="52">
        <f>INDEX('M04-S02'!$AU$16:$AU$198,2*(ROWS($AK$360:AK371)-1)+1)</f>
        <v>0</v>
      </c>
      <c r="AL371" s="184">
        <f>IF(NOT(ISNUMBER(INDEX('M04-S02'!$AN$16:$AN$198,2*(ROWS($R$360:$R371)-1)+1))),INDEX('M04-S02'!$AD$16:$AD$198,2*(ROWS($AL$360:$AL371)-1)+1),"")</f>
        <v>0</v>
      </c>
      <c r="AM371" s="184">
        <f>IF(NOT(ISNUMBER(INDEX('M04-S02'!$AN$16:$AN$198,2*(ROWS($R$360:$R371)-1)+1))),INDEX('M04-S02'!$AF$16:$AF$198,2*(ROWS($AM$360:$AM371)-1)+1),"")</f>
        <v>0</v>
      </c>
      <c r="AN371" s="52">
        <f>IF(NOT(ISNUMBER(INDEX('M04-S02'!$AN$16:$AN$198,2*(ROWS($R$360:$R371)-1)+1))),INDEX('M04-S02'!$AH$16:$AH$198,2*(ROWS($AN$360:$AN371)-1)+1),"")</f>
        <v>0</v>
      </c>
      <c r="AO371" s="113"/>
      <c r="AU371"/>
    </row>
    <row r="372" spans="1:47">
      <c r="A372" s="57">
        <f t="shared" si="34"/>
        <v>0</v>
      </c>
      <c r="B372" s="183" t="str">
        <f t="shared" si="36"/>
        <v/>
      </c>
      <c r="C372" s="186" t="str">
        <f>IF(OR(R372&gt;0,T372&gt;0),INDEX('M04-S02'!$BE$16:$BE$198,2*(ROWS($C$360:C372)-1)+1),"")</f>
        <v/>
      </c>
      <c r="D372" t="s">
        <v>195</v>
      </c>
      <c r="F372" s="112"/>
      <c r="G372" s="96"/>
      <c r="H372" s="96"/>
      <c r="I372" s="184">
        <f>IFERROR(ROUND(IF(ISNUMBER(INDEX('M04-S02'!$AN$16:$AN$198,2*(ROWS($R$360:$R372)-1)+1)),INDEX('M04-S02'!$AF$16:$AF$198,2*(ROWS($I$360:$I372)-1)+1),""),2),0)</f>
        <v>0</v>
      </c>
      <c r="J372" s="184">
        <f>IFERROR(ROUND(IF(ISNUMBER(INDEX('M04-S02'!$AN$16:$AN$198,2*(ROWS($R$360:$R372)-1)+1)),INDEX('M04-S02'!$AW$16:$AW$198,2*(ROWS($J$360:$J372)-1)+1),""),2),0)</f>
        <v>0</v>
      </c>
      <c r="K372" s="52">
        <f>IFERROR(ROUND(IF(ISNUMBER(INDEX('M04-S02'!$AN$16:$AN$198,2*(ROWS($R$360:$R372)-1)+1)),INDEX('M04-S02'!$AF$16:$AF$198,2*(ROWS($K$360:$K372)-1)+1),""),2),0)</f>
        <v>0</v>
      </c>
      <c r="L372" s="52" t="str">
        <f>IF(ISNUMBER(INDEX('M04-S02'!$AN$16:$AN$198,2*(ROWS($R$360:R372)-1)+1)),ROUND(INDEX('M04-S02'!$BB$16:$BB$198,2*(ROWS($L$360:L372)-1)+1),4),"")</f>
        <v/>
      </c>
      <c r="M372" s="456" t="str">
        <f>IF(ISNUMBER(INDEX('M04-S02'!$AN$16:$AN$198,2*(ROWS($R$360:R372)-1)+1)),ROUND(INDEX('M04-S02'!$C$16:$C$198,2*(ROWS($M$360:M372)-1)+1)/1000,4),"")</f>
        <v/>
      </c>
      <c r="N372" s="184" t="str">
        <f>IF(ISNUMBER(INDEX('M04-S02'!$AN$16:$AN$198,2*(ROWS($R$360:R372)-1)+1)),INDEX('M04-S02'!$AK$16:$AK$198,2*(ROWS($N$360:N372)-1)+1),"")</f>
        <v/>
      </c>
      <c r="O372" s="456" t="str">
        <f>IF(ISNUMBER(INDEX('M04-S02'!$AN$16:$AN$198,2*(ROWS($R$360:R372)-1)+1)),INDEX('M04-S02'!$AV$16:$AV$198,2*(ROWS($O$360:O372)-1)+1),"")</f>
        <v/>
      </c>
      <c r="P372" s="113"/>
      <c r="Q372" s="113"/>
      <c r="R372" s="184">
        <f>IF(ISNUMBER(INDEX('M04-S02'!$AN$16:$AN$198,2*(ROWS($R$360:R372)-1)+1)),INDEX('M04-S02'!$AN$16:$AN$198,2*(ROWS($R$360:R372)-1)+1),0)</f>
        <v>0</v>
      </c>
      <c r="S372" s="23">
        <f>IF(NOT(ISNUMBER(INDEX('M04-S02'!$AN$16:$AN$198,2*(ROWS($R$360:R372)-1)+1))),ROUND(INDEX('M04-S02'!$C$16:$C$198,2*(ROWS($S$360:S372)-1)+1)/1000,4),"")</f>
        <v>0</v>
      </c>
      <c r="T372" s="52">
        <f>IFERROR(IF(NOT(ISNUMBER(INDEX('M04-S02'!$AN$16:$AN$198,2*(ROWS($R$360:R372)-1)+1))),INDEX('M04-S02'!$AK$16:$AK$198,2*(ROWS($R$360:R372)-1)+1),0),0)</f>
        <v>0</v>
      </c>
      <c r="U372" s="23">
        <f>IFERROR(IF(NOT(ISNUMBER(INDEX('M04-S02'!$AN$16:$AN$198,2*(ROWS($R$360:R372)-1)+1))),INDEX('M04-S02'!$AV$16:$AV$198,2*(ROWS($R$360:R372)-1)+1),0),"")</f>
        <v>0</v>
      </c>
      <c r="V372" s="113"/>
      <c r="W372">
        <f>IFERROR(IF(NOT(ISNUMBER(INDEX('M04-S02'!$AN$16:$AN$198,2*(ROWS($R$360:R372)-1)+1))),INDEX('M04-S02'!$BC$16:$BC$198,2*(ROWS($R$360:R372)-1)+1),""),"")</f>
        <v>0</v>
      </c>
      <c r="X372" s="184">
        <f>IFERROR(ROUND(INDEX('M04-S02'!$N$16:$N$198,2*(ROWS($X$360:X372)-1)+1),3),"")</f>
        <v>0</v>
      </c>
      <c r="Y372" s="184">
        <f>IFERROR(ROUND(INDEX('M04-S02'!$AA$16:$AA$198,2*(ROWS($Y$360:Y372)-1)+1),3),"")</f>
        <v>0</v>
      </c>
      <c r="Z372" s="111">
        <f>INDEX('M04-S02'!$B$16:$B$198,2*(ROWS($Z$360:Z372)-1)+1)</f>
        <v>13</v>
      </c>
      <c r="AA372" s="96"/>
      <c r="AB372" s="96"/>
      <c r="AC372">
        <f>INDEX('M04-S02'!$F$16:$F$198,2*(ROWS($AC$360:AC372)-1)+1)</f>
        <v>0</v>
      </c>
      <c r="AD372">
        <f>INDEX('M04-S02'!$S$16:$S$198,2*(ROWS($AD$360:AD372)-1)+1)</f>
        <v>0</v>
      </c>
      <c r="AE372" s="459"/>
      <c r="AF372" s="459"/>
      <c r="AG372" s="111">
        <f>IFERROR(IF(ISNUMBER((INDEX('M04-S02'!$N$16:$N$198,2*(ROWS($AG$360:AG372)-1)+1)*INDEX('M04-S02'!$Q$16:$Q$198,2*(ROWS($AG$360:AG372)-1)+1))/1000),((INDEX('M04-S02'!$N$16:$N$198,2*(ROWS($AG$360:AG372)-1)+1)*INDEX('M04-S02'!$Q$16:$Q$198,2*(ROWS($AG$360:AG372)-1)+1))/1000),""),"")</f>
        <v>0</v>
      </c>
      <c r="AH372" s="111">
        <f>IFERROR(IF(ISNUMBER((INDEX('M04-S02'!$AA$16:$AA$198,2*(ROWS($AH$360:AH372)-1)+1)*INDEX('M04-S02'!$Q$16:$Q$198,2*(ROWS($AH$360:AH372)-1)+1))/1000),((INDEX('M04-S02'!$AA$16:$AA$198,2*(ROWS($AH$360:AH372)-1)+1)*INDEX('M04-S02'!$Q$16:$Q$198,2*(ROWS($AH$360:AH372)-1)+1))/1000),""),"")</f>
        <v>0</v>
      </c>
      <c r="AI372" s="96"/>
      <c r="AJ372" s="96"/>
      <c r="AK372" s="52">
        <f>INDEX('M04-S02'!$AU$16:$AU$198,2*(ROWS($AK$360:AK372)-1)+1)</f>
        <v>0</v>
      </c>
      <c r="AL372" s="184">
        <f>IF(NOT(ISNUMBER(INDEX('M04-S02'!$AN$16:$AN$198,2*(ROWS($R$360:$R372)-1)+1))),INDEX('M04-S02'!$AD$16:$AD$198,2*(ROWS($AL$360:$AL372)-1)+1),"")</f>
        <v>0</v>
      </c>
      <c r="AM372" s="184">
        <f>IF(NOT(ISNUMBER(INDEX('M04-S02'!$AN$16:$AN$198,2*(ROWS($R$360:$R372)-1)+1))),INDEX('M04-S02'!$AF$16:$AF$198,2*(ROWS($AM$360:$AM372)-1)+1),"")</f>
        <v>0</v>
      </c>
      <c r="AN372" s="52">
        <f>IF(NOT(ISNUMBER(INDEX('M04-S02'!$AN$16:$AN$198,2*(ROWS($R$360:$R372)-1)+1))),INDEX('M04-S02'!$AH$16:$AH$198,2*(ROWS($AN$360:$AN372)-1)+1),"")</f>
        <v>0</v>
      </c>
      <c r="AO372" s="113"/>
      <c r="AU372"/>
    </row>
    <row r="373" spans="1:47">
      <c r="A373" s="57">
        <f t="shared" si="34"/>
        <v>0</v>
      </c>
      <c r="B373" s="183" t="str">
        <f t="shared" si="36"/>
        <v/>
      </c>
      <c r="C373" s="186" t="str">
        <f>IF(OR(R373&gt;0,T373&gt;0),INDEX('M04-S02'!$BE$16:$BE$198,2*(ROWS($C$360:C373)-1)+1),"")</f>
        <v/>
      </c>
      <c r="D373" t="s">
        <v>195</v>
      </c>
      <c r="F373" s="112"/>
      <c r="G373" s="96"/>
      <c r="H373" s="96"/>
      <c r="I373" s="184">
        <f>IFERROR(ROUND(IF(ISNUMBER(INDEX('M04-S02'!$AN$16:$AN$198,2*(ROWS($R$360:$R373)-1)+1)),INDEX('M04-S02'!$AF$16:$AF$198,2*(ROWS($I$360:$I373)-1)+1),""),2),0)</f>
        <v>0</v>
      </c>
      <c r="J373" s="184">
        <f>IFERROR(ROUND(IF(ISNUMBER(INDEX('M04-S02'!$AN$16:$AN$198,2*(ROWS($R$360:$R373)-1)+1)),INDEX('M04-S02'!$AW$16:$AW$198,2*(ROWS($J$360:$J373)-1)+1),""),2),0)</f>
        <v>0</v>
      </c>
      <c r="K373" s="52">
        <f>IFERROR(ROUND(IF(ISNUMBER(INDEX('M04-S02'!$AN$16:$AN$198,2*(ROWS($R$360:$R373)-1)+1)),INDEX('M04-S02'!$AF$16:$AF$198,2*(ROWS($K$360:$K373)-1)+1),""),2),0)</f>
        <v>0</v>
      </c>
      <c r="L373" s="52" t="str">
        <f>IF(ISNUMBER(INDEX('M04-S02'!$AN$16:$AN$198,2*(ROWS($R$360:R373)-1)+1)),ROUND(INDEX('M04-S02'!$BB$16:$BB$198,2*(ROWS($L$360:L373)-1)+1),4),"")</f>
        <v/>
      </c>
      <c r="M373" s="456" t="str">
        <f>IF(ISNUMBER(INDEX('M04-S02'!$AN$16:$AN$198,2*(ROWS($R$360:R373)-1)+1)),ROUND(INDEX('M04-S02'!$C$16:$C$198,2*(ROWS($M$360:M373)-1)+1)/1000,4),"")</f>
        <v/>
      </c>
      <c r="N373" s="184" t="str">
        <f>IF(ISNUMBER(INDEX('M04-S02'!$AN$16:$AN$198,2*(ROWS($R$360:R373)-1)+1)),INDEX('M04-S02'!$AK$16:$AK$198,2*(ROWS($N$360:N373)-1)+1),"")</f>
        <v/>
      </c>
      <c r="O373" s="456" t="str">
        <f>IF(ISNUMBER(INDEX('M04-S02'!$AN$16:$AN$198,2*(ROWS($R$360:R373)-1)+1)),INDEX('M04-S02'!$AV$16:$AV$198,2*(ROWS($O$360:O373)-1)+1),"")</f>
        <v/>
      </c>
      <c r="P373" s="113"/>
      <c r="Q373" s="113"/>
      <c r="R373" s="184">
        <f>IF(ISNUMBER(INDEX('M04-S02'!$AN$16:$AN$198,2*(ROWS($R$360:R373)-1)+1)),INDEX('M04-S02'!$AN$16:$AN$198,2*(ROWS($R$360:R373)-1)+1),0)</f>
        <v>0</v>
      </c>
      <c r="S373" s="23">
        <f>IF(NOT(ISNUMBER(INDEX('M04-S02'!$AN$16:$AN$198,2*(ROWS($R$360:R373)-1)+1))),ROUND(INDEX('M04-S02'!$C$16:$C$198,2*(ROWS($S$360:S373)-1)+1)/1000,4),"")</f>
        <v>0</v>
      </c>
      <c r="T373" s="52">
        <f>IFERROR(IF(NOT(ISNUMBER(INDEX('M04-S02'!$AN$16:$AN$198,2*(ROWS($R$360:R373)-1)+1))),INDEX('M04-S02'!$AK$16:$AK$198,2*(ROWS($R$360:R373)-1)+1),0),0)</f>
        <v>0</v>
      </c>
      <c r="U373" s="23">
        <f>IFERROR(IF(NOT(ISNUMBER(INDEX('M04-S02'!$AN$16:$AN$198,2*(ROWS($R$360:R373)-1)+1))),INDEX('M04-S02'!$AV$16:$AV$198,2*(ROWS($R$360:R373)-1)+1),0),"")</f>
        <v>0</v>
      </c>
      <c r="V373" s="113"/>
      <c r="W373">
        <f>IFERROR(IF(NOT(ISNUMBER(INDEX('M04-S02'!$AN$16:$AN$198,2*(ROWS($R$360:R373)-1)+1))),INDEX('M04-S02'!$BC$16:$BC$198,2*(ROWS($R$360:R373)-1)+1),""),"")</f>
        <v>0</v>
      </c>
      <c r="X373" s="184">
        <f>IFERROR(ROUND(INDEX('M04-S02'!$N$16:$N$198,2*(ROWS($X$360:X373)-1)+1),3),"")</f>
        <v>0</v>
      </c>
      <c r="Y373" s="184">
        <f>IFERROR(ROUND(INDEX('M04-S02'!$AA$16:$AA$198,2*(ROWS($Y$360:Y373)-1)+1),3),"")</f>
        <v>0</v>
      </c>
      <c r="Z373" s="111">
        <f>INDEX('M04-S02'!$B$16:$B$198,2*(ROWS($Z$360:Z373)-1)+1)</f>
        <v>14</v>
      </c>
      <c r="AA373" s="96"/>
      <c r="AB373" s="96"/>
      <c r="AC373">
        <f>INDEX('M04-S02'!$F$16:$F$198,2*(ROWS($AC$360:AC373)-1)+1)</f>
        <v>0</v>
      </c>
      <c r="AD373">
        <f>INDEX('M04-S02'!$S$16:$S$198,2*(ROWS($AD$360:AD373)-1)+1)</f>
        <v>0</v>
      </c>
      <c r="AE373" s="459"/>
      <c r="AF373" s="459"/>
      <c r="AG373" s="111">
        <f>IFERROR(IF(ISNUMBER((INDEX('M04-S02'!$N$16:$N$198,2*(ROWS($AG$360:AG373)-1)+1)*INDEX('M04-S02'!$Q$16:$Q$198,2*(ROWS($AG$360:AG373)-1)+1))/1000),((INDEX('M04-S02'!$N$16:$N$198,2*(ROWS($AG$360:AG373)-1)+1)*INDEX('M04-S02'!$Q$16:$Q$198,2*(ROWS($AG$360:AG373)-1)+1))/1000),""),"")</f>
        <v>0</v>
      </c>
      <c r="AH373" s="111">
        <f>IFERROR(IF(ISNUMBER((INDEX('M04-S02'!$AA$16:$AA$198,2*(ROWS($AH$360:AH373)-1)+1)*INDEX('M04-S02'!$Q$16:$Q$198,2*(ROWS($AH$360:AH373)-1)+1))/1000),((INDEX('M04-S02'!$AA$16:$AA$198,2*(ROWS($AH$360:AH373)-1)+1)*INDEX('M04-S02'!$Q$16:$Q$198,2*(ROWS($AH$360:AH373)-1)+1))/1000),""),"")</f>
        <v>0</v>
      </c>
      <c r="AI373" s="96"/>
      <c r="AJ373" s="96"/>
      <c r="AK373" s="52">
        <f>INDEX('M04-S02'!$AU$16:$AU$198,2*(ROWS($AK$360:AK373)-1)+1)</f>
        <v>0</v>
      </c>
      <c r="AL373" s="184">
        <f>IF(NOT(ISNUMBER(INDEX('M04-S02'!$AN$16:$AN$198,2*(ROWS($R$360:$R373)-1)+1))),INDEX('M04-S02'!$AD$16:$AD$198,2*(ROWS($AL$360:$AL373)-1)+1),"")</f>
        <v>0</v>
      </c>
      <c r="AM373" s="184">
        <f>IF(NOT(ISNUMBER(INDEX('M04-S02'!$AN$16:$AN$198,2*(ROWS($R$360:$R373)-1)+1))),INDEX('M04-S02'!$AF$16:$AF$198,2*(ROWS($AM$360:$AM373)-1)+1),"")</f>
        <v>0</v>
      </c>
      <c r="AN373" s="52">
        <f>IF(NOT(ISNUMBER(INDEX('M04-S02'!$AN$16:$AN$198,2*(ROWS($R$360:$R373)-1)+1))),INDEX('M04-S02'!$AH$16:$AH$198,2*(ROWS($AN$360:$AN373)-1)+1),"")</f>
        <v>0</v>
      </c>
      <c r="AO373" s="113"/>
      <c r="AU373"/>
    </row>
    <row r="374" spans="1:47">
      <c r="A374" s="57">
        <f t="shared" si="34"/>
        <v>0</v>
      </c>
      <c r="B374" s="183" t="str">
        <f t="shared" si="36"/>
        <v/>
      </c>
      <c r="C374" s="186" t="str">
        <f>IF(OR(R374&gt;0,T374&gt;0),INDEX('M04-S02'!$BE$16:$BE$198,2*(ROWS($C$360:C374)-1)+1),"")</f>
        <v/>
      </c>
      <c r="D374" t="s">
        <v>195</v>
      </c>
      <c r="F374" s="112"/>
      <c r="G374" s="96"/>
      <c r="H374" s="96"/>
      <c r="I374" s="184">
        <f>IFERROR(ROUND(IF(ISNUMBER(INDEX('M04-S02'!$AN$16:$AN$198,2*(ROWS($R$360:$R374)-1)+1)),INDEX('M04-S02'!$AF$16:$AF$198,2*(ROWS($I$360:$I374)-1)+1),""),2),0)</f>
        <v>0</v>
      </c>
      <c r="J374" s="184">
        <f>IFERROR(ROUND(IF(ISNUMBER(INDEX('M04-S02'!$AN$16:$AN$198,2*(ROWS($R$360:$R374)-1)+1)),INDEX('M04-S02'!$AW$16:$AW$198,2*(ROWS($J$360:$J374)-1)+1),""),2),0)</f>
        <v>0</v>
      </c>
      <c r="K374" s="52">
        <f>IFERROR(ROUND(IF(ISNUMBER(INDEX('M04-S02'!$AN$16:$AN$198,2*(ROWS($R$360:$R374)-1)+1)),INDEX('M04-S02'!$AF$16:$AF$198,2*(ROWS($K$360:$K374)-1)+1),""),2),0)</f>
        <v>0</v>
      </c>
      <c r="L374" s="52" t="str">
        <f>IF(ISNUMBER(INDEX('M04-S02'!$AN$16:$AN$198,2*(ROWS($R$360:R374)-1)+1)),ROUND(INDEX('M04-S02'!$BB$16:$BB$198,2*(ROWS($L$360:L374)-1)+1),4),"")</f>
        <v/>
      </c>
      <c r="M374" s="456" t="str">
        <f>IF(ISNUMBER(INDEX('M04-S02'!$AN$16:$AN$198,2*(ROWS($R$360:R374)-1)+1)),ROUND(INDEX('M04-S02'!$C$16:$C$198,2*(ROWS($M$360:M374)-1)+1)/1000,4),"")</f>
        <v/>
      </c>
      <c r="N374" s="184" t="str">
        <f>IF(ISNUMBER(INDEX('M04-S02'!$AN$16:$AN$198,2*(ROWS($R$360:R374)-1)+1)),INDEX('M04-S02'!$AK$16:$AK$198,2*(ROWS($N$360:N374)-1)+1),"")</f>
        <v/>
      </c>
      <c r="O374" s="456" t="str">
        <f>IF(ISNUMBER(INDEX('M04-S02'!$AN$16:$AN$198,2*(ROWS($R$360:R374)-1)+1)),INDEX('M04-S02'!$AV$16:$AV$198,2*(ROWS($O$360:O374)-1)+1),"")</f>
        <v/>
      </c>
      <c r="P374" s="113"/>
      <c r="Q374" s="113"/>
      <c r="R374" s="184">
        <f>IF(ISNUMBER(INDEX('M04-S02'!$AN$16:$AN$198,2*(ROWS($R$360:R374)-1)+1)),INDEX('M04-S02'!$AN$16:$AN$198,2*(ROWS($R$360:R374)-1)+1),0)</f>
        <v>0</v>
      </c>
      <c r="S374" s="23">
        <f>IF(NOT(ISNUMBER(INDEX('M04-S02'!$AN$16:$AN$198,2*(ROWS($R$360:R374)-1)+1))),ROUND(INDEX('M04-S02'!$C$16:$C$198,2*(ROWS($S$360:S374)-1)+1)/1000,4),"")</f>
        <v>0</v>
      </c>
      <c r="T374" s="52">
        <f>IFERROR(IF(NOT(ISNUMBER(INDEX('M04-S02'!$AN$16:$AN$198,2*(ROWS($R$360:R374)-1)+1))),INDEX('M04-S02'!$AK$16:$AK$198,2*(ROWS($R$360:R374)-1)+1),0),0)</f>
        <v>0</v>
      </c>
      <c r="U374" s="23">
        <f>IFERROR(IF(NOT(ISNUMBER(INDEX('M04-S02'!$AN$16:$AN$198,2*(ROWS($R$360:R374)-1)+1))),INDEX('M04-S02'!$AV$16:$AV$198,2*(ROWS($R$360:R374)-1)+1),0),"")</f>
        <v>0</v>
      </c>
      <c r="V374" s="113"/>
      <c r="W374">
        <f>IFERROR(IF(NOT(ISNUMBER(INDEX('M04-S02'!$AN$16:$AN$198,2*(ROWS($R$360:R374)-1)+1))),INDEX('M04-S02'!$BC$16:$BC$198,2*(ROWS($R$360:R374)-1)+1),""),"")</f>
        <v>0</v>
      </c>
      <c r="X374" s="184">
        <f>IFERROR(ROUND(INDEX('M04-S02'!$N$16:$N$198,2*(ROWS($X$360:X374)-1)+1),3),"")</f>
        <v>0</v>
      </c>
      <c r="Y374" s="184">
        <f>IFERROR(ROUND(INDEX('M04-S02'!$AA$16:$AA$198,2*(ROWS($Y$360:Y374)-1)+1),3),"")</f>
        <v>0</v>
      </c>
      <c r="Z374" s="111">
        <f>INDEX('M04-S02'!$B$16:$B$198,2*(ROWS($Z$360:Z374)-1)+1)</f>
        <v>15</v>
      </c>
      <c r="AA374" s="96"/>
      <c r="AB374" s="96"/>
      <c r="AC374">
        <f>INDEX('M04-S02'!$F$16:$F$198,2*(ROWS($AC$360:AC374)-1)+1)</f>
        <v>0</v>
      </c>
      <c r="AD374">
        <f>INDEX('M04-S02'!$S$16:$S$198,2*(ROWS($AD$360:AD374)-1)+1)</f>
        <v>0</v>
      </c>
      <c r="AE374" s="459"/>
      <c r="AF374" s="459"/>
      <c r="AG374" s="111">
        <f>IFERROR(IF(ISNUMBER((INDEX('M04-S02'!$N$16:$N$198,2*(ROWS($AG$360:AG374)-1)+1)*INDEX('M04-S02'!$Q$16:$Q$198,2*(ROWS($AG$360:AG374)-1)+1))/1000),((INDEX('M04-S02'!$N$16:$N$198,2*(ROWS($AG$360:AG374)-1)+1)*INDEX('M04-S02'!$Q$16:$Q$198,2*(ROWS($AG$360:AG374)-1)+1))/1000),""),"")</f>
        <v>0</v>
      </c>
      <c r="AH374" s="111">
        <f>IFERROR(IF(ISNUMBER((INDEX('M04-S02'!$AA$16:$AA$198,2*(ROWS($AH$360:AH374)-1)+1)*INDEX('M04-S02'!$Q$16:$Q$198,2*(ROWS($AH$360:AH374)-1)+1))/1000),((INDEX('M04-S02'!$AA$16:$AA$198,2*(ROWS($AH$360:AH374)-1)+1)*INDEX('M04-S02'!$Q$16:$Q$198,2*(ROWS($AH$360:AH374)-1)+1))/1000),""),"")</f>
        <v>0</v>
      </c>
      <c r="AI374" s="96"/>
      <c r="AJ374" s="96"/>
      <c r="AK374" s="52">
        <f>INDEX('M04-S02'!$AU$16:$AU$198,2*(ROWS($AK$360:AK374)-1)+1)</f>
        <v>0</v>
      </c>
      <c r="AL374" s="184">
        <f>IF(NOT(ISNUMBER(INDEX('M04-S02'!$AN$16:$AN$198,2*(ROWS($R$360:$R374)-1)+1))),INDEX('M04-S02'!$AD$16:$AD$198,2*(ROWS($AL$360:$AL374)-1)+1),"")</f>
        <v>0</v>
      </c>
      <c r="AM374" s="184">
        <f>IF(NOT(ISNUMBER(INDEX('M04-S02'!$AN$16:$AN$198,2*(ROWS($R$360:$R374)-1)+1))),INDEX('M04-S02'!$AF$16:$AF$198,2*(ROWS($AM$360:$AM374)-1)+1),"")</f>
        <v>0</v>
      </c>
      <c r="AN374" s="52">
        <f>IF(NOT(ISNUMBER(INDEX('M04-S02'!$AN$16:$AN$198,2*(ROWS($R$360:$R374)-1)+1))),INDEX('M04-S02'!$AH$16:$AH$198,2*(ROWS($AN$360:$AN374)-1)+1),"")</f>
        <v>0</v>
      </c>
      <c r="AO374" s="113"/>
      <c r="AU374"/>
    </row>
    <row r="375" spans="1:47">
      <c r="A375" s="57">
        <f t="shared" si="34"/>
        <v>0</v>
      </c>
      <c r="B375" s="183" t="str">
        <f t="shared" si="36"/>
        <v/>
      </c>
      <c r="C375" s="186" t="str">
        <f>IF(OR(R375&gt;0,T375&gt;0),INDEX('M04-S02'!$BE$16:$BE$198,2*(ROWS($C$360:C375)-1)+1),"")</f>
        <v/>
      </c>
      <c r="D375" t="s">
        <v>195</v>
      </c>
      <c r="F375" s="112"/>
      <c r="G375" s="96"/>
      <c r="H375" s="96"/>
      <c r="I375" s="184">
        <f>IFERROR(ROUND(IF(ISNUMBER(INDEX('M04-S02'!$AN$16:$AN$198,2*(ROWS($R$360:$R375)-1)+1)),INDEX('M04-S02'!$AF$16:$AF$198,2*(ROWS($I$360:$I375)-1)+1),""),2),0)</f>
        <v>0</v>
      </c>
      <c r="J375" s="184">
        <f>IFERROR(ROUND(IF(ISNUMBER(INDEX('M04-S02'!$AN$16:$AN$198,2*(ROWS($R$360:$R375)-1)+1)),INDEX('M04-S02'!$AW$16:$AW$198,2*(ROWS($J$360:$J375)-1)+1),""),2),0)</f>
        <v>0</v>
      </c>
      <c r="K375" s="52">
        <f>IFERROR(ROUND(IF(ISNUMBER(INDEX('M04-S02'!$AN$16:$AN$198,2*(ROWS($R$360:$R375)-1)+1)),INDEX('M04-S02'!$AF$16:$AF$198,2*(ROWS($K$360:$K375)-1)+1),""),2),0)</f>
        <v>0</v>
      </c>
      <c r="L375" s="52" t="str">
        <f>IF(ISNUMBER(INDEX('M04-S02'!$AN$16:$AN$198,2*(ROWS($R$360:R375)-1)+1)),ROUND(INDEX('M04-S02'!$BB$16:$BB$198,2*(ROWS($L$360:L375)-1)+1),4),"")</f>
        <v/>
      </c>
      <c r="M375" s="456" t="str">
        <f>IF(ISNUMBER(INDEX('M04-S02'!$AN$16:$AN$198,2*(ROWS($R$360:R375)-1)+1)),ROUND(INDEX('M04-S02'!$C$16:$C$198,2*(ROWS($M$360:M375)-1)+1)/1000,4),"")</f>
        <v/>
      </c>
      <c r="N375" s="184" t="str">
        <f>IF(ISNUMBER(INDEX('M04-S02'!$AN$16:$AN$198,2*(ROWS($R$360:R375)-1)+1)),INDEX('M04-S02'!$AK$16:$AK$198,2*(ROWS($N$360:N375)-1)+1),"")</f>
        <v/>
      </c>
      <c r="O375" s="456" t="str">
        <f>IF(ISNUMBER(INDEX('M04-S02'!$AN$16:$AN$198,2*(ROWS($R$360:R375)-1)+1)),INDEX('M04-S02'!$AV$16:$AV$198,2*(ROWS($O$360:O375)-1)+1),"")</f>
        <v/>
      </c>
      <c r="P375" s="113"/>
      <c r="Q375" s="113"/>
      <c r="R375" s="184">
        <f>IF(ISNUMBER(INDEX('M04-S02'!$AN$16:$AN$198,2*(ROWS($R$360:R375)-1)+1)),INDEX('M04-S02'!$AN$16:$AN$198,2*(ROWS($R$360:R375)-1)+1),0)</f>
        <v>0</v>
      </c>
      <c r="S375" s="23">
        <f>IF(NOT(ISNUMBER(INDEX('M04-S02'!$AN$16:$AN$198,2*(ROWS($R$360:R375)-1)+1))),ROUND(INDEX('M04-S02'!$C$16:$C$198,2*(ROWS($S$360:S375)-1)+1)/1000,4),"")</f>
        <v>0</v>
      </c>
      <c r="T375" s="52">
        <f>IFERROR(IF(NOT(ISNUMBER(INDEX('M04-S02'!$AN$16:$AN$198,2*(ROWS($R$360:R375)-1)+1))),INDEX('M04-S02'!$AK$16:$AK$198,2*(ROWS($R$360:R375)-1)+1),0),0)</f>
        <v>0</v>
      </c>
      <c r="U375" s="23">
        <f>IFERROR(IF(NOT(ISNUMBER(INDEX('M04-S02'!$AN$16:$AN$198,2*(ROWS($R$360:R375)-1)+1))),INDEX('M04-S02'!$AV$16:$AV$198,2*(ROWS($R$360:R375)-1)+1),0),"")</f>
        <v>0</v>
      </c>
      <c r="V375" s="113"/>
      <c r="W375">
        <f>IFERROR(IF(NOT(ISNUMBER(INDEX('M04-S02'!$AN$16:$AN$198,2*(ROWS($R$360:R375)-1)+1))),INDEX('M04-S02'!$BC$16:$BC$198,2*(ROWS($R$360:R375)-1)+1),""),"")</f>
        <v>0</v>
      </c>
      <c r="X375" s="184">
        <f>IFERROR(ROUND(INDEX('M04-S02'!$N$16:$N$198,2*(ROWS($X$360:X375)-1)+1),3),"")</f>
        <v>0</v>
      </c>
      <c r="Y375" s="184">
        <f>IFERROR(ROUND(INDEX('M04-S02'!$AA$16:$AA$198,2*(ROWS($Y$360:Y375)-1)+1),3),"")</f>
        <v>0</v>
      </c>
      <c r="Z375" s="111">
        <f>INDEX('M04-S02'!$B$16:$B$198,2*(ROWS($Z$360:Z375)-1)+1)</f>
        <v>16</v>
      </c>
      <c r="AA375" s="96"/>
      <c r="AB375" s="96"/>
      <c r="AC375">
        <f>INDEX('M04-S02'!$F$16:$F$198,2*(ROWS($AC$360:AC375)-1)+1)</f>
        <v>0</v>
      </c>
      <c r="AD375">
        <f>INDEX('M04-S02'!$S$16:$S$198,2*(ROWS($AD$360:AD375)-1)+1)</f>
        <v>0</v>
      </c>
      <c r="AE375" s="459"/>
      <c r="AF375" s="459"/>
      <c r="AG375" s="111">
        <f>IFERROR(IF(ISNUMBER((INDEX('M04-S02'!$N$16:$N$198,2*(ROWS($AG$360:AG375)-1)+1)*INDEX('M04-S02'!$Q$16:$Q$198,2*(ROWS($AG$360:AG375)-1)+1))/1000),((INDEX('M04-S02'!$N$16:$N$198,2*(ROWS($AG$360:AG375)-1)+1)*INDEX('M04-S02'!$Q$16:$Q$198,2*(ROWS($AG$360:AG375)-1)+1))/1000),""),"")</f>
        <v>0</v>
      </c>
      <c r="AH375" s="111">
        <f>IFERROR(IF(ISNUMBER((INDEX('M04-S02'!$AA$16:$AA$198,2*(ROWS($AH$360:AH375)-1)+1)*INDEX('M04-S02'!$Q$16:$Q$198,2*(ROWS($AH$360:AH375)-1)+1))/1000),((INDEX('M04-S02'!$AA$16:$AA$198,2*(ROWS($AH$360:AH375)-1)+1)*INDEX('M04-S02'!$Q$16:$Q$198,2*(ROWS($AH$360:AH375)-1)+1))/1000),""),"")</f>
        <v>0</v>
      </c>
      <c r="AI375" s="96"/>
      <c r="AJ375" s="96"/>
      <c r="AK375" s="52">
        <f>INDEX('M04-S02'!$AU$16:$AU$198,2*(ROWS($AK$360:AK375)-1)+1)</f>
        <v>0</v>
      </c>
      <c r="AL375" s="184">
        <f>IF(NOT(ISNUMBER(INDEX('M04-S02'!$AN$16:$AN$198,2*(ROWS($R$360:$R375)-1)+1))),INDEX('M04-S02'!$AD$16:$AD$198,2*(ROWS($AL$360:$AL375)-1)+1),"")</f>
        <v>0</v>
      </c>
      <c r="AM375" s="184">
        <f>IF(NOT(ISNUMBER(INDEX('M04-S02'!$AN$16:$AN$198,2*(ROWS($R$360:$R375)-1)+1))),INDEX('M04-S02'!$AF$16:$AF$198,2*(ROWS($AM$360:$AM375)-1)+1),"")</f>
        <v>0</v>
      </c>
      <c r="AN375" s="52">
        <f>IF(NOT(ISNUMBER(INDEX('M04-S02'!$AN$16:$AN$198,2*(ROWS($R$360:$R375)-1)+1))),INDEX('M04-S02'!$AH$16:$AH$198,2*(ROWS($AN$360:$AN375)-1)+1),"")</f>
        <v>0</v>
      </c>
      <c r="AO375" s="113"/>
      <c r="AU375"/>
    </row>
    <row r="376" spans="1:47">
      <c r="A376" s="57">
        <f t="shared" si="34"/>
        <v>0</v>
      </c>
      <c r="B376" s="183" t="str">
        <f t="shared" si="36"/>
        <v/>
      </c>
      <c r="C376" s="186" t="str">
        <f>IF(OR(R376&gt;0,T376&gt;0),INDEX('M04-S02'!$BE$16:$BE$198,2*(ROWS($C$360:C376)-1)+1),"")</f>
        <v/>
      </c>
      <c r="D376" t="s">
        <v>195</v>
      </c>
      <c r="F376" s="112"/>
      <c r="G376" s="96"/>
      <c r="H376" s="96"/>
      <c r="I376" s="184">
        <f>IFERROR(ROUND(IF(ISNUMBER(INDEX('M04-S02'!$AN$16:$AN$198,2*(ROWS($R$360:$R376)-1)+1)),INDEX('M04-S02'!$AF$16:$AF$198,2*(ROWS($I$360:$I376)-1)+1),""),2),0)</f>
        <v>0</v>
      </c>
      <c r="J376" s="184">
        <f>IFERROR(ROUND(IF(ISNUMBER(INDEX('M04-S02'!$AN$16:$AN$198,2*(ROWS($R$360:$R376)-1)+1)),INDEX('M04-S02'!$AW$16:$AW$198,2*(ROWS($J$360:$J376)-1)+1),""),2),0)</f>
        <v>0</v>
      </c>
      <c r="K376" s="52">
        <f>IFERROR(ROUND(IF(ISNUMBER(INDEX('M04-S02'!$AN$16:$AN$198,2*(ROWS($R$360:$R376)-1)+1)),INDEX('M04-S02'!$AF$16:$AF$198,2*(ROWS($K$360:$K376)-1)+1),""),2),0)</f>
        <v>0</v>
      </c>
      <c r="L376" s="52" t="str">
        <f>IF(ISNUMBER(INDEX('M04-S02'!$AN$16:$AN$198,2*(ROWS($R$360:R376)-1)+1)),ROUND(INDEX('M04-S02'!$BB$16:$BB$198,2*(ROWS($L$360:L376)-1)+1),4),"")</f>
        <v/>
      </c>
      <c r="M376" s="456" t="str">
        <f>IF(ISNUMBER(INDEX('M04-S02'!$AN$16:$AN$198,2*(ROWS($R$360:R376)-1)+1)),ROUND(INDEX('M04-S02'!$C$16:$C$198,2*(ROWS($M$360:M376)-1)+1)/1000,4),"")</f>
        <v/>
      </c>
      <c r="N376" s="184" t="str">
        <f>IF(ISNUMBER(INDEX('M04-S02'!$AN$16:$AN$198,2*(ROWS($R$360:R376)-1)+1)),INDEX('M04-S02'!$AK$16:$AK$198,2*(ROWS($N$360:N376)-1)+1),"")</f>
        <v/>
      </c>
      <c r="O376" s="456" t="str">
        <f>IF(ISNUMBER(INDEX('M04-S02'!$AN$16:$AN$198,2*(ROWS($R$360:R376)-1)+1)),INDEX('M04-S02'!$AV$16:$AV$198,2*(ROWS($O$360:O376)-1)+1),"")</f>
        <v/>
      </c>
      <c r="P376" s="113"/>
      <c r="Q376" s="113"/>
      <c r="R376" s="184">
        <f>IF(ISNUMBER(INDEX('M04-S02'!$AN$16:$AN$198,2*(ROWS($R$360:R376)-1)+1)),INDEX('M04-S02'!$AN$16:$AN$198,2*(ROWS($R$360:R376)-1)+1),0)</f>
        <v>0</v>
      </c>
      <c r="S376" s="23">
        <f>IF(NOT(ISNUMBER(INDEX('M04-S02'!$AN$16:$AN$198,2*(ROWS($R$360:R376)-1)+1))),ROUND(INDEX('M04-S02'!$C$16:$C$198,2*(ROWS($S$360:S376)-1)+1)/1000,4),"")</f>
        <v>0</v>
      </c>
      <c r="T376" s="52">
        <f>IFERROR(IF(NOT(ISNUMBER(INDEX('M04-S02'!$AN$16:$AN$198,2*(ROWS($R$360:R376)-1)+1))),INDEX('M04-S02'!$AK$16:$AK$198,2*(ROWS($R$360:R376)-1)+1),0),0)</f>
        <v>0</v>
      </c>
      <c r="U376" s="23">
        <f>IFERROR(IF(NOT(ISNUMBER(INDEX('M04-S02'!$AN$16:$AN$198,2*(ROWS($R$360:R376)-1)+1))),INDEX('M04-S02'!$AV$16:$AV$198,2*(ROWS($R$360:R376)-1)+1),0),"")</f>
        <v>0</v>
      </c>
      <c r="V376" s="113"/>
      <c r="W376">
        <f>IFERROR(IF(NOT(ISNUMBER(INDEX('M04-S02'!$AN$16:$AN$198,2*(ROWS($R$360:R376)-1)+1))),INDEX('M04-S02'!$BC$16:$BC$198,2*(ROWS($R$360:R376)-1)+1),""),"")</f>
        <v>0</v>
      </c>
      <c r="X376" s="184">
        <f>IFERROR(ROUND(INDEX('M04-S02'!$N$16:$N$198,2*(ROWS($X$360:X376)-1)+1),3),"")</f>
        <v>0</v>
      </c>
      <c r="Y376" s="184">
        <f>IFERROR(ROUND(INDEX('M04-S02'!$AA$16:$AA$198,2*(ROWS($Y$360:Y376)-1)+1),3),"")</f>
        <v>0</v>
      </c>
      <c r="Z376" s="111">
        <f>INDEX('M04-S02'!$B$16:$B$198,2*(ROWS($Z$360:Z376)-1)+1)</f>
        <v>17</v>
      </c>
      <c r="AA376" s="96"/>
      <c r="AB376" s="96"/>
      <c r="AC376">
        <f>INDEX('M04-S02'!$F$16:$F$198,2*(ROWS($AC$360:AC376)-1)+1)</f>
        <v>0</v>
      </c>
      <c r="AD376">
        <f>INDEX('M04-S02'!$S$16:$S$198,2*(ROWS($AD$360:AD376)-1)+1)</f>
        <v>0</v>
      </c>
      <c r="AE376" s="459"/>
      <c r="AF376" s="459"/>
      <c r="AG376" s="111">
        <f>IFERROR(IF(ISNUMBER((INDEX('M04-S02'!$N$16:$N$198,2*(ROWS($AG$360:AG376)-1)+1)*INDEX('M04-S02'!$Q$16:$Q$198,2*(ROWS($AG$360:AG376)-1)+1))/1000),((INDEX('M04-S02'!$N$16:$N$198,2*(ROWS($AG$360:AG376)-1)+1)*INDEX('M04-S02'!$Q$16:$Q$198,2*(ROWS($AG$360:AG376)-1)+1))/1000),""),"")</f>
        <v>0</v>
      </c>
      <c r="AH376" s="111">
        <f>IFERROR(IF(ISNUMBER((INDEX('M04-S02'!$AA$16:$AA$198,2*(ROWS($AH$360:AH376)-1)+1)*INDEX('M04-S02'!$Q$16:$Q$198,2*(ROWS($AH$360:AH376)-1)+1))/1000),((INDEX('M04-S02'!$AA$16:$AA$198,2*(ROWS($AH$360:AH376)-1)+1)*INDEX('M04-S02'!$Q$16:$Q$198,2*(ROWS($AH$360:AH376)-1)+1))/1000),""),"")</f>
        <v>0</v>
      </c>
      <c r="AI376" s="96"/>
      <c r="AJ376" s="96"/>
      <c r="AK376" s="52">
        <f>INDEX('M04-S02'!$AU$16:$AU$198,2*(ROWS($AK$360:AK376)-1)+1)</f>
        <v>0</v>
      </c>
      <c r="AL376" s="184">
        <f>IF(NOT(ISNUMBER(INDEX('M04-S02'!$AN$16:$AN$198,2*(ROWS($R$360:$R376)-1)+1))),INDEX('M04-S02'!$AD$16:$AD$198,2*(ROWS($AL$360:$AL376)-1)+1),"")</f>
        <v>0</v>
      </c>
      <c r="AM376" s="184">
        <f>IF(NOT(ISNUMBER(INDEX('M04-S02'!$AN$16:$AN$198,2*(ROWS($R$360:$R376)-1)+1))),INDEX('M04-S02'!$AF$16:$AF$198,2*(ROWS($AM$360:$AM376)-1)+1),"")</f>
        <v>0</v>
      </c>
      <c r="AN376" s="52">
        <f>IF(NOT(ISNUMBER(INDEX('M04-S02'!$AN$16:$AN$198,2*(ROWS($R$360:$R376)-1)+1))),INDEX('M04-S02'!$AH$16:$AH$198,2*(ROWS($AN$360:$AN376)-1)+1),"")</f>
        <v>0</v>
      </c>
      <c r="AO376" s="113"/>
      <c r="AU376"/>
    </row>
    <row r="377" spans="1:47">
      <c r="A377" s="57">
        <f t="shared" si="34"/>
        <v>0</v>
      </c>
      <c r="B377" s="183" t="str">
        <f t="shared" si="36"/>
        <v/>
      </c>
      <c r="C377" s="186" t="str">
        <f>IF(OR(R377&gt;0,T377&gt;0),INDEX('M04-S02'!$BE$16:$BE$198,2*(ROWS($C$360:C377)-1)+1),"")</f>
        <v/>
      </c>
      <c r="D377" t="s">
        <v>195</v>
      </c>
      <c r="F377" s="112"/>
      <c r="G377" s="96"/>
      <c r="H377" s="96"/>
      <c r="I377" s="184">
        <f>IFERROR(ROUND(IF(ISNUMBER(INDEX('M04-S02'!$AN$16:$AN$198,2*(ROWS($R$360:$R377)-1)+1)),INDEX('M04-S02'!$AF$16:$AF$198,2*(ROWS($I$360:$I377)-1)+1),""),2),0)</f>
        <v>0</v>
      </c>
      <c r="J377" s="184">
        <f>IFERROR(ROUND(IF(ISNUMBER(INDEX('M04-S02'!$AN$16:$AN$198,2*(ROWS($R$360:$R377)-1)+1)),INDEX('M04-S02'!$AW$16:$AW$198,2*(ROWS($J$360:$J377)-1)+1),""),2),0)</f>
        <v>0</v>
      </c>
      <c r="K377" s="52">
        <f>IFERROR(ROUND(IF(ISNUMBER(INDEX('M04-S02'!$AN$16:$AN$198,2*(ROWS($R$360:$R377)-1)+1)),INDEX('M04-S02'!$AF$16:$AF$198,2*(ROWS($K$360:$K377)-1)+1),""),2),0)</f>
        <v>0</v>
      </c>
      <c r="L377" s="52" t="str">
        <f>IF(ISNUMBER(INDEX('M04-S02'!$AN$16:$AN$198,2*(ROWS($R$360:R377)-1)+1)),ROUND(INDEX('M04-S02'!$BB$16:$BB$198,2*(ROWS($L$360:L377)-1)+1),4),"")</f>
        <v/>
      </c>
      <c r="M377" s="456" t="str">
        <f>IF(ISNUMBER(INDEX('M04-S02'!$AN$16:$AN$198,2*(ROWS($R$360:R377)-1)+1)),ROUND(INDEX('M04-S02'!$C$16:$C$198,2*(ROWS($M$360:M377)-1)+1)/1000,4),"")</f>
        <v/>
      </c>
      <c r="N377" s="184" t="str">
        <f>IF(ISNUMBER(INDEX('M04-S02'!$AN$16:$AN$198,2*(ROWS($R$360:R377)-1)+1)),INDEX('M04-S02'!$AK$16:$AK$198,2*(ROWS($N$360:N377)-1)+1),"")</f>
        <v/>
      </c>
      <c r="O377" s="456" t="str">
        <f>IF(ISNUMBER(INDEX('M04-S02'!$AN$16:$AN$198,2*(ROWS($R$360:R377)-1)+1)),INDEX('M04-S02'!$AV$16:$AV$198,2*(ROWS($O$360:O377)-1)+1),"")</f>
        <v/>
      </c>
      <c r="P377" s="113"/>
      <c r="Q377" s="113"/>
      <c r="R377" s="184">
        <f>IF(ISNUMBER(INDEX('M04-S02'!$AN$16:$AN$198,2*(ROWS($R$360:R377)-1)+1)),INDEX('M04-S02'!$AN$16:$AN$198,2*(ROWS($R$360:R377)-1)+1),0)</f>
        <v>0</v>
      </c>
      <c r="S377" s="23">
        <f>IF(NOT(ISNUMBER(INDEX('M04-S02'!$AN$16:$AN$198,2*(ROWS($R$360:R377)-1)+1))),ROUND(INDEX('M04-S02'!$C$16:$C$198,2*(ROWS($S$360:S377)-1)+1)/1000,4),"")</f>
        <v>0</v>
      </c>
      <c r="T377" s="52">
        <f>IFERROR(IF(NOT(ISNUMBER(INDEX('M04-S02'!$AN$16:$AN$198,2*(ROWS($R$360:R377)-1)+1))),INDEX('M04-S02'!$AK$16:$AK$198,2*(ROWS($R$360:R377)-1)+1),0),0)</f>
        <v>0</v>
      </c>
      <c r="U377" s="23">
        <f>IFERROR(IF(NOT(ISNUMBER(INDEX('M04-S02'!$AN$16:$AN$198,2*(ROWS($R$360:R377)-1)+1))),INDEX('M04-S02'!$AV$16:$AV$198,2*(ROWS($R$360:R377)-1)+1),0),"")</f>
        <v>0</v>
      </c>
      <c r="V377" s="113"/>
      <c r="W377">
        <f>IFERROR(IF(NOT(ISNUMBER(INDEX('M04-S02'!$AN$16:$AN$198,2*(ROWS($R$360:R377)-1)+1))),INDEX('M04-S02'!$BC$16:$BC$198,2*(ROWS($R$360:R377)-1)+1),""),"")</f>
        <v>0</v>
      </c>
      <c r="X377" s="184">
        <f>IFERROR(ROUND(INDEX('M04-S02'!$N$16:$N$198,2*(ROWS($X$360:X377)-1)+1),3),"")</f>
        <v>0</v>
      </c>
      <c r="Y377" s="184">
        <f>IFERROR(ROUND(INDEX('M04-S02'!$AA$16:$AA$198,2*(ROWS($Y$360:Y377)-1)+1),3),"")</f>
        <v>0</v>
      </c>
      <c r="Z377" s="111">
        <f>INDEX('M04-S02'!$B$16:$B$198,2*(ROWS($Z$360:Z377)-1)+1)</f>
        <v>18</v>
      </c>
      <c r="AA377" s="96"/>
      <c r="AB377" s="96"/>
      <c r="AC377">
        <f>INDEX('M04-S02'!$F$16:$F$198,2*(ROWS($AC$360:AC377)-1)+1)</f>
        <v>0</v>
      </c>
      <c r="AD377">
        <f>INDEX('M04-S02'!$S$16:$S$198,2*(ROWS($AD$360:AD377)-1)+1)</f>
        <v>0</v>
      </c>
      <c r="AE377" s="459"/>
      <c r="AF377" s="459"/>
      <c r="AG377" s="111">
        <f>IFERROR(IF(ISNUMBER((INDEX('M04-S02'!$N$16:$N$198,2*(ROWS($AG$360:AG377)-1)+1)*INDEX('M04-S02'!$Q$16:$Q$198,2*(ROWS($AG$360:AG377)-1)+1))/1000),((INDEX('M04-S02'!$N$16:$N$198,2*(ROWS($AG$360:AG377)-1)+1)*INDEX('M04-S02'!$Q$16:$Q$198,2*(ROWS($AG$360:AG377)-1)+1))/1000),""),"")</f>
        <v>0</v>
      </c>
      <c r="AH377" s="111">
        <f>IFERROR(IF(ISNUMBER((INDEX('M04-S02'!$AA$16:$AA$198,2*(ROWS($AH$360:AH377)-1)+1)*INDEX('M04-S02'!$Q$16:$Q$198,2*(ROWS($AH$360:AH377)-1)+1))/1000),((INDEX('M04-S02'!$AA$16:$AA$198,2*(ROWS($AH$360:AH377)-1)+1)*INDEX('M04-S02'!$Q$16:$Q$198,2*(ROWS($AH$360:AH377)-1)+1))/1000),""),"")</f>
        <v>0</v>
      </c>
      <c r="AI377" s="96"/>
      <c r="AJ377" s="96"/>
      <c r="AK377" s="52">
        <f>INDEX('M04-S02'!$AU$16:$AU$198,2*(ROWS($AK$360:AK377)-1)+1)</f>
        <v>0</v>
      </c>
      <c r="AL377" s="184">
        <f>IF(NOT(ISNUMBER(INDEX('M04-S02'!$AN$16:$AN$198,2*(ROWS($R$360:$R377)-1)+1))),INDEX('M04-S02'!$AD$16:$AD$198,2*(ROWS($AL$360:$AL377)-1)+1),"")</f>
        <v>0</v>
      </c>
      <c r="AM377" s="184">
        <f>IF(NOT(ISNUMBER(INDEX('M04-S02'!$AN$16:$AN$198,2*(ROWS($R$360:$R377)-1)+1))),INDEX('M04-S02'!$AF$16:$AF$198,2*(ROWS($AM$360:$AM377)-1)+1),"")</f>
        <v>0</v>
      </c>
      <c r="AN377" s="52">
        <f>IF(NOT(ISNUMBER(INDEX('M04-S02'!$AN$16:$AN$198,2*(ROWS($R$360:$R377)-1)+1))),INDEX('M04-S02'!$AH$16:$AH$198,2*(ROWS($AN$360:$AN377)-1)+1),"")</f>
        <v>0</v>
      </c>
      <c r="AO377" s="113"/>
      <c r="AU377"/>
    </row>
    <row r="378" spans="1:47">
      <c r="A378" s="57">
        <f t="shared" si="34"/>
        <v>0</v>
      </c>
      <c r="B378" s="183" t="str">
        <f t="shared" si="36"/>
        <v/>
      </c>
      <c r="C378" s="186" t="str">
        <f>IF(OR(R378&gt;0,T378&gt;0),INDEX('M04-S02'!$BE$16:$BE$198,2*(ROWS($C$360:C378)-1)+1),"")</f>
        <v/>
      </c>
      <c r="D378" t="s">
        <v>195</v>
      </c>
      <c r="F378" s="112"/>
      <c r="G378" s="96"/>
      <c r="H378" s="96"/>
      <c r="I378" s="184">
        <f>IFERROR(ROUND(IF(ISNUMBER(INDEX('M04-S02'!$AN$16:$AN$198,2*(ROWS($R$360:$R378)-1)+1)),INDEX('M04-S02'!$AF$16:$AF$198,2*(ROWS($I$360:$I378)-1)+1),""),2),0)</f>
        <v>0</v>
      </c>
      <c r="J378" s="184">
        <f>IFERROR(ROUND(IF(ISNUMBER(INDEX('M04-S02'!$AN$16:$AN$198,2*(ROWS($R$360:$R378)-1)+1)),INDEX('M04-S02'!$AW$16:$AW$198,2*(ROWS($J$360:$J378)-1)+1),""),2),0)</f>
        <v>0</v>
      </c>
      <c r="K378" s="52">
        <f>IFERROR(ROUND(IF(ISNUMBER(INDEX('M04-S02'!$AN$16:$AN$198,2*(ROWS($R$360:$R378)-1)+1)),INDEX('M04-S02'!$AF$16:$AF$198,2*(ROWS($K$360:$K378)-1)+1),""),2),0)</f>
        <v>0</v>
      </c>
      <c r="L378" s="52" t="str">
        <f>IF(ISNUMBER(INDEX('M04-S02'!$AN$16:$AN$198,2*(ROWS($R$360:R378)-1)+1)),ROUND(INDEX('M04-S02'!$BB$16:$BB$198,2*(ROWS($L$360:L378)-1)+1),4),"")</f>
        <v/>
      </c>
      <c r="M378" s="456" t="str">
        <f>IF(ISNUMBER(INDEX('M04-S02'!$AN$16:$AN$198,2*(ROWS($R$360:R378)-1)+1)),ROUND(INDEX('M04-S02'!$C$16:$C$198,2*(ROWS($M$360:M378)-1)+1)/1000,4),"")</f>
        <v/>
      </c>
      <c r="N378" s="184" t="str">
        <f>IF(ISNUMBER(INDEX('M04-S02'!$AN$16:$AN$198,2*(ROWS($R$360:R378)-1)+1)),INDEX('M04-S02'!$AK$16:$AK$198,2*(ROWS($N$360:N378)-1)+1),"")</f>
        <v/>
      </c>
      <c r="O378" s="456" t="str">
        <f>IF(ISNUMBER(INDEX('M04-S02'!$AN$16:$AN$198,2*(ROWS($R$360:R378)-1)+1)),INDEX('M04-S02'!$AV$16:$AV$198,2*(ROWS($O$360:O378)-1)+1),"")</f>
        <v/>
      </c>
      <c r="P378" s="113"/>
      <c r="Q378" s="113"/>
      <c r="R378" s="184">
        <f>IF(ISNUMBER(INDEX('M04-S02'!$AN$16:$AN$198,2*(ROWS($R$360:R378)-1)+1)),INDEX('M04-S02'!$AN$16:$AN$198,2*(ROWS($R$360:R378)-1)+1),0)</f>
        <v>0</v>
      </c>
      <c r="S378" s="23">
        <f>IF(NOT(ISNUMBER(INDEX('M04-S02'!$AN$16:$AN$198,2*(ROWS($R$360:R378)-1)+1))),ROUND(INDEX('M04-S02'!$C$16:$C$198,2*(ROWS($S$360:S378)-1)+1)/1000,4),"")</f>
        <v>0</v>
      </c>
      <c r="T378" s="52">
        <f>IFERROR(IF(NOT(ISNUMBER(INDEX('M04-S02'!$AN$16:$AN$198,2*(ROWS($R$360:R378)-1)+1))),INDEX('M04-S02'!$AK$16:$AK$198,2*(ROWS($R$360:R378)-1)+1),0),0)</f>
        <v>0</v>
      </c>
      <c r="U378" s="23">
        <f>IFERROR(IF(NOT(ISNUMBER(INDEX('M04-S02'!$AN$16:$AN$198,2*(ROWS($R$360:R378)-1)+1))),INDEX('M04-S02'!$AV$16:$AV$198,2*(ROWS($R$360:R378)-1)+1),0),"")</f>
        <v>0</v>
      </c>
      <c r="V378" s="113"/>
      <c r="W378">
        <f>IFERROR(IF(NOT(ISNUMBER(INDEX('M04-S02'!$AN$16:$AN$198,2*(ROWS($R$360:R378)-1)+1))),INDEX('M04-S02'!$BC$16:$BC$198,2*(ROWS($R$360:R378)-1)+1),""),"")</f>
        <v>0</v>
      </c>
      <c r="X378" s="184">
        <f>IFERROR(ROUND(INDEX('M04-S02'!$N$16:$N$198,2*(ROWS($X$360:X378)-1)+1),3),"")</f>
        <v>0</v>
      </c>
      <c r="Y378" s="184">
        <f>IFERROR(ROUND(INDEX('M04-S02'!$AA$16:$AA$198,2*(ROWS($Y$360:Y378)-1)+1),3),"")</f>
        <v>0</v>
      </c>
      <c r="Z378" s="111">
        <f>INDEX('M04-S02'!$B$16:$B$198,2*(ROWS($Z$360:Z378)-1)+1)</f>
        <v>19</v>
      </c>
      <c r="AA378" s="96"/>
      <c r="AB378" s="96"/>
      <c r="AC378">
        <f>INDEX('M04-S02'!$F$16:$F$198,2*(ROWS($AC$360:AC378)-1)+1)</f>
        <v>0</v>
      </c>
      <c r="AD378">
        <f>INDEX('M04-S02'!$S$16:$S$198,2*(ROWS($AD$360:AD378)-1)+1)</f>
        <v>0</v>
      </c>
      <c r="AE378" s="459"/>
      <c r="AF378" s="459"/>
      <c r="AG378" s="111">
        <f>IFERROR(IF(ISNUMBER((INDEX('M04-S02'!$N$16:$N$198,2*(ROWS($AG$360:AG378)-1)+1)*INDEX('M04-S02'!$Q$16:$Q$198,2*(ROWS($AG$360:AG378)-1)+1))/1000),((INDEX('M04-S02'!$N$16:$N$198,2*(ROWS($AG$360:AG378)-1)+1)*INDEX('M04-S02'!$Q$16:$Q$198,2*(ROWS($AG$360:AG378)-1)+1))/1000),""),"")</f>
        <v>0</v>
      </c>
      <c r="AH378" s="111">
        <f>IFERROR(IF(ISNUMBER((INDEX('M04-S02'!$AA$16:$AA$198,2*(ROWS($AH$360:AH378)-1)+1)*INDEX('M04-S02'!$Q$16:$Q$198,2*(ROWS($AH$360:AH378)-1)+1))/1000),((INDEX('M04-S02'!$AA$16:$AA$198,2*(ROWS($AH$360:AH378)-1)+1)*INDEX('M04-S02'!$Q$16:$Q$198,2*(ROWS($AH$360:AH378)-1)+1))/1000),""),"")</f>
        <v>0</v>
      </c>
      <c r="AI378" s="96"/>
      <c r="AJ378" s="96"/>
      <c r="AK378" s="52">
        <f>INDEX('M04-S02'!$AU$16:$AU$198,2*(ROWS($AK$360:AK378)-1)+1)</f>
        <v>0</v>
      </c>
      <c r="AL378" s="184">
        <f>IF(NOT(ISNUMBER(INDEX('M04-S02'!$AN$16:$AN$198,2*(ROWS($R$360:$R378)-1)+1))),INDEX('M04-S02'!$AD$16:$AD$198,2*(ROWS($AL$360:$AL378)-1)+1),"")</f>
        <v>0</v>
      </c>
      <c r="AM378" s="184">
        <f>IF(NOT(ISNUMBER(INDEX('M04-S02'!$AN$16:$AN$198,2*(ROWS($R$360:$R378)-1)+1))),INDEX('M04-S02'!$AF$16:$AF$198,2*(ROWS($AM$360:$AM378)-1)+1),"")</f>
        <v>0</v>
      </c>
      <c r="AN378" s="52">
        <f>IF(NOT(ISNUMBER(INDEX('M04-S02'!$AN$16:$AN$198,2*(ROWS($R$360:$R378)-1)+1))),INDEX('M04-S02'!$AH$16:$AH$198,2*(ROWS($AN$360:$AN378)-1)+1),"")</f>
        <v>0</v>
      </c>
      <c r="AO378" s="113"/>
      <c r="AU378"/>
    </row>
    <row r="379" spans="1:47">
      <c r="A379" s="57">
        <f t="shared" si="34"/>
        <v>0</v>
      </c>
      <c r="B379" s="183" t="str">
        <f t="shared" si="36"/>
        <v/>
      </c>
      <c r="C379" s="186" t="str">
        <f>IF(OR(R379&gt;0,T379&gt;0),INDEX('M04-S02'!$BE$16:$BE$198,2*(ROWS($C$360:C379)-1)+1),"")</f>
        <v/>
      </c>
      <c r="D379" t="s">
        <v>195</v>
      </c>
      <c r="F379" s="112"/>
      <c r="G379" s="96"/>
      <c r="H379" s="96"/>
      <c r="I379" s="184">
        <f>IFERROR(ROUND(IF(ISNUMBER(INDEX('M04-S02'!$AN$16:$AN$198,2*(ROWS($R$360:$R379)-1)+1)),INDEX('M04-S02'!$AF$16:$AF$198,2*(ROWS($I$360:$I379)-1)+1),""),2),0)</f>
        <v>0</v>
      </c>
      <c r="J379" s="184">
        <f>IFERROR(ROUND(IF(ISNUMBER(INDEX('M04-S02'!$AN$16:$AN$198,2*(ROWS($R$360:$R379)-1)+1)),INDEX('M04-S02'!$AW$16:$AW$198,2*(ROWS($J$360:$J379)-1)+1),""),2),0)</f>
        <v>0</v>
      </c>
      <c r="K379" s="52">
        <f>IFERROR(ROUND(IF(ISNUMBER(INDEX('M04-S02'!$AN$16:$AN$198,2*(ROWS($R$360:$R379)-1)+1)),INDEX('M04-S02'!$AF$16:$AF$198,2*(ROWS($K$360:$K379)-1)+1),""),2),0)</f>
        <v>0</v>
      </c>
      <c r="L379" s="52" t="str">
        <f>IF(ISNUMBER(INDEX('M04-S02'!$AN$16:$AN$198,2*(ROWS($R$360:R379)-1)+1)),ROUND(INDEX('M04-S02'!$BB$16:$BB$198,2*(ROWS($L$360:L379)-1)+1),4),"")</f>
        <v/>
      </c>
      <c r="M379" s="456" t="str">
        <f>IF(ISNUMBER(INDEX('M04-S02'!$AN$16:$AN$198,2*(ROWS($R$360:R379)-1)+1)),ROUND(INDEX('M04-S02'!$C$16:$C$198,2*(ROWS($M$360:M379)-1)+1)/1000,4),"")</f>
        <v/>
      </c>
      <c r="N379" s="184" t="str">
        <f>IF(ISNUMBER(INDEX('M04-S02'!$AN$16:$AN$198,2*(ROWS($R$360:R379)-1)+1)),INDEX('M04-S02'!$AK$16:$AK$198,2*(ROWS($N$360:N379)-1)+1),"")</f>
        <v/>
      </c>
      <c r="O379" s="456" t="str">
        <f>IF(ISNUMBER(INDEX('M04-S02'!$AN$16:$AN$198,2*(ROWS($R$360:R379)-1)+1)),INDEX('M04-S02'!$AV$16:$AV$198,2*(ROWS($O$360:O379)-1)+1),"")</f>
        <v/>
      </c>
      <c r="P379" s="113"/>
      <c r="Q379" s="113"/>
      <c r="R379" s="184">
        <f>IF(ISNUMBER(INDEX('M04-S02'!$AN$16:$AN$198,2*(ROWS($R$360:R379)-1)+1)),INDEX('M04-S02'!$AN$16:$AN$198,2*(ROWS($R$360:R379)-1)+1),0)</f>
        <v>0</v>
      </c>
      <c r="S379" s="23">
        <f>IF(NOT(ISNUMBER(INDEX('M04-S02'!$AN$16:$AN$198,2*(ROWS($R$360:R379)-1)+1))),ROUND(INDEX('M04-S02'!$C$16:$C$198,2*(ROWS($S$360:S379)-1)+1)/1000,4),"")</f>
        <v>0</v>
      </c>
      <c r="T379" s="52">
        <f>IFERROR(IF(NOT(ISNUMBER(INDEX('M04-S02'!$AN$16:$AN$198,2*(ROWS($R$360:R379)-1)+1))),INDEX('M04-S02'!$AK$16:$AK$198,2*(ROWS($R$360:R379)-1)+1),0),0)</f>
        <v>0</v>
      </c>
      <c r="U379" s="23">
        <f>IFERROR(IF(NOT(ISNUMBER(INDEX('M04-S02'!$AN$16:$AN$198,2*(ROWS($R$360:R379)-1)+1))),INDEX('M04-S02'!$AV$16:$AV$198,2*(ROWS($R$360:R379)-1)+1),0),"")</f>
        <v>0</v>
      </c>
      <c r="V379" s="113"/>
      <c r="W379">
        <f>IFERROR(IF(NOT(ISNUMBER(INDEX('M04-S02'!$AN$16:$AN$198,2*(ROWS($R$360:R379)-1)+1))),INDEX('M04-S02'!$BC$16:$BC$198,2*(ROWS($R$360:R379)-1)+1),""),"")</f>
        <v>0</v>
      </c>
      <c r="X379" s="184">
        <f>IFERROR(ROUND(INDEX('M04-S02'!$N$16:$N$198,2*(ROWS($X$360:X379)-1)+1),3),"")</f>
        <v>0</v>
      </c>
      <c r="Y379" s="184">
        <f>IFERROR(ROUND(INDEX('M04-S02'!$AA$16:$AA$198,2*(ROWS($Y$360:Y379)-1)+1),3),"")</f>
        <v>0</v>
      </c>
      <c r="Z379" s="111">
        <f>INDEX('M04-S02'!$B$16:$B$198,2*(ROWS($Z$360:Z379)-1)+1)</f>
        <v>20</v>
      </c>
      <c r="AA379" s="96"/>
      <c r="AB379" s="96"/>
      <c r="AC379">
        <f>INDEX('M04-S02'!$F$16:$F$198,2*(ROWS($AC$360:AC379)-1)+1)</f>
        <v>0</v>
      </c>
      <c r="AD379">
        <f>INDEX('M04-S02'!$S$16:$S$198,2*(ROWS($AD$360:AD379)-1)+1)</f>
        <v>0</v>
      </c>
      <c r="AE379" s="459"/>
      <c r="AF379" s="459"/>
      <c r="AG379" s="111">
        <f>IFERROR(IF(ISNUMBER((INDEX('M04-S02'!$N$16:$N$198,2*(ROWS($AG$360:AG379)-1)+1)*INDEX('M04-S02'!$Q$16:$Q$198,2*(ROWS($AG$360:AG379)-1)+1))/1000),((INDEX('M04-S02'!$N$16:$N$198,2*(ROWS($AG$360:AG379)-1)+1)*INDEX('M04-S02'!$Q$16:$Q$198,2*(ROWS($AG$360:AG379)-1)+1))/1000),""),"")</f>
        <v>0</v>
      </c>
      <c r="AH379" s="111">
        <f>IFERROR(IF(ISNUMBER((INDEX('M04-S02'!$AA$16:$AA$198,2*(ROWS($AH$360:AH379)-1)+1)*INDEX('M04-S02'!$Q$16:$Q$198,2*(ROWS($AH$360:AH379)-1)+1))/1000),((INDEX('M04-S02'!$AA$16:$AA$198,2*(ROWS($AH$360:AH379)-1)+1)*INDEX('M04-S02'!$Q$16:$Q$198,2*(ROWS($AH$360:AH379)-1)+1))/1000),""),"")</f>
        <v>0</v>
      </c>
      <c r="AI379" s="96"/>
      <c r="AJ379" s="96"/>
      <c r="AK379" s="52">
        <f>INDEX('M04-S02'!$AU$16:$AU$198,2*(ROWS($AK$360:AK379)-1)+1)</f>
        <v>0</v>
      </c>
      <c r="AL379" s="184">
        <f>IF(NOT(ISNUMBER(INDEX('M04-S02'!$AN$16:$AN$198,2*(ROWS($R$360:$R379)-1)+1))),INDEX('M04-S02'!$AD$16:$AD$198,2*(ROWS($AL$360:$AL379)-1)+1),"")</f>
        <v>0</v>
      </c>
      <c r="AM379" s="184">
        <f>IF(NOT(ISNUMBER(INDEX('M04-S02'!$AN$16:$AN$198,2*(ROWS($R$360:$R379)-1)+1))),INDEX('M04-S02'!$AF$16:$AF$198,2*(ROWS($AM$360:$AM379)-1)+1),"")</f>
        <v>0</v>
      </c>
      <c r="AN379" s="52">
        <f>IF(NOT(ISNUMBER(INDEX('M04-S02'!$AN$16:$AN$198,2*(ROWS($R$360:$R379)-1)+1))),INDEX('M04-S02'!$AH$16:$AH$198,2*(ROWS($AN$360:$AN379)-1)+1),"")</f>
        <v>0</v>
      </c>
      <c r="AO379" s="113"/>
      <c r="AU379"/>
    </row>
    <row r="380" spans="1:47">
      <c r="A380" s="57">
        <f t="shared" si="34"/>
        <v>0</v>
      </c>
      <c r="B380" s="183" t="str">
        <f t="shared" si="36"/>
        <v/>
      </c>
      <c r="C380" s="186" t="str">
        <f>IF(OR(R380&gt;0,T380&gt;0),INDEX('M04-S02'!$BE$16:$BE$198,2*(ROWS($C$360:C380)-1)+1),"")</f>
        <v/>
      </c>
      <c r="D380" t="s">
        <v>195</v>
      </c>
      <c r="F380" s="112"/>
      <c r="G380" s="96"/>
      <c r="H380" s="96"/>
      <c r="I380" s="184">
        <f>IFERROR(ROUND(IF(ISNUMBER(INDEX('M04-S02'!$AN$16:$AN$198,2*(ROWS($R$360:$R380)-1)+1)),INDEX('M04-S02'!$AF$16:$AF$198,2*(ROWS($I$360:$I380)-1)+1),""),2),0)</f>
        <v>0</v>
      </c>
      <c r="J380" s="184">
        <f>IFERROR(ROUND(IF(ISNUMBER(INDEX('M04-S02'!$AN$16:$AN$198,2*(ROWS($R$360:$R380)-1)+1)),INDEX('M04-S02'!$AW$16:$AW$198,2*(ROWS($J$360:$J380)-1)+1),""),2),0)</f>
        <v>0</v>
      </c>
      <c r="K380" s="52">
        <f>IFERROR(ROUND(IF(ISNUMBER(INDEX('M04-S02'!$AN$16:$AN$198,2*(ROWS($R$360:$R380)-1)+1)),INDEX('M04-S02'!$AF$16:$AF$198,2*(ROWS($K$360:$K380)-1)+1),""),2),0)</f>
        <v>0</v>
      </c>
      <c r="L380" s="52" t="str">
        <f>IF(ISNUMBER(INDEX('M04-S02'!$AN$16:$AN$198,2*(ROWS($R$360:R380)-1)+1)),ROUND(INDEX('M04-S02'!$BB$16:$BB$198,2*(ROWS($L$360:L380)-1)+1),4),"")</f>
        <v/>
      </c>
      <c r="M380" s="456" t="str">
        <f>IF(ISNUMBER(INDEX('M04-S02'!$AN$16:$AN$198,2*(ROWS($R$360:R380)-1)+1)),ROUND(INDEX('M04-S02'!$C$16:$C$198,2*(ROWS($M$360:M380)-1)+1)/1000,4),"")</f>
        <v/>
      </c>
      <c r="N380" s="184" t="str">
        <f>IF(ISNUMBER(INDEX('M04-S02'!$AN$16:$AN$198,2*(ROWS($R$360:R380)-1)+1)),INDEX('M04-S02'!$AK$16:$AK$198,2*(ROWS($N$360:N380)-1)+1),"")</f>
        <v/>
      </c>
      <c r="O380" s="456" t="str">
        <f>IF(ISNUMBER(INDEX('M04-S02'!$AN$16:$AN$198,2*(ROWS($R$360:R380)-1)+1)),INDEX('M04-S02'!$AV$16:$AV$198,2*(ROWS($O$360:O380)-1)+1),"")</f>
        <v/>
      </c>
      <c r="P380" s="113"/>
      <c r="Q380" s="113"/>
      <c r="R380" s="184">
        <f>IF(ISNUMBER(INDEX('M04-S02'!$AN$16:$AN$198,2*(ROWS($R$360:R380)-1)+1)),INDEX('M04-S02'!$AN$16:$AN$198,2*(ROWS($R$360:R380)-1)+1),0)</f>
        <v>0</v>
      </c>
      <c r="S380" s="23">
        <f>IF(NOT(ISNUMBER(INDEX('M04-S02'!$AN$16:$AN$198,2*(ROWS($R$360:R380)-1)+1))),ROUND(INDEX('M04-S02'!$C$16:$C$198,2*(ROWS($S$360:S380)-1)+1)/1000,4),"")</f>
        <v>0</v>
      </c>
      <c r="T380" s="52">
        <f>IFERROR(IF(NOT(ISNUMBER(INDEX('M04-S02'!$AN$16:$AN$198,2*(ROWS($R$360:R380)-1)+1))),INDEX('M04-S02'!$AK$16:$AK$198,2*(ROWS($R$360:R380)-1)+1),0),0)</f>
        <v>0</v>
      </c>
      <c r="U380" s="23">
        <f>IFERROR(IF(NOT(ISNUMBER(INDEX('M04-S02'!$AN$16:$AN$198,2*(ROWS($R$360:R380)-1)+1))),INDEX('M04-S02'!$AV$16:$AV$198,2*(ROWS($R$360:R380)-1)+1),0),"")</f>
        <v>0</v>
      </c>
      <c r="V380" s="113"/>
      <c r="W380">
        <f>IFERROR(IF(NOT(ISNUMBER(INDEX('M04-S02'!$AN$16:$AN$198,2*(ROWS($R$360:R380)-1)+1))),INDEX('M04-S02'!$BC$16:$BC$198,2*(ROWS($R$360:R380)-1)+1),""),"")</f>
        <v>0</v>
      </c>
      <c r="X380" s="184">
        <f>IFERROR(ROUND(INDEX('M04-S02'!$N$16:$N$198,2*(ROWS($X$360:X380)-1)+1),3),"")</f>
        <v>0</v>
      </c>
      <c r="Y380" s="184">
        <f>IFERROR(ROUND(INDEX('M04-S02'!$AA$16:$AA$198,2*(ROWS($Y$360:Y380)-1)+1),3),"")</f>
        <v>0</v>
      </c>
      <c r="Z380" s="111">
        <f>INDEX('M04-S02'!$B$16:$B$198,2*(ROWS($Z$360:Z380)-1)+1)</f>
        <v>21</v>
      </c>
      <c r="AA380" s="96"/>
      <c r="AB380" s="96"/>
      <c r="AC380">
        <f>INDEX('M04-S02'!$F$16:$F$198,2*(ROWS($AC$360:AC380)-1)+1)</f>
        <v>0</v>
      </c>
      <c r="AD380">
        <f>INDEX('M04-S02'!$S$16:$S$198,2*(ROWS($AD$360:AD380)-1)+1)</f>
        <v>0</v>
      </c>
      <c r="AE380" s="459"/>
      <c r="AF380" s="459"/>
      <c r="AG380" s="111">
        <f>IFERROR(IF(ISNUMBER((INDEX('M04-S02'!$N$16:$N$198,2*(ROWS($AG$360:AG380)-1)+1)*INDEX('M04-S02'!$Q$16:$Q$198,2*(ROWS($AG$360:AG380)-1)+1))/1000),((INDEX('M04-S02'!$N$16:$N$198,2*(ROWS($AG$360:AG380)-1)+1)*INDEX('M04-S02'!$Q$16:$Q$198,2*(ROWS($AG$360:AG380)-1)+1))/1000),""),"")</f>
        <v>0</v>
      </c>
      <c r="AH380" s="111">
        <f>IFERROR(IF(ISNUMBER((INDEX('M04-S02'!$AA$16:$AA$198,2*(ROWS($AH$360:AH380)-1)+1)*INDEX('M04-S02'!$Q$16:$Q$198,2*(ROWS($AH$360:AH380)-1)+1))/1000),((INDEX('M04-S02'!$AA$16:$AA$198,2*(ROWS($AH$360:AH380)-1)+1)*INDEX('M04-S02'!$Q$16:$Q$198,2*(ROWS($AH$360:AH380)-1)+1))/1000),""),"")</f>
        <v>0</v>
      </c>
      <c r="AI380" s="96"/>
      <c r="AJ380" s="96"/>
      <c r="AK380" s="52">
        <f>INDEX('M04-S02'!$AU$16:$AU$198,2*(ROWS($AK$360:AK380)-1)+1)</f>
        <v>0</v>
      </c>
      <c r="AL380" s="184">
        <f>IF(NOT(ISNUMBER(INDEX('M04-S02'!$AN$16:$AN$198,2*(ROWS($R$360:$R380)-1)+1))),INDEX('M04-S02'!$AD$16:$AD$198,2*(ROWS($AL$360:$AL380)-1)+1),"")</f>
        <v>0</v>
      </c>
      <c r="AM380" s="184">
        <f>IF(NOT(ISNUMBER(INDEX('M04-S02'!$AN$16:$AN$198,2*(ROWS($R$360:$R380)-1)+1))),INDEX('M04-S02'!$AF$16:$AF$198,2*(ROWS($AM$360:$AM380)-1)+1),"")</f>
        <v>0</v>
      </c>
      <c r="AN380" s="52">
        <f>IF(NOT(ISNUMBER(INDEX('M04-S02'!$AN$16:$AN$198,2*(ROWS($R$360:$R380)-1)+1))),INDEX('M04-S02'!$AH$16:$AH$198,2*(ROWS($AN$360:$AN380)-1)+1),"")</f>
        <v>0</v>
      </c>
      <c r="AO380" s="113"/>
      <c r="AU380"/>
    </row>
    <row r="381" spans="1:47">
      <c r="A381" s="57">
        <f t="shared" si="34"/>
        <v>0</v>
      </c>
      <c r="B381" s="183" t="str">
        <f t="shared" si="36"/>
        <v/>
      </c>
      <c r="C381" s="186" t="str">
        <f>IF(OR(R381&gt;0,T381&gt;0),INDEX('M04-S02'!$BE$16:$BE$198,2*(ROWS($C$360:C381)-1)+1),"")</f>
        <v/>
      </c>
      <c r="D381" t="s">
        <v>195</v>
      </c>
      <c r="F381" s="112"/>
      <c r="G381" s="96"/>
      <c r="H381" s="96"/>
      <c r="I381" s="184">
        <f>IFERROR(ROUND(IF(ISNUMBER(INDEX('M04-S02'!$AN$16:$AN$198,2*(ROWS($R$360:$R381)-1)+1)),INDEX('M04-S02'!$AF$16:$AF$198,2*(ROWS($I$360:$I381)-1)+1),""),2),0)</f>
        <v>0</v>
      </c>
      <c r="J381" s="184">
        <f>IFERROR(ROUND(IF(ISNUMBER(INDEX('M04-S02'!$AN$16:$AN$198,2*(ROWS($R$360:$R381)-1)+1)),INDEX('M04-S02'!$AW$16:$AW$198,2*(ROWS($J$360:$J381)-1)+1),""),2),0)</f>
        <v>0</v>
      </c>
      <c r="K381" s="52">
        <f>IFERROR(ROUND(IF(ISNUMBER(INDEX('M04-S02'!$AN$16:$AN$198,2*(ROWS($R$360:$R381)-1)+1)),INDEX('M04-S02'!$AF$16:$AF$198,2*(ROWS($K$360:$K381)-1)+1),""),2),0)</f>
        <v>0</v>
      </c>
      <c r="L381" s="52" t="str">
        <f>IF(ISNUMBER(INDEX('M04-S02'!$AN$16:$AN$198,2*(ROWS($R$360:R381)-1)+1)),ROUND(INDEX('M04-S02'!$BB$16:$BB$198,2*(ROWS($L$360:L381)-1)+1),4),"")</f>
        <v/>
      </c>
      <c r="M381" s="456" t="str">
        <f>IF(ISNUMBER(INDEX('M04-S02'!$AN$16:$AN$198,2*(ROWS($R$360:R381)-1)+1)),ROUND(INDEX('M04-S02'!$C$16:$C$198,2*(ROWS($M$360:M381)-1)+1)/1000,4),"")</f>
        <v/>
      </c>
      <c r="N381" s="184" t="str">
        <f>IF(ISNUMBER(INDEX('M04-S02'!$AN$16:$AN$198,2*(ROWS($R$360:R381)-1)+1)),INDEX('M04-S02'!$AK$16:$AK$198,2*(ROWS($N$360:N381)-1)+1),"")</f>
        <v/>
      </c>
      <c r="O381" s="456" t="str">
        <f>IF(ISNUMBER(INDEX('M04-S02'!$AN$16:$AN$198,2*(ROWS($R$360:R381)-1)+1)),INDEX('M04-S02'!$AV$16:$AV$198,2*(ROWS($O$360:O381)-1)+1),"")</f>
        <v/>
      </c>
      <c r="P381" s="113"/>
      <c r="Q381" s="113"/>
      <c r="R381" s="184">
        <f>IF(ISNUMBER(INDEX('M04-S02'!$AN$16:$AN$198,2*(ROWS($R$360:R381)-1)+1)),INDEX('M04-S02'!$AN$16:$AN$198,2*(ROWS($R$360:R381)-1)+1),0)</f>
        <v>0</v>
      </c>
      <c r="S381" s="23">
        <f>IF(NOT(ISNUMBER(INDEX('M04-S02'!$AN$16:$AN$198,2*(ROWS($R$360:R381)-1)+1))),ROUND(INDEX('M04-S02'!$C$16:$C$198,2*(ROWS($S$360:S381)-1)+1)/1000,4),"")</f>
        <v>0</v>
      </c>
      <c r="T381" s="52">
        <f>IFERROR(IF(NOT(ISNUMBER(INDEX('M04-S02'!$AN$16:$AN$198,2*(ROWS($R$360:R381)-1)+1))),INDEX('M04-S02'!$AK$16:$AK$198,2*(ROWS($R$360:R381)-1)+1),0),0)</f>
        <v>0</v>
      </c>
      <c r="U381" s="23">
        <f>IFERROR(IF(NOT(ISNUMBER(INDEX('M04-S02'!$AN$16:$AN$198,2*(ROWS($R$360:R381)-1)+1))),INDEX('M04-S02'!$AV$16:$AV$198,2*(ROWS($R$360:R381)-1)+1),0),"")</f>
        <v>0</v>
      </c>
      <c r="V381" s="113"/>
      <c r="W381">
        <f>IFERROR(IF(NOT(ISNUMBER(INDEX('M04-S02'!$AN$16:$AN$198,2*(ROWS($R$360:R381)-1)+1))),INDEX('M04-S02'!$BC$16:$BC$198,2*(ROWS($R$360:R381)-1)+1),""),"")</f>
        <v>0</v>
      </c>
      <c r="X381" s="184">
        <f>IFERROR(ROUND(INDEX('M04-S02'!$N$16:$N$198,2*(ROWS($X$360:X381)-1)+1),3),"")</f>
        <v>0</v>
      </c>
      <c r="Y381" s="184">
        <f>IFERROR(ROUND(INDEX('M04-S02'!$AA$16:$AA$198,2*(ROWS($Y$360:Y381)-1)+1),3),"")</f>
        <v>0</v>
      </c>
      <c r="Z381" s="111">
        <f>INDEX('M04-S02'!$B$16:$B$198,2*(ROWS($Z$360:Z381)-1)+1)</f>
        <v>22</v>
      </c>
      <c r="AA381" s="96"/>
      <c r="AB381" s="96"/>
      <c r="AC381">
        <f>INDEX('M04-S02'!$F$16:$F$198,2*(ROWS($AC$360:AC381)-1)+1)</f>
        <v>0</v>
      </c>
      <c r="AD381">
        <f>INDEX('M04-S02'!$S$16:$S$198,2*(ROWS($AD$360:AD381)-1)+1)</f>
        <v>0</v>
      </c>
      <c r="AE381" s="459"/>
      <c r="AF381" s="459"/>
      <c r="AG381" s="111">
        <f>IFERROR(IF(ISNUMBER((INDEX('M04-S02'!$N$16:$N$198,2*(ROWS($AG$360:AG381)-1)+1)*INDEX('M04-S02'!$Q$16:$Q$198,2*(ROWS($AG$360:AG381)-1)+1))/1000),((INDEX('M04-S02'!$N$16:$N$198,2*(ROWS($AG$360:AG381)-1)+1)*INDEX('M04-S02'!$Q$16:$Q$198,2*(ROWS($AG$360:AG381)-1)+1))/1000),""),"")</f>
        <v>0</v>
      </c>
      <c r="AH381" s="111">
        <f>IFERROR(IF(ISNUMBER((INDEX('M04-S02'!$AA$16:$AA$198,2*(ROWS($AH$360:AH381)-1)+1)*INDEX('M04-S02'!$Q$16:$Q$198,2*(ROWS($AH$360:AH381)-1)+1))/1000),((INDEX('M04-S02'!$AA$16:$AA$198,2*(ROWS($AH$360:AH381)-1)+1)*INDEX('M04-S02'!$Q$16:$Q$198,2*(ROWS($AH$360:AH381)-1)+1))/1000),""),"")</f>
        <v>0</v>
      </c>
      <c r="AI381" s="96"/>
      <c r="AJ381" s="96"/>
      <c r="AK381" s="52">
        <f>INDEX('M04-S02'!$AU$16:$AU$198,2*(ROWS($AK$360:AK381)-1)+1)</f>
        <v>0</v>
      </c>
      <c r="AL381" s="184">
        <f>IF(NOT(ISNUMBER(INDEX('M04-S02'!$AN$16:$AN$198,2*(ROWS($R$360:$R381)-1)+1))),INDEX('M04-S02'!$AD$16:$AD$198,2*(ROWS($AL$360:$AL381)-1)+1),"")</f>
        <v>0</v>
      </c>
      <c r="AM381" s="184">
        <f>IF(NOT(ISNUMBER(INDEX('M04-S02'!$AN$16:$AN$198,2*(ROWS($R$360:$R381)-1)+1))),INDEX('M04-S02'!$AF$16:$AF$198,2*(ROWS($AM$360:$AM381)-1)+1),"")</f>
        <v>0</v>
      </c>
      <c r="AN381" s="52">
        <f>IF(NOT(ISNUMBER(INDEX('M04-S02'!$AN$16:$AN$198,2*(ROWS($R$360:$R381)-1)+1))),INDEX('M04-S02'!$AH$16:$AH$198,2*(ROWS($AN$360:$AN381)-1)+1),"")</f>
        <v>0</v>
      </c>
      <c r="AO381" s="113"/>
      <c r="AU381"/>
    </row>
    <row r="382" spans="1:47">
      <c r="A382" s="57">
        <f t="shared" si="34"/>
        <v>0</v>
      </c>
      <c r="B382" s="183" t="str">
        <f t="shared" si="36"/>
        <v/>
      </c>
      <c r="C382" s="186" t="str">
        <f>IF(OR(R382&gt;0,T382&gt;0),INDEX('M04-S02'!$BE$16:$BE$198,2*(ROWS($C$360:C382)-1)+1),"")</f>
        <v/>
      </c>
      <c r="D382" t="s">
        <v>195</v>
      </c>
      <c r="F382" s="112"/>
      <c r="G382" s="96"/>
      <c r="H382" s="96"/>
      <c r="I382" s="184">
        <f>IFERROR(ROUND(IF(ISNUMBER(INDEX('M04-S02'!$AN$16:$AN$198,2*(ROWS($R$360:$R382)-1)+1)),INDEX('M04-S02'!$AF$16:$AF$198,2*(ROWS($I$360:$I382)-1)+1),""),2),0)</f>
        <v>0</v>
      </c>
      <c r="J382" s="184">
        <f>IFERROR(ROUND(IF(ISNUMBER(INDEX('M04-S02'!$AN$16:$AN$198,2*(ROWS($R$360:$R382)-1)+1)),INDEX('M04-S02'!$AW$16:$AW$198,2*(ROWS($J$360:$J382)-1)+1),""),2),0)</f>
        <v>0</v>
      </c>
      <c r="K382" s="52">
        <f>IFERROR(ROUND(IF(ISNUMBER(INDEX('M04-S02'!$AN$16:$AN$198,2*(ROWS($R$360:$R382)-1)+1)),INDEX('M04-S02'!$AF$16:$AF$198,2*(ROWS($K$360:$K382)-1)+1),""),2),0)</f>
        <v>0</v>
      </c>
      <c r="L382" s="52" t="str">
        <f>IF(ISNUMBER(INDEX('M04-S02'!$AN$16:$AN$198,2*(ROWS($R$360:R382)-1)+1)),ROUND(INDEX('M04-S02'!$BB$16:$BB$198,2*(ROWS($L$360:L382)-1)+1),4),"")</f>
        <v/>
      </c>
      <c r="M382" s="456" t="str">
        <f>IF(ISNUMBER(INDEX('M04-S02'!$AN$16:$AN$198,2*(ROWS($R$360:R382)-1)+1)),ROUND(INDEX('M04-S02'!$C$16:$C$198,2*(ROWS($M$360:M382)-1)+1)/1000,4),"")</f>
        <v/>
      </c>
      <c r="N382" s="184" t="str">
        <f>IF(ISNUMBER(INDEX('M04-S02'!$AN$16:$AN$198,2*(ROWS($R$360:R382)-1)+1)),INDEX('M04-S02'!$AK$16:$AK$198,2*(ROWS($N$360:N382)-1)+1),"")</f>
        <v/>
      </c>
      <c r="O382" s="456" t="str">
        <f>IF(ISNUMBER(INDEX('M04-S02'!$AN$16:$AN$198,2*(ROWS($R$360:R382)-1)+1)),INDEX('M04-S02'!$AV$16:$AV$198,2*(ROWS($O$360:O382)-1)+1),"")</f>
        <v/>
      </c>
      <c r="P382" s="113"/>
      <c r="Q382" s="113"/>
      <c r="R382" s="184">
        <f>IF(ISNUMBER(INDEX('M04-S02'!$AN$16:$AN$198,2*(ROWS($R$360:R382)-1)+1)),INDEX('M04-S02'!$AN$16:$AN$198,2*(ROWS($R$360:R382)-1)+1),0)</f>
        <v>0</v>
      </c>
      <c r="S382" s="23">
        <f>IF(NOT(ISNUMBER(INDEX('M04-S02'!$AN$16:$AN$198,2*(ROWS($R$360:R382)-1)+1))),ROUND(INDEX('M04-S02'!$C$16:$C$198,2*(ROWS($S$360:S382)-1)+1)/1000,4),"")</f>
        <v>0</v>
      </c>
      <c r="T382" s="52">
        <f>IFERROR(IF(NOT(ISNUMBER(INDEX('M04-S02'!$AN$16:$AN$198,2*(ROWS($R$360:R382)-1)+1))),INDEX('M04-S02'!$AK$16:$AK$198,2*(ROWS($R$360:R382)-1)+1),0),0)</f>
        <v>0</v>
      </c>
      <c r="U382" s="23">
        <f>IFERROR(IF(NOT(ISNUMBER(INDEX('M04-S02'!$AN$16:$AN$198,2*(ROWS($R$360:R382)-1)+1))),INDEX('M04-S02'!$AV$16:$AV$198,2*(ROWS($R$360:R382)-1)+1),0),"")</f>
        <v>0</v>
      </c>
      <c r="V382" s="113"/>
      <c r="W382">
        <f>IFERROR(IF(NOT(ISNUMBER(INDEX('M04-S02'!$AN$16:$AN$198,2*(ROWS($R$360:R382)-1)+1))),INDEX('M04-S02'!$BC$16:$BC$198,2*(ROWS($R$360:R382)-1)+1),""),"")</f>
        <v>0</v>
      </c>
      <c r="X382" s="184">
        <f>IFERROR(ROUND(INDEX('M04-S02'!$N$16:$N$198,2*(ROWS($X$360:X382)-1)+1),3),"")</f>
        <v>0</v>
      </c>
      <c r="Y382" s="184">
        <f>IFERROR(ROUND(INDEX('M04-S02'!$AA$16:$AA$198,2*(ROWS($Y$360:Y382)-1)+1),3),"")</f>
        <v>0</v>
      </c>
      <c r="Z382" s="111">
        <f>INDEX('M04-S02'!$B$16:$B$198,2*(ROWS($Z$360:Z382)-1)+1)</f>
        <v>23</v>
      </c>
      <c r="AA382" s="96"/>
      <c r="AB382" s="96"/>
      <c r="AC382">
        <f>INDEX('M04-S02'!$F$16:$F$198,2*(ROWS($AC$360:AC382)-1)+1)</f>
        <v>0</v>
      </c>
      <c r="AD382">
        <f>INDEX('M04-S02'!$S$16:$S$198,2*(ROWS($AD$360:AD382)-1)+1)</f>
        <v>0</v>
      </c>
      <c r="AE382" s="459"/>
      <c r="AF382" s="459"/>
      <c r="AG382" s="111">
        <f>IFERROR(IF(ISNUMBER((INDEX('M04-S02'!$N$16:$N$198,2*(ROWS($AG$360:AG382)-1)+1)*INDEX('M04-S02'!$Q$16:$Q$198,2*(ROWS($AG$360:AG382)-1)+1))/1000),((INDEX('M04-S02'!$N$16:$N$198,2*(ROWS($AG$360:AG382)-1)+1)*INDEX('M04-S02'!$Q$16:$Q$198,2*(ROWS($AG$360:AG382)-1)+1))/1000),""),"")</f>
        <v>0</v>
      </c>
      <c r="AH382" s="111">
        <f>IFERROR(IF(ISNUMBER((INDEX('M04-S02'!$AA$16:$AA$198,2*(ROWS($AH$360:AH382)-1)+1)*INDEX('M04-S02'!$Q$16:$Q$198,2*(ROWS($AH$360:AH382)-1)+1))/1000),((INDEX('M04-S02'!$AA$16:$AA$198,2*(ROWS($AH$360:AH382)-1)+1)*INDEX('M04-S02'!$Q$16:$Q$198,2*(ROWS($AH$360:AH382)-1)+1))/1000),""),"")</f>
        <v>0</v>
      </c>
      <c r="AI382" s="96"/>
      <c r="AJ382" s="96"/>
      <c r="AK382" s="52">
        <f>INDEX('M04-S02'!$AU$16:$AU$198,2*(ROWS($AK$360:AK382)-1)+1)</f>
        <v>0</v>
      </c>
      <c r="AL382" s="184">
        <f>IF(NOT(ISNUMBER(INDEX('M04-S02'!$AN$16:$AN$198,2*(ROWS($R$360:$R382)-1)+1))),INDEX('M04-S02'!$AD$16:$AD$198,2*(ROWS($AL$360:$AL382)-1)+1),"")</f>
        <v>0</v>
      </c>
      <c r="AM382" s="184">
        <f>IF(NOT(ISNUMBER(INDEX('M04-S02'!$AN$16:$AN$198,2*(ROWS($R$360:$R382)-1)+1))),INDEX('M04-S02'!$AF$16:$AF$198,2*(ROWS($AM$360:$AM382)-1)+1),"")</f>
        <v>0</v>
      </c>
      <c r="AN382" s="52">
        <f>IF(NOT(ISNUMBER(INDEX('M04-S02'!$AN$16:$AN$198,2*(ROWS($R$360:$R382)-1)+1))),INDEX('M04-S02'!$AH$16:$AH$198,2*(ROWS($AN$360:$AN382)-1)+1),"")</f>
        <v>0</v>
      </c>
      <c r="AO382" s="113"/>
      <c r="AU382"/>
    </row>
    <row r="383" spans="1:47">
      <c r="A383" s="57">
        <f t="shared" si="34"/>
        <v>0</v>
      </c>
      <c r="B383" s="183" t="str">
        <f t="shared" si="36"/>
        <v/>
      </c>
      <c r="C383" s="186" t="str">
        <f>IF(OR(R383&gt;0,T383&gt;0),INDEX('M04-S02'!$BE$16:$BE$198,2*(ROWS($C$360:C383)-1)+1),"")</f>
        <v/>
      </c>
      <c r="D383" t="s">
        <v>195</v>
      </c>
      <c r="F383" s="112"/>
      <c r="G383" s="96"/>
      <c r="H383" s="96"/>
      <c r="I383" s="184">
        <f>IFERROR(ROUND(IF(ISNUMBER(INDEX('M04-S02'!$AN$16:$AN$198,2*(ROWS($R$360:$R383)-1)+1)),INDEX('M04-S02'!$AF$16:$AF$198,2*(ROWS($I$360:$I383)-1)+1),""),2),0)</f>
        <v>0</v>
      </c>
      <c r="J383" s="184">
        <f>IFERROR(ROUND(IF(ISNUMBER(INDEX('M04-S02'!$AN$16:$AN$198,2*(ROWS($R$360:$R383)-1)+1)),INDEX('M04-S02'!$AW$16:$AW$198,2*(ROWS($J$360:$J383)-1)+1),""),2),0)</f>
        <v>0</v>
      </c>
      <c r="K383" s="52">
        <f>IFERROR(ROUND(IF(ISNUMBER(INDEX('M04-S02'!$AN$16:$AN$198,2*(ROWS($R$360:$R383)-1)+1)),INDEX('M04-S02'!$AF$16:$AF$198,2*(ROWS($K$360:$K383)-1)+1),""),2),0)</f>
        <v>0</v>
      </c>
      <c r="L383" s="52" t="str">
        <f>IF(ISNUMBER(INDEX('M04-S02'!$AN$16:$AN$198,2*(ROWS($R$360:R383)-1)+1)),ROUND(INDEX('M04-S02'!$BB$16:$BB$198,2*(ROWS($L$360:L383)-1)+1),4),"")</f>
        <v/>
      </c>
      <c r="M383" s="456" t="str">
        <f>IF(ISNUMBER(INDEX('M04-S02'!$AN$16:$AN$198,2*(ROWS($R$360:R383)-1)+1)),ROUND(INDEX('M04-S02'!$C$16:$C$198,2*(ROWS($M$360:M383)-1)+1)/1000,4),"")</f>
        <v/>
      </c>
      <c r="N383" s="184" t="str">
        <f>IF(ISNUMBER(INDEX('M04-S02'!$AN$16:$AN$198,2*(ROWS($R$360:R383)-1)+1)),INDEX('M04-S02'!$AK$16:$AK$198,2*(ROWS($N$360:N383)-1)+1),"")</f>
        <v/>
      </c>
      <c r="O383" s="456" t="str">
        <f>IF(ISNUMBER(INDEX('M04-S02'!$AN$16:$AN$198,2*(ROWS($R$360:R383)-1)+1)),INDEX('M04-S02'!$AV$16:$AV$198,2*(ROWS($O$360:O383)-1)+1),"")</f>
        <v/>
      </c>
      <c r="P383" s="113"/>
      <c r="Q383" s="113"/>
      <c r="R383" s="184">
        <f>IF(ISNUMBER(INDEX('M04-S02'!$AN$16:$AN$198,2*(ROWS($R$360:R383)-1)+1)),INDEX('M04-S02'!$AN$16:$AN$198,2*(ROWS($R$360:R383)-1)+1),0)</f>
        <v>0</v>
      </c>
      <c r="S383" s="23">
        <f>IF(NOT(ISNUMBER(INDEX('M04-S02'!$AN$16:$AN$198,2*(ROWS($R$360:R383)-1)+1))),ROUND(INDEX('M04-S02'!$C$16:$C$198,2*(ROWS($S$360:S383)-1)+1)/1000,4),"")</f>
        <v>0</v>
      </c>
      <c r="T383" s="52">
        <f>IFERROR(IF(NOT(ISNUMBER(INDEX('M04-S02'!$AN$16:$AN$198,2*(ROWS($R$360:R383)-1)+1))),INDEX('M04-S02'!$AK$16:$AK$198,2*(ROWS($R$360:R383)-1)+1),0),0)</f>
        <v>0</v>
      </c>
      <c r="U383" s="23">
        <f>IFERROR(IF(NOT(ISNUMBER(INDEX('M04-S02'!$AN$16:$AN$198,2*(ROWS($R$360:R383)-1)+1))),INDEX('M04-S02'!$AV$16:$AV$198,2*(ROWS($R$360:R383)-1)+1),0),"")</f>
        <v>0</v>
      </c>
      <c r="V383" s="113"/>
      <c r="W383">
        <f>IFERROR(IF(NOT(ISNUMBER(INDEX('M04-S02'!$AN$16:$AN$198,2*(ROWS($R$360:R383)-1)+1))),INDEX('M04-S02'!$BC$16:$BC$198,2*(ROWS($R$360:R383)-1)+1),""),"")</f>
        <v>0</v>
      </c>
      <c r="X383" s="184">
        <f>IFERROR(ROUND(INDEX('M04-S02'!$N$16:$N$198,2*(ROWS($X$360:X383)-1)+1),3),"")</f>
        <v>0</v>
      </c>
      <c r="Y383" s="184">
        <f>IFERROR(ROUND(INDEX('M04-S02'!$AA$16:$AA$198,2*(ROWS($Y$360:Y383)-1)+1),3),"")</f>
        <v>0</v>
      </c>
      <c r="Z383" s="111">
        <f>INDEX('M04-S02'!$B$16:$B$198,2*(ROWS($Z$360:Z383)-1)+1)</f>
        <v>24</v>
      </c>
      <c r="AA383" s="96"/>
      <c r="AB383" s="96"/>
      <c r="AC383">
        <f>INDEX('M04-S02'!$F$16:$F$198,2*(ROWS($AC$360:AC383)-1)+1)</f>
        <v>0</v>
      </c>
      <c r="AD383">
        <f>INDEX('M04-S02'!$S$16:$S$198,2*(ROWS($AD$360:AD383)-1)+1)</f>
        <v>0</v>
      </c>
      <c r="AE383" s="459"/>
      <c r="AF383" s="459"/>
      <c r="AG383" s="111">
        <f>IFERROR(IF(ISNUMBER((INDEX('M04-S02'!$N$16:$N$198,2*(ROWS($AG$360:AG383)-1)+1)*INDEX('M04-S02'!$Q$16:$Q$198,2*(ROWS($AG$360:AG383)-1)+1))/1000),((INDEX('M04-S02'!$N$16:$N$198,2*(ROWS($AG$360:AG383)-1)+1)*INDEX('M04-S02'!$Q$16:$Q$198,2*(ROWS($AG$360:AG383)-1)+1))/1000),""),"")</f>
        <v>0</v>
      </c>
      <c r="AH383" s="111">
        <f>IFERROR(IF(ISNUMBER((INDEX('M04-S02'!$AA$16:$AA$198,2*(ROWS($AH$360:AH383)-1)+1)*INDEX('M04-S02'!$Q$16:$Q$198,2*(ROWS($AH$360:AH383)-1)+1))/1000),((INDEX('M04-S02'!$AA$16:$AA$198,2*(ROWS($AH$360:AH383)-1)+1)*INDEX('M04-S02'!$Q$16:$Q$198,2*(ROWS($AH$360:AH383)-1)+1))/1000),""),"")</f>
        <v>0</v>
      </c>
      <c r="AI383" s="96"/>
      <c r="AJ383" s="96"/>
      <c r="AK383" s="52">
        <f>INDEX('M04-S02'!$AU$16:$AU$198,2*(ROWS($AK$360:AK383)-1)+1)</f>
        <v>0</v>
      </c>
      <c r="AL383" s="184">
        <f>IF(NOT(ISNUMBER(INDEX('M04-S02'!$AN$16:$AN$198,2*(ROWS($R$360:$R383)-1)+1))),INDEX('M04-S02'!$AD$16:$AD$198,2*(ROWS($AL$360:$AL383)-1)+1),"")</f>
        <v>0</v>
      </c>
      <c r="AM383" s="184">
        <f>IF(NOT(ISNUMBER(INDEX('M04-S02'!$AN$16:$AN$198,2*(ROWS($R$360:$R383)-1)+1))),INDEX('M04-S02'!$AF$16:$AF$198,2*(ROWS($AM$360:$AM383)-1)+1),"")</f>
        <v>0</v>
      </c>
      <c r="AN383" s="52">
        <f>IF(NOT(ISNUMBER(INDEX('M04-S02'!$AN$16:$AN$198,2*(ROWS($R$360:$R383)-1)+1))),INDEX('M04-S02'!$AH$16:$AH$198,2*(ROWS($AN$360:$AN383)-1)+1),"")</f>
        <v>0</v>
      </c>
      <c r="AO383" s="113"/>
      <c r="AU383"/>
    </row>
    <row r="384" spans="1:47">
      <c r="A384" s="57">
        <f t="shared" si="34"/>
        <v>0</v>
      </c>
      <c r="B384" s="183" t="str">
        <f t="shared" si="36"/>
        <v/>
      </c>
      <c r="C384" s="186" t="str">
        <f>IF(OR(R384&gt;0,T384&gt;0),INDEX('M04-S02'!$BE$16:$BE$198,2*(ROWS($C$360:C384)-1)+1),"")</f>
        <v/>
      </c>
      <c r="D384" t="s">
        <v>195</v>
      </c>
      <c r="F384" s="112"/>
      <c r="G384" s="96"/>
      <c r="H384" s="96"/>
      <c r="I384" s="184">
        <f>IFERROR(ROUND(IF(ISNUMBER(INDEX('M04-S02'!$AN$16:$AN$198,2*(ROWS($R$360:$R384)-1)+1)),INDEX('M04-S02'!$AF$16:$AF$198,2*(ROWS($I$360:$I384)-1)+1),""),2),0)</f>
        <v>0</v>
      </c>
      <c r="J384" s="184">
        <f>IFERROR(ROUND(IF(ISNUMBER(INDEX('M04-S02'!$AN$16:$AN$198,2*(ROWS($R$360:$R384)-1)+1)),INDEX('M04-S02'!$AW$16:$AW$198,2*(ROWS($J$360:$J384)-1)+1),""),2),0)</f>
        <v>0</v>
      </c>
      <c r="K384" s="52">
        <f>IFERROR(ROUND(IF(ISNUMBER(INDEX('M04-S02'!$AN$16:$AN$198,2*(ROWS($R$360:$R384)-1)+1)),INDEX('M04-S02'!$AF$16:$AF$198,2*(ROWS($K$360:$K384)-1)+1),""),2),0)</f>
        <v>0</v>
      </c>
      <c r="L384" s="52" t="str">
        <f>IF(ISNUMBER(INDEX('M04-S02'!$AN$16:$AN$198,2*(ROWS($R$360:R384)-1)+1)),ROUND(INDEX('M04-S02'!$BB$16:$BB$198,2*(ROWS($L$360:L384)-1)+1),4),"")</f>
        <v/>
      </c>
      <c r="M384" s="456" t="str">
        <f>IF(ISNUMBER(INDEX('M04-S02'!$AN$16:$AN$198,2*(ROWS($R$360:R384)-1)+1)),ROUND(INDEX('M04-S02'!$C$16:$C$198,2*(ROWS($M$360:M384)-1)+1)/1000,4),"")</f>
        <v/>
      </c>
      <c r="N384" s="184" t="str">
        <f>IF(ISNUMBER(INDEX('M04-S02'!$AN$16:$AN$198,2*(ROWS($R$360:R384)-1)+1)),INDEX('M04-S02'!$AK$16:$AK$198,2*(ROWS($N$360:N384)-1)+1),"")</f>
        <v/>
      </c>
      <c r="O384" s="456" t="str">
        <f>IF(ISNUMBER(INDEX('M04-S02'!$AN$16:$AN$198,2*(ROWS($R$360:R384)-1)+1)),INDEX('M04-S02'!$AV$16:$AV$198,2*(ROWS($O$360:O384)-1)+1),"")</f>
        <v/>
      </c>
      <c r="P384" s="113"/>
      <c r="Q384" s="113"/>
      <c r="R384" s="184">
        <f>IF(ISNUMBER(INDEX('M04-S02'!$AN$16:$AN$198,2*(ROWS($R$360:R384)-1)+1)),INDEX('M04-S02'!$AN$16:$AN$198,2*(ROWS($R$360:R384)-1)+1),0)</f>
        <v>0</v>
      </c>
      <c r="S384" s="23">
        <f>IF(NOT(ISNUMBER(INDEX('M04-S02'!$AN$16:$AN$198,2*(ROWS($R$360:R384)-1)+1))),ROUND(INDEX('M04-S02'!$C$16:$C$198,2*(ROWS($S$360:S384)-1)+1)/1000,4),"")</f>
        <v>0</v>
      </c>
      <c r="T384" s="52">
        <f>IFERROR(IF(NOT(ISNUMBER(INDEX('M04-S02'!$AN$16:$AN$198,2*(ROWS($R$360:R384)-1)+1))),INDEX('M04-S02'!$AK$16:$AK$198,2*(ROWS($R$360:R384)-1)+1),0),0)</f>
        <v>0</v>
      </c>
      <c r="U384" s="23">
        <f>IFERROR(IF(NOT(ISNUMBER(INDEX('M04-S02'!$AN$16:$AN$198,2*(ROWS($R$360:R384)-1)+1))),INDEX('M04-S02'!$AV$16:$AV$198,2*(ROWS($R$360:R384)-1)+1),0),"")</f>
        <v>0</v>
      </c>
      <c r="V384" s="113"/>
      <c r="W384">
        <f>IFERROR(IF(NOT(ISNUMBER(INDEX('M04-S02'!$AN$16:$AN$198,2*(ROWS($R$360:R384)-1)+1))),INDEX('M04-S02'!$BC$16:$BC$198,2*(ROWS($R$360:R384)-1)+1),""),"")</f>
        <v>0</v>
      </c>
      <c r="X384" s="184">
        <f>IFERROR(ROUND(INDEX('M04-S02'!$N$16:$N$198,2*(ROWS($X$360:X384)-1)+1),3),"")</f>
        <v>0</v>
      </c>
      <c r="Y384" s="184">
        <f>IFERROR(ROUND(INDEX('M04-S02'!$AA$16:$AA$198,2*(ROWS($Y$360:Y384)-1)+1),3),"")</f>
        <v>0</v>
      </c>
      <c r="Z384" s="111">
        <f>INDEX('M04-S02'!$B$16:$B$198,2*(ROWS($Z$360:Z384)-1)+1)</f>
        <v>25</v>
      </c>
      <c r="AA384" s="96"/>
      <c r="AB384" s="96"/>
      <c r="AC384">
        <f>INDEX('M04-S02'!$F$16:$F$198,2*(ROWS($AC$360:AC384)-1)+1)</f>
        <v>0</v>
      </c>
      <c r="AD384">
        <f>INDEX('M04-S02'!$S$16:$S$198,2*(ROWS($AD$360:AD384)-1)+1)</f>
        <v>0</v>
      </c>
      <c r="AE384" s="459"/>
      <c r="AF384" s="459"/>
      <c r="AG384" s="111">
        <f>IFERROR(IF(ISNUMBER((INDEX('M04-S02'!$N$16:$N$198,2*(ROWS($AG$360:AG384)-1)+1)*INDEX('M04-S02'!$Q$16:$Q$198,2*(ROWS($AG$360:AG384)-1)+1))/1000),((INDEX('M04-S02'!$N$16:$N$198,2*(ROWS($AG$360:AG384)-1)+1)*INDEX('M04-S02'!$Q$16:$Q$198,2*(ROWS($AG$360:AG384)-1)+1))/1000),""),"")</f>
        <v>0</v>
      </c>
      <c r="AH384" s="111">
        <f>IFERROR(IF(ISNUMBER((INDEX('M04-S02'!$AA$16:$AA$198,2*(ROWS($AH$360:AH384)-1)+1)*INDEX('M04-S02'!$Q$16:$Q$198,2*(ROWS($AH$360:AH384)-1)+1))/1000),((INDEX('M04-S02'!$AA$16:$AA$198,2*(ROWS($AH$360:AH384)-1)+1)*INDEX('M04-S02'!$Q$16:$Q$198,2*(ROWS($AH$360:AH384)-1)+1))/1000),""),"")</f>
        <v>0</v>
      </c>
      <c r="AI384" s="96"/>
      <c r="AJ384" s="96"/>
      <c r="AK384" s="52">
        <f>INDEX('M04-S02'!$AU$16:$AU$198,2*(ROWS($AK$360:AK384)-1)+1)</f>
        <v>0</v>
      </c>
      <c r="AL384" s="184">
        <f>IF(NOT(ISNUMBER(INDEX('M04-S02'!$AN$16:$AN$198,2*(ROWS($R$360:$R384)-1)+1))),INDEX('M04-S02'!$AD$16:$AD$198,2*(ROWS($AL$360:$AL384)-1)+1),"")</f>
        <v>0</v>
      </c>
      <c r="AM384" s="184">
        <f>IF(NOT(ISNUMBER(INDEX('M04-S02'!$AN$16:$AN$198,2*(ROWS($R$360:$R384)-1)+1))),INDEX('M04-S02'!$AF$16:$AF$198,2*(ROWS($AM$360:$AM384)-1)+1),"")</f>
        <v>0</v>
      </c>
      <c r="AN384" s="52">
        <f>IF(NOT(ISNUMBER(INDEX('M04-S02'!$AN$16:$AN$198,2*(ROWS($R$360:$R384)-1)+1))),INDEX('M04-S02'!$AH$16:$AH$198,2*(ROWS($AN$360:$AN384)-1)+1),"")</f>
        <v>0</v>
      </c>
      <c r="AO384" s="113"/>
      <c r="AU384"/>
    </row>
    <row r="385" spans="1:47">
      <c r="A385" s="149" t="str">
        <f>CONCATENATE(MAIN4," ",M4S3)</f>
        <v>CUSTOM MEASURES INPUT Custom / RCx / New Construction
 Non-Lighting (Electric)</v>
      </c>
      <c r="B385" s="150"/>
      <c r="C385" s="150"/>
      <c r="D385" s="129"/>
      <c r="E385" s="129"/>
      <c r="F385" s="130"/>
      <c r="G385" s="129"/>
      <c r="H385" s="129"/>
      <c r="I385" s="131"/>
      <c r="J385" s="131"/>
      <c r="K385" s="131"/>
      <c r="L385" s="131"/>
      <c r="M385" s="458"/>
      <c r="N385" s="131"/>
      <c r="O385" s="458"/>
      <c r="P385" s="131"/>
      <c r="Q385" s="131"/>
      <c r="R385" s="131"/>
      <c r="S385" s="458"/>
      <c r="T385" s="131"/>
      <c r="U385" s="458"/>
      <c r="V385" s="131"/>
      <c r="W385" s="129"/>
      <c r="X385" s="131"/>
      <c r="Y385" s="131"/>
      <c r="Z385" s="130"/>
      <c r="AA385" s="130"/>
      <c r="AB385" s="130"/>
      <c r="AC385" s="129"/>
      <c r="AD385" s="129"/>
      <c r="AE385" s="467"/>
      <c r="AF385" s="467"/>
      <c r="AG385" s="130"/>
      <c r="AH385" s="130"/>
      <c r="AI385" s="130"/>
      <c r="AJ385" s="130"/>
      <c r="AK385" s="131"/>
      <c r="AL385" s="131"/>
      <c r="AM385" s="131"/>
      <c r="AN385" s="131"/>
      <c r="AO385" s="131"/>
      <c r="AU385"/>
    </row>
    <row r="386" spans="1:47">
      <c r="A386" s="57">
        <f t="shared" ref="A386:A435" si="37">PROJID</f>
        <v>0</v>
      </c>
      <c r="B386" s="183" t="str">
        <f t="shared" ref="B386" si="38">IF(C386="","",CONCATENATE(ROW(),"-",C386))</f>
        <v/>
      </c>
      <c r="C386" s="186" t="str">
        <f>IF(OR(R386&gt;0,T386&gt;0),INDEX('M04-S03'!$BD$16:$BD$198,2*(ROWS($C$386:C386)-1)+1),"")</f>
        <v/>
      </c>
      <c r="D386" t="str">
        <f>INDEX('M04-S03'!$BG$16:$BG$198,2*(ROWS($AC$386:AC386)-1)+1)</f>
        <v/>
      </c>
      <c r="E386" s="112"/>
      <c r="F386" s="112"/>
      <c r="G386" s="96"/>
      <c r="H386" s="184" t="str">
        <f>INDEX('M04-S03'!$AB$16:$AB$198,2*(ROWS($AC$386:AC386)-1)+1)</f>
        <v/>
      </c>
      <c r="I386" s="184">
        <f>IFERROR(ROUND(IF(ISNUMBER(INDEX('M04-S03'!$AN$16:$AN$198,2*(ROWS($R$386:$R386)-1)+1)),INDEX('M04-S03'!$AD$16:$AD$198,2*(ROWS($I$386:$I386)-1)+1),""),2),0)</f>
        <v>0</v>
      </c>
      <c r="J386" s="184">
        <f>IFERROR(ROUND(IF(ISNUMBER(INDEX('M04-S03'!$AN$16:$AN$198,2*(ROWS($R$386:$R386)-1)+1)),INDEX('M04-S03'!$AF$16:$AF$198,2*(ROWS($J$386:$J386)-1)+1),""),2),0)</f>
        <v>0</v>
      </c>
      <c r="K386" s="52">
        <f>IFERROR(ROUND(IF(ISNUMBER(INDEX('M04-S03'!$AN$16:$AN$198,2*(ROWS($R$386:$R386)-1)+1)),INDEX('M04-S03'!$AH$16:$AH$198,2*(ROWS($K$386:$K386)-1)+1),""),2),0)</f>
        <v>0</v>
      </c>
      <c r="L386" s="52">
        <f>IFERROR(ROUND(IF(ISNUMBER(INDEX('M04-S03'!$AN$16:$AN$198,2*(ROWS($R$386:$R386)-1)+1)),INDEX('M04-S03'!$BF$16:$BF$198,2*(ROWS($L$386:$L386)-1)+1),""),2),0)</f>
        <v>0</v>
      </c>
      <c r="M386" s="456" t="str">
        <f>IF(ISNUMBER(INDEX('M04-S03'!$AN$16:$AN$198,2*(ROWS($R$386:R386)-1)+1)),INDEX('M04-S03'!$X$16:$X$198,2*(ROWS($M$386:M386)-1)+1),"")</f>
        <v/>
      </c>
      <c r="N386" s="184" t="str">
        <f>IFERROR(IF(ISNUMBER(INDEX('M04-S03'!$AN$16:$AN$198,2*(ROWS($R$386:R386)-1)+1)),INDEX('M04-S03'!$AK$16:$AK$198,2*(ROWS($N$386:N386)-1)+1),""),"")</f>
        <v/>
      </c>
      <c r="O386" s="456" t="str">
        <f>IFERROR(IF(ISNUMBER(INDEX('M04-S03'!$AN$16:$AN$198,2*(ROWS($R$386:R386)-1)+1)),INDEX('M04-S03'!$AX$16:$AX$198,2*(ROWS($O$386:O386)-1)+1),""),"")</f>
        <v/>
      </c>
      <c r="P386" s="113"/>
      <c r="Q386" s="113"/>
      <c r="R386" s="184">
        <f>IF(ISNUMBER(INDEX('M04-S03'!$AN$16:$AN$198,2*(ROWS($R$386:R386)-1)+1)),INDEX('M04-S03'!$AN$16:$AN$198,2*(ROWS($R$386:R386)-1)+1),0)</f>
        <v>0</v>
      </c>
      <c r="S386" s="23" t="str">
        <f>IF(NOT(ISNUMBER(INDEX('M04-S03'!$AN$16:$AN$198,2*(ROWS($R$386:R386)-1)+1))),INDEX('M04-S03'!$X$16:$X$198,2*(ROWS($S$386:S386)-1)+1),"")</f>
        <v/>
      </c>
      <c r="T386" s="52" t="str">
        <f>IFERROR(IF(NOT(ISNUMBER(INDEX('M04-S03'!$AN$16:$AN$198,2*(ROWS($R$386:R386)-1)+1))),INDEX('M04-S03'!$AK$16:$AK$198,2*(ROWS($R$386:R386)-1)+1),0),0)</f>
        <v/>
      </c>
      <c r="U386" s="23" t="str">
        <f>IFERROR(IF(NOT(ISNUMBER(INDEX('M04-S03'!$AN$16:$AN$198,2*(ROWS($R$386:R386)-1)+1))),INDEX('M04-S03'!$AX$16:$AX$198,2*(ROWS($R$386:R386)-1)+1),""),"")</f>
        <v/>
      </c>
      <c r="V386" s="113"/>
      <c r="W386" t="str">
        <f>IFERROR(IF(NOT(ISNUMBER(INDEX('M04-S03'!$AN$16:$AN$198,2*(ROWS($R$386:R386)-1)+1))),INDEX('M04-S03'!$BE$16:$BE$198,2*(ROWS($R$386:R386)-1)+1),""),"")</f>
        <v>Submit for Review</v>
      </c>
      <c r="X386" s="113"/>
      <c r="Y386" s="113"/>
      <c r="Z386" s="111">
        <f>INDEX('M04-S03'!$B$16:$B$198,2*(ROWS($Z$386:Z386)-1)+1)</f>
        <v>1</v>
      </c>
      <c r="AA386" s="112"/>
      <c r="AB386" s="111">
        <f>INDEX('M04-S03'!$F$16:$F$198,2*(ROWS($Z$386:AB386)-1)+1)</f>
        <v>0</v>
      </c>
      <c r="AC386" t="str">
        <f>INDEX('M04-S03'!$L$16:$L$198,2*(ROWS($AC$386:AC386)-1)+1)</f>
        <v/>
      </c>
      <c r="AD386" t="str">
        <f>INDEX('M04-S03'!$T$16:$T$198,2*(ROWS($AD$386:AD386)-1)+1)</f>
        <v/>
      </c>
      <c r="AE386" s="459"/>
      <c r="AF386" s="459"/>
      <c r="AG386" s="111" t="str">
        <f>INDEX('M04-S03'!$R$16:$R$198,2*(ROWS($AG$309:AG309)-1)+1)</f>
        <v/>
      </c>
      <c r="AH386" s="111" t="str">
        <f>INDEX('M04-S03'!$Z$16:$Z$198,2*(ROWS($AH$386:AH386)-1)+1)</f>
        <v/>
      </c>
      <c r="AI386" s="96"/>
      <c r="AJ386" s="96"/>
      <c r="AK386" s="52" t="str">
        <f>INDEX('M04-S03'!$AV$16:$AV$198,2*(ROWS($AK$386:AK386)-1)+1)</f>
        <v/>
      </c>
      <c r="AL386" s="184">
        <f>IF(NOT(ISNUMBER(INDEX('M04-S03'!$AN$16:$AN$198,2*(ROWS($R$386:$R386)-1)+1))),INDEX('M04-S03'!$AD$16:$AD$198,2*(ROWS($AL$386:$AL386)-1)+1),"")</f>
        <v>0</v>
      </c>
      <c r="AM386" s="184" t="str">
        <f>IF(NOT(ISNUMBER(INDEX('M04-S03'!$AN$16:$AN$198,2*(ROWS($R$386:$R386)-1)+1))),INDEX('M04-S03'!$AF$16:$AF$198,2*(ROWS($AM$386:$AM386)-1)+1),"")</f>
        <v/>
      </c>
      <c r="AN386" s="52" t="str">
        <f>IF(NOT(ISNUMBER(INDEX('M04-S03'!$AN$16:$AN$198,2*(ROWS($R$386:$R386)-1)+1))),INDEX('M04-S03'!$AH$16:$AH$198,2*(ROWS($AN$386:$AN386)-1)+1),"")</f>
        <v/>
      </c>
      <c r="AO386" s="113"/>
      <c r="AU386"/>
    </row>
    <row r="387" spans="1:47">
      <c r="A387" s="57">
        <f t="shared" si="37"/>
        <v>0</v>
      </c>
      <c r="B387" s="183" t="str">
        <f t="shared" ref="B387:B396" si="39">IF(C387="","",CONCATENATE(ROW(),"-",C387))</f>
        <v/>
      </c>
      <c r="C387" s="186" t="str">
        <f>IF(OR(R387&gt;0,T387&gt;0),INDEX('M04-S03'!$BD$16:$BD$198,2*(ROWS($C$386:C387)-1)+1),"")</f>
        <v/>
      </c>
      <c r="D387">
        <f>INDEX('M04-S03'!$BG$16:$BG$198,2*(ROWS($AC$386:AC387)-1)+1)</f>
        <v>0</v>
      </c>
      <c r="E387" s="112"/>
      <c r="F387" s="112"/>
      <c r="G387" s="96"/>
      <c r="H387" s="184" t="str">
        <f>INDEX('M04-S03'!$AB$16:$AB$198,2*(ROWS($AC$386:AC387)-1)+1)</f>
        <v/>
      </c>
      <c r="I387" s="184">
        <f>IFERROR(ROUND(IF(ISNUMBER(INDEX('M04-S03'!$AN$16:$AN$198,2*(ROWS($R$386:$R387)-1)+1)),INDEX('M04-S03'!$AD$16:$AD$198,2*(ROWS($I$386:$I387)-1)+1),""),2),0)</f>
        <v>0</v>
      </c>
      <c r="J387" s="184">
        <f>IFERROR(ROUND(IF(ISNUMBER(INDEX('M04-S03'!$AN$16:$AN$198,2*(ROWS($R$386:$R387)-1)+1)),INDEX('M04-S03'!$AF$16:$AF$198,2*(ROWS($J$386:$J387)-1)+1),""),2),0)</f>
        <v>0</v>
      </c>
      <c r="K387" s="52">
        <f>IFERROR(ROUND(IF(ISNUMBER(INDEX('M04-S03'!$AN$16:$AN$198,2*(ROWS($R$386:$R387)-1)+1)),INDEX('M04-S03'!$AH$16:$AH$198,2*(ROWS($K$386:$K387)-1)+1),""),2),0)</f>
        <v>0</v>
      </c>
      <c r="L387" s="52">
        <f>IFERROR(ROUND(IF(ISNUMBER(INDEX('M04-S03'!$AN$16:$AN$198,2*(ROWS($R$386:$R387)-1)+1)),INDEX('M04-S03'!$BF$16:$BF$198,2*(ROWS($L$386:$L387)-1)+1),""),2),0)</f>
        <v>0</v>
      </c>
      <c r="M387" s="456" t="str">
        <f>IF(ISNUMBER(INDEX('M04-S03'!$AN$16:$AN$198,2*(ROWS($R$386:R387)-1)+1)),INDEX('M04-S03'!$X$16:$X$198,2*(ROWS($M$386:M387)-1)+1),"")</f>
        <v/>
      </c>
      <c r="N387" s="184" t="str">
        <f>IFERROR(IF(ISNUMBER(INDEX('M04-S03'!$AN$16:$AN$198,2*(ROWS($R$386:R387)-1)+1)),INDEX('M04-S03'!$AK$16:$AK$198,2*(ROWS($N$386:N387)-1)+1),""),"")</f>
        <v/>
      </c>
      <c r="O387" s="456" t="str">
        <f>IFERROR(IF(ISNUMBER(INDEX('M04-S03'!$AN$16:$AN$198,2*(ROWS($R$386:R387)-1)+1)),INDEX('M04-S03'!$AX$16:$AX$198,2*(ROWS($O$386:O387)-1)+1),""),"")</f>
        <v/>
      </c>
      <c r="P387" s="113"/>
      <c r="Q387" s="113"/>
      <c r="R387" s="184">
        <f>IF(ISNUMBER(INDEX('M04-S03'!$AN$16:$AN$198,2*(ROWS($R$386:R387)-1)+1)),INDEX('M04-S03'!$AN$16:$AN$198,2*(ROWS($R$386:R387)-1)+1),0)</f>
        <v>0</v>
      </c>
      <c r="S387" s="23" t="str">
        <f>IF(NOT(ISNUMBER(INDEX('M04-S03'!$AN$16:$AN$198,2*(ROWS($R$386:R387)-1)+1))),INDEX('M04-S03'!$X$16:$X$198,2*(ROWS($S$386:S387)-1)+1),"")</f>
        <v/>
      </c>
      <c r="T387" s="52" t="str">
        <f>IFERROR(IF(NOT(ISNUMBER(INDEX('M04-S03'!$AN$16:$AN$198,2*(ROWS($R$386:R387)-1)+1))),INDEX('M04-S03'!$AK$16:$AK$198,2*(ROWS($R$386:R387)-1)+1),0),0)</f>
        <v/>
      </c>
      <c r="U387" s="23" t="str">
        <f>IFERROR(IF(NOT(ISNUMBER(INDEX('M04-S03'!$AN$16:$AN$198,2*(ROWS($R$386:R387)-1)+1))),INDEX('M04-S03'!$AX$16:$AX$198,2*(ROWS($R$386:R387)-1)+1),""),"")</f>
        <v/>
      </c>
      <c r="V387" s="113"/>
      <c r="W387" t="str">
        <f>IFERROR(IF(NOT(ISNUMBER(INDEX('M04-S03'!$AN$16:$AN$198,2*(ROWS($R$386:R387)-1)+1))),INDEX('M04-S03'!$BE$16:$BE$198,2*(ROWS($R$386:R387)-1)+1),""),"")</f>
        <v>Submit for Review</v>
      </c>
      <c r="X387" s="113"/>
      <c r="Y387" s="113"/>
      <c r="Z387" s="111">
        <f>INDEX('M04-S03'!$B$16:$B$198,2*(ROWS($Z$386:Z387)-1)+1)</f>
        <v>2</v>
      </c>
      <c r="AA387" s="112"/>
      <c r="AB387" s="111">
        <f>INDEX('M04-S03'!$F$16:$F$198,2*(ROWS($Z$386:AB387)-1)+1)</f>
        <v>0</v>
      </c>
      <c r="AC387" t="str">
        <f>INDEX('M04-S03'!$L$16:$L$198,2*(ROWS($AC$386:AC387)-1)+1)</f>
        <v/>
      </c>
      <c r="AD387" t="str">
        <f>INDEX('M04-S03'!$T$16:$T$198,2*(ROWS($AD$386:AD387)-1)+1)</f>
        <v/>
      </c>
      <c r="AE387" s="459"/>
      <c r="AF387" s="459"/>
      <c r="AG387" s="111" t="str">
        <f>INDEX('M04-S03'!$R$16:$R$198,2*(ROWS($AG$309:AG310)-1)+1)</f>
        <v/>
      </c>
      <c r="AH387" s="111" t="str">
        <f>INDEX('M04-S03'!$Z$16:$Z$198,2*(ROWS($AH$386:AH387)-1)+1)</f>
        <v/>
      </c>
      <c r="AI387" s="96"/>
      <c r="AJ387" s="96"/>
      <c r="AK387" s="52" t="str">
        <f>INDEX('M04-S03'!$AV$16:$AV$198,2*(ROWS($AK$386:AK387)-1)+1)</f>
        <v/>
      </c>
      <c r="AL387" s="184">
        <f>IF(NOT(ISNUMBER(INDEX('M04-S03'!$AN$16:$AN$198,2*(ROWS($R$386:$R387)-1)+1))),INDEX('M04-S03'!$AD$16:$AD$198,2*(ROWS($AL$386:$AL387)-1)+1),"")</f>
        <v>0</v>
      </c>
      <c r="AM387" s="184" t="str">
        <f>IF(NOT(ISNUMBER(INDEX('M04-S03'!$AN$16:$AN$198,2*(ROWS($R$386:$R387)-1)+1))),INDEX('M04-S03'!$AF$16:$AF$198,2*(ROWS($AM$386:$AM387)-1)+1),"")</f>
        <v/>
      </c>
      <c r="AN387" s="52" t="str">
        <f>IF(NOT(ISNUMBER(INDEX('M04-S03'!$AN$16:$AN$198,2*(ROWS($R$386:$R387)-1)+1))),INDEX('M04-S03'!$AH$16:$AH$198,2*(ROWS($AN$386:$AN387)-1)+1),"")</f>
        <v/>
      </c>
      <c r="AO387" s="113"/>
      <c r="AU387"/>
    </row>
    <row r="388" spans="1:47">
      <c r="A388" s="57">
        <f t="shared" si="37"/>
        <v>0</v>
      </c>
      <c r="B388" s="183" t="str">
        <f t="shared" si="39"/>
        <v/>
      </c>
      <c r="C388" s="186" t="str">
        <f>IF(OR(R388&gt;0,T388&gt;0),INDEX('M04-S03'!$BD$16:$BD$198,2*(ROWS($C$386:C388)-1)+1),"")</f>
        <v/>
      </c>
      <c r="D388">
        <f>INDEX('M04-S03'!$BG$16:$BG$198,2*(ROWS($AC$386:AC388)-1)+1)</f>
        <v>0</v>
      </c>
      <c r="E388" s="112"/>
      <c r="F388" s="112"/>
      <c r="G388" s="96"/>
      <c r="H388" s="184" t="str">
        <f>INDEX('M04-S03'!$AB$16:$AB$198,2*(ROWS($AC$386:AC388)-1)+1)</f>
        <v/>
      </c>
      <c r="I388" s="184">
        <f>IFERROR(ROUND(IF(ISNUMBER(INDEX('M04-S03'!$AN$16:$AN$198,2*(ROWS($R$386:$R388)-1)+1)),INDEX('M04-S03'!$AD$16:$AD$198,2*(ROWS($I$386:$I388)-1)+1),""),2),0)</f>
        <v>0</v>
      </c>
      <c r="J388" s="184">
        <f>IFERROR(ROUND(IF(ISNUMBER(INDEX('M04-S03'!$AN$16:$AN$198,2*(ROWS($R$386:$R388)-1)+1)),INDEX('M04-S03'!$AF$16:$AF$198,2*(ROWS($J$386:$J388)-1)+1),""),2),0)</f>
        <v>0</v>
      </c>
      <c r="K388" s="52">
        <f>IFERROR(ROUND(IF(ISNUMBER(INDEX('M04-S03'!$AN$16:$AN$198,2*(ROWS($R$386:$R388)-1)+1)),INDEX('M04-S03'!$AH$16:$AH$198,2*(ROWS($K$386:$K388)-1)+1),""),2),0)</f>
        <v>0</v>
      </c>
      <c r="L388" s="52">
        <f>IFERROR(ROUND(IF(ISNUMBER(INDEX('M04-S03'!$AN$16:$AN$198,2*(ROWS($R$386:$R388)-1)+1)),INDEX('M04-S03'!$BF$16:$BF$198,2*(ROWS($L$386:$L388)-1)+1),""),2),0)</f>
        <v>0</v>
      </c>
      <c r="M388" s="456" t="str">
        <f>IF(ISNUMBER(INDEX('M04-S03'!$AN$16:$AN$198,2*(ROWS($R$386:R388)-1)+1)),INDEX('M04-S03'!$X$16:$X$198,2*(ROWS($M$386:M388)-1)+1),"")</f>
        <v/>
      </c>
      <c r="N388" s="184" t="str">
        <f>IFERROR(IF(ISNUMBER(INDEX('M04-S03'!$AN$16:$AN$198,2*(ROWS($R$386:R388)-1)+1)),INDEX('M04-S03'!$AK$16:$AK$198,2*(ROWS($N$386:N388)-1)+1),""),"")</f>
        <v/>
      </c>
      <c r="O388" s="456" t="str">
        <f>IFERROR(IF(ISNUMBER(INDEX('M04-S03'!$AN$16:$AN$198,2*(ROWS($R$386:R388)-1)+1)),INDEX('M04-S03'!$AX$16:$AX$198,2*(ROWS($O$386:O388)-1)+1),""),"")</f>
        <v/>
      </c>
      <c r="P388" s="113"/>
      <c r="Q388" s="113"/>
      <c r="R388" s="184">
        <f>IF(ISNUMBER(INDEX('M04-S03'!$AN$16:$AN$198,2*(ROWS($R$386:R388)-1)+1)),INDEX('M04-S03'!$AN$16:$AN$198,2*(ROWS($R$386:R388)-1)+1),0)</f>
        <v>0</v>
      </c>
      <c r="S388" s="23" t="str">
        <f>IF(NOT(ISNUMBER(INDEX('M04-S03'!$AN$16:$AN$198,2*(ROWS($R$386:R388)-1)+1))),INDEX('M04-S03'!$X$16:$X$198,2*(ROWS($S$386:S388)-1)+1),"")</f>
        <v/>
      </c>
      <c r="T388" s="52" t="str">
        <f>IFERROR(IF(NOT(ISNUMBER(INDEX('M04-S03'!$AN$16:$AN$198,2*(ROWS($R$386:R388)-1)+1))),INDEX('M04-S03'!$AK$16:$AK$198,2*(ROWS($R$386:R388)-1)+1),0),0)</f>
        <v/>
      </c>
      <c r="U388" s="23" t="str">
        <f>IFERROR(IF(NOT(ISNUMBER(INDEX('M04-S03'!$AN$16:$AN$198,2*(ROWS($R$386:R388)-1)+1))),INDEX('M04-S03'!$AX$16:$AX$198,2*(ROWS($R$386:R388)-1)+1),""),"")</f>
        <v/>
      </c>
      <c r="V388" s="113"/>
      <c r="W388" t="str">
        <f>IFERROR(IF(NOT(ISNUMBER(INDEX('M04-S03'!$AN$16:$AN$198,2*(ROWS($R$386:R388)-1)+1))),INDEX('M04-S03'!$BE$16:$BE$198,2*(ROWS($R$386:R388)-1)+1),""),"")</f>
        <v>Submit for Review</v>
      </c>
      <c r="X388" s="113"/>
      <c r="Y388" s="113"/>
      <c r="Z388" s="111">
        <f>INDEX('M04-S03'!$B$16:$B$198,2*(ROWS($Z$386:Z388)-1)+1)</f>
        <v>3</v>
      </c>
      <c r="AA388" s="112"/>
      <c r="AB388" s="111">
        <f>INDEX('M04-S03'!$F$16:$F$198,2*(ROWS($Z$386:AB388)-1)+1)</f>
        <v>0</v>
      </c>
      <c r="AC388" t="str">
        <f>INDEX('M04-S03'!$L$16:$L$198,2*(ROWS($AC$386:AC388)-1)+1)</f>
        <v/>
      </c>
      <c r="AD388" t="str">
        <f>INDEX('M04-S03'!$T$16:$T$198,2*(ROWS($AD$386:AD388)-1)+1)</f>
        <v/>
      </c>
      <c r="AE388" s="459"/>
      <c r="AF388" s="459"/>
      <c r="AG388" s="111" t="str">
        <f>INDEX('M04-S03'!$R$16:$R$198,2*(ROWS($AG$309:AG311)-1)+1)</f>
        <v/>
      </c>
      <c r="AH388" s="111" t="str">
        <f>INDEX('M04-S03'!$Z$16:$Z$198,2*(ROWS($AH$386:AH388)-1)+1)</f>
        <v/>
      </c>
      <c r="AI388" s="96"/>
      <c r="AJ388" s="96"/>
      <c r="AK388" s="52" t="str">
        <f>INDEX('M04-S03'!$AV$16:$AV$198,2*(ROWS($AK$386:AK388)-1)+1)</f>
        <v/>
      </c>
      <c r="AL388" s="184">
        <f>IF(NOT(ISNUMBER(INDEX('M04-S03'!$AN$16:$AN$198,2*(ROWS($R$386:$R388)-1)+1))),INDEX('M04-S03'!$AD$16:$AD$198,2*(ROWS($AL$386:$AL388)-1)+1),"")</f>
        <v>0</v>
      </c>
      <c r="AM388" s="184" t="str">
        <f>IF(NOT(ISNUMBER(INDEX('M04-S03'!$AN$16:$AN$198,2*(ROWS($R$386:$R388)-1)+1))),INDEX('M04-S03'!$AF$16:$AF$198,2*(ROWS($AM$386:$AM388)-1)+1),"")</f>
        <v/>
      </c>
      <c r="AN388" s="52" t="str">
        <f>IF(NOT(ISNUMBER(INDEX('M04-S03'!$AN$16:$AN$198,2*(ROWS($R$386:$R388)-1)+1))),INDEX('M04-S03'!$AH$16:$AH$198,2*(ROWS($AN$386:$AN388)-1)+1),"")</f>
        <v/>
      </c>
      <c r="AO388" s="113"/>
      <c r="AU388"/>
    </row>
    <row r="389" spans="1:47">
      <c r="A389" s="57">
        <f t="shared" si="37"/>
        <v>0</v>
      </c>
      <c r="B389" s="183" t="str">
        <f t="shared" si="39"/>
        <v/>
      </c>
      <c r="C389" s="186" t="str">
        <f>IF(OR(R389&gt;0,T389&gt;0),INDEX('M04-S03'!$BD$16:$BD$198,2*(ROWS($C$386:C389)-1)+1),"")</f>
        <v/>
      </c>
      <c r="D389">
        <f>INDEX('M04-S03'!$BG$16:$BG$198,2*(ROWS($AC$386:AC389)-1)+1)</f>
        <v>0</v>
      </c>
      <c r="E389" s="112"/>
      <c r="F389" s="112"/>
      <c r="G389" s="96"/>
      <c r="H389" s="184" t="str">
        <f>INDEX('M04-S03'!$AB$16:$AB$198,2*(ROWS($AC$386:AC389)-1)+1)</f>
        <v/>
      </c>
      <c r="I389" s="184">
        <f>IFERROR(ROUND(IF(ISNUMBER(INDEX('M04-S03'!$AN$16:$AN$198,2*(ROWS($R$386:$R389)-1)+1)),INDEX('M04-S03'!$AD$16:$AD$198,2*(ROWS($I$386:$I389)-1)+1),""),2),0)</f>
        <v>0</v>
      </c>
      <c r="J389" s="184">
        <f>IFERROR(ROUND(IF(ISNUMBER(INDEX('M04-S03'!$AN$16:$AN$198,2*(ROWS($R$386:$R389)-1)+1)),INDEX('M04-S03'!$AF$16:$AF$198,2*(ROWS($J$386:$J389)-1)+1),""),2),0)</f>
        <v>0</v>
      </c>
      <c r="K389" s="52">
        <f>IFERROR(ROUND(IF(ISNUMBER(INDEX('M04-S03'!$AN$16:$AN$198,2*(ROWS($R$386:$R389)-1)+1)),INDEX('M04-S03'!$AH$16:$AH$198,2*(ROWS($K$386:$K389)-1)+1),""),2),0)</f>
        <v>0</v>
      </c>
      <c r="L389" s="52">
        <f>IFERROR(ROUND(IF(ISNUMBER(INDEX('M04-S03'!$AN$16:$AN$198,2*(ROWS($R$386:$R389)-1)+1)),INDEX('M04-S03'!$BF$16:$BF$198,2*(ROWS($L$386:$L389)-1)+1),""),2),0)</f>
        <v>0</v>
      </c>
      <c r="M389" s="456" t="str">
        <f>IF(ISNUMBER(INDEX('M04-S03'!$AN$16:$AN$198,2*(ROWS($R$386:R389)-1)+1)),INDEX('M04-S03'!$X$16:$X$198,2*(ROWS($M$386:M389)-1)+1),"")</f>
        <v/>
      </c>
      <c r="N389" s="184" t="str">
        <f>IFERROR(IF(ISNUMBER(INDEX('M04-S03'!$AN$16:$AN$198,2*(ROWS($R$386:R389)-1)+1)),INDEX('M04-S03'!$AK$16:$AK$198,2*(ROWS($N$386:N389)-1)+1),""),"")</f>
        <v/>
      </c>
      <c r="O389" s="456" t="str">
        <f>IFERROR(IF(ISNUMBER(INDEX('M04-S03'!$AN$16:$AN$198,2*(ROWS($R$386:R389)-1)+1)),INDEX('M04-S03'!$AX$16:$AX$198,2*(ROWS($O$386:O389)-1)+1),""),"")</f>
        <v/>
      </c>
      <c r="P389" s="113"/>
      <c r="Q389" s="113"/>
      <c r="R389" s="184">
        <f>IF(ISNUMBER(INDEX('M04-S03'!$AN$16:$AN$198,2*(ROWS($R$386:R389)-1)+1)),INDEX('M04-S03'!$AN$16:$AN$198,2*(ROWS($R$386:R389)-1)+1),0)</f>
        <v>0</v>
      </c>
      <c r="S389" s="23" t="str">
        <f>IF(NOT(ISNUMBER(INDEX('M04-S03'!$AN$16:$AN$198,2*(ROWS($R$386:R389)-1)+1))),INDEX('M04-S03'!$X$16:$X$198,2*(ROWS($S$386:S389)-1)+1),"")</f>
        <v/>
      </c>
      <c r="T389" s="52" t="str">
        <f>IFERROR(IF(NOT(ISNUMBER(INDEX('M04-S03'!$AN$16:$AN$198,2*(ROWS($R$386:R389)-1)+1))),INDEX('M04-S03'!$AK$16:$AK$198,2*(ROWS($R$386:R389)-1)+1),0),0)</f>
        <v/>
      </c>
      <c r="U389" s="23" t="str">
        <f>IFERROR(IF(NOT(ISNUMBER(INDEX('M04-S03'!$AN$16:$AN$198,2*(ROWS($R$386:R389)-1)+1))),INDEX('M04-S03'!$AX$16:$AX$198,2*(ROWS($R$386:R389)-1)+1),""),"")</f>
        <v/>
      </c>
      <c r="V389" s="113"/>
      <c r="W389" t="str">
        <f>IFERROR(IF(NOT(ISNUMBER(INDEX('M04-S03'!$AN$16:$AN$198,2*(ROWS($R$386:R389)-1)+1))),INDEX('M04-S03'!$BE$16:$BE$198,2*(ROWS($R$386:R389)-1)+1),""),"")</f>
        <v>Submit for Review</v>
      </c>
      <c r="X389" s="113"/>
      <c r="Y389" s="113"/>
      <c r="Z389" s="111">
        <f>INDEX('M04-S03'!$B$16:$B$198,2*(ROWS($Z$386:Z389)-1)+1)</f>
        <v>4</v>
      </c>
      <c r="AA389" s="112"/>
      <c r="AB389" s="111">
        <f>INDEX('M04-S03'!$F$16:$F$198,2*(ROWS($Z$386:AB389)-1)+1)</f>
        <v>0</v>
      </c>
      <c r="AC389" t="str">
        <f>INDEX('M04-S03'!$L$16:$L$198,2*(ROWS($AC$386:AC389)-1)+1)</f>
        <v/>
      </c>
      <c r="AD389" t="str">
        <f>INDEX('M04-S03'!$T$16:$T$198,2*(ROWS($AD$386:AD389)-1)+1)</f>
        <v/>
      </c>
      <c r="AE389" s="459"/>
      <c r="AF389" s="459"/>
      <c r="AG389" s="111" t="str">
        <f>INDEX('M04-S03'!$R$16:$R$198,2*(ROWS($AG$309:AG312)-1)+1)</f>
        <v/>
      </c>
      <c r="AH389" s="111" t="str">
        <f>INDEX('M04-S03'!$Z$16:$Z$198,2*(ROWS($AH$386:AH389)-1)+1)</f>
        <v/>
      </c>
      <c r="AI389" s="96"/>
      <c r="AJ389" s="96"/>
      <c r="AK389" s="52" t="str">
        <f>INDEX('M04-S03'!$AV$16:$AV$198,2*(ROWS($AK$386:AK389)-1)+1)</f>
        <v/>
      </c>
      <c r="AL389" s="184">
        <f>IF(NOT(ISNUMBER(INDEX('M04-S03'!$AN$16:$AN$198,2*(ROWS($R$386:$R389)-1)+1))),INDEX('M04-S03'!$AD$16:$AD$198,2*(ROWS($AL$386:$AL389)-1)+1),"")</f>
        <v>0</v>
      </c>
      <c r="AM389" s="184" t="str">
        <f>IF(NOT(ISNUMBER(INDEX('M04-S03'!$AN$16:$AN$198,2*(ROWS($R$386:$R389)-1)+1))),INDEX('M04-S03'!$AF$16:$AF$198,2*(ROWS($AM$386:$AM389)-1)+1),"")</f>
        <v/>
      </c>
      <c r="AN389" s="52" t="str">
        <f>IF(NOT(ISNUMBER(INDEX('M04-S03'!$AN$16:$AN$198,2*(ROWS($R$386:$R389)-1)+1))),INDEX('M04-S03'!$AH$16:$AH$198,2*(ROWS($AN$386:$AN389)-1)+1),"")</f>
        <v/>
      </c>
      <c r="AO389" s="113"/>
      <c r="AU389"/>
    </row>
    <row r="390" spans="1:47">
      <c r="A390" s="57">
        <f t="shared" si="37"/>
        <v>0</v>
      </c>
      <c r="B390" s="183" t="str">
        <f t="shared" si="39"/>
        <v/>
      </c>
      <c r="C390" s="186" t="str">
        <f>IF(OR(R390&gt;0,T390&gt;0),INDEX('M04-S03'!$BD$16:$BD$198,2*(ROWS($C$386:C390)-1)+1),"")</f>
        <v/>
      </c>
      <c r="D390">
        <f>INDEX('M04-S03'!$BG$16:$BG$198,2*(ROWS($AC$386:AC390)-1)+1)</f>
        <v>0</v>
      </c>
      <c r="E390" s="112"/>
      <c r="F390" s="112"/>
      <c r="G390" s="96"/>
      <c r="H390" s="184" t="str">
        <f>INDEX('M04-S03'!$AB$16:$AB$198,2*(ROWS($AC$386:AC390)-1)+1)</f>
        <v/>
      </c>
      <c r="I390" s="184">
        <f>IFERROR(ROUND(IF(ISNUMBER(INDEX('M04-S03'!$AN$16:$AN$198,2*(ROWS($R$386:$R390)-1)+1)),INDEX('M04-S03'!$AD$16:$AD$198,2*(ROWS($I$386:$I390)-1)+1),""),2),0)</f>
        <v>0</v>
      </c>
      <c r="J390" s="184">
        <f>IFERROR(ROUND(IF(ISNUMBER(INDEX('M04-S03'!$AN$16:$AN$198,2*(ROWS($R$386:$R390)-1)+1)),INDEX('M04-S03'!$AF$16:$AF$198,2*(ROWS($J$386:$J390)-1)+1),""),2),0)</f>
        <v>0</v>
      </c>
      <c r="K390" s="52">
        <f>IFERROR(ROUND(IF(ISNUMBER(INDEX('M04-S03'!$AN$16:$AN$198,2*(ROWS($R$386:$R390)-1)+1)),INDEX('M04-S03'!$AH$16:$AH$198,2*(ROWS($K$386:$K390)-1)+1),""),2),0)</f>
        <v>0</v>
      </c>
      <c r="L390" s="52">
        <f>IFERROR(ROUND(IF(ISNUMBER(INDEX('M04-S03'!$AN$16:$AN$198,2*(ROWS($R$386:$R390)-1)+1)),INDEX('M04-S03'!$BF$16:$BF$198,2*(ROWS($L$386:$L390)-1)+1),""),2),0)</f>
        <v>0</v>
      </c>
      <c r="M390" s="456" t="str">
        <f>IF(ISNUMBER(INDEX('M04-S03'!$AN$16:$AN$198,2*(ROWS($R$386:R390)-1)+1)),INDEX('M04-S03'!$X$16:$X$198,2*(ROWS($M$386:M390)-1)+1),"")</f>
        <v/>
      </c>
      <c r="N390" s="184" t="str">
        <f>IFERROR(IF(ISNUMBER(INDEX('M04-S03'!$AN$16:$AN$198,2*(ROWS($R$386:R390)-1)+1)),INDEX('M04-S03'!$AK$16:$AK$198,2*(ROWS($N$386:N390)-1)+1),""),"")</f>
        <v/>
      </c>
      <c r="O390" s="456" t="str">
        <f>IFERROR(IF(ISNUMBER(INDEX('M04-S03'!$AN$16:$AN$198,2*(ROWS($R$386:R390)-1)+1)),INDEX('M04-S03'!$AX$16:$AX$198,2*(ROWS($O$386:O390)-1)+1),""),"")</f>
        <v/>
      </c>
      <c r="P390" s="113"/>
      <c r="Q390" s="113"/>
      <c r="R390" s="184">
        <f>IF(ISNUMBER(INDEX('M04-S03'!$AN$16:$AN$198,2*(ROWS($R$386:R390)-1)+1)),INDEX('M04-S03'!$AN$16:$AN$198,2*(ROWS($R$386:R390)-1)+1),0)</f>
        <v>0</v>
      </c>
      <c r="S390" s="23" t="str">
        <f>IF(NOT(ISNUMBER(INDEX('M04-S03'!$AN$16:$AN$198,2*(ROWS($R$386:R390)-1)+1))),INDEX('M04-S03'!$X$16:$X$198,2*(ROWS($S$386:S390)-1)+1),"")</f>
        <v/>
      </c>
      <c r="T390" s="52" t="str">
        <f>IFERROR(IF(NOT(ISNUMBER(INDEX('M04-S03'!$AN$16:$AN$198,2*(ROWS($R$386:R390)-1)+1))),INDEX('M04-S03'!$AK$16:$AK$198,2*(ROWS($R$386:R390)-1)+1),0),0)</f>
        <v/>
      </c>
      <c r="U390" s="23" t="str">
        <f>IFERROR(IF(NOT(ISNUMBER(INDEX('M04-S03'!$AN$16:$AN$198,2*(ROWS($R$386:R390)-1)+1))),INDEX('M04-S03'!$AX$16:$AX$198,2*(ROWS($R$386:R390)-1)+1),""),"")</f>
        <v/>
      </c>
      <c r="V390" s="113"/>
      <c r="W390" t="str">
        <f>IFERROR(IF(NOT(ISNUMBER(INDEX('M04-S03'!$AN$16:$AN$198,2*(ROWS($R$386:R390)-1)+1))),INDEX('M04-S03'!$BE$16:$BE$198,2*(ROWS($R$386:R390)-1)+1),""),"")</f>
        <v>Submit for Review</v>
      </c>
      <c r="X390" s="113"/>
      <c r="Y390" s="113"/>
      <c r="Z390" s="111">
        <f>INDEX('M04-S03'!$B$16:$B$198,2*(ROWS($Z$386:Z390)-1)+1)</f>
        <v>5</v>
      </c>
      <c r="AA390" s="112"/>
      <c r="AB390" s="111">
        <f>INDEX('M04-S03'!$F$16:$F$198,2*(ROWS($Z$386:AB390)-1)+1)</f>
        <v>0</v>
      </c>
      <c r="AC390" t="str">
        <f>INDEX('M04-S03'!$L$16:$L$198,2*(ROWS($AC$386:AC390)-1)+1)</f>
        <v/>
      </c>
      <c r="AD390" t="str">
        <f>INDEX('M04-S03'!$T$16:$T$198,2*(ROWS($AD$386:AD390)-1)+1)</f>
        <v/>
      </c>
      <c r="AE390" s="459"/>
      <c r="AF390" s="459"/>
      <c r="AG390" s="111" t="str">
        <f>INDEX('M04-S03'!$R$16:$R$198,2*(ROWS($AG$309:AG313)-1)+1)</f>
        <v/>
      </c>
      <c r="AH390" s="111" t="str">
        <f>INDEX('M04-S03'!$Z$16:$Z$198,2*(ROWS($AH$386:AH390)-1)+1)</f>
        <v/>
      </c>
      <c r="AI390" s="96"/>
      <c r="AJ390" s="96"/>
      <c r="AK390" s="52" t="str">
        <f>INDEX('M04-S03'!$AV$16:$AV$198,2*(ROWS($AK$386:AK390)-1)+1)</f>
        <v/>
      </c>
      <c r="AL390" s="184">
        <f>IF(NOT(ISNUMBER(INDEX('M04-S03'!$AN$16:$AN$198,2*(ROWS($R$386:$R390)-1)+1))),INDEX('M04-S03'!$AD$16:$AD$198,2*(ROWS($AL$386:$AL390)-1)+1),"")</f>
        <v>0</v>
      </c>
      <c r="AM390" s="184" t="str">
        <f>IF(NOT(ISNUMBER(INDEX('M04-S03'!$AN$16:$AN$198,2*(ROWS($R$386:$R390)-1)+1))),INDEX('M04-S03'!$AF$16:$AF$198,2*(ROWS($AM$386:$AM390)-1)+1),"")</f>
        <v/>
      </c>
      <c r="AN390" s="52" t="str">
        <f>IF(NOT(ISNUMBER(INDEX('M04-S03'!$AN$16:$AN$198,2*(ROWS($R$386:$R390)-1)+1))),INDEX('M04-S03'!$AH$16:$AH$198,2*(ROWS($AN$386:$AN390)-1)+1),"")</f>
        <v/>
      </c>
      <c r="AO390" s="113"/>
      <c r="AU390"/>
    </row>
    <row r="391" spans="1:47">
      <c r="A391" s="57">
        <f t="shared" si="37"/>
        <v>0</v>
      </c>
      <c r="B391" s="183" t="str">
        <f t="shared" si="39"/>
        <v/>
      </c>
      <c r="C391" s="186" t="str">
        <f>IF(OR(R391&gt;0,T391&gt;0),INDEX('M04-S03'!$BD$16:$BD$198,2*(ROWS($C$386:C391)-1)+1),"")</f>
        <v/>
      </c>
      <c r="D391">
        <f>INDEX('M04-S03'!$BG$16:$BG$198,2*(ROWS($AC$386:AC391)-1)+1)</f>
        <v>0</v>
      </c>
      <c r="E391" s="112"/>
      <c r="F391" s="112"/>
      <c r="G391" s="96"/>
      <c r="H391" s="184" t="str">
        <f>INDEX('M04-S03'!$AB$16:$AB$198,2*(ROWS($AC$386:AC391)-1)+1)</f>
        <v/>
      </c>
      <c r="I391" s="184">
        <f>IFERROR(ROUND(IF(ISNUMBER(INDEX('M04-S03'!$AN$16:$AN$198,2*(ROWS($R$386:$R391)-1)+1)),INDEX('M04-S03'!$AD$16:$AD$198,2*(ROWS($I$386:$I391)-1)+1),""),2),0)</f>
        <v>0</v>
      </c>
      <c r="J391" s="184">
        <f>IFERROR(ROUND(IF(ISNUMBER(INDEX('M04-S03'!$AN$16:$AN$198,2*(ROWS($R$386:$R391)-1)+1)),INDEX('M04-S03'!$AF$16:$AF$198,2*(ROWS($J$386:$J391)-1)+1),""),2),0)</f>
        <v>0</v>
      </c>
      <c r="K391" s="52">
        <f>IFERROR(ROUND(IF(ISNUMBER(INDEX('M04-S03'!$AN$16:$AN$198,2*(ROWS($R$386:$R391)-1)+1)),INDEX('M04-S03'!$AH$16:$AH$198,2*(ROWS($K$386:$K391)-1)+1),""),2),0)</f>
        <v>0</v>
      </c>
      <c r="L391" s="52">
        <f>IFERROR(ROUND(IF(ISNUMBER(INDEX('M04-S03'!$AN$16:$AN$198,2*(ROWS($R$386:$R391)-1)+1)),INDEX('M04-S03'!$BF$16:$BF$198,2*(ROWS($L$386:$L391)-1)+1),""),2),0)</f>
        <v>0</v>
      </c>
      <c r="M391" s="456" t="str">
        <f>IF(ISNUMBER(INDEX('M04-S03'!$AN$16:$AN$198,2*(ROWS($R$386:R391)-1)+1)),INDEX('M04-S03'!$X$16:$X$198,2*(ROWS($M$386:M391)-1)+1),"")</f>
        <v/>
      </c>
      <c r="N391" s="184" t="str">
        <f>IFERROR(IF(ISNUMBER(INDEX('M04-S03'!$AN$16:$AN$198,2*(ROWS($R$386:R391)-1)+1)),INDEX('M04-S03'!$AK$16:$AK$198,2*(ROWS($N$386:N391)-1)+1),""),"")</f>
        <v/>
      </c>
      <c r="O391" s="456" t="str">
        <f>IFERROR(IF(ISNUMBER(INDEX('M04-S03'!$AN$16:$AN$198,2*(ROWS($R$386:R391)-1)+1)),INDEX('M04-S03'!$AX$16:$AX$198,2*(ROWS($O$386:O391)-1)+1),""),"")</f>
        <v/>
      </c>
      <c r="P391" s="113"/>
      <c r="Q391" s="113"/>
      <c r="R391" s="184">
        <f>IF(ISNUMBER(INDEX('M04-S03'!$AN$16:$AN$198,2*(ROWS($R$386:R391)-1)+1)),INDEX('M04-S03'!$AN$16:$AN$198,2*(ROWS($R$386:R391)-1)+1),0)</f>
        <v>0</v>
      </c>
      <c r="S391" s="23" t="str">
        <f>IF(NOT(ISNUMBER(INDEX('M04-S03'!$AN$16:$AN$198,2*(ROWS($R$386:R391)-1)+1))),INDEX('M04-S03'!$X$16:$X$198,2*(ROWS($S$386:S391)-1)+1),"")</f>
        <v/>
      </c>
      <c r="T391" s="52" t="str">
        <f>IFERROR(IF(NOT(ISNUMBER(INDEX('M04-S03'!$AN$16:$AN$198,2*(ROWS($R$386:R391)-1)+1))),INDEX('M04-S03'!$AK$16:$AK$198,2*(ROWS($R$386:R391)-1)+1),0),0)</f>
        <v/>
      </c>
      <c r="U391" s="23" t="str">
        <f>IFERROR(IF(NOT(ISNUMBER(INDEX('M04-S03'!$AN$16:$AN$198,2*(ROWS($R$386:R391)-1)+1))),INDEX('M04-S03'!$AX$16:$AX$198,2*(ROWS($R$386:R391)-1)+1),""),"")</f>
        <v/>
      </c>
      <c r="V391" s="113"/>
      <c r="W391" t="str">
        <f>IFERROR(IF(NOT(ISNUMBER(INDEX('M04-S03'!$AN$16:$AN$198,2*(ROWS($R$386:R391)-1)+1))),INDEX('M04-S03'!$BE$16:$BE$198,2*(ROWS($R$386:R391)-1)+1),""),"")</f>
        <v>Submit for Review</v>
      </c>
      <c r="X391" s="113"/>
      <c r="Y391" s="113"/>
      <c r="Z391" s="111">
        <f>INDEX('M04-S03'!$B$16:$B$198,2*(ROWS($Z$386:Z391)-1)+1)</f>
        <v>6</v>
      </c>
      <c r="AA391" s="112"/>
      <c r="AB391" s="111">
        <f>INDEX('M04-S03'!$F$16:$F$198,2*(ROWS($Z$386:AB391)-1)+1)</f>
        <v>0</v>
      </c>
      <c r="AC391" t="str">
        <f>INDEX('M04-S03'!$L$16:$L$198,2*(ROWS($AC$386:AC391)-1)+1)</f>
        <v/>
      </c>
      <c r="AD391" t="str">
        <f>INDEX('M04-S03'!$T$16:$T$198,2*(ROWS($AD$386:AD391)-1)+1)</f>
        <v/>
      </c>
      <c r="AE391" s="459"/>
      <c r="AF391" s="459"/>
      <c r="AG391" s="111" t="str">
        <f>INDEX('M04-S03'!$R$16:$R$198,2*(ROWS($AG$309:AG314)-1)+1)</f>
        <v/>
      </c>
      <c r="AH391" s="111" t="str">
        <f>INDEX('M04-S03'!$Z$16:$Z$198,2*(ROWS($AH$386:AH391)-1)+1)</f>
        <v/>
      </c>
      <c r="AI391" s="96"/>
      <c r="AJ391" s="96"/>
      <c r="AK391" s="52" t="str">
        <f>INDEX('M04-S03'!$AV$16:$AV$198,2*(ROWS($AK$386:AK391)-1)+1)</f>
        <v/>
      </c>
      <c r="AL391" s="184">
        <f>IF(NOT(ISNUMBER(INDEX('M04-S03'!$AN$16:$AN$198,2*(ROWS($R$386:$R391)-1)+1))),INDEX('M04-S03'!$AD$16:$AD$198,2*(ROWS($AL$386:$AL391)-1)+1),"")</f>
        <v>0</v>
      </c>
      <c r="AM391" s="184" t="str">
        <f>IF(NOT(ISNUMBER(INDEX('M04-S03'!$AN$16:$AN$198,2*(ROWS($R$386:$R391)-1)+1))),INDEX('M04-S03'!$AF$16:$AF$198,2*(ROWS($AM$386:$AM391)-1)+1),"")</f>
        <v/>
      </c>
      <c r="AN391" s="52" t="str">
        <f>IF(NOT(ISNUMBER(INDEX('M04-S03'!$AN$16:$AN$198,2*(ROWS($R$386:$R391)-1)+1))),INDEX('M04-S03'!$AH$16:$AH$198,2*(ROWS($AN$386:$AN391)-1)+1),"")</f>
        <v/>
      </c>
      <c r="AO391" s="113"/>
      <c r="AU391"/>
    </row>
    <row r="392" spans="1:47">
      <c r="A392" s="57">
        <f t="shared" si="37"/>
        <v>0</v>
      </c>
      <c r="B392" s="183" t="str">
        <f t="shared" si="39"/>
        <v/>
      </c>
      <c r="C392" s="186" t="str">
        <f>IF(OR(R392&gt;0,T392&gt;0),INDEX('M04-S03'!$BD$16:$BD$198,2*(ROWS($C$386:C392)-1)+1),"")</f>
        <v/>
      </c>
      <c r="D392">
        <f>INDEX('M04-S03'!$BG$16:$BG$198,2*(ROWS($AC$386:AC392)-1)+1)</f>
        <v>0</v>
      </c>
      <c r="E392" s="112"/>
      <c r="F392" s="112"/>
      <c r="G392" s="96"/>
      <c r="H392" s="184" t="str">
        <f>INDEX('M04-S03'!$AB$16:$AB$198,2*(ROWS($AC$386:AC392)-1)+1)</f>
        <v/>
      </c>
      <c r="I392" s="184">
        <f>IFERROR(ROUND(IF(ISNUMBER(INDEX('M04-S03'!$AN$16:$AN$198,2*(ROWS($R$386:$R392)-1)+1)),INDEX('M04-S03'!$AD$16:$AD$198,2*(ROWS($I$386:$I392)-1)+1),""),2),0)</f>
        <v>0</v>
      </c>
      <c r="J392" s="184">
        <f>IFERROR(ROUND(IF(ISNUMBER(INDEX('M04-S03'!$AN$16:$AN$198,2*(ROWS($R$386:$R392)-1)+1)),INDEX('M04-S03'!$AF$16:$AF$198,2*(ROWS($J$386:$J392)-1)+1),""),2),0)</f>
        <v>0</v>
      </c>
      <c r="K392" s="52">
        <f>IFERROR(ROUND(IF(ISNUMBER(INDEX('M04-S03'!$AN$16:$AN$198,2*(ROWS($R$386:$R392)-1)+1)),INDEX('M04-S03'!$AH$16:$AH$198,2*(ROWS($K$386:$K392)-1)+1),""),2),0)</f>
        <v>0</v>
      </c>
      <c r="L392" s="52">
        <f>IFERROR(ROUND(IF(ISNUMBER(INDEX('M04-S03'!$AN$16:$AN$198,2*(ROWS($R$386:$R392)-1)+1)),INDEX('M04-S03'!$BF$16:$BF$198,2*(ROWS($L$386:$L392)-1)+1),""),2),0)</f>
        <v>0</v>
      </c>
      <c r="M392" s="456" t="str">
        <f>IF(ISNUMBER(INDEX('M04-S03'!$AN$16:$AN$198,2*(ROWS($R$386:R392)-1)+1)),INDEX('M04-S03'!$X$16:$X$198,2*(ROWS($M$386:M392)-1)+1),"")</f>
        <v/>
      </c>
      <c r="N392" s="184" t="str">
        <f>IFERROR(IF(ISNUMBER(INDEX('M04-S03'!$AN$16:$AN$198,2*(ROWS($R$386:R392)-1)+1)),INDEX('M04-S03'!$AK$16:$AK$198,2*(ROWS($N$386:N392)-1)+1),""),"")</f>
        <v/>
      </c>
      <c r="O392" s="456" t="str">
        <f>IFERROR(IF(ISNUMBER(INDEX('M04-S03'!$AN$16:$AN$198,2*(ROWS($R$386:R392)-1)+1)),INDEX('M04-S03'!$AX$16:$AX$198,2*(ROWS($O$386:O392)-1)+1),""),"")</f>
        <v/>
      </c>
      <c r="P392" s="113"/>
      <c r="Q392" s="113"/>
      <c r="R392" s="184">
        <f>IF(ISNUMBER(INDEX('M04-S03'!$AN$16:$AN$198,2*(ROWS($R$386:R392)-1)+1)),INDEX('M04-S03'!$AN$16:$AN$198,2*(ROWS($R$386:R392)-1)+1),0)</f>
        <v>0</v>
      </c>
      <c r="S392" s="23" t="str">
        <f>IF(NOT(ISNUMBER(INDEX('M04-S03'!$AN$16:$AN$198,2*(ROWS($R$386:R392)-1)+1))),INDEX('M04-S03'!$X$16:$X$198,2*(ROWS($S$386:S392)-1)+1),"")</f>
        <v/>
      </c>
      <c r="T392" s="52" t="str">
        <f>IFERROR(IF(NOT(ISNUMBER(INDEX('M04-S03'!$AN$16:$AN$198,2*(ROWS($R$386:R392)-1)+1))),INDEX('M04-S03'!$AK$16:$AK$198,2*(ROWS($R$386:R392)-1)+1),0),0)</f>
        <v/>
      </c>
      <c r="U392" s="23" t="str">
        <f>IFERROR(IF(NOT(ISNUMBER(INDEX('M04-S03'!$AN$16:$AN$198,2*(ROWS($R$386:R392)-1)+1))),INDEX('M04-S03'!$AX$16:$AX$198,2*(ROWS($R$386:R392)-1)+1),""),"")</f>
        <v/>
      </c>
      <c r="V392" s="113"/>
      <c r="W392" t="str">
        <f>IFERROR(IF(NOT(ISNUMBER(INDEX('M04-S03'!$AN$16:$AN$198,2*(ROWS($R$386:R392)-1)+1))),INDEX('M04-S03'!$BE$16:$BE$198,2*(ROWS($R$386:R392)-1)+1),""),"")</f>
        <v>Submit for Review</v>
      </c>
      <c r="X392" s="113"/>
      <c r="Y392" s="113"/>
      <c r="Z392" s="111">
        <f>INDEX('M04-S03'!$B$16:$B$198,2*(ROWS($Z$386:Z392)-1)+1)</f>
        <v>7</v>
      </c>
      <c r="AA392" s="112"/>
      <c r="AB392" s="111">
        <f>INDEX('M04-S03'!$F$16:$F$198,2*(ROWS($Z$386:AB392)-1)+1)</f>
        <v>0</v>
      </c>
      <c r="AC392" t="str">
        <f>INDEX('M04-S03'!$L$16:$L$198,2*(ROWS($AC$386:AC392)-1)+1)</f>
        <v/>
      </c>
      <c r="AD392" t="str">
        <f>INDEX('M04-S03'!$T$16:$T$198,2*(ROWS($AD$386:AD392)-1)+1)</f>
        <v/>
      </c>
      <c r="AE392" s="459"/>
      <c r="AF392" s="459"/>
      <c r="AG392" s="111" t="str">
        <f>INDEX('M04-S03'!$R$16:$R$198,2*(ROWS($AG$309:AG315)-1)+1)</f>
        <v/>
      </c>
      <c r="AH392" s="111" t="str">
        <f>INDEX('M04-S03'!$Z$16:$Z$198,2*(ROWS($AH$386:AH392)-1)+1)</f>
        <v/>
      </c>
      <c r="AI392" s="96"/>
      <c r="AJ392" s="96"/>
      <c r="AK392" s="52" t="str">
        <f>INDEX('M04-S03'!$AV$16:$AV$198,2*(ROWS($AK$386:AK392)-1)+1)</f>
        <v/>
      </c>
      <c r="AL392" s="184">
        <f>IF(NOT(ISNUMBER(INDEX('M04-S03'!$AN$16:$AN$198,2*(ROWS($R$386:$R392)-1)+1))),INDEX('M04-S03'!$AD$16:$AD$198,2*(ROWS($AL$386:$AL392)-1)+1),"")</f>
        <v>0</v>
      </c>
      <c r="AM392" s="184" t="str">
        <f>IF(NOT(ISNUMBER(INDEX('M04-S03'!$AN$16:$AN$198,2*(ROWS($R$386:$R392)-1)+1))),INDEX('M04-S03'!$AF$16:$AF$198,2*(ROWS($AM$386:$AM392)-1)+1),"")</f>
        <v/>
      </c>
      <c r="AN392" s="52" t="str">
        <f>IF(NOT(ISNUMBER(INDEX('M04-S03'!$AN$16:$AN$198,2*(ROWS($R$386:$R392)-1)+1))),INDEX('M04-S03'!$AH$16:$AH$198,2*(ROWS($AN$386:$AN392)-1)+1),"")</f>
        <v/>
      </c>
      <c r="AO392" s="113"/>
      <c r="AU392"/>
    </row>
    <row r="393" spans="1:47">
      <c r="A393" s="57">
        <f t="shared" si="37"/>
        <v>0</v>
      </c>
      <c r="B393" s="183" t="str">
        <f t="shared" si="39"/>
        <v/>
      </c>
      <c r="C393" s="186" t="str">
        <f>IF(OR(R393&gt;0,T393&gt;0),INDEX('M04-S03'!$BD$16:$BD$198,2*(ROWS($C$386:C393)-1)+1),"")</f>
        <v/>
      </c>
      <c r="D393">
        <f>INDEX('M04-S03'!$BG$16:$BG$198,2*(ROWS($AC$386:AC393)-1)+1)</f>
        <v>0</v>
      </c>
      <c r="E393" s="112"/>
      <c r="F393" s="112"/>
      <c r="G393" s="96"/>
      <c r="H393" s="184" t="str">
        <f>INDEX('M04-S03'!$AB$16:$AB$198,2*(ROWS($AC$386:AC393)-1)+1)</f>
        <v/>
      </c>
      <c r="I393" s="184">
        <f>IFERROR(ROUND(IF(ISNUMBER(INDEX('M04-S03'!$AN$16:$AN$198,2*(ROWS($R$386:$R393)-1)+1)),INDEX('M04-S03'!$AD$16:$AD$198,2*(ROWS($I$386:$I393)-1)+1),""),2),0)</f>
        <v>0</v>
      </c>
      <c r="J393" s="184">
        <f>IFERROR(ROUND(IF(ISNUMBER(INDEX('M04-S03'!$AN$16:$AN$198,2*(ROWS($R$386:$R393)-1)+1)),INDEX('M04-S03'!$AF$16:$AF$198,2*(ROWS($J$386:$J393)-1)+1),""),2),0)</f>
        <v>0</v>
      </c>
      <c r="K393" s="52">
        <f>IFERROR(ROUND(IF(ISNUMBER(INDEX('M04-S03'!$AN$16:$AN$198,2*(ROWS($R$386:$R393)-1)+1)),INDEX('M04-S03'!$AH$16:$AH$198,2*(ROWS($K$386:$K393)-1)+1),""),2),0)</f>
        <v>0</v>
      </c>
      <c r="L393" s="52">
        <f>IFERROR(ROUND(IF(ISNUMBER(INDEX('M04-S03'!$AN$16:$AN$198,2*(ROWS($R$386:$R393)-1)+1)),INDEX('M04-S03'!$BF$16:$BF$198,2*(ROWS($L$386:$L393)-1)+1),""),2),0)</f>
        <v>0</v>
      </c>
      <c r="M393" s="456" t="str">
        <f>IF(ISNUMBER(INDEX('M04-S03'!$AN$16:$AN$198,2*(ROWS($R$386:R393)-1)+1)),INDEX('M04-S03'!$X$16:$X$198,2*(ROWS($M$386:M393)-1)+1),"")</f>
        <v/>
      </c>
      <c r="N393" s="184" t="str">
        <f>IFERROR(IF(ISNUMBER(INDEX('M04-S03'!$AN$16:$AN$198,2*(ROWS($R$386:R393)-1)+1)),INDEX('M04-S03'!$AK$16:$AK$198,2*(ROWS($N$386:N393)-1)+1),""),"")</f>
        <v/>
      </c>
      <c r="O393" s="456" t="str">
        <f>IFERROR(IF(ISNUMBER(INDEX('M04-S03'!$AN$16:$AN$198,2*(ROWS($R$386:R393)-1)+1)),INDEX('M04-S03'!$AX$16:$AX$198,2*(ROWS($O$386:O393)-1)+1),""),"")</f>
        <v/>
      </c>
      <c r="P393" s="113"/>
      <c r="Q393" s="113"/>
      <c r="R393" s="184">
        <f>IF(ISNUMBER(INDEX('M04-S03'!$AN$16:$AN$198,2*(ROWS($R$386:R393)-1)+1)),INDEX('M04-S03'!$AN$16:$AN$198,2*(ROWS($R$386:R393)-1)+1),0)</f>
        <v>0</v>
      </c>
      <c r="S393" s="23" t="str">
        <f>IF(NOT(ISNUMBER(INDEX('M04-S03'!$AN$16:$AN$198,2*(ROWS($R$386:R393)-1)+1))),INDEX('M04-S03'!$X$16:$X$198,2*(ROWS($S$386:S393)-1)+1),"")</f>
        <v/>
      </c>
      <c r="T393" s="52" t="str">
        <f>IFERROR(IF(NOT(ISNUMBER(INDEX('M04-S03'!$AN$16:$AN$198,2*(ROWS($R$386:R393)-1)+1))),INDEX('M04-S03'!$AK$16:$AK$198,2*(ROWS($R$386:R393)-1)+1),0),0)</f>
        <v/>
      </c>
      <c r="U393" s="23" t="str">
        <f>IFERROR(IF(NOT(ISNUMBER(INDEX('M04-S03'!$AN$16:$AN$198,2*(ROWS($R$386:R393)-1)+1))),INDEX('M04-S03'!$AX$16:$AX$198,2*(ROWS($R$386:R393)-1)+1),""),"")</f>
        <v/>
      </c>
      <c r="V393" s="113"/>
      <c r="W393" t="str">
        <f>IFERROR(IF(NOT(ISNUMBER(INDEX('M04-S03'!$AN$16:$AN$198,2*(ROWS($R$386:R393)-1)+1))),INDEX('M04-S03'!$BE$16:$BE$198,2*(ROWS($R$386:R393)-1)+1),""),"")</f>
        <v>Submit for Review</v>
      </c>
      <c r="X393" s="113"/>
      <c r="Y393" s="113"/>
      <c r="Z393" s="111">
        <f>INDEX('M04-S03'!$B$16:$B$198,2*(ROWS($Z$386:Z393)-1)+1)</f>
        <v>8</v>
      </c>
      <c r="AA393" s="112"/>
      <c r="AB393" s="111">
        <f>INDEX('M04-S03'!$F$16:$F$198,2*(ROWS($Z$386:AB393)-1)+1)</f>
        <v>0</v>
      </c>
      <c r="AC393" t="str">
        <f>INDEX('M04-S03'!$L$16:$L$198,2*(ROWS($AC$386:AC393)-1)+1)</f>
        <v/>
      </c>
      <c r="AD393" t="str">
        <f>INDEX('M04-S03'!$T$16:$T$198,2*(ROWS($AD$386:AD393)-1)+1)</f>
        <v/>
      </c>
      <c r="AE393" s="459"/>
      <c r="AF393" s="459"/>
      <c r="AG393" s="111" t="str">
        <f>INDEX('M04-S03'!$R$16:$R$198,2*(ROWS($AG$309:AG316)-1)+1)</f>
        <v/>
      </c>
      <c r="AH393" s="111" t="str">
        <f>INDEX('M04-S03'!$Z$16:$Z$198,2*(ROWS($AH$386:AH393)-1)+1)</f>
        <v/>
      </c>
      <c r="AI393" s="96"/>
      <c r="AJ393" s="96"/>
      <c r="AK393" s="52" t="str">
        <f>INDEX('M04-S03'!$AV$16:$AV$198,2*(ROWS($AK$386:AK393)-1)+1)</f>
        <v/>
      </c>
      <c r="AL393" s="184">
        <f>IF(NOT(ISNUMBER(INDEX('M04-S03'!$AN$16:$AN$198,2*(ROWS($R$386:$R393)-1)+1))),INDEX('M04-S03'!$AD$16:$AD$198,2*(ROWS($AL$386:$AL393)-1)+1),"")</f>
        <v>0</v>
      </c>
      <c r="AM393" s="184" t="str">
        <f>IF(NOT(ISNUMBER(INDEX('M04-S03'!$AN$16:$AN$198,2*(ROWS($R$386:$R393)-1)+1))),INDEX('M04-S03'!$AF$16:$AF$198,2*(ROWS($AM$386:$AM393)-1)+1),"")</f>
        <v/>
      </c>
      <c r="AN393" s="52" t="str">
        <f>IF(NOT(ISNUMBER(INDEX('M04-S03'!$AN$16:$AN$198,2*(ROWS($R$386:$R393)-1)+1))),INDEX('M04-S03'!$AH$16:$AH$198,2*(ROWS($AN$386:$AN393)-1)+1),"")</f>
        <v/>
      </c>
      <c r="AO393" s="113"/>
      <c r="AU393"/>
    </row>
    <row r="394" spans="1:47">
      <c r="A394" s="57">
        <f t="shared" si="37"/>
        <v>0</v>
      </c>
      <c r="B394" s="183" t="str">
        <f t="shared" si="39"/>
        <v/>
      </c>
      <c r="C394" s="186" t="str">
        <f>IF(OR(R394&gt;0,T394&gt;0),INDEX('M04-S03'!$BD$16:$BD$198,2*(ROWS($C$386:C394)-1)+1),"")</f>
        <v/>
      </c>
      <c r="D394">
        <f>INDEX('M04-S03'!$BG$16:$BG$198,2*(ROWS($AC$386:AC394)-1)+1)</f>
        <v>0</v>
      </c>
      <c r="E394" s="112"/>
      <c r="F394" s="112"/>
      <c r="G394" s="96"/>
      <c r="H394" s="184" t="str">
        <f>INDEX('M04-S03'!$AB$16:$AB$198,2*(ROWS($AC$386:AC394)-1)+1)</f>
        <v/>
      </c>
      <c r="I394" s="184">
        <f>IFERROR(ROUND(IF(ISNUMBER(INDEX('M04-S03'!$AN$16:$AN$198,2*(ROWS($R$386:$R394)-1)+1)),INDEX('M04-S03'!$AD$16:$AD$198,2*(ROWS($I$386:$I394)-1)+1),""),2),0)</f>
        <v>0</v>
      </c>
      <c r="J394" s="184">
        <f>IFERROR(ROUND(IF(ISNUMBER(INDEX('M04-S03'!$AN$16:$AN$198,2*(ROWS($R$386:$R394)-1)+1)),INDEX('M04-S03'!$AF$16:$AF$198,2*(ROWS($J$386:$J394)-1)+1),""),2),0)</f>
        <v>0</v>
      </c>
      <c r="K394" s="52">
        <f>IFERROR(ROUND(IF(ISNUMBER(INDEX('M04-S03'!$AN$16:$AN$198,2*(ROWS($R$386:$R394)-1)+1)),INDEX('M04-S03'!$AH$16:$AH$198,2*(ROWS($K$386:$K394)-1)+1),""),2),0)</f>
        <v>0</v>
      </c>
      <c r="L394" s="52">
        <f>IFERROR(ROUND(IF(ISNUMBER(INDEX('M04-S03'!$AN$16:$AN$198,2*(ROWS($R$386:$R394)-1)+1)),INDEX('M04-S03'!$BF$16:$BF$198,2*(ROWS($L$386:$L394)-1)+1),""),2),0)</f>
        <v>0</v>
      </c>
      <c r="M394" s="456" t="str">
        <f>IF(ISNUMBER(INDEX('M04-S03'!$AN$16:$AN$198,2*(ROWS($R$386:R394)-1)+1)),INDEX('M04-S03'!$X$16:$X$198,2*(ROWS($M$386:M394)-1)+1),"")</f>
        <v/>
      </c>
      <c r="N394" s="184" t="str">
        <f>IFERROR(IF(ISNUMBER(INDEX('M04-S03'!$AN$16:$AN$198,2*(ROWS($R$386:R394)-1)+1)),INDEX('M04-S03'!$AK$16:$AK$198,2*(ROWS($N$386:N394)-1)+1),""),"")</f>
        <v/>
      </c>
      <c r="O394" s="456" t="str">
        <f>IFERROR(IF(ISNUMBER(INDEX('M04-S03'!$AN$16:$AN$198,2*(ROWS($R$386:R394)-1)+1)),INDEX('M04-S03'!$AX$16:$AX$198,2*(ROWS($O$386:O394)-1)+1),""),"")</f>
        <v/>
      </c>
      <c r="P394" s="113"/>
      <c r="Q394" s="113"/>
      <c r="R394" s="184">
        <f>IF(ISNUMBER(INDEX('M04-S03'!$AN$16:$AN$198,2*(ROWS($R$386:R394)-1)+1)),INDEX('M04-S03'!$AN$16:$AN$198,2*(ROWS($R$386:R394)-1)+1),0)</f>
        <v>0</v>
      </c>
      <c r="S394" s="23" t="str">
        <f>IF(NOT(ISNUMBER(INDEX('M04-S03'!$AN$16:$AN$198,2*(ROWS($R$386:R394)-1)+1))),INDEX('M04-S03'!$X$16:$X$198,2*(ROWS($S$386:S394)-1)+1),"")</f>
        <v/>
      </c>
      <c r="T394" s="52" t="str">
        <f>IFERROR(IF(NOT(ISNUMBER(INDEX('M04-S03'!$AN$16:$AN$198,2*(ROWS($R$386:R394)-1)+1))),INDEX('M04-S03'!$AK$16:$AK$198,2*(ROWS($R$386:R394)-1)+1),0),0)</f>
        <v/>
      </c>
      <c r="U394" s="23" t="str">
        <f>IFERROR(IF(NOT(ISNUMBER(INDEX('M04-S03'!$AN$16:$AN$198,2*(ROWS($R$386:R394)-1)+1))),INDEX('M04-S03'!$AX$16:$AX$198,2*(ROWS($R$386:R394)-1)+1),""),"")</f>
        <v/>
      </c>
      <c r="V394" s="113"/>
      <c r="W394" t="str">
        <f>IFERROR(IF(NOT(ISNUMBER(INDEX('M04-S03'!$AN$16:$AN$198,2*(ROWS($R$386:R394)-1)+1))),INDEX('M04-S03'!$BE$16:$BE$198,2*(ROWS($R$386:R394)-1)+1),""),"")</f>
        <v>Submit for Review</v>
      </c>
      <c r="X394" s="113"/>
      <c r="Y394" s="113"/>
      <c r="Z394" s="111">
        <f>INDEX('M04-S03'!$B$16:$B$198,2*(ROWS($Z$386:Z394)-1)+1)</f>
        <v>9</v>
      </c>
      <c r="AA394" s="112"/>
      <c r="AB394" s="111">
        <f>INDEX('M04-S03'!$F$16:$F$198,2*(ROWS($Z$386:AB394)-1)+1)</f>
        <v>0</v>
      </c>
      <c r="AC394" t="str">
        <f>INDEX('M04-S03'!$L$16:$L$198,2*(ROWS($AC$386:AC394)-1)+1)</f>
        <v/>
      </c>
      <c r="AD394" t="str">
        <f>INDEX('M04-S03'!$T$16:$T$198,2*(ROWS($AD$386:AD394)-1)+1)</f>
        <v/>
      </c>
      <c r="AE394" s="459"/>
      <c r="AF394" s="459"/>
      <c r="AG394" s="111" t="str">
        <f>INDEX('M04-S03'!$R$16:$R$198,2*(ROWS($AG$309:AG317)-1)+1)</f>
        <v/>
      </c>
      <c r="AH394" s="111" t="str">
        <f>INDEX('M04-S03'!$Z$16:$Z$198,2*(ROWS($AH$386:AH394)-1)+1)</f>
        <v/>
      </c>
      <c r="AI394" s="96"/>
      <c r="AJ394" s="96"/>
      <c r="AK394" s="52" t="str">
        <f>INDEX('M04-S03'!$AV$16:$AV$198,2*(ROWS($AK$386:AK394)-1)+1)</f>
        <v/>
      </c>
      <c r="AL394" s="184">
        <f>IF(NOT(ISNUMBER(INDEX('M04-S03'!$AN$16:$AN$198,2*(ROWS($R$386:$R394)-1)+1))),INDEX('M04-S03'!$AD$16:$AD$198,2*(ROWS($AL$386:$AL394)-1)+1),"")</f>
        <v>0</v>
      </c>
      <c r="AM394" s="184" t="str">
        <f>IF(NOT(ISNUMBER(INDEX('M04-S03'!$AN$16:$AN$198,2*(ROWS($R$386:$R394)-1)+1))),INDEX('M04-S03'!$AF$16:$AF$198,2*(ROWS($AM$386:$AM394)-1)+1),"")</f>
        <v/>
      </c>
      <c r="AN394" s="52" t="str">
        <f>IF(NOT(ISNUMBER(INDEX('M04-S03'!$AN$16:$AN$198,2*(ROWS($R$386:$R394)-1)+1))),INDEX('M04-S03'!$AH$16:$AH$198,2*(ROWS($AN$386:$AN394)-1)+1),"")</f>
        <v/>
      </c>
      <c r="AO394" s="113"/>
      <c r="AU394"/>
    </row>
    <row r="395" spans="1:47">
      <c r="A395" s="57">
        <f t="shared" si="37"/>
        <v>0</v>
      </c>
      <c r="B395" s="183" t="str">
        <f t="shared" si="39"/>
        <v/>
      </c>
      <c r="C395" s="186" t="str">
        <f>IF(OR(R395&gt;0,T395&gt;0),INDEX('M04-S03'!$BD$16:$BD$198,2*(ROWS($C$386:C395)-1)+1),"")</f>
        <v/>
      </c>
      <c r="D395">
        <f>INDEX('M04-S03'!$BG$16:$BG$198,2*(ROWS($AC$386:AC395)-1)+1)</f>
        <v>0</v>
      </c>
      <c r="E395" s="112"/>
      <c r="F395" s="112"/>
      <c r="G395" s="96"/>
      <c r="H395" s="184" t="str">
        <f>INDEX('M04-S03'!$AB$16:$AB$198,2*(ROWS($AC$386:AC395)-1)+1)</f>
        <v/>
      </c>
      <c r="I395" s="184">
        <f>IFERROR(ROUND(IF(ISNUMBER(INDEX('M04-S03'!$AN$16:$AN$198,2*(ROWS($R$386:$R395)-1)+1)),INDEX('M04-S03'!$AD$16:$AD$198,2*(ROWS($I$386:$I395)-1)+1),""),2),0)</f>
        <v>0</v>
      </c>
      <c r="J395" s="184">
        <f>IFERROR(ROUND(IF(ISNUMBER(INDEX('M04-S03'!$AN$16:$AN$198,2*(ROWS($R$386:$R395)-1)+1)),INDEX('M04-S03'!$AF$16:$AF$198,2*(ROWS($J$386:$J395)-1)+1),""),2),0)</f>
        <v>0</v>
      </c>
      <c r="K395" s="52">
        <f>IFERROR(ROUND(IF(ISNUMBER(INDEX('M04-S03'!$AN$16:$AN$198,2*(ROWS($R$386:$R395)-1)+1)),INDEX('M04-S03'!$AH$16:$AH$198,2*(ROWS($K$386:$K395)-1)+1),""),2),0)</f>
        <v>0</v>
      </c>
      <c r="L395" s="52">
        <f>IFERROR(ROUND(IF(ISNUMBER(INDEX('M04-S03'!$AN$16:$AN$198,2*(ROWS($R$386:$R395)-1)+1)),INDEX('M04-S03'!$BF$16:$BF$198,2*(ROWS($L$386:$L395)-1)+1),""),2),0)</f>
        <v>0</v>
      </c>
      <c r="M395" s="456" t="str">
        <f>IF(ISNUMBER(INDEX('M04-S03'!$AN$16:$AN$198,2*(ROWS($R$386:R395)-1)+1)),INDEX('M04-S03'!$X$16:$X$198,2*(ROWS($M$386:M395)-1)+1),"")</f>
        <v/>
      </c>
      <c r="N395" s="184" t="str">
        <f>IFERROR(IF(ISNUMBER(INDEX('M04-S03'!$AN$16:$AN$198,2*(ROWS($R$386:R395)-1)+1)),INDEX('M04-S03'!$AK$16:$AK$198,2*(ROWS($N$386:N395)-1)+1),""),"")</f>
        <v/>
      </c>
      <c r="O395" s="456" t="str">
        <f>IFERROR(IF(ISNUMBER(INDEX('M04-S03'!$AN$16:$AN$198,2*(ROWS($R$386:R395)-1)+1)),INDEX('M04-S03'!$AX$16:$AX$198,2*(ROWS($O$386:O395)-1)+1),""),"")</f>
        <v/>
      </c>
      <c r="P395" s="113"/>
      <c r="Q395" s="113"/>
      <c r="R395" s="184">
        <f>IF(ISNUMBER(INDEX('M04-S03'!$AN$16:$AN$198,2*(ROWS($R$386:R395)-1)+1)),INDEX('M04-S03'!$AN$16:$AN$198,2*(ROWS($R$386:R395)-1)+1),0)</f>
        <v>0</v>
      </c>
      <c r="S395" s="23" t="str">
        <f>IF(NOT(ISNUMBER(INDEX('M04-S03'!$AN$16:$AN$198,2*(ROWS($R$386:R395)-1)+1))),INDEX('M04-S03'!$X$16:$X$198,2*(ROWS($S$386:S395)-1)+1),"")</f>
        <v/>
      </c>
      <c r="T395" s="52" t="str">
        <f>IFERROR(IF(NOT(ISNUMBER(INDEX('M04-S03'!$AN$16:$AN$198,2*(ROWS($R$386:R395)-1)+1))),INDEX('M04-S03'!$AK$16:$AK$198,2*(ROWS($R$386:R395)-1)+1),0),0)</f>
        <v/>
      </c>
      <c r="U395" s="23" t="str">
        <f>IFERROR(IF(NOT(ISNUMBER(INDEX('M04-S03'!$AN$16:$AN$198,2*(ROWS($R$386:R395)-1)+1))),INDEX('M04-S03'!$AX$16:$AX$198,2*(ROWS($R$386:R395)-1)+1),""),"")</f>
        <v/>
      </c>
      <c r="V395" s="113"/>
      <c r="W395" t="str">
        <f>IFERROR(IF(NOT(ISNUMBER(INDEX('M04-S03'!$AN$16:$AN$198,2*(ROWS($R$386:R395)-1)+1))),INDEX('M04-S03'!$BE$16:$BE$198,2*(ROWS($R$386:R395)-1)+1),""),"")</f>
        <v>Submit for Review</v>
      </c>
      <c r="X395" s="113"/>
      <c r="Y395" s="113"/>
      <c r="Z395" s="111">
        <f>INDEX('M04-S03'!$B$16:$B$198,2*(ROWS($Z$386:Z395)-1)+1)</f>
        <v>10</v>
      </c>
      <c r="AA395" s="112"/>
      <c r="AB395" s="111">
        <f>INDEX('M04-S03'!$F$16:$F$198,2*(ROWS($Z$386:AB395)-1)+1)</f>
        <v>0</v>
      </c>
      <c r="AC395" t="str">
        <f>INDEX('M04-S03'!$L$16:$L$198,2*(ROWS($AC$386:AC395)-1)+1)</f>
        <v/>
      </c>
      <c r="AD395" t="str">
        <f>INDEX('M04-S03'!$T$16:$T$198,2*(ROWS($AD$386:AD395)-1)+1)</f>
        <v/>
      </c>
      <c r="AE395" s="459"/>
      <c r="AF395" s="459"/>
      <c r="AG395" s="111" t="str">
        <f>INDEX('M04-S03'!$R$16:$R$198,2*(ROWS($AG$309:AG318)-1)+1)</f>
        <v/>
      </c>
      <c r="AH395" s="111" t="str">
        <f>INDEX('M04-S03'!$Z$16:$Z$198,2*(ROWS($AH$386:AH395)-1)+1)</f>
        <v/>
      </c>
      <c r="AI395" s="96"/>
      <c r="AJ395" s="96"/>
      <c r="AK395" s="52" t="str">
        <f>INDEX('M04-S03'!$AV$16:$AV$198,2*(ROWS($AK$386:AK395)-1)+1)</f>
        <v/>
      </c>
      <c r="AL395" s="184">
        <f>IF(NOT(ISNUMBER(INDEX('M04-S03'!$AN$16:$AN$198,2*(ROWS($R$386:$R395)-1)+1))),INDEX('M04-S03'!$AD$16:$AD$198,2*(ROWS($AL$386:$AL395)-1)+1),"")</f>
        <v>0</v>
      </c>
      <c r="AM395" s="184" t="str">
        <f>IF(NOT(ISNUMBER(INDEX('M04-S03'!$AN$16:$AN$198,2*(ROWS($R$386:$R395)-1)+1))),INDEX('M04-S03'!$AF$16:$AF$198,2*(ROWS($AM$386:$AM395)-1)+1),"")</f>
        <v/>
      </c>
      <c r="AN395" s="52" t="str">
        <f>IF(NOT(ISNUMBER(INDEX('M04-S03'!$AN$16:$AN$198,2*(ROWS($R$386:$R395)-1)+1))),INDEX('M04-S03'!$AH$16:$AH$198,2*(ROWS($AN$386:$AN395)-1)+1),"")</f>
        <v/>
      </c>
      <c r="AO395" s="113"/>
      <c r="AU395"/>
    </row>
    <row r="396" spans="1:47">
      <c r="A396" s="57">
        <f t="shared" si="37"/>
        <v>0</v>
      </c>
      <c r="B396" s="183" t="str">
        <f t="shared" si="39"/>
        <v/>
      </c>
      <c r="C396" s="186" t="str">
        <f>IF(OR(R396&gt;0,T396&gt;0),INDEX('M04-S03'!$BD$16:$BD$198,2*(ROWS($C$386:C396)-1)+1),"")</f>
        <v/>
      </c>
      <c r="D396" t="s">
        <v>231</v>
      </c>
      <c r="E396" s="112"/>
      <c r="F396" s="112"/>
      <c r="G396" s="96"/>
      <c r="H396" s="96"/>
      <c r="I396" s="184">
        <f>IFERROR(ROUND(IF(ISNUMBER(INDEX('M04-S03'!$AN$16:$AN$198,2*(ROWS($R$386:$R396)-1)+1)),INDEX('M04-S03'!$AD$16:$AD$198,2*(ROWS($I$386:$I396)-1)+1),""),2),0)</f>
        <v>0</v>
      </c>
      <c r="J396" s="184">
        <f>IFERROR(ROUND(IF(ISNUMBER(INDEX('M04-S03'!$AN$16:$AN$198,2*(ROWS($R$386:$R396)-1)+1)),INDEX('M04-S03'!$AF$16:$AF$198,2*(ROWS($J$386:$J396)-1)+1),""),2),0)</f>
        <v>0</v>
      </c>
      <c r="K396" s="52">
        <f>IFERROR(ROUND(IF(ISNUMBER(INDEX('M04-S03'!$AN$16:$AN$198,2*(ROWS($R$386:$R396)-1)+1)),INDEX('M04-S03'!$AH$16:$AH$198,2*(ROWS($K$386:$K396)-1)+1),""),2),0)</f>
        <v>0</v>
      </c>
      <c r="M396" s="456" t="str">
        <f>IF(ISNUMBER(INDEX('M04-S03'!$AN$16:$AN$198,2*(ROWS($R$386:R396)-1)+1)),INDEX('M04-S03'!$X$16:$X$198,2*(ROWS($M$386:M396)-1)+1),"")</f>
        <v/>
      </c>
      <c r="N396" s="184" t="str">
        <f>IFERROR(IF(ISNUMBER(INDEX('M04-S03'!$AN$16:$AN$198,2*(ROWS($R$386:R396)-1)+1)),INDEX('M04-S03'!$AK$16:$AK$198,2*(ROWS($N$386:N396)-1)+1),""),"")</f>
        <v/>
      </c>
      <c r="O396" s="456" t="str">
        <f>IFERROR(IF(ISNUMBER(INDEX('M04-S03'!$AN$16:$AN$198,2*(ROWS($R$386:R396)-1)+1)),INDEX('M04-S03'!$AX$16:$AX$198,2*(ROWS($O$386:O396)-1)+1),""),"")</f>
        <v/>
      </c>
      <c r="P396" s="113"/>
      <c r="Q396" s="113"/>
      <c r="R396" s="184">
        <f>IF(ISNUMBER(INDEX('M04-S03'!$AN$16:$AN$198,2*(ROWS($R$386:R396)-1)+1)),INDEX('M04-S03'!$AN$16:$AN$198,2*(ROWS($R$386:R396)-1)+1),0)</f>
        <v>0</v>
      </c>
      <c r="S396" s="23">
        <f>IF(NOT(ISNUMBER(INDEX('M04-S03'!$AN$16:$AN$198,2*(ROWS($R$386:R396)-1)+1))),INDEX('M04-S03'!$X$16:$X$198,2*(ROWS($S$386:S396)-1)+1),"")</f>
        <v>0</v>
      </c>
      <c r="T396" s="52" t="str">
        <f>IFERROR(IF(NOT(ISNUMBER(INDEX('M04-S03'!$AN$16:$AN$198,2*(ROWS($R$386:R396)-1)+1))),INDEX('M04-S03'!$AK$16:$AK$198,2*(ROWS($R$386:R396)-1)+1),0),0)</f>
        <v/>
      </c>
      <c r="U396" s="23" t="str">
        <f>IFERROR(IF(NOT(ISNUMBER(INDEX('M04-S03'!$AN$16:$AN$198,2*(ROWS($R$386:R396)-1)+1))),INDEX('M04-S03'!$AX$16:$AX$198,2*(ROWS($R$386:R396)-1)+1),""),"")</f>
        <v/>
      </c>
      <c r="V396" s="113"/>
      <c r="W396" t="str">
        <f>IFERROR(IF(NOT(ISNUMBER(INDEX('M04-S03'!$AN$16:$AN$198,2*(ROWS($R$386:R396)-1)+1))),INDEX('M04-S03'!$BE$16:$BE$198,2*(ROWS($R$386:R396)-1)+1),""),"")</f>
        <v>Submit for Review</v>
      </c>
      <c r="X396" s="113"/>
      <c r="Y396" s="113"/>
      <c r="Z396" s="111">
        <f>INDEX('M04-S03'!$B$16:$B$198,2*(ROWS($Z$386:Z396)-1)+1)</f>
        <v>11</v>
      </c>
      <c r="AA396" s="112"/>
      <c r="AB396" s="111">
        <f>INDEX('M04-S03'!$F$16:$F$198,2*(ROWS($Z$386:AB396)-1)+1)</f>
        <v>0</v>
      </c>
      <c r="AC396">
        <f>INDEX('M04-S03'!$L$16:$L$198,2*(ROWS($AC$386:AC396)-1)+1)</f>
        <v>0</v>
      </c>
      <c r="AD396">
        <f>INDEX('M04-S03'!$T$16:$T$198,2*(ROWS($AD$386:AD396)-1)+1)</f>
        <v>0</v>
      </c>
      <c r="AE396" s="459"/>
      <c r="AF396" s="459"/>
      <c r="AG396" s="111">
        <f>INDEX('M04-S03'!$R$16:$R$198,2*(ROWS($AG$309:AG319)-1)+1)</f>
        <v>0</v>
      </c>
      <c r="AH396" s="111">
        <f>INDEX('M04-S03'!$Z$16:$Z$198,2*(ROWS($AH$386:AH396)-1)+1)</f>
        <v>0</v>
      </c>
      <c r="AI396" s="96"/>
      <c r="AJ396" s="96"/>
      <c r="AK396" s="52" t="str">
        <f>INDEX('M04-S03'!$AV$16:$AV$198,2*(ROWS($AK$386:AK396)-1)+1)</f>
        <v/>
      </c>
      <c r="AL396" s="184">
        <f>IF(NOT(ISNUMBER(INDEX('M04-S03'!$AN$16:$AN$198,2*(ROWS($R$386:$R396)-1)+1))),INDEX('M04-S03'!$AD$16:$AD$198,2*(ROWS($AL$386:$AL396)-1)+1),"")</f>
        <v>0</v>
      </c>
      <c r="AM396" s="184" t="str">
        <f>IF(NOT(ISNUMBER(INDEX('M04-S03'!$AN$16:$AN$198,2*(ROWS($R$386:$R396)-1)+1))),INDEX('M04-S03'!$AF$16:$AF$198,2*(ROWS($AM$386:$AM396)-1)+1),"")</f>
        <v/>
      </c>
      <c r="AN396" s="52" t="str">
        <f>IF(NOT(ISNUMBER(INDEX('M04-S03'!$AN$16:$AN$198,2*(ROWS($R$386:$R396)-1)+1))),INDEX('M04-S03'!$AH$16:$AH$198,2*(ROWS($AN$386:$AN396)-1)+1),"")</f>
        <v/>
      </c>
      <c r="AO396" s="113"/>
      <c r="AU396"/>
    </row>
    <row r="397" spans="1:47">
      <c r="A397" s="57">
        <f t="shared" si="37"/>
        <v>0</v>
      </c>
      <c r="B397" s="183" t="str">
        <f t="shared" ref="B397:B402" si="40">IF(C397="","",CONCATENATE(ROW(),"-",C397))</f>
        <v/>
      </c>
      <c r="C397" s="186" t="str">
        <f>IF(OR(R397&gt;0,T397&gt;0),INDEX('M04-S03'!$BD$16:$BD$198,2*(ROWS($C$386:C397)-1)+1),"")</f>
        <v/>
      </c>
      <c r="D397" t="s">
        <v>231</v>
      </c>
      <c r="E397" s="112"/>
      <c r="F397" s="112"/>
      <c r="G397" s="96"/>
      <c r="H397" s="96"/>
      <c r="I397" s="184">
        <f>IFERROR(ROUND(IF(ISNUMBER(INDEX('M04-S03'!$AN$16:$AN$198,2*(ROWS($R$386:$R397)-1)+1)),INDEX('M04-S03'!$AD$16:$AD$198,2*(ROWS($I$386:$I397)-1)+1),""),2),0)</f>
        <v>0</v>
      </c>
      <c r="J397" s="184">
        <f>IFERROR(ROUND(IF(ISNUMBER(INDEX('M04-S03'!$AN$16:$AN$198,2*(ROWS($R$386:$R397)-1)+1)),INDEX('M04-S03'!$AF$16:$AF$198,2*(ROWS($J$386:$J397)-1)+1),""),2),0)</f>
        <v>0</v>
      </c>
      <c r="K397" s="52">
        <f>IFERROR(ROUND(IF(ISNUMBER(INDEX('M04-S03'!$AN$16:$AN$198,2*(ROWS($R$386:$R397)-1)+1)),INDEX('M04-S03'!$AH$16:$AH$198,2*(ROWS($K$386:$K397)-1)+1),""),2),0)</f>
        <v>0</v>
      </c>
      <c r="M397" s="456" t="str">
        <f>IF(ISNUMBER(INDEX('M04-S03'!$AN$16:$AN$198,2*(ROWS($R$386:R397)-1)+1)),INDEX('M04-S03'!$X$16:$X$198,2*(ROWS($M$386:M397)-1)+1),"")</f>
        <v/>
      </c>
      <c r="N397" s="184" t="str">
        <f>IFERROR(IF(ISNUMBER(INDEX('M04-S03'!$AN$16:$AN$198,2*(ROWS($R$386:R397)-1)+1)),INDEX('M04-S03'!$AK$16:$AK$198,2*(ROWS($N$386:N397)-1)+1),""),"")</f>
        <v/>
      </c>
      <c r="O397" s="456" t="str">
        <f>IFERROR(IF(ISNUMBER(INDEX('M04-S03'!$AN$16:$AN$198,2*(ROWS($R$386:R397)-1)+1)),INDEX('M04-S03'!$AX$16:$AX$198,2*(ROWS($O$386:O397)-1)+1),""),"")</f>
        <v/>
      </c>
      <c r="P397" s="113"/>
      <c r="Q397" s="113"/>
      <c r="R397" s="184">
        <f>IF(ISNUMBER(INDEX('M04-S03'!$AN$16:$AN$198,2*(ROWS($R$386:R397)-1)+1)),INDEX('M04-S03'!$AN$16:$AN$198,2*(ROWS($R$386:R397)-1)+1),0)</f>
        <v>0</v>
      </c>
      <c r="S397" s="23">
        <f>IF(NOT(ISNUMBER(INDEX('M04-S03'!$AN$16:$AN$198,2*(ROWS($R$386:R397)-1)+1))),INDEX('M04-S03'!$X$16:$X$198,2*(ROWS($S$386:S397)-1)+1),"")</f>
        <v>0</v>
      </c>
      <c r="T397" s="52" t="str">
        <f>IFERROR(IF(NOT(ISNUMBER(INDEX('M04-S03'!$AN$16:$AN$198,2*(ROWS($R$386:R397)-1)+1))),INDEX('M04-S03'!$AK$16:$AK$198,2*(ROWS($R$386:R397)-1)+1),0),0)</f>
        <v/>
      </c>
      <c r="U397" s="23" t="str">
        <f>IFERROR(IF(NOT(ISNUMBER(INDEX('M04-S03'!$AN$16:$AN$198,2*(ROWS($R$386:R397)-1)+1))),INDEX('M04-S03'!$AX$16:$AX$198,2*(ROWS($R$386:R397)-1)+1),""),"")</f>
        <v/>
      </c>
      <c r="V397" s="113"/>
      <c r="W397" t="str">
        <f>IFERROR(IF(NOT(ISNUMBER(INDEX('M04-S03'!$AN$16:$AN$198,2*(ROWS($R$386:R397)-1)+1))),INDEX('M04-S03'!$BE$16:$BE$198,2*(ROWS($R$386:R397)-1)+1),""),"")</f>
        <v>Submit for Review</v>
      </c>
      <c r="X397" s="113"/>
      <c r="Y397" s="113"/>
      <c r="Z397" s="111">
        <f>INDEX('M04-S03'!$B$16:$B$198,2*(ROWS($Z$386:Z397)-1)+1)</f>
        <v>12</v>
      </c>
      <c r="AA397" s="112"/>
      <c r="AB397" s="111">
        <f>INDEX('M04-S03'!$F$16:$F$198,2*(ROWS($Z$386:AB397)-1)+1)</f>
        <v>0</v>
      </c>
      <c r="AC397">
        <f>INDEX('M04-S03'!$L$16:$L$198,2*(ROWS($AC$386:AC397)-1)+1)</f>
        <v>0</v>
      </c>
      <c r="AD397">
        <f>INDEX('M04-S03'!$T$16:$T$198,2*(ROWS($AD$386:AD397)-1)+1)</f>
        <v>0</v>
      </c>
      <c r="AE397" s="459"/>
      <c r="AF397" s="459"/>
      <c r="AG397" s="111">
        <f>INDEX('M04-S03'!$R$16:$R$198,2*(ROWS($AG$309:AG320)-1)+1)</f>
        <v>0</v>
      </c>
      <c r="AH397" s="111">
        <f>INDEX('M04-S03'!$Z$16:$Z$198,2*(ROWS($AH$386:AH397)-1)+1)</f>
        <v>0</v>
      </c>
      <c r="AI397" s="96"/>
      <c r="AJ397" s="96"/>
      <c r="AK397" s="52" t="str">
        <f>INDEX('M04-S03'!$AV$16:$AV$198,2*(ROWS($AK$386:AK397)-1)+1)</f>
        <v/>
      </c>
      <c r="AL397" s="184">
        <f>IF(NOT(ISNUMBER(INDEX('M04-S03'!$AN$16:$AN$198,2*(ROWS($R$386:$R397)-1)+1))),INDEX('M04-S03'!$AD$16:$AD$198,2*(ROWS($AL$386:$AL397)-1)+1),"")</f>
        <v>0</v>
      </c>
      <c r="AM397" s="184" t="str">
        <f>IF(NOT(ISNUMBER(INDEX('M04-S03'!$AN$16:$AN$198,2*(ROWS($R$386:$R397)-1)+1))),INDEX('M04-S03'!$AF$16:$AF$198,2*(ROWS($AM$386:$AM397)-1)+1),"")</f>
        <v/>
      </c>
      <c r="AN397" s="52" t="str">
        <f>IF(NOT(ISNUMBER(INDEX('M04-S03'!$AN$16:$AN$198,2*(ROWS($R$386:$R397)-1)+1))),INDEX('M04-S03'!$AH$16:$AH$198,2*(ROWS($AN$386:$AN397)-1)+1),"")</f>
        <v/>
      </c>
      <c r="AO397" s="113"/>
      <c r="AU397"/>
    </row>
    <row r="398" spans="1:47">
      <c r="A398" s="57">
        <f t="shared" si="37"/>
        <v>0</v>
      </c>
      <c r="B398" s="183" t="str">
        <f t="shared" si="40"/>
        <v/>
      </c>
      <c r="C398" s="186" t="str">
        <f>IF(OR(R398&gt;0,T398&gt;0),INDEX('M04-S03'!$BD$16:$BD$198,2*(ROWS($C$386:C398)-1)+1),"")</f>
        <v/>
      </c>
      <c r="D398" t="s">
        <v>231</v>
      </c>
      <c r="E398" s="112"/>
      <c r="F398" s="112"/>
      <c r="G398" s="96"/>
      <c r="H398" s="96"/>
      <c r="I398" s="184">
        <f>IFERROR(ROUND(IF(ISNUMBER(INDEX('M04-S03'!$AN$16:$AN$198,2*(ROWS($R$386:$R398)-1)+1)),INDEX('M04-S03'!$AD$16:$AD$198,2*(ROWS($I$386:$I398)-1)+1),""),2),0)</f>
        <v>0</v>
      </c>
      <c r="J398" s="184">
        <f>IFERROR(ROUND(IF(ISNUMBER(INDEX('M04-S03'!$AN$16:$AN$198,2*(ROWS($R$386:$R398)-1)+1)),INDEX('M04-S03'!$AF$16:$AF$198,2*(ROWS($J$386:$J398)-1)+1),""),2),0)</f>
        <v>0</v>
      </c>
      <c r="K398" s="52">
        <f>IFERROR(ROUND(IF(ISNUMBER(INDEX('M04-S03'!$AN$16:$AN$198,2*(ROWS($R$386:$R398)-1)+1)),INDEX('M04-S03'!$AH$16:$AH$198,2*(ROWS($K$386:$K398)-1)+1),""),2),0)</f>
        <v>0</v>
      </c>
      <c r="M398" s="456" t="str">
        <f>IF(ISNUMBER(INDEX('M04-S03'!$AN$16:$AN$198,2*(ROWS($R$386:R398)-1)+1)),INDEX('M04-S03'!$X$16:$X$198,2*(ROWS($M$386:M398)-1)+1),"")</f>
        <v/>
      </c>
      <c r="N398" s="184" t="str">
        <f>IFERROR(IF(ISNUMBER(INDEX('M04-S03'!$AN$16:$AN$198,2*(ROWS($R$386:R398)-1)+1)),INDEX('M04-S03'!$AK$16:$AK$198,2*(ROWS($N$386:N398)-1)+1),""),"")</f>
        <v/>
      </c>
      <c r="O398" s="456" t="str">
        <f>IFERROR(IF(ISNUMBER(INDEX('M04-S03'!$AN$16:$AN$198,2*(ROWS($R$386:R398)-1)+1)),INDEX('M04-S03'!$AX$16:$AX$198,2*(ROWS($O$386:O398)-1)+1),""),"")</f>
        <v/>
      </c>
      <c r="P398" s="113"/>
      <c r="Q398" s="113"/>
      <c r="R398" s="184">
        <f>IF(ISNUMBER(INDEX('M04-S03'!$AN$16:$AN$198,2*(ROWS($R$386:R398)-1)+1)),INDEX('M04-S03'!$AN$16:$AN$198,2*(ROWS($R$386:R398)-1)+1),0)</f>
        <v>0</v>
      </c>
      <c r="S398" s="23">
        <f>IF(NOT(ISNUMBER(INDEX('M04-S03'!$AN$16:$AN$198,2*(ROWS($R$386:R398)-1)+1))),INDEX('M04-S03'!$X$16:$X$198,2*(ROWS($S$386:S398)-1)+1),"")</f>
        <v>0</v>
      </c>
      <c r="T398" s="52" t="str">
        <f>IFERROR(IF(NOT(ISNUMBER(INDEX('M04-S03'!$AN$16:$AN$198,2*(ROWS($R$386:R398)-1)+1))),INDEX('M04-S03'!$AK$16:$AK$198,2*(ROWS($R$386:R398)-1)+1),0),0)</f>
        <v/>
      </c>
      <c r="U398" s="23" t="str">
        <f>IFERROR(IF(NOT(ISNUMBER(INDEX('M04-S03'!$AN$16:$AN$198,2*(ROWS($R$386:R398)-1)+1))),INDEX('M04-S03'!$AX$16:$AX$198,2*(ROWS($R$386:R398)-1)+1),""),"")</f>
        <v/>
      </c>
      <c r="V398" s="113"/>
      <c r="W398" t="str">
        <f>IFERROR(IF(NOT(ISNUMBER(INDEX('M04-S03'!$AN$16:$AN$198,2*(ROWS($R$386:R398)-1)+1))),INDEX('M04-S03'!$BE$16:$BE$198,2*(ROWS($R$386:R398)-1)+1),""),"")</f>
        <v>Submit for Review</v>
      </c>
      <c r="X398" s="113"/>
      <c r="Y398" s="113"/>
      <c r="Z398" s="111">
        <f>INDEX('M04-S03'!$B$16:$B$198,2*(ROWS($Z$386:Z398)-1)+1)</f>
        <v>13</v>
      </c>
      <c r="AA398" s="112"/>
      <c r="AB398" s="111">
        <f>INDEX('M04-S03'!$F$16:$F$198,2*(ROWS($Z$386:AB398)-1)+1)</f>
        <v>0</v>
      </c>
      <c r="AC398">
        <f>INDEX('M04-S03'!$L$16:$L$198,2*(ROWS($AC$386:AC398)-1)+1)</f>
        <v>0</v>
      </c>
      <c r="AD398">
        <f>INDEX('M04-S03'!$T$16:$T$198,2*(ROWS($AD$386:AD398)-1)+1)</f>
        <v>0</v>
      </c>
      <c r="AE398" s="459"/>
      <c r="AF398" s="459"/>
      <c r="AG398" s="111">
        <f>INDEX('M04-S03'!$R$16:$R$198,2*(ROWS($AG$309:AG321)-1)+1)</f>
        <v>0</v>
      </c>
      <c r="AH398" s="111">
        <f>INDEX('M04-S03'!$Z$16:$Z$198,2*(ROWS($AH$386:AH398)-1)+1)</f>
        <v>0</v>
      </c>
      <c r="AI398" s="96"/>
      <c r="AJ398" s="96"/>
      <c r="AK398" s="52" t="str">
        <f>INDEX('M04-S03'!$AV$16:$AV$198,2*(ROWS($AK$386:AK398)-1)+1)</f>
        <v/>
      </c>
      <c r="AL398" s="184">
        <f>IF(NOT(ISNUMBER(INDEX('M04-S03'!$AN$16:$AN$198,2*(ROWS($R$386:$R398)-1)+1))),INDEX('M04-S03'!$AD$16:$AD$198,2*(ROWS($AL$386:$AL398)-1)+1),"")</f>
        <v>0</v>
      </c>
      <c r="AM398" s="184" t="str">
        <f>IF(NOT(ISNUMBER(INDEX('M04-S03'!$AN$16:$AN$198,2*(ROWS($R$386:$R398)-1)+1))),INDEX('M04-S03'!$AF$16:$AF$198,2*(ROWS($AM$386:$AM398)-1)+1),"")</f>
        <v/>
      </c>
      <c r="AN398" s="52" t="str">
        <f>IF(NOT(ISNUMBER(INDEX('M04-S03'!$AN$16:$AN$198,2*(ROWS($R$386:$R398)-1)+1))),INDEX('M04-S03'!$AH$16:$AH$198,2*(ROWS($AN$386:$AN398)-1)+1),"")</f>
        <v/>
      </c>
      <c r="AO398" s="113"/>
      <c r="AU398"/>
    </row>
    <row r="399" spans="1:47">
      <c r="A399" s="57">
        <f t="shared" si="37"/>
        <v>0</v>
      </c>
      <c r="B399" s="183" t="str">
        <f t="shared" si="40"/>
        <v/>
      </c>
      <c r="C399" s="186" t="str">
        <f>IF(OR(R399&gt;0,T399&gt;0),INDEX('M04-S03'!$BD$16:$BD$198,2*(ROWS($C$386:C399)-1)+1),"")</f>
        <v/>
      </c>
      <c r="D399" t="s">
        <v>231</v>
      </c>
      <c r="E399" s="112"/>
      <c r="F399" s="112"/>
      <c r="G399" s="96"/>
      <c r="H399" s="96"/>
      <c r="I399" s="184">
        <f>IFERROR(ROUND(IF(ISNUMBER(INDEX('M04-S03'!$AN$16:$AN$198,2*(ROWS($R$386:$R399)-1)+1)),INDEX('M04-S03'!$AD$16:$AD$198,2*(ROWS($I$386:$I399)-1)+1),""),2),0)</f>
        <v>0</v>
      </c>
      <c r="J399" s="184">
        <f>IFERROR(ROUND(IF(ISNUMBER(INDEX('M04-S03'!$AN$16:$AN$198,2*(ROWS($R$386:$R399)-1)+1)),INDEX('M04-S03'!$AF$16:$AF$198,2*(ROWS($J$386:$J399)-1)+1),""),2),0)</f>
        <v>0</v>
      </c>
      <c r="K399" s="52">
        <f>IFERROR(ROUND(IF(ISNUMBER(INDEX('M04-S03'!$AN$16:$AN$198,2*(ROWS($R$386:$R399)-1)+1)),INDEX('M04-S03'!$AH$16:$AH$198,2*(ROWS($K$386:$K399)-1)+1),""),2),0)</f>
        <v>0</v>
      </c>
      <c r="M399" s="456" t="str">
        <f>IF(ISNUMBER(INDEX('M04-S03'!$AN$16:$AN$198,2*(ROWS($R$386:R399)-1)+1)),INDEX('M04-S03'!$X$16:$X$198,2*(ROWS($M$386:M399)-1)+1),"")</f>
        <v/>
      </c>
      <c r="N399" s="184" t="str">
        <f>IFERROR(IF(ISNUMBER(INDEX('M04-S03'!$AN$16:$AN$198,2*(ROWS($R$386:R399)-1)+1)),INDEX('M04-S03'!$AK$16:$AK$198,2*(ROWS($N$386:N399)-1)+1),""),"")</f>
        <v/>
      </c>
      <c r="O399" s="456" t="str">
        <f>IFERROR(IF(ISNUMBER(INDEX('M04-S03'!$AN$16:$AN$198,2*(ROWS($R$386:R399)-1)+1)),INDEX('M04-S03'!$AX$16:$AX$198,2*(ROWS($O$386:O399)-1)+1),""),"")</f>
        <v/>
      </c>
      <c r="P399" s="113"/>
      <c r="Q399" s="113"/>
      <c r="R399" s="184">
        <f>IF(ISNUMBER(INDEX('M04-S03'!$AN$16:$AN$198,2*(ROWS($R$386:R399)-1)+1)),INDEX('M04-S03'!$AN$16:$AN$198,2*(ROWS($R$386:R399)-1)+1),0)</f>
        <v>0</v>
      </c>
      <c r="S399" s="23">
        <f>IF(NOT(ISNUMBER(INDEX('M04-S03'!$AN$16:$AN$198,2*(ROWS($R$386:R399)-1)+1))),INDEX('M04-S03'!$X$16:$X$198,2*(ROWS($S$386:S399)-1)+1),"")</f>
        <v>0</v>
      </c>
      <c r="T399" s="52" t="str">
        <f>IFERROR(IF(NOT(ISNUMBER(INDEX('M04-S03'!$AN$16:$AN$198,2*(ROWS($R$386:R399)-1)+1))),INDEX('M04-S03'!$AK$16:$AK$198,2*(ROWS($R$386:R399)-1)+1),0),0)</f>
        <v/>
      </c>
      <c r="U399" s="23" t="str">
        <f>IFERROR(IF(NOT(ISNUMBER(INDEX('M04-S03'!$AN$16:$AN$198,2*(ROWS($R$386:R399)-1)+1))),INDEX('M04-S03'!$AX$16:$AX$198,2*(ROWS($R$386:R399)-1)+1),""),"")</f>
        <v/>
      </c>
      <c r="V399" s="113"/>
      <c r="W399" t="str">
        <f>IFERROR(IF(NOT(ISNUMBER(INDEX('M04-S03'!$AN$16:$AN$198,2*(ROWS($R$386:R399)-1)+1))),INDEX('M04-S03'!$BE$16:$BE$198,2*(ROWS($R$386:R399)-1)+1),""),"")</f>
        <v>Submit for Review</v>
      </c>
      <c r="X399" s="113"/>
      <c r="Y399" s="113"/>
      <c r="Z399" s="111">
        <f>INDEX('M04-S03'!$B$16:$B$198,2*(ROWS($Z$386:Z399)-1)+1)</f>
        <v>14</v>
      </c>
      <c r="AA399" s="112"/>
      <c r="AB399" s="111">
        <f>INDEX('M04-S03'!$F$16:$F$198,2*(ROWS($Z$386:AB399)-1)+1)</f>
        <v>0</v>
      </c>
      <c r="AC399">
        <f>INDEX('M04-S03'!$L$16:$L$198,2*(ROWS($AC$386:AC399)-1)+1)</f>
        <v>0</v>
      </c>
      <c r="AD399">
        <f>INDEX('M04-S03'!$T$16:$T$198,2*(ROWS($AD$386:AD399)-1)+1)</f>
        <v>0</v>
      </c>
      <c r="AE399" s="459"/>
      <c r="AF399" s="459"/>
      <c r="AG399" s="111">
        <f>INDEX('M04-S03'!$R$16:$R$198,2*(ROWS($AG$309:AG322)-1)+1)</f>
        <v>0</v>
      </c>
      <c r="AH399" s="111">
        <f>INDEX('M04-S03'!$Z$16:$Z$198,2*(ROWS($AH$386:AH399)-1)+1)</f>
        <v>0</v>
      </c>
      <c r="AI399" s="96"/>
      <c r="AJ399" s="96"/>
      <c r="AK399" s="52" t="str">
        <f>INDEX('M04-S03'!$AV$16:$AV$198,2*(ROWS($AK$386:AK399)-1)+1)</f>
        <v/>
      </c>
      <c r="AL399" s="184">
        <f>IF(NOT(ISNUMBER(INDEX('M04-S03'!$AN$16:$AN$198,2*(ROWS($R$386:$R399)-1)+1))),INDEX('M04-S03'!$AD$16:$AD$198,2*(ROWS($AL$386:$AL399)-1)+1),"")</f>
        <v>0</v>
      </c>
      <c r="AM399" s="184" t="str">
        <f>IF(NOT(ISNUMBER(INDEX('M04-S03'!$AN$16:$AN$198,2*(ROWS($R$386:$R399)-1)+1))),INDEX('M04-S03'!$AF$16:$AF$198,2*(ROWS($AM$386:$AM399)-1)+1),"")</f>
        <v/>
      </c>
      <c r="AN399" s="52" t="str">
        <f>IF(NOT(ISNUMBER(INDEX('M04-S03'!$AN$16:$AN$198,2*(ROWS($R$386:$R399)-1)+1))),INDEX('M04-S03'!$AH$16:$AH$198,2*(ROWS($AN$386:$AN399)-1)+1),"")</f>
        <v/>
      </c>
      <c r="AO399" s="113"/>
      <c r="AU399"/>
    </row>
    <row r="400" spans="1:47">
      <c r="A400" s="57">
        <f t="shared" si="37"/>
        <v>0</v>
      </c>
      <c r="B400" s="183" t="str">
        <f t="shared" si="40"/>
        <v/>
      </c>
      <c r="C400" s="186" t="str">
        <f>IF(OR(R400&gt;0,T400&gt;0),INDEX('M04-S03'!$BD$16:$BD$198,2*(ROWS($C$386:C400)-1)+1),"")</f>
        <v/>
      </c>
      <c r="D400" t="s">
        <v>231</v>
      </c>
      <c r="E400" s="112"/>
      <c r="F400" s="112"/>
      <c r="G400" s="96"/>
      <c r="H400" s="96"/>
      <c r="I400" s="184">
        <f>IFERROR(ROUND(IF(ISNUMBER(INDEX('M04-S03'!$AN$16:$AN$198,2*(ROWS($R$386:$R400)-1)+1)),INDEX('M04-S03'!$AD$16:$AD$198,2*(ROWS($I$386:$I400)-1)+1),""),2),0)</f>
        <v>0</v>
      </c>
      <c r="J400" s="184">
        <f>IFERROR(ROUND(IF(ISNUMBER(INDEX('M04-S03'!$AN$16:$AN$198,2*(ROWS($R$386:$R400)-1)+1)),INDEX('M04-S03'!$AF$16:$AF$198,2*(ROWS($J$386:$J400)-1)+1),""),2),0)</f>
        <v>0</v>
      </c>
      <c r="K400" s="52">
        <f>IFERROR(ROUND(IF(ISNUMBER(INDEX('M04-S03'!$AN$16:$AN$198,2*(ROWS($R$386:$R400)-1)+1)),INDEX('M04-S03'!$AH$16:$AH$198,2*(ROWS($K$386:$K400)-1)+1),""),2),0)</f>
        <v>0</v>
      </c>
      <c r="M400" s="456" t="str">
        <f>IF(ISNUMBER(INDEX('M04-S03'!$AN$16:$AN$198,2*(ROWS($R$386:R400)-1)+1)),INDEX('M04-S03'!$X$16:$X$198,2*(ROWS($M$386:M400)-1)+1),"")</f>
        <v/>
      </c>
      <c r="N400" s="184" t="str">
        <f>IFERROR(IF(ISNUMBER(INDEX('M04-S03'!$AN$16:$AN$198,2*(ROWS($R$386:R400)-1)+1)),INDEX('M04-S03'!$AK$16:$AK$198,2*(ROWS($N$386:N400)-1)+1),""),"")</f>
        <v/>
      </c>
      <c r="O400" s="456" t="str">
        <f>IFERROR(IF(ISNUMBER(INDEX('M04-S03'!$AN$16:$AN$198,2*(ROWS($R$386:R400)-1)+1)),INDEX('M04-S03'!$AX$16:$AX$198,2*(ROWS($O$386:O400)-1)+1),""),"")</f>
        <v/>
      </c>
      <c r="P400" s="113"/>
      <c r="Q400" s="113"/>
      <c r="R400" s="184">
        <f>IF(ISNUMBER(INDEX('M04-S03'!$AN$16:$AN$198,2*(ROWS($R$386:R400)-1)+1)),INDEX('M04-S03'!$AN$16:$AN$198,2*(ROWS($R$386:R400)-1)+1),0)</f>
        <v>0</v>
      </c>
      <c r="S400" s="23">
        <f>IF(NOT(ISNUMBER(INDEX('M04-S03'!$AN$16:$AN$198,2*(ROWS($R$386:R400)-1)+1))),INDEX('M04-S03'!$X$16:$X$198,2*(ROWS($S$386:S400)-1)+1),"")</f>
        <v>0</v>
      </c>
      <c r="T400" s="52" t="str">
        <f>IFERROR(IF(NOT(ISNUMBER(INDEX('M04-S03'!$AN$16:$AN$198,2*(ROWS($R$386:R400)-1)+1))),INDEX('M04-S03'!$AK$16:$AK$198,2*(ROWS($R$386:R400)-1)+1),0),0)</f>
        <v/>
      </c>
      <c r="U400" s="23" t="str">
        <f>IFERROR(IF(NOT(ISNUMBER(INDEX('M04-S03'!$AN$16:$AN$198,2*(ROWS($R$386:R400)-1)+1))),INDEX('M04-S03'!$AX$16:$AX$198,2*(ROWS($R$386:R400)-1)+1),""),"")</f>
        <v/>
      </c>
      <c r="V400" s="113"/>
      <c r="W400" t="str">
        <f>IFERROR(IF(NOT(ISNUMBER(INDEX('M04-S03'!$AN$16:$AN$198,2*(ROWS($R$386:R400)-1)+1))),INDEX('M04-S03'!$BE$16:$BE$198,2*(ROWS($R$386:R400)-1)+1),""),"")</f>
        <v>Submit for Review</v>
      </c>
      <c r="X400" s="113"/>
      <c r="Y400" s="113"/>
      <c r="Z400" s="111">
        <f>INDEX('M04-S03'!$B$16:$B$198,2*(ROWS($Z$386:Z400)-1)+1)</f>
        <v>15</v>
      </c>
      <c r="AA400" s="112"/>
      <c r="AB400" s="111">
        <f>INDEX('M04-S03'!$F$16:$F$198,2*(ROWS($Z$386:AB400)-1)+1)</f>
        <v>0</v>
      </c>
      <c r="AC400">
        <f>INDEX('M04-S03'!$L$16:$L$198,2*(ROWS($AC$386:AC400)-1)+1)</f>
        <v>0</v>
      </c>
      <c r="AD400">
        <f>INDEX('M04-S03'!$T$16:$T$198,2*(ROWS($AD$386:AD400)-1)+1)</f>
        <v>0</v>
      </c>
      <c r="AE400" s="459"/>
      <c r="AF400" s="459"/>
      <c r="AG400" s="111">
        <f>INDEX('M04-S03'!$R$16:$R$198,2*(ROWS($AG$309:AG323)-1)+1)</f>
        <v>0</v>
      </c>
      <c r="AH400" s="111">
        <f>INDEX('M04-S03'!$Z$16:$Z$198,2*(ROWS($AH$386:AH400)-1)+1)</f>
        <v>0</v>
      </c>
      <c r="AI400" s="96"/>
      <c r="AJ400" s="96"/>
      <c r="AK400" s="52" t="str">
        <f>INDEX('M04-S03'!$AV$16:$AV$198,2*(ROWS($AK$386:AK400)-1)+1)</f>
        <v/>
      </c>
      <c r="AL400" s="184">
        <f>IF(NOT(ISNUMBER(INDEX('M04-S03'!$AN$16:$AN$198,2*(ROWS($R$386:$R400)-1)+1))),INDEX('M04-S03'!$AD$16:$AD$198,2*(ROWS($AL$386:$AL400)-1)+1),"")</f>
        <v>0</v>
      </c>
      <c r="AM400" s="184" t="str">
        <f>IF(NOT(ISNUMBER(INDEX('M04-S03'!$AN$16:$AN$198,2*(ROWS($R$386:$R400)-1)+1))),INDEX('M04-S03'!$AF$16:$AF$198,2*(ROWS($AM$386:$AM400)-1)+1),"")</f>
        <v/>
      </c>
      <c r="AN400" s="52" t="str">
        <f>IF(NOT(ISNUMBER(INDEX('M04-S03'!$AN$16:$AN$198,2*(ROWS($R$386:$R400)-1)+1))),INDEX('M04-S03'!$AH$16:$AH$198,2*(ROWS($AN$386:$AN400)-1)+1),"")</f>
        <v/>
      </c>
      <c r="AO400" s="113"/>
      <c r="AU400"/>
    </row>
    <row r="401" spans="1:47">
      <c r="A401" s="57">
        <f t="shared" si="37"/>
        <v>0</v>
      </c>
      <c r="B401" s="183" t="str">
        <f t="shared" si="40"/>
        <v/>
      </c>
      <c r="C401" s="186" t="str">
        <f>IF(OR(R401&gt;0,T401&gt;0),INDEX('M04-S03'!$BD$16:$BD$198,2*(ROWS($C$386:C401)-1)+1),"")</f>
        <v/>
      </c>
      <c r="D401" t="s">
        <v>231</v>
      </c>
      <c r="E401" s="112"/>
      <c r="F401" s="112"/>
      <c r="G401" s="96"/>
      <c r="H401" s="96"/>
      <c r="I401" s="184">
        <f>IFERROR(ROUND(IF(ISNUMBER(INDEX('M04-S03'!$AN$16:$AN$198,2*(ROWS($R$386:$R401)-1)+1)),INDEX('M04-S03'!$AD$16:$AD$198,2*(ROWS($I$386:$I401)-1)+1),""),2),0)</f>
        <v>0</v>
      </c>
      <c r="J401" s="184">
        <f>IFERROR(ROUND(IF(ISNUMBER(INDEX('M04-S03'!$AN$16:$AN$198,2*(ROWS($R$386:$R401)-1)+1)),INDEX('M04-S03'!$AF$16:$AF$198,2*(ROWS($J$386:$J401)-1)+1),""),2),0)</f>
        <v>0</v>
      </c>
      <c r="K401" s="52">
        <f>IFERROR(ROUND(IF(ISNUMBER(INDEX('M04-S03'!$AN$16:$AN$198,2*(ROWS($R$386:$R401)-1)+1)),INDEX('M04-S03'!$AH$16:$AH$198,2*(ROWS($K$386:$K401)-1)+1),""),2),0)</f>
        <v>0</v>
      </c>
      <c r="M401" s="456" t="str">
        <f>IF(ISNUMBER(INDEX('M04-S03'!$AN$16:$AN$198,2*(ROWS($R$386:R401)-1)+1)),INDEX('M04-S03'!$X$16:$X$198,2*(ROWS($M$386:M401)-1)+1),"")</f>
        <v/>
      </c>
      <c r="N401" s="184" t="str">
        <f>IFERROR(IF(ISNUMBER(INDEX('M04-S03'!$AN$16:$AN$198,2*(ROWS($R$386:R401)-1)+1)),INDEX('M04-S03'!$AK$16:$AK$198,2*(ROWS($N$386:N401)-1)+1),""),"")</f>
        <v/>
      </c>
      <c r="O401" s="456" t="str">
        <f>IFERROR(IF(ISNUMBER(INDEX('M04-S03'!$AN$16:$AN$198,2*(ROWS($R$386:R401)-1)+1)),INDEX('M04-S03'!$AX$16:$AX$198,2*(ROWS($O$386:O401)-1)+1),""),"")</f>
        <v/>
      </c>
      <c r="P401" s="113"/>
      <c r="Q401" s="113"/>
      <c r="R401" s="184">
        <f>IF(ISNUMBER(INDEX('M04-S03'!$AN$16:$AN$198,2*(ROWS($R$386:R401)-1)+1)),INDEX('M04-S03'!$AN$16:$AN$198,2*(ROWS($R$386:R401)-1)+1),0)</f>
        <v>0</v>
      </c>
      <c r="S401" s="23">
        <f>IF(NOT(ISNUMBER(INDEX('M04-S03'!$AN$16:$AN$198,2*(ROWS($R$386:R401)-1)+1))),INDEX('M04-S03'!$X$16:$X$198,2*(ROWS($S$386:S401)-1)+1),"")</f>
        <v>0</v>
      </c>
      <c r="T401" s="52" t="str">
        <f>IFERROR(IF(NOT(ISNUMBER(INDEX('M04-S03'!$AN$16:$AN$198,2*(ROWS($R$386:R401)-1)+1))),INDEX('M04-S03'!$AK$16:$AK$198,2*(ROWS($R$386:R401)-1)+1),0),0)</f>
        <v/>
      </c>
      <c r="U401" s="23" t="str">
        <f>IFERROR(IF(NOT(ISNUMBER(INDEX('M04-S03'!$AN$16:$AN$198,2*(ROWS($R$386:R401)-1)+1))),INDEX('M04-S03'!$AX$16:$AX$198,2*(ROWS($R$386:R401)-1)+1),""),"")</f>
        <v/>
      </c>
      <c r="V401" s="113"/>
      <c r="W401" t="str">
        <f>IFERROR(IF(NOT(ISNUMBER(INDEX('M04-S03'!$AN$16:$AN$198,2*(ROWS($R$386:R401)-1)+1))),INDEX('M04-S03'!$BE$16:$BE$198,2*(ROWS($R$386:R401)-1)+1),""),"")</f>
        <v>Submit for Review</v>
      </c>
      <c r="X401" s="113"/>
      <c r="Y401" s="113"/>
      <c r="Z401" s="111">
        <f>INDEX('M04-S03'!$B$16:$B$198,2*(ROWS($Z$386:Z401)-1)+1)</f>
        <v>16</v>
      </c>
      <c r="AA401" s="112"/>
      <c r="AB401" s="111">
        <f>INDEX('M04-S03'!$F$16:$F$198,2*(ROWS($Z$386:AB401)-1)+1)</f>
        <v>0</v>
      </c>
      <c r="AC401">
        <f>INDEX('M04-S03'!$L$16:$L$198,2*(ROWS($AC$386:AC401)-1)+1)</f>
        <v>0</v>
      </c>
      <c r="AD401">
        <f>INDEX('M04-S03'!$T$16:$T$198,2*(ROWS($AD$386:AD401)-1)+1)</f>
        <v>0</v>
      </c>
      <c r="AE401" s="459"/>
      <c r="AF401" s="459"/>
      <c r="AG401" s="111">
        <f>INDEX('M04-S03'!$R$16:$R$198,2*(ROWS($AG$309:AG324)-1)+1)</f>
        <v>0</v>
      </c>
      <c r="AH401" s="111">
        <f>INDEX('M04-S03'!$Z$16:$Z$198,2*(ROWS($AH$386:AH401)-1)+1)</f>
        <v>0</v>
      </c>
      <c r="AI401" s="96"/>
      <c r="AJ401" s="96"/>
      <c r="AK401" s="52" t="str">
        <f>INDEX('M04-S03'!$AV$16:$AV$198,2*(ROWS($AK$386:AK401)-1)+1)</f>
        <v/>
      </c>
      <c r="AL401" s="184">
        <f>IF(NOT(ISNUMBER(INDEX('M04-S03'!$AN$16:$AN$198,2*(ROWS($R$386:$R401)-1)+1))),INDEX('M04-S03'!$AD$16:$AD$198,2*(ROWS($AL$386:$AL401)-1)+1),"")</f>
        <v>0</v>
      </c>
      <c r="AM401" s="184" t="str">
        <f>IF(NOT(ISNUMBER(INDEX('M04-S03'!$AN$16:$AN$198,2*(ROWS($R$386:$R401)-1)+1))),INDEX('M04-S03'!$AF$16:$AF$198,2*(ROWS($AM$386:$AM401)-1)+1),"")</f>
        <v/>
      </c>
      <c r="AN401" s="52" t="str">
        <f>IF(NOT(ISNUMBER(INDEX('M04-S03'!$AN$16:$AN$198,2*(ROWS($R$386:$R401)-1)+1))),INDEX('M04-S03'!$AH$16:$AH$198,2*(ROWS($AN$386:$AN401)-1)+1),"")</f>
        <v/>
      </c>
      <c r="AO401" s="113"/>
      <c r="AU401"/>
    </row>
    <row r="402" spans="1:47">
      <c r="A402" s="57">
        <f t="shared" si="37"/>
        <v>0</v>
      </c>
      <c r="B402" s="183" t="str">
        <f t="shared" si="40"/>
        <v/>
      </c>
      <c r="C402" s="186" t="str">
        <f>IF(OR(R402&gt;0,T402&gt;0),INDEX('M04-S03'!$BD$16:$BD$198,2*(ROWS($C$386:C402)-1)+1),"")</f>
        <v/>
      </c>
      <c r="D402" t="s">
        <v>231</v>
      </c>
      <c r="E402" s="112"/>
      <c r="F402" s="112"/>
      <c r="G402" s="96"/>
      <c r="H402" s="96"/>
      <c r="I402" s="184">
        <f>IFERROR(ROUND(IF(ISNUMBER(INDEX('M04-S03'!$AN$16:$AN$198,2*(ROWS($R$386:$R402)-1)+1)),INDEX('M04-S03'!$AD$16:$AD$198,2*(ROWS($I$386:$I402)-1)+1),""),2),0)</f>
        <v>0</v>
      </c>
      <c r="J402" s="184">
        <f>IFERROR(ROUND(IF(ISNUMBER(INDEX('M04-S03'!$AN$16:$AN$198,2*(ROWS($R$386:$R402)-1)+1)),INDEX('M04-S03'!$AF$16:$AF$198,2*(ROWS($J$386:$J402)-1)+1),""),2),0)</f>
        <v>0</v>
      </c>
      <c r="K402" s="52">
        <f>IFERROR(ROUND(IF(ISNUMBER(INDEX('M04-S03'!$AN$16:$AN$198,2*(ROWS($R$386:$R402)-1)+1)),INDEX('M04-S03'!$AH$16:$AH$198,2*(ROWS($K$386:$K402)-1)+1),""),2),0)</f>
        <v>0</v>
      </c>
      <c r="M402" s="456" t="str">
        <f>IF(ISNUMBER(INDEX('M04-S03'!$AN$16:$AN$198,2*(ROWS($R$386:R402)-1)+1)),INDEX('M04-S03'!$X$16:$X$198,2*(ROWS($M$386:M402)-1)+1),"")</f>
        <v/>
      </c>
      <c r="N402" s="184" t="str">
        <f>IFERROR(IF(ISNUMBER(INDEX('M04-S03'!$AN$16:$AN$198,2*(ROWS($R$386:R402)-1)+1)),INDEX('M04-S03'!$AK$16:$AK$198,2*(ROWS($N$386:N402)-1)+1),""),"")</f>
        <v/>
      </c>
      <c r="O402" s="456" t="str">
        <f>IFERROR(IF(ISNUMBER(INDEX('M04-S03'!$AN$16:$AN$198,2*(ROWS($R$386:R402)-1)+1)),INDEX('M04-S03'!$AX$16:$AX$198,2*(ROWS($O$386:O402)-1)+1),""),"")</f>
        <v/>
      </c>
      <c r="P402" s="113"/>
      <c r="Q402" s="113"/>
      <c r="R402" s="184">
        <f>IF(ISNUMBER(INDEX('M04-S03'!$AN$16:$AN$198,2*(ROWS($R$386:R402)-1)+1)),INDEX('M04-S03'!$AN$16:$AN$198,2*(ROWS($R$386:R402)-1)+1),0)</f>
        <v>0</v>
      </c>
      <c r="S402" s="23">
        <f>IF(NOT(ISNUMBER(INDEX('M04-S03'!$AN$16:$AN$198,2*(ROWS($R$386:R402)-1)+1))),INDEX('M04-S03'!$X$16:$X$198,2*(ROWS($S$386:S402)-1)+1),"")</f>
        <v>0</v>
      </c>
      <c r="T402" s="52" t="str">
        <f>IFERROR(IF(NOT(ISNUMBER(INDEX('M04-S03'!$AN$16:$AN$198,2*(ROWS($R$386:R402)-1)+1))),INDEX('M04-S03'!$AK$16:$AK$198,2*(ROWS($R$386:R402)-1)+1),0),0)</f>
        <v/>
      </c>
      <c r="U402" s="23" t="str">
        <f>IFERROR(IF(NOT(ISNUMBER(INDEX('M04-S03'!$AN$16:$AN$198,2*(ROWS($R$386:R402)-1)+1))),INDEX('M04-S03'!$AX$16:$AX$198,2*(ROWS($R$386:R402)-1)+1),""),"")</f>
        <v/>
      </c>
      <c r="V402" s="113"/>
      <c r="W402" t="str">
        <f>IFERROR(IF(NOT(ISNUMBER(INDEX('M04-S03'!$AN$16:$AN$198,2*(ROWS($R$386:R402)-1)+1))),INDEX('M04-S03'!$BE$16:$BE$198,2*(ROWS($R$386:R402)-1)+1),""),"")</f>
        <v>Submit for Review</v>
      </c>
      <c r="X402" s="113"/>
      <c r="Y402" s="113"/>
      <c r="Z402" s="111">
        <f>INDEX('M04-S03'!$B$16:$B$198,2*(ROWS($Z$386:Z402)-1)+1)</f>
        <v>17</v>
      </c>
      <c r="AA402" s="112"/>
      <c r="AB402" s="111">
        <f>INDEX('M04-S03'!$F$16:$F$198,2*(ROWS($Z$386:AB402)-1)+1)</f>
        <v>0</v>
      </c>
      <c r="AC402">
        <f>INDEX('M04-S03'!$L$16:$L$198,2*(ROWS($AC$386:AC402)-1)+1)</f>
        <v>0</v>
      </c>
      <c r="AD402">
        <f>INDEX('M04-S03'!$T$16:$T$198,2*(ROWS($AD$386:AD402)-1)+1)</f>
        <v>0</v>
      </c>
      <c r="AE402" s="459"/>
      <c r="AF402" s="459"/>
      <c r="AG402" s="111">
        <f>INDEX('M04-S03'!$R$16:$R$198,2*(ROWS($AG$309:AG325)-1)+1)</f>
        <v>0</v>
      </c>
      <c r="AH402" s="111">
        <f>INDEX('M04-S03'!$Z$16:$Z$198,2*(ROWS($AH$386:AH402)-1)+1)</f>
        <v>0</v>
      </c>
      <c r="AI402" s="96"/>
      <c r="AJ402" s="96"/>
      <c r="AK402" s="52" t="str">
        <f>INDEX('M04-S03'!$AV$16:$AV$198,2*(ROWS($AK$386:AK402)-1)+1)</f>
        <v/>
      </c>
      <c r="AL402" s="184">
        <f>IF(NOT(ISNUMBER(INDEX('M04-S03'!$AN$16:$AN$198,2*(ROWS($R$386:$R402)-1)+1))),INDEX('M04-S03'!$AD$16:$AD$198,2*(ROWS($AL$386:$AL402)-1)+1),"")</f>
        <v>0</v>
      </c>
      <c r="AM402" s="184" t="str">
        <f>IF(NOT(ISNUMBER(INDEX('M04-S03'!$AN$16:$AN$198,2*(ROWS($R$386:$R402)-1)+1))),INDEX('M04-S03'!$AF$16:$AF$198,2*(ROWS($AM$386:$AM402)-1)+1),"")</f>
        <v/>
      </c>
      <c r="AN402" s="52" t="str">
        <f>IF(NOT(ISNUMBER(INDEX('M04-S03'!$AN$16:$AN$198,2*(ROWS($R$386:$R402)-1)+1))),INDEX('M04-S03'!$AH$16:$AH$198,2*(ROWS($AN$386:$AN402)-1)+1),"")</f>
        <v/>
      </c>
      <c r="AO402" s="113"/>
      <c r="AU402"/>
    </row>
    <row r="403" spans="1:47">
      <c r="A403" s="57">
        <f t="shared" si="37"/>
        <v>0</v>
      </c>
      <c r="B403" s="183" t="str">
        <f t="shared" ref="B403:B427" si="41">IF(C403="","",CONCATENATE(ROW(),"-",C403))</f>
        <v/>
      </c>
      <c r="C403" s="186" t="str">
        <f>IF(OR(R403&gt;0,T403&gt;0),INDEX('M04-S03'!$BD$16:$BD$198,2*(ROWS($C$386:C403)-1)+1),"")</f>
        <v/>
      </c>
      <c r="D403" t="s">
        <v>231</v>
      </c>
      <c r="E403" s="112"/>
      <c r="F403" s="112"/>
      <c r="G403" s="96"/>
      <c r="H403" s="96"/>
      <c r="I403" s="184">
        <f>IFERROR(ROUND(IF(ISNUMBER(INDEX('M04-S03'!$AN$16:$AN$198,2*(ROWS($R$386:$R403)-1)+1)),INDEX('M04-S03'!$AD$16:$AD$198,2*(ROWS($I$386:$I403)-1)+1),""),2),0)</f>
        <v>0</v>
      </c>
      <c r="J403" s="184">
        <f>IFERROR(ROUND(IF(ISNUMBER(INDEX('M04-S03'!$AN$16:$AN$198,2*(ROWS($R$386:$R403)-1)+1)),INDEX('M04-S03'!$AF$16:$AF$198,2*(ROWS($J$386:$J403)-1)+1),""),2),0)</f>
        <v>0</v>
      </c>
      <c r="K403" s="52">
        <f>IFERROR(ROUND(IF(ISNUMBER(INDEX('M04-S03'!$AN$16:$AN$198,2*(ROWS($R$386:$R403)-1)+1)),INDEX('M04-S03'!$AH$16:$AH$198,2*(ROWS($K$386:$K403)-1)+1),""),2),0)</f>
        <v>0</v>
      </c>
      <c r="M403" s="456" t="str">
        <f>IF(ISNUMBER(INDEX('M04-S03'!$AN$16:$AN$198,2*(ROWS($R$386:R403)-1)+1)),INDEX('M04-S03'!$X$16:$X$198,2*(ROWS($M$386:M403)-1)+1),"")</f>
        <v/>
      </c>
      <c r="N403" s="184" t="str">
        <f>IFERROR(IF(ISNUMBER(INDEX('M04-S03'!$AN$16:$AN$198,2*(ROWS($R$386:R403)-1)+1)),INDEX('M04-S03'!$AK$16:$AK$198,2*(ROWS($N$386:N403)-1)+1),""),"")</f>
        <v/>
      </c>
      <c r="O403" s="456" t="str">
        <f>IFERROR(IF(ISNUMBER(INDEX('M04-S03'!$AN$16:$AN$198,2*(ROWS($R$386:R403)-1)+1)),INDEX('M04-S03'!$AX$16:$AX$198,2*(ROWS($O$386:O403)-1)+1),""),"")</f>
        <v/>
      </c>
      <c r="P403" s="113"/>
      <c r="Q403" s="113"/>
      <c r="R403" s="184">
        <f>IF(ISNUMBER(INDEX('M04-S03'!$AN$16:$AN$198,2*(ROWS($R$386:R403)-1)+1)),INDEX('M04-S03'!$AN$16:$AN$198,2*(ROWS($R$386:R403)-1)+1),0)</f>
        <v>0</v>
      </c>
      <c r="S403" s="23">
        <f>IF(NOT(ISNUMBER(INDEX('M04-S03'!$AN$16:$AN$198,2*(ROWS($R$386:R403)-1)+1))),INDEX('M04-S03'!$X$16:$X$198,2*(ROWS($S$386:S403)-1)+1),"")</f>
        <v>0</v>
      </c>
      <c r="T403" s="52" t="str">
        <f>IFERROR(IF(NOT(ISNUMBER(INDEX('M04-S03'!$AN$16:$AN$198,2*(ROWS($R$386:R403)-1)+1))),INDEX('M04-S03'!$AK$16:$AK$198,2*(ROWS($R$386:R403)-1)+1),0),0)</f>
        <v/>
      </c>
      <c r="U403" s="23" t="str">
        <f>IFERROR(IF(NOT(ISNUMBER(INDEX('M04-S03'!$AN$16:$AN$198,2*(ROWS($R$386:R403)-1)+1))),INDEX('M04-S03'!$AX$16:$AX$198,2*(ROWS($R$386:R403)-1)+1),""),"")</f>
        <v/>
      </c>
      <c r="V403" s="113"/>
      <c r="W403" t="str">
        <f>IFERROR(IF(NOT(ISNUMBER(INDEX('M04-S03'!$AN$16:$AN$198,2*(ROWS($R$386:R403)-1)+1))),INDEX('M04-S03'!$BE$16:$BE$198,2*(ROWS($R$386:R403)-1)+1),""),"")</f>
        <v>Submit for Review</v>
      </c>
      <c r="X403" s="113"/>
      <c r="Y403" s="113"/>
      <c r="Z403" s="111">
        <f>INDEX('M04-S03'!$B$16:$B$198,2*(ROWS($Z$386:Z403)-1)+1)</f>
        <v>18</v>
      </c>
      <c r="AA403" s="112"/>
      <c r="AB403" s="111">
        <f>INDEX('M04-S03'!$F$16:$F$198,2*(ROWS($Z$386:AB403)-1)+1)</f>
        <v>0</v>
      </c>
      <c r="AC403">
        <f>INDEX('M04-S03'!$L$16:$L$198,2*(ROWS($AC$386:AC403)-1)+1)</f>
        <v>0</v>
      </c>
      <c r="AD403">
        <f>INDEX('M04-S03'!$T$16:$T$198,2*(ROWS($AD$386:AD403)-1)+1)</f>
        <v>0</v>
      </c>
      <c r="AE403" s="459"/>
      <c r="AF403" s="459"/>
      <c r="AG403" s="111">
        <f>INDEX('M04-S03'!$R$16:$R$198,2*(ROWS($AG$309:AG326)-1)+1)</f>
        <v>0</v>
      </c>
      <c r="AH403" s="111">
        <f>INDEX('M04-S03'!$Z$16:$Z$198,2*(ROWS($AH$386:AH403)-1)+1)</f>
        <v>0</v>
      </c>
      <c r="AI403" s="96"/>
      <c r="AJ403" s="96"/>
      <c r="AK403" s="52" t="str">
        <f>INDEX('M04-S03'!$AV$16:$AV$198,2*(ROWS($AK$386:AK403)-1)+1)</f>
        <v/>
      </c>
      <c r="AL403" s="184">
        <f>IF(NOT(ISNUMBER(INDEX('M04-S03'!$AN$16:$AN$198,2*(ROWS($R$386:$R403)-1)+1))),INDEX('M04-S03'!$AD$16:$AD$198,2*(ROWS($AL$386:$AL403)-1)+1),"")</f>
        <v>0</v>
      </c>
      <c r="AM403" s="184" t="str">
        <f>IF(NOT(ISNUMBER(INDEX('M04-S03'!$AN$16:$AN$198,2*(ROWS($R$386:$R403)-1)+1))),INDEX('M04-S03'!$AF$16:$AF$198,2*(ROWS($AM$386:$AM403)-1)+1),"")</f>
        <v/>
      </c>
      <c r="AN403" s="52" t="str">
        <f>IF(NOT(ISNUMBER(INDEX('M04-S03'!$AN$16:$AN$198,2*(ROWS($R$386:$R403)-1)+1))),INDEX('M04-S03'!$AH$16:$AH$198,2*(ROWS($AN$386:$AN403)-1)+1),"")</f>
        <v/>
      </c>
      <c r="AO403" s="113"/>
      <c r="AU403"/>
    </row>
    <row r="404" spans="1:47">
      <c r="A404" s="57">
        <f t="shared" si="37"/>
        <v>0</v>
      </c>
      <c r="B404" s="183" t="str">
        <f t="shared" si="41"/>
        <v/>
      </c>
      <c r="C404" s="186" t="str">
        <f>IF(OR(R404&gt;0,T404&gt;0),INDEX('M04-S03'!$BD$16:$BD$198,2*(ROWS($C$386:C404)-1)+1),"")</f>
        <v/>
      </c>
      <c r="D404" t="s">
        <v>231</v>
      </c>
      <c r="E404" s="112"/>
      <c r="F404" s="112"/>
      <c r="G404" s="96"/>
      <c r="H404" s="96"/>
      <c r="I404" s="184">
        <f>IFERROR(ROUND(IF(ISNUMBER(INDEX('M04-S03'!$AN$16:$AN$198,2*(ROWS($R$386:$R404)-1)+1)),INDEX('M04-S03'!$AD$16:$AD$198,2*(ROWS($I$386:$I404)-1)+1),""),2),0)</f>
        <v>0</v>
      </c>
      <c r="J404" s="184">
        <f>IFERROR(ROUND(IF(ISNUMBER(INDEX('M04-S03'!$AN$16:$AN$198,2*(ROWS($R$386:$R404)-1)+1)),INDEX('M04-S03'!$AF$16:$AF$198,2*(ROWS($J$386:$J404)-1)+1),""),2),0)</f>
        <v>0</v>
      </c>
      <c r="K404" s="52">
        <f>IFERROR(ROUND(IF(ISNUMBER(INDEX('M04-S03'!$AN$16:$AN$198,2*(ROWS($R$386:$R404)-1)+1)),INDEX('M04-S03'!$AH$16:$AH$198,2*(ROWS($K$386:$K404)-1)+1),""),2),0)</f>
        <v>0</v>
      </c>
      <c r="M404" s="456" t="str">
        <f>IF(ISNUMBER(INDEX('M04-S03'!$AN$16:$AN$198,2*(ROWS($R$386:R404)-1)+1)),INDEX('M04-S03'!$X$16:$X$198,2*(ROWS($M$386:M404)-1)+1),"")</f>
        <v/>
      </c>
      <c r="N404" s="184" t="str">
        <f>IFERROR(IF(ISNUMBER(INDEX('M04-S03'!$AN$16:$AN$198,2*(ROWS($R$386:R404)-1)+1)),INDEX('M04-S03'!$AK$16:$AK$198,2*(ROWS($N$386:N404)-1)+1),""),"")</f>
        <v/>
      </c>
      <c r="O404" s="456" t="str">
        <f>IFERROR(IF(ISNUMBER(INDEX('M04-S03'!$AN$16:$AN$198,2*(ROWS($R$386:R404)-1)+1)),INDEX('M04-S03'!$AX$16:$AX$198,2*(ROWS($O$386:O404)-1)+1),""),"")</f>
        <v/>
      </c>
      <c r="P404" s="113"/>
      <c r="Q404" s="113"/>
      <c r="R404" s="184">
        <f>IF(ISNUMBER(INDEX('M04-S03'!$AN$16:$AN$198,2*(ROWS($R$386:R404)-1)+1)),INDEX('M04-S03'!$AN$16:$AN$198,2*(ROWS($R$386:R404)-1)+1),0)</f>
        <v>0</v>
      </c>
      <c r="S404" s="23">
        <f>IF(NOT(ISNUMBER(INDEX('M04-S03'!$AN$16:$AN$198,2*(ROWS($R$386:R404)-1)+1))),INDEX('M04-S03'!$X$16:$X$198,2*(ROWS($S$386:S404)-1)+1),"")</f>
        <v>0</v>
      </c>
      <c r="T404" s="52" t="str">
        <f>IFERROR(IF(NOT(ISNUMBER(INDEX('M04-S03'!$AN$16:$AN$198,2*(ROWS($R$386:R404)-1)+1))),INDEX('M04-S03'!$AK$16:$AK$198,2*(ROWS($R$386:R404)-1)+1),0),0)</f>
        <v/>
      </c>
      <c r="U404" s="23" t="str">
        <f>IFERROR(IF(NOT(ISNUMBER(INDEX('M04-S03'!$AN$16:$AN$198,2*(ROWS($R$386:R404)-1)+1))),INDEX('M04-S03'!$AX$16:$AX$198,2*(ROWS($R$386:R404)-1)+1),""),"")</f>
        <v/>
      </c>
      <c r="V404" s="113"/>
      <c r="W404" t="str">
        <f>IFERROR(IF(NOT(ISNUMBER(INDEX('M04-S03'!$AN$16:$AN$198,2*(ROWS($R$386:R404)-1)+1))),INDEX('M04-S03'!$BE$16:$BE$198,2*(ROWS($R$386:R404)-1)+1),""),"")</f>
        <v>Submit for Review</v>
      </c>
      <c r="X404" s="113"/>
      <c r="Y404" s="113"/>
      <c r="Z404" s="111">
        <f>INDEX('M04-S03'!$B$16:$B$198,2*(ROWS($Z$386:Z404)-1)+1)</f>
        <v>19</v>
      </c>
      <c r="AA404" s="112"/>
      <c r="AB404" s="111">
        <f>INDEX('M04-S03'!$F$16:$F$198,2*(ROWS($Z$386:AB404)-1)+1)</f>
        <v>0</v>
      </c>
      <c r="AC404">
        <f>INDEX('M04-S03'!$L$16:$L$198,2*(ROWS($AC$386:AC404)-1)+1)</f>
        <v>0</v>
      </c>
      <c r="AD404">
        <f>INDEX('M04-S03'!$T$16:$T$198,2*(ROWS($AD$386:AD404)-1)+1)</f>
        <v>0</v>
      </c>
      <c r="AE404" s="459"/>
      <c r="AF404" s="459"/>
      <c r="AG404" s="111">
        <f>INDEX('M04-S03'!$R$16:$R$198,2*(ROWS($AG$309:AG327)-1)+1)</f>
        <v>0</v>
      </c>
      <c r="AH404" s="111">
        <f>INDEX('M04-S03'!$Z$16:$Z$198,2*(ROWS($AH$386:AH404)-1)+1)</f>
        <v>0</v>
      </c>
      <c r="AI404" s="96"/>
      <c r="AJ404" s="96"/>
      <c r="AK404" s="52" t="str">
        <f>INDEX('M04-S03'!$AV$16:$AV$198,2*(ROWS($AK$386:AK404)-1)+1)</f>
        <v/>
      </c>
      <c r="AL404" s="184">
        <f>IF(NOT(ISNUMBER(INDEX('M04-S03'!$AN$16:$AN$198,2*(ROWS($R$386:$R404)-1)+1))),INDEX('M04-S03'!$AD$16:$AD$198,2*(ROWS($AL$386:$AL404)-1)+1),"")</f>
        <v>0</v>
      </c>
      <c r="AM404" s="184" t="str">
        <f>IF(NOT(ISNUMBER(INDEX('M04-S03'!$AN$16:$AN$198,2*(ROWS($R$386:$R404)-1)+1))),INDEX('M04-S03'!$AF$16:$AF$198,2*(ROWS($AM$386:$AM404)-1)+1),"")</f>
        <v/>
      </c>
      <c r="AN404" s="52" t="str">
        <f>IF(NOT(ISNUMBER(INDEX('M04-S03'!$AN$16:$AN$198,2*(ROWS($R$386:$R404)-1)+1))),INDEX('M04-S03'!$AH$16:$AH$198,2*(ROWS($AN$386:$AN404)-1)+1),"")</f>
        <v/>
      </c>
      <c r="AO404" s="113"/>
      <c r="AU404"/>
    </row>
    <row r="405" spans="1:47">
      <c r="A405" s="57">
        <f t="shared" si="37"/>
        <v>0</v>
      </c>
      <c r="B405" s="183" t="str">
        <f t="shared" si="41"/>
        <v/>
      </c>
      <c r="C405" s="186" t="str">
        <f>IF(OR(R405&gt;0,T405&gt;0),INDEX('M04-S03'!$BD$16:$BD$198,2*(ROWS($C$386:C405)-1)+1),"")</f>
        <v/>
      </c>
      <c r="D405" t="s">
        <v>231</v>
      </c>
      <c r="E405" s="112"/>
      <c r="F405" s="112"/>
      <c r="G405" s="96"/>
      <c r="H405" s="96"/>
      <c r="I405" s="184">
        <f>IFERROR(ROUND(IF(ISNUMBER(INDEX('M04-S03'!$AN$16:$AN$198,2*(ROWS($R$386:$R405)-1)+1)),INDEX('M04-S03'!$AD$16:$AD$198,2*(ROWS($I$386:$I405)-1)+1),""),2),0)</f>
        <v>0</v>
      </c>
      <c r="J405" s="184">
        <f>IFERROR(ROUND(IF(ISNUMBER(INDEX('M04-S03'!$AN$16:$AN$198,2*(ROWS($R$386:$R405)-1)+1)),INDEX('M04-S03'!$AF$16:$AF$198,2*(ROWS($J$386:$J405)-1)+1),""),2),0)</f>
        <v>0</v>
      </c>
      <c r="K405" s="52">
        <f>IFERROR(ROUND(IF(ISNUMBER(INDEX('M04-S03'!$AN$16:$AN$198,2*(ROWS($R$386:$R405)-1)+1)),INDEX('M04-S03'!$AH$16:$AH$198,2*(ROWS($K$386:$K405)-1)+1),""),2),0)</f>
        <v>0</v>
      </c>
      <c r="M405" s="456" t="str">
        <f>IF(ISNUMBER(INDEX('M04-S03'!$AN$16:$AN$198,2*(ROWS($R$386:R405)-1)+1)),INDEX('M04-S03'!$X$16:$X$198,2*(ROWS($M$386:M405)-1)+1),"")</f>
        <v/>
      </c>
      <c r="N405" s="184" t="str">
        <f>IFERROR(IF(ISNUMBER(INDEX('M04-S03'!$AN$16:$AN$198,2*(ROWS($R$386:R405)-1)+1)),INDEX('M04-S03'!$AK$16:$AK$198,2*(ROWS($N$386:N405)-1)+1),""),"")</f>
        <v/>
      </c>
      <c r="O405" s="456" t="str">
        <f>IFERROR(IF(ISNUMBER(INDEX('M04-S03'!$AN$16:$AN$198,2*(ROWS($R$386:R405)-1)+1)),INDEX('M04-S03'!$AX$16:$AX$198,2*(ROWS($O$386:O405)-1)+1),""),"")</f>
        <v/>
      </c>
      <c r="P405" s="113"/>
      <c r="Q405" s="113"/>
      <c r="R405" s="184">
        <f>IF(ISNUMBER(INDEX('M04-S03'!$AN$16:$AN$198,2*(ROWS($R$386:R405)-1)+1)),INDEX('M04-S03'!$AN$16:$AN$198,2*(ROWS($R$386:R405)-1)+1),0)</f>
        <v>0</v>
      </c>
      <c r="S405" s="23">
        <f>IF(NOT(ISNUMBER(INDEX('M04-S03'!$AN$16:$AN$198,2*(ROWS($R$386:R405)-1)+1))),INDEX('M04-S03'!$X$16:$X$198,2*(ROWS($S$386:S405)-1)+1),"")</f>
        <v>0</v>
      </c>
      <c r="T405" s="52" t="str">
        <f>IFERROR(IF(NOT(ISNUMBER(INDEX('M04-S03'!$AN$16:$AN$198,2*(ROWS($R$386:R405)-1)+1))),INDEX('M04-S03'!$AK$16:$AK$198,2*(ROWS($R$386:R405)-1)+1),0),0)</f>
        <v/>
      </c>
      <c r="U405" s="23" t="str">
        <f>IFERROR(IF(NOT(ISNUMBER(INDEX('M04-S03'!$AN$16:$AN$198,2*(ROWS($R$386:R405)-1)+1))),INDEX('M04-S03'!$AX$16:$AX$198,2*(ROWS($R$386:R405)-1)+1),""),"")</f>
        <v/>
      </c>
      <c r="V405" s="113"/>
      <c r="W405" t="str">
        <f>IFERROR(IF(NOT(ISNUMBER(INDEX('M04-S03'!$AN$16:$AN$198,2*(ROWS($R$386:R405)-1)+1))),INDEX('M04-S03'!$BE$16:$BE$198,2*(ROWS($R$386:R405)-1)+1),""),"")</f>
        <v>Submit for Review</v>
      </c>
      <c r="X405" s="113"/>
      <c r="Y405" s="113"/>
      <c r="Z405" s="111">
        <f>INDEX('M04-S03'!$B$16:$B$198,2*(ROWS($Z$386:Z405)-1)+1)</f>
        <v>20</v>
      </c>
      <c r="AA405" s="112"/>
      <c r="AB405" s="111">
        <f>INDEX('M04-S03'!$F$16:$F$198,2*(ROWS($Z$386:AB405)-1)+1)</f>
        <v>0</v>
      </c>
      <c r="AC405">
        <f>INDEX('M04-S03'!$L$16:$L$198,2*(ROWS($AC$386:AC405)-1)+1)</f>
        <v>0</v>
      </c>
      <c r="AD405">
        <f>INDEX('M04-S03'!$T$16:$T$198,2*(ROWS($AD$386:AD405)-1)+1)</f>
        <v>0</v>
      </c>
      <c r="AE405" s="459"/>
      <c r="AF405" s="459"/>
      <c r="AG405" s="111">
        <f>INDEX('M04-S03'!$R$16:$R$198,2*(ROWS($AG$309:AG328)-1)+1)</f>
        <v>0</v>
      </c>
      <c r="AH405" s="111">
        <f>INDEX('M04-S03'!$Z$16:$Z$198,2*(ROWS($AH$386:AH405)-1)+1)</f>
        <v>0</v>
      </c>
      <c r="AI405" s="96"/>
      <c r="AJ405" s="96"/>
      <c r="AK405" s="52" t="str">
        <f>INDEX('M04-S03'!$AV$16:$AV$198,2*(ROWS($AK$386:AK405)-1)+1)</f>
        <v/>
      </c>
      <c r="AL405" s="184">
        <f>IF(NOT(ISNUMBER(INDEX('M04-S03'!$AN$16:$AN$198,2*(ROWS($R$386:$R405)-1)+1))),INDEX('M04-S03'!$AD$16:$AD$198,2*(ROWS($AL$386:$AL405)-1)+1),"")</f>
        <v>0</v>
      </c>
      <c r="AM405" s="184" t="str">
        <f>IF(NOT(ISNUMBER(INDEX('M04-S03'!$AN$16:$AN$198,2*(ROWS($R$386:$R405)-1)+1))),INDEX('M04-S03'!$AF$16:$AF$198,2*(ROWS($AM$386:$AM405)-1)+1),"")</f>
        <v/>
      </c>
      <c r="AN405" s="52" t="str">
        <f>IF(NOT(ISNUMBER(INDEX('M04-S03'!$AN$16:$AN$198,2*(ROWS($R$386:$R405)-1)+1))),INDEX('M04-S03'!$AH$16:$AH$198,2*(ROWS($AN$386:$AN405)-1)+1),"")</f>
        <v/>
      </c>
      <c r="AO405" s="113"/>
      <c r="AU405"/>
    </row>
    <row r="406" spans="1:47">
      <c r="A406" s="57">
        <f t="shared" si="37"/>
        <v>0</v>
      </c>
      <c r="B406" s="183" t="str">
        <f t="shared" si="41"/>
        <v/>
      </c>
      <c r="C406" s="186" t="str">
        <f>IF(OR(R406&gt;0,T406&gt;0),INDEX('M04-S03'!$BD$16:$BD$198,2*(ROWS($C$386:C406)-1)+1),"")</f>
        <v/>
      </c>
      <c r="D406" t="s">
        <v>231</v>
      </c>
      <c r="E406" s="112"/>
      <c r="F406" s="112"/>
      <c r="G406" s="96"/>
      <c r="H406" s="96"/>
      <c r="I406" s="184">
        <f>IFERROR(ROUND(IF(ISNUMBER(INDEX('M04-S03'!$AN$16:$AN$198,2*(ROWS($R$386:$R406)-1)+1)),INDEX('M04-S03'!$AD$16:$AD$198,2*(ROWS($I$386:$I406)-1)+1),""),2),0)</f>
        <v>0</v>
      </c>
      <c r="J406" s="184">
        <f>IFERROR(ROUND(IF(ISNUMBER(INDEX('M04-S03'!$AN$16:$AN$198,2*(ROWS($R$386:$R406)-1)+1)),INDEX('M04-S03'!$AF$16:$AF$198,2*(ROWS($J$386:$J406)-1)+1),""),2),0)</f>
        <v>0</v>
      </c>
      <c r="K406" s="52">
        <f>IFERROR(ROUND(IF(ISNUMBER(INDEX('M04-S03'!$AN$16:$AN$198,2*(ROWS($R$386:$R406)-1)+1)),INDEX('M04-S03'!$AH$16:$AH$198,2*(ROWS($K$386:$K406)-1)+1),""),2),0)</f>
        <v>0</v>
      </c>
      <c r="M406" s="456" t="str">
        <f>IF(ISNUMBER(INDEX('M04-S03'!$AN$16:$AN$198,2*(ROWS($R$386:R406)-1)+1)),INDEX('M04-S03'!$X$16:$X$198,2*(ROWS($M$386:M406)-1)+1),"")</f>
        <v/>
      </c>
      <c r="N406" s="184" t="str">
        <f>IFERROR(IF(ISNUMBER(INDEX('M04-S03'!$AN$16:$AN$198,2*(ROWS($R$386:R406)-1)+1)),INDEX('M04-S03'!$AK$16:$AK$198,2*(ROWS($N$386:N406)-1)+1),""),"")</f>
        <v/>
      </c>
      <c r="O406" s="456" t="str">
        <f>IFERROR(IF(ISNUMBER(INDEX('M04-S03'!$AN$16:$AN$198,2*(ROWS($R$386:R406)-1)+1)),INDEX('M04-S03'!$AX$16:$AX$198,2*(ROWS($O$386:O406)-1)+1),""),"")</f>
        <v/>
      </c>
      <c r="P406" s="113"/>
      <c r="Q406" s="113"/>
      <c r="R406" s="184">
        <f>IF(ISNUMBER(INDEX('M04-S03'!$AN$16:$AN$198,2*(ROWS($R$386:R406)-1)+1)),INDEX('M04-S03'!$AN$16:$AN$198,2*(ROWS($R$386:R406)-1)+1),0)</f>
        <v>0</v>
      </c>
      <c r="S406" s="23">
        <f>IF(NOT(ISNUMBER(INDEX('M04-S03'!$AN$16:$AN$198,2*(ROWS($R$386:R406)-1)+1))),INDEX('M04-S03'!$X$16:$X$198,2*(ROWS($S$386:S406)-1)+1),"")</f>
        <v>0</v>
      </c>
      <c r="T406" s="52" t="str">
        <f>IFERROR(IF(NOT(ISNUMBER(INDEX('M04-S03'!$AN$16:$AN$198,2*(ROWS($R$386:R406)-1)+1))),INDEX('M04-S03'!$AK$16:$AK$198,2*(ROWS($R$386:R406)-1)+1),0),0)</f>
        <v/>
      </c>
      <c r="U406" s="23" t="str">
        <f>IFERROR(IF(NOT(ISNUMBER(INDEX('M04-S03'!$AN$16:$AN$198,2*(ROWS($R$386:R406)-1)+1))),INDEX('M04-S03'!$AX$16:$AX$198,2*(ROWS($R$386:R406)-1)+1),""),"")</f>
        <v/>
      </c>
      <c r="V406" s="113"/>
      <c r="W406" t="str">
        <f>IFERROR(IF(NOT(ISNUMBER(INDEX('M04-S03'!$AN$16:$AN$198,2*(ROWS($R$386:R406)-1)+1))),INDEX('M04-S03'!$BE$16:$BE$198,2*(ROWS($R$386:R406)-1)+1),""),"")</f>
        <v>Submit for Review</v>
      </c>
      <c r="X406" s="113"/>
      <c r="Y406" s="113"/>
      <c r="Z406" s="111">
        <f>INDEX('M04-S03'!$B$16:$B$198,2*(ROWS($Z$386:Z406)-1)+1)</f>
        <v>21</v>
      </c>
      <c r="AA406" s="112"/>
      <c r="AB406" s="111">
        <f>INDEX('M04-S03'!$F$16:$F$198,2*(ROWS($Z$386:AB406)-1)+1)</f>
        <v>0</v>
      </c>
      <c r="AC406">
        <f>INDEX('M04-S03'!$L$16:$L$198,2*(ROWS($AC$386:AC406)-1)+1)</f>
        <v>0</v>
      </c>
      <c r="AD406">
        <f>INDEX('M04-S03'!$T$16:$T$198,2*(ROWS($AD$386:AD406)-1)+1)</f>
        <v>0</v>
      </c>
      <c r="AE406" s="459"/>
      <c r="AF406" s="459"/>
      <c r="AG406" s="111">
        <f>INDEX('M04-S03'!$R$16:$R$198,2*(ROWS($AG$309:AG329)-1)+1)</f>
        <v>0</v>
      </c>
      <c r="AH406" s="111">
        <f>INDEX('M04-S03'!$Z$16:$Z$198,2*(ROWS($AH$386:AH406)-1)+1)</f>
        <v>0</v>
      </c>
      <c r="AI406" s="96"/>
      <c r="AJ406" s="96"/>
      <c r="AK406" s="52" t="str">
        <f>INDEX('M04-S03'!$AV$16:$AV$198,2*(ROWS($AK$386:AK406)-1)+1)</f>
        <v/>
      </c>
      <c r="AL406" s="184">
        <f>IF(NOT(ISNUMBER(INDEX('M04-S03'!$AN$16:$AN$198,2*(ROWS($R$386:$R406)-1)+1))),INDEX('M04-S03'!$AD$16:$AD$198,2*(ROWS($AL$386:$AL406)-1)+1),"")</f>
        <v>0</v>
      </c>
      <c r="AM406" s="184" t="str">
        <f>IF(NOT(ISNUMBER(INDEX('M04-S03'!$AN$16:$AN$198,2*(ROWS($R$386:$R406)-1)+1))),INDEX('M04-S03'!$AF$16:$AF$198,2*(ROWS($AM$386:$AM406)-1)+1),"")</f>
        <v/>
      </c>
      <c r="AN406" s="52" t="str">
        <f>IF(NOT(ISNUMBER(INDEX('M04-S03'!$AN$16:$AN$198,2*(ROWS($R$386:$R406)-1)+1))),INDEX('M04-S03'!$AH$16:$AH$198,2*(ROWS($AN$386:$AN406)-1)+1),"")</f>
        <v/>
      </c>
      <c r="AO406" s="113"/>
      <c r="AU406"/>
    </row>
    <row r="407" spans="1:47">
      <c r="A407" s="57">
        <f t="shared" si="37"/>
        <v>0</v>
      </c>
      <c r="B407" s="183" t="str">
        <f t="shared" si="41"/>
        <v/>
      </c>
      <c r="C407" s="186" t="str">
        <f>IF(OR(R407&gt;0,T407&gt;0),INDEX('M04-S03'!$BD$16:$BD$198,2*(ROWS($C$386:C407)-1)+1),"")</f>
        <v/>
      </c>
      <c r="D407" t="s">
        <v>231</v>
      </c>
      <c r="E407" s="112"/>
      <c r="F407" s="112"/>
      <c r="G407" s="96"/>
      <c r="H407" s="96"/>
      <c r="I407" s="184">
        <f>IFERROR(ROUND(IF(ISNUMBER(INDEX('M04-S03'!$AN$16:$AN$198,2*(ROWS($R$386:$R407)-1)+1)),INDEX('M04-S03'!$AD$16:$AD$198,2*(ROWS($I$386:$I407)-1)+1),""),2),0)</f>
        <v>0</v>
      </c>
      <c r="J407" s="184">
        <f>IFERROR(ROUND(IF(ISNUMBER(INDEX('M04-S03'!$AN$16:$AN$198,2*(ROWS($R$386:$R407)-1)+1)),INDEX('M04-S03'!$AF$16:$AF$198,2*(ROWS($J$386:$J407)-1)+1),""),2),0)</f>
        <v>0</v>
      </c>
      <c r="K407" s="52">
        <f>IFERROR(ROUND(IF(ISNUMBER(INDEX('M04-S03'!$AN$16:$AN$198,2*(ROWS($R$386:$R407)-1)+1)),INDEX('M04-S03'!$AH$16:$AH$198,2*(ROWS($K$386:$K407)-1)+1),""),2),0)</f>
        <v>0</v>
      </c>
      <c r="M407" s="456" t="str">
        <f>IF(ISNUMBER(INDEX('M04-S03'!$AN$16:$AN$198,2*(ROWS($R$386:R407)-1)+1)),INDEX('M04-S03'!$X$16:$X$198,2*(ROWS($M$386:M407)-1)+1),"")</f>
        <v/>
      </c>
      <c r="N407" s="184" t="str">
        <f>IFERROR(IF(ISNUMBER(INDEX('M04-S03'!$AN$16:$AN$198,2*(ROWS($R$386:R407)-1)+1)),INDEX('M04-S03'!$AK$16:$AK$198,2*(ROWS($N$386:N407)-1)+1),""),"")</f>
        <v/>
      </c>
      <c r="O407" s="456" t="str">
        <f>IFERROR(IF(ISNUMBER(INDEX('M04-S03'!$AN$16:$AN$198,2*(ROWS($R$386:R407)-1)+1)),INDEX('M04-S03'!$AX$16:$AX$198,2*(ROWS($O$386:O407)-1)+1),""),"")</f>
        <v/>
      </c>
      <c r="P407" s="113"/>
      <c r="Q407" s="113"/>
      <c r="R407" s="184">
        <f>IF(ISNUMBER(INDEX('M04-S03'!$AN$16:$AN$198,2*(ROWS($R$386:R407)-1)+1)),INDEX('M04-S03'!$AN$16:$AN$198,2*(ROWS($R$386:R407)-1)+1),0)</f>
        <v>0</v>
      </c>
      <c r="S407" s="23">
        <f>IF(NOT(ISNUMBER(INDEX('M04-S03'!$AN$16:$AN$198,2*(ROWS($R$386:R407)-1)+1))),INDEX('M04-S03'!$X$16:$X$198,2*(ROWS($S$386:S407)-1)+1),"")</f>
        <v>0</v>
      </c>
      <c r="T407" s="52" t="str">
        <f>IFERROR(IF(NOT(ISNUMBER(INDEX('M04-S03'!$AN$16:$AN$198,2*(ROWS($R$386:R407)-1)+1))),INDEX('M04-S03'!$AK$16:$AK$198,2*(ROWS($R$386:R407)-1)+1),0),0)</f>
        <v/>
      </c>
      <c r="U407" s="23" t="str">
        <f>IFERROR(IF(NOT(ISNUMBER(INDEX('M04-S03'!$AN$16:$AN$198,2*(ROWS($R$386:R407)-1)+1))),INDEX('M04-S03'!$AX$16:$AX$198,2*(ROWS($R$386:R407)-1)+1),""),"")</f>
        <v/>
      </c>
      <c r="V407" s="113"/>
      <c r="W407" t="str">
        <f>IFERROR(IF(NOT(ISNUMBER(INDEX('M04-S03'!$AN$16:$AN$198,2*(ROWS($R$386:R407)-1)+1))),INDEX('M04-S03'!$BE$16:$BE$198,2*(ROWS($R$386:R407)-1)+1),""),"")</f>
        <v>Submit for Review</v>
      </c>
      <c r="X407" s="113"/>
      <c r="Y407" s="113"/>
      <c r="Z407" s="111">
        <f>INDEX('M04-S03'!$B$16:$B$198,2*(ROWS($Z$386:Z407)-1)+1)</f>
        <v>22</v>
      </c>
      <c r="AA407" s="112"/>
      <c r="AB407" s="111">
        <f>INDEX('M04-S03'!$F$16:$F$198,2*(ROWS($Z$386:AB407)-1)+1)</f>
        <v>0</v>
      </c>
      <c r="AC407">
        <f>INDEX('M04-S03'!$L$16:$L$198,2*(ROWS($AC$386:AC407)-1)+1)</f>
        <v>0</v>
      </c>
      <c r="AD407">
        <f>INDEX('M04-S03'!$T$16:$T$198,2*(ROWS($AD$386:AD407)-1)+1)</f>
        <v>0</v>
      </c>
      <c r="AE407" s="459"/>
      <c r="AF407" s="459"/>
      <c r="AG407" s="111">
        <f>INDEX('M04-S03'!$R$16:$R$198,2*(ROWS($AG$309:AG330)-1)+1)</f>
        <v>0</v>
      </c>
      <c r="AH407" s="111">
        <f>INDEX('M04-S03'!$Z$16:$Z$198,2*(ROWS($AH$386:AH407)-1)+1)</f>
        <v>0</v>
      </c>
      <c r="AI407" s="96"/>
      <c r="AJ407" s="96"/>
      <c r="AK407" s="52" t="str">
        <f>INDEX('M04-S03'!$AV$16:$AV$198,2*(ROWS($AK$386:AK407)-1)+1)</f>
        <v/>
      </c>
      <c r="AL407" s="184">
        <f>IF(NOT(ISNUMBER(INDEX('M04-S03'!$AN$16:$AN$198,2*(ROWS($R$386:$R407)-1)+1))),INDEX('M04-S03'!$AD$16:$AD$198,2*(ROWS($AL$386:$AL407)-1)+1),"")</f>
        <v>0</v>
      </c>
      <c r="AM407" s="184" t="str">
        <f>IF(NOT(ISNUMBER(INDEX('M04-S03'!$AN$16:$AN$198,2*(ROWS($R$386:$R407)-1)+1))),INDEX('M04-S03'!$AF$16:$AF$198,2*(ROWS($AM$386:$AM407)-1)+1),"")</f>
        <v/>
      </c>
      <c r="AN407" s="52" t="str">
        <f>IF(NOT(ISNUMBER(INDEX('M04-S03'!$AN$16:$AN$198,2*(ROWS($R$386:$R407)-1)+1))),INDEX('M04-S03'!$AH$16:$AH$198,2*(ROWS($AN$386:$AN407)-1)+1),"")</f>
        <v/>
      </c>
      <c r="AO407" s="113"/>
      <c r="AU407"/>
    </row>
    <row r="408" spans="1:47">
      <c r="A408" s="57">
        <f t="shared" si="37"/>
        <v>0</v>
      </c>
      <c r="B408" s="183" t="str">
        <f t="shared" si="41"/>
        <v/>
      </c>
      <c r="C408" s="186" t="str">
        <f>IF(OR(R408&gt;0,T408&gt;0),INDEX('M04-S03'!$BD$16:$BD$198,2*(ROWS($C$386:C408)-1)+1),"")</f>
        <v/>
      </c>
      <c r="D408" t="s">
        <v>231</v>
      </c>
      <c r="E408" s="112"/>
      <c r="F408" s="112"/>
      <c r="G408" s="96"/>
      <c r="H408" s="96"/>
      <c r="I408" s="184">
        <f>IFERROR(ROUND(IF(ISNUMBER(INDEX('M04-S03'!$AN$16:$AN$198,2*(ROWS($R$386:$R408)-1)+1)),INDEX('M04-S03'!$AD$16:$AD$198,2*(ROWS($I$386:$I408)-1)+1),""),2),0)</f>
        <v>0</v>
      </c>
      <c r="J408" s="184">
        <f>IFERROR(ROUND(IF(ISNUMBER(INDEX('M04-S03'!$AN$16:$AN$198,2*(ROWS($R$386:$R408)-1)+1)),INDEX('M04-S03'!$AF$16:$AF$198,2*(ROWS($J$386:$J408)-1)+1),""),2),0)</f>
        <v>0</v>
      </c>
      <c r="K408" s="52">
        <f>IFERROR(ROUND(IF(ISNUMBER(INDEX('M04-S03'!$AN$16:$AN$198,2*(ROWS($R$386:$R408)-1)+1)),INDEX('M04-S03'!$AH$16:$AH$198,2*(ROWS($K$386:$K408)-1)+1),""),2),0)</f>
        <v>0</v>
      </c>
      <c r="M408" s="456" t="str">
        <f>IF(ISNUMBER(INDEX('M04-S03'!$AN$16:$AN$198,2*(ROWS($R$386:R408)-1)+1)),INDEX('M04-S03'!$X$16:$X$198,2*(ROWS($M$386:M408)-1)+1),"")</f>
        <v/>
      </c>
      <c r="N408" s="184" t="str">
        <f>IFERROR(IF(ISNUMBER(INDEX('M04-S03'!$AN$16:$AN$198,2*(ROWS($R$386:R408)-1)+1)),INDEX('M04-S03'!$AK$16:$AK$198,2*(ROWS($N$386:N408)-1)+1),""),"")</f>
        <v/>
      </c>
      <c r="O408" s="456" t="str">
        <f>IFERROR(IF(ISNUMBER(INDEX('M04-S03'!$AN$16:$AN$198,2*(ROWS($R$386:R408)-1)+1)),INDEX('M04-S03'!$AX$16:$AX$198,2*(ROWS($O$386:O408)-1)+1),""),"")</f>
        <v/>
      </c>
      <c r="P408" s="113"/>
      <c r="Q408" s="113"/>
      <c r="R408" s="184">
        <f>IF(ISNUMBER(INDEX('M04-S03'!$AN$16:$AN$198,2*(ROWS($R$386:R408)-1)+1)),INDEX('M04-S03'!$AN$16:$AN$198,2*(ROWS($R$386:R408)-1)+1),0)</f>
        <v>0</v>
      </c>
      <c r="S408" s="23">
        <f>IF(NOT(ISNUMBER(INDEX('M04-S03'!$AN$16:$AN$198,2*(ROWS($R$386:R408)-1)+1))),INDEX('M04-S03'!$X$16:$X$198,2*(ROWS($S$386:S408)-1)+1),"")</f>
        <v>0</v>
      </c>
      <c r="T408" s="52" t="str">
        <f>IFERROR(IF(NOT(ISNUMBER(INDEX('M04-S03'!$AN$16:$AN$198,2*(ROWS($R$386:R408)-1)+1))),INDEX('M04-S03'!$AK$16:$AK$198,2*(ROWS($R$386:R408)-1)+1),0),0)</f>
        <v/>
      </c>
      <c r="U408" s="23" t="str">
        <f>IFERROR(IF(NOT(ISNUMBER(INDEX('M04-S03'!$AN$16:$AN$198,2*(ROWS($R$386:R408)-1)+1))),INDEX('M04-S03'!$AX$16:$AX$198,2*(ROWS($R$386:R408)-1)+1),""),"")</f>
        <v/>
      </c>
      <c r="V408" s="113"/>
      <c r="W408" t="str">
        <f>IFERROR(IF(NOT(ISNUMBER(INDEX('M04-S03'!$AN$16:$AN$198,2*(ROWS($R$386:R408)-1)+1))),INDEX('M04-S03'!$BE$16:$BE$198,2*(ROWS($R$386:R408)-1)+1),""),"")</f>
        <v>Submit for Review</v>
      </c>
      <c r="X408" s="113"/>
      <c r="Y408" s="113"/>
      <c r="Z408" s="111">
        <f>INDEX('M04-S03'!$B$16:$B$198,2*(ROWS($Z$386:Z408)-1)+1)</f>
        <v>23</v>
      </c>
      <c r="AA408" s="112"/>
      <c r="AB408" s="111">
        <f>INDEX('M04-S03'!$F$16:$F$198,2*(ROWS($Z$386:AB408)-1)+1)</f>
        <v>0</v>
      </c>
      <c r="AC408">
        <f>INDEX('M04-S03'!$L$16:$L$198,2*(ROWS($AC$386:AC408)-1)+1)</f>
        <v>0</v>
      </c>
      <c r="AD408">
        <f>INDEX('M04-S03'!$T$16:$T$198,2*(ROWS($AD$386:AD408)-1)+1)</f>
        <v>0</v>
      </c>
      <c r="AE408" s="459"/>
      <c r="AF408" s="459"/>
      <c r="AG408" s="111">
        <f>INDEX('M04-S03'!$R$16:$R$198,2*(ROWS($AG$309:AG331)-1)+1)</f>
        <v>0</v>
      </c>
      <c r="AH408" s="111">
        <f>INDEX('M04-S03'!$Z$16:$Z$198,2*(ROWS($AH$386:AH408)-1)+1)</f>
        <v>0</v>
      </c>
      <c r="AI408" s="96"/>
      <c r="AJ408" s="96"/>
      <c r="AK408" s="52" t="str">
        <f>INDEX('M04-S03'!$AV$16:$AV$198,2*(ROWS($AK$386:AK408)-1)+1)</f>
        <v/>
      </c>
      <c r="AL408" s="184">
        <f>IF(NOT(ISNUMBER(INDEX('M04-S03'!$AN$16:$AN$198,2*(ROWS($R$386:$R408)-1)+1))),INDEX('M04-S03'!$AD$16:$AD$198,2*(ROWS($AL$386:$AL408)-1)+1),"")</f>
        <v>0</v>
      </c>
      <c r="AM408" s="184" t="str">
        <f>IF(NOT(ISNUMBER(INDEX('M04-S03'!$AN$16:$AN$198,2*(ROWS($R$386:$R408)-1)+1))),INDEX('M04-S03'!$AF$16:$AF$198,2*(ROWS($AM$386:$AM408)-1)+1),"")</f>
        <v/>
      </c>
      <c r="AN408" s="52" t="str">
        <f>IF(NOT(ISNUMBER(INDEX('M04-S03'!$AN$16:$AN$198,2*(ROWS($R$386:$R408)-1)+1))),INDEX('M04-S03'!$AH$16:$AH$198,2*(ROWS($AN$386:$AN408)-1)+1),"")</f>
        <v/>
      </c>
      <c r="AO408" s="113"/>
      <c r="AU408"/>
    </row>
    <row r="409" spans="1:47">
      <c r="A409" s="57">
        <f t="shared" si="37"/>
        <v>0</v>
      </c>
      <c r="B409" s="183" t="str">
        <f t="shared" si="41"/>
        <v/>
      </c>
      <c r="C409" s="186" t="str">
        <f>IF(OR(R409&gt;0,T409&gt;0),INDEX('M04-S03'!$BD$16:$BD$198,2*(ROWS($C$386:C409)-1)+1),"")</f>
        <v/>
      </c>
      <c r="D409" t="s">
        <v>231</v>
      </c>
      <c r="E409" s="112"/>
      <c r="F409" s="112"/>
      <c r="G409" s="96"/>
      <c r="H409" s="96"/>
      <c r="I409" s="184">
        <f>IFERROR(ROUND(IF(ISNUMBER(INDEX('M04-S03'!$AN$16:$AN$198,2*(ROWS($R$386:$R409)-1)+1)),INDEX('M04-S03'!$AD$16:$AD$198,2*(ROWS($I$386:$I409)-1)+1),""),2),0)</f>
        <v>0</v>
      </c>
      <c r="J409" s="184">
        <f>IFERROR(ROUND(IF(ISNUMBER(INDEX('M04-S03'!$AN$16:$AN$198,2*(ROWS($R$386:$R409)-1)+1)),INDEX('M04-S03'!$AF$16:$AF$198,2*(ROWS($J$386:$J409)-1)+1),""),2),0)</f>
        <v>0</v>
      </c>
      <c r="K409" s="52">
        <f>IFERROR(ROUND(IF(ISNUMBER(INDEX('M04-S03'!$AN$16:$AN$198,2*(ROWS($R$386:$R409)-1)+1)),INDEX('M04-S03'!$AH$16:$AH$198,2*(ROWS($K$386:$K409)-1)+1),""),2),0)</f>
        <v>0</v>
      </c>
      <c r="M409" s="456" t="str">
        <f>IF(ISNUMBER(INDEX('M04-S03'!$AN$16:$AN$198,2*(ROWS($R$386:R409)-1)+1)),INDEX('M04-S03'!$X$16:$X$198,2*(ROWS($M$386:M409)-1)+1),"")</f>
        <v/>
      </c>
      <c r="N409" s="184" t="str">
        <f>IFERROR(IF(ISNUMBER(INDEX('M04-S03'!$AN$16:$AN$198,2*(ROWS($R$386:R409)-1)+1)),INDEX('M04-S03'!$AK$16:$AK$198,2*(ROWS($N$386:N409)-1)+1),""),"")</f>
        <v/>
      </c>
      <c r="O409" s="456" t="str">
        <f>IFERROR(IF(ISNUMBER(INDEX('M04-S03'!$AN$16:$AN$198,2*(ROWS($R$386:R409)-1)+1)),INDEX('M04-S03'!$AX$16:$AX$198,2*(ROWS($O$386:O409)-1)+1),""),"")</f>
        <v/>
      </c>
      <c r="P409" s="113"/>
      <c r="Q409" s="113"/>
      <c r="R409" s="184">
        <f>IF(ISNUMBER(INDEX('M04-S03'!$AN$16:$AN$198,2*(ROWS($R$386:R409)-1)+1)),INDEX('M04-S03'!$AN$16:$AN$198,2*(ROWS($R$386:R409)-1)+1),0)</f>
        <v>0</v>
      </c>
      <c r="S409" s="23">
        <f>IF(NOT(ISNUMBER(INDEX('M04-S03'!$AN$16:$AN$198,2*(ROWS($R$386:R409)-1)+1))),INDEX('M04-S03'!$X$16:$X$198,2*(ROWS($S$386:S409)-1)+1),"")</f>
        <v>0</v>
      </c>
      <c r="T409" s="52" t="str">
        <f>IFERROR(IF(NOT(ISNUMBER(INDEX('M04-S03'!$AN$16:$AN$198,2*(ROWS($R$386:R409)-1)+1))),INDEX('M04-S03'!$AK$16:$AK$198,2*(ROWS($R$386:R409)-1)+1),0),0)</f>
        <v/>
      </c>
      <c r="U409" s="23" t="str">
        <f>IFERROR(IF(NOT(ISNUMBER(INDEX('M04-S03'!$AN$16:$AN$198,2*(ROWS($R$386:R409)-1)+1))),INDEX('M04-S03'!$AX$16:$AX$198,2*(ROWS($R$386:R409)-1)+1),""),"")</f>
        <v/>
      </c>
      <c r="V409" s="113"/>
      <c r="W409" t="str">
        <f>IFERROR(IF(NOT(ISNUMBER(INDEX('M04-S03'!$AN$16:$AN$198,2*(ROWS($R$386:R409)-1)+1))),INDEX('M04-S03'!$BE$16:$BE$198,2*(ROWS($R$386:R409)-1)+1),""),"")</f>
        <v>Submit for Review</v>
      </c>
      <c r="X409" s="113"/>
      <c r="Y409" s="113"/>
      <c r="Z409" s="111">
        <f>INDEX('M04-S03'!$B$16:$B$198,2*(ROWS($Z$386:Z409)-1)+1)</f>
        <v>24</v>
      </c>
      <c r="AA409" s="112"/>
      <c r="AB409" s="111">
        <f>INDEX('M04-S03'!$F$16:$F$198,2*(ROWS($Z$386:AB409)-1)+1)</f>
        <v>0</v>
      </c>
      <c r="AC409">
        <f>INDEX('M04-S03'!$L$16:$L$198,2*(ROWS($AC$386:AC409)-1)+1)</f>
        <v>0</v>
      </c>
      <c r="AD409">
        <f>INDEX('M04-S03'!$T$16:$T$198,2*(ROWS($AD$386:AD409)-1)+1)</f>
        <v>0</v>
      </c>
      <c r="AE409" s="459"/>
      <c r="AF409" s="459"/>
      <c r="AG409" s="111">
        <f>INDEX('M04-S03'!$R$16:$R$198,2*(ROWS($AG$309:AG332)-1)+1)</f>
        <v>0</v>
      </c>
      <c r="AH409" s="111">
        <f>INDEX('M04-S03'!$Z$16:$Z$198,2*(ROWS($AH$386:AH409)-1)+1)</f>
        <v>0</v>
      </c>
      <c r="AI409" s="96"/>
      <c r="AJ409" s="96"/>
      <c r="AK409" s="52" t="str">
        <f>INDEX('M04-S03'!$AV$16:$AV$198,2*(ROWS($AK$386:AK409)-1)+1)</f>
        <v/>
      </c>
      <c r="AL409" s="184">
        <f>IF(NOT(ISNUMBER(INDEX('M04-S03'!$AN$16:$AN$198,2*(ROWS($R$386:$R409)-1)+1))),INDEX('M04-S03'!$AD$16:$AD$198,2*(ROWS($AL$386:$AL409)-1)+1),"")</f>
        <v>0</v>
      </c>
      <c r="AM409" s="184" t="str">
        <f>IF(NOT(ISNUMBER(INDEX('M04-S03'!$AN$16:$AN$198,2*(ROWS($R$386:$R409)-1)+1))),INDEX('M04-S03'!$AF$16:$AF$198,2*(ROWS($AM$386:$AM409)-1)+1),"")</f>
        <v/>
      </c>
      <c r="AN409" s="52" t="str">
        <f>IF(NOT(ISNUMBER(INDEX('M04-S03'!$AN$16:$AN$198,2*(ROWS($R$386:$R409)-1)+1))),INDEX('M04-S03'!$AH$16:$AH$198,2*(ROWS($AN$386:$AN409)-1)+1),"")</f>
        <v/>
      </c>
      <c r="AO409" s="113"/>
      <c r="AU409"/>
    </row>
    <row r="410" spans="1:47">
      <c r="A410" s="57">
        <f t="shared" si="37"/>
        <v>0</v>
      </c>
      <c r="B410" s="183" t="str">
        <f t="shared" si="41"/>
        <v/>
      </c>
      <c r="C410" s="186" t="str">
        <f>IF(OR(R410&gt;0,T410&gt;0),INDEX('M04-S03'!$BD$16:$BD$198,2*(ROWS($C$386:C410)-1)+1),"")</f>
        <v/>
      </c>
      <c r="D410" t="s">
        <v>231</v>
      </c>
      <c r="E410" s="112"/>
      <c r="F410" s="112"/>
      <c r="G410" s="96"/>
      <c r="H410" s="96"/>
      <c r="I410" s="184">
        <f>IFERROR(ROUND(IF(ISNUMBER(INDEX('M04-S03'!$AN$16:$AN$198,2*(ROWS($R$386:$R410)-1)+1)),INDEX('M04-S03'!$AD$16:$AD$198,2*(ROWS($I$386:$I410)-1)+1),""),2),0)</f>
        <v>0</v>
      </c>
      <c r="J410" s="184">
        <f>IFERROR(ROUND(IF(ISNUMBER(INDEX('M04-S03'!$AN$16:$AN$198,2*(ROWS($R$386:$R410)-1)+1)),INDEX('M04-S03'!$AF$16:$AF$198,2*(ROWS($J$386:$J410)-1)+1),""),2),0)</f>
        <v>0</v>
      </c>
      <c r="K410" s="52">
        <f>IFERROR(ROUND(IF(ISNUMBER(INDEX('M04-S03'!$AN$16:$AN$198,2*(ROWS($R$386:$R410)-1)+1)),INDEX('M04-S03'!$AH$16:$AH$198,2*(ROWS($K$386:$K410)-1)+1),""),2),0)</f>
        <v>0</v>
      </c>
      <c r="M410" s="456" t="str">
        <f>IF(ISNUMBER(INDEX('M04-S03'!$AN$16:$AN$198,2*(ROWS($R$386:R410)-1)+1)),INDEX('M04-S03'!$X$16:$X$198,2*(ROWS($M$386:M410)-1)+1),"")</f>
        <v/>
      </c>
      <c r="N410" s="184" t="str">
        <f>IFERROR(IF(ISNUMBER(INDEX('M04-S03'!$AN$16:$AN$198,2*(ROWS($R$386:R410)-1)+1)),INDEX('M04-S03'!$AK$16:$AK$198,2*(ROWS($N$386:N410)-1)+1),""),"")</f>
        <v/>
      </c>
      <c r="O410" s="456" t="str">
        <f>IFERROR(IF(ISNUMBER(INDEX('M04-S03'!$AN$16:$AN$198,2*(ROWS($R$386:R410)-1)+1)),INDEX('M04-S03'!$AX$16:$AX$198,2*(ROWS($O$386:O410)-1)+1),""),"")</f>
        <v/>
      </c>
      <c r="P410" s="113"/>
      <c r="Q410" s="113"/>
      <c r="R410" s="184">
        <f>IF(ISNUMBER(INDEX('M04-S03'!$AN$16:$AN$198,2*(ROWS($R$386:R410)-1)+1)),INDEX('M04-S03'!$AN$16:$AN$198,2*(ROWS($R$386:R410)-1)+1),0)</f>
        <v>0</v>
      </c>
      <c r="S410" s="23">
        <f>IF(NOT(ISNUMBER(INDEX('M04-S03'!$AN$16:$AN$198,2*(ROWS($R$386:R410)-1)+1))),INDEX('M04-S03'!$X$16:$X$198,2*(ROWS($S$386:S410)-1)+1),"")</f>
        <v>0</v>
      </c>
      <c r="T410" s="52" t="str">
        <f>IFERROR(IF(NOT(ISNUMBER(INDEX('M04-S03'!$AN$16:$AN$198,2*(ROWS($R$386:R410)-1)+1))),INDEX('M04-S03'!$AK$16:$AK$198,2*(ROWS($R$386:R410)-1)+1),0),0)</f>
        <v/>
      </c>
      <c r="U410" s="23" t="str">
        <f>IFERROR(IF(NOT(ISNUMBER(INDEX('M04-S03'!$AN$16:$AN$198,2*(ROWS($R$386:R410)-1)+1))),INDEX('M04-S03'!$AX$16:$AX$198,2*(ROWS($R$386:R410)-1)+1),""),"")</f>
        <v/>
      </c>
      <c r="V410" s="113"/>
      <c r="W410" t="str">
        <f>IFERROR(IF(NOT(ISNUMBER(INDEX('M04-S03'!$AN$16:$AN$198,2*(ROWS($R$386:R410)-1)+1))),INDEX('M04-S03'!$BE$16:$BE$198,2*(ROWS($R$386:R410)-1)+1),""),"")</f>
        <v>Submit for Review</v>
      </c>
      <c r="X410" s="113"/>
      <c r="Y410" s="113"/>
      <c r="Z410" s="111">
        <f>INDEX('M04-S03'!$B$16:$B$198,2*(ROWS($Z$386:Z410)-1)+1)</f>
        <v>25</v>
      </c>
      <c r="AA410" s="112"/>
      <c r="AB410" s="111">
        <f>INDEX('M04-S03'!$F$16:$F$198,2*(ROWS($Z$386:AB410)-1)+1)</f>
        <v>0</v>
      </c>
      <c r="AC410">
        <f>INDEX('M04-S03'!$L$16:$L$198,2*(ROWS($AC$386:AC410)-1)+1)</f>
        <v>0</v>
      </c>
      <c r="AD410">
        <f>INDEX('M04-S03'!$T$16:$T$198,2*(ROWS($AD$386:AD410)-1)+1)</f>
        <v>0</v>
      </c>
      <c r="AE410" s="459"/>
      <c r="AF410" s="459"/>
      <c r="AG410" s="111">
        <f>INDEX('M04-S03'!$R$16:$R$198,2*(ROWS($AG$309:AG333)-1)+1)</f>
        <v>0</v>
      </c>
      <c r="AH410" s="111">
        <f>INDEX('M04-S03'!$Z$16:$Z$198,2*(ROWS($AH$386:AH410)-1)+1)</f>
        <v>0</v>
      </c>
      <c r="AI410" s="96"/>
      <c r="AJ410" s="96"/>
      <c r="AK410" s="52" t="str">
        <f>INDEX('M04-S03'!$AV$16:$AV$198,2*(ROWS($AK$386:AK410)-1)+1)</f>
        <v/>
      </c>
      <c r="AL410" s="184">
        <f>IF(NOT(ISNUMBER(INDEX('M04-S03'!$AN$16:$AN$198,2*(ROWS($R$386:$R410)-1)+1))),INDEX('M04-S03'!$AD$16:$AD$198,2*(ROWS($AL$386:$AL410)-1)+1),"")</f>
        <v>0</v>
      </c>
      <c r="AM410" s="184" t="str">
        <f>IF(NOT(ISNUMBER(INDEX('M04-S03'!$AN$16:$AN$198,2*(ROWS($R$386:$R410)-1)+1))),INDEX('M04-S03'!$AF$16:$AF$198,2*(ROWS($AM$386:$AM410)-1)+1),"")</f>
        <v/>
      </c>
      <c r="AN410" s="52" t="str">
        <f>IF(NOT(ISNUMBER(INDEX('M04-S03'!$AN$16:$AN$198,2*(ROWS($R$386:$R410)-1)+1))),INDEX('M04-S03'!$AH$16:$AH$198,2*(ROWS($AN$386:$AN410)-1)+1),"")</f>
        <v/>
      </c>
      <c r="AO410" s="113"/>
      <c r="AU410"/>
    </row>
    <row r="411" spans="1:47">
      <c r="A411" s="57">
        <f t="shared" si="37"/>
        <v>0</v>
      </c>
      <c r="B411" s="183" t="str">
        <f t="shared" si="41"/>
        <v/>
      </c>
      <c r="C411" s="186" t="str">
        <f>IF(OR(R411&gt;0,T411&gt;0),INDEX('M04-S03'!$BD$16:$BD$198,2*(ROWS($C$386:C411)-1)+1),"")</f>
        <v/>
      </c>
      <c r="D411" t="s">
        <v>231</v>
      </c>
      <c r="E411" s="112"/>
      <c r="F411" s="112"/>
      <c r="G411" s="96"/>
      <c r="H411" s="96"/>
      <c r="I411" s="184">
        <f>IFERROR(ROUND(IF(ISNUMBER(INDEX('M04-S03'!$AN$16:$AN$198,2*(ROWS($R$386:$R411)-1)+1)),INDEX('M04-S03'!$AD$16:$AD$198,2*(ROWS($I$386:$I411)-1)+1),""),2),0)</f>
        <v>0</v>
      </c>
      <c r="J411" s="184">
        <f>IFERROR(ROUND(IF(ISNUMBER(INDEX('M04-S03'!$AN$16:$AN$198,2*(ROWS($R$386:$R411)-1)+1)),INDEX('M04-S03'!$AF$16:$AF$198,2*(ROWS($J$386:$J411)-1)+1),""),2),0)</f>
        <v>0</v>
      </c>
      <c r="K411" s="52">
        <f>IFERROR(ROUND(IF(ISNUMBER(INDEX('M04-S03'!$AN$16:$AN$198,2*(ROWS($R$386:$R411)-1)+1)),INDEX('M04-S03'!$AH$16:$AH$198,2*(ROWS($K$386:$K411)-1)+1),""),2),0)</f>
        <v>0</v>
      </c>
      <c r="M411" s="456" t="str">
        <f>IF(ISNUMBER(INDEX('M04-S03'!$AN$16:$AN$198,2*(ROWS($R$386:R411)-1)+1)),INDEX('M04-S03'!$X$16:$X$198,2*(ROWS($M$386:M411)-1)+1),"")</f>
        <v/>
      </c>
      <c r="N411" s="184" t="str">
        <f>IFERROR(IF(ISNUMBER(INDEX('M04-S03'!$AN$16:$AN$198,2*(ROWS($R$386:R411)-1)+1)),INDEX('M04-S03'!$AK$16:$AK$198,2*(ROWS($N$386:N411)-1)+1),""),"")</f>
        <v/>
      </c>
      <c r="O411" s="456" t="str">
        <f>IFERROR(IF(ISNUMBER(INDEX('M04-S03'!$AN$16:$AN$198,2*(ROWS($R$386:R411)-1)+1)),INDEX('M04-S03'!$AX$16:$AX$198,2*(ROWS($O$386:O411)-1)+1),""),"")</f>
        <v/>
      </c>
      <c r="P411" s="113"/>
      <c r="Q411" s="113"/>
      <c r="R411" s="184">
        <f>IF(ISNUMBER(INDEX('M04-S03'!$AN$16:$AN$198,2*(ROWS($R$386:R411)-1)+1)),INDEX('M04-S03'!$AN$16:$AN$198,2*(ROWS($R$386:R411)-1)+1),0)</f>
        <v>0</v>
      </c>
      <c r="S411" s="23">
        <f>IF(NOT(ISNUMBER(INDEX('M04-S03'!$AN$16:$AN$198,2*(ROWS($R$386:R411)-1)+1))),INDEX('M04-S03'!$X$16:$X$198,2*(ROWS($S$386:S411)-1)+1),"")</f>
        <v>0</v>
      </c>
      <c r="T411" s="52" t="str">
        <f>IFERROR(IF(NOT(ISNUMBER(INDEX('M04-S03'!$AN$16:$AN$198,2*(ROWS($R$386:R411)-1)+1))),INDEX('M04-S03'!$AK$16:$AK$198,2*(ROWS($R$386:R411)-1)+1),0),0)</f>
        <v/>
      </c>
      <c r="U411" s="23" t="str">
        <f>IFERROR(IF(NOT(ISNUMBER(INDEX('M04-S03'!$AN$16:$AN$198,2*(ROWS($R$386:R411)-1)+1))),INDEX('M04-S03'!$AX$16:$AX$198,2*(ROWS($R$386:R411)-1)+1),""),"")</f>
        <v/>
      </c>
      <c r="V411" s="113"/>
      <c r="W411" t="str">
        <f>IFERROR(IF(NOT(ISNUMBER(INDEX('M04-S03'!$AN$16:$AN$198,2*(ROWS($R$386:R411)-1)+1))),INDEX('M04-S03'!$BE$16:$BE$198,2*(ROWS($R$386:R411)-1)+1),""),"")</f>
        <v>Submit for Review</v>
      </c>
      <c r="X411" s="113"/>
      <c r="Y411" s="113"/>
      <c r="Z411" s="111">
        <f>INDEX('M04-S03'!$B$16:$B$198,2*(ROWS($Z$386:Z411)-1)+1)</f>
        <v>26</v>
      </c>
      <c r="AA411" s="112"/>
      <c r="AB411" s="111">
        <f>INDEX('M04-S03'!$F$16:$F$198,2*(ROWS($Z$386:AB411)-1)+1)</f>
        <v>0</v>
      </c>
      <c r="AC411">
        <f>INDEX('M04-S03'!$L$16:$L$198,2*(ROWS($AC$386:AC411)-1)+1)</f>
        <v>0</v>
      </c>
      <c r="AD411">
        <f>INDEX('M04-S03'!$T$16:$T$198,2*(ROWS($AD$386:AD411)-1)+1)</f>
        <v>0</v>
      </c>
      <c r="AE411" s="459"/>
      <c r="AF411" s="459"/>
      <c r="AG411" s="111">
        <f>INDEX('M04-S03'!$R$16:$R$198,2*(ROWS($AG$309:AG334)-1)+1)</f>
        <v>0</v>
      </c>
      <c r="AH411" s="111">
        <f>INDEX('M04-S03'!$Z$16:$Z$198,2*(ROWS($AH$386:AH411)-1)+1)</f>
        <v>0</v>
      </c>
      <c r="AI411" s="96"/>
      <c r="AJ411" s="96"/>
      <c r="AK411" s="52" t="str">
        <f>INDEX('M04-S03'!$AV$16:$AV$198,2*(ROWS($AK$386:AK411)-1)+1)</f>
        <v/>
      </c>
      <c r="AL411" s="184">
        <f>IF(NOT(ISNUMBER(INDEX('M04-S03'!$AN$16:$AN$198,2*(ROWS($R$386:$R411)-1)+1))),INDEX('M04-S03'!$AD$16:$AD$198,2*(ROWS($AL$386:$AL411)-1)+1),"")</f>
        <v>0</v>
      </c>
      <c r="AM411" s="184" t="str">
        <f>IF(NOT(ISNUMBER(INDEX('M04-S03'!$AN$16:$AN$198,2*(ROWS($R$386:$R411)-1)+1))),INDEX('M04-S03'!$AF$16:$AF$198,2*(ROWS($AM$386:$AM411)-1)+1),"")</f>
        <v/>
      </c>
      <c r="AN411" s="52" t="str">
        <f>IF(NOT(ISNUMBER(INDEX('M04-S03'!$AN$16:$AN$198,2*(ROWS($R$386:$R411)-1)+1))),INDEX('M04-S03'!$AH$16:$AH$198,2*(ROWS($AN$386:$AN411)-1)+1),"")</f>
        <v/>
      </c>
      <c r="AO411" s="113"/>
      <c r="AU411"/>
    </row>
    <row r="412" spans="1:47">
      <c r="A412" s="57">
        <f t="shared" si="37"/>
        <v>0</v>
      </c>
      <c r="B412" s="183" t="str">
        <f t="shared" si="41"/>
        <v/>
      </c>
      <c r="C412" s="186" t="str">
        <f>IF(OR(R412&gt;0,T412&gt;0),INDEX('M04-S03'!$BD$16:$BD$198,2*(ROWS($C$386:C412)-1)+1),"")</f>
        <v/>
      </c>
      <c r="D412" t="s">
        <v>231</v>
      </c>
      <c r="E412" s="112"/>
      <c r="F412" s="112"/>
      <c r="G412" s="96"/>
      <c r="H412" s="96"/>
      <c r="I412" s="184">
        <f>IFERROR(ROUND(IF(ISNUMBER(INDEX('M04-S03'!$AN$16:$AN$198,2*(ROWS($R$386:$R412)-1)+1)),INDEX('M04-S03'!$AD$16:$AD$198,2*(ROWS($I$386:$I412)-1)+1),""),2),0)</f>
        <v>0</v>
      </c>
      <c r="J412" s="184">
        <f>IFERROR(ROUND(IF(ISNUMBER(INDEX('M04-S03'!$AN$16:$AN$198,2*(ROWS($R$386:$R412)-1)+1)),INDEX('M04-S03'!$AF$16:$AF$198,2*(ROWS($J$386:$J412)-1)+1),""),2),0)</f>
        <v>0</v>
      </c>
      <c r="K412" s="52">
        <f>IFERROR(ROUND(IF(ISNUMBER(INDEX('M04-S03'!$AN$16:$AN$198,2*(ROWS($R$386:$R412)-1)+1)),INDEX('M04-S03'!$AH$16:$AH$198,2*(ROWS($K$386:$K412)-1)+1),""),2),0)</f>
        <v>0</v>
      </c>
      <c r="M412" s="456" t="str">
        <f>IF(ISNUMBER(INDEX('M04-S03'!$AN$16:$AN$198,2*(ROWS($R$386:R412)-1)+1)),INDEX('M04-S03'!$X$16:$X$198,2*(ROWS($M$386:M412)-1)+1),"")</f>
        <v/>
      </c>
      <c r="N412" s="184" t="str">
        <f>IFERROR(IF(ISNUMBER(INDEX('M04-S03'!$AN$16:$AN$198,2*(ROWS($R$386:R412)-1)+1)),INDEX('M04-S03'!$AK$16:$AK$198,2*(ROWS($N$386:N412)-1)+1),""),"")</f>
        <v/>
      </c>
      <c r="O412" s="456" t="str">
        <f>IFERROR(IF(ISNUMBER(INDEX('M04-S03'!$AN$16:$AN$198,2*(ROWS($R$386:R412)-1)+1)),INDEX('M04-S03'!$AX$16:$AX$198,2*(ROWS($O$386:O412)-1)+1),""),"")</f>
        <v/>
      </c>
      <c r="P412" s="113"/>
      <c r="Q412" s="113"/>
      <c r="R412" s="184">
        <f>IF(ISNUMBER(INDEX('M04-S03'!$AN$16:$AN$198,2*(ROWS($R$386:R412)-1)+1)),INDEX('M04-S03'!$AN$16:$AN$198,2*(ROWS($R$386:R412)-1)+1),0)</f>
        <v>0</v>
      </c>
      <c r="S412" s="23">
        <f>IF(NOT(ISNUMBER(INDEX('M04-S03'!$AN$16:$AN$198,2*(ROWS($R$386:R412)-1)+1))),INDEX('M04-S03'!$X$16:$X$198,2*(ROWS($S$386:S412)-1)+1),"")</f>
        <v>0</v>
      </c>
      <c r="T412" s="52" t="str">
        <f>IFERROR(IF(NOT(ISNUMBER(INDEX('M04-S03'!$AN$16:$AN$198,2*(ROWS($R$386:R412)-1)+1))),INDEX('M04-S03'!$AK$16:$AK$198,2*(ROWS($R$386:R412)-1)+1),0),0)</f>
        <v/>
      </c>
      <c r="U412" s="23" t="str">
        <f>IFERROR(IF(NOT(ISNUMBER(INDEX('M04-S03'!$AN$16:$AN$198,2*(ROWS($R$386:R412)-1)+1))),INDEX('M04-S03'!$AX$16:$AX$198,2*(ROWS($R$386:R412)-1)+1),""),"")</f>
        <v/>
      </c>
      <c r="V412" s="113"/>
      <c r="W412" t="str">
        <f>IFERROR(IF(NOT(ISNUMBER(INDEX('M04-S03'!$AN$16:$AN$198,2*(ROWS($R$386:R412)-1)+1))),INDEX('M04-S03'!$BE$16:$BE$198,2*(ROWS($R$386:R412)-1)+1),""),"")</f>
        <v>Submit for Review</v>
      </c>
      <c r="X412" s="113"/>
      <c r="Y412" s="113"/>
      <c r="Z412" s="111">
        <f>INDEX('M04-S03'!$B$16:$B$198,2*(ROWS($Z$386:Z412)-1)+1)</f>
        <v>27</v>
      </c>
      <c r="AA412" s="112"/>
      <c r="AB412" s="111">
        <f>INDEX('M04-S03'!$F$16:$F$198,2*(ROWS($Z$386:AB412)-1)+1)</f>
        <v>0</v>
      </c>
      <c r="AC412">
        <f>INDEX('M04-S03'!$L$16:$L$198,2*(ROWS($AC$386:AC412)-1)+1)</f>
        <v>0</v>
      </c>
      <c r="AD412">
        <f>INDEX('M04-S03'!$T$16:$T$198,2*(ROWS($AD$386:AD412)-1)+1)</f>
        <v>0</v>
      </c>
      <c r="AE412" s="459"/>
      <c r="AF412" s="459"/>
      <c r="AG412" s="111">
        <f>INDEX('M04-S03'!$R$16:$R$198,2*(ROWS($AG$309:AG335)-1)+1)</f>
        <v>0</v>
      </c>
      <c r="AH412" s="111">
        <f>INDEX('M04-S03'!$Z$16:$Z$198,2*(ROWS($AH$386:AH412)-1)+1)</f>
        <v>0</v>
      </c>
      <c r="AI412" s="96"/>
      <c r="AJ412" s="96"/>
      <c r="AK412" s="52" t="str">
        <f>INDEX('M04-S03'!$AV$16:$AV$198,2*(ROWS($AK$386:AK412)-1)+1)</f>
        <v/>
      </c>
      <c r="AL412" s="184">
        <f>IF(NOT(ISNUMBER(INDEX('M04-S03'!$AN$16:$AN$198,2*(ROWS($R$386:$R412)-1)+1))),INDEX('M04-S03'!$AD$16:$AD$198,2*(ROWS($AL$386:$AL412)-1)+1),"")</f>
        <v>0</v>
      </c>
      <c r="AM412" s="184" t="str">
        <f>IF(NOT(ISNUMBER(INDEX('M04-S03'!$AN$16:$AN$198,2*(ROWS($R$386:$R412)-1)+1))),INDEX('M04-S03'!$AF$16:$AF$198,2*(ROWS($AM$386:$AM412)-1)+1),"")</f>
        <v/>
      </c>
      <c r="AN412" s="52" t="str">
        <f>IF(NOT(ISNUMBER(INDEX('M04-S03'!$AN$16:$AN$198,2*(ROWS($R$386:$R412)-1)+1))),INDEX('M04-S03'!$AH$16:$AH$198,2*(ROWS($AN$386:$AN412)-1)+1),"")</f>
        <v/>
      </c>
      <c r="AO412" s="113"/>
      <c r="AU412"/>
    </row>
    <row r="413" spans="1:47">
      <c r="A413" s="57">
        <f t="shared" si="37"/>
        <v>0</v>
      </c>
      <c r="B413" s="183" t="str">
        <f t="shared" si="41"/>
        <v/>
      </c>
      <c r="C413" s="186" t="str">
        <f>IF(OR(R413&gt;0,T413&gt;0),INDEX('M04-S03'!$BD$16:$BD$198,2*(ROWS($C$386:C413)-1)+1),"")</f>
        <v/>
      </c>
      <c r="D413" t="s">
        <v>231</v>
      </c>
      <c r="E413" s="112"/>
      <c r="F413" s="112"/>
      <c r="G413" s="96"/>
      <c r="H413" s="96"/>
      <c r="I413" s="184">
        <f>IFERROR(ROUND(IF(ISNUMBER(INDEX('M04-S03'!$AN$16:$AN$198,2*(ROWS($R$386:$R413)-1)+1)),INDEX('M04-S03'!$AD$16:$AD$198,2*(ROWS($I$386:$I413)-1)+1),""),2),0)</f>
        <v>0</v>
      </c>
      <c r="J413" s="184">
        <f>IFERROR(ROUND(IF(ISNUMBER(INDEX('M04-S03'!$AN$16:$AN$198,2*(ROWS($R$386:$R413)-1)+1)),INDEX('M04-S03'!$AF$16:$AF$198,2*(ROWS($J$386:$J413)-1)+1),""),2),0)</f>
        <v>0</v>
      </c>
      <c r="K413" s="52">
        <f>IFERROR(ROUND(IF(ISNUMBER(INDEX('M04-S03'!$AN$16:$AN$198,2*(ROWS($R$386:$R413)-1)+1)),INDEX('M04-S03'!$AH$16:$AH$198,2*(ROWS($K$386:$K413)-1)+1),""),2),0)</f>
        <v>0</v>
      </c>
      <c r="M413" s="456" t="str">
        <f>IF(ISNUMBER(INDEX('M04-S03'!$AN$16:$AN$198,2*(ROWS($R$386:R413)-1)+1)),INDEX('M04-S03'!$X$16:$X$198,2*(ROWS($M$386:M413)-1)+1),"")</f>
        <v/>
      </c>
      <c r="N413" s="184" t="str">
        <f>IFERROR(IF(ISNUMBER(INDEX('M04-S03'!$AN$16:$AN$198,2*(ROWS($R$386:R413)-1)+1)),INDEX('M04-S03'!$AK$16:$AK$198,2*(ROWS($N$386:N413)-1)+1),""),"")</f>
        <v/>
      </c>
      <c r="O413" s="456" t="str">
        <f>IFERROR(IF(ISNUMBER(INDEX('M04-S03'!$AN$16:$AN$198,2*(ROWS($R$386:R413)-1)+1)),INDEX('M04-S03'!$AX$16:$AX$198,2*(ROWS($O$386:O413)-1)+1),""),"")</f>
        <v/>
      </c>
      <c r="P413" s="113"/>
      <c r="Q413" s="113"/>
      <c r="R413" s="184">
        <f>IF(ISNUMBER(INDEX('M04-S03'!$AN$16:$AN$198,2*(ROWS($R$386:R413)-1)+1)),INDEX('M04-S03'!$AN$16:$AN$198,2*(ROWS($R$386:R413)-1)+1),0)</f>
        <v>0</v>
      </c>
      <c r="S413" s="23">
        <f>IF(NOT(ISNUMBER(INDEX('M04-S03'!$AN$16:$AN$198,2*(ROWS($R$386:R413)-1)+1))),INDEX('M04-S03'!$X$16:$X$198,2*(ROWS($S$386:S413)-1)+1),"")</f>
        <v>0</v>
      </c>
      <c r="T413" s="52" t="str">
        <f>IFERROR(IF(NOT(ISNUMBER(INDEX('M04-S03'!$AN$16:$AN$198,2*(ROWS($R$386:R413)-1)+1))),INDEX('M04-S03'!$AK$16:$AK$198,2*(ROWS($R$386:R413)-1)+1),0),0)</f>
        <v/>
      </c>
      <c r="U413" s="23" t="str">
        <f>IFERROR(IF(NOT(ISNUMBER(INDEX('M04-S03'!$AN$16:$AN$198,2*(ROWS($R$386:R413)-1)+1))),INDEX('M04-S03'!$AX$16:$AX$198,2*(ROWS($R$386:R413)-1)+1),""),"")</f>
        <v/>
      </c>
      <c r="V413" s="113"/>
      <c r="W413" t="str">
        <f>IFERROR(IF(NOT(ISNUMBER(INDEX('M04-S03'!$AN$16:$AN$198,2*(ROWS($R$386:R413)-1)+1))),INDEX('M04-S03'!$BE$16:$BE$198,2*(ROWS($R$386:R413)-1)+1),""),"")</f>
        <v>Submit for Review</v>
      </c>
      <c r="X413" s="113"/>
      <c r="Y413" s="113"/>
      <c r="Z413" s="111">
        <f>INDEX('M04-S03'!$B$16:$B$198,2*(ROWS($Z$386:Z413)-1)+1)</f>
        <v>28</v>
      </c>
      <c r="AA413" s="112"/>
      <c r="AB413" s="111">
        <f>INDEX('M04-S03'!$F$16:$F$198,2*(ROWS($Z$386:AB413)-1)+1)</f>
        <v>0</v>
      </c>
      <c r="AC413">
        <f>INDEX('M04-S03'!$L$16:$L$198,2*(ROWS($AC$386:AC413)-1)+1)</f>
        <v>0</v>
      </c>
      <c r="AD413">
        <f>INDEX('M04-S03'!$T$16:$T$198,2*(ROWS($AD$386:AD413)-1)+1)</f>
        <v>0</v>
      </c>
      <c r="AE413" s="459"/>
      <c r="AF413" s="459"/>
      <c r="AG413" s="111">
        <f>INDEX('M04-S03'!$R$16:$R$198,2*(ROWS($AG$309:AG336)-1)+1)</f>
        <v>0</v>
      </c>
      <c r="AH413" s="111">
        <f>INDEX('M04-S03'!$Z$16:$Z$198,2*(ROWS($AH$386:AH413)-1)+1)</f>
        <v>0</v>
      </c>
      <c r="AI413" s="96"/>
      <c r="AJ413" s="96"/>
      <c r="AK413" s="52" t="str">
        <f>INDEX('M04-S03'!$AV$16:$AV$198,2*(ROWS($AK$386:AK413)-1)+1)</f>
        <v/>
      </c>
      <c r="AL413" s="184">
        <f>IF(NOT(ISNUMBER(INDEX('M04-S03'!$AN$16:$AN$198,2*(ROWS($R$386:$R413)-1)+1))),INDEX('M04-S03'!$AD$16:$AD$198,2*(ROWS($AL$386:$AL413)-1)+1),"")</f>
        <v>0</v>
      </c>
      <c r="AM413" s="184" t="str">
        <f>IF(NOT(ISNUMBER(INDEX('M04-S03'!$AN$16:$AN$198,2*(ROWS($R$386:$R413)-1)+1))),INDEX('M04-S03'!$AF$16:$AF$198,2*(ROWS($AM$386:$AM413)-1)+1),"")</f>
        <v/>
      </c>
      <c r="AN413" s="52" t="str">
        <f>IF(NOT(ISNUMBER(INDEX('M04-S03'!$AN$16:$AN$198,2*(ROWS($R$386:$R413)-1)+1))),INDEX('M04-S03'!$AH$16:$AH$198,2*(ROWS($AN$386:$AN413)-1)+1),"")</f>
        <v/>
      </c>
      <c r="AO413" s="113"/>
      <c r="AU413"/>
    </row>
    <row r="414" spans="1:47">
      <c r="A414" s="57">
        <f t="shared" si="37"/>
        <v>0</v>
      </c>
      <c r="B414" s="183" t="str">
        <f t="shared" si="41"/>
        <v/>
      </c>
      <c r="C414" s="186" t="str">
        <f>IF(OR(R414&gt;0,T414&gt;0),INDEX('M04-S03'!$BD$16:$BD$198,2*(ROWS($C$386:C414)-1)+1),"")</f>
        <v/>
      </c>
      <c r="D414" t="s">
        <v>231</v>
      </c>
      <c r="E414" s="112"/>
      <c r="F414" s="112"/>
      <c r="G414" s="96"/>
      <c r="H414" s="96"/>
      <c r="I414" s="184">
        <f>IFERROR(ROUND(IF(ISNUMBER(INDEX('M04-S03'!$AN$16:$AN$198,2*(ROWS($R$386:$R414)-1)+1)),INDEX('M04-S03'!$AD$16:$AD$198,2*(ROWS($I$386:$I414)-1)+1),""),2),0)</f>
        <v>0</v>
      </c>
      <c r="J414" s="184">
        <f>IFERROR(ROUND(IF(ISNUMBER(INDEX('M04-S03'!$AN$16:$AN$198,2*(ROWS($R$386:$R414)-1)+1)),INDEX('M04-S03'!$AF$16:$AF$198,2*(ROWS($J$386:$J414)-1)+1),""),2),0)</f>
        <v>0</v>
      </c>
      <c r="K414" s="52">
        <f>IFERROR(ROUND(IF(ISNUMBER(INDEX('M04-S03'!$AN$16:$AN$198,2*(ROWS($R$386:$R414)-1)+1)),INDEX('M04-S03'!$AH$16:$AH$198,2*(ROWS($K$386:$K414)-1)+1),""),2),0)</f>
        <v>0</v>
      </c>
      <c r="M414" s="456" t="str">
        <f>IF(ISNUMBER(INDEX('M04-S03'!$AN$16:$AN$198,2*(ROWS($R$386:R414)-1)+1)),INDEX('M04-S03'!$X$16:$X$198,2*(ROWS($M$386:M414)-1)+1),"")</f>
        <v/>
      </c>
      <c r="N414" s="184" t="str">
        <f>IFERROR(IF(ISNUMBER(INDEX('M04-S03'!$AN$16:$AN$198,2*(ROWS($R$386:R414)-1)+1)),INDEX('M04-S03'!$AK$16:$AK$198,2*(ROWS($N$386:N414)-1)+1),""),"")</f>
        <v/>
      </c>
      <c r="O414" s="456" t="str">
        <f>IFERROR(IF(ISNUMBER(INDEX('M04-S03'!$AN$16:$AN$198,2*(ROWS($R$386:R414)-1)+1)),INDEX('M04-S03'!$AX$16:$AX$198,2*(ROWS($O$386:O414)-1)+1),""),"")</f>
        <v/>
      </c>
      <c r="P414" s="113"/>
      <c r="Q414" s="113"/>
      <c r="R414" s="184">
        <f>IF(ISNUMBER(INDEX('M04-S03'!$AN$16:$AN$198,2*(ROWS($R$386:R414)-1)+1)),INDEX('M04-S03'!$AN$16:$AN$198,2*(ROWS($R$386:R414)-1)+1),0)</f>
        <v>0</v>
      </c>
      <c r="S414" s="23">
        <f>IF(NOT(ISNUMBER(INDEX('M04-S03'!$AN$16:$AN$198,2*(ROWS($R$386:R414)-1)+1))),INDEX('M04-S03'!$X$16:$X$198,2*(ROWS($S$386:S414)-1)+1),"")</f>
        <v>0</v>
      </c>
      <c r="T414" s="52" t="str">
        <f>IFERROR(IF(NOT(ISNUMBER(INDEX('M04-S03'!$AN$16:$AN$198,2*(ROWS($R$386:R414)-1)+1))),INDEX('M04-S03'!$AK$16:$AK$198,2*(ROWS($R$386:R414)-1)+1),0),0)</f>
        <v/>
      </c>
      <c r="U414" s="23" t="str">
        <f>IFERROR(IF(NOT(ISNUMBER(INDEX('M04-S03'!$AN$16:$AN$198,2*(ROWS($R$386:R414)-1)+1))),INDEX('M04-S03'!$AX$16:$AX$198,2*(ROWS($R$386:R414)-1)+1),""),"")</f>
        <v/>
      </c>
      <c r="V414" s="113"/>
      <c r="W414" t="str">
        <f>IFERROR(IF(NOT(ISNUMBER(INDEX('M04-S03'!$AN$16:$AN$198,2*(ROWS($R$386:R414)-1)+1))),INDEX('M04-S03'!$BE$16:$BE$198,2*(ROWS($R$386:R414)-1)+1),""),"")</f>
        <v>Submit for Review</v>
      </c>
      <c r="X414" s="113"/>
      <c r="Y414" s="113"/>
      <c r="Z414" s="111">
        <f>INDEX('M04-S03'!$B$16:$B$198,2*(ROWS($Z$386:Z414)-1)+1)</f>
        <v>29</v>
      </c>
      <c r="AA414" s="112"/>
      <c r="AB414" s="111">
        <f>INDEX('M04-S03'!$F$16:$F$198,2*(ROWS($Z$386:AB414)-1)+1)</f>
        <v>0</v>
      </c>
      <c r="AC414">
        <f>INDEX('M04-S03'!$L$16:$L$198,2*(ROWS($AC$386:AC414)-1)+1)</f>
        <v>0</v>
      </c>
      <c r="AD414">
        <f>INDEX('M04-S03'!$T$16:$T$198,2*(ROWS($AD$386:AD414)-1)+1)</f>
        <v>0</v>
      </c>
      <c r="AE414" s="459"/>
      <c r="AF414" s="459"/>
      <c r="AG414" s="111">
        <f>INDEX('M04-S03'!$R$16:$R$198,2*(ROWS($AG$309:AG337)-1)+1)</f>
        <v>0</v>
      </c>
      <c r="AH414" s="111">
        <f>INDEX('M04-S03'!$Z$16:$Z$198,2*(ROWS($AH$386:AH414)-1)+1)</f>
        <v>0</v>
      </c>
      <c r="AI414" s="96"/>
      <c r="AJ414" s="96"/>
      <c r="AK414" s="52" t="str">
        <f>INDEX('M04-S03'!$AV$16:$AV$198,2*(ROWS($AK$386:AK414)-1)+1)</f>
        <v/>
      </c>
      <c r="AL414" s="184">
        <f>IF(NOT(ISNUMBER(INDEX('M04-S03'!$AN$16:$AN$198,2*(ROWS($R$386:$R414)-1)+1))),INDEX('M04-S03'!$AD$16:$AD$198,2*(ROWS($AL$386:$AL414)-1)+1),"")</f>
        <v>0</v>
      </c>
      <c r="AM414" s="184" t="str">
        <f>IF(NOT(ISNUMBER(INDEX('M04-S03'!$AN$16:$AN$198,2*(ROWS($R$386:$R414)-1)+1))),INDEX('M04-S03'!$AF$16:$AF$198,2*(ROWS($AM$386:$AM414)-1)+1),"")</f>
        <v/>
      </c>
      <c r="AN414" s="52" t="str">
        <f>IF(NOT(ISNUMBER(INDEX('M04-S03'!$AN$16:$AN$198,2*(ROWS($R$386:$R414)-1)+1))),INDEX('M04-S03'!$AH$16:$AH$198,2*(ROWS($AN$386:$AN414)-1)+1),"")</f>
        <v/>
      </c>
      <c r="AO414" s="113"/>
      <c r="AU414"/>
    </row>
    <row r="415" spans="1:47">
      <c r="A415" s="57">
        <f t="shared" si="37"/>
        <v>0</v>
      </c>
      <c r="B415" s="183" t="str">
        <f t="shared" si="41"/>
        <v/>
      </c>
      <c r="C415" s="186" t="str">
        <f>IF(OR(R415&gt;0,T415&gt;0),INDEX('M04-S03'!$BD$16:$BD$198,2*(ROWS($C$386:C415)-1)+1),"")</f>
        <v/>
      </c>
      <c r="D415" t="s">
        <v>231</v>
      </c>
      <c r="E415" s="112"/>
      <c r="F415" s="112"/>
      <c r="G415" s="96"/>
      <c r="H415" s="96"/>
      <c r="I415" s="184">
        <f>IFERROR(ROUND(IF(ISNUMBER(INDEX('M04-S03'!$AN$16:$AN$198,2*(ROWS($R$386:$R415)-1)+1)),INDEX('M04-S03'!$AD$16:$AD$198,2*(ROWS($I$386:$I415)-1)+1),""),2),0)</f>
        <v>0</v>
      </c>
      <c r="J415" s="184">
        <f>IFERROR(ROUND(IF(ISNUMBER(INDEX('M04-S03'!$AN$16:$AN$198,2*(ROWS($R$386:$R415)-1)+1)),INDEX('M04-S03'!$AF$16:$AF$198,2*(ROWS($J$386:$J415)-1)+1),""),2),0)</f>
        <v>0</v>
      </c>
      <c r="K415" s="52">
        <f>IFERROR(ROUND(IF(ISNUMBER(INDEX('M04-S03'!$AN$16:$AN$198,2*(ROWS($R$386:$R415)-1)+1)),INDEX('M04-S03'!$AH$16:$AH$198,2*(ROWS($K$386:$K415)-1)+1),""),2),0)</f>
        <v>0</v>
      </c>
      <c r="M415" s="456" t="str">
        <f>IF(ISNUMBER(INDEX('M04-S03'!$AN$16:$AN$198,2*(ROWS($R$386:R415)-1)+1)),INDEX('M04-S03'!$X$16:$X$198,2*(ROWS($M$386:M415)-1)+1),"")</f>
        <v/>
      </c>
      <c r="N415" s="184" t="str">
        <f>IFERROR(IF(ISNUMBER(INDEX('M04-S03'!$AN$16:$AN$198,2*(ROWS($R$386:R415)-1)+1)),INDEX('M04-S03'!$AK$16:$AK$198,2*(ROWS($N$386:N415)-1)+1),""),"")</f>
        <v/>
      </c>
      <c r="O415" s="456" t="str">
        <f>IFERROR(IF(ISNUMBER(INDEX('M04-S03'!$AN$16:$AN$198,2*(ROWS($R$386:R415)-1)+1)),INDEX('M04-S03'!$AX$16:$AX$198,2*(ROWS($O$386:O415)-1)+1),""),"")</f>
        <v/>
      </c>
      <c r="P415" s="113"/>
      <c r="Q415" s="113"/>
      <c r="R415" s="184">
        <f>IF(ISNUMBER(INDEX('M04-S03'!$AN$16:$AN$198,2*(ROWS($R$386:R415)-1)+1)),INDEX('M04-S03'!$AN$16:$AN$198,2*(ROWS($R$386:R415)-1)+1),0)</f>
        <v>0</v>
      </c>
      <c r="S415" s="23">
        <f>IF(NOT(ISNUMBER(INDEX('M04-S03'!$AN$16:$AN$198,2*(ROWS($R$386:R415)-1)+1))),INDEX('M04-S03'!$X$16:$X$198,2*(ROWS($S$386:S415)-1)+1),"")</f>
        <v>0</v>
      </c>
      <c r="T415" s="52" t="str">
        <f>IFERROR(IF(NOT(ISNUMBER(INDEX('M04-S03'!$AN$16:$AN$198,2*(ROWS($R$386:R415)-1)+1))),INDEX('M04-S03'!$AK$16:$AK$198,2*(ROWS($R$386:R415)-1)+1),0),0)</f>
        <v/>
      </c>
      <c r="U415" s="23" t="str">
        <f>IFERROR(IF(NOT(ISNUMBER(INDEX('M04-S03'!$AN$16:$AN$198,2*(ROWS($R$386:R415)-1)+1))),INDEX('M04-S03'!$AX$16:$AX$198,2*(ROWS($R$386:R415)-1)+1),""),"")</f>
        <v/>
      </c>
      <c r="V415" s="113"/>
      <c r="W415" t="str">
        <f>IFERROR(IF(NOT(ISNUMBER(INDEX('M04-S03'!$AN$16:$AN$198,2*(ROWS($R$386:R415)-1)+1))),INDEX('M04-S03'!$BE$16:$BE$198,2*(ROWS($R$386:R415)-1)+1),""),"")</f>
        <v>Submit for Review</v>
      </c>
      <c r="X415" s="113"/>
      <c r="Y415" s="113"/>
      <c r="Z415" s="111">
        <f>INDEX('M04-S03'!$B$16:$B$198,2*(ROWS($Z$386:Z415)-1)+1)</f>
        <v>30</v>
      </c>
      <c r="AA415" s="112"/>
      <c r="AB415" s="111">
        <f>INDEX('M04-S03'!$F$16:$F$198,2*(ROWS($Z$386:AB415)-1)+1)</f>
        <v>0</v>
      </c>
      <c r="AC415">
        <f>INDEX('M04-S03'!$L$16:$L$198,2*(ROWS($AC$386:AC415)-1)+1)</f>
        <v>0</v>
      </c>
      <c r="AD415">
        <f>INDEX('M04-S03'!$T$16:$T$198,2*(ROWS($AD$386:AD415)-1)+1)</f>
        <v>0</v>
      </c>
      <c r="AE415" s="459"/>
      <c r="AF415" s="459"/>
      <c r="AG415" s="111">
        <f>INDEX('M04-S03'!$R$16:$R$198,2*(ROWS($AG$309:AG338)-1)+1)</f>
        <v>0</v>
      </c>
      <c r="AH415" s="111">
        <f>INDEX('M04-S03'!$Z$16:$Z$198,2*(ROWS($AH$386:AH415)-1)+1)</f>
        <v>0</v>
      </c>
      <c r="AI415" s="96"/>
      <c r="AJ415" s="96"/>
      <c r="AK415" s="52" t="str">
        <f>INDEX('M04-S03'!$AV$16:$AV$198,2*(ROWS($AK$386:AK415)-1)+1)</f>
        <v/>
      </c>
      <c r="AL415" s="184">
        <f>IF(NOT(ISNUMBER(INDEX('M04-S03'!$AN$16:$AN$198,2*(ROWS($R$386:$R415)-1)+1))),INDEX('M04-S03'!$AD$16:$AD$198,2*(ROWS($AL$386:$AL415)-1)+1),"")</f>
        <v>0</v>
      </c>
      <c r="AM415" s="184" t="str">
        <f>IF(NOT(ISNUMBER(INDEX('M04-S03'!$AN$16:$AN$198,2*(ROWS($R$386:$R415)-1)+1))),INDEX('M04-S03'!$AF$16:$AF$198,2*(ROWS($AM$386:$AM415)-1)+1),"")</f>
        <v/>
      </c>
      <c r="AN415" s="52" t="str">
        <f>IF(NOT(ISNUMBER(INDEX('M04-S03'!$AN$16:$AN$198,2*(ROWS($R$386:$R415)-1)+1))),INDEX('M04-S03'!$AH$16:$AH$198,2*(ROWS($AN$386:$AN415)-1)+1),"")</f>
        <v/>
      </c>
      <c r="AO415" s="113"/>
      <c r="AU415"/>
    </row>
    <row r="416" spans="1:47">
      <c r="A416" s="57">
        <f t="shared" si="37"/>
        <v>0</v>
      </c>
      <c r="B416" s="183" t="str">
        <f t="shared" si="41"/>
        <v/>
      </c>
      <c r="C416" s="186" t="str">
        <f>IF(OR(R416&gt;0,T416&gt;0),INDEX('M04-S03'!$BD$16:$BD$198,2*(ROWS($C$386:C416)-1)+1),"")</f>
        <v/>
      </c>
      <c r="D416" t="s">
        <v>231</v>
      </c>
      <c r="E416" s="112"/>
      <c r="F416" s="112"/>
      <c r="G416" s="96"/>
      <c r="H416" s="96"/>
      <c r="I416" s="184">
        <f>IFERROR(ROUND(IF(ISNUMBER(INDEX('M04-S03'!$AN$16:$AN$198,2*(ROWS($R$386:$R416)-1)+1)),INDEX('M04-S03'!$AD$16:$AD$198,2*(ROWS($I$386:$I416)-1)+1),""),2),0)</f>
        <v>0</v>
      </c>
      <c r="J416" s="184">
        <f>IFERROR(ROUND(IF(ISNUMBER(INDEX('M04-S03'!$AN$16:$AN$198,2*(ROWS($R$386:$R416)-1)+1)),INDEX('M04-S03'!$AF$16:$AF$198,2*(ROWS($J$386:$J416)-1)+1),""),2),0)</f>
        <v>0</v>
      </c>
      <c r="K416" s="52">
        <f>IFERROR(ROUND(IF(ISNUMBER(INDEX('M04-S03'!$AN$16:$AN$198,2*(ROWS($R$386:$R416)-1)+1)),INDEX('M04-S03'!$AH$16:$AH$198,2*(ROWS($K$386:$K416)-1)+1),""),2),0)</f>
        <v>0</v>
      </c>
      <c r="M416" s="456" t="str">
        <f>IF(ISNUMBER(INDEX('M04-S03'!$AN$16:$AN$198,2*(ROWS($R$386:R416)-1)+1)),INDEX('M04-S03'!$X$16:$X$198,2*(ROWS($M$386:M416)-1)+1),"")</f>
        <v/>
      </c>
      <c r="N416" s="184" t="str">
        <f>IFERROR(IF(ISNUMBER(INDEX('M04-S03'!$AN$16:$AN$198,2*(ROWS($R$386:R416)-1)+1)),INDEX('M04-S03'!$AK$16:$AK$198,2*(ROWS($N$386:N416)-1)+1),""),"")</f>
        <v/>
      </c>
      <c r="O416" s="456" t="str">
        <f>IFERROR(IF(ISNUMBER(INDEX('M04-S03'!$AN$16:$AN$198,2*(ROWS($R$386:R416)-1)+1)),INDEX('M04-S03'!$AX$16:$AX$198,2*(ROWS($O$386:O416)-1)+1),""),"")</f>
        <v/>
      </c>
      <c r="P416" s="113"/>
      <c r="Q416" s="113"/>
      <c r="R416" s="184">
        <f>IF(ISNUMBER(INDEX('M04-S03'!$AN$16:$AN$198,2*(ROWS($R$386:R416)-1)+1)),INDEX('M04-S03'!$AN$16:$AN$198,2*(ROWS($R$386:R416)-1)+1),0)</f>
        <v>0</v>
      </c>
      <c r="S416" s="23">
        <f>IF(NOT(ISNUMBER(INDEX('M04-S03'!$AN$16:$AN$198,2*(ROWS($R$386:R416)-1)+1))),INDEX('M04-S03'!$X$16:$X$198,2*(ROWS($S$386:S416)-1)+1),"")</f>
        <v>0</v>
      </c>
      <c r="T416" s="52" t="str">
        <f>IFERROR(IF(NOT(ISNUMBER(INDEX('M04-S03'!$AN$16:$AN$198,2*(ROWS($R$386:R416)-1)+1))),INDEX('M04-S03'!$AK$16:$AK$198,2*(ROWS($R$386:R416)-1)+1),0),0)</f>
        <v/>
      </c>
      <c r="U416" s="23" t="str">
        <f>IFERROR(IF(NOT(ISNUMBER(INDEX('M04-S03'!$AN$16:$AN$198,2*(ROWS($R$386:R416)-1)+1))),INDEX('M04-S03'!$AX$16:$AX$198,2*(ROWS($R$386:R416)-1)+1),""),"")</f>
        <v/>
      </c>
      <c r="V416" s="113"/>
      <c r="W416" t="str">
        <f>IFERROR(IF(NOT(ISNUMBER(INDEX('M04-S03'!$AN$16:$AN$198,2*(ROWS($R$386:R416)-1)+1))),INDEX('M04-S03'!$BE$16:$BE$198,2*(ROWS($R$386:R416)-1)+1),""),"")</f>
        <v>Submit for Review</v>
      </c>
      <c r="X416" s="113"/>
      <c r="Y416" s="113"/>
      <c r="Z416" s="111">
        <f>INDEX('M04-S03'!$B$16:$B$198,2*(ROWS($Z$386:Z416)-1)+1)</f>
        <v>31</v>
      </c>
      <c r="AA416" s="112"/>
      <c r="AB416" s="111">
        <f>INDEX('M04-S03'!$F$16:$F$198,2*(ROWS($Z$386:AB416)-1)+1)</f>
        <v>0</v>
      </c>
      <c r="AC416">
        <f>INDEX('M04-S03'!$L$16:$L$198,2*(ROWS($AC$386:AC416)-1)+1)</f>
        <v>0</v>
      </c>
      <c r="AD416">
        <f>INDEX('M04-S03'!$T$16:$T$198,2*(ROWS($AD$386:AD416)-1)+1)</f>
        <v>0</v>
      </c>
      <c r="AE416" s="459"/>
      <c r="AF416" s="459"/>
      <c r="AG416" s="111">
        <f>INDEX('M04-S03'!$R$16:$R$198,2*(ROWS($AG$309:AG339)-1)+1)</f>
        <v>0</v>
      </c>
      <c r="AH416" s="111">
        <f>INDEX('M04-S03'!$Z$16:$Z$198,2*(ROWS($AH$386:AH416)-1)+1)</f>
        <v>0</v>
      </c>
      <c r="AI416" s="96"/>
      <c r="AJ416" s="96"/>
      <c r="AK416" s="52" t="str">
        <f>INDEX('M04-S03'!$AV$16:$AV$198,2*(ROWS($AK$386:AK416)-1)+1)</f>
        <v/>
      </c>
      <c r="AL416" s="184">
        <f>IF(NOT(ISNUMBER(INDEX('M04-S03'!$AN$16:$AN$198,2*(ROWS($R$386:$R416)-1)+1))),INDEX('M04-S03'!$AD$16:$AD$198,2*(ROWS($AL$386:$AL416)-1)+1),"")</f>
        <v>0</v>
      </c>
      <c r="AM416" s="184" t="str">
        <f>IF(NOT(ISNUMBER(INDEX('M04-S03'!$AN$16:$AN$198,2*(ROWS($R$386:$R416)-1)+1))),INDEX('M04-S03'!$AF$16:$AF$198,2*(ROWS($AM$386:$AM416)-1)+1),"")</f>
        <v/>
      </c>
      <c r="AN416" s="52" t="str">
        <f>IF(NOT(ISNUMBER(INDEX('M04-S03'!$AN$16:$AN$198,2*(ROWS($R$386:$R416)-1)+1))),INDEX('M04-S03'!$AH$16:$AH$198,2*(ROWS($AN$386:$AN416)-1)+1),"")</f>
        <v/>
      </c>
      <c r="AO416" s="113"/>
      <c r="AU416"/>
    </row>
    <row r="417" spans="1:47">
      <c r="A417" s="57">
        <f t="shared" si="37"/>
        <v>0</v>
      </c>
      <c r="B417" s="183" t="str">
        <f t="shared" si="41"/>
        <v/>
      </c>
      <c r="C417" s="186" t="str">
        <f>IF(OR(R417&gt;0,T417&gt;0),INDEX('M04-S03'!$BD$16:$BD$198,2*(ROWS($C$386:C417)-1)+1),"")</f>
        <v/>
      </c>
      <c r="D417" t="s">
        <v>231</v>
      </c>
      <c r="E417" s="112"/>
      <c r="F417" s="112"/>
      <c r="G417" s="96"/>
      <c r="H417" s="96"/>
      <c r="I417" s="184">
        <f>IFERROR(ROUND(IF(ISNUMBER(INDEX('M04-S03'!$AN$16:$AN$198,2*(ROWS($R$386:$R417)-1)+1)),INDEX('M04-S03'!$AD$16:$AD$198,2*(ROWS($I$386:$I417)-1)+1),""),2),0)</f>
        <v>0</v>
      </c>
      <c r="J417" s="184">
        <f>IFERROR(ROUND(IF(ISNUMBER(INDEX('M04-S03'!$AN$16:$AN$198,2*(ROWS($R$386:$R417)-1)+1)),INDEX('M04-S03'!$AF$16:$AF$198,2*(ROWS($J$386:$J417)-1)+1),""),2),0)</f>
        <v>0</v>
      </c>
      <c r="K417" s="52">
        <f>IFERROR(ROUND(IF(ISNUMBER(INDEX('M04-S03'!$AN$16:$AN$198,2*(ROWS($R$386:$R417)-1)+1)),INDEX('M04-S03'!$AH$16:$AH$198,2*(ROWS($K$386:$K417)-1)+1),""),2),0)</f>
        <v>0</v>
      </c>
      <c r="M417" s="456" t="str">
        <f>IF(ISNUMBER(INDEX('M04-S03'!$AN$16:$AN$198,2*(ROWS($R$386:R417)-1)+1)),INDEX('M04-S03'!$X$16:$X$198,2*(ROWS($M$386:M417)-1)+1),"")</f>
        <v/>
      </c>
      <c r="N417" s="184" t="str">
        <f>IFERROR(IF(ISNUMBER(INDEX('M04-S03'!$AN$16:$AN$198,2*(ROWS($R$386:R417)-1)+1)),INDEX('M04-S03'!$AK$16:$AK$198,2*(ROWS($N$386:N417)-1)+1),""),"")</f>
        <v/>
      </c>
      <c r="O417" s="456" t="str">
        <f>IFERROR(IF(ISNUMBER(INDEX('M04-S03'!$AN$16:$AN$198,2*(ROWS($R$386:R417)-1)+1)),INDEX('M04-S03'!$AX$16:$AX$198,2*(ROWS($O$386:O417)-1)+1),""),"")</f>
        <v/>
      </c>
      <c r="P417" s="113"/>
      <c r="Q417" s="113"/>
      <c r="R417" s="184">
        <f>IF(ISNUMBER(INDEX('M04-S03'!$AN$16:$AN$198,2*(ROWS($R$386:R417)-1)+1)),INDEX('M04-S03'!$AN$16:$AN$198,2*(ROWS($R$386:R417)-1)+1),0)</f>
        <v>0</v>
      </c>
      <c r="S417" s="23">
        <f>IF(NOT(ISNUMBER(INDEX('M04-S03'!$AN$16:$AN$198,2*(ROWS($R$386:R417)-1)+1))),INDEX('M04-S03'!$X$16:$X$198,2*(ROWS($S$386:S417)-1)+1),"")</f>
        <v>0</v>
      </c>
      <c r="T417" s="52" t="str">
        <f>IFERROR(IF(NOT(ISNUMBER(INDEX('M04-S03'!$AN$16:$AN$198,2*(ROWS($R$386:R417)-1)+1))),INDEX('M04-S03'!$AK$16:$AK$198,2*(ROWS($R$386:R417)-1)+1),0),0)</f>
        <v/>
      </c>
      <c r="U417" s="23" t="str">
        <f>IFERROR(IF(NOT(ISNUMBER(INDEX('M04-S03'!$AN$16:$AN$198,2*(ROWS($R$386:R417)-1)+1))),INDEX('M04-S03'!$AX$16:$AX$198,2*(ROWS($R$386:R417)-1)+1),""),"")</f>
        <v/>
      </c>
      <c r="V417" s="113"/>
      <c r="W417" t="str">
        <f>IFERROR(IF(NOT(ISNUMBER(INDEX('M04-S03'!$AN$16:$AN$198,2*(ROWS($R$386:R417)-1)+1))),INDEX('M04-S03'!$BE$16:$BE$198,2*(ROWS($R$386:R417)-1)+1),""),"")</f>
        <v>Submit for Review</v>
      </c>
      <c r="X417" s="113"/>
      <c r="Y417" s="113"/>
      <c r="Z417" s="111">
        <f>INDEX('M04-S03'!$B$16:$B$198,2*(ROWS($Z$386:Z417)-1)+1)</f>
        <v>32</v>
      </c>
      <c r="AA417" s="112"/>
      <c r="AB417" s="111">
        <f>INDEX('M04-S03'!$F$16:$F$198,2*(ROWS($Z$386:AB417)-1)+1)</f>
        <v>0</v>
      </c>
      <c r="AC417">
        <f>INDEX('M04-S03'!$L$16:$L$198,2*(ROWS($AC$386:AC417)-1)+1)</f>
        <v>0</v>
      </c>
      <c r="AD417">
        <f>INDEX('M04-S03'!$T$16:$T$198,2*(ROWS($AD$386:AD417)-1)+1)</f>
        <v>0</v>
      </c>
      <c r="AE417" s="459"/>
      <c r="AF417" s="459"/>
      <c r="AG417" s="111">
        <f>INDEX('M04-S03'!$R$16:$R$198,2*(ROWS($AG$309:AG340)-1)+1)</f>
        <v>0</v>
      </c>
      <c r="AH417" s="111">
        <f>INDEX('M04-S03'!$Z$16:$Z$198,2*(ROWS($AH$386:AH417)-1)+1)</f>
        <v>0</v>
      </c>
      <c r="AI417" s="96"/>
      <c r="AJ417" s="96"/>
      <c r="AK417" s="52" t="str">
        <f>INDEX('M04-S03'!$AV$16:$AV$198,2*(ROWS($AK$386:AK417)-1)+1)</f>
        <v/>
      </c>
      <c r="AL417" s="184">
        <f>IF(NOT(ISNUMBER(INDEX('M04-S03'!$AN$16:$AN$198,2*(ROWS($R$386:$R417)-1)+1))),INDEX('M04-S03'!$AD$16:$AD$198,2*(ROWS($AL$386:$AL417)-1)+1),"")</f>
        <v>0</v>
      </c>
      <c r="AM417" s="184" t="str">
        <f>IF(NOT(ISNUMBER(INDEX('M04-S03'!$AN$16:$AN$198,2*(ROWS($R$386:$R417)-1)+1))),INDEX('M04-S03'!$AF$16:$AF$198,2*(ROWS($AM$386:$AM417)-1)+1),"")</f>
        <v/>
      </c>
      <c r="AN417" s="52" t="str">
        <f>IF(NOT(ISNUMBER(INDEX('M04-S03'!$AN$16:$AN$198,2*(ROWS($R$386:$R417)-1)+1))),INDEX('M04-S03'!$AH$16:$AH$198,2*(ROWS($AN$386:$AN417)-1)+1),"")</f>
        <v/>
      </c>
      <c r="AO417" s="113"/>
      <c r="AU417"/>
    </row>
    <row r="418" spans="1:47">
      <c r="A418" s="57">
        <f t="shared" si="37"/>
        <v>0</v>
      </c>
      <c r="B418" s="183" t="str">
        <f t="shared" si="41"/>
        <v/>
      </c>
      <c r="C418" s="186" t="str">
        <f>IF(OR(R418&gt;0,T418&gt;0),INDEX('M04-S03'!$BD$16:$BD$198,2*(ROWS($C$386:C418)-1)+1),"")</f>
        <v/>
      </c>
      <c r="D418" t="s">
        <v>231</v>
      </c>
      <c r="E418" s="112"/>
      <c r="F418" s="112"/>
      <c r="G418" s="96"/>
      <c r="H418" s="96"/>
      <c r="I418" s="184">
        <f>IFERROR(ROUND(IF(ISNUMBER(INDEX('M04-S03'!$AN$16:$AN$198,2*(ROWS($R$386:$R418)-1)+1)),INDEX('M04-S03'!$AD$16:$AD$198,2*(ROWS($I$386:$I418)-1)+1),""),2),0)</f>
        <v>0</v>
      </c>
      <c r="J418" s="184">
        <f>IFERROR(ROUND(IF(ISNUMBER(INDEX('M04-S03'!$AN$16:$AN$198,2*(ROWS($R$386:$R418)-1)+1)),INDEX('M04-S03'!$AF$16:$AF$198,2*(ROWS($J$386:$J418)-1)+1),""),2),0)</f>
        <v>0</v>
      </c>
      <c r="K418" s="52">
        <f>IFERROR(ROUND(IF(ISNUMBER(INDEX('M04-S03'!$AN$16:$AN$198,2*(ROWS($R$386:$R418)-1)+1)),INDEX('M04-S03'!$AH$16:$AH$198,2*(ROWS($K$386:$K418)-1)+1),""),2),0)</f>
        <v>0</v>
      </c>
      <c r="M418" s="456" t="str">
        <f>IF(ISNUMBER(INDEX('M04-S03'!$AN$16:$AN$198,2*(ROWS($R$386:R418)-1)+1)),INDEX('M04-S03'!$X$16:$X$198,2*(ROWS($M$386:M418)-1)+1),"")</f>
        <v/>
      </c>
      <c r="N418" s="184" t="str">
        <f>IFERROR(IF(ISNUMBER(INDEX('M04-S03'!$AN$16:$AN$198,2*(ROWS($R$386:R418)-1)+1)),INDEX('M04-S03'!$AK$16:$AK$198,2*(ROWS($N$386:N418)-1)+1),""),"")</f>
        <v/>
      </c>
      <c r="O418" s="456" t="str">
        <f>IFERROR(IF(ISNUMBER(INDEX('M04-S03'!$AN$16:$AN$198,2*(ROWS($R$386:R418)-1)+1)),INDEX('M04-S03'!$AX$16:$AX$198,2*(ROWS($O$386:O418)-1)+1),""),"")</f>
        <v/>
      </c>
      <c r="P418" s="113"/>
      <c r="Q418" s="113"/>
      <c r="R418" s="184">
        <f>IF(ISNUMBER(INDEX('M04-S03'!$AN$16:$AN$198,2*(ROWS($R$386:R418)-1)+1)),INDEX('M04-S03'!$AN$16:$AN$198,2*(ROWS($R$386:R418)-1)+1),0)</f>
        <v>0</v>
      </c>
      <c r="S418" s="23">
        <f>IF(NOT(ISNUMBER(INDEX('M04-S03'!$AN$16:$AN$198,2*(ROWS($R$386:R418)-1)+1))),INDEX('M04-S03'!$X$16:$X$198,2*(ROWS($S$386:S418)-1)+1),"")</f>
        <v>0</v>
      </c>
      <c r="T418" s="52" t="str">
        <f>IFERROR(IF(NOT(ISNUMBER(INDEX('M04-S03'!$AN$16:$AN$198,2*(ROWS($R$386:R418)-1)+1))),INDEX('M04-S03'!$AK$16:$AK$198,2*(ROWS($R$386:R418)-1)+1),0),0)</f>
        <v/>
      </c>
      <c r="U418" s="23" t="str">
        <f>IFERROR(IF(NOT(ISNUMBER(INDEX('M04-S03'!$AN$16:$AN$198,2*(ROWS($R$386:R418)-1)+1))),INDEX('M04-S03'!$AX$16:$AX$198,2*(ROWS($R$386:R418)-1)+1),""),"")</f>
        <v/>
      </c>
      <c r="V418" s="113"/>
      <c r="W418" t="str">
        <f>IFERROR(IF(NOT(ISNUMBER(INDEX('M04-S03'!$AN$16:$AN$198,2*(ROWS($R$386:R418)-1)+1))),INDEX('M04-S03'!$BE$16:$BE$198,2*(ROWS($R$386:R418)-1)+1),""),"")</f>
        <v>Submit for Review</v>
      </c>
      <c r="X418" s="113"/>
      <c r="Y418" s="113"/>
      <c r="Z418" s="111">
        <f>INDEX('M04-S03'!$B$16:$B$198,2*(ROWS($Z$386:Z418)-1)+1)</f>
        <v>33</v>
      </c>
      <c r="AA418" s="112"/>
      <c r="AB418" s="111">
        <f>INDEX('M04-S03'!$F$16:$F$198,2*(ROWS($Z$386:AB418)-1)+1)</f>
        <v>0</v>
      </c>
      <c r="AC418">
        <f>INDEX('M04-S03'!$L$16:$L$198,2*(ROWS($AC$386:AC418)-1)+1)</f>
        <v>0</v>
      </c>
      <c r="AD418">
        <f>INDEX('M04-S03'!$T$16:$T$198,2*(ROWS($AD$386:AD418)-1)+1)</f>
        <v>0</v>
      </c>
      <c r="AE418" s="459"/>
      <c r="AF418" s="459"/>
      <c r="AG418" s="111">
        <f>INDEX('M04-S03'!$R$16:$R$198,2*(ROWS($AG$309:AG341)-1)+1)</f>
        <v>0</v>
      </c>
      <c r="AH418" s="111">
        <f>INDEX('M04-S03'!$Z$16:$Z$198,2*(ROWS($AH$386:AH418)-1)+1)</f>
        <v>0</v>
      </c>
      <c r="AI418" s="96"/>
      <c r="AJ418" s="96"/>
      <c r="AK418" s="52" t="str">
        <f>INDEX('M04-S03'!$AV$16:$AV$198,2*(ROWS($AK$386:AK418)-1)+1)</f>
        <v/>
      </c>
      <c r="AL418" s="184">
        <f>IF(NOT(ISNUMBER(INDEX('M04-S03'!$AN$16:$AN$198,2*(ROWS($R$386:$R418)-1)+1))),INDEX('M04-S03'!$AD$16:$AD$198,2*(ROWS($AL$386:$AL418)-1)+1),"")</f>
        <v>0</v>
      </c>
      <c r="AM418" s="184" t="str">
        <f>IF(NOT(ISNUMBER(INDEX('M04-S03'!$AN$16:$AN$198,2*(ROWS($R$386:$R418)-1)+1))),INDEX('M04-S03'!$AF$16:$AF$198,2*(ROWS($AM$386:$AM418)-1)+1),"")</f>
        <v/>
      </c>
      <c r="AN418" s="52" t="str">
        <f>IF(NOT(ISNUMBER(INDEX('M04-S03'!$AN$16:$AN$198,2*(ROWS($R$386:$R418)-1)+1))),INDEX('M04-S03'!$AH$16:$AH$198,2*(ROWS($AN$386:$AN418)-1)+1),"")</f>
        <v/>
      </c>
      <c r="AO418" s="113"/>
      <c r="AU418"/>
    </row>
    <row r="419" spans="1:47">
      <c r="A419" s="57">
        <f t="shared" si="37"/>
        <v>0</v>
      </c>
      <c r="B419" s="183" t="str">
        <f t="shared" si="41"/>
        <v/>
      </c>
      <c r="C419" s="186" t="str">
        <f>IF(OR(R419&gt;0,T419&gt;0),INDEX('M04-S03'!$BD$16:$BD$198,2*(ROWS($C$386:C419)-1)+1),"")</f>
        <v/>
      </c>
      <c r="D419" t="s">
        <v>231</v>
      </c>
      <c r="E419" s="112"/>
      <c r="F419" s="112"/>
      <c r="G419" s="96"/>
      <c r="H419" s="96"/>
      <c r="I419" s="184">
        <f>IFERROR(ROUND(IF(ISNUMBER(INDEX('M04-S03'!$AN$16:$AN$198,2*(ROWS($R$386:$R419)-1)+1)),INDEX('M04-S03'!$AD$16:$AD$198,2*(ROWS($I$386:$I419)-1)+1),""),2),0)</f>
        <v>0</v>
      </c>
      <c r="J419" s="184">
        <f>IFERROR(ROUND(IF(ISNUMBER(INDEX('M04-S03'!$AN$16:$AN$198,2*(ROWS($R$386:$R419)-1)+1)),INDEX('M04-S03'!$AF$16:$AF$198,2*(ROWS($J$386:$J419)-1)+1),""),2),0)</f>
        <v>0</v>
      </c>
      <c r="K419" s="52">
        <f>IFERROR(ROUND(IF(ISNUMBER(INDEX('M04-S03'!$AN$16:$AN$198,2*(ROWS($R$386:$R419)-1)+1)),INDEX('M04-S03'!$AH$16:$AH$198,2*(ROWS($K$386:$K419)-1)+1),""),2),0)</f>
        <v>0</v>
      </c>
      <c r="M419" s="456" t="str">
        <f>IF(ISNUMBER(INDEX('M04-S03'!$AN$16:$AN$198,2*(ROWS($R$386:R419)-1)+1)),INDEX('M04-S03'!$X$16:$X$198,2*(ROWS($M$386:M419)-1)+1),"")</f>
        <v/>
      </c>
      <c r="N419" s="184" t="str">
        <f>IFERROR(IF(ISNUMBER(INDEX('M04-S03'!$AN$16:$AN$198,2*(ROWS($R$386:R419)-1)+1)),INDEX('M04-S03'!$AK$16:$AK$198,2*(ROWS($N$386:N419)-1)+1),""),"")</f>
        <v/>
      </c>
      <c r="O419" s="456" t="str">
        <f>IFERROR(IF(ISNUMBER(INDEX('M04-S03'!$AN$16:$AN$198,2*(ROWS($R$386:R419)-1)+1)),INDEX('M04-S03'!$AX$16:$AX$198,2*(ROWS($O$386:O419)-1)+1),""),"")</f>
        <v/>
      </c>
      <c r="P419" s="113"/>
      <c r="Q419" s="113"/>
      <c r="R419" s="184">
        <f>IF(ISNUMBER(INDEX('M04-S03'!$AN$16:$AN$198,2*(ROWS($R$386:R419)-1)+1)),INDEX('M04-S03'!$AN$16:$AN$198,2*(ROWS($R$386:R419)-1)+1),0)</f>
        <v>0</v>
      </c>
      <c r="S419" s="23">
        <f>IF(NOT(ISNUMBER(INDEX('M04-S03'!$AN$16:$AN$198,2*(ROWS($R$386:R419)-1)+1))),INDEX('M04-S03'!$X$16:$X$198,2*(ROWS($S$386:S419)-1)+1),"")</f>
        <v>0</v>
      </c>
      <c r="T419" s="52" t="str">
        <f>IFERROR(IF(NOT(ISNUMBER(INDEX('M04-S03'!$AN$16:$AN$198,2*(ROWS($R$386:R419)-1)+1))),INDEX('M04-S03'!$AK$16:$AK$198,2*(ROWS($R$386:R419)-1)+1),0),0)</f>
        <v/>
      </c>
      <c r="U419" s="23" t="str">
        <f>IFERROR(IF(NOT(ISNUMBER(INDEX('M04-S03'!$AN$16:$AN$198,2*(ROWS($R$386:R419)-1)+1))),INDEX('M04-S03'!$AX$16:$AX$198,2*(ROWS($R$386:R419)-1)+1),""),"")</f>
        <v/>
      </c>
      <c r="V419" s="113"/>
      <c r="W419" t="str">
        <f>IFERROR(IF(NOT(ISNUMBER(INDEX('M04-S03'!$AN$16:$AN$198,2*(ROWS($R$386:R419)-1)+1))),INDEX('M04-S03'!$BE$16:$BE$198,2*(ROWS($R$386:R419)-1)+1),""),"")</f>
        <v>Submit for Review</v>
      </c>
      <c r="X419" s="113"/>
      <c r="Y419" s="113"/>
      <c r="Z419" s="111">
        <f>INDEX('M04-S03'!$B$16:$B$198,2*(ROWS($Z$386:Z419)-1)+1)</f>
        <v>34</v>
      </c>
      <c r="AA419" s="112"/>
      <c r="AB419" s="111">
        <f>INDEX('M04-S03'!$F$16:$F$198,2*(ROWS($Z$386:AB419)-1)+1)</f>
        <v>0</v>
      </c>
      <c r="AC419">
        <f>INDEX('M04-S03'!$L$16:$L$198,2*(ROWS($AC$386:AC419)-1)+1)</f>
        <v>0</v>
      </c>
      <c r="AD419">
        <f>INDEX('M04-S03'!$T$16:$T$198,2*(ROWS($AD$386:AD419)-1)+1)</f>
        <v>0</v>
      </c>
      <c r="AE419" s="459"/>
      <c r="AF419" s="459"/>
      <c r="AG419" s="111">
        <f>INDEX('M04-S03'!$R$16:$R$198,2*(ROWS($AG$309:AG342)-1)+1)</f>
        <v>0</v>
      </c>
      <c r="AH419" s="111">
        <f>INDEX('M04-S03'!$Z$16:$Z$198,2*(ROWS($AH$386:AH419)-1)+1)</f>
        <v>0</v>
      </c>
      <c r="AI419" s="96"/>
      <c r="AJ419" s="96"/>
      <c r="AK419" s="52" t="str">
        <f>INDEX('M04-S03'!$AV$16:$AV$198,2*(ROWS($AK$386:AK419)-1)+1)</f>
        <v/>
      </c>
      <c r="AL419" s="184">
        <f>IF(NOT(ISNUMBER(INDEX('M04-S03'!$AN$16:$AN$198,2*(ROWS($R$386:$R419)-1)+1))),INDEX('M04-S03'!$AD$16:$AD$198,2*(ROWS($AL$386:$AL419)-1)+1),"")</f>
        <v>0</v>
      </c>
      <c r="AM419" s="184" t="str">
        <f>IF(NOT(ISNUMBER(INDEX('M04-S03'!$AN$16:$AN$198,2*(ROWS($R$386:$R419)-1)+1))),INDEX('M04-S03'!$AF$16:$AF$198,2*(ROWS($AM$386:$AM419)-1)+1),"")</f>
        <v/>
      </c>
      <c r="AN419" s="52" t="str">
        <f>IF(NOT(ISNUMBER(INDEX('M04-S03'!$AN$16:$AN$198,2*(ROWS($R$386:$R419)-1)+1))),INDEX('M04-S03'!$AH$16:$AH$198,2*(ROWS($AN$386:$AN419)-1)+1),"")</f>
        <v/>
      </c>
      <c r="AO419" s="113"/>
      <c r="AU419"/>
    </row>
    <row r="420" spans="1:47">
      <c r="A420" s="57">
        <f t="shared" si="37"/>
        <v>0</v>
      </c>
      <c r="B420" s="183" t="str">
        <f t="shared" si="41"/>
        <v/>
      </c>
      <c r="C420" s="186" t="str">
        <f>IF(OR(R420&gt;0,T420&gt;0),INDEX('M04-S03'!$BD$16:$BD$198,2*(ROWS($C$386:C420)-1)+1),"")</f>
        <v/>
      </c>
      <c r="D420" t="s">
        <v>231</v>
      </c>
      <c r="E420" s="112"/>
      <c r="F420" s="112"/>
      <c r="G420" s="96"/>
      <c r="H420" s="96"/>
      <c r="I420" s="184">
        <f>IFERROR(ROUND(IF(ISNUMBER(INDEX('M04-S03'!$AN$16:$AN$198,2*(ROWS($R$386:$R420)-1)+1)),INDEX('M04-S03'!$AD$16:$AD$198,2*(ROWS($I$386:$I420)-1)+1),""),2),0)</f>
        <v>0</v>
      </c>
      <c r="J420" s="184">
        <f>IFERROR(ROUND(IF(ISNUMBER(INDEX('M04-S03'!$AN$16:$AN$198,2*(ROWS($R$386:$R420)-1)+1)),INDEX('M04-S03'!$AF$16:$AF$198,2*(ROWS($J$386:$J420)-1)+1),""),2),0)</f>
        <v>0</v>
      </c>
      <c r="K420" s="52">
        <f>IFERROR(ROUND(IF(ISNUMBER(INDEX('M04-S03'!$AN$16:$AN$198,2*(ROWS($R$386:$R420)-1)+1)),INDEX('M04-S03'!$AH$16:$AH$198,2*(ROWS($K$386:$K420)-1)+1),""),2),0)</f>
        <v>0</v>
      </c>
      <c r="M420" s="456" t="str">
        <f>IF(ISNUMBER(INDEX('M04-S03'!$AN$16:$AN$198,2*(ROWS($R$386:R420)-1)+1)),INDEX('M04-S03'!$X$16:$X$198,2*(ROWS($M$386:M420)-1)+1),"")</f>
        <v/>
      </c>
      <c r="N420" s="184" t="str">
        <f>IFERROR(IF(ISNUMBER(INDEX('M04-S03'!$AN$16:$AN$198,2*(ROWS($R$386:R420)-1)+1)),INDEX('M04-S03'!$AK$16:$AK$198,2*(ROWS($N$386:N420)-1)+1),""),"")</f>
        <v/>
      </c>
      <c r="O420" s="456" t="str">
        <f>IFERROR(IF(ISNUMBER(INDEX('M04-S03'!$AN$16:$AN$198,2*(ROWS($R$386:R420)-1)+1)),INDEX('M04-S03'!$AX$16:$AX$198,2*(ROWS($O$386:O420)-1)+1),""),"")</f>
        <v/>
      </c>
      <c r="P420" s="113"/>
      <c r="Q420" s="113"/>
      <c r="R420" s="184">
        <f>IF(ISNUMBER(INDEX('M04-S03'!$AN$16:$AN$198,2*(ROWS($R$386:R420)-1)+1)),INDEX('M04-S03'!$AN$16:$AN$198,2*(ROWS($R$386:R420)-1)+1),0)</f>
        <v>0</v>
      </c>
      <c r="S420" s="23">
        <f>IF(NOT(ISNUMBER(INDEX('M04-S03'!$AN$16:$AN$198,2*(ROWS($R$386:R420)-1)+1))),INDEX('M04-S03'!$X$16:$X$198,2*(ROWS($S$386:S420)-1)+1),"")</f>
        <v>0</v>
      </c>
      <c r="T420" s="52" t="str">
        <f>IFERROR(IF(NOT(ISNUMBER(INDEX('M04-S03'!$AN$16:$AN$198,2*(ROWS($R$386:R420)-1)+1))),INDEX('M04-S03'!$AK$16:$AK$198,2*(ROWS($R$386:R420)-1)+1),0),0)</f>
        <v/>
      </c>
      <c r="U420" s="23" t="str">
        <f>IFERROR(IF(NOT(ISNUMBER(INDEX('M04-S03'!$AN$16:$AN$198,2*(ROWS($R$386:R420)-1)+1))),INDEX('M04-S03'!$AX$16:$AX$198,2*(ROWS($R$386:R420)-1)+1),""),"")</f>
        <v/>
      </c>
      <c r="V420" s="113"/>
      <c r="W420" t="str">
        <f>IFERROR(IF(NOT(ISNUMBER(INDEX('M04-S03'!$AN$16:$AN$198,2*(ROWS($R$386:R420)-1)+1))),INDEX('M04-S03'!$BE$16:$BE$198,2*(ROWS($R$386:R420)-1)+1),""),"")</f>
        <v>Submit for Review</v>
      </c>
      <c r="X420" s="113"/>
      <c r="Y420" s="113"/>
      <c r="Z420" s="111">
        <f>INDEX('M04-S03'!$B$16:$B$198,2*(ROWS($Z$386:Z420)-1)+1)</f>
        <v>35</v>
      </c>
      <c r="AA420" s="112"/>
      <c r="AB420" s="111">
        <f>INDEX('M04-S03'!$F$16:$F$198,2*(ROWS($Z$386:AB420)-1)+1)</f>
        <v>0</v>
      </c>
      <c r="AC420">
        <f>INDEX('M04-S03'!$L$16:$L$198,2*(ROWS($AC$386:AC420)-1)+1)</f>
        <v>0</v>
      </c>
      <c r="AD420">
        <f>INDEX('M04-S03'!$T$16:$T$198,2*(ROWS($AD$386:AD420)-1)+1)</f>
        <v>0</v>
      </c>
      <c r="AE420" s="459"/>
      <c r="AF420" s="459"/>
      <c r="AG420" s="111">
        <f>INDEX('M04-S03'!$R$16:$R$198,2*(ROWS($AG$309:AG343)-1)+1)</f>
        <v>0</v>
      </c>
      <c r="AH420" s="111">
        <f>INDEX('M04-S03'!$Z$16:$Z$198,2*(ROWS($AH$386:AH420)-1)+1)</f>
        <v>0</v>
      </c>
      <c r="AI420" s="96"/>
      <c r="AJ420" s="96"/>
      <c r="AK420" s="52" t="str">
        <f>INDEX('M04-S03'!$AV$16:$AV$198,2*(ROWS($AK$386:AK420)-1)+1)</f>
        <v/>
      </c>
      <c r="AL420" s="184">
        <f>IF(NOT(ISNUMBER(INDEX('M04-S03'!$AN$16:$AN$198,2*(ROWS($R$386:$R420)-1)+1))),INDEX('M04-S03'!$AD$16:$AD$198,2*(ROWS($AL$386:$AL420)-1)+1),"")</f>
        <v>0</v>
      </c>
      <c r="AM420" s="184" t="str">
        <f>IF(NOT(ISNUMBER(INDEX('M04-S03'!$AN$16:$AN$198,2*(ROWS($R$386:$R420)-1)+1))),INDEX('M04-S03'!$AF$16:$AF$198,2*(ROWS($AM$386:$AM420)-1)+1),"")</f>
        <v/>
      </c>
      <c r="AN420" s="52" t="str">
        <f>IF(NOT(ISNUMBER(INDEX('M04-S03'!$AN$16:$AN$198,2*(ROWS($R$386:$R420)-1)+1))),INDEX('M04-S03'!$AH$16:$AH$198,2*(ROWS($AN$386:$AN420)-1)+1),"")</f>
        <v/>
      </c>
      <c r="AO420" s="113"/>
      <c r="AU420"/>
    </row>
    <row r="421" spans="1:47">
      <c r="A421" s="57">
        <f t="shared" si="37"/>
        <v>0</v>
      </c>
      <c r="B421" s="183" t="str">
        <f t="shared" si="41"/>
        <v/>
      </c>
      <c r="C421" s="186" t="str">
        <f>IF(OR(R421&gt;0,T421&gt;0),INDEX('M04-S03'!$BD$16:$BD$198,2*(ROWS($C$386:C421)-1)+1),"")</f>
        <v/>
      </c>
      <c r="D421" t="s">
        <v>231</v>
      </c>
      <c r="E421" s="112"/>
      <c r="F421" s="112"/>
      <c r="G421" s="96"/>
      <c r="H421" s="96"/>
      <c r="I421" s="184">
        <f>IFERROR(ROUND(IF(ISNUMBER(INDEX('M04-S03'!$AN$16:$AN$198,2*(ROWS($R$386:$R421)-1)+1)),INDEX('M04-S03'!$AD$16:$AD$198,2*(ROWS($I$386:$I421)-1)+1),""),2),0)</f>
        <v>0</v>
      </c>
      <c r="J421" s="184">
        <f>IFERROR(ROUND(IF(ISNUMBER(INDEX('M04-S03'!$AN$16:$AN$198,2*(ROWS($R$386:$R421)-1)+1)),INDEX('M04-S03'!$AF$16:$AF$198,2*(ROWS($J$386:$J421)-1)+1),""),2),0)</f>
        <v>0</v>
      </c>
      <c r="K421" s="52">
        <f>IFERROR(ROUND(IF(ISNUMBER(INDEX('M04-S03'!$AN$16:$AN$198,2*(ROWS($R$386:$R421)-1)+1)),INDEX('M04-S03'!$AH$16:$AH$198,2*(ROWS($K$386:$K421)-1)+1),""),2),0)</f>
        <v>0</v>
      </c>
      <c r="M421" s="456" t="str">
        <f>IF(ISNUMBER(INDEX('M04-S03'!$AN$16:$AN$198,2*(ROWS($R$386:R421)-1)+1)),INDEX('M04-S03'!$X$16:$X$198,2*(ROWS($M$386:M421)-1)+1),"")</f>
        <v/>
      </c>
      <c r="N421" s="184" t="str">
        <f>IFERROR(IF(ISNUMBER(INDEX('M04-S03'!$AN$16:$AN$198,2*(ROWS($R$386:R421)-1)+1)),INDEX('M04-S03'!$AK$16:$AK$198,2*(ROWS($N$386:N421)-1)+1),""),"")</f>
        <v/>
      </c>
      <c r="O421" s="456" t="str">
        <f>IFERROR(IF(ISNUMBER(INDEX('M04-S03'!$AN$16:$AN$198,2*(ROWS($R$386:R421)-1)+1)),INDEX('M04-S03'!$AX$16:$AX$198,2*(ROWS($O$386:O421)-1)+1),""),"")</f>
        <v/>
      </c>
      <c r="P421" s="113"/>
      <c r="Q421" s="113"/>
      <c r="R421" s="184">
        <f>IF(ISNUMBER(INDEX('M04-S03'!$AN$16:$AN$198,2*(ROWS($R$386:R421)-1)+1)),INDEX('M04-S03'!$AN$16:$AN$198,2*(ROWS($R$386:R421)-1)+1),0)</f>
        <v>0</v>
      </c>
      <c r="S421" s="23">
        <f>IF(NOT(ISNUMBER(INDEX('M04-S03'!$AN$16:$AN$198,2*(ROWS($R$386:R421)-1)+1))),INDEX('M04-S03'!$X$16:$X$198,2*(ROWS($S$386:S421)-1)+1),"")</f>
        <v>0</v>
      </c>
      <c r="T421" s="52" t="str">
        <f>IFERROR(IF(NOT(ISNUMBER(INDEX('M04-S03'!$AN$16:$AN$198,2*(ROWS($R$386:R421)-1)+1))),INDEX('M04-S03'!$AK$16:$AK$198,2*(ROWS($R$386:R421)-1)+1),0),0)</f>
        <v/>
      </c>
      <c r="U421" s="23" t="str">
        <f>IFERROR(IF(NOT(ISNUMBER(INDEX('M04-S03'!$AN$16:$AN$198,2*(ROWS($R$386:R421)-1)+1))),INDEX('M04-S03'!$AX$16:$AX$198,2*(ROWS($R$386:R421)-1)+1),""),"")</f>
        <v/>
      </c>
      <c r="V421" s="113"/>
      <c r="W421" t="str">
        <f>IFERROR(IF(NOT(ISNUMBER(INDEX('M04-S03'!$AN$16:$AN$198,2*(ROWS($R$386:R421)-1)+1))),INDEX('M04-S03'!$BE$16:$BE$198,2*(ROWS($R$386:R421)-1)+1),""),"")</f>
        <v>Submit for Review</v>
      </c>
      <c r="X421" s="113"/>
      <c r="Y421" s="113"/>
      <c r="Z421" s="111">
        <f>INDEX('M04-S03'!$B$16:$B$198,2*(ROWS($Z$386:Z421)-1)+1)</f>
        <v>36</v>
      </c>
      <c r="AA421" s="112"/>
      <c r="AB421" s="111">
        <f>INDEX('M04-S03'!$F$16:$F$198,2*(ROWS($Z$386:AB421)-1)+1)</f>
        <v>0</v>
      </c>
      <c r="AC421">
        <f>INDEX('M04-S03'!$L$16:$L$198,2*(ROWS($AC$386:AC421)-1)+1)</f>
        <v>0</v>
      </c>
      <c r="AD421">
        <f>INDEX('M04-S03'!$T$16:$T$198,2*(ROWS($AD$386:AD421)-1)+1)</f>
        <v>0</v>
      </c>
      <c r="AE421" s="459"/>
      <c r="AF421" s="459"/>
      <c r="AG421" s="111">
        <f>INDEX('M04-S03'!$R$16:$R$198,2*(ROWS($AG$309:AG344)-1)+1)</f>
        <v>0</v>
      </c>
      <c r="AH421" s="111">
        <f>INDEX('M04-S03'!$Z$16:$Z$198,2*(ROWS($AH$386:AH421)-1)+1)</f>
        <v>0</v>
      </c>
      <c r="AI421" s="96"/>
      <c r="AJ421" s="96"/>
      <c r="AK421" s="52" t="str">
        <f>INDEX('M04-S03'!$AV$16:$AV$198,2*(ROWS($AK$386:AK421)-1)+1)</f>
        <v/>
      </c>
      <c r="AL421" s="184">
        <f>IF(NOT(ISNUMBER(INDEX('M04-S03'!$AN$16:$AN$198,2*(ROWS($R$386:$R421)-1)+1))),INDEX('M04-S03'!$AD$16:$AD$198,2*(ROWS($AL$386:$AL421)-1)+1),"")</f>
        <v>0</v>
      </c>
      <c r="AM421" s="184" t="str">
        <f>IF(NOT(ISNUMBER(INDEX('M04-S03'!$AN$16:$AN$198,2*(ROWS($R$386:$R421)-1)+1))),INDEX('M04-S03'!$AF$16:$AF$198,2*(ROWS($AM$386:$AM421)-1)+1),"")</f>
        <v/>
      </c>
      <c r="AN421" s="52" t="str">
        <f>IF(NOT(ISNUMBER(INDEX('M04-S03'!$AN$16:$AN$198,2*(ROWS($R$386:$R421)-1)+1))),INDEX('M04-S03'!$AH$16:$AH$198,2*(ROWS($AN$386:$AN421)-1)+1),"")</f>
        <v/>
      </c>
      <c r="AO421" s="113"/>
      <c r="AU421"/>
    </row>
    <row r="422" spans="1:47">
      <c r="A422" s="57">
        <f t="shared" si="37"/>
        <v>0</v>
      </c>
      <c r="B422" s="183" t="str">
        <f t="shared" si="41"/>
        <v/>
      </c>
      <c r="C422" s="186" t="str">
        <f>IF(OR(R422&gt;0,T422&gt;0),INDEX('M04-S03'!$BD$16:$BD$198,2*(ROWS($C$386:C422)-1)+1),"")</f>
        <v/>
      </c>
      <c r="D422" t="s">
        <v>231</v>
      </c>
      <c r="E422" s="112"/>
      <c r="F422" s="112"/>
      <c r="G422" s="96"/>
      <c r="H422" s="96"/>
      <c r="I422" s="184">
        <f>IFERROR(ROUND(IF(ISNUMBER(INDEX('M04-S03'!$AN$16:$AN$198,2*(ROWS($R$386:$R422)-1)+1)),INDEX('M04-S03'!$AD$16:$AD$198,2*(ROWS($I$386:$I422)-1)+1),""),2),0)</f>
        <v>0</v>
      </c>
      <c r="J422" s="184">
        <f>IFERROR(ROUND(IF(ISNUMBER(INDEX('M04-S03'!$AN$16:$AN$198,2*(ROWS($R$386:$R422)-1)+1)),INDEX('M04-S03'!$AF$16:$AF$198,2*(ROWS($J$386:$J422)-1)+1),""),2),0)</f>
        <v>0</v>
      </c>
      <c r="K422" s="52">
        <f>IFERROR(ROUND(IF(ISNUMBER(INDEX('M04-S03'!$AN$16:$AN$198,2*(ROWS($R$386:$R422)-1)+1)),INDEX('M04-S03'!$AH$16:$AH$198,2*(ROWS($K$386:$K422)-1)+1),""),2),0)</f>
        <v>0</v>
      </c>
      <c r="M422" s="456" t="str">
        <f>IF(ISNUMBER(INDEX('M04-S03'!$AN$16:$AN$198,2*(ROWS($R$386:R422)-1)+1)),INDEX('M04-S03'!$X$16:$X$198,2*(ROWS($M$386:M422)-1)+1),"")</f>
        <v/>
      </c>
      <c r="N422" s="184" t="str">
        <f>IFERROR(IF(ISNUMBER(INDEX('M04-S03'!$AN$16:$AN$198,2*(ROWS($R$386:R422)-1)+1)),INDEX('M04-S03'!$AK$16:$AK$198,2*(ROWS($N$386:N422)-1)+1),""),"")</f>
        <v/>
      </c>
      <c r="O422" s="456" t="str">
        <f>IFERROR(IF(ISNUMBER(INDEX('M04-S03'!$AN$16:$AN$198,2*(ROWS($R$386:R422)-1)+1)),INDEX('M04-S03'!$AX$16:$AX$198,2*(ROWS($O$386:O422)-1)+1),""),"")</f>
        <v/>
      </c>
      <c r="P422" s="113"/>
      <c r="Q422" s="113"/>
      <c r="R422" s="184">
        <f>IF(ISNUMBER(INDEX('M04-S03'!$AN$16:$AN$198,2*(ROWS($R$386:R422)-1)+1)),INDEX('M04-S03'!$AN$16:$AN$198,2*(ROWS($R$386:R422)-1)+1),0)</f>
        <v>0</v>
      </c>
      <c r="S422" s="23">
        <f>IF(NOT(ISNUMBER(INDEX('M04-S03'!$AN$16:$AN$198,2*(ROWS($R$386:R422)-1)+1))),INDEX('M04-S03'!$X$16:$X$198,2*(ROWS($S$386:S422)-1)+1),"")</f>
        <v>0</v>
      </c>
      <c r="T422" s="52" t="str">
        <f>IFERROR(IF(NOT(ISNUMBER(INDEX('M04-S03'!$AN$16:$AN$198,2*(ROWS($R$386:R422)-1)+1))),INDEX('M04-S03'!$AK$16:$AK$198,2*(ROWS($R$386:R422)-1)+1),0),0)</f>
        <v/>
      </c>
      <c r="U422" s="23" t="str">
        <f>IFERROR(IF(NOT(ISNUMBER(INDEX('M04-S03'!$AN$16:$AN$198,2*(ROWS($R$386:R422)-1)+1))),INDEX('M04-S03'!$AX$16:$AX$198,2*(ROWS($R$386:R422)-1)+1),""),"")</f>
        <v/>
      </c>
      <c r="V422" s="113"/>
      <c r="W422" t="str">
        <f>IFERROR(IF(NOT(ISNUMBER(INDEX('M04-S03'!$AN$16:$AN$198,2*(ROWS($R$386:R422)-1)+1))),INDEX('M04-S03'!$BE$16:$BE$198,2*(ROWS($R$386:R422)-1)+1),""),"")</f>
        <v>Submit for Review</v>
      </c>
      <c r="X422" s="113"/>
      <c r="Y422" s="113"/>
      <c r="Z422" s="111">
        <f>INDEX('M04-S03'!$B$16:$B$198,2*(ROWS($Z$386:Z422)-1)+1)</f>
        <v>37</v>
      </c>
      <c r="AA422" s="112"/>
      <c r="AB422" s="111">
        <f>INDEX('M04-S03'!$F$16:$F$198,2*(ROWS($Z$386:AB422)-1)+1)</f>
        <v>0</v>
      </c>
      <c r="AC422">
        <f>INDEX('M04-S03'!$L$16:$L$198,2*(ROWS($AC$386:AC422)-1)+1)</f>
        <v>0</v>
      </c>
      <c r="AD422">
        <f>INDEX('M04-S03'!$T$16:$T$198,2*(ROWS($AD$386:AD422)-1)+1)</f>
        <v>0</v>
      </c>
      <c r="AE422" s="459"/>
      <c r="AF422" s="459"/>
      <c r="AG422" s="111">
        <f>INDEX('M04-S03'!$R$16:$R$198,2*(ROWS($AG$309:AG345)-1)+1)</f>
        <v>0</v>
      </c>
      <c r="AH422" s="111">
        <f>INDEX('M04-S03'!$Z$16:$Z$198,2*(ROWS($AH$386:AH422)-1)+1)</f>
        <v>0</v>
      </c>
      <c r="AI422" s="96"/>
      <c r="AJ422" s="96"/>
      <c r="AK422" s="52" t="str">
        <f>INDEX('M04-S03'!$AV$16:$AV$198,2*(ROWS($AK$386:AK422)-1)+1)</f>
        <v/>
      </c>
      <c r="AL422" s="184">
        <f>IF(NOT(ISNUMBER(INDEX('M04-S03'!$AN$16:$AN$198,2*(ROWS($R$386:$R422)-1)+1))),INDEX('M04-S03'!$AD$16:$AD$198,2*(ROWS($AL$386:$AL422)-1)+1),"")</f>
        <v>0</v>
      </c>
      <c r="AM422" s="184" t="str">
        <f>IF(NOT(ISNUMBER(INDEX('M04-S03'!$AN$16:$AN$198,2*(ROWS($R$386:$R422)-1)+1))),INDEX('M04-S03'!$AF$16:$AF$198,2*(ROWS($AM$386:$AM422)-1)+1),"")</f>
        <v/>
      </c>
      <c r="AN422" s="52" t="str">
        <f>IF(NOT(ISNUMBER(INDEX('M04-S03'!$AN$16:$AN$198,2*(ROWS($R$386:$R422)-1)+1))),INDEX('M04-S03'!$AH$16:$AH$198,2*(ROWS($AN$386:$AN422)-1)+1),"")</f>
        <v/>
      </c>
      <c r="AO422" s="113"/>
      <c r="AU422"/>
    </row>
    <row r="423" spans="1:47">
      <c r="A423" s="57">
        <f t="shared" si="37"/>
        <v>0</v>
      </c>
      <c r="B423" s="183" t="str">
        <f t="shared" si="41"/>
        <v/>
      </c>
      <c r="C423" s="186" t="str">
        <f>IF(OR(R423&gt;0,T423&gt;0),INDEX('M04-S03'!$BD$16:$BD$198,2*(ROWS($C$386:C423)-1)+1),"")</f>
        <v/>
      </c>
      <c r="D423" t="s">
        <v>231</v>
      </c>
      <c r="E423" s="112"/>
      <c r="F423" s="112"/>
      <c r="G423" s="96"/>
      <c r="H423" s="96"/>
      <c r="I423" s="184">
        <f>IFERROR(ROUND(IF(ISNUMBER(INDEX('M04-S03'!$AN$16:$AN$198,2*(ROWS($R$386:$R423)-1)+1)),INDEX('M04-S03'!$AD$16:$AD$198,2*(ROWS($I$386:$I423)-1)+1),""),2),0)</f>
        <v>0</v>
      </c>
      <c r="J423" s="184">
        <f>IFERROR(ROUND(IF(ISNUMBER(INDEX('M04-S03'!$AN$16:$AN$198,2*(ROWS($R$386:$R423)-1)+1)),INDEX('M04-S03'!$AF$16:$AF$198,2*(ROWS($J$386:$J423)-1)+1),""),2),0)</f>
        <v>0</v>
      </c>
      <c r="K423" s="52">
        <f>IFERROR(ROUND(IF(ISNUMBER(INDEX('M04-S03'!$AN$16:$AN$198,2*(ROWS($R$386:$R423)-1)+1)),INDEX('M04-S03'!$AH$16:$AH$198,2*(ROWS($K$386:$K423)-1)+1),""),2),0)</f>
        <v>0</v>
      </c>
      <c r="M423" s="456" t="str">
        <f>IF(ISNUMBER(INDEX('M04-S03'!$AN$16:$AN$198,2*(ROWS($R$386:R423)-1)+1)),INDEX('M04-S03'!$X$16:$X$198,2*(ROWS($M$386:M423)-1)+1),"")</f>
        <v/>
      </c>
      <c r="N423" s="184" t="str">
        <f>IFERROR(IF(ISNUMBER(INDEX('M04-S03'!$AN$16:$AN$198,2*(ROWS($R$386:R423)-1)+1)),INDEX('M04-S03'!$AK$16:$AK$198,2*(ROWS($N$386:N423)-1)+1),""),"")</f>
        <v/>
      </c>
      <c r="O423" s="456" t="str">
        <f>IFERROR(IF(ISNUMBER(INDEX('M04-S03'!$AN$16:$AN$198,2*(ROWS($R$386:R423)-1)+1)),INDEX('M04-S03'!$AX$16:$AX$198,2*(ROWS($O$386:O423)-1)+1),""),"")</f>
        <v/>
      </c>
      <c r="P423" s="113"/>
      <c r="Q423" s="113"/>
      <c r="R423" s="184">
        <f>IF(ISNUMBER(INDEX('M04-S03'!$AN$16:$AN$198,2*(ROWS($R$386:R423)-1)+1)),INDEX('M04-S03'!$AN$16:$AN$198,2*(ROWS($R$386:R423)-1)+1),0)</f>
        <v>0</v>
      </c>
      <c r="S423" s="23">
        <f>IF(NOT(ISNUMBER(INDEX('M04-S03'!$AN$16:$AN$198,2*(ROWS($R$386:R423)-1)+1))),INDEX('M04-S03'!$X$16:$X$198,2*(ROWS($S$386:S423)-1)+1),"")</f>
        <v>0</v>
      </c>
      <c r="T423" s="52" t="str">
        <f>IFERROR(IF(NOT(ISNUMBER(INDEX('M04-S03'!$AN$16:$AN$198,2*(ROWS($R$386:R423)-1)+1))),INDEX('M04-S03'!$AK$16:$AK$198,2*(ROWS($R$386:R423)-1)+1),0),0)</f>
        <v/>
      </c>
      <c r="U423" s="23" t="str">
        <f>IFERROR(IF(NOT(ISNUMBER(INDEX('M04-S03'!$AN$16:$AN$198,2*(ROWS($R$386:R423)-1)+1))),INDEX('M04-S03'!$AX$16:$AX$198,2*(ROWS($R$386:R423)-1)+1),""),"")</f>
        <v/>
      </c>
      <c r="V423" s="113"/>
      <c r="W423" t="str">
        <f>IFERROR(IF(NOT(ISNUMBER(INDEX('M04-S03'!$AN$16:$AN$198,2*(ROWS($R$386:R423)-1)+1))),INDEX('M04-S03'!$BE$16:$BE$198,2*(ROWS($R$386:R423)-1)+1),""),"")</f>
        <v>Submit for Review</v>
      </c>
      <c r="X423" s="113"/>
      <c r="Y423" s="113"/>
      <c r="Z423" s="111">
        <f>INDEX('M04-S03'!$B$16:$B$198,2*(ROWS($Z$386:Z423)-1)+1)</f>
        <v>38</v>
      </c>
      <c r="AA423" s="112"/>
      <c r="AB423" s="111">
        <f>INDEX('M04-S03'!$F$16:$F$198,2*(ROWS($Z$386:AB423)-1)+1)</f>
        <v>0</v>
      </c>
      <c r="AC423">
        <f>INDEX('M04-S03'!$L$16:$L$198,2*(ROWS($AC$386:AC423)-1)+1)</f>
        <v>0</v>
      </c>
      <c r="AD423">
        <f>INDEX('M04-S03'!$T$16:$T$198,2*(ROWS($AD$386:AD423)-1)+1)</f>
        <v>0</v>
      </c>
      <c r="AE423" s="459"/>
      <c r="AF423" s="459"/>
      <c r="AG423" s="111">
        <f>INDEX('M04-S03'!$R$16:$R$198,2*(ROWS($AG$309:AG346)-1)+1)</f>
        <v>0</v>
      </c>
      <c r="AH423" s="111">
        <f>INDEX('M04-S03'!$Z$16:$Z$198,2*(ROWS($AH$386:AH423)-1)+1)</f>
        <v>0</v>
      </c>
      <c r="AI423" s="96"/>
      <c r="AJ423" s="96"/>
      <c r="AK423" s="52" t="str">
        <f>INDEX('M04-S03'!$AV$16:$AV$198,2*(ROWS($AK$386:AK423)-1)+1)</f>
        <v/>
      </c>
      <c r="AL423" s="184">
        <f>IF(NOT(ISNUMBER(INDEX('M04-S03'!$AN$16:$AN$198,2*(ROWS($R$386:$R423)-1)+1))),INDEX('M04-S03'!$AD$16:$AD$198,2*(ROWS($AL$386:$AL423)-1)+1),"")</f>
        <v>0</v>
      </c>
      <c r="AM423" s="184" t="str">
        <f>IF(NOT(ISNUMBER(INDEX('M04-S03'!$AN$16:$AN$198,2*(ROWS($R$386:$R423)-1)+1))),INDEX('M04-S03'!$AF$16:$AF$198,2*(ROWS($AM$386:$AM423)-1)+1),"")</f>
        <v/>
      </c>
      <c r="AN423" s="52" t="str">
        <f>IF(NOT(ISNUMBER(INDEX('M04-S03'!$AN$16:$AN$198,2*(ROWS($R$386:$R423)-1)+1))),INDEX('M04-S03'!$AH$16:$AH$198,2*(ROWS($AN$386:$AN423)-1)+1),"")</f>
        <v/>
      </c>
      <c r="AO423" s="113"/>
      <c r="AU423"/>
    </row>
    <row r="424" spans="1:47">
      <c r="A424" s="57">
        <f t="shared" si="37"/>
        <v>0</v>
      </c>
      <c r="B424" s="183" t="str">
        <f t="shared" si="41"/>
        <v/>
      </c>
      <c r="C424" s="186" t="str">
        <f>IF(OR(R424&gt;0,T424&gt;0),INDEX('M04-S03'!$BD$16:$BD$198,2*(ROWS($C$386:C424)-1)+1),"")</f>
        <v/>
      </c>
      <c r="D424" t="s">
        <v>231</v>
      </c>
      <c r="E424" s="112"/>
      <c r="F424" s="112"/>
      <c r="G424" s="96"/>
      <c r="H424" s="96"/>
      <c r="I424" s="184">
        <f>IFERROR(ROUND(IF(ISNUMBER(INDEX('M04-S03'!$AN$16:$AN$198,2*(ROWS($R$386:$R424)-1)+1)),INDEX('M04-S03'!$AD$16:$AD$198,2*(ROWS($I$386:$I424)-1)+1),""),2),0)</f>
        <v>0</v>
      </c>
      <c r="J424" s="184">
        <f>IFERROR(ROUND(IF(ISNUMBER(INDEX('M04-S03'!$AN$16:$AN$198,2*(ROWS($R$386:$R424)-1)+1)),INDEX('M04-S03'!$AF$16:$AF$198,2*(ROWS($J$386:$J424)-1)+1),""),2),0)</f>
        <v>0</v>
      </c>
      <c r="K424" s="52">
        <f>IFERROR(ROUND(IF(ISNUMBER(INDEX('M04-S03'!$AN$16:$AN$198,2*(ROWS($R$386:$R424)-1)+1)),INDEX('M04-S03'!$AH$16:$AH$198,2*(ROWS($K$386:$K424)-1)+1),""),2),0)</f>
        <v>0</v>
      </c>
      <c r="M424" s="456" t="str">
        <f>IF(ISNUMBER(INDEX('M04-S03'!$AN$16:$AN$198,2*(ROWS($R$386:R424)-1)+1)),INDEX('M04-S03'!$X$16:$X$198,2*(ROWS($M$386:M424)-1)+1),"")</f>
        <v/>
      </c>
      <c r="N424" s="184" t="str">
        <f>IFERROR(IF(ISNUMBER(INDEX('M04-S03'!$AN$16:$AN$198,2*(ROWS($R$386:R424)-1)+1)),INDEX('M04-S03'!$AK$16:$AK$198,2*(ROWS($N$386:N424)-1)+1),""),"")</f>
        <v/>
      </c>
      <c r="O424" s="456" t="str">
        <f>IFERROR(IF(ISNUMBER(INDEX('M04-S03'!$AN$16:$AN$198,2*(ROWS($R$386:R424)-1)+1)),INDEX('M04-S03'!$AX$16:$AX$198,2*(ROWS($O$386:O424)-1)+1),""),"")</f>
        <v/>
      </c>
      <c r="P424" s="113"/>
      <c r="Q424" s="113"/>
      <c r="R424" s="184">
        <f>IF(ISNUMBER(INDEX('M04-S03'!$AN$16:$AN$198,2*(ROWS($R$386:R424)-1)+1)),INDEX('M04-S03'!$AN$16:$AN$198,2*(ROWS($R$386:R424)-1)+1),0)</f>
        <v>0</v>
      </c>
      <c r="S424" s="23">
        <f>IF(NOT(ISNUMBER(INDEX('M04-S03'!$AN$16:$AN$198,2*(ROWS($R$386:R424)-1)+1))),INDEX('M04-S03'!$X$16:$X$198,2*(ROWS($S$386:S424)-1)+1),"")</f>
        <v>0</v>
      </c>
      <c r="T424" s="52" t="str">
        <f>IFERROR(IF(NOT(ISNUMBER(INDEX('M04-S03'!$AN$16:$AN$198,2*(ROWS($R$386:R424)-1)+1))),INDEX('M04-S03'!$AK$16:$AK$198,2*(ROWS($R$386:R424)-1)+1),0),0)</f>
        <v/>
      </c>
      <c r="U424" s="23" t="str">
        <f>IFERROR(IF(NOT(ISNUMBER(INDEX('M04-S03'!$AN$16:$AN$198,2*(ROWS($R$386:R424)-1)+1))),INDEX('M04-S03'!$AX$16:$AX$198,2*(ROWS($R$386:R424)-1)+1),""),"")</f>
        <v/>
      </c>
      <c r="V424" s="113"/>
      <c r="W424" t="str">
        <f>IFERROR(IF(NOT(ISNUMBER(INDEX('M04-S03'!$AN$16:$AN$198,2*(ROWS($R$386:R424)-1)+1))),INDEX('M04-S03'!$BE$16:$BE$198,2*(ROWS($R$386:R424)-1)+1),""),"")</f>
        <v>Submit for Review</v>
      </c>
      <c r="X424" s="113"/>
      <c r="Y424" s="113"/>
      <c r="Z424" s="111">
        <f>INDEX('M04-S03'!$B$16:$B$198,2*(ROWS($Z$386:Z424)-1)+1)</f>
        <v>39</v>
      </c>
      <c r="AA424" s="112"/>
      <c r="AB424" s="111">
        <f>INDEX('M04-S03'!$F$16:$F$198,2*(ROWS($Z$386:AB424)-1)+1)</f>
        <v>0</v>
      </c>
      <c r="AC424">
        <f>INDEX('M04-S03'!$L$16:$L$198,2*(ROWS($AC$386:AC424)-1)+1)</f>
        <v>0</v>
      </c>
      <c r="AD424">
        <f>INDEX('M04-S03'!$T$16:$T$198,2*(ROWS($AD$386:AD424)-1)+1)</f>
        <v>0</v>
      </c>
      <c r="AE424" s="459"/>
      <c r="AF424" s="459"/>
      <c r="AG424" s="111">
        <f>INDEX('M04-S03'!$R$16:$R$198,2*(ROWS($AG$309:AG347)-1)+1)</f>
        <v>0</v>
      </c>
      <c r="AH424" s="111">
        <f>INDEX('M04-S03'!$Z$16:$Z$198,2*(ROWS($AH$386:AH424)-1)+1)</f>
        <v>0</v>
      </c>
      <c r="AI424" s="96"/>
      <c r="AJ424" s="96"/>
      <c r="AK424" s="52" t="str">
        <f>INDEX('M04-S03'!$AV$16:$AV$198,2*(ROWS($AK$386:AK424)-1)+1)</f>
        <v/>
      </c>
      <c r="AL424" s="184">
        <f>IF(NOT(ISNUMBER(INDEX('M04-S03'!$AN$16:$AN$198,2*(ROWS($R$386:$R424)-1)+1))),INDEX('M04-S03'!$AD$16:$AD$198,2*(ROWS($AL$386:$AL424)-1)+1),"")</f>
        <v>0</v>
      </c>
      <c r="AM424" s="184" t="str">
        <f>IF(NOT(ISNUMBER(INDEX('M04-S03'!$AN$16:$AN$198,2*(ROWS($R$386:$R424)-1)+1))),INDEX('M04-S03'!$AF$16:$AF$198,2*(ROWS($AM$386:$AM424)-1)+1),"")</f>
        <v/>
      </c>
      <c r="AN424" s="52" t="str">
        <f>IF(NOT(ISNUMBER(INDEX('M04-S03'!$AN$16:$AN$198,2*(ROWS($R$386:$R424)-1)+1))),INDEX('M04-S03'!$AH$16:$AH$198,2*(ROWS($AN$386:$AN424)-1)+1),"")</f>
        <v/>
      </c>
      <c r="AO424" s="113"/>
      <c r="AU424"/>
    </row>
    <row r="425" spans="1:47">
      <c r="A425" s="57">
        <f t="shared" si="37"/>
        <v>0</v>
      </c>
      <c r="B425" s="183" t="str">
        <f t="shared" si="41"/>
        <v/>
      </c>
      <c r="C425" s="186" t="str">
        <f>IF(OR(R425&gt;0,T425&gt;0),INDEX('M04-S03'!$BD$16:$BD$198,2*(ROWS($C$386:C425)-1)+1),"")</f>
        <v/>
      </c>
      <c r="D425" t="s">
        <v>231</v>
      </c>
      <c r="E425" s="112"/>
      <c r="F425" s="112"/>
      <c r="G425" s="96"/>
      <c r="H425" s="96"/>
      <c r="I425" s="184">
        <f>IFERROR(ROUND(IF(ISNUMBER(INDEX('M04-S03'!$AN$16:$AN$198,2*(ROWS($R$386:$R425)-1)+1)),INDEX('M04-S03'!$AD$16:$AD$198,2*(ROWS($I$386:$I425)-1)+1),""),2),0)</f>
        <v>0</v>
      </c>
      <c r="J425" s="184">
        <f>IFERROR(ROUND(IF(ISNUMBER(INDEX('M04-S03'!$AN$16:$AN$198,2*(ROWS($R$386:$R425)-1)+1)),INDEX('M04-S03'!$AF$16:$AF$198,2*(ROWS($J$386:$J425)-1)+1),""),2),0)</f>
        <v>0</v>
      </c>
      <c r="K425" s="52">
        <f>IFERROR(ROUND(IF(ISNUMBER(INDEX('M04-S03'!$AN$16:$AN$198,2*(ROWS($R$386:$R425)-1)+1)),INDEX('M04-S03'!$AH$16:$AH$198,2*(ROWS($K$386:$K425)-1)+1),""),2),0)</f>
        <v>0</v>
      </c>
      <c r="M425" s="456" t="str">
        <f>IF(ISNUMBER(INDEX('M04-S03'!$AN$16:$AN$198,2*(ROWS($R$386:R425)-1)+1)),INDEX('M04-S03'!$X$16:$X$198,2*(ROWS($M$386:M425)-1)+1),"")</f>
        <v/>
      </c>
      <c r="N425" s="184" t="str">
        <f>IFERROR(IF(ISNUMBER(INDEX('M04-S03'!$AN$16:$AN$198,2*(ROWS($R$386:R425)-1)+1)),INDEX('M04-S03'!$AK$16:$AK$198,2*(ROWS($N$386:N425)-1)+1),""),"")</f>
        <v/>
      </c>
      <c r="O425" s="456" t="str">
        <f>IFERROR(IF(ISNUMBER(INDEX('M04-S03'!$AN$16:$AN$198,2*(ROWS($R$386:R425)-1)+1)),INDEX('M04-S03'!$AX$16:$AX$198,2*(ROWS($O$386:O425)-1)+1),""),"")</f>
        <v/>
      </c>
      <c r="P425" s="113"/>
      <c r="Q425" s="113"/>
      <c r="R425" s="184">
        <f>IF(ISNUMBER(INDEX('M04-S03'!$AN$16:$AN$198,2*(ROWS($R$386:R425)-1)+1)),INDEX('M04-S03'!$AN$16:$AN$198,2*(ROWS($R$386:R425)-1)+1),0)</f>
        <v>0</v>
      </c>
      <c r="S425" s="23">
        <f>IF(NOT(ISNUMBER(INDEX('M04-S03'!$AN$16:$AN$198,2*(ROWS($R$386:R425)-1)+1))),INDEX('M04-S03'!$X$16:$X$198,2*(ROWS($S$386:S425)-1)+1),"")</f>
        <v>0</v>
      </c>
      <c r="T425" s="52" t="str">
        <f>IFERROR(IF(NOT(ISNUMBER(INDEX('M04-S03'!$AN$16:$AN$198,2*(ROWS($R$386:R425)-1)+1))),INDEX('M04-S03'!$AK$16:$AK$198,2*(ROWS($R$386:R425)-1)+1),0),0)</f>
        <v/>
      </c>
      <c r="U425" s="23" t="str">
        <f>IFERROR(IF(NOT(ISNUMBER(INDEX('M04-S03'!$AN$16:$AN$198,2*(ROWS($R$386:R425)-1)+1))),INDEX('M04-S03'!$AX$16:$AX$198,2*(ROWS($R$386:R425)-1)+1),""),"")</f>
        <v/>
      </c>
      <c r="V425" s="113"/>
      <c r="W425" t="str">
        <f>IFERROR(IF(NOT(ISNUMBER(INDEX('M04-S03'!$AN$16:$AN$198,2*(ROWS($R$386:R425)-1)+1))),INDEX('M04-S03'!$BE$16:$BE$198,2*(ROWS($R$386:R425)-1)+1),""),"")</f>
        <v>Submit for Review</v>
      </c>
      <c r="X425" s="113"/>
      <c r="Y425" s="113"/>
      <c r="Z425" s="111">
        <f>INDEX('M04-S03'!$B$16:$B$198,2*(ROWS($Z$386:Z425)-1)+1)</f>
        <v>40</v>
      </c>
      <c r="AA425" s="112"/>
      <c r="AB425" s="111">
        <f>INDEX('M04-S03'!$F$16:$F$198,2*(ROWS($Z$386:AB425)-1)+1)</f>
        <v>0</v>
      </c>
      <c r="AC425">
        <f>INDEX('M04-S03'!$L$16:$L$198,2*(ROWS($AC$386:AC425)-1)+1)</f>
        <v>0</v>
      </c>
      <c r="AD425">
        <f>INDEX('M04-S03'!$T$16:$T$198,2*(ROWS($AD$386:AD425)-1)+1)</f>
        <v>0</v>
      </c>
      <c r="AE425" s="459"/>
      <c r="AF425" s="459"/>
      <c r="AG425" s="111">
        <f>INDEX('M04-S03'!$R$16:$R$198,2*(ROWS($AG$309:AG348)-1)+1)</f>
        <v>0</v>
      </c>
      <c r="AH425" s="111">
        <f>INDEX('M04-S03'!$Z$16:$Z$198,2*(ROWS($AH$386:AH425)-1)+1)</f>
        <v>0</v>
      </c>
      <c r="AI425" s="96"/>
      <c r="AJ425" s="96"/>
      <c r="AK425" s="52" t="str">
        <f>INDEX('M04-S03'!$AV$16:$AV$198,2*(ROWS($AK$386:AK425)-1)+1)</f>
        <v/>
      </c>
      <c r="AL425" s="184">
        <f>IF(NOT(ISNUMBER(INDEX('M04-S03'!$AN$16:$AN$198,2*(ROWS($R$386:$R425)-1)+1))),INDEX('M04-S03'!$AD$16:$AD$198,2*(ROWS($AL$386:$AL425)-1)+1),"")</f>
        <v>0</v>
      </c>
      <c r="AM425" s="184" t="str">
        <f>IF(NOT(ISNUMBER(INDEX('M04-S03'!$AN$16:$AN$198,2*(ROWS($R$386:$R425)-1)+1))),INDEX('M04-S03'!$AF$16:$AF$198,2*(ROWS($AM$386:$AM425)-1)+1),"")</f>
        <v/>
      </c>
      <c r="AN425" s="52" t="str">
        <f>IF(NOT(ISNUMBER(INDEX('M04-S03'!$AN$16:$AN$198,2*(ROWS($R$386:$R425)-1)+1))),INDEX('M04-S03'!$AH$16:$AH$198,2*(ROWS($AN$386:$AN425)-1)+1),"")</f>
        <v/>
      </c>
      <c r="AO425" s="113"/>
      <c r="AU425"/>
    </row>
    <row r="426" spans="1:47">
      <c r="A426" s="57">
        <f t="shared" si="37"/>
        <v>0</v>
      </c>
      <c r="B426" s="183" t="str">
        <f t="shared" si="41"/>
        <v/>
      </c>
      <c r="C426" s="186" t="str">
        <f>IF(OR(R426&gt;0,T426&gt;0),INDEX('M04-S03'!$BD$16:$BD$198,2*(ROWS($C$386:C426)-1)+1),"")</f>
        <v/>
      </c>
      <c r="D426" t="s">
        <v>231</v>
      </c>
      <c r="E426" s="112"/>
      <c r="F426" s="112"/>
      <c r="G426" s="96"/>
      <c r="H426" s="96"/>
      <c r="I426" s="184">
        <f>IFERROR(ROUND(IF(ISNUMBER(INDEX('M04-S03'!$AN$16:$AN$198,2*(ROWS($R$386:$R426)-1)+1)),INDEX('M04-S03'!$AD$16:$AD$198,2*(ROWS($I$386:$I426)-1)+1),""),2),0)</f>
        <v>0</v>
      </c>
      <c r="J426" s="184">
        <f>IFERROR(ROUND(IF(ISNUMBER(INDEX('M04-S03'!$AN$16:$AN$198,2*(ROWS($R$386:$R426)-1)+1)),INDEX('M04-S03'!$AF$16:$AF$198,2*(ROWS($J$386:$J426)-1)+1),""),2),0)</f>
        <v>0</v>
      </c>
      <c r="K426" s="52">
        <f>IFERROR(ROUND(IF(ISNUMBER(INDEX('M04-S03'!$AN$16:$AN$198,2*(ROWS($R$386:$R426)-1)+1)),INDEX('M04-S03'!$AH$16:$AH$198,2*(ROWS($K$386:$K426)-1)+1),""),2),0)</f>
        <v>0</v>
      </c>
      <c r="M426" s="456" t="str">
        <f>IF(ISNUMBER(INDEX('M04-S03'!$AN$16:$AN$198,2*(ROWS($R$386:R426)-1)+1)),INDEX('M04-S03'!$X$16:$X$198,2*(ROWS($M$386:M426)-1)+1),"")</f>
        <v/>
      </c>
      <c r="N426" s="184" t="str">
        <f>IFERROR(IF(ISNUMBER(INDEX('M04-S03'!$AN$16:$AN$198,2*(ROWS($R$386:R426)-1)+1)),INDEX('M04-S03'!$AK$16:$AK$198,2*(ROWS($N$386:N426)-1)+1),""),"")</f>
        <v/>
      </c>
      <c r="O426" s="456" t="str">
        <f>IFERROR(IF(ISNUMBER(INDEX('M04-S03'!$AN$16:$AN$198,2*(ROWS($R$386:R426)-1)+1)),INDEX('M04-S03'!$AX$16:$AX$198,2*(ROWS($O$386:O426)-1)+1),""),"")</f>
        <v/>
      </c>
      <c r="P426" s="113"/>
      <c r="Q426" s="113"/>
      <c r="R426" s="184">
        <f>IF(ISNUMBER(INDEX('M04-S03'!$AN$16:$AN$198,2*(ROWS($R$386:R426)-1)+1)),INDEX('M04-S03'!$AN$16:$AN$198,2*(ROWS($R$386:R426)-1)+1),0)</f>
        <v>0</v>
      </c>
      <c r="S426" s="23">
        <f>IF(NOT(ISNUMBER(INDEX('M04-S03'!$AN$16:$AN$198,2*(ROWS($R$386:R426)-1)+1))),INDEX('M04-S03'!$X$16:$X$198,2*(ROWS($S$386:S426)-1)+1),"")</f>
        <v>0</v>
      </c>
      <c r="T426" s="52" t="str">
        <f>IFERROR(IF(NOT(ISNUMBER(INDEX('M04-S03'!$AN$16:$AN$198,2*(ROWS($R$386:R426)-1)+1))),INDEX('M04-S03'!$AK$16:$AK$198,2*(ROWS($R$386:R426)-1)+1),0),0)</f>
        <v/>
      </c>
      <c r="U426" s="23" t="str">
        <f>IFERROR(IF(NOT(ISNUMBER(INDEX('M04-S03'!$AN$16:$AN$198,2*(ROWS($R$386:R426)-1)+1))),INDEX('M04-S03'!$AX$16:$AX$198,2*(ROWS($R$386:R426)-1)+1),""),"")</f>
        <v/>
      </c>
      <c r="V426" s="113"/>
      <c r="W426" t="str">
        <f>IFERROR(IF(NOT(ISNUMBER(INDEX('M04-S03'!$AN$16:$AN$198,2*(ROWS($R$386:R426)-1)+1))),INDEX('M04-S03'!$BE$16:$BE$198,2*(ROWS($R$386:R426)-1)+1),""),"")</f>
        <v>Submit for Review</v>
      </c>
      <c r="X426" s="113"/>
      <c r="Y426" s="113"/>
      <c r="Z426" s="111">
        <f>INDEX('M04-S03'!$B$16:$B$198,2*(ROWS($Z$386:Z426)-1)+1)</f>
        <v>41</v>
      </c>
      <c r="AA426" s="112"/>
      <c r="AB426" s="111">
        <f>INDEX('M04-S03'!$F$16:$F$198,2*(ROWS($Z$386:AB426)-1)+1)</f>
        <v>0</v>
      </c>
      <c r="AC426">
        <f>INDEX('M04-S03'!$L$16:$L$198,2*(ROWS($AC$386:AC426)-1)+1)</f>
        <v>0</v>
      </c>
      <c r="AD426">
        <f>INDEX('M04-S03'!$T$16:$T$198,2*(ROWS($AD$386:AD426)-1)+1)</f>
        <v>0</v>
      </c>
      <c r="AE426" s="459"/>
      <c r="AF426" s="459"/>
      <c r="AG426" s="111">
        <f>INDEX('M04-S03'!$R$16:$R$198,2*(ROWS($AG$309:AG349)-1)+1)</f>
        <v>0</v>
      </c>
      <c r="AH426" s="111">
        <f>INDEX('M04-S03'!$Z$16:$Z$198,2*(ROWS($AH$386:AH426)-1)+1)</f>
        <v>0</v>
      </c>
      <c r="AI426" s="96"/>
      <c r="AJ426" s="96"/>
      <c r="AK426" s="52" t="str">
        <f>INDEX('M04-S03'!$AV$16:$AV$198,2*(ROWS($AK$386:AK426)-1)+1)</f>
        <v/>
      </c>
      <c r="AL426" s="184">
        <f>IF(NOT(ISNUMBER(INDEX('M04-S03'!$AN$16:$AN$198,2*(ROWS($R$386:$R426)-1)+1))),INDEX('M04-S03'!$AD$16:$AD$198,2*(ROWS($AL$386:$AL426)-1)+1),"")</f>
        <v>0</v>
      </c>
      <c r="AM426" s="184" t="str">
        <f>IF(NOT(ISNUMBER(INDEX('M04-S03'!$AN$16:$AN$198,2*(ROWS($R$386:$R426)-1)+1))),INDEX('M04-S03'!$AF$16:$AF$198,2*(ROWS($AM$386:$AM426)-1)+1),"")</f>
        <v/>
      </c>
      <c r="AN426" s="52" t="str">
        <f>IF(NOT(ISNUMBER(INDEX('M04-S03'!$AN$16:$AN$198,2*(ROWS($R$386:$R426)-1)+1))),INDEX('M04-S03'!$AH$16:$AH$198,2*(ROWS($AN$386:$AN426)-1)+1),"")</f>
        <v/>
      </c>
      <c r="AO426" s="113"/>
      <c r="AU426"/>
    </row>
    <row r="427" spans="1:47">
      <c r="A427" s="57">
        <f t="shared" si="37"/>
        <v>0</v>
      </c>
      <c r="B427" s="183" t="str">
        <f t="shared" si="41"/>
        <v/>
      </c>
      <c r="C427" s="186" t="str">
        <f>IF(OR(R427&gt;0,T427&gt;0),INDEX('M04-S03'!$BD$16:$BD$198,2*(ROWS($C$386:C427)-1)+1),"")</f>
        <v/>
      </c>
      <c r="D427" t="s">
        <v>231</v>
      </c>
      <c r="E427" s="112"/>
      <c r="F427" s="112"/>
      <c r="G427" s="96"/>
      <c r="H427" s="96"/>
      <c r="I427" s="184">
        <f>IFERROR(ROUND(IF(ISNUMBER(INDEX('M04-S03'!$AN$16:$AN$198,2*(ROWS($R$386:$R427)-1)+1)),INDEX('M04-S03'!$AD$16:$AD$198,2*(ROWS($I$386:$I427)-1)+1),""),2),0)</f>
        <v>0</v>
      </c>
      <c r="J427" s="184">
        <f>IFERROR(ROUND(IF(ISNUMBER(INDEX('M04-S03'!$AN$16:$AN$198,2*(ROWS($R$386:$R427)-1)+1)),INDEX('M04-S03'!$AF$16:$AF$198,2*(ROWS($J$386:$J427)-1)+1),""),2),0)</f>
        <v>0</v>
      </c>
      <c r="K427" s="52">
        <f>IFERROR(ROUND(IF(ISNUMBER(INDEX('M04-S03'!$AN$16:$AN$198,2*(ROWS($R$386:$R427)-1)+1)),INDEX('M04-S03'!$AH$16:$AH$198,2*(ROWS($K$386:$K427)-1)+1),""),2),0)</f>
        <v>0</v>
      </c>
      <c r="M427" s="456" t="str">
        <f>IF(ISNUMBER(INDEX('M04-S03'!$AN$16:$AN$198,2*(ROWS($R$386:R427)-1)+1)),INDEX('M04-S03'!$X$16:$X$198,2*(ROWS($M$386:M427)-1)+1),"")</f>
        <v/>
      </c>
      <c r="N427" s="184" t="str">
        <f>IFERROR(IF(ISNUMBER(INDEX('M04-S03'!$AN$16:$AN$198,2*(ROWS($R$386:R427)-1)+1)),INDEX('M04-S03'!$AK$16:$AK$198,2*(ROWS($N$386:N427)-1)+1),""),"")</f>
        <v/>
      </c>
      <c r="O427" s="456" t="str">
        <f>IFERROR(IF(ISNUMBER(INDEX('M04-S03'!$AN$16:$AN$198,2*(ROWS($R$386:R427)-1)+1)),INDEX('M04-S03'!$AX$16:$AX$198,2*(ROWS($O$386:O427)-1)+1),""),"")</f>
        <v/>
      </c>
      <c r="P427" s="113"/>
      <c r="Q427" s="113"/>
      <c r="R427" s="184">
        <f>IF(ISNUMBER(INDEX('M04-S03'!$AN$16:$AN$198,2*(ROWS($R$386:R427)-1)+1)),INDEX('M04-S03'!$AN$16:$AN$198,2*(ROWS($R$386:R427)-1)+1),0)</f>
        <v>0</v>
      </c>
      <c r="S427" s="23">
        <f>IF(NOT(ISNUMBER(INDEX('M04-S03'!$AN$16:$AN$198,2*(ROWS($R$386:R427)-1)+1))),INDEX('M04-S03'!$X$16:$X$198,2*(ROWS($S$386:S427)-1)+1),"")</f>
        <v>0</v>
      </c>
      <c r="T427" s="52" t="str">
        <f>IFERROR(IF(NOT(ISNUMBER(INDEX('M04-S03'!$AN$16:$AN$198,2*(ROWS($R$386:R427)-1)+1))),INDEX('M04-S03'!$AK$16:$AK$198,2*(ROWS($R$386:R427)-1)+1),0),0)</f>
        <v/>
      </c>
      <c r="U427" s="23" t="str">
        <f>IFERROR(IF(NOT(ISNUMBER(INDEX('M04-S03'!$AN$16:$AN$198,2*(ROWS($R$386:R427)-1)+1))),INDEX('M04-S03'!$AX$16:$AX$198,2*(ROWS($R$386:R427)-1)+1),""),"")</f>
        <v/>
      </c>
      <c r="V427" s="113"/>
      <c r="W427" t="str">
        <f>IFERROR(IF(NOT(ISNUMBER(INDEX('M04-S03'!$AN$16:$AN$198,2*(ROWS($R$386:R427)-1)+1))),INDEX('M04-S03'!$BE$16:$BE$198,2*(ROWS($R$386:R427)-1)+1),""),"")</f>
        <v>Submit for Review</v>
      </c>
      <c r="X427" s="113"/>
      <c r="Y427" s="113"/>
      <c r="Z427" s="111">
        <f>INDEX('M04-S03'!$B$16:$B$198,2*(ROWS($Z$386:Z427)-1)+1)</f>
        <v>42</v>
      </c>
      <c r="AA427" s="112"/>
      <c r="AB427" s="111">
        <f>INDEX('M04-S03'!$F$16:$F$198,2*(ROWS($Z$386:AB427)-1)+1)</f>
        <v>0</v>
      </c>
      <c r="AC427">
        <f>INDEX('M04-S03'!$L$16:$L$198,2*(ROWS($AC$386:AC427)-1)+1)</f>
        <v>0</v>
      </c>
      <c r="AD427">
        <f>INDEX('M04-S03'!$T$16:$T$198,2*(ROWS($AD$386:AD427)-1)+1)</f>
        <v>0</v>
      </c>
      <c r="AE427" s="459"/>
      <c r="AF427" s="459"/>
      <c r="AG427" s="111">
        <f>INDEX('M04-S03'!$R$16:$R$198,2*(ROWS($AG$309:AG350)-1)+1)</f>
        <v>0</v>
      </c>
      <c r="AH427" s="111">
        <f>INDEX('M04-S03'!$Z$16:$Z$198,2*(ROWS($AH$386:AH427)-1)+1)</f>
        <v>0</v>
      </c>
      <c r="AI427" s="96"/>
      <c r="AJ427" s="96"/>
      <c r="AK427" s="52" t="str">
        <f>INDEX('M04-S03'!$AV$16:$AV$198,2*(ROWS($AK$386:AK427)-1)+1)</f>
        <v/>
      </c>
      <c r="AL427" s="184">
        <f>IF(NOT(ISNUMBER(INDEX('M04-S03'!$AN$16:$AN$198,2*(ROWS($R$386:$R427)-1)+1))),INDEX('M04-S03'!$AD$16:$AD$198,2*(ROWS($AL$386:$AL427)-1)+1),"")</f>
        <v>0</v>
      </c>
      <c r="AM427" s="184" t="str">
        <f>IF(NOT(ISNUMBER(INDEX('M04-S03'!$AN$16:$AN$198,2*(ROWS($R$386:$R427)-1)+1))),INDEX('M04-S03'!$AF$16:$AF$198,2*(ROWS($AM$386:$AM427)-1)+1),"")</f>
        <v/>
      </c>
      <c r="AN427" s="52" t="str">
        <f>IF(NOT(ISNUMBER(INDEX('M04-S03'!$AN$16:$AN$198,2*(ROWS($R$386:$R427)-1)+1))),INDEX('M04-S03'!$AH$16:$AH$198,2*(ROWS($AN$386:$AN427)-1)+1),"")</f>
        <v/>
      </c>
      <c r="AO427" s="113"/>
      <c r="AU427"/>
    </row>
    <row r="428" spans="1:47">
      <c r="A428" s="57">
        <f t="shared" si="37"/>
        <v>0</v>
      </c>
      <c r="B428" s="183" t="str">
        <f t="shared" ref="B428:B435" si="42">IF(C428="","",CONCATENATE(ROW(),"-",C428))</f>
        <v/>
      </c>
      <c r="C428" s="186" t="str">
        <f>IF(OR(R428&gt;0,T428&gt;0),INDEX('M04-S03'!$BD$16:$BD$198,2*(ROWS($C$386:C428)-1)+1),"")</f>
        <v/>
      </c>
      <c r="D428" t="s">
        <v>231</v>
      </c>
      <c r="E428" s="112"/>
      <c r="F428" s="112"/>
      <c r="G428" s="96"/>
      <c r="H428" s="96"/>
      <c r="I428" s="184">
        <f>IFERROR(ROUND(IF(ISNUMBER(INDEX('M04-S03'!$AN$16:$AN$198,2*(ROWS($R$386:$R428)-1)+1)),INDEX('M04-S03'!$AD$16:$AD$198,2*(ROWS($I$386:$I428)-1)+1),""),2),0)</f>
        <v>0</v>
      </c>
      <c r="J428" s="184">
        <f>IFERROR(ROUND(IF(ISNUMBER(INDEX('M04-S03'!$AN$16:$AN$198,2*(ROWS($R$386:$R428)-1)+1)),INDEX('M04-S03'!$AF$16:$AF$198,2*(ROWS($J$386:$J428)-1)+1),""),2),0)</f>
        <v>0</v>
      </c>
      <c r="K428" s="52">
        <f>IFERROR(ROUND(IF(ISNUMBER(INDEX('M04-S03'!$AN$16:$AN$198,2*(ROWS($R$386:$R428)-1)+1)),INDEX('M04-S03'!$AH$16:$AH$198,2*(ROWS($K$386:$K428)-1)+1),""),2),0)</f>
        <v>0</v>
      </c>
      <c r="M428" s="456" t="str">
        <f>IF(ISNUMBER(INDEX('M04-S03'!$AN$16:$AN$198,2*(ROWS($R$386:R428)-1)+1)),INDEX('M04-S03'!$X$16:$X$198,2*(ROWS($M$386:M428)-1)+1),"")</f>
        <v/>
      </c>
      <c r="N428" s="184" t="str">
        <f>IFERROR(IF(ISNUMBER(INDEX('M04-S03'!$AN$16:$AN$198,2*(ROWS($R$386:R428)-1)+1)),INDEX('M04-S03'!$AK$16:$AK$198,2*(ROWS($N$386:N428)-1)+1),""),"")</f>
        <v/>
      </c>
      <c r="O428" s="456" t="str">
        <f>IFERROR(IF(ISNUMBER(INDEX('M04-S03'!$AN$16:$AN$198,2*(ROWS($R$386:R428)-1)+1)),INDEX('M04-S03'!$AX$16:$AX$198,2*(ROWS($O$386:O428)-1)+1),""),"")</f>
        <v/>
      </c>
      <c r="P428" s="113"/>
      <c r="Q428" s="113"/>
      <c r="R428" s="184">
        <f>IF(ISNUMBER(INDEX('M04-S03'!$AN$16:$AN$198,2*(ROWS($R$386:R428)-1)+1)),INDEX('M04-S03'!$AN$16:$AN$198,2*(ROWS($R$386:R428)-1)+1),0)</f>
        <v>0</v>
      </c>
      <c r="S428" s="23">
        <f>IF(NOT(ISNUMBER(INDEX('M04-S03'!$AN$16:$AN$198,2*(ROWS($R$386:R428)-1)+1))),INDEX('M04-S03'!$X$16:$X$198,2*(ROWS($S$386:S428)-1)+1),"")</f>
        <v>0</v>
      </c>
      <c r="T428" s="52" t="str">
        <f>IFERROR(IF(NOT(ISNUMBER(INDEX('M04-S03'!$AN$16:$AN$198,2*(ROWS($R$386:R428)-1)+1))),INDEX('M04-S03'!$AK$16:$AK$198,2*(ROWS($R$386:R428)-1)+1),0),0)</f>
        <v/>
      </c>
      <c r="U428" s="23" t="str">
        <f>IFERROR(IF(NOT(ISNUMBER(INDEX('M04-S03'!$AN$16:$AN$198,2*(ROWS($R$386:R428)-1)+1))),INDEX('M04-S03'!$AX$16:$AX$198,2*(ROWS($R$386:R428)-1)+1),""),"")</f>
        <v/>
      </c>
      <c r="V428" s="113"/>
      <c r="W428" t="str">
        <f>IFERROR(IF(NOT(ISNUMBER(INDEX('M04-S03'!$AN$16:$AN$198,2*(ROWS($R$386:R428)-1)+1))),INDEX('M04-S03'!$BE$16:$BE$198,2*(ROWS($R$386:R428)-1)+1),""),"")</f>
        <v>Submit for Review</v>
      </c>
      <c r="X428" s="113"/>
      <c r="Y428" s="113"/>
      <c r="Z428" s="111">
        <f>INDEX('M04-S03'!$B$16:$B$198,2*(ROWS($Z$386:Z428)-1)+1)</f>
        <v>43</v>
      </c>
      <c r="AA428" s="112"/>
      <c r="AB428" s="111">
        <f>INDEX('M04-S03'!$F$16:$F$198,2*(ROWS($Z$386:AB428)-1)+1)</f>
        <v>0</v>
      </c>
      <c r="AC428">
        <f>INDEX('M04-S03'!$L$16:$L$198,2*(ROWS($AC$386:AC428)-1)+1)</f>
        <v>0</v>
      </c>
      <c r="AD428">
        <f>INDEX('M04-S03'!$T$16:$T$198,2*(ROWS($AD$386:AD428)-1)+1)</f>
        <v>0</v>
      </c>
      <c r="AE428" s="459"/>
      <c r="AF428" s="459"/>
      <c r="AG428" s="111">
        <f>INDEX('M04-S03'!$R$16:$R$198,2*(ROWS($AG$309:AG351)-1)+1)</f>
        <v>0</v>
      </c>
      <c r="AH428" s="111">
        <f>INDEX('M04-S03'!$Z$16:$Z$198,2*(ROWS($AH$386:AH428)-1)+1)</f>
        <v>0</v>
      </c>
      <c r="AI428" s="96"/>
      <c r="AJ428" s="96"/>
      <c r="AK428" s="52" t="str">
        <f>INDEX('M04-S03'!$AV$16:$AV$198,2*(ROWS($AK$386:AK428)-1)+1)</f>
        <v/>
      </c>
      <c r="AL428" s="184">
        <f>IF(NOT(ISNUMBER(INDEX('M04-S03'!$AN$16:$AN$198,2*(ROWS($R$386:$R428)-1)+1))),INDEX('M04-S03'!$AD$16:$AD$198,2*(ROWS($AL$386:$AL428)-1)+1),"")</f>
        <v>0</v>
      </c>
      <c r="AM428" s="184" t="str">
        <f>IF(NOT(ISNUMBER(INDEX('M04-S03'!$AN$16:$AN$198,2*(ROWS($R$386:$R428)-1)+1))),INDEX('M04-S03'!$AF$16:$AF$198,2*(ROWS($AM$386:$AM428)-1)+1),"")</f>
        <v/>
      </c>
      <c r="AN428" s="52" t="str">
        <f>IF(NOT(ISNUMBER(INDEX('M04-S03'!$AN$16:$AN$198,2*(ROWS($R$386:$R428)-1)+1))),INDEX('M04-S03'!$AH$16:$AH$198,2*(ROWS($AN$386:$AN428)-1)+1),"")</f>
        <v/>
      </c>
      <c r="AO428" s="113"/>
      <c r="AU428"/>
    </row>
    <row r="429" spans="1:47">
      <c r="A429" s="57">
        <f t="shared" si="37"/>
        <v>0</v>
      </c>
      <c r="B429" s="183" t="str">
        <f t="shared" si="42"/>
        <v/>
      </c>
      <c r="C429" s="186" t="str">
        <f>IF(OR(R429&gt;0,T429&gt;0),INDEX('M04-S03'!$BD$16:$BD$198,2*(ROWS($C$386:C429)-1)+1),"")</f>
        <v/>
      </c>
      <c r="D429" t="s">
        <v>231</v>
      </c>
      <c r="E429" s="112"/>
      <c r="F429" s="112"/>
      <c r="G429" s="96"/>
      <c r="H429" s="96"/>
      <c r="I429" s="184">
        <f>IFERROR(ROUND(IF(ISNUMBER(INDEX('M04-S03'!$AN$16:$AN$198,2*(ROWS($R$386:$R429)-1)+1)),INDEX('M04-S03'!$AD$16:$AD$198,2*(ROWS($I$386:$I429)-1)+1),""),2),0)</f>
        <v>0</v>
      </c>
      <c r="J429" s="184">
        <f>IFERROR(ROUND(IF(ISNUMBER(INDEX('M04-S03'!$AN$16:$AN$198,2*(ROWS($R$386:$R429)-1)+1)),INDEX('M04-S03'!$AF$16:$AF$198,2*(ROWS($J$386:$J429)-1)+1),""),2),0)</f>
        <v>0</v>
      </c>
      <c r="K429" s="52">
        <f>IFERROR(ROUND(IF(ISNUMBER(INDEX('M04-S03'!$AN$16:$AN$198,2*(ROWS($R$386:$R429)-1)+1)),INDEX('M04-S03'!$AH$16:$AH$198,2*(ROWS($K$386:$K429)-1)+1),""),2),0)</f>
        <v>0</v>
      </c>
      <c r="M429" s="456" t="str">
        <f>IF(ISNUMBER(INDEX('M04-S03'!$AN$16:$AN$198,2*(ROWS($R$386:R429)-1)+1)),INDEX('M04-S03'!$X$16:$X$198,2*(ROWS($M$386:M429)-1)+1),"")</f>
        <v/>
      </c>
      <c r="N429" s="184" t="str">
        <f>IFERROR(IF(ISNUMBER(INDEX('M04-S03'!$AN$16:$AN$198,2*(ROWS($R$386:R429)-1)+1)),INDEX('M04-S03'!$AK$16:$AK$198,2*(ROWS($N$386:N429)-1)+1),""),"")</f>
        <v/>
      </c>
      <c r="O429" s="456" t="str">
        <f>IFERROR(IF(ISNUMBER(INDEX('M04-S03'!$AN$16:$AN$198,2*(ROWS($R$386:R429)-1)+1)),INDEX('M04-S03'!$AX$16:$AX$198,2*(ROWS($O$386:O429)-1)+1),""),"")</f>
        <v/>
      </c>
      <c r="P429" s="113"/>
      <c r="Q429" s="113"/>
      <c r="R429" s="184">
        <f>IF(ISNUMBER(INDEX('M04-S03'!$AN$16:$AN$198,2*(ROWS($R$386:R429)-1)+1)),INDEX('M04-S03'!$AN$16:$AN$198,2*(ROWS($R$386:R429)-1)+1),0)</f>
        <v>0</v>
      </c>
      <c r="S429" s="23">
        <f>IF(NOT(ISNUMBER(INDEX('M04-S03'!$AN$16:$AN$198,2*(ROWS($R$386:R429)-1)+1))),INDEX('M04-S03'!$X$16:$X$198,2*(ROWS($S$386:S429)-1)+1),"")</f>
        <v>0</v>
      </c>
      <c r="T429" s="52" t="str">
        <f>IFERROR(IF(NOT(ISNUMBER(INDEX('M04-S03'!$AN$16:$AN$198,2*(ROWS($R$386:R429)-1)+1))),INDEX('M04-S03'!$AK$16:$AK$198,2*(ROWS($R$386:R429)-1)+1),0),0)</f>
        <v/>
      </c>
      <c r="U429" s="23" t="str">
        <f>IFERROR(IF(NOT(ISNUMBER(INDEX('M04-S03'!$AN$16:$AN$198,2*(ROWS($R$386:R429)-1)+1))),INDEX('M04-S03'!$AX$16:$AX$198,2*(ROWS($R$386:R429)-1)+1),""),"")</f>
        <v/>
      </c>
      <c r="V429" s="113"/>
      <c r="W429" t="str">
        <f>IFERROR(IF(NOT(ISNUMBER(INDEX('M04-S03'!$AN$16:$AN$198,2*(ROWS($R$386:R429)-1)+1))),INDEX('M04-S03'!$BE$16:$BE$198,2*(ROWS($R$386:R429)-1)+1),""),"")</f>
        <v>Submit for Review</v>
      </c>
      <c r="X429" s="113"/>
      <c r="Y429" s="113"/>
      <c r="Z429" s="111">
        <f>INDEX('M04-S03'!$B$16:$B$198,2*(ROWS($Z$386:Z429)-1)+1)</f>
        <v>44</v>
      </c>
      <c r="AA429" s="112"/>
      <c r="AB429" s="111">
        <f>INDEX('M04-S03'!$F$16:$F$198,2*(ROWS($Z$386:AB429)-1)+1)</f>
        <v>0</v>
      </c>
      <c r="AC429">
        <f>INDEX('M04-S03'!$L$16:$L$198,2*(ROWS($AC$386:AC429)-1)+1)</f>
        <v>0</v>
      </c>
      <c r="AD429">
        <f>INDEX('M04-S03'!$T$16:$T$198,2*(ROWS($AD$386:AD429)-1)+1)</f>
        <v>0</v>
      </c>
      <c r="AE429" s="459"/>
      <c r="AF429" s="459"/>
      <c r="AG429" s="111">
        <f>INDEX('M04-S03'!$R$16:$R$198,2*(ROWS($AG$309:AG352)-1)+1)</f>
        <v>0</v>
      </c>
      <c r="AH429" s="111">
        <f>INDEX('M04-S03'!$Z$16:$Z$198,2*(ROWS($AH$386:AH429)-1)+1)</f>
        <v>0</v>
      </c>
      <c r="AI429" s="96"/>
      <c r="AJ429" s="96"/>
      <c r="AK429" s="52" t="str">
        <f>INDEX('M04-S03'!$AV$16:$AV$198,2*(ROWS($AK$386:AK429)-1)+1)</f>
        <v/>
      </c>
      <c r="AL429" s="184">
        <f>IF(NOT(ISNUMBER(INDEX('M04-S03'!$AN$16:$AN$198,2*(ROWS($R$386:$R429)-1)+1))),INDEX('M04-S03'!$AD$16:$AD$198,2*(ROWS($AL$386:$AL429)-1)+1),"")</f>
        <v>0</v>
      </c>
      <c r="AM429" s="184" t="str">
        <f>IF(NOT(ISNUMBER(INDEX('M04-S03'!$AN$16:$AN$198,2*(ROWS($R$386:$R429)-1)+1))),INDEX('M04-S03'!$AF$16:$AF$198,2*(ROWS($AM$386:$AM429)-1)+1),"")</f>
        <v/>
      </c>
      <c r="AN429" s="52" t="str">
        <f>IF(NOT(ISNUMBER(INDEX('M04-S03'!$AN$16:$AN$198,2*(ROWS($R$386:$R429)-1)+1))),INDEX('M04-S03'!$AH$16:$AH$198,2*(ROWS($AN$386:$AN429)-1)+1),"")</f>
        <v/>
      </c>
      <c r="AO429" s="113"/>
      <c r="AU429"/>
    </row>
    <row r="430" spans="1:47">
      <c r="A430" s="57">
        <f t="shared" si="37"/>
        <v>0</v>
      </c>
      <c r="B430" s="183" t="str">
        <f t="shared" si="42"/>
        <v/>
      </c>
      <c r="C430" s="186" t="str">
        <f>IF(OR(R430&gt;0,T430&gt;0),INDEX('M04-S03'!$BD$16:$BD$198,2*(ROWS($C$386:C430)-1)+1),"")</f>
        <v/>
      </c>
      <c r="D430" t="s">
        <v>231</v>
      </c>
      <c r="E430" s="112"/>
      <c r="F430" s="112"/>
      <c r="G430" s="96"/>
      <c r="H430" s="96"/>
      <c r="I430" s="184">
        <f>IFERROR(ROUND(IF(ISNUMBER(INDEX('M04-S03'!$AN$16:$AN$198,2*(ROWS($R$386:$R430)-1)+1)),INDEX('M04-S03'!$AD$16:$AD$198,2*(ROWS($I$386:$I430)-1)+1),""),2),0)</f>
        <v>0</v>
      </c>
      <c r="J430" s="184">
        <f>IFERROR(ROUND(IF(ISNUMBER(INDEX('M04-S03'!$AN$16:$AN$198,2*(ROWS($R$386:$R430)-1)+1)),INDEX('M04-S03'!$AF$16:$AF$198,2*(ROWS($J$386:$J430)-1)+1),""),2),0)</f>
        <v>0</v>
      </c>
      <c r="K430" s="52">
        <f>IFERROR(ROUND(IF(ISNUMBER(INDEX('M04-S03'!$AN$16:$AN$198,2*(ROWS($R$386:$R430)-1)+1)),INDEX('M04-S03'!$AH$16:$AH$198,2*(ROWS($K$386:$K430)-1)+1),""),2),0)</f>
        <v>0</v>
      </c>
      <c r="M430" s="456" t="str">
        <f>IF(ISNUMBER(INDEX('M04-S03'!$AN$16:$AN$198,2*(ROWS($R$386:R430)-1)+1)),INDEX('M04-S03'!$X$16:$X$198,2*(ROWS($M$386:M430)-1)+1),"")</f>
        <v/>
      </c>
      <c r="N430" s="184" t="str">
        <f>IFERROR(IF(ISNUMBER(INDEX('M04-S03'!$AN$16:$AN$198,2*(ROWS($R$386:R430)-1)+1)),INDEX('M04-S03'!$AK$16:$AK$198,2*(ROWS($N$386:N430)-1)+1),""),"")</f>
        <v/>
      </c>
      <c r="O430" s="456" t="str">
        <f>IFERROR(IF(ISNUMBER(INDEX('M04-S03'!$AN$16:$AN$198,2*(ROWS($R$386:R430)-1)+1)),INDEX('M04-S03'!$AX$16:$AX$198,2*(ROWS($O$386:O430)-1)+1),""),"")</f>
        <v/>
      </c>
      <c r="P430" s="113"/>
      <c r="Q430" s="113"/>
      <c r="R430" s="184">
        <f>IF(ISNUMBER(INDEX('M04-S03'!$AN$16:$AN$198,2*(ROWS($R$386:R430)-1)+1)),INDEX('M04-S03'!$AN$16:$AN$198,2*(ROWS($R$386:R430)-1)+1),0)</f>
        <v>0</v>
      </c>
      <c r="S430" s="23">
        <f>IF(NOT(ISNUMBER(INDEX('M04-S03'!$AN$16:$AN$198,2*(ROWS($R$386:R430)-1)+1))),INDEX('M04-S03'!$X$16:$X$198,2*(ROWS($S$386:S430)-1)+1),"")</f>
        <v>0</v>
      </c>
      <c r="T430" s="52" t="str">
        <f>IFERROR(IF(NOT(ISNUMBER(INDEX('M04-S03'!$AN$16:$AN$198,2*(ROWS($R$386:R430)-1)+1))),INDEX('M04-S03'!$AK$16:$AK$198,2*(ROWS($R$386:R430)-1)+1),0),0)</f>
        <v/>
      </c>
      <c r="U430" s="23" t="str">
        <f>IFERROR(IF(NOT(ISNUMBER(INDEX('M04-S03'!$AN$16:$AN$198,2*(ROWS($R$386:R430)-1)+1))),INDEX('M04-S03'!$AX$16:$AX$198,2*(ROWS($R$386:R430)-1)+1),""),"")</f>
        <v/>
      </c>
      <c r="V430" s="113"/>
      <c r="W430" t="str">
        <f>IFERROR(IF(NOT(ISNUMBER(INDEX('M04-S03'!$AN$16:$AN$198,2*(ROWS($R$386:R430)-1)+1))),INDEX('M04-S03'!$BE$16:$BE$198,2*(ROWS($R$386:R430)-1)+1),""),"")</f>
        <v>Submit for Review</v>
      </c>
      <c r="X430" s="113"/>
      <c r="Y430" s="113"/>
      <c r="Z430" s="111">
        <f>INDEX('M04-S03'!$B$16:$B$198,2*(ROWS($Z$386:Z430)-1)+1)</f>
        <v>45</v>
      </c>
      <c r="AA430" s="112"/>
      <c r="AB430" s="111">
        <f>INDEX('M04-S03'!$F$16:$F$198,2*(ROWS($Z$386:AB430)-1)+1)</f>
        <v>0</v>
      </c>
      <c r="AC430">
        <f>INDEX('M04-S03'!$L$16:$L$198,2*(ROWS($AC$386:AC430)-1)+1)</f>
        <v>0</v>
      </c>
      <c r="AD430">
        <f>INDEX('M04-S03'!$T$16:$T$198,2*(ROWS($AD$386:AD430)-1)+1)</f>
        <v>0</v>
      </c>
      <c r="AE430" s="459"/>
      <c r="AF430" s="459"/>
      <c r="AG430" s="111">
        <f>INDEX('M04-S03'!$R$16:$R$198,2*(ROWS($AG$309:AG353)-1)+1)</f>
        <v>0</v>
      </c>
      <c r="AH430" s="111">
        <f>INDEX('M04-S03'!$Z$16:$Z$198,2*(ROWS($AH$386:AH430)-1)+1)</f>
        <v>0</v>
      </c>
      <c r="AI430" s="96"/>
      <c r="AJ430" s="96"/>
      <c r="AK430" s="52" t="str">
        <f>INDEX('M04-S03'!$AV$16:$AV$198,2*(ROWS($AK$386:AK430)-1)+1)</f>
        <v/>
      </c>
      <c r="AL430" s="184">
        <f>IF(NOT(ISNUMBER(INDEX('M04-S03'!$AN$16:$AN$198,2*(ROWS($R$386:$R430)-1)+1))),INDEX('M04-S03'!$AD$16:$AD$198,2*(ROWS($AL$386:$AL430)-1)+1),"")</f>
        <v>0</v>
      </c>
      <c r="AM430" s="184" t="str">
        <f>IF(NOT(ISNUMBER(INDEX('M04-S03'!$AN$16:$AN$198,2*(ROWS($R$386:$R430)-1)+1))),INDEX('M04-S03'!$AF$16:$AF$198,2*(ROWS($AM$386:$AM430)-1)+1),"")</f>
        <v/>
      </c>
      <c r="AN430" s="52" t="str">
        <f>IF(NOT(ISNUMBER(INDEX('M04-S03'!$AN$16:$AN$198,2*(ROWS($R$386:$R430)-1)+1))),INDEX('M04-S03'!$AH$16:$AH$198,2*(ROWS($AN$386:$AN430)-1)+1),"")</f>
        <v/>
      </c>
      <c r="AO430" s="113"/>
      <c r="AU430"/>
    </row>
    <row r="431" spans="1:47">
      <c r="A431" s="57">
        <f t="shared" si="37"/>
        <v>0</v>
      </c>
      <c r="B431" s="183" t="str">
        <f t="shared" si="42"/>
        <v/>
      </c>
      <c r="C431" s="186" t="str">
        <f>IF(OR(R431&gt;0,T431&gt;0),INDEX('M04-S03'!$BD$16:$BD$198,2*(ROWS($C$386:C431)-1)+1),"")</f>
        <v/>
      </c>
      <c r="D431" t="s">
        <v>231</v>
      </c>
      <c r="E431" s="112"/>
      <c r="F431" s="112"/>
      <c r="G431" s="96"/>
      <c r="H431" s="96"/>
      <c r="I431" s="184">
        <f>IFERROR(ROUND(IF(ISNUMBER(INDEX('M04-S03'!$AN$16:$AN$198,2*(ROWS($R$386:$R431)-1)+1)),INDEX('M04-S03'!$AD$16:$AD$198,2*(ROWS($I$386:$I431)-1)+1),""),2),0)</f>
        <v>0</v>
      </c>
      <c r="J431" s="184">
        <f>IFERROR(ROUND(IF(ISNUMBER(INDEX('M04-S03'!$AN$16:$AN$198,2*(ROWS($R$386:$R431)-1)+1)),INDEX('M04-S03'!$AF$16:$AF$198,2*(ROWS($J$386:$J431)-1)+1),""),2),0)</f>
        <v>0</v>
      </c>
      <c r="K431" s="52">
        <f>IFERROR(ROUND(IF(ISNUMBER(INDEX('M04-S03'!$AN$16:$AN$198,2*(ROWS($R$386:$R431)-1)+1)),INDEX('M04-S03'!$AH$16:$AH$198,2*(ROWS($K$386:$K431)-1)+1),""),2),0)</f>
        <v>0</v>
      </c>
      <c r="M431" s="456" t="str">
        <f>IF(ISNUMBER(INDEX('M04-S03'!$AN$16:$AN$198,2*(ROWS($R$386:R431)-1)+1)),INDEX('M04-S03'!$X$16:$X$198,2*(ROWS($M$386:M431)-1)+1),"")</f>
        <v/>
      </c>
      <c r="N431" s="184" t="str">
        <f>IFERROR(IF(ISNUMBER(INDEX('M04-S03'!$AN$16:$AN$198,2*(ROWS($R$386:R431)-1)+1)),INDEX('M04-S03'!$AK$16:$AK$198,2*(ROWS($N$386:N431)-1)+1),""),"")</f>
        <v/>
      </c>
      <c r="O431" s="456" t="str">
        <f>IFERROR(IF(ISNUMBER(INDEX('M04-S03'!$AN$16:$AN$198,2*(ROWS($R$386:R431)-1)+1)),INDEX('M04-S03'!$AX$16:$AX$198,2*(ROWS($O$386:O431)-1)+1),""),"")</f>
        <v/>
      </c>
      <c r="P431" s="113"/>
      <c r="Q431" s="113"/>
      <c r="R431" s="184">
        <f>IF(ISNUMBER(INDEX('M04-S03'!$AN$16:$AN$198,2*(ROWS($R$386:R431)-1)+1)),INDEX('M04-S03'!$AN$16:$AN$198,2*(ROWS($R$386:R431)-1)+1),0)</f>
        <v>0</v>
      </c>
      <c r="S431" s="23">
        <f>IF(NOT(ISNUMBER(INDEX('M04-S03'!$AN$16:$AN$198,2*(ROWS($R$386:R431)-1)+1))),INDEX('M04-S03'!$X$16:$X$198,2*(ROWS($S$386:S431)-1)+1),"")</f>
        <v>0</v>
      </c>
      <c r="T431" s="52" t="str">
        <f>IFERROR(IF(NOT(ISNUMBER(INDEX('M04-S03'!$AN$16:$AN$198,2*(ROWS($R$386:R431)-1)+1))),INDEX('M04-S03'!$AK$16:$AK$198,2*(ROWS($R$386:R431)-1)+1),0),0)</f>
        <v/>
      </c>
      <c r="U431" s="23" t="str">
        <f>IFERROR(IF(NOT(ISNUMBER(INDEX('M04-S03'!$AN$16:$AN$198,2*(ROWS($R$386:R431)-1)+1))),INDEX('M04-S03'!$AX$16:$AX$198,2*(ROWS($R$386:R431)-1)+1),""),"")</f>
        <v/>
      </c>
      <c r="V431" s="113"/>
      <c r="W431" t="str">
        <f>IFERROR(IF(NOT(ISNUMBER(INDEX('M04-S03'!$AN$16:$AN$198,2*(ROWS($R$386:R431)-1)+1))),INDEX('M04-S03'!$BE$16:$BE$198,2*(ROWS($R$386:R431)-1)+1),""),"")</f>
        <v>Submit for Review</v>
      </c>
      <c r="X431" s="113"/>
      <c r="Y431" s="113"/>
      <c r="Z431" s="111">
        <f>INDEX('M04-S03'!$B$16:$B$198,2*(ROWS($Z$386:Z431)-1)+1)</f>
        <v>46</v>
      </c>
      <c r="AA431" s="112"/>
      <c r="AB431" s="111">
        <f>INDEX('M04-S03'!$F$16:$F$198,2*(ROWS($Z$386:AB431)-1)+1)</f>
        <v>0</v>
      </c>
      <c r="AC431">
        <f>INDEX('M04-S03'!$L$16:$L$198,2*(ROWS($AC$386:AC431)-1)+1)</f>
        <v>0</v>
      </c>
      <c r="AD431">
        <f>INDEX('M04-S03'!$T$16:$T$198,2*(ROWS($AD$386:AD431)-1)+1)</f>
        <v>0</v>
      </c>
      <c r="AE431" s="459"/>
      <c r="AF431" s="459"/>
      <c r="AG431" s="111">
        <f>INDEX('M04-S03'!$R$16:$R$198,2*(ROWS($AG$309:AG354)-1)+1)</f>
        <v>0</v>
      </c>
      <c r="AH431" s="111">
        <f>INDEX('M04-S03'!$Z$16:$Z$198,2*(ROWS($AH$386:AH431)-1)+1)</f>
        <v>0</v>
      </c>
      <c r="AI431" s="96"/>
      <c r="AJ431" s="96"/>
      <c r="AK431" s="52" t="str">
        <f>INDEX('M04-S03'!$AV$16:$AV$198,2*(ROWS($AK$386:AK431)-1)+1)</f>
        <v/>
      </c>
      <c r="AL431" s="184">
        <f>IF(NOT(ISNUMBER(INDEX('M04-S03'!$AN$16:$AN$198,2*(ROWS($R$386:$R431)-1)+1))),INDEX('M04-S03'!$AD$16:$AD$198,2*(ROWS($AL$386:$AL431)-1)+1),"")</f>
        <v>0</v>
      </c>
      <c r="AM431" s="184" t="str">
        <f>IF(NOT(ISNUMBER(INDEX('M04-S03'!$AN$16:$AN$198,2*(ROWS($R$386:$R431)-1)+1))),INDEX('M04-S03'!$AF$16:$AF$198,2*(ROWS($AM$386:$AM431)-1)+1),"")</f>
        <v/>
      </c>
      <c r="AN431" s="52" t="str">
        <f>IF(NOT(ISNUMBER(INDEX('M04-S03'!$AN$16:$AN$198,2*(ROWS($R$386:$R431)-1)+1))),INDEX('M04-S03'!$AH$16:$AH$198,2*(ROWS($AN$386:$AN431)-1)+1),"")</f>
        <v/>
      </c>
      <c r="AO431" s="113"/>
      <c r="AU431"/>
    </row>
    <row r="432" spans="1:47">
      <c r="A432" s="57">
        <f t="shared" si="37"/>
        <v>0</v>
      </c>
      <c r="B432" s="183" t="str">
        <f t="shared" si="42"/>
        <v/>
      </c>
      <c r="C432" s="186" t="str">
        <f>IF(OR(R432&gt;0,T432&gt;0),INDEX('M04-S03'!$BD$16:$BD$198,2*(ROWS($C$386:C432)-1)+1),"")</f>
        <v/>
      </c>
      <c r="D432" t="s">
        <v>231</v>
      </c>
      <c r="E432" s="112"/>
      <c r="F432" s="112"/>
      <c r="G432" s="96"/>
      <c r="H432" s="96"/>
      <c r="I432" s="184">
        <f>IFERROR(ROUND(IF(ISNUMBER(INDEX('M04-S03'!$AN$16:$AN$198,2*(ROWS($R$386:$R432)-1)+1)),INDEX('M04-S03'!$AD$16:$AD$198,2*(ROWS($I$386:$I432)-1)+1),""),2),0)</f>
        <v>0</v>
      </c>
      <c r="J432" s="184">
        <f>IFERROR(ROUND(IF(ISNUMBER(INDEX('M04-S03'!$AN$16:$AN$198,2*(ROWS($R$386:$R432)-1)+1)),INDEX('M04-S03'!$AF$16:$AF$198,2*(ROWS($J$386:$J432)-1)+1),""),2),0)</f>
        <v>0</v>
      </c>
      <c r="K432" s="52">
        <f>IFERROR(ROUND(IF(ISNUMBER(INDEX('M04-S03'!$AN$16:$AN$198,2*(ROWS($R$386:$R432)-1)+1)),INDEX('M04-S03'!$AH$16:$AH$198,2*(ROWS($K$386:$K432)-1)+1),""),2),0)</f>
        <v>0</v>
      </c>
      <c r="M432" s="456" t="str">
        <f>IF(ISNUMBER(INDEX('M04-S03'!$AN$16:$AN$198,2*(ROWS($R$386:R432)-1)+1)),INDEX('M04-S03'!$X$16:$X$198,2*(ROWS($M$386:M432)-1)+1),"")</f>
        <v/>
      </c>
      <c r="N432" s="184" t="str">
        <f>IFERROR(IF(ISNUMBER(INDEX('M04-S03'!$AN$16:$AN$198,2*(ROWS($R$386:R432)-1)+1)),INDEX('M04-S03'!$AK$16:$AK$198,2*(ROWS($N$386:N432)-1)+1),""),"")</f>
        <v/>
      </c>
      <c r="O432" s="456" t="str">
        <f>IFERROR(IF(ISNUMBER(INDEX('M04-S03'!$AN$16:$AN$198,2*(ROWS($R$386:R432)-1)+1)),INDEX('M04-S03'!$AX$16:$AX$198,2*(ROWS($O$386:O432)-1)+1),""),"")</f>
        <v/>
      </c>
      <c r="P432" s="113"/>
      <c r="Q432" s="113"/>
      <c r="R432" s="184">
        <f>IF(ISNUMBER(INDEX('M04-S03'!$AN$16:$AN$198,2*(ROWS($R$386:R432)-1)+1)),INDEX('M04-S03'!$AN$16:$AN$198,2*(ROWS($R$386:R432)-1)+1),0)</f>
        <v>0</v>
      </c>
      <c r="S432" s="23">
        <f>IF(NOT(ISNUMBER(INDEX('M04-S03'!$AN$16:$AN$198,2*(ROWS($R$386:R432)-1)+1))),INDEX('M04-S03'!$X$16:$X$198,2*(ROWS($S$386:S432)-1)+1),"")</f>
        <v>0</v>
      </c>
      <c r="T432" s="52" t="str">
        <f>IFERROR(IF(NOT(ISNUMBER(INDEX('M04-S03'!$AN$16:$AN$198,2*(ROWS($R$386:R432)-1)+1))),INDEX('M04-S03'!$AK$16:$AK$198,2*(ROWS($R$386:R432)-1)+1),0),0)</f>
        <v/>
      </c>
      <c r="U432" s="23" t="str">
        <f>IFERROR(IF(NOT(ISNUMBER(INDEX('M04-S03'!$AN$16:$AN$198,2*(ROWS($R$386:R432)-1)+1))),INDEX('M04-S03'!$AX$16:$AX$198,2*(ROWS($R$386:R432)-1)+1),""),"")</f>
        <v/>
      </c>
      <c r="V432" s="113"/>
      <c r="W432" t="str">
        <f>IFERROR(IF(NOT(ISNUMBER(INDEX('M04-S03'!$AN$16:$AN$198,2*(ROWS($R$386:R432)-1)+1))),INDEX('M04-S03'!$BE$16:$BE$198,2*(ROWS($R$386:R432)-1)+1),""),"")</f>
        <v>Submit for Review</v>
      </c>
      <c r="X432" s="113"/>
      <c r="Y432" s="113"/>
      <c r="Z432" s="111">
        <f>INDEX('M04-S03'!$B$16:$B$198,2*(ROWS($Z$386:Z432)-1)+1)</f>
        <v>47</v>
      </c>
      <c r="AA432" s="112"/>
      <c r="AB432" s="111">
        <f>INDEX('M04-S03'!$F$16:$F$198,2*(ROWS($Z$386:AB432)-1)+1)</f>
        <v>0</v>
      </c>
      <c r="AC432">
        <f>INDEX('M04-S03'!$L$16:$L$198,2*(ROWS($AC$386:AC432)-1)+1)</f>
        <v>0</v>
      </c>
      <c r="AD432">
        <f>INDEX('M04-S03'!$T$16:$T$198,2*(ROWS($AD$386:AD432)-1)+1)</f>
        <v>0</v>
      </c>
      <c r="AE432" s="459"/>
      <c r="AF432" s="459"/>
      <c r="AG432" s="111">
        <f>INDEX('M04-S03'!$R$16:$R$198,2*(ROWS($AG$309:AG355)-1)+1)</f>
        <v>0</v>
      </c>
      <c r="AH432" s="111">
        <f>INDEX('M04-S03'!$Z$16:$Z$198,2*(ROWS($AH$386:AH432)-1)+1)</f>
        <v>0</v>
      </c>
      <c r="AI432" s="96"/>
      <c r="AJ432" s="96"/>
      <c r="AK432" s="52" t="str">
        <f>INDEX('M04-S03'!$AV$16:$AV$198,2*(ROWS($AK$386:AK432)-1)+1)</f>
        <v/>
      </c>
      <c r="AL432" s="184">
        <f>IF(NOT(ISNUMBER(INDEX('M04-S03'!$AN$16:$AN$198,2*(ROWS($R$386:$R432)-1)+1))),INDEX('M04-S03'!$AD$16:$AD$198,2*(ROWS($AL$386:$AL432)-1)+1),"")</f>
        <v>0</v>
      </c>
      <c r="AM432" s="184" t="str">
        <f>IF(NOT(ISNUMBER(INDEX('M04-S03'!$AN$16:$AN$198,2*(ROWS($R$386:$R432)-1)+1))),INDEX('M04-S03'!$AF$16:$AF$198,2*(ROWS($AM$386:$AM432)-1)+1),"")</f>
        <v/>
      </c>
      <c r="AN432" s="52" t="str">
        <f>IF(NOT(ISNUMBER(INDEX('M04-S03'!$AN$16:$AN$198,2*(ROWS($R$386:$R432)-1)+1))),INDEX('M04-S03'!$AH$16:$AH$198,2*(ROWS($AN$386:$AN432)-1)+1),"")</f>
        <v/>
      </c>
      <c r="AO432" s="113"/>
      <c r="AU432"/>
    </row>
    <row r="433" spans="1:47">
      <c r="A433" s="57">
        <f t="shared" si="37"/>
        <v>0</v>
      </c>
      <c r="B433" s="183" t="str">
        <f t="shared" si="42"/>
        <v/>
      </c>
      <c r="C433" s="186" t="str">
        <f>IF(OR(R433&gt;0,T433&gt;0),INDEX('M04-S03'!$BD$16:$BD$198,2*(ROWS($C$386:C433)-1)+1),"")</f>
        <v/>
      </c>
      <c r="D433" t="s">
        <v>231</v>
      </c>
      <c r="E433" s="112"/>
      <c r="F433" s="112"/>
      <c r="G433" s="96"/>
      <c r="H433" s="96"/>
      <c r="I433" s="184">
        <f>IFERROR(ROUND(IF(ISNUMBER(INDEX('M04-S03'!$AN$16:$AN$198,2*(ROWS($R$386:$R433)-1)+1)),INDEX('M04-S03'!$AD$16:$AD$198,2*(ROWS($I$386:$I433)-1)+1),""),2),0)</f>
        <v>0</v>
      </c>
      <c r="J433" s="184">
        <f>IFERROR(ROUND(IF(ISNUMBER(INDEX('M04-S03'!$AN$16:$AN$198,2*(ROWS($R$386:$R433)-1)+1)),INDEX('M04-S03'!$AF$16:$AF$198,2*(ROWS($J$386:$J433)-1)+1),""),2),0)</f>
        <v>0</v>
      </c>
      <c r="K433" s="52">
        <f>IFERROR(ROUND(IF(ISNUMBER(INDEX('M04-S03'!$AN$16:$AN$198,2*(ROWS($R$386:$R433)-1)+1)),INDEX('M04-S03'!$AH$16:$AH$198,2*(ROWS($K$386:$K433)-1)+1),""),2),0)</f>
        <v>0</v>
      </c>
      <c r="M433" s="456" t="str">
        <f>IF(ISNUMBER(INDEX('M04-S03'!$AN$16:$AN$198,2*(ROWS($R$386:R433)-1)+1)),INDEX('M04-S03'!$X$16:$X$198,2*(ROWS($M$386:M433)-1)+1),"")</f>
        <v/>
      </c>
      <c r="N433" s="184" t="str">
        <f>IFERROR(IF(ISNUMBER(INDEX('M04-S03'!$AN$16:$AN$198,2*(ROWS($R$386:R433)-1)+1)),INDEX('M04-S03'!$AK$16:$AK$198,2*(ROWS($N$386:N433)-1)+1),""),"")</f>
        <v/>
      </c>
      <c r="O433" s="456" t="str">
        <f>IFERROR(IF(ISNUMBER(INDEX('M04-S03'!$AN$16:$AN$198,2*(ROWS($R$386:R433)-1)+1)),INDEX('M04-S03'!$AX$16:$AX$198,2*(ROWS($O$386:O433)-1)+1),""),"")</f>
        <v/>
      </c>
      <c r="P433" s="113"/>
      <c r="Q433" s="113"/>
      <c r="R433" s="184">
        <f>IF(ISNUMBER(INDEX('M04-S03'!$AN$16:$AN$198,2*(ROWS($R$386:R433)-1)+1)),INDEX('M04-S03'!$AN$16:$AN$198,2*(ROWS($R$386:R433)-1)+1),0)</f>
        <v>0</v>
      </c>
      <c r="S433" s="23">
        <f>IF(NOT(ISNUMBER(INDEX('M04-S03'!$AN$16:$AN$198,2*(ROWS($R$386:R433)-1)+1))),INDEX('M04-S03'!$X$16:$X$198,2*(ROWS($S$386:S433)-1)+1),"")</f>
        <v>0</v>
      </c>
      <c r="T433" s="52" t="str">
        <f>IFERROR(IF(NOT(ISNUMBER(INDEX('M04-S03'!$AN$16:$AN$198,2*(ROWS($R$386:R433)-1)+1))),INDEX('M04-S03'!$AK$16:$AK$198,2*(ROWS($R$386:R433)-1)+1),0),0)</f>
        <v/>
      </c>
      <c r="U433" s="23" t="str">
        <f>IFERROR(IF(NOT(ISNUMBER(INDEX('M04-S03'!$AN$16:$AN$198,2*(ROWS($R$386:R433)-1)+1))),INDEX('M04-S03'!$AX$16:$AX$198,2*(ROWS($R$386:R433)-1)+1),""),"")</f>
        <v/>
      </c>
      <c r="V433" s="113"/>
      <c r="W433" t="str">
        <f>IFERROR(IF(NOT(ISNUMBER(INDEX('M04-S03'!$AN$16:$AN$198,2*(ROWS($R$386:R433)-1)+1))),INDEX('M04-S03'!$BE$16:$BE$198,2*(ROWS($R$386:R433)-1)+1),""),"")</f>
        <v>Submit for Review</v>
      </c>
      <c r="X433" s="113"/>
      <c r="Y433" s="113"/>
      <c r="Z433" s="111">
        <f>INDEX('M04-S03'!$B$16:$B$198,2*(ROWS($Z$386:Z433)-1)+1)</f>
        <v>48</v>
      </c>
      <c r="AA433" s="112"/>
      <c r="AB433" s="111">
        <f>INDEX('M04-S03'!$F$16:$F$198,2*(ROWS($Z$386:AB433)-1)+1)</f>
        <v>0</v>
      </c>
      <c r="AC433">
        <f>INDEX('M04-S03'!$L$16:$L$198,2*(ROWS($AC$386:AC433)-1)+1)</f>
        <v>0</v>
      </c>
      <c r="AD433">
        <f>INDEX('M04-S03'!$T$16:$T$198,2*(ROWS($AD$386:AD433)-1)+1)</f>
        <v>0</v>
      </c>
      <c r="AE433" s="459"/>
      <c r="AF433" s="459"/>
      <c r="AG433" s="111">
        <f>INDEX('M04-S03'!$R$16:$R$198,2*(ROWS($AG$309:AG356)-1)+1)</f>
        <v>0</v>
      </c>
      <c r="AH433" s="111">
        <f>INDEX('M04-S03'!$Z$16:$Z$198,2*(ROWS($AH$386:AH433)-1)+1)</f>
        <v>0</v>
      </c>
      <c r="AI433" s="96"/>
      <c r="AJ433" s="96"/>
      <c r="AK433" s="52" t="str">
        <f>INDEX('M04-S03'!$AV$16:$AV$198,2*(ROWS($AK$386:AK433)-1)+1)</f>
        <v/>
      </c>
      <c r="AL433" s="184">
        <f>IF(NOT(ISNUMBER(INDEX('M04-S03'!$AN$16:$AN$198,2*(ROWS($R$386:$R433)-1)+1))),INDEX('M04-S03'!$AD$16:$AD$198,2*(ROWS($AL$386:$AL433)-1)+1),"")</f>
        <v>0</v>
      </c>
      <c r="AM433" s="184">
        <f>IF(NOT(ISNUMBER(INDEX('M04-S03'!$AN$16:$AN$198,2*(ROWS($R$386:$R433)-1)+1))),INDEX('M04-S03'!$AF$16:$AF$198,2*(ROWS($AM$386:$AM433)-1)+1),"")</f>
        <v>0</v>
      </c>
      <c r="AN433" s="52" t="str">
        <f>IF(NOT(ISNUMBER(INDEX('M04-S03'!$AN$16:$AN$198,2*(ROWS($R$386:$R433)-1)+1))),INDEX('M04-S03'!$AH$16:$AH$198,2*(ROWS($AN$386:$AN433)-1)+1),"")</f>
        <v/>
      </c>
      <c r="AO433" s="113"/>
      <c r="AU433"/>
    </row>
    <row r="434" spans="1:47">
      <c r="A434" s="57">
        <f t="shared" si="37"/>
        <v>0</v>
      </c>
      <c r="B434" s="183" t="str">
        <f t="shared" si="42"/>
        <v/>
      </c>
      <c r="C434" s="566" t="str">
        <f>IF(OR(R434&gt;0,T434&gt;0),INDEX('M04-S03'!$BD$16:$BD$198,2*(ROWS($C$386:C434)-1)+1),"")</f>
        <v/>
      </c>
      <c r="D434" t="s">
        <v>231</v>
      </c>
      <c r="E434" s="112"/>
      <c r="F434" s="112"/>
      <c r="G434" s="96"/>
      <c r="H434" s="96"/>
      <c r="I434" s="184">
        <f>IFERROR(ROUND(IF(ISNUMBER(INDEX('M04-S03'!$AN$16:$AN$198,2*(ROWS($R$386:$R434)-1)+1)),INDEX('M04-S03'!$AD$16:$AD$198,2*(ROWS($I$386:$I434)-1)+1),""),2),0)</f>
        <v>0</v>
      </c>
      <c r="J434" s="184">
        <f>IFERROR(ROUND(IF(ISNUMBER(INDEX('M04-S03'!$AN$16:$AN$198,2*(ROWS($R$386:$R434)-1)+1)),INDEX('M04-S03'!$AF$16:$AF$198,2*(ROWS($J$386:$J434)-1)+1),""),2),0)</f>
        <v>0</v>
      </c>
      <c r="K434" s="52">
        <f>IFERROR(ROUND(IF(ISNUMBER(INDEX('M04-S03'!$AN$16:$AN$198,2*(ROWS($R$386:$R434)-1)+1)),INDEX('M04-S03'!$AH$16:$AH$198,2*(ROWS($K$386:$K434)-1)+1),""),2),0)</f>
        <v>0</v>
      </c>
      <c r="M434" s="456" t="str">
        <f>IF(ISNUMBER(INDEX('M04-S03'!$AN$16:$AN$198,2*(ROWS($R$386:R434)-1)+1)),INDEX('M04-S03'!$X$16:$X$198,2*(ROWS($M$386:M434)-1)+1),"")</f>
        <v/>
      </c>
      <c r="N434" s="184" t="str">
        <f>IFERROR(IF(ISNUMBER(INDEX('M04-S03'!$AN$16:$AN$198,2*(ROWS($R$386:R434)-1)+1)),INDEX('M04-S03'!$AK$16:$AK$198,2*(ROWS($N$386:N434)-1)+1),""),"")</f>
        <v/>
      </c>
      <c r="O434" s="456" t="str">
        <f>IFERROR(IF(ISNUMBER(INDEX('M04-S03'!$AN$16:$AN$198,2*(ROWS($R$386:R434)-1)+1)),INDEX('M04-S03'!$AX$16:$AX$198,2*(ROWS($O$386:O434)-1)+1),""),"")</f>
        <v/>
      </c>
      <c r="P434" s="113"/>
      <c r="Q434" s="113"/>
      <c r="R434" s="184">
        <f>IF(ISNUMBER(INDEX('M04-S03'!$AN$16:$AN$198,2*(ROWS($R$386:R434)-1)+1)),INDEX('M04-S03'!$AN$16:$AN$198,2*(ROWS($R$386:R434)-1)+1),0)</f>
        <v>0</v>
      </c>
      <c r="S434" s="23" t="str">
        <f>IF(NOT(ISNUMBER(INDEX('M04-S03'!$AN$16:$AN$198,2*(ROWS($R$386:R434)-1)+1))),INDEX('M04-S03'!$X$16:$X$198,2*(ROWS($S$386:S434)-1)+1),"")</f>
        <v/>
      </c>
      <c r="T434" s="52" t="str">
        <f>IFERROR(IF(NOT(ISNUMBER(INDEX('M04-S03'!$AN$16:$AN$198,2*(ROWS($R$386:R434)-1)+1))),INDEX('M04-S03'!$AK$16:$AK$198,2*(ROWS($R$386:R434)-1)+1),0),0)</f>
        <v/>
      </c>
      <c r="U434" s="23" t="str">
        <f>IFERROR(IF(NOT(ISNUMBER(INDEX('M04-S03'!$AN$16:$AN$198,2*(ROWS($R$386:R434)-1)+1))),INDEX('M04-S03'!$AX$16:$AX$198,2*(ROWS($R$386:R434)-1)+1),""),"")</f>
        <v/>
      </c>
      <c r="V434" s="113"/>
      <c r="W434" t="str">
        <f>IFERROR(IF(NOT(ISNUMBER(INDEX('M04-S03'!$AN$16:$AN$198,2*(ROWS($R$386:R434)-1)+1))),INDEX('M04-S03'!$BE$16:$BE$198,2*(ROWS($R$386:R434)-1)+1),""),"")</f>
        <v>Submit for Review</v>
      </c>
      <c r="X434" s="113"/>
      <c r="Y434" s="113"/>
      <c r="Z434" s="111">
        <f>INDEX('M04-S03'!$B$16:$B$198,2*(ROWS($Z$386:Z434)-1)+1)</f>
        <v>49</v>
      </c>
      <c r="AA434" s="112"/>
      <c r="AB434" s="111">
        <f>INDEX('M04-S03'!$F$16:$F$198,2*(ROWS($Z$386:AB434)-1)+1)</f>
        <v>0</v>
      </c>
      <c r="AC434">
        <f>INDEX('M04-S03'!$L$16:$L$198,2*(ROWS($AC$386:AC434)-1)+1)</f>
        <v>0</v>
      </c>
      <c r="AD434">
        <f>INDEX('M04-S03'!$T$16:$T$198,2*(ROWS($AD$386:AD434)-1)+1)</f>
        <v>0</v>
      </c>
      <c r="AE434" s="459"/>
      <c r="AF434" s="459"/>
      <c r="AG434" s="111">
        <f>INDEX('M04-S03'!$R$16:$R$198,2*(ROWS($AG$309:AG357)-1)+1)</f>
        <v>0</v>
      </c>
      <c r="AH434" s="111">
        <f>INDEX('M04-S03'!$Z$16:$Z$198,2*(ROWS($AH$386:AH434)-1)+1)</f>
        <v>0</v>
      </c>
      <c r="AI434" s="96"/>
      <c r="AJ434" s="96"/>
      <c r="AK434" s="52" t="str">
        <f>INDEX('M04-S03'!$AV$16:$AV$198,2*(ROWS($AK$386:AK434)-1)+1)</f>
        <v/>
      </c>
      <c r="AL434" s="184">
        <f>IF(NOT(ISNUMBER(INDEX('M04-S03'!$AN$16:$AN$198,2*(ROWS($R$386:$R434)-1)+1))),INDEX('M04-S03'!$AD$16:$AD$198,2*(ROWS($AL$386:$AL434)-1)+1),"")</f>
        <v>0</v>
      </c>
      <c r="AM434" s="184" t="str">
        <f>IF(NOT(ISNUMBER(INDEX('M04-S03'!$AN$16:$AN$198,2*(ROWS($R$386:$R434)-1)+1))),INDEX('M04-S03'!$AF$16:$AF$198,2*(ROWS($AM$386:$AM434)-1)+1),"")</f>
        <v/>
      </c>
      <c r="AN434" s="52" t="str">
        <f>IF(NOT(ISNUMBER(INDEX('M04-S03'!$AN$16:$AN$198,2*(ROWS($R$386:$R434)-1)+1))),INDEX('M04-S03'!$AH$16:$AH$198,2*(ROWS($AN$386:$AN434)-1)+1),"")</f>
        <v/>
      </c>
      <c r="AO434" s="113"/>
      <c r="AU434"/>
    </row>
    <row r="435" spans="1:47">
      <c r="A435" s="57">
        <f t="shared" si="37"/>
        <v>0</v>
      </c>
      <c r="B435" s="183" t="str">
        <f t="shared" si="42"/>
        <v/>
      </c>
      <c r="C435" s="566" t="str">
        <f>IF(OR(R435&gt;0,T435&gt;0),INDEX('M04-S03'!$BD$16:$BD$198,2*(ROWS($C$386:C435)-1)+1),"")</f>
        <v/>
      </c>
      <c r="D435" t="s">
        <v>231</v>
      </c>
      <c r="E435" s="112"/>
      <c r="F435" s="112"/>
      <c r="G435" s="96"/>
      <c r="H435" s="96"/>
      <c r="I435" s="184">
        <f>IFERROR(ROUND(IF(ISNUMBER(INDEX('M04-S03'!$AN$16:$AN$198,2*(ROWS($R$386:$R435)-1)+1)),INDEX('M04-S03'!$AD$16:$AD$198,2*(ROWS($I$386:$I435)-1)+1),""),2),0)</f>
        <v>0</v>
      </c>
      <c r="J435" s="184">
        <f>IFERROR(ROUND(IF(ISNUMBER(INDEX('M04-S03'!$AN$16:$AN$198,2*(ROWS($R$386:$R435)-1)+1)),INDEX('M04-S03'!$AF$16:$AF$198,2*(ROWS($J$386:$J435)-1)+1),""),2),0)</f>
        <v>0</v>
      </c>
      <c r="K435" s="52">
        <f>IFERROR(ROUND(IF(ISNUMBER(INDEX('M04-S03'!$AN$16:$AN$198,2*(ROWS($R$386:$R435)-1)+1)),INDEX('M04-S03'!$AH$16:$AH$198,2*(ROWS($K$386:$K435)-1)+1),""),2),0)</f>
        <v>0</v>
      </c>
      <c r="M435" s="456" t="str">
        <f>IF(ISNUMBER(INDEX('M04-S03'!$AN$16:$AN$198,2*(ROWS($R$386:R435)-1)+1)),INDEX('M04-S03'!$X$16:$X$198,2*(ROWS($M$386:M435)-1)+1),"")</f>
        <v/>
      </c>
      <c r="N435" s="184" t="str">
        <f>IFERROR(IF(ISNUMBER(INDEX('M04-S03'!$AN$16:$AN$198,2*(ROWS($R$386:R435)-1)+1)),INDEX('M04-S03'!$AK$16:$AK$198,2*(ROWS($N$386:N435)-1)+1),""),"")</f>
        <v/>
      </c>
      <c r="O435" s="456" t="str">
        <f>IFERROR(IF(ISNUMBER(INDEX('M04-S03'!$AN$16:$AN$198,2*(ROWS($R$386:R435)-1)+1)),INDEX('M04-S03'!$AX$16:$AX$198,2*(ROWS($O$386:O435)-1)+1),""),"")</f>
        <v/>
      </c>
      <c r="P435" s="113"/>
      <c r="Q435" s="113"/>
      <c r="R435" s="184">
        <f>IF(ISNUMBER(INDEX('M04-S03'!$AN$16:$AN$198,2*(ROWS($R$386:R435)-1)+1)),INDEX('M04-S03'!$AN$16:$AN$198,2*(ROWS($R$386:R435)-1)+1),0)</f>
        <v>0</v>
      </c>
      <c r="S435" s="23" t="str">
        <f>IF(NOT(ISNUMBER(INDEX('M04-S03'!$AN$16:$AN$198,2*(ROWS($R$386:R435)-1)+1))),INDEX('M04-S03'!$X$16:$X$198,2*(ROWS($S$386:S435)-1)+1),"")</f>
        <v/>
      </c>
      <c r="T435" s="52">
        <f>IFERROR(IF(NOT(ISNUMBER(INDEX('M04-S03'!$AN$16:$AN$198,2*(ROWS($R$386:R435)-1)+1))),INDEX('M04-S03'!$AK$16:$AK$198,2*(ROWS($R$386:R435)-1)+1),0),0)</f>
        <v>0</v>
      </c>
      <c r="U435" s="23" t="str">
        <f>IFERROR(IF(NOT(ISNUMBER(INDEX('M04-S03'!$AN$16:$AN$198,2*(ROWS($R$386:R435)-1)+1))),INDEX('M04-S03'!$AX$16:$AX$198,2*(ROWS($R$386:R435)-1)+1),""),"")</f>
        <v/>
      </c>
      <c r="V435" s="113"/>
      <c r="W435" t="str">
        <f>IFERROR(IF(NOT(ISNUMBER(INDEX('M04-S03'!$AN$16:$AN$198,2*(ROWS($R$386:R435)-1)+1))),INDEX('M04-S03'!$BE$16:$BE$198,2*(ROWS($R$386:R435)-1)+1),""),"")</f>
        <v/>
      </c>
      <c r="X435" s="113"/>
      <c r="Y435" s="113"/>
      <c r="Z435" s="111">
        <f>INDEX('M04-S03'!$B$16:$B$198,2*(ROWS($Z$386:Z435)-1)+1)</f>
        <v>50</v>
      </c>
      <c r="AA435" s="112"/>
      <c r="AB435" s="111">
        <f>INDEX('M04-S03'!$F$16:$F$198,2*(ROWS($Z$386:AB435)-1)+1)</f>
        <v>0</v>
      </c>
      <c r="AC435">
        <f>INDEX('M04-S03'!$L$16:$L$198,2*(ROWS($AC$386:AC435)-1)+1)</f>
        <v>0</v>
      </c>
      <c r="AD435">
        <f>INDEX('M04-S03'!$T$16:$T$198,2*(ROWS($AD$386:AD435)-1)+1)</f>
        <v>0</v>
      </c>
      <c r="AE435" s="459"/>
      <c r="AF435" s="459"/>
      <c r="AG435" s="111">
        <f>INDEX('M04-S03'!$R$16:$R$198,2*(ROWS($AG$309:AG358)-1)+1)</f>
        <v>0</v>
      </c>
      <c r="AH435" s="111">
        <f>INDEX('M04-S03'!$Z$16:$Z$198,2*(ROWS($AH$386:AH435)-1)+1)</f>
        <v>0</v>
      </c>
      <c r="AI435" s="96"/>
      <c r="AJ435" s="96"/>
      <c r="AK435" s="52" t="str">
        <f>INDEX('M04-S03'!$AV$16:$AV$198,2*(ROWS($AK$386:AK435)-1)+1)</f>
        <v/>
      </c>
      <c r="AL435" s="184" t="str">
        <f>IF(NOT(ISNUMBER(INDEX('M04-S03'!$AN$16:$AN$198,2*(ROWS($R$386:$R435)-1)+1))),INDEX('M04-S03'!$AD$16:$AD$198,2*(ROWS($AL$386:$AL435)-1)+1),"")</f>
        <v/>
      </c>
      <c r="AM435" s="184" t="str">
        <f>IF(NOT(ISNUMBER(INDEX('M04-S03'!$AN$16:$AN$198,2*(ROWS($R$386:$R435)-1)+1))),INDEX('M04-S03'!$AF$16:$AF$198,2*(ROWS($AM$386:$AM435)-1)+1),"")</f>
        <v/>
      </c>
      <c r="AN435" s="52" t="str">
        <f>IF(NOT(ISNUMBER(INDEX('M04-S03'!$AN$16:$AN$198,2*(ROWS($R$386:$R435)-1)+1))),INDEX('M04-S03'!$AH$16:$AH$198,2*(ROWS($AN$386:$AN435)-1)+1),"")</f>
        <v/>
      </c>
      <c r="AO435" s="113"/>
      <c r="AU435"/>
    </row>
    <row r="436" spans="1:47">
      <c r="A436" s="149" t="str">
        <f>CONCATENATE(MAIN4," ",M4S4)</f>
        <v>CUSTOM MEASURES INPUT Custom / RCx / New Construction
 (Gas)</v>
      </c>
      <c r="B436" s="130"/>
      <c r="C436" s="130"/>
      <c r="D436" s="130"/>
      <c r="E436" s="130"/>
      <c r="F436" s="130"/>
      <c r="G436" s="130"/>
      <c r="H436" s="130"/>
      <c r="I436" s="130"/>
      <c r="J436" s="130"/>
      <c r="K436" s="130"/>
      <c r="L436" s="130"/>
      <c r="M436" s="458"/>
      <c r="N436" s="131"/>
      <c r="O436" s="458"/>
      <c r="P436" s="131"/>
      <c r="Q436" s="131"/>
      <c r="R436" s="130"/>
      <c r="S436" s="458"/>
      <c r="T436" s="131"/>
      <c r="U436" s="458"/>
      <c r="V436" s="131"/>
      <c r="W436" s="130"/>
      <c r="X436" s="131"/>
      <c r="Y436" s="131"/>
      <c r="Z436" s="130"/>
      <c r="AA436" s="130"/>
      <c r="AB436" s="130"/>
      <c r="AC436" s="130"/>
      <c r="AD436" s="130"/>
      <c r="AE436" s="458"/>
      <c r="AF436" s="458"/>
      <c r="AG436" s="130"/>
      <c r="AH436" s="130"/>
      <c r="AI436" s="130"/>
      <c r="AJ436" s="130"/>
      <c r="AK436" s="130"/>
      <c r="AL436" s="130"/>
      <c r="AM436" s="130"/>
      <c r="AN436" s="130"/>
      <c r="AO436" s="130"/>
      <c r="AU436"/>
    </row>
    <row r="437" spans="1:47">
      <c r="A437" s="57">
        <f t="shared" ref="A437:A486" si="43">PROJID</f>
        <v>0</v>
      </c>
      <c r="B437" s="183" t="str">
        <f t="shared" ref="B437:B486" si="44">IF(C437="","",CONCATENATE(ROW(),"-",C437))</f>
        <v/>
      </c>
      <c r="C437" s="186" t="str">
        <f>IF(OR(R437&gt;0,V437&gt;0),INDEX('M04-S04'!$BC$16:$BC$198,2*(ROWS($C$437:C437)-1)+1),"")</f>
        <v/>
      </c>
      <c r="D437" t="str">
        <f>INDEX('M04-S04'!$BD$16:$BD$198,2*(ROWS($AC$437:AC437)-1)+1)</f>
        <v/>
      </c>
      <c r="E437" s="112"/>
      <c r="F437" s="112"/>
      <c r="G437" s="96"/>
      <c r="H437" s="184" t="str">
        <f>INDEX('M04-S04'!$AB$16:$AB$198,2*(ROWS($AC$437:AC437)-1)+1)</f>
        <v/>
      </c>
      <c r="I437" s="184">
        <f>IFERROR(ROUND(IF(ISNUMBER(INDEX('M04-S04'!$AN$16:$AN$198,2*(ROWS($R$437:$R437)-1)+1)),INDEX('M04-S04'!$AD$16:$AD$198,2*(ROWS($I$437:$I437)-1)+1),""),2),0)</f>
        <v>0</v>
      </c>
      <c r="J437" s="184">
        <f>IFERROR(ROUND(IF(ISNUMBER(INDEX('M04-S04'!$AN$16:$AN$198,2*(ROWS($R$437:$R437)-1)+1)),INDEX('M04-S04'!$AF$16:$AF$198,2*(ROWS($J$437:$J437)-1)+1),""),2),0)</f>
        <v>0</v>
      </c>
      <c r="K437" s="52">
        <f>IFERROR(ROUND(IF(ISNUMBER(INDEX('M04-S04'!$AN$16:$AN$198,2*(ROWS($R$437:$R437)-1)+1)),INDEX('M04-S04'!$AH$16:$AH$198,2*(ROWS($K$437:$K437)-1)+1),""),2),0)</f>
        <v>0</v>
      </c>
      <c r="M437" s="456" t="str">
        <f>IF(ISNUMBER(INDEX('M04-S04'!$AN$16:$AN$198,2*(ROWS($R$437:R437)-1)+1)),INDEX('M04-S04'!$X$16:$X$198,2*(ROWS($M$437:M437)-1)+1),"")</f>
        <v/>
      </c>
      <c r="N437" s="113"/>
      <c r="O437" s="459"/>
      <c r="P437" s="184" t="str">
        <f>IFERROR(IF(ISNUMBER(INDEX('M04-S04'!$AN$16:$AN$198,2*(ROWS($R$437:R437)-1)+1)),INDEX('M04-S04'!$AK$16:$AK$196,2*(ROWS($P$437:P437)-1)+1),""),"")</f>
        <v/>
      </c>
      <c r="Q437" s="184"/>
      <c r="R437" s="184">
        <f>IF(ISNUMBER(INDEX('M04-S04'!$AN$16:$AN$198,2*(ROWS($R$437:R437)-1)+1)),INDEX('M04-S04'!$AN$16:$AN$198,2*(ROWS($R$437:R437)-1)+1),0)</f>
        <v>0</v>
      </c>
      <c r="S437" s="23">
        <f>IF(NOT(ISNUMBER(INDEX('M04-S04'!$AN$16:$AN$198,2*(ROWS($R$437:R437)-1)+1))),INDEX('M04-S04'!$X$16:$X$198,2*(ROWS($S$437:S437)-1)+1),"")</f>
        <v>0</v>
      </c>
      <c r="T437" s="113"/>
      <c r="U437" s="459"/>
      <c r="V437" s="52" t="str">
        <f>IFERROR(IF(NOT(ISNUMBER(INDEX('M04-S04'!$AN$16:$AN$198,2*(ROWS($R$437:R437)-1)+1))),INDEX('M04-S04'!$AK$16:$AK$198,2*(ROWS($R$437:R437)-1)+1),0),0)</f>
        <v/>
      </c>
      <c r="W437" t="str">
        <f>IFERROR(IF(NOT(ISNUMBER(INDEX('M04-S04'!$AN$16:$AN$198,2*(ROWS($R$437:R437)-1)+1))),INDEX('M04-S04'!$BD$16:$BD$198,2*(ROWS($R$437:R437)-1)+1),""),"")</f>
        <v/>
      </c>
      <c r="X437" s="113"/>
      <c r="Y437" s="113"/>
      <c r="Z437" s="111">
        <f>INDEX('M04-S04'!$B$16:$B$198,2*(ROWS($Z$437:Z437)-1)+1)</f>
        <v>1</v>
      </c>
      <c r="AA437" s="112"/>
      <c r="AB437" s="111">
        <f>INDEX('M04-S04'!$F$16:$F$198,2*(ROWS($Z$437:AB437)-1)+1)</f>
        <v>0</v>
      </c>
      <c r="AC437">
        <f>INDEX('M04-S04'!$L$16:$L$198,2*(ROWS($AC$437:AC437)-1)+1)</f>
        <v>0</v>
      </c>
      <c r="AD437">
        <f>INDEX('M04-S04'!$T$16:$T$198,2*(ROWS($AD$437:AD437)-1)+1)</f>
        <v>0</v>
      </c>
      <c r="AE437" s="459"/>
      <c r="AF437" s="459"/>
      <c r="AG437" s="96"/>
      <c r="AH437" s="96"/>
      <c r="AI437" s="111">
        <f>INDEX('M04-S04'!$R$16:$R$198,2*(ROWS($AG$437:AI437)-1)+1)</f>
        <v>0</v>
      </c>
      <c r="AJ437" s="111">
        <f>INDEX('M04-S04'!$Z$16:$Z$198,2*(ROWS($AH$437:AJ437)-1)+1)</f>
        <v>0</v>
      </c>
      <c r="AK437" s="52" t="str">
        <f>INDEX('M04-S04'!$AV$16:$AV$198,2*(ROWS($AK$437:AK437)-1)+1)</f>
        <v/>
      </c>
      <c r="AL437" s="184">
        <f>IF(NOT(ISNUMBER(INDEX('M04-S04'!$AN$16:$AN$198,2*(ROWS($R$437:$R437)-1)+1))),INDEX('M04-S04'!$AD$16:$AD$198,2*(ROWS($AL$437:$AL437)-1)+1),"")</f>
        <v>0</v>
      </c>
      <c r="AM437" s="184" t="str">
        <f>IF(NOT(ISNUMBER(INDEX('M04-S04'!$AN$16:$AN$198,2*(ROWS($R$437:$R437)-1)+1))),INDEX('M04-S04'!$AF$16:$AF$198,2*(ROWS($AM$437:$AM437)-1)+1),"")</f>
        <v/>
      </c>
      <c r="AN437" s="52" t="str">
        <f>IF(NOT(ISNUMBER(INDEX('M04-S04'!$AN$16:$AN$198,2*(ROWS($R$437:$R437)-1)+1))),INDEX('M04-S04'!$AH$16:$AH$198,2*(ROWS($AN$437:$AN437)-1)+1),"")</f>
        <v/>
      </c>
      <c r="AO437" s="113"/>
      <c r="AU437"/>
    </row>
    <row r="438" spans="1:47">
      <c r="A438" s="57">
        <f t="shared" si="43"/>
        <v>0</v>
      </c>
      <c r="B438" s="183" t="str">
        <f t="shared" ref="B438:B472" si="45">IF(C438="","",CONCATENATE(ROW(),"-",C438))</f>
        <v/>
      </c>
      <c r="C438" s="186" t="str">
        <f>IF(OR(R438&gt;0,V438&gt;0),INDEX('M04-S04'!$BC$16:$BC$198,2*(ROWS($C$437:C438)-1)+1),"")</f>
        <v/>
      </c>
      <c r="D438">
        <f>INDEX('M04-S04'!$C$16:$C$198,2*(ROWS($AC$437:AC438)-1)+1)</f>
        <v>0</v>
      </c>
      <c r="E438" s="112"/>
      <c r="F438" s="112"/>
      <c r="G438" s="96"/>
      <c r="H438" s="184" t="str">
        <f>INDEX('M04-S04'!$AB$16:$AB$198,2*(ROWS($AC$437:AC438)-1)+1)</f>
        <v/>
      </c>
      <c r="I438" s="184">
        <f>IFERROR(ROUND(IF(ISNUMBER(INDEX('M04-S04'!$AN$16:$AN$198,2*(ROWS($R$437:$R438)-1)+1)),INDEX('M04-S04'!$AD$16:$AD$198,2*(ROWS($I$437:$I438)-1)+1),""),2),0)</f>
        <v>0</v>
      </c>
      <c r="J438" s="184">
        <f>IFERROR(ROUND(IF(ISNUMBER(INDEX('M04-S04'!$AN$16:$AN$198,2*(ROWS($R$437:$R438)-1)+1)),INDEX('M04-S04'!$AF$16:$AF$198,2*(ROWS($J$437:$J438)-1)+1),""),2),0)</f>
        <v>0</v>
      </c>
      <c r="K438" s="52">
        <f>IFERROR(ROUND(IF(ISNUMBER(INDEX('M04-S04'!$AN$16:$AN$198,2*(ROWS($R$437:$R438)-1)+1)),INDEX('M04-S04'!$AH$16:$AH$198,2*(ROWS($K$437:$K438)-1)+1),""),2),0)</f>
        <v>0</v>
      </c>
      <c r="M438" s="456" t="str">
        <f>IF(ISNUMBER(INDEX('M04-S04'!$AN$16:$AN$198,2*(ROWS($R$437:R438)-1)+1)),INDEX('M04-S04'!$X$16:$X$198,2*(ROWS($M$437:M438)-1)+1),"")</f>
        <v/>
      </c>
      <c r="N438" s="113"/>
      <c r="O438" s="459"/>
      <c r="P438" s="184" t="str">
        <f>IFERROR(IF(ISNUMBER(INDEX('M04-S04'!$AN$16:$AN$198,2*(ROWS($R$437:R438)-1)+1)),INDEX('M04-S04'!$AK$16:$AK$196,2*(ROWS($P$437:P438)-1)+1),""),"")</f>
        <v/>
      </c>
      <c r="Q438" s="184"/>
      <c r="R438" s="184">
        <f>IF(ISNUMBER(INDEX('M04-S04'!$AN$16:$AN$198,2*(ROWS($R$437:R438)-1)+1)),INDEX('M04-S04'!$AN$16:$AN$198,2*(ROWS($R$437:R438)-1)+1),0)</f>
        <v>0</v>
      </c>
      <c r="S438" s="23">
        <f>IF(NOT(ISNUMBER(INDEX('M04-S04'!$AN$16:$AN$198,2*(ROWS($R$437:R438)-1)+1))),INDEX('M04-S04'!$X$16:$X$198,2*(ROWS($S$437:S438)-1)+1),"")</f>
        <v>0</v>
      </c>
      <c r="T438" s="113"/>
      <c r="U438" s="459"/>
      <c r="V438" s="52" t="str">
        <f>IFERROR(IF(NOT(ISNUMBER(INDEX('M04-S04'!$AN$16:$AN$198,2*(ROWS($R$437:R438)-1)+1))),INDEX('M04-S04'!$AK$16:$AK$198,2*(ROWS($R$437:R438)-1)+1),0),0)</f>
        <v/>
      </c>
      <c r="W438">
        <f>IFERROR(IF(NOT(ISNUMBER(INDEX('M04-S04'!$AN$16:$AN$198,2*(ROWS($R$437:R438)-1)+1))),INDEX('M04-S04'!$BD$16:$BD$198,2*(ROWS($R$437:R438)-1)+1),""),"")</f>
        <v>0</v>
      </c>
      <c r="X438" s="113"/>
      <c r="Y438" s="113"/>
      <c r="Z438" s="111">
        <f>INDEX('M04-S04'!$B$16:$B$198,2*(ROWS($Z$437:Z438)-1)+1)</f>
        <v>2</v>
      </c>
      <c r="AA438" s="112"/>
      <c r="AB438" s="111">
        <f>INDEX('M04-S04'!$F$16:$F$198,2*(ROWS($Z$437:AB438)-1)+1)</f>
        <v>0</v>
      </c>
      <c r="AC438">
        <f>INDEX('M04-S04'!$L$16:$L$198,2*(ROWS($AC$437:AC438)-1)+1)</f>
        <v>0</v>
      </c>
      <c r="AD438">
        <f>INDEX('M04-S04'!$T$16:$T$198,2*(ROWS($AD$437:AD438)-1)+1)</f>
        <v>0</v>
      </c>
      <c r="AE438" s="459"/>
      <c r="AF438" s="459"/>
      <c r="AG438" s="96"/>
      <c r="AH438" s="96"/>
      <c r="AI438" s="111">
        <f>INDEX('M04-S04'!$R$16:$R$198,2*(ROWS($AG$437:AI438)-1)+1)</f>
        <v>0</v>
      </c>
      <c r="AJ438" s="111">
        <f>INDEX('M04-S04'!$Z$16:$Z$198,2*(ROWS($AH$437:AJ438)-1)+1)</f>
        <v>0</v>
      </c>
      <c r="AK438" s="52" t="str">
        <f>INDEX('M04-S04'!$AV$16:$AV$198,2*(ROWS($AK$437:AK438)-1)+1)</f>
        <v/>
      </c>
      <c r="AL438" s="184">
        <f>IF(NOT(ISNUMBER(INDEX('M04-S04'!$AN$16:$AN$198,2*(ROWS($R$437:$R438)-1)+1))),INDEX('M04-S04'!$AD$16:$AD$198,2*(ROWS($AL$437:$AL438)-1)+1),"")</f>
        <v>0</v>
      </c>
      <c r="AM438" s="184" t="str">
        <f>IF(NOT(ISNUMBER(INDEX('M04-S04'!$AN$16:$AN$198,2*(ROWS($R$437:$R438)-1)+1))),INDEX('M04-S04'!$AF$16:$AF$198,2*(ROWS($AM$437:$AM438)-1)+1),"")</f>
        <v/>
      </c>
      <c r="AN438" s="52" t="str">
        <f>IF(NOT(ISNUMBER(INDEX('M04-S04'!$AN$16:$AN$198,2*(ROWS($R$437:$R438)-1)+1))),INDEX('M04-S04'!$AH$16:$AH$198,2*(ROWS($AN$437:$AN438)-1)+1),"")</f>
        <v/>
      </c>
      <c r="AO438" s="113"/>
      <c r="AU438"/>
    </row>
    <row r="439" spans="1:47">
      <c r="A439" s="57">
        <f t="shared" si="43"/>
        <v>0</v>
      </c>
      <c r="B439" s="183" t="str">
        <f t="shared" si="45"/>
        <v/>
      </c>
      <c r="C439" s="186" t="str">
        <f>IF(OR(R439&gt;0,V439&gt;0),INDEX('M04-S04'!$BC$16:$BC$198,2*(ROWS($C$437:C439)-1)+1),"")</f>
        <v/>
      </c>
      <c r="D439">
        <f>INDEX('M04-S04'!$C$16:$C$198,2*(ROWS($AC$437:AC439)-1)+1)</f>
        <v>0</v>
      </c>
      <c r="E439" s="112"/>
      <c r="F439" s="112"/>
      <c r="G439" s="96"/>
      <c r="H439" s="184" t="str">
        <f>INDEX('M04-S04'!$AB$16:$AB$198,2*(ROWS($AC$437:AC439)-1)+1)</f>
        <v/>
      </c>
      <c r="I439" s="184">
        <f>IFERROR(ROUND(IF(ISNUMBER(INDEX('M04-S04'!$AN$16:$AN$198,2*(ROWS($R$437:$R439)-1)+1)),INDEX('M04-S04'!$AD$16:$AD$198,2*(ROWS($I$437:$I439)-1)+1),""),2),0)</f>
        <v>0</v>
      </c>
      <c r="J439" s="184">
        <f>IFERROR(ROUND(IF(ISNUMBER(INDEX('M04-S04'!$AN$16:$AN$198,2*(ROWS($R$437:$R439)-1)+1)),INDEX('M04-S04'!$AF$16:$AF$198,2*(ROWS($J$437:$J439)-1)+1),""),2),0)</f>
        <v>0</v>
      </c>
      <c r="K439" s="52">
        <f>IFERROR(ROUND(IF(ISNUMBER(INDEX('M04-S04'!$AN$16:$AN$198,2*(ROWS($R$437:$R439)-1)+1)),INDEX('M04-S04'!$AH$16:$AH$198,2*(ROWS($K$437:$K439)-1)+1),""),2),0)</f>
        <v>0</v>
      </c>
      <c r="M439" s="456" t="str">
        <f>IF(ISNUMBER(INDEX('M04-S04'!$AN$16:$AN$198,2*(ROWS($R$437:R439)-1)+1)),INDEX('M04-S04'!$X$16:$X$198,2*(ROWS($M$437:M439)-1)+1),"")</f>
        <v/>
      </c>
      <c r="N439" s="113"/>
      <c r="O439" s="459"/>
      <c r="P439" s="184" t="str">
        <f>IFERROR(IF(ISNUMBER(INDEX('M04-S04'!$AN$16:$AN$198,2*(ROWS($R$437:R439)-1)+1)),INDEX('M04-S04'!$AK$16:$AK$196,2*(ROWS($P$437:P439)-1)+1),""),"")</f>
        <v/>
      </c>
      <c r="Q439" s="184"/>
      <c r="R439" s="184">
        <f>IF(ISNUMBER(INDEX('M04-S04'!$AN$16:$AN$198,2*(ROWS($R$437:R439)-1)+1)),INDEX('M04-S04'!$AN$16:$AN$198,2*(ROWS($R$437:R439)-1)+1),0)</f>
        <v>0</v>
      </c>
      <c r="S439" s="23">
        <f>IF(NOT(ISNUMBER(INDEX('M04-S04'!$AN$16:$AN$198,2*(ROWS($R$437:R439)-1)+1))),INDEX('M04-S04'!$X$16:$X$198,2*(ROWS($S$437:S439)-1)+1),"")</f>
        <v>0</v>
      </c>
      <c r="T439" s="113"/>
      <c r="U439" s="459"/>
      <c r="V439" s="52" t="str">
        <f>IFERROR(IF(NOT(ISNUMBER(INDEX('M04-S04'!$AN$16:$AN$198,2*(ROWS($R$437:R439)-1)+1))),INDEX('M04-S04'!$AK$16:$AK$198,2*(ROWS($R$437:R439)-1)+1),0),0)</f>
        <v/>
      </c>
      <c r="W439">
        <f>IFERROR(IF(NOT(ISNUMBER(INDEX('M04-S04'!$AN$16:$AN$198,2*(ROWS($R$437:R439)-1)+1))),INDEX('M04-S04'!$BD$16:$BD$198,2*(ROWS($R$437:R439)-1)+1),""),"")</f>
        <v>0</v>
      </c>
      <c r="X439" s="113"/>
      <c r="Y439" s="113"/>
      <c r="Z439" s="111">
        <f>INDEX('M04-S04'!$B$16:$B$198,2*(ROWS($Z$437:Z439)-1)+1)</f>
        <v>3</v>
      </c>
      <c r="AA439" s="112"/>
      <c r="AB439" s="111">
        <f>INDEX('M04-S04'!$F$16:$F$198,2*(ROWS($Z$437:AB439)-1)+1)</f>
        <v>0</v>
      </c>
      <c r="AC439">
        <f>INDEX('M04-S04'!$L$16:$L$198,2*(ROWS($AC$437:AC439)-1)+1)</f>
        <v>0</v>
      </c>
      <c r="AD439">
        <f>INDEX('M04-S04'!$T$16:$T$198,2*(ROWS($AD$437:AD439)-1)+1)</f>
        <v>0</v>
      </c>
      <c r="AE439" s="459"/>
      <c r="AF439" s="459"/>
      <c r="AG439" s="96"/>
      <c r="AH439" s="96"/>
      <c r="AI439" s="111">
        <f>INDEX('M04-S04'!$R$16:$R$198,2*(ROWS($AG$437:AI439)-1)+1)</f>
        <v>0</v>
      </c>
      <c r="AJ439" s="111">
        <f>INDEX('M04-S04'!$Z$16:$Z$198,2*(ROWS($AH$437:AJ439)-1)+1)</f>
        <v>0</v>
      </c>
      <c r="AK439" s="52" t="str">
        <f>INDEX('M04-S04'!$AV$16:$AV$198,2*(ROWS($AK$437:AK439)-1)+1)</f>
        <v/>
      </c>
      <c r="AL439" s="184">
        <f>IF(NOT(ISNUMBER(INDEX('M04-S04'!$AN$16:$AN$198,2*(ROWS($R$437:$R439)-1)+1))),INDEX('M04-S04'!$AD$16:$AD$198,2*(ROWS($AL$437:$AL439)-1)+1),"")</f>
        <v>0</v>
      </c>
      <c r="AM439" s="184" t="str">
        <f>IF(NOT(ISNUMBER(INDEX('M04-S04'!$AN$16:$AN$198,2*(ROWS($R$437:$R439)-1)+1))),INDEX('M04-S04'!$AF$16:$AF$198,2*(ROWS($AM$437:$AM439)-1)+1),"")</f>
        <v/>
      </c>
      <c r="AN439" s="52" t="str">
        <f>IF(NOT(ISNUMBER(INDEX('M04-S04'!$AN$16:$AN$198,2*(ROWS($R$437:$R439)-1)+1))),INDEX('M04-S04'!$AH$16:$AH$198,2*(ROWS($AN$437:$AN439)-1)+1),"")</f>
        <v/>
      </c>
      <c r="AO439" s="113"/>
      <c r="AU439"/>
    </row>
    <row r="440" spans="1:47">
      <c r="A440" s="57">
        <f t="shared" si="43"/>
        <v>0</v>
      </c>
      <c r="B440" s="183" t="str">
        <f t="shared" si="45"/>
        <v/>
      </c>
      <c r="C440" s="186" t="str">
        <f>IF(OR(R440&gt;0,V440&gt;0),INDEX('M04-S04'!$BC$16:$BC$198,2*(ROWS($C$437:C440)-1)+1),"")</f>
        <v/>
      </c>
      <c r="D440">
        <f>INDEX('M04-S04'!$C$16:$C$198,2*(ROWS($AC$437:AC440)-1)+1)</f>
        <v>0</v>
      </c>
      <c r="E440" s="112"/>
      <c r="F440" s="112"/>
      <c r="G440" s="96"/>
      <c r="H440" s="184" t="str">
        <f>INDEX('M04-S04'!$AB$16:$AB$198,2*(ROWS($AC$437:AC440)-1)+1)</f>
        <v/>
      </c>
      <c r="I440" s="184">
        <f>IFERROR(ROUND(IF(ISNUMBER(INDEX('M04-S04'!$AN$16:$AN$198,2*(ROWS($R$437:$R440)-1)+1)),INDEX('M04-S04'!$AD$16:$AD$198,2*(ROWS($I$437:$I440)-1)+1),""),2),0)</f>
        <v>0</v>
      </c>
      <c r="J440" s="184">
        <f>IFERROR(ROUND(IF(ISNUMBER(INDEX('M04-S04'!$AN$16:$AN$198,2*(ROWS($R$437:$R440)-1)+1)),INDEX('M04-S04'!$AF$16:$AF$198,2*(ROWS($J$437:$J440)-1)+1),""),2),0)</f>
        <v>0</v>
      </c>
      <c r="K440" s="52">
        <f>IFERROR(ROUND(IF(ISNUMBER(INDEX('M04-S04'!$AN$16:$AN$198,2*(ROWS($R$437:$R440)-1)+1)),INDEX('M04-S04'!$AH$16:$AH$198,2*(ROWS($K$437:$K440)-1)+1),""),2),0)</f>
        <v>0</v>
      </c>
      <c r="M440" s="456" t="str">
        <f>IF(ISNUMBER(INDEX('M04-S04'!$AN$16:$AN$198,2*(ROWS($R$437:R440)-1)+1)),INDEX('M04-S04'!$X$16:$X$198,2*(ROWS($M$437:M440)-1)+1),"")</f>
        <v/>
      </c>
      <c r="N440" s="113"/>
      <c r="O440" s="459"/>
      <c r="P440" s="184" t="str">
        <f>IFERROR(IF(ISNUMBER(INDEX('M04-S04'!$AN$16:$AN$198,2*(ROWS($R$437:R440)-1)+1)),INDEX('M04-S04'!$AK$16:$AK$196,2*(ROWS($P$437:P440)-1)+1),""),"")</f>
        <v/>
      </c>
      <c r="Q440" s="184"/>
      <c r="R440" s="184">
        <f>IF(ISNUMBER(INDEX('M04-S04'!$AN$16:$AN$198,2*(ROWS($R$437:R440)-1)+1)),INDEX('M04-S04'!$AN$16:$AN$198,2*(ROWS($R$437:R440)-1)+1),0)</f>
        <v>0</v>
      </c>
      <c r="S440" s="23">
        <f>IF(NOT(ISNUMBER(INDEX('M04-S04'!$AN$16:$AN$198,2*(ROWS($R$437:R440)-1)+1))),INDEX('M04-S04'!$X$16:$X$198,2*(ROWS($S$437:S440)-1)+1),"")</f>
        <v>0</v>
      </c>
      <c r="T440" s="113"/>
      <c r="U440" s="459"/>
      <c r="V440" s="52" t="str">
        <f>IFERROR(IF(NOT(ISNUMBER(INDEX('M04-S04'!$AN$16:$AN$198,2*(ROWS($R$437:R440)-1)+1))),INDEX('M04-S04'!$AK$16:$AK$198,2*(ROWS($R$437:R440)-1)+1),0),0)</f>
        <v/>
      </c>
      <c r="W440">
        <f>IFERROR(IF(NOT(ISNUMBER(INDEX('M04-S04'!$AN$16:$AN$198,2*(ROWS($R$437:R440)-1)+1))),INDEX('M04-S04'!$BD$16:$BD$198,2*(ROWS($R$437:R440)-1)+1),""),"")</f>
        <v>0</v>
      </c>
      <c r="X440" s="113"/>
      <c r="Y440" s="113"/>
      <c r="Z440" s="111">
        <f>INDEX('M04-S04'!$B$16:$B$198,2*(ROWS($Z$437:Z440)-1)+1)</f>
        <v>4</v>
      </c>
      <c r="AA440" s="112"/>
      <c r="AB440" s="111">
        <f>INDEX('M04-S04'!$F$16:$F$198,2*(ROWS($Z$437:AB440)-1)+1)</f>
        <v>0</v>
      </c>
      <c r="AC440">
        <f>INDEX('M04-S04'!$L$16:$L$198,2*(ROWS($AC$437:AC440)-1)+1)</f>
        <v>0</v>
      </c>
      <c r="AD440">
        <f>INDEX('M04-S04'!$T$16:$T$198,2*(ROWS($AD$437:AD440)-1)+1)</f>
        <v>0</v>
      </c>
      <c r="AE440" s="459"/>
      <c r="AF440" s="459"/>
      <c r="AG440" s="96"/>
      <c r="AH440" s="96"/>
      <c r="AI440" s="111">
        <f>INDEX('M04-S04'!$R$16:$R$198,2*(ROWS($AG$437:AI440)-1)+1)</f>
        <v>0</v>
      </c>
      <c r="AJ440" s="111">
        <f>INDEX('M04-S04'!$Z$16:$Z$198,2*(ROWS($AH$437:AJ440)-1)+1)</f>
        <v>0</v>
      </c>
      <c r="AK440" s="52" t="str">
        <f>INDEX('M04-S04'!$AV$16:$AV$198,2*(ROWS($AK$437:AK440)-1)+1)</f>
        <v/>
      </c>
      <c r="AL440" s="184">
        <f>IF(NOT(ISNUMBER(INDEX('M04-S04'!$AN$16:$AN$198,2*(ROWS($R$437:$R440)-1)+1))),INDEX('M04-S04'!$AD$16:$AD$198,2*(ROWS($AL$437:$AL440)-1)+1),"")</f>
        <v>0</v>
      </c>
      <c r="AM440" s="184" t="str">
        <f>IF(NOT(ISNUMBER(INDEX('M04-S04'!$AN$16:$AN$198,2*(ROWS($R$437:$R440)-1)+1))),INDEX('M04-S04'!$AF$16:$AF$198,2*(ROWS($AM$437:$AM440)-1)+1),"")</f>
        <v/>
      </c>
      <c r="AN440" s="52" t="str">
        <f>IF(NOT(ISNUMBER(INDEX('M04-S04'!$AN$16:$AN$198,2*(ROWS($R$437:$R440)-1)+1))),INDEX('M04-S04'!$AH$16:$AH$198,2*(ROWS($AN$437:$AN440)-1)+1),"")</f>
        <v/>
      </c>
      <c r="AO440" s="113"/>
      <c r="AU440"/>
    </row>
    <row r="441" spans="1:47">
      <c r="A441" s="57">
        <f t="shared" si="43"/>
        <v>0</v>
      </c>
      <c r="B441" s="183" t="str">
        <f t="shared" si="45"/>
        <v/>
      </c>
      <c r="C441" s="186" t="str">
        <f>IF(OR(R441&gt;0,V441&gt;0),INDEX('M04-S04'!$BC$16:$BC$198,2*(ROWS($C$437:C441)-1)+1),"")</f>
        <v/>
      </c>
      <c r="D441">
        <f>INDEX('M04-S04'!$C$16:$C$198,2*(ROWS($AC$437:AC441)-1)+1)</f>
        <v>0</v>
      </c>
      <c r="E441" s="112"/>
      <c r="F441" s="112"/>
      <c r="G441" s="96"/>
      <c r="H441" s="184" t="str">
        <f>INDEX('M04-S04'!$AB$16:$AB$198,2*(ROWS($AC$437:AC441)-1)+1)</f>
        <v/>
      </c>
      <c r="I441" s="184">
        <f>IFERROR(ROUND(IF(ISNUMBER(INDEX('M04-S04'!$AN$16:$AN$198,2*(ROWS($R$437:$R441)-1)+1)),INDEX('M04-S04'!$AD$16:$AD$198,2*(ROWS($I$437:$I441)-1)+1),""),2),0)</f>
        <v>0</v>
      </c>
      <c r="J441" s="184">
        <f>IFERROR(ROUND(IF(ISNUMBER(INDEX('M04-S04'!$AN$16:$AN$198,2*(ROWS($R$437:$R441)-1)+1)),INDEX('M04-S04'!$AF$16:$AF$198,2*(ROWS($J$437:$J441)-1)+1),""),2),0)</f>
        <v>0</v>
      </c>
      <c r="K441" s="52">
        <f>IFERROR(ROUND(IF(ISNUMBER(INDEX('M04-S04'!$AN$16:$AN$198,2*(ROWS($R$437:$R441)-1)+1)),INDEX('M04-S04'!$AH$16:$AH$198,2*(ROWS($K$437:$K441)-1)+1),""),2),0)</f>
        <v>0</v>
      </c>
      <c r="M441" s="456" t="str">
        <f>IF(ISNUMBER(INDEX('M04-S04'!$AN$16:$AN$198,2*(ROWS($R$437:R441)-1)+1)),INDEX('M04-S04'!$X$16:$X$198,2*(ROWS($M$437:M441)-1)+1),"")</f>
        <v/>
      </c>
      <c r="N441" s="113"/>
      <c r="O441" s="459"/>
      <c r="P441" s="184" t="str">
        <f>IFERROR(IF(ISNUMBER(INDEX('M04-S04'!$AN$16:$AN$198,2*(ROWS($R$437:R441)-1)+1)),INDEX('M04-S04'!$AK$16:$AK$196,2*(ROWS($P$437:P441)-1)+1),""),"")</f>
        <v/>
      </c>
      <c r="Q441" s="184"/>
      <c r="R441" s="184">
        <f>IF(ISNUMBER(INDEX('M04-S04'!$AN$16:$AN$198,2*(ROWS($R$437:R441)-1)+1)),INDEX('M04-S04'!$AN$16:$AN$198,2*(ROWS($R$437:R441)-1)+1),0)</f>
        <v>0</v>
      </c>
      <c r="S441" s="23">
        <f>IF(NOT(ISNUMBER(INDEX('M04-S04'!$AN$16:$AN$198,2*(ROWS($R$437:R441)-1)+1))),INDEX('M04-S04'!$X$16:$X$198,2*(ROWS($S$437:S441)-1)+1),"")</f>
        <v>0</v>
      </c>
      <c r="T441" s="113"/>
      <c r="U441" s="459"/>
      <c r="V441" s="52" t="str">
        <f>IFERROR(IF(NOT(ISNUMBER(INDEX('M04-S04'!$AN$16:$AN$198,2*(ROWS($R$437:R441)-1)+1))),INDEX('M04-S04'!$AK$16:$AK$198,2*(ROWS($R$437:R441)-1)+1),0),0)</f>
        <v/>
      </c>
      <c r="W441">
        <f>IFERROR(IF(NOT(ISNUMBER(INDEX('M04-S04'!$AN$16:$AN$198,2*(ROWS($R$437:R441)-1)+1))),INDEX('M04-S04'!$BD$16:$BD$198,2*(ROWS($R$437:R441)-1)+1),""),"")</f>
        <v>0</v>
      </c>
      <c r="X441" s="113"/>
      <c r="Y441" s="113"/>
      <c r="Z441" s="111">
        <f>INDEX('M04-S04'!$B$16:$B$198,2*(ROWS($Z$437:Z441)-1)+1)</f>
        <v>5</v>
      </c>
      <c r="AA441" s="112"/>
      <c r="AB441" s="111">
        <f>INDEX('M04-S04'!$F$16:$F$198,2*(ROWS($Z$437:AB441)-1)+1)</f>
        <v>0</v>
      </c>
      <c r="AC441">
        <f>INDEX('M04-S04'!$L$16:$L$198,2*(ROWS($AC$437:AC441)-1)+1)</f>
        <v>0</v>
      </c>
      <c r="AD441">
        <f>INDEX('M04-S04'!$T$16:$T$198,2*(ROWS($AD$437:AD441)-1)+1)</f>
        <v>0</v>
      </c>
      <c r="AE441" s="459"/>
      <c r="AF441" s="459"/>
      <c r="AG441" s="96"/>
      <c r="AH441" s="96"/>
      <c r="AI441" s="111">
        <f>INDEX('M04-S04'!$R$16:$R$198,2*(ROWS($AG$437:AI441)-1)+1)</f>
        <v>0</v>
      </c>
      <c r="AJ441" s="111">
        <f>INDEX('M04-S04'!$Z$16:$Z$198,2*(ROWS($AH$437:AJ441)-1)+1)</f>
        <v>0</v>
      </c>
      <c r="AK441" s="52" t="str">
        <f>INDEX('M04-S04'!$AV$16:$AV$198,2*(ROWS($AK$437:AK441)-1)+1)</f>
        <v/>
      </c>
      <c r="AL441" s="184">
        <f>IF(NOT(ISNUMBER(INDEX('M04-S04'!$AN$16:$AN$198,2*(ROWS($R$437:$R441)-1)+1))),INDEX('M04-S04'!$AD$16:$AD$198,2*(ROWS($AL$437:$AL441)-1)+1),"")</f>
        <v>0</v>
      </c>
      <c r="AM441" s="184" t="str">
        <f>IF(NOT(ISNUMBER(INDEX('M04-S04'!$AN$16:$AN$198,2*(ROWS($R$437:$R441)-1)+1))),INDEX('M04-S04'!$AF$16:$AF$198,2*(ROWS($AM$437:$AM441)-1)+1),"")</f>
        <v/>
      </c>
      <c r="AN441" s="52" t="str">
        <f>IF(NOT(ISNUMBER(INDEX('M04-S04'!$AN$16:$AN$198,2*(ROWS($R$437:$R441)-1)+1))),INDEX('M04-S04'!$AH$16:$AH$198,2*(ROWS($AN$437:$AN441)-1)+1),"")</f>
        <v/>
      </c>
      <c r="AO441" s="113"/>
      <c r="AU441"/>
    </row>
    <row r="442" spans="1:47">
      <c r="A442" s="57">
        <f t="shared" si="43"/>
        <v>0</v>
      </c>
      <c r="B442" s="183" t="str">
        <f t="shared" si="45"/>
        <v/>
      </c>
      <c r="C442" s="186" t="str">
        <f>IF(OR(R442&gt;0,V442&gt;0),INDEX('M04-S04'!$BC$16:$BC$198,2*(ROWS($C$437:C442)-1)+1),"")</f>
        <v/>
      </c>
      <c r="D442">
        <f>INDEX('M04-S04'!$C$16:$C$198,2*(ROWS($AC$437:AC442)-1)+1)</f>
        <v>0</v>
      </c>
      <c r="E442" s="112"/>
      <c r="F442" s="112"/>
      <c r="G442" s="96"/>
      <c r="H442" s="184" t="str">
        <f>INDEX('M04-S04'!$AB$16:$AB$198,2*(ROWS($AC$437:AC442)-1)+1)</f>
        <v/>
      </c>
      <c r="I442" s="184">
        <f>IFERROR(ROUND(IF(ISNUMBER(INDEX('M04-S04'!$AN$16:$AN$198,2*(ROWS($R$437:$R442)-1)+1)),INDEX('M04-S04'!$AD$16:$AD$198,2*(ROWS($I$437:$I442)-1)+1),""),2),0)</f>
        <v>0</v>
      </c>
      <c r="J442" s="184">
        <f>IFERROR(ROUND(IF(ISNUMBER(INDEX('M04-S04'!$AN$16:$AN$198,2*(ROWS($R$437:$R442)-1)+1)),INDEX('M04-S04'!$AF$16:$AF$198,2*(ROWS($J$437:$J442)-1)+1),""),2),0)</f>
        <v>0</v>
      </c>
      <c r="K442" s="52">
        <f>IFERROR(ROUND(IF(ISNUMBER(INDEX('M04-S04'!$AN$16:$AN$198,2*(ROWS($R$437:$R442)-1)+1)),INDEX('M04-S04'!$AH$16:$AH$198,2*(ROWS($K$437:$K442)-1)+1),""),2),0)</f>
        <v>0</v>
      </c>
      <c r="M442" s="456" t="str">
        <f>IF(ISNUMBER(INDEX('M04-S04'!$AN$16:$AN$198,2*(ROWS($R$437:R442)-1)+1)),INDEX('M04-S04'!$X$16:$X$198,2*(ROWS($M$437:M442)-1)+1),"")</f>
        <v/>
      </c>
      <c r="N442" s="113"/>
      <c r="O442" s="459"/>
      <c r="P442" s="184" t="str">
        <f>IFERROR(IF(ISNUMBER(INDEX('M04-S04'!$AN$16:$AN$198,2*(ROWS($R$437:R442)-1)+1)),INDEX('M04-S04'!$AK$16:$AK$196,2*(ROWS($P$437:P442)-1)+1),""),"")</f>
        <v/>
      </c>
      <c r="Q442" s="184"/>
      <c r="R442" s="184">
        <f>IF(ISNUMBER(INDEX('M04-S04'!$AN$16:$AN$198,2*(ROWS($R$437:R442)-1)+1)),INDEX('M04-S04'!$AN$16:$AN$198,2*(ROWS($R$437:R442)-1)+1),0)</f>
        <v>0</v>
      </c>
      <c r="S442" s="23">
        <f>IF(NOT(ISNUMBER(INDEX('M04-S04'!$AN$16:$AN$198,2*(ROWS($R$437:R442)-1)+1))),INDEX('M04-S04'!$X$16:$X$198,2*(ROWS($S$437:S442)-1)+1),"")</f>
        <v>0</v>
      </c>
      <c r="T442" s="113"/>
      <c r="U442" s="459"/>
      <c r="V442" s="52" t="str">
        <f>IFERROR(IF(NOT(ISNUMBER(INDEX('M04-S04'!$AN$16:$AN$198,2*(ROWS($R$437:R442)-1)+1))),INDEX('M04-S04'!$AK$16:$AK$198,2*(ROWS($R$437:R442)-1)+1),0),0)</f>
        <v/>
      </c>
      <c r="W442">
        <f>IFERROR(IF(NOT(ISNUMBER(INDEX('M04-S04'!$AN$16:$AN$198,2*(ROWS($R$437:R442)-1)+1))),INDEX('M04-S04'!$BD$16:$BD$198,2*(ROWS($R$437:R442)-1)+1),""),"")</f>
        <v>0</v>
      </c>
      <c r="X442" s="113"/>
      <c r="Y442" s="113"/>
      <c r="Z442" s="111">
        <f>INDEX('M04-S04'!$B$16:$B$198,2*(ROWS($Z$437:Z442)-1)+1)</f>
        <v>6</v>
      </c>
      <c r="AA442" s="112"/>
      <c r="AB442" s="111">
        <f>INDEX('M04-S04'!$F$16:$F$198,2*(ROWS($Z$437:AB442)-1)+1)</f>
        <v>0</v>
      </c>
      <c r="AC442">
        <f>INDEX('M04-S04'!$L$16:$L$198,2*(ROWS($AC$437:AC442)-1)+1)</f>
        <v>0</v>
      </c>
      <c r="AD442">
        <f>INDEX('M04-S04'!$T$16:$T$198,2*(ROWS($AD$437:AD442)-1)+1)</f>
        <v>0</v>
      </c>
      <c r="AE442" s="459"/>
      <c r="AF442" s="459"/>
      <c r="AG442" s="96"/>
      <c r="AH442" s="96"/>
      <c r="AI442" s="111">
        <f>INDEX('M04-S04'!$R$16:$R$198,2*(ROWS($AG$437:AI442)-1)+1)</f>
        <v>0</v>
      </c>
      <c r="AJ442" s="111">
        <f>INDEX('M04-S04'!$Z$16:$Z$198,2*(ROWS($AH$437:AJ442)-1)+1)</f>
        <v>0</v>
      </c>
      <c r="AK442" s="52" t="str">
        <f>INDEX('M04-S04'!$AV$16:$AV$198,2*(ROWS($AK$437:AK442)-1)+1)</f>
        <v/>
      </c>
      <c r="AL442" s="184">
        <f>IF(NOT(ISNUMBER(INDEX('M04-S04'!$AN$16:$AN$198,2*(ROWS($R$437:$R442)-1)+1))),INDEX('M04-S04'!$AD$16:$AD$198,2*(ROWS($AL$437:$AL442)-1)+1),"")</f>
        <v>0</v>
      </c>
      <c r="AM442" s="184" t="str">
        <f>IF(NOT(ISNUMBER(INDEX('M04-S04'!$AN$16:$AN$198,2*(ROWS($R$437:$R442)-1)+1))),INDEX('M04-S04'!$AF$16:$AF$198,2*(ROWS($AM$437:$AM442)-1)+1),"")</f>
        <v/>
      </c>
      <c r="AN442" s="52" t="str">
        <f>IF(NOT(ISNUMBER(INDEX('M04-S04'!$AN$16:$AN$198,2*(ROWS($R$437:$R442)-1)+1))),INDEX('M04-S04'!$AH$16:$AH$198,2*(ROWS($AN$437:$AN442)-1)+1),"")</f>
        <v/>
      </c>
      <c r="AO442" s="113"/>
      <c r="AU442"/>
    </row>
    <row r="443" spans="1:47">
      <c r="A443" s="57">
        <f t="shared" si="43"/>
        <v>0</v>
      </c>
      <c r="B443" s="183" t="str">
        <f t="shared" si="45"/>
        <v/>
      </c>
      <c r="C443" s="186" t="str">
        <f>IF(OR(R443&gt;0,V443&gt;0),INDEX('M04-S04'!$BC$16:$BC$198,2*(ROWS($C$437:C443)-1)+1),"")</f>
        <v/>
      </c>
      <c r="D443">
        <f>INDEX('M04-S04'!$C$16:$C$198,2*(ROWS($AC$437:AC443)-1)+1)</f>
        <v>0</v>
      </c>
      <c r="E443" s="112"/>
      <c r="F443" s="112"/>
      <c r="G443" s="96"/>
      <c r="H443" s="184" t="str">
        <f>INDEX('M04-S04'!$AB$16:$AB$198,2*(ROWS($AC$437:AC443)-1)+1)</f>
        <v/>
      </c>
      <c r="I443" s="184">
        <f>IFERROR(ROUND(IF(ISNUMBER(INDEX('M04-S04'!$AN$16:$AN$198,2*(ROWS($R$437:$R443)-1)+1)),INDEX('M04-S04'!$AD$16:$AD$198,2*(ROWS($I$437:$I443)-1)+1),""),2),0)</f>
        <v>0</v>
      </c>
      <c r="J443" s="184">
        <f>IFERROR(ROUND(IF(ISNUMBER(INDEX('M04-S04'!$AN$16:$AN$198,2*(ROWS($R$437:$R443)-1)+1)),INDEX('M04-S04'!$AF$16:$AF$198,2*(ROWS($J$437:$J443)-1)+1),""),2),0)</f>
        <v>0</v>
      </c>
      <c r="K443" s="52">
        <f>IFERROR(ROUND(IF(ISNUMBER(INDEX('M04-S04'!$AN$16:$AN$198,2*(ROWS($R$437:$R443)-1)+1)),INDEX('M04-S04'!$AH$16:$AH$198,2*(ROWS($K$437:$K443)-1)+1),""),2),0)</f>
        <v>0</v>
      </c>
      <c r="M443" s="456" t="str">
        <f>IF(ISNUMBER(INDEX('M04-S04'!$AN$16:$AN$198,2*(ROWS($R$437:R443)-1)+1)),INDEX('M04-S04'!$X$16:$X$198,2*(ROWS($M$437:M443)-1)+1),"")</f>
        <v/>
      </c>
      <c r="N443" s="113"/>
      <c r="O443" s="459"/>
      <c r="P443" s="184" t="str">
        <f>IFERROR(IF(ISNUMBER(INDEX('M04-S04'!$AN$16:$AN$198,2*(ROWS($R$437:R443)-1)+1)),INDEX('M04-S04'!$AK$16:$AK$196,2*(ROWS($P$437:P443)-1)+1),""),"")</f>
        <v/>
      </c>
      <c r="Q443" s="184"/>
      <c r="R443" s="184">
        <f>IF(ISNUMBER(INDEX('M04-S04'!$AN$16:$AN$198,2*(ROWS($R$437:R443)-1)+1)),INDEX('M04-S04'!$AN$16:$AN$198,2*(ROWS($R$437:R443)-1)+1),0)</f>
        <v>0</v>
      </c>
      <c r="S443" s="23">
        <f>IF(NOT(ISNUMBER(INDEX('M04-S04'!$AN$16:$AN$198,2*(ROWS($R$437:R443)-1)+1))),INDEX('M04-S04'!$X$16:$X$198,2*(ROWS($S$437:S443)-1)+1),"")</f>
        <v>0</v>
      </c>
      <c r="T443" s="113"/>
      <c r="U443" s="459"/>
      <c r="V443" s="52" t="str">
        <f>IFERROR(IF(NOT(ISNUMBER(INDEX('M04-S04'!$AN$16:$AN$198,2*(ROWS($R$437:R443)-1)+1))),INDEX('M04-S04'!$AK$16:$AK$198,2*(ROWS($R$437:R443)-1)+1),0),0)</f>
        <v/>
      </c>
      <c r="W443">
        <f>IFERROR(IF(NOT(ISNUMBER(INDEX('M04-S04'!$AN$16:$AN$198,2*(ROWS($R$437:R443)-1)+1))),INDEX('M04-S04'!$BD$16:$BD$198,2*(ROWS($R$437:R443)-1)+1),""),"")</f>
        <v>0</v>
      </c>
      <c r="X443" s="113"/>
      <c r="Y443" s="113"/>
      <c r="Z443" s="111">
        <f>INDEX('M04-S04'!$B$16:$B$198,2*(ROWS($Z$437:Z443)-1)+1)</f>
        <v>7</v>
      </c>
      <c r="AA443" s="112"/>
      <c r="AB443" s="111">
        <f>INDEX('M04-S04'!$F$16:$F$198,2*(ROWS($Z$437:AB443)-1)+1)</f>
        <v>0</v>
      </c>
      <c r="AC443">
        <f>INDEX('M04-S04'!$L$16:$L$198,2*(ROWS($AC$437:AC443)-1)+1)</f>
        <v>0</v>
      </c>
      <c r="AD443">
        <f>INDEX('M04-S04'!$T$16:$T$198,2*(ROWS($AD$437:AD443)-1)+1)</f>
        <v>0</v>
      </c>
      <c r="AE443" s="459"/>
      <c r="AF443" s="459"/>
      <c r="AG443" s="96"/>
      <c r="AH443" s="96"/>
      <c r="AI443" s="111">
        <f>INDEX('M04-S04'!$R$16:$R$198,2*(ROWS($AG$437:AI443)-1)+1)</f>
        <v>0</v>
      </c>
      <c r="AJ443" s="111">
        <f>INDEX('M04-S04'!$Z$16:$Z$198,2*(ROWS($AH$437:AJ443)-1)+1)</f>
        <v>0</v>
      </c>
      <c r="AK443" s="52" t="str">
        <f>INDEX('M04-S04'!$AV$16:$AV$198,2*(ROWS($AK$437:AK443)-1)+1)</f>
        <v/>
      </c>
      <c r="AL443" s="184">
        <f>IF(NOT(ISNUMBER(INDEX('M04-S04'!$AN$16:$AN$198,2*(ROWS($R$437:$R443)-1)+1))),INDEX('M04-S04'!$AD$16:$AD$198,2*(ROWS($AL$437:$AL443)-1)+1),"")</f>
        <v>0</v>
      </c>
      <c r="AM443" s="184" t="str">
        <f>IF(NOT(ISNUMBER(INDEX('M04-S04'!$AN$16:$AN$198,2*(ROWS($R$437:$R443)-1)+1))),INDEX('M04-S04'!$AF$16:$AF$198,2*(ROWS($AM$437:$AM443)-1)+1),"")</f>
        <v/>
      </c>
      <c r="AN443" s="52" t="str">
        <f>IF(NOT(ISNUMBER(INDEX('M04-S04'!$AN$16:$AN$198,2*(ROWS($R$437:$R443)-1)+1))),INDEX('M04-S04'!$AH$16:$AH$198,2*(ROWS($AN$437:$AN443)-1)+1),"")</f>
        <v/>
      </c>
      <c r="AO443" s="113"/>
      <c r="AU443"/>
    </row>
    <row r="444" spans="1:47">
      <c r="A444" s="57">
        <f t="shared" si="43"/>
        <v>0</v>
      </c>
      <c r="B444" s="183" t="str">
        <f t="shared" si="45"/>
        <v/>
      </c>
      <c r="C444" s="186" t="str">
        <f>IF(OR(R444&gt;0,V444&gt;0),INDEX('M04-S04'!$BC$16:$BC$198,2*(ROWS($C$437:C444)-1)+1),"")</f>
        <v/>
      </c>
      <c r="D444">
        <f>INDEX('M04-S04'!$C$16:$C$198,2*(ROWS($AC$437:AC444)-1)+1)</f>
        <v>0</v>
      </c>
      <c r="E444" s="112"/>
      <c r="F444" s="112"/>
      <c r="G444" s="96"/>
      <c r="H444" s="184" t="str">
        <f>INDEX('M04-S04'!$AB$16:$AB$198,2*(ROWS($AC$437:AC444)-1)+1)</f>
        <v/>
      </c>
      <c r="I444" s="184">
        <f>IFERROR(ROUND(IF(ISNUMBER(INDEX('M04-S04'!$AN$16:$AN$198,2*(ROWS($R$437:$R444)-1)+1)),INDEX('M04-S04'!$AD$16:$AD$198,2*(ROWS($I$437:$I444)-1)+1),""),2),0)</f>
        <v>0</v>
      </c>
      <c r="J444" s="184">
        <f>IFERROR(ROUND(IF(ISNUMBER(INDEX('M04-S04'!$AN$16:$AN$198,2*(ROWS($R$437:$R444)-1)+1)),INDEX('M04-S04'!$AF$16:$AF$198,2*(ROWS($J$437:$J444)-1)+1),""),2),0)</f>
        <v>0</v>
      </c>
      <c r="K444" s="52">
        <f>IFERROR(ROUND(IF(ISNUMBER(INDEX('M04-S04'!$AN$16:$AN$198,2*(ROWS($R$437:$R444)-1)+1)),INDEX('M04-S04'!$AH$16:$AH$198,2*(ROWS($K$437:$K444)-1)+1),""),2),0)</f>
        <v>0</v>
      </c>
      <c r="M444" s="456" t="str">
        <f>IF(ISNUMBER(INDEX('M04-S04'!$AN$16:$AN$198,2*(ROWS($R$437:R444)-1)+1)),INDEX('M04-S04'!$X$16:$X$198,2*(ROWS($M$437:M444)-1)+1),"")</f>
        <v/>
      </c>
      <c r="N444" s="113"/>
      <c r="O444" s="459"/>
      <c r="P444" s="184" t="str">
        <f>IFERROR(IF(ISNUMBER(INDEX('M04-S04'!$AN$16:$AN$198,2*(ROWS($R$437:R444)-1)+1)),INDEX('M04-S04'!$AK$16:$AK$196,2*(ROWS($P$437:P444)-1)+1),""),"")</f>
        <v/>
      </c>
      <c r="Q444" s="184"/>
      <c r="R444" s="184">
        <f>IF(ISNUMBER(INDEX('M04-S04'!$AN$16:$AN$198,2*(ROWS($R$437:R444)-1)+1)),INDEX('M04-S04'!$AN$16:$AN$198,2*(ROWS($R$437:R444)-1)+1),0)</f>
        <v>0</v>
      </c>
      <c r="S444" s="23">
        <f>IF(NOT(ISNUMBER(INDEX('M04-S04'!$AN$16:$AN$198,2*(ROWS($R$437:R444)-1)+1))),INDEX('M04-S04'!$X$16:$X$198,2*(ROWS($S$437:S444)-1)+1),"")</f>
        <v>0</v>
      </c>
      <c r="T444" s="113"/>
      <c r="U444" s="459"/>
      <c r="V444" s="52" t="str">
        <f>IFERROR(IF(NOT(ISNUMBER(INDEX('M04-S04'!$AN$16:$AN$198,2*(ROWS($R$437:R444)-1)+1))),INDEX('M04-S04'!$AK$16:$AK$198,2*(ROWS($R$437:R444)-1)+1),0),0)</f>
        <v/>
      </c>
      <c r="W444">
        <f>IFERROR(IF(NOT(ISNUMBER(INDEX('M04-S04'!$AN$16:$AN$198,2*(ROWS($R$437:R444)-1)+1))),INDEX('M04-S04'!$BD$16:$BD$198,2*(ROWS($R$437:R444)-1)+1),""),"")</f>
        <v>0</v>
      </c>
      <c r="X444" s="113"/>
      <c r="Y444" s="113"/>
      <c r="Z444" s="111">
        <f>INDEX('M04-S04'!$B$16:$B$198,2*(ROWS($Z$437:Z444)-1)+1)</f>
        <v>8</v>
      </c>
      <c r="AA444" s="112"/>
      <c r="AB444" s="111">
        <f>INDEX('M04-S04'!$F$16:$F$198,2*(ROWS($Z$437:AB444)-1)+1)</f>
        <v>0</v>
      </c>
      <c r="AC444">
        <f>INDEX('M04-S04'!$L$16:$L$198,2*(ROWS($AC$437:AC444)-1)+1)</f>
        <v>0</v>
      </c>
      <c r="AD444">
        <f>INDEX('M04-S04'!$T$16:$T$198,2*(ROWS($AD$437:AD444)-1)+1)</f>
        <v>0</v>
      </c>
      <c r="AE444" s="459"/>
      <c r="AF444" s="459"/>
      <c r="AG444" s="96"/>
      <c r="AH444" s="96"/>
      <c r="AI444" s="111">
        <f>INDEX('M04-S04'!$R$16:$R$198,2*(ROWS($AG$437:AI444)-1)+1)</f>
        <v>0</v>
      </c>
      <c r="AJ444" s="111">
        <f>INDEX('M04-S04'!$Z$16:$Z$198,2*(ROWS($AH$437:AJ444)-1)+1)</f>
        <v>0</v>
      </c>
      <c r="AK444" s="52" t="str">
        <f>INDEX('M04-S04'!$AV$16:$AV$198,2*(ROWS($AK$437:AK444)-1)+1)</f>
        <v/>
      </c>
      <c r="AL444" s="184">
        <f>IF(NOT(ISNUMBER(INDEX('M04-S04'!$AN$16:$AN$198,2*(ROWS($R$437:$R444)-1)+1))),INDEX('M04-S04'!$AD$16:$AD$198,2*(ROWS($AL$437:$AL444)-1)+1),"")</f>
        <v>0</v>
      </c>
      <c r="AM444" s="184" t="str">
        <f>IF(NOT(ISNUMBER(INDEX('M04-S04'!$AN$16:$AN$198,2*(ROWS($R$437:$R444)-1)+1))),INDEX('M04-S04'!$AF$16:$AF$198,2*(ROWS($AM$437:$AM444)-1)+1),"")</f>
        <v/>
      </c>
      <c r="AN444" s="52" t="str">
        <f>IF(NOT(ISNUMBER(INDEX('M04-S04'!$AN$16:$AN$198,2*(ROWS($R$437:$R444)-1)+1))),INDEX('M04-S04'!$AH$16:$AH$198,2*(ROWS($AN$437:$AN444)-1)+1),"")</f>
        <v/>
      </c>
      <c r="AO444" s="113"/>
      <c r="AU444"/>
    </row>
    <row r="445" spans="1:47">
      <c r="A445" s="57">
        <f t="shared" si="43"/>
        <v>0</v>
      </c>
      <c r="B445" s="183" t="str">
        <f t="shared" si="45"/>
        <v/>
      </c>
      <c r="C445" s="186" t="str">
        <f>IF(OR(R445&gt;0,V445&gt;0),INDEX('M04-S04'!$BC$16:$BC$198,2*(ROWS($C$437:C445)-1)+1),"")</f>
        <v/>
      </c>
      <c r="D445">
        <f>INDEX('M04-S04'!$C$16:$C$198,2*(ROWS($AC$437:AC445)-1)+1)</f>
        <v>0</v>
      </c>
      <c r="E445" s="112"/>
      <c r="F445" s="112"/>
      <c r="G445" s="96"/>
      <c r="H445" s="184" t="str">
        <f>INDEX('M04-S04'!$AB$16:$AB$198,2*(ROWS($AC$437:AC445)-1)+1)</f>
        <v/>
      </c>
      <c r="I445" s="184">
        <f>IFERROR(ROUND(IF(ISNUMBER(INDEX('M04-S04'!$AN$16:$AN$198,2*(ROWS($R$437:$R445)-1)+1)),INDEX('M04-S04'!$AD$16:$AD$198,2*(ROWS($I$437:$I445)-1)+1),""),2),0)</f>
        <v>0</v>
      </c>
      <c r="J445" s="184">
        <f>IFERROR(ROUND(IF(ISNUMBER(INDEX('M04-S04'!$AN$16:$AN$198,2*(ROWS($R$437:$R445)-1)+1)),INDEX('M04-S04'!$AF$16:$AF$198,2*(ROWS($J$437:$J445)-1)+1),""),2),0)</f>
        <v>0</v>
      </c>
      <c r="K445" s="52">
        <f>IFERROR(ROUND(IF(ISNUMBER(INDEX('M04-S04'!$AN$16:$AN$198,2*(ROWS($R$437:$R445)-1)+1)),INDEX('M04-S04'!$AH$16:$AH$198,2*(ROWS($K$437:$K445)-1)+1),""),2),0)</f>
        <v>0</v>
      </c>
      <c r="M445" s="456" t="str">
        <f>IF(ISNUMBER(INDEX('M04-S04'!$AN$16:$AN$198,2*(ROWS($R$437:R445)-1)+1)),INDEX('M04-S04'!$X$16:$X$198,2*(ROWS($M$437:M445)-1)+1),"")</f>
        <v/>
      </c>
      <c r="N445" s="113"/>
      <c r="O445" s="459"/>
      <c r="P445" s="184" t="str">
        <f>IFERROR(IF(ISNUMBER(INDEX('M04-S04'!$AN$16:$AN$198,2*(ROWS($R$437:R445)-1)+1)),INDEX('M04-S04'!$AK$16:$AK$196,2*(ROWS($P$437:P445)-1)+1),""),"")</f>
        <v/>
      </c>
      <c r="Q445" s="184"/>
      <c r="R445" s="184">
        <f>IF(ISNUMBER(INDEX('M04-S04'!$AN$16:$AN$198,2*(ROWS($R$437:R445)-1)+1)),INDEX('M04-S04'!$AN$16:$AN$198,2*(ROWS($R$437:R445)-1)+1),0)</f>
        <v>0</v>
      </c>
      <c r="S445" s="23">
        <f>IF(NOT(ISNUMBER(INDEX('M04-S04'!$AN$16:$AN$198,2*(ROWS($R$437:R445)-1)+1))),INDEX('M04-S04'!$X$16:$X$198,2*(ROWS($S$437:S445)-1)+1),"")</f>
        <v>0</v>
      </c>
      <c r="T445" s="113"/>
      <c r="U445" s="459"/>
      <c r="V445" s="52" t="str">
        <f>IFERROR(IF(NOT(ISNUMBER(INDEX('M04-S04'!$AN$16:$AN$198,2*(ROWS($R$437:R445)-1)+1))),INDEX('M04-S04'!$AK$16:$AK$198,2*(ROWS($R$437:R445)-1)+1),0),0)</f>
        <v/>
      </c>
      <c r="W445">
        <f>IFERROR(IF(NOT(ISNUMBER(INDEX('M04-S04'!$AN$16:$AN$198,2*(ROWS($R$437:R445)-1)+1))),INDEX('M04-S04'!$BD$16:$BD$198,2*(ROWS($R$437:R445)-1)+1),""),"")</f>
        <v>0</v>
      </c>
      <c r="X445" s="113"/>
      <c r="Y445" s="113"/>
      <c r="Z445" s="111">
        <f>INDEX('M04-S04'!$B$16:$B$198,2*(ROWS($Z$437:Z445)-1)+1)</f>
        <v>9</v>
      </c>
      <c r="AA445" s="112"/>
      <c r="AB445" s="111">
        <f>INDEX('M04-S04'!$F$16:$F$198,2*(ROWS($Z$437:AB445)-1)+1)</f>
        <v>0</v>
      </c>
      <c r="AC445">
        <f>INDEX('M04-S04'!$L$16:$L$198,2*(ROWS($AC$437:AC445)-1)+1)</f>
        <v>0</v>
      </c>
      <c r="AD445">
        <f>INDEX('M04-S04'!$T$16:$T$198,2*(ROWS($AD$437:AD445)-1)+1)</f>
        <v>0</v>
      </c>
      <c r="AE445" s="459"/>
      <c r="AF445" s="459"/>
      <c r="AG445" s="96"/>
      <c r="AH445" s="96"/>
      <c r="AI445" s="111">
        <f>INDEX('M04-S04'!$R$16:$R$198,2*(ROWS($AG$437:AI445)-1)+1)</f>
        <v>0</v>
      </c>
      <c r="AJ445" s="111">
        <f>INDEX('M04-S04'!$Z$16:$Z$198,2*(ROWS($AH$437:AJ445)-1)+1)</f>
        <v>0</v>
      </c>
      <c r="AK445" s="52" t="str">
        <f>INDEX('M04-S04'!$AV$16:$AV$198,2*(ROWS($AK$437:AK445)-1)+1)</f>
        <v/>
      </c>
      <c r="AL445" s="184">
        <f>IF(NOT(ISNUMBER(INDEX('M04-S04'!$AN$16:$AN$198,2*(ROWS($R$437:$R445)-1)+1))),INDEX('M04-S04'!$AD$16:$AD$198,2*(ROWS($AL$437:$AL445)-1)+1),"")</f>
        <v>0</v>
      </c>
      <c r="AM445" s="184" t="str">
        <f>IF(NOT(ISNUMBER(INDEX('M04-S04'!$AN$16:$AN$198,2*(ROWS($R$437:$R445)-1)+1))),INDEX('M04-S04'!$AF$16:$AF$198,2*(ROWS($AM$437:$AM445)-1)+1),"")</f>
        <v/>
      </c>
      <c r="AN445" s="52" t="str">
        <f>IF(NOT(ISNUMBER(INDEX('M04-S04'!$AN$16:$AN$198,2*(ROWS($R$437:$R445)-1)+1))),INDEX('M04-S04'!$AH$16:$AH$198,2*(ROWS($AN$437:$AN445)-1)+1),"")</f>
        <v/>
      </c>
      <c r="AO445" s="113"/>
      <c r="AU445"/>
    </row>
    <row r="446" spans="1:47">
      <c r="A446" s="57">
        <f t="shared" si="43"/>
        <v>0</v>
      </c>
      <c r="B446" s="183" t="str">
        <f t="shared" si="45"/>
        <v/>
      </c>
      <c r="C446" s="186" t="str">
        <f>IF(OR(R446&gt;0,V446&gt;0),INDEX('M04-S04'!$BC$16:$BC$198,2*(ROWS($C$437:C446)-1)+1),"")</f>
        <v/>
      </c>
      <c r="D446">
        <f>INDEX('M04-S04'!$C$16:$C$198,2*(ROWS($AC$437:AC446)-1)+1)</f>
        <v>0</v>
      </c>
      <c r="E446" s="112"/>
      <c r="F446" s="112"/>
      <c r="G446" s="96"/>
      <c r="H446" s="184" t="str">
        <f>INDEX('M04-S04'!$AB$16:$AB$198,2*(ROWS($AC$437:AC446)-1)+1)</f>
        <v/>
      </c>
      <c r="I446" s="184">
        <f>IFERROR(ROUND(IF(ISNUMBER(INDEX('M04-S04'!$AN$16:$AN$198,2*(ROWS($R$437:$R446)-1)+1)),INDEX('M04-S04'!$AD$16:$AD$198,2*(ROWS($I$437:$I446)-1)+1),""),2),0)</f>
        <v>0</v>
      </c>
      <c r="J446" s="184">
        <f>IFERROR(ROUND(IF(ISNUMBER(INDEX('M04-S04'!$AN$16:$AN$198,2*(ROWS($R$437:$R446)-1)+1)),INDEX('M04-S04'!$AF$16:$AF$198,2*(ROWS($J$437:$J446)-1)+1),""),2),0)</f>
        <v>0</v>
      </c>
      <c r="K446" s="52">
        <f>IFERROR(ROUND(IF(ISNUMBER(INDEX('M04-S04'!$AN$16:$AN$198,2*(ROWS($R$437:$R446)-1)+1)),INDEX('M04-S04'!$AH$16:$AH$198,2*(ROWS($K$437:$K446)-1)+1),""),2),0)</f>
        <v>0</v>
      </c>
      <c r="M446" s="456" t="str">
        <f>IF(ISNUMBER(INDEX('M04-S04'!$AN$16:$AN$198,2*(ROWS($R$437:R446)-1)+1)),INDEX('M04-S04'!$X$16:$X$198,2*(ROWS($M$437:M446)-1)+1),"")</f>
        <v/>
      </c>
      <c r="N446" s="113"/>
      <c r="O446" s="459"/>
      <c r="P446" s="184" t="str">
        <f>IFERROR(IF(ISNUMBER(INDEX('M04-S04'!$AN$16:$AN$198,2*(ROWS($R$437:R446)-1)+1)),INDEX('M04-S04'!$AK$16:$AK$196,2*(ROWS($P$437:P446)-1)+1),""),"")</f>
        <v/>
      </c>
      <c r="Q446" s="184"/>
      <c r="R446" s="184">
        <f>IF(ISNUMBER(INDEX('M04-S04'!$AN$16:$AN$198,2*(ROWS($R$437:R446)-1)+1)),INDEX('M04-S04'!$AN$16:$AN$198,2*(ROWS($R$437:R446)-1)+1),0)</f>
        <v>0</v>
      </c>
      <c r="S446" s="23">
        <f>IF(NOT(ISNUMBER(INDEX('M04-S04'!$AN$16:$AN$198,2*(ROWS($R$437:R446)-1)+1))),INDEX('M04-S04'!$X$16:$X$198,2*(ROWS($S$437:S446)-1)+1),"")</f>
        <v>0</v>
      </c>
      <c r="T446" s="113"/>
      <c r="U446" s="459"/>
      <c r="V446" s="52" t="str">
        <f>IFERROR(IF(NOT(ISNUMBER(INDEX('M04-S04'!$AN$16:$AN$198,2*(ROWS($R$437:R446)-1)+1))),INDEX('M04-S04'!$AK$16:$AK$198,2*(ROWS($R$437:R446)-1)+1),0),0)</f>
        <v/>
      </c>
      <c r="W446">
        <f>IFERROR(IF(NOT(ISNUMBER(INDEX('M04-S04'!$AN$16:$AN$198,2*(ROWS($R$437:R446)-1)+1))),INDEX('M04-S04'!$BD$16:$BD$198,2*(ROWS($R$437:R446)-1)+1),""),"")</f>
        <v>0</v>
      </c>
      <c r="X446" s="113"/>
      <c r="Y446" s="113"/>
      <c r="Z446" s="111">
        <f>INDEX('M04-S04'!$B$16:$B$198,2*(ROWS($Z$437:Z446)-1)+1)</f>
        <v>10</v>
      </c>
      <c r="AA446" s="112"/>
      <c r="AB446" s="111">
        <f>INDEX('M04-S04'!$F$16:$F$198,2*(ROWS($Z$437:AB446)-1)+1)</f>
        <v>0</v>
      </c>
      <c r="AC446">
        <f>INDEX('M04-S04'!$L$16:$L$198,2*(ROWS($AC$437:AC446)-1)+1)</f>
        <v>0</v>
      </c>
      <c r="AD446">
        <f>INDEX('M04-S04'!$T$16:$T$198,2*(ROWS($AD$437:AD446)-1)+1)</f>
        <v>0</v>
      </c>
      <c r="AE446" s="459"/>
      <c r="AF446" s="459"/>
      <c r="AG446" s="96"/>
      <c r="AH446" s="96"/>
      <c r="AI446" s="111">
        <f>INDEX('M04-S04'!$R$16:$R$198,2*(ROWS($AG$437:AI446)-1)+1)</f>
        <v>0</v>
      </c>
      <c r="AJ446" s="111">
        <f>INDEX('M04-S04'!$Z$16:$Z$198,2*(ROWS($AH$437:AJ446)-1)+1)</f>
        <v>0</v>
      </c>
      <c r="AK446" s="52" t="str">
        <f>INDEX('M04-S04'!$AV$16:$AV$198,2*(ROWS($AK$437:AK446)-1)+1)</f>
        <v/>
      </c>
      <c r="AL446" s="184">
        <f>IF(NOT(ISNUMBER(INDEX('M04-S04'!$AN$16:$AN$198,2*(ROWS($R$437:$R446)-1)+1))),INDEX('M04-S04'!$AD$16:$AD$198,2*(ROWS($AL$437:$AL446)-1)+1),"")</f>
        <v>0</v>
      </c>
      <c r="AM446" s="184" t="str">
        <f>IF(NOT(ISNUMBER(INDEX('M04-S04'!$AN$16:$AN$198,2*(ROWS($R$437:$R446)-1)+1))),INDEX('M04-S04'!$AF$16:$AF$198,2*(ROWS($AM$437:$AM446)-1)+1),"")</f>
        <v/>
      </c>
      <c r="AN446" s="52" t="str">
        <f>IF(NOT(ISNUMBER(INDEX('M04-S04'!$AN$16:$AN$198,2*(ROWS($R$437:$R446)-1)+1))),INDEX('M04-S04'!$AH$16:$AH$198,2*(ROWS($AN$437:$AN446)-1)+1),"")</f>
        <v/>
      </c>
      <c r="AO446" s="113"/>
      <c r="AU446"/>
    </row>
    <row r="447" spans="1:47">
      <c r="A447" s="57">
        <f t="shared" si="43"/>
        <v>0</v>
      </c>
      <c r="B447" s="183" t="str">
        <f t="shared" si="45"/>
        <v/>
      </c>
      <c r="C447" s="186" t="str">
        <f>IF(OR(R447&gt;0,V447&gt;0),INDEX('M04-S04'!$BC$16:$BC$198,2*(ROWS($C$437:C447)-1)+1),"")</f>
        <v/>
      </c>
      <c r="D447" t="s">
        <v>231</v>
      </c>
      <c r="E447" s="112"/>
      <c r="F447" s="112"/>
      <c r="G447" s="96"/>
      <c r="H447" s="96"/>
      <c r="I447" s="184">
        <f>IFERROR(ROUND(IF(ISNUMBER(INDEX('M04-S04'!$AN$16:$AN$198,2*(ROWS($R$437:$R447)-1)+1)),INDEX('M04-S04'!$AD$16:$AD$198,2*(ROWS($I$437:$I447)-1)+1),""),2),0)</f>
        <v>0</v>
      </c>
      <c r="J447" s="184">
        <f>IFERROR(ROUND(IF(ISNUMBER(INDEX('M04-S04'!$AN$16:$AN$198,2*(ROWS($R$437:$R447)-1)+1)),INDEX('M04-S04'!$AF$16:$AF$198,2*(ROWS($J$437:$J447)-1)+1),""),2),0)</f>
        <v>0</v>
      </c>
      <c r="K447" s="52">
        <f>IFERROR(ROUND(IF(ISNUMBER(INDEX('M04-S04'!$AN$16:$AN$198,2*(ROWS($R$437:$R447)-1)+1)),INDEX('M04-S04'!$AH$16:$AH$198,2*(ROWS($K$437:$K447)-1)+1),""),2),0)</f>
        <v>0</v>
      </c>
      <c r="M447" s="456" t="str">
        <f>IF(ISNUMBER(INDEX('M04-S04'!$AN$16:$AN$198,2*(ROWS($R$437:R447)-1)+1)),INDEX('M04-S04'!$X$16:$X$198,2*(ROWS($M$437:M447)-1)+1),"")</f>
        <v/>
      </c>
      <c r="N447" s="113"/>
      <c r="O447" s="459"/>
      <c r="P447" s="184" t="str">
        <f>IFERROR(IF(ISNUMBER(INDEX('M04-S04'!$AN$16:$AN$198,2*(ROWS($R$437:R447)-1)+1)),INDEX('M04-S04'!$AK$16:$AK$196,2*(ROWS($P$437:P447)-1)+1),""),"")</f>
        <v/>
      </c>
      <c r="Q447" s="184"/>
      <c r="R447" s="184">
        <f>IF(ISNUMBER(INDEX('M04-S04'!$AN$16:$AN$198,2*(ROWS($R$437:R447)-1)+1)),INDEX('M04-S04'!$AN$16:$AN$198,2*(ROWS($R$437:R447)-1)+1),0)</f>
        <v>0</v>
      </c>
      <c r="S447" s="23">
        <f>IF(NOT(ISNUMBER(INDEX('M04-S04'!$AN$16:$AN$198,2*(ROWS($R$437:R447)-1)+1))),INDEX('M04-S04'!$X$16:$X$198,2*(ROWS($S$437:S447)-1)+1),"")</f>
        <v>0</v>
      </c>
      <c r="T447" s="113"/>
      <c r="U447" s="459"/>
      <c r="V447" s="52" t="str">
        <f>IFERROR(IF(NOT(ISNUMBER(INDEX('M04-S04'!$AN$16:$AN$198,2*(ROWS($R$437:R447)-1)+1))),INDEX('M04-S04'!$AK$16:$AK$198,2*(ROWS($R$437:R447)-1)+1),0),0)</f>
        <v/>
      </c>
      <c r="W447" t="str">
        <f>IFERROR(IF(NOT(ISNUMBER(INDEX('M04-S04'!$AN$16:$AN$198,2*(ROWS($R$437:R447)-1)+1))),INDEX('M04-S04'!$BD$16:$BD$198,2*(ROWS($R$437:R447)-1)+1),""),"")</f>
        <v>Submit for Review</v>
      </c>
      <c r="X447" s="113"/>
      <c r="Y447" s="113"/>
      <c r="Z447" s="111">
        <f>INDEX('M04-S04'!$B$16:$B$198,2*(ROWS($Z$437:Z447)-1)+1)</f>
        <v>11</v>
      </c>
      <c r="AA447" s="112"/>
      <c r="AB447" s="111">
        <f>INDEX('M04-S04'!$F$16:$F$198,2*(ROWS($Z$437:AB447)-1)+1)</f>
        <v>0</v>
      </c>
      <c r="AC447">
        <f>INDEX('M04-S04'!$L$16:$L$198,2*(ROWS($AC$437:AC447)-1)+1)</f>
        <v>0</v>
      </c>
      <c r="AD447">
        <f>INDEX('M04-S04'!$T$16:$T$198,2*(ROWS($AD$437:AD447)-1)+1)</f>
        <v>0</v>
      </c>
      <c r="AE447" s="459"/>
      <c r="AF447" s="459"/>
      <c r="AG447" s="96"/>
      <c r="AH447" s="96"/>
      <c r="AI447" s="111">
        <f>INDEX('M04-S04'!$R$16:$R$198,2*(ROWS($AG$437:AI447)-1)+1)</f>
        <v>0</v>
      </c>
      <c r="AJ447" s="111">
        <f>INDEX('M04-S04'!$Z$16:$Z$198,2*(ROWS($AH$437:AJ447)-1)+1)</f>
        <v>0</v>
      </c>
      <c r="AK447" s="52" t="str">
        <f>INDEX('M04-S04'!$AV$16:$AV$198,2*(ROWS($AK$437:AK447)-1)+1)</f>
        <v/>
      </c>
      <c r="AL447" s="184">
        <f>IF(NOT(ISNUMBER(INDEX('M04-S04'!$AN$16:$AN$198,2*(ROWS($R$437:$R447)-1)+1))),INDEX('M04-S04'!$AD$16:$AD$198,2*(ROWS($AL$437:$AL447)-1)+1),"")</f>
        <v>0</v>
      </c>
      <c r="AM447" s="184" t="str">
        <f>IF(NOT(ISNUMBER(INDEX('M04-S04'!$AN$16:$AN$198,2*(ROWS($R$437:$R447)-1)+1))),INDEX('M04-S04'!$AF$16:$AF$198,2*(ROWS($AM$437:$AM447)-1)+1),"")</f>
        <v/>
      </c>
      <c r="AN447" s="52" t="str">
        <f>IF(NOT(ISNUMBER(INDEX('M04-S04'!$AN$16:$AN$198,2*(ROWS($R$437:$R447)-1)+1))),INDEX('M04-S04'!$AH$16:$AH$198,2*(ROWS($AN$437:$AN447)-1)+1),"")</f>
        <v/>
      </c>
      <c r="AO447" s="113"/>
      <c r="AU447"/>
    </row>
    <row r="448" spans="1:47">
      <c r="A448" s="57">
        <f t="shared" si="43"/>
        <v>0</v>
      </c>
      <c r="B448" s="183" t="str">
        <f t="shared" si="45"/>
        <v/>
      </c>
      <c r="C448" s="186" t="str">
        <f>IF(OR(R448&gt;0,V448&gt;0),INDEX('M04-S04'!$BC$16:$BC$198,2*(ROWS($C$437:C448)-1)+1),"")</f>
        <v/>
      </c>
      <c r="D448" t="s">
        <v>231</v>
      </c>
      <c r="E448" s="112"/>
      <c r="F448" s="112"/>
      <c r="G448" s="96"/>
      <c r="H448" s="96"/>
      <c r="I448" s="184">
        <f>IFERROR(ROUND(IF(ISNUMBER(INDEX('M04-S04'!$AN$16:$AN$198,2*(ROWS($R$437:$R448)-1)+1)),INDEX('M04-S04'!$AD$16:$AD$198,2*(ROWS($I$437:$I448)-1)+1),""),2),0)</f>
        <v>0</v>
      </c>
      <c r="J448" s="184">
        <f>IFERROR(ROUND(IF(ISNUMBER(INDEX('M04-S04'!$AN$16:$AN$198,2*(ROWS($R$437:$R448)-1)+1)),INDEX('M04-S04'!$AF$16:$AF$198,2*(ROWS($J$437:$J448)-1)+1),""),2),0)</f>
        <v>0</v>
      </c>
      <c r="K448" s="52">
        <f>IFERROR(ROUND(IF(ISNUMBER(INDEX('M04-S04'!$AN$16:$AN$198,2*(ROWS($R$437:$R448)-1)+1)),INDEX('M04-S04'!$AH$16:$AH$198,2*(ROWS($K$437:$K448)-1)+1),""),2),0)</f>
        <v>0</v>
      </c>
      <c r="M448" s="456" t="str">
        <f>IF(ISNUMBER(INDEX('M04-S04'!$AN$16:$AN$198,2*(ROWS($R$437:R448)-1)+1)),INDEX('M04-S04'!$X$16:$X$198,2*(ROWS($M$437:M448)-1)+1),"")</f>
        <v/>
      </c>
      <c r="N448" s="113"/>
      <c r="O448" s="459"/>
      <c r="P448" s="184" t="str">
        <f>IFERROR(IF(ISNUMBER(INDEX('M04-S04'!$AN$16:$AN$198,2*(ROWS($R$437:R448)-1)+1)),INDEX('M04-S04'!$AK$16:$AK$196,2*(ROWS($P$437:P448)-1)+1),""),"")</f>
        <v/>
      </c>
      <c r="Q448" s="184"/>
      <c r="R448" s="184">
        <f>IF(ISNUMBER(INDEX('M04-S04'!$AN$16:$AN$198,2*(ROWS($R$437:R448)-1)+1)),INDEX('M04-S04'!$AN$16:$AN$198,2*(ROWS($R$437:R448)-1)+1),0)</f>
        <v>0</v>
      </c>
      <c r="S448" s="23">
        <f>IF(NOT(ISNUMBER(INDEX('M04-S04'!$AN$16:$AN$198,2*(ROWS($R$437:R448)-1)+1))),INDEX('M04-S04'!$X$16:$X$198,2*(ROWS($S$437:S448)-1)+1),"")</f>
        <v>0</v>
      </c>
      <c r="T448" s="113"/>
      <c r="U448" s="459"/>
      <c r="V448" s="52" t="str">
        <f>IFERROR(IF(NOT(ISNUMBER(INDEX('M04-S04'!$AN$16:$AN$198,2*(ROWS($R$437:R448)-1)+1))),INDEX('M04-S04'!$AK$16:$AK$198,2*(ROWS($R$437:R448)-1)+1),0),0)</f>
        <v/>
      </c>
      <c r="W448" t="str">
        <f>IFERROR(IF(NOT(ISNUMBER(INDEX('M04-S04'!$AN$16:$AN$198,2*(ROWS($R$437:R448)-1)+1))),INDEX('M04-S04'!$BD$16:$BD$198,2*(ROWS($R$437:R448)-1)+1),""),"")</f>
        <v>Submit for Review</v>
      </c>
      <c r="X448" s="113"/>
      <c r="Y448" s="113"/>
      <c r="Z448" s="111">
        <f>INDEX('M04-S04'!$B$16:$B$198,2*(ROWS($Z$437:Z448)-1)+1)</f>
        <v>12</v>
      </c>
      <c r="AA448" s="112"/>
      <c r="AB448" s="111">
        <f>INDEX('M04-S04'!$F$16:$F$198,2*(ROWS($Z$437:AB448)-1)+1)</f>
        <v>0</v>
      </c>
      <c r="AC448">
        <f>INDEX('M04-S04'!$L$16:$L$198,2*(ROWS($AC$437:AC448)-1)+1)</f>
        <v>0</v>
      </c>
      <c r="AD448">
        <f>INDEX('M04-S04'!$T$16:$T$198,2*(ROWS($AD$437:AD448)-1)+1)</f>
        <v>0</v>
      </c>
      <c r="AE448" s="459"/>
      <c r="AF448" s="459"/>
      <c r="AG448" s="96"/>
      <c r="AH448" s="96"/>
      <c r="AI448" s="111">
        <f>INDEX('M04-S04'!$R$16:$R$198,2*(ROWS($AG$437:AI448)-1)+1)</f>
        <v>0</v>
      </c>
      <c r="AJ448" s="111">
        <f>INDEX('M04-S04'!$Z$16:$Z$198,2*(ROWS($AH$437:AJ448)-1)+1)</f>
        <v>0</v>
      </c>
      <c r="AK448" s="52" t="str">
        <f>INDEX('M04-S04'!$AV$16:$AV$198,2*(ROWS($AK$437:AK448)-1)+1)</f>
        <v/>
      </c>
      <c r="AL448" s="184">
        <f>IF(NOT(ISNUMBER(INDEX('M04-S04'!$AN$16:$AN$198,2*(ROWS($R$437:$R448)-1)+1))),INDEX('M04-S04'!$AD$16:$AD$198,2*(ROWS($AL$437:$AL448)-1)+1),"")</f>
        <v>0</v>
      </c>
      <c r="AM448" s="184" t="str">
        <f>IF(NOT(ISNUMBER(INDEX('M04-S04'!$AN$16:$AN$198,2*(ROWS($R$437:$R448)-1)+1))),INDEX('M04-S04'!$AF$16:$AF$198,2*(ROWS($AM$437:$AM448)-1)+1),"")</f>
        <v/>
      </c>
      <c r="AN448" s="52" t="str">
        <f>IF(NOT(ISNUMBER(INDEX('M04-S04'!$AN$16:$AN$198,2*(ROWS($R$437:$R448)-1)+1))),INDEX('M04-S04'!$AH$16:$AH$198,2*(ROWS($AN$437:$AN448)-1)+1),"")</f>
        <v/>
      </c>
      <c r="AO448" s="113"/>
      <c r="AU448"/>
    </row>
    <row r="449" spans="1:47">
      <c r="A449" s="57">
        <f t="shared" si="43"/>
        <v>0</v>
      </c>
      <c r="B449" s="183" t="str">
        <f t="shared" si="45"/>
        <v/>
      </c>
      <c r="C449" s="186" t="str">
        <f>IF(OR(R449&gt;0,V449&gt;0),INDEX('M04-S04'!$BC$16:$BC$198,2*(ROWS($C$437:C449)-1)+1),"")</f>
        <v/>
      </c>
      <c r="D449" t="s">
        <v>231</v>
      </c>
      <c r="E449" s="112"/>
      <c r="F449" s="112"/>
      <c r="G449" s="96"/>
      <c r="H449" s="96"/>
      <c r="I449" s="184">
        <f>IFERROR(ROUND(IF(ISNUMBER(INDEX('M04-S04'!$AN$16:$AN$198,2*(ROWS($R$437:$R449)-1)+1)),INDEX('M04-S04'!$AD$16:$AD$198,2*(ROWS($I$437:$I449)-1)+1),""),2),0)</f>
        <v>0</v>
      </c>
      <c r="J449" s="184">
        <f>IFERROR(ROUND(IF(ISNUMBER(INDEX('M04-S04'!$AN$16:$AN$198,2*(ROWS($R$437:$R449)-1)+1)),INDEX('M04-S04'!$AF$16:$AF$198,2*(ROWS($J$437:$J449)-1)+1),""),2),0)</f>
        <v>0</v>
      </c>
      <c r="K449" s="52">
        <f>IFERROR(ROUND(IF(ISNUMBER(INDEX('M04-S04'!$AN$16:$AN$198,2*(ROWS($R$437:$R449)-1)+1)),INDEX('M04-S04'!$AH$16:$AH$198,2*(ROWS($K$437:$K449)-1)+1),""),2),0)</f>
        <v>0</v>
      </c>
      <c r="M449" s="456" t="str">
        <f>IF(ISNUMBER(INDEX('M04-S04'!$AN$16:$AN$198,2*(ROWS($R$437:R449)-1)+1)),INDEX('M04-S04'!$X$16:$X$198,2*(ROWS($M$437:M449)-1)+1),"")</f>
        <v/>
      </c>
      <c r="N449" s="113"/>
      <c r="O449" s="459"/>
      <c r="P449" s="184" t="str">
        <f>IFERROR(IF(ISNUMBER(INDEX('M04-S04'!$AN$16:$AN$198,2*(ROWS($R$437:R449)-1)+1)),INDEX('M04-S04'!$AK$16:$AK$196,2*(ROWS($P$437:P449)-1)+1),""),"")</f>
        <v/>
      </c>
      <c r="Q449" s="184"/>
      <c r="R449" s="184">
        <f>IF(ISNUMBER(INDEX('M04-S04'!$AN$16:$AN$198,2*(ROWS($R$437:R449)-1)+1)),INDEX('M04-S04'!$AN$16:$AN$198,2*(ROWS($R$437:R449)-1)+1),0)</f>
        <v>0</v>
      </c>
      <c r="S449" s="23">
        <f>IF(NOT(ISNUMBER(INDEX('M04-S04'!$AN$16:$AN$198,2*(ROWS($R$437:R449)-1)+1))),INDEX('M04-S04'!$X$16:$X$198,2*(ROWS($S$437:S449)-1)+1),"")</f>
        <v>0</v>
      </c>
      <c r="T449" s="113"/>
      <c r="U449" s="459"/>
      <c r="V449" s="52" t="str">
        <f>IFERROR(IF(NOT(ISNUMBER(INDEX('M04-S04'!$AN$16:$AN$198,2*(ROWS($R$437:R449)-1)+1))),INDEX('M04-S04'!$AK$16:$AK$198,2*(ROWS($R$437:R449)-1)+1),0),0)</f>
        <v/>
      </c>
      <c r="W449" t="str">
        <f>IFERROR(IF(NOT(ISNUMBER(INDEX('M04-S04'!$AN$16:$AN$198,2*(ROWS($R$437:R449)-1)+1))),INDEX('M04-S04'!$BD$16:$BD$198,2*(ROWS($R$437:R449)-1)+1),""),"")</f>
        <v>Submit for Review</v>
      </c>
      <c r="X449" s="113"/>
      <c r="Y449" s="113"/>
      <c r="Z449" s="111">
        <f>INDEX('M04-S04'!$B$16:$B$198,2*(ROWS($Z$437:Z449)-1)+1)</f>
        <v>13</v>
      </c>
      <c r="AA449" s="112"/>
      <c r="AB449" s="111">
        <f>INDEX('M04-S04'!$F$16:$F$198,2*(ROWS($Z$437:AB449)-1)+1)</f>
        <v>0</v>
      </c>
      <c r="AC449">
        <f>INDEX('M04-S04'!$L$16:$L$198,2*(ROWS($AC$437:AC449)-1)+1)</f>
        <v>0</v>
      </c>
      <c r="AD449">
        <f>INDEX('M04-S04'!$T$16:$T$198,2*(ROWS($AD$437:AD449)-1)+1)</f>
        <v>0</v>
      </c>
      <c r="AE449" s="459"/>
      <c r="AF449" s="459"/>
      <c r="AG449" s="96"/>
      <c r="AH449" s="96"/>
      <c r="AI449" s="111">
        <f>INDEX('M04-S04'!$R$16:$R$198,2*(ROWS($AG$437:AI449)-1)+1)</f>
        <v>0</v>
      </c>
      <c r="AJ449" s="111">
        <f>INDEX('M04-S04'!$Z$16:$Z$198,2*(ROWS($AH$437:AJ449)-1)+1)</f>
        <v>0</v>
      </c>
      <c r="AK449" s="52" t="str">
        <f>INDEX('M04-S04'!$AV$16:$AV$198,2*(ROWS($AK$437:AK449)-1)+1)</f>
        <v/>
      </c>
      <c r="AL449" s="184">
        <f>IF(NOT(ISNUMBER(INDEX('M04-S04'!$AN$16:$AN$198,2*(ROWS($R$437:$R449)-1)+1))),INDEX('M04-S04'!$AD$16:$AD$198,2*(ROWS($AL$437:$AL449)-1)+1),"")</f>
        <v>0</v>
      </c>
      <c r="AM449" s="184" t="str">
        <f>IF(NOT(ISNUMBER(INDEX('M04-S04'!$AN$16:$AN$198,2*(ROWS($R$437:$R449)-1)+1))),INDEX('M04-S04'!$AF$16:$AF$198,2*(ROWS($AM$437:$AM449)-1)+1),"")</f>
        <v/>
      </c>
      <c r="AN449" s="52" t="str">
        <f>IF(NOT(ISNUMBER(INDEX('M04-S04'!$AN$16:$AN$198,2*(ROWS($R$437:$R449)-1)+1))),INDEX('M04-S04'!$AH$16:$AH$198,2*(ROWS($AN$437:$AN449)-1)+1),"")</f>
        <v/>
      </c>
      <c r="AO449" s="113"/>
      <c r="AU449"/>
    </row>
    <row r="450" spans="1:47">
      <c r="A450" s="57">
        <f t="shared" si="43"/>
        <v>0</v>
      </c>
      <c r="B450" s="183" t="str">
        <f t="shared" si="45"/>
        <v/>
      </c>
      <c r="C450" s="186" t="str">
        <f>IF(OR(R450&gt;0,V450&gt;0),INDEX('M04-S04'!$BC$16:$BC$198,2*(ROWS($C$437:C450)-1)+1),"")</f>
        <v/>
      </c>
      <c r="D450" t="s">
        <v>231</v>
      </c>
      <c r="E450" s="112"/>
      <c r="F450" s="112"/>
      <c r="G450" s="96"/>
      <c r="H450" s="96"/>
      <c r="I450" s="184">
        <f>IFERROR(ROUND(IF(ISNUMBER(INDEX('M04-S04'!$AN$16:$AN$198,2*(ROWS($R$437:$R450)-1)+1)),INDEX('M04-S04'!$AD$16:$AD$198,2*(ROWS($I$437:$I450)-1)+1),""),2),0)</f>
        <v>0</v>
      </c>
      <c r="J450" s="184">
        <f>IFERROR(ROUND(IF(ISNUMBER(INDEX('M04-S04'!$AN$16:$AN$198,2*(ROWS($R$437:$R450)-1)+1)),INDEX('M04-S04'!$AF$16:$AF$198,2*(ROWS($J$437:$J450)-1)+1),""),2),0)</f>
        <v>0</v>
      </c>
      <c r="K450" s="52">
        <f>IFERROR(ROUND(IF(ISNUMBER(INDEX('M04-S04'!$AN$16:$AN$198,2*(ROWS($R$437:$R450)-1)+1)),INDEX('M04-S04'!$AH$16:$AH$198,2*(ROWS($K$437:$K450)-1)+1),""),2),0)</f>
        <v>0</v>
      </c>
      <c r="M450" s="456" t="str">
        <f>IF(ISNUMBER(INDEX('M04-S04'!$AN$16:$AN$198,2*(ROWS($R$437:R450)-1)+1)),INDEX('M04-S04'!$X$16:$X$198,2*(ROWS($M$437:M450)-1)+1),"")</f>
        <v/>
      </c>
      <c r="N450" s="113"/>
      <c r="O450" s="459"/>
      <c r="P450" s="184" t="str">
        <f>IFERROR(IF(ISNUMBER(INDEX('M04-S04'!$AN$16:$AN$198,2*(ROWS($R$437:R450)-1)+1)),INDEX('M04-S04'!$AK$16:$AK$196,2*(ROWS($P$437:P450)-1)+1),""),"")</f>
        <v/>
      </c>
      <c r="Q450" s="184"/>
      <c r="R450" s="184">
        <f>IF(ISNUMBER(INDEX('M04-S04'!$AN$16:$AN$198,2*(ROWS($R$437:R450)-1)+1)),INDEX('M04-S04'!$AN$16:$AN$198,2*(ROWS($R$437:R450)-1)+1),0)</f>
        <v>0</v>
      </c>
      <c r="S450" s="23">
        <f>IF(NOT(ISNUMBER(INDEX('M04-S04'!$AN$16:$AN$198,2*(ROWS($R$437:R450)-1)+1))),INDEX('M04-S04'!$X$16:$X$198,2*(ROWS($S$437:S450)-1)+1),"")</f>
        <v>0</v>
      </c>
      <c r="T450" s="113"/>
      <c r="U450" s="459"/>
      <c r="V450" s="52" t="str">
        <f>IFERROR(IF(NOT(ISNUMBER(INDEX('M04-S04'!$AN$16:$AN$198,2*(ROWS($R$437:R450)-1)+1))),INDEX('M04-S04'!$AK$16:$AK$198,2*(ROWS($R$437:R450)-1)+1),0),0)</f>
        <v/>
      </c>
      <c r="W450" t="str">
        <f>IFERROR(IF(NOT(ISNUMBER(INDEX('M04-S04'!$AN$16:$AN$198,2*(ROWS($R$437:R450)-1)+1))),INDEX('M04-S04'!$BD$16:$BD$198,2*(ROWS($R$437:R450)-1)+1),""),"")</f>
        <v>Submit for Review</v>
      </c>
      <c r="X450" s="113"/>
      <c r="Y450" s="113"/>
      <c r="Z450" s="111">
        <f>INDEX('M04-S04'!$B$16:$B$198,2*(ROWS($Z$437:Z450)-1)+1)</f>
        <v>14</v>
      </c>
      <c r="AA450" s="112"/>
      <c r="AB450" s="111">
        <f>INDEX('M04-S04'!$F$16:$F$198,2*(ROWS($Z$437:AB450)-1)+1)</f>
        <v>0</v>
      </c>
      <c r="AC450">
        <f>INDEX('M04-S04'!$L$16:$L$198,2*(ROWS($AC$437:AC450)-1)+1)</f>
        <v>0</v>
      </c>
      <c r="AD450">
        <f>INDEX('M04-S04'!$T$16:$T$198,2*(ROWS($AD$437:AD450)-1)+1)</f>
        <v>0</v>
      </c>
      <c r="AE450" s="459"/>
      <c r="AF450" s="459"/>
      <c r="AG450" s="96"/>
      <c r="AH450" s="96"/>
      <c r="AI450" s="111">
        <f>INDEX('M04-S04'!$R$16:$R$198,2*(ROWS($AG$437:AI450)-1)+1)</f>
        <v>0</v>
      </c>
      <c r="AJ450" s="111">
        <f>INDEX('M04-S04'!$Z$16:$Z$198,2*(ROWS($AH$437:AJ450)-1)+1)</f>
        <v>0</v>
      </c>
      <c r="AK450" s="52" t="str">
        <f>INDEX('M04-S04'!$AV$16:$AV$198,2*(ROWS($AK$437:AK450)-1)+1)</f>
        <v/>
      </c>
      <c r="AL450" s="184">
        <f>IF(NOT(ISNUMBER(INDEX('M04-S04'!$AN$16:$AN$198,2*(ROWS($R$437:$R450)-1)+1))),INDEX('M04-S04'!$AD$16:$AD$198,2*(ROWS($AL$437:$AL450)-1)+1),"")</f>
        <v>0</v>
      </c>
      <c r="AM450" s="184" t="str">
        <f>IF(NOT(ISNUMBER(INDEX('M04-S04'!$AN$16:$AN$198,2*(ROWS($R$437:$R450)-1)+1))),INDEX('M04-S04'!$AF$16:$AF$198,2*(ROWS($AM$437:$AM450)-1)+1),"")</f>
        <v/>
      </c>
      <c r="AN450" s="52" t="str">
        <f>IF(NOT(ISNUMBER(INDEX('M04-S04'!$AN$16:$AN$198,2*(ROWS($R$437:$R450)-1)+1))),INDEX('M04-S04'!$AH$16:$AH$198,2*(ROWS($AN$437:$AN450)-1)+1),"")</f>
        <v/>
      </c>
      <c r="AO450" s="113"/>
      <c r="AU450"/>
    </row>
    <row r="451" spans="1:47">
      <c r="A451" s="57">
        <f t="shared" si="43"/>
        <v>0</v>
      </c>
      <c r="B451" s="183" t="str">
        <f t="shared" si="45"/>
        <v/>
      </c>
      <c r="C451" s="186" t="str">
        <f>IF(OR(R451&gt;0,V451&gt;0),INDEX('M04-S04'!$BC$16:$BC$198,2*(ROWS($C$437:C451)-1)+1),"")</f>
        <v/>
      </c>
      <c r="D451" t="s">
        <v>231</v>
      </c>
      <c r="E451" s="112"/>
      <c r="F451" s="112"/>
      <c r="G451" s="96"/>
      <c r="H451" s="96"/>
      <c r="I451" s="184">
        <f>IFERROR(ROUND(IF(ISNUMBER(INDEX('M04-S04'!$AN$16:$AN$198,2*(ROWS($R$437:$R451)-1)+1)),INDEX('M04-S04'!$AD$16:$AD$198,2*(ROWS($I$437:$I451)-1)+1),""),2),0)</f>
        <v>0</v>
      </c>
      <c r="J451" s="184">
        <f>IFERROR(ROUND(IF(ISNUMBER(INDEX('M04-S04'!$AN$16:$AN$198,2*(ROWS($R$437:$R451)-1)+1)),INDEX('M04-S04'!$AF$16:$AF$198,2*(ROWS($J$437:$J451)-1)+1),""),2),0)</f>
        <v>0</v>
      </c>
      <c r="K451" s="52">
        <f>IFERROR(ROUND(IF(ISNUMBER(INDEX('M04-S04'!$AN$16:$AN$198,2*(ROWS($R$437:$R451)-1)+1)),INDEX('M04-S04'!$AH$16:$AH$198,2*(ROWS($K$437:$K451)-1)+1),""),2),0)</f>
        <v>0</v>
      </c>
      <c r="M451" s="456" t="str">
        <f>IF(ISNUMBER(INDEX('M04-S04'!$AN$16:$AN$198,2*(ROWS($R$437:R451)-1)+1)),INDEX('M04-S04'!$X$16:$X$198,2*(ROWS($M$437:M451)-1)+1),"")</f>
        <v/>
      </c>
      <c r="N451" s="113"/>
      <c r="O451" s="459"/>
      <c r="P451" s="184" t="str">
        <f>IFERROR(IF(ISNUMBER(INDEX('M04-S04'!$AN$16:$AN$198,2*(ROWS($R$437:R451)-1)+1)),INDEX('M04-S04'!$AK$16:$AK$196,2*(ROWS($P$437:P451)-1)+1),""),"")</f>
        <v/>
      </c>
      <c r="Q451" s="184"/>
      <c r="R451" s="184">
        <f>IF(ISNUMBER(INDEX('M04-S04'!$AN$16:$AN$198,2*(ROWS($R$437:R451)-1)+1)),INDEX('M04-S04'!$AN$16:$AN$198,2*(ROWS($R$437:R451)-1)+1),0)</f>
        <v>0</v>
      </c>
      <c r="S451" s="23">
        <f>IF(NOT(ISNUMBER(INDEX('M04-S04'!$AN$16:$AN$198,2*(ROWS($R$437:R451)-1)+1))),INDEX('M04-S04'!$X$16:$X$198,2*(ROWS($S$437:S451)-1)+1),"")</f>
        <v>0</v>
      </c>
      <c r="T451" s="113"/>
      <c r="U451" s="459"/>
      <c r="V451" s="52" t="str">
        <f>IFERROR(IF(NOT(ISNUMBER(INDEX('M04-S04'!$AN$16:$AN$198,2*(ROWS($R$437:R451)-1)+1))),INDEX('M04-S04'!$AK$16:$AK$198,2*(ROWS($R$437:R451)-1)+1),0),0)</f>
        <v/>
      </c>
      <c r="W451" t="str">
        <f>IFERROR(IF(NOT(ISNUMBER(INDEX('M04-S04'!$AN$16:$AN$198,2*(ROWS($R$437:R451)-1)+1))),INDEX('M04-S04'!$BD$16:$BD$198,2*(ROWS($R$437:R451)-1)+1),""),"")</f>
        <v>Submit for Review</v>
      </c>
      <c r="X451" s="113"/>
      <c r="Y451" s="113"/>
      <c r="Z451" s="111">
        <f>INDEX('M04-S04'!$B$16:$B$198,2*(ROWS($Z$437:Z451)-1)+1)</f>
        <v>15</v>
      </c>
      <c r="AA451" s="112"/>
      <c r="AB451" s="111">
        <f>INDEX('M04-S04'!$F$16:$F$198,2*(ROWS($Z$437:AB451)-1)+1)</f>
        <v>0</v>
      </c>
      <c r="AC451">
        <f>INDEX('M04-S04'!$L$16:$L$198,2*(ROWS($AC$437:AC451)-1)+1)</f>
        <v>0</v>
      </c>
      <c r="AD451">
        <f>INDEX('M04-S04'!$T$16:$T$198,2*(ROWS($AD$437:AD451)-1)+1)</f>
        <v>0</v>
      </c>
      <c r="AE451" s="459"/>
      <c r="AF451" s="459"/>
      <c r="AG451" s="96"/>
      <c r="AH451" s="96"/>
      <c r="AI451" s="111">
        <f>INDEX('M04-S04'!$R$16:$R$198,2*(ROWS($AG$437:AI451)-1)+1)</f>
        <v>0</v>
      </c>
      <c r="AJ451" s="111">
        <f>INDEX('M04-S04'!$Z$16:$Z$198,2*(ROWS($AH$437:AJ451)-1)+1)</f>
        <v>0</v>
      </c>
      <c r="AK451" s="52" t="str">
        <f>INDEX('M04-S04'!$AV$16:$AV$198,2*(ROWS($AK$437:AK451)-1)+1)</f>
        <v/>
      </c>
      <c r="AL451" s="184">
        <f>IF(NOT(ISNUMBER(INDEX('M04-S04'!$AN$16:$AN$198,2*(ROWS($R$437:$R451)-1)+1))),INDEX('M04-S04'!$AD$16:$AD$198,2*(ROWS($AL$437:$AL451)-1)+1),"")</f>
        <v>0</v>
      </c>
      <c r="AM451" s="184" t="str">
        <f>IF(NOT(ISNUMBER(INDEX('M04-S04'!$AN$16:$AN$198,2*(ROWS($R$437:$R451)-1)+1))),INDEX('M04-S04'!$AF$16:$AF$198,2*(ROWS($AM$437:$AM451)-1)+1),"")</f>
        <v/>
      </c>
      <c r="AN451" s="52" t="str">
        <f>IF(NOT(ISNUMBER(INDEX('M04-S04'!$AN$16:$AN$198,2*(ROWS($R$437:$R451)-1)+1))),INDEX('M04-S04'!$AH$16:$AH$198,2*(ROWS($AN$437:$AN451)-1)+1),"")</f>
        <v/>
      </c>
      <c r="AO451" s="113"/>
      <c r="AU451"/>
    </row>
    <row r="452" spans="1:47">
      <c r="A452" s="57">
        <f t="shared" si="43"/>
        <v>0</v>
      </c>
      <c r="B452" s="183" t="str">
        <f t="shared" si="45"/>
        <v/>
      </c>
      <c r="C452" s="186" t="str">
        <f>IF(OR(R452&gt;0,V452&gt;0),INDEX('M04-S04'!$BC$16:$BC$198,2*(ROWS($C$437:C452)-1)+1),"")</f>
        <v/>
      </c>
      <c r="D452" t="s">
        <v>231</v>
      </c>
      <c r="E452" s="112"/>
      <c r="F452" s="112"/>
      <c r="G452" s="96"/>
      <c r="H452" s="96"/>
      <c r="I452" s="184">
        <f>IFERROR(ROUND(IF(ISNUMBER(INDEX('M04-S04'!$AN$16:$AN$198,2*(ROWS($R$437:$R452)-1)+1)),INDEX('M04-S04'!$AD$16:$AD$198,2*(ROWS($I$437:$I452)-1)+1),""),2),0)</f>
        <v>0</v>
      </c>
      <c r="J452" s="184">
        <f>IFERROR(ROUND(IF(ISNUMBER(INDEX('M04-S04'!$AN$16:$AN$198,2*(ROWS($R$437:$R452)-1)+1)),INDEX('M04-S04'!$AF$16:$AF$198,2*(ROWS($J$437:$J452)-1)+1),""),2),0)</f>
        <v>0</v>
      </c>
      <c r="K452" s="52">
        <f>IFERROR(ROUND(IF(ISNUMBER(INDEX('M04-S04'!$AN$16:$AN$198,2*(ROWS($R$437:$R452)-1)+1)),INDEX('M04-S04'!$AH$16:$AH$198,2*(ROWS($K$437:$K452)-1)+1),""),2),0)</f>
        <v>0</v>
      </c>
      <c r="M452" s="456" t="str">
        <f>IF(ISNUMBER(INDEX('M04-S04'!$AN$16:$AN$198,2*(ROWS($R$437:R452)-1)+1)),INDEX('M04-S04'!$X$16:$X$198,2*(ROWS($M$437:M452)-1)+1),"")</f>
        <v/>
      </c>
      <c r="N452" s="113"/>
      <c r="O452" s="459"/>
      <c r="P452" s="184" t="str">
        <f>IFERROR(IF(ISNUMBER(INDEX('M04-S04'!$AN$16:$AN$198,2*(ROWS($R$437:R452)-1)+1)),INDEX('M04-S04'!$AK$16:$AK$196,2*(ROWS($P$437:P452)-1)+1),""),"")</f>
        <v/>
      </c>
      <c r="Q452" s="184"/>
      <c r="R452" s="184">
        <f>IF(ISNUMBER(INDEX('M04-S04'!$AN$16:$AN$198,2*(ROWS($R$437:R452)-1)+1)),INDEX('M04-S04'!$AN$16:$AN$198,2*(ROWS($R$437:R452)-1)+1),0)</f>
        <v>0</v>
      </c>
      <c r="S452" s="23">
        <f>IF(NOT(ISNUMBER(INDEX('M04-S04'!$AN$16:$AN$198,2*(ROWS($R$437:R452)-1)+1))),INDEX('M04-S04'!$X$16:$X$198,2*(ROWS($S$437:S452)-1)+1),"")</f>
        <v>0</v>
      </c>
      <c r="T452" s="113"/>
      <c r="U452" s="459"/>
      <c r="V452" s="52" t="str">
        <f>IFERROR(IF(NOT(ISNUMBER(INDEX('M04-S04'!$AN$16:$AN$198,2*(ROWS($R$437:R452)-1)+1))),INDEX('M04-S04'!$AK$16:$AK$198,2*(ROWS($R$437:R452)-1)+1),0),0)</f>
        <v/>
      </c>
      <c r="W452" t="str">
        <f>IFERROR(IF(NOT(ISNUMBER(INDEX('M04-S04'!$AN$16:$AN$198,2*(ROWS($R$437:R452)-1)+1))),INDEX('M04-S04'!$BD$16:$BD$198,2*(ROWS($R$437:R452)-1)+1),""),"")</f>
        <v>Submit for Review</v>
      </c>
      <c r="X452" s="113"/>
      <c r="Y452" s="113"/>
      <c r="Z452" s="111">
        <f>INDEX('M04-S04'!$B$16:$B$198,2*(ROWS($Z$437:Z452)-1)+1)</f>
        <v>16</v>
      </c>
      <c r="AA452" s="112"/>
      <c r="AB452" s="111">
        <f>INDEX('M04-S04'!$F$16:$F$198,2*(ROWS($Z$437:AB452)-1)+1)</f>
        <v>0</v>
      </c>
      <c r="AC452">
        <f>INDEX('M04-S04'!$L$16:$L$198,2*(ROWS($AC$437:AC452)-1)+1)</f>
        <v>0</v>
      </c>
      <c r="AD452">
        <f>INDEX('M04-S04'!$T$16:$T$198,2*(ROWS($AD$437:AD452)-1)+1)</f>
        <v>0</v>
      </c>
      <c r="AE452" s="459"/>
      <c r="AF452" s="459"/>
      <c r="AG452" s="96"/>
      <c r="AH452" s="96"/>
      <c r="AI452" s="111">
        <f>INDEX('M04-S04'!$R$16:$R$198,2*(ROWS($AG$437:AI452)-1)+1)</f>
        <v>0</v>
      </c>
      <c r="AJ452" s="111">
        <f>INDEX('M04-S04'!$Z$16:$Z$198,2*(ROWS($AH$437:AJ452)-1)+1)</f>
        <v>0</v>
      </c>
      <c r="AK452" s="52" t="str">
        <f>INDEX('M04-S04'!$AV$16:$AV$198,2*(ROWS($AK$437:AK452)-1)+1)</f>
        <v/>
      </c>
      <c r="AL452" s="184">
        <f>IF(NOT(ISNUMBER(INDEX('M04-S04'!$AN$16:$AN$198,2*(ROWS($R$437:$R452)-1)+1))),INDEX('M04-S04'!$AD$16:$AD$198,2*(ROWS($AL$437:$AL452)-1)+1),"")</f>
        <v>0</v>
      </c>
      <c r="AM452" s="184" t="str">
        <f>IF(NOT(ISNUMBER(INDEX('M04-S04'!$AN$16:$AN$198,2*(ROWS($R$437:$R452)-1)+1))),INDEX('M04-S04'!$AF$16:$AF$198,2*(ROWS($AM$437:$AM452)-1)+1),"")</f>
        <v/>
      </c>
      <c r="AN452" s="52" t="str">
        <f>IF(NOT(ISNUMBER(INDEX('M04-S04'!$AN$16:$AN$198,2*(ROWS($R$437:$R452)-1)+1))),INDEX('M04-S04'!$AH$16:$AH$198,2*(ROWS($AN$437:$AN452)-1)+1),"")</f>
        <v/>
      </c>
      <c r="AO452" s="113"/>
      <c r="AU452"/>
    </row>
    <row r="453" spans="1:47">
      <c r="A453" s="57">
        <f t="shared" si="43"/>
        <v>0</v>
      </c>
      <c r="B453" s="183" t="str">
        <f t="shared" si="45"/>
        <v/>
      </c>
      <c r="C453" s="186" t="str">
        <f>IF(OR(R453&gt;0,V453&gt;0),INDEX('M04-S04'!$BC$16:$BC$198,2*(ROWS($C$437:C453)-1)+1),"")</f>
        <v/>
      </c>
      <c r="D453" t="s">
        <v>231</v>
      </c>
      <c r="E453" s="112"/>
      <c r="F453" s="112"/>
      <c r="G453" s="96"/>
      <c r="H453" s="96"/>
      <c r="I453" s="184">
        <f>IFERROR(ROUND(IF(ISNUMBER(INDEX('M04-S04'!$AN$16:$AN$198,2*(ROWS($R$437:$R453)-1)+1)),INDEX('M04-S04'!$AD$16:$AD$198,2*(ROWS($I$437:$I453)-1)+1),""),2),0)</f>
        <v>0</v>
      </c>
      <c r="J453" s="184">
        <f>IFERROR(ROUND(IF(ISNUMBER(INDEX('M04-S04'!$AN$16:$AN$198,2*(ROWS($R$437:$R453)-1)+1)),INDEX('M04-S04'!$AF$16:$AF$198,2*(ROWS($J$437:$J453)-1)+1),""),2),0)</f>
        <v>0</v>
      </c>
      <c r="K453" s="52">
        <f>IFERROR(ROUND(IF(ISNUMBER(INDEX('M04-S04'!$AN$16:$AN$198,2*(ROWS($R$437:$R453)-1)+1)),INDEX('M04-S04'!$AH$16:$AH$198,2*(ROWS($K$437:$K453)-1)+1),""),2),0)</f>
        <v>0</v>
      </c>
      <c r="M453" s="456" t="str">
        <f>IF(ISNUMBER(INDEX('M04-S04'!$AN$16:$AN$198,2*(ROWS($R$437:R453)-1)+1)),INDEX('M04-S04'!$X$16:$X$198,2*(ROWS($M$437:M453)-1)+1),"")</f>
        <v/>
      </c>
      <c r="N453" s="113"/>
      <c r="O453" s="459"/>
      <c r="P453" s="184" t="str">
        <f>IFERROR(IF(ISNUMBER(INDEX('M04-S04'!$AN$16:$AN$198,2*(ROWS($R$437:R453)-1)+1)),INDEX('M04-S04'!$AK$16:$AK$196,2*(ROWS($P$437:P453)-1)+1),""),"")</f>
        <v/>
      </c>
      <c r="Q453" s="184"/>
      <c r="R453" s="184">
        <f>IF(ISNUMBER(INDEX('M04-S04'!$AN$16:$AN$198,2*(ROWS($R$437:R453)-1)+1)),INDEX('M04-S04'!$AN$16:$AN$198,2*(ROWS($R$437:R453)-1)+1),0)</f>
        <v>0</v>
      </c>
      <c r="S453" s="23">
        <f>IF(NOT(ISNUMBER(INDEX('M04-S04'!$AN$16:$AN$198,2*(ROWS($R$437:R453)-1)+1))),INDEX('M04-S04'!$X$16:$X$198,2*(ROWS($S$437:S453)-1)+1),"")</f>
        <v>0</v>
      </c>
      <c r="T453" s="113"/>
      <c r="U453" s="459"/>
      <c r="V453" s="52" t="str">
        <f>IFERROR(IF(NOT(ISNUMBER(INDEX('M04-S04'!$AN$16:$AN$198,2*(ROWS($R$437:R453)-1)+1))),INDEX('M04-S04'!$AK$16:$AK$198,2*(ROWS($R$437:R453)-1)+1),0),0)</f>
        <v/>
      </c>
      <c r="W453" t="str">
        <f>IFERROR(IF(NOT(ISNUMBER(INDEX('M04-S04'!$AN$16:$AN$198,2*(ROWS($R$437:R453)-1)+1))),INDEX('M04-S04'!$BD$16:$BD$198,2*(ROWS($R$437:R453)-1)+1),""),"")</f>
        <v>Submit for Review</v>
      </c>
      <c r="X453" s="113"/>
      <c r="Y453" s="113"/>
      <c r="Z453" s="111">
        <f>INDEX('M04-S04'!$B$16:$B$198,2*(ROWS($Z$437:Z453)-1)+1)</f>
        <v>17</v>
      </c>
      <c r="AA453" s="112"/>
      <c r="AB453" s="111">
        <f>INDEX('M04-S04'!$F$16:$F$198,2*(ROWS($Z$437:AB453)-1)+1)</f>
        <v>0</v>
      </c>
      <c r="AC453">
        <f>INDEX('M04-S04'!$L$16:$L$198,2*(ROWS($AC$437:AC453)-1)+1)</f>
        <v>0</v>
      </c>
      <c r="AD453">
        <f>INDEX('M04-S04'!$T$16:$T$198,2*(ROWS($AD$437:AD453)-1)+1)</f>
        <v>0</v>
      </c>
      <c r="AE453" s="459"/>
      <c r="AF453" s="459"/>
      <c r="AG453" s="96"/>
      <c r="AH453" s="96"/>
      <c r="AI453" s="111">
        <f>INDEX('M04-S04'!$R$16:$R$198,2*(ROWS($AG$437:AI453)-1)+1)</f>
        <v>0</v>
      </c>
      <c r="AJ453" s="111">
        <f>INDEX('M04-S04'!$Z$16:$Z$198,2*(ROWS($AH$437:AJ453)-1)+1)</f>
        <v>0</v>
      </c>
      <c r="AK453" s="52" t="str">
        <f>INDEX('M04-S04'!$AV$16:$AV$198,2*(ROWS($AK$437:AK453)-1)+1)</f>
        <v/>
      </c>
      <c r="AL453" s="184">
        <f>IF(NOT(ISNUMBER(INDEX('M04-S04'!$AN$16:$AN$198,2*(ROWS($R$437:$R453)-1)+1))),INDEX('M04-S04'!$AD$16:$AD$198,2*(ROWS($AL$437:$AL453)-1)+1),"")</f>
        <v>0</v>
      </c>
      <c r="AM453" s="184" t="str">
        <f>IF(NOT(ISNUMBER(INDEX('M04-S04'!$AN$16:$AN$198,2*(ROWS($R$437:$R453)-1)+1))),INDEX('M04-S04'!$AF$16:$AF$198,2*(ROWS($AM$437:$AM453)-1)+1),"")</f>
        <v/>
      </c>
      <c r="AN453" s="52" t="str">
        <f>IF(NOT(ISNUMBER(INDEX('M04-S04'!$AN$16:$AN$198,2*(ROWS($R$437:$R453)-1)+1))),INDEX('M04-S04'!$AH$16:$AH$198,2*(ROWS($AN$437:$AN453)-1)+1),"")</f>
        <v/>
      </c>
      <c r="AO453" s="113"/>
      <c r="AU453"/>
    </row>
    <row r="454" spans="1:47">
      <c r="A454" s="57">
        <f t="shared" si="43"/>
        <v>0</v>
      </c>
      <c r="B454" s="183" t="str">
        <f t="shared" si="45"/>
        <v/>
      </c>
      <c r="C454" s="186" t="str">
        <f>IF(OR(R454&gt;0,V454&gt;0),INDEX('M04-S04'!$BC$16:$BC$198,2*(ROWS($C$437:C454)-1)+1),"")</f>
        <v/>
      </c>
      <c r="D454" t="s">
        <v>231</v>
      </c>
      <c r="E454" s="112"/>
      <c r="F454" s="112"/>
      <c r="G454" s="96"/>
      <c r="H454" s="96"/>
      <c r="I454" s="184">
        <f>IFERROR(ROUND(IF(ISNUMBER(INDEX('M04-S04'!$AN$16:$AN$198,2*(ROWS($R$437:$R454)-1)+1)),INDEX('M04-S04'!$AD$16:$AD$198,2*(ROWS($I$437:$I454)-1)+1),""),2),0)</f>
        <v>0</v>
      </c>
      <c r="J454" s="184">
        <f>IFERROR(ROUND(IF(ISNUMBER(INDEX('M04-S04'!$AN$16:$AN$198,2*(ROWS($R$437:$R454)-1)+1)),INDEX('M04-S04'!$AF$16:$AF$198,2*(ROWS($J$437:$J454)-1)+1),""),2),0)</f>
        <v>0</v>
      </c>
      <c r="K454" s="52">
        <f>IFERROR(ROUND(IF(ISNUMBER(INDEX('M04-S04'!$AN$16:$AN$198,2*(ROWS($R$437:$R454)-1)+1)),INDEX('M04-S04'!$AH$16:$AH$198,2*(ROWS($K$437:$K454)-1)+1),""),2),0)</f>
        <v>0</v>
      </c>
      <c r="M454" s="456" t="str">
        <f>IF(ISNUMBER(INDEX('M04-S04'!$AN$16:$AN$198,2*(ROWS($R$437:R454)-1)+1)),INDEX('M04-S04'!$X$16:$X$198,2*(ROWS($M$437:M454)-1)+1),"")</f>
        <v/>
      </c>
      <c r="N454" s="113"/>
      <c r="O454" s="459"/>
      <c r="P454" s="184" t="str">
        <f>IFERROR(IF(ISNUMBER(INDEX('M04-S04'!$AN$16:$AN$198,2*(ROWS($R$437:R454)-1)+1)),INDEX('M04-S04'!$AK$16:$AK$196,2*(ROWS($P$437:P454)-1)+1),""),"")</f>
        <v/>
      </c>
      <c r="Q454" s="184"/>
      <c r="R454" s="184">
        <f>IF(ISNUMBER(INDEX('M04-S04'!$AN$16:$AN$198,2*(ROWS($R$437:R454)-1)+1)),INDEX('M04-S04'!$AN$16:$AN$198,2*(ROWS($R$437:R454)-1)+1),0)</f>
        <v>0</v>
      </c>
      <c r="S454" s="23">
        <f>IF(NOT(ISNUMBER(INDEX('M04-S04'!$AN$16:$AN$198,2*(ROWS($R$437:R454)-1)+1))),INDEX('M04-S04'!$X$16:$X$198,2*(ROWS($S$437:S454)-1)+1),"")</f>
        <v>0</v>
      </c>
      <c r="T454" s="113"/>
      <c r="U454" s="459"/>
      <c r="V454" s="52" t="str">
        <f>IFERROR(IF(NOT(ISNUMBER(INDEX('M04-S04'!$AN$16:$AN$198,2*(ROWS($R$437:R454)-1)+1))),INDEX('M04-S04'!$AK$16:$AK$198,2*(ROWS($R$437:R454)-1)+1),0),0)</f>
        <v/>
      </c>
      <c r="W454" t="str">
        <f>IFERROR(IF(NOT(ISNUMBER(INDEX('M04-S04'!$AN$16:$AN$198,2*(ROWS($R$437:R454)-1)+1))),INDEX('M04-S04'!$BD$16:$BD$198,2*(ROWS($R$437:R454)-1)+1),""),"")</f>
        <v>Submit for Review</v>
      </c>
      <c r="X454" s="113"/>
      <c r="Y454" s="113"/>
      <c r="Z454" s="111">
        <f>INDEX('M04-S04'!$B$16:$B$198,2*(ROWS($Z$437:Z454)-1)+1)</f>
        <v>18</v>
      </c>
      <c r="AA454" s="112"/>
      <c r="AB454" s="111">
        <f>INDEX('M04-S04'!$F$16:$F$198,2*(ROWS($Z$437:AB454)-1)+1)</f>
        <v>0</v>
      </c>
      <c r="AC454">
        <f>INDEX('M04-S04'!$L$16:$L$198,2*(ROWS($AC$437:AC454)-1)+1)</f>
        <v>0</v>
      </c>
      <c r="AD454">
        <f>INDEX('M04-S04'!$T$16:$T$198,2*(ROWS($AD$437:AD454)-1)+1)</f>
        <v>0</v>
      </c>
      <c r="AE454" s="459"/>
      <c r="AF454" s="459"/>
      <c r="AG454" s="96"/>
      <c r="AH454" s="96"/>
      <c r="AI454" s="111">
        <f>INDEX('M04-S04'!$R$16:$R$198,2*(ROWS($AG$437:AI454)-1)+1)</f>
        <v>0</v>
      </c>
      <c r="AJ454" s="111">
        <f>INDEX('M04-S04'!$Z$16:$Z$198,2*(ROWS($AH$437:AJ454)-1)+1)</f>
        <v>0</v>
      </c>
      <c r="AK454" s="52" t="str">
        <f>INDEX('M04-S04'!$AV$16:$AV$198,2*(ROWS($AK$437:AK454)-1)+1)</f>
        <v/>
      </c>
      <c r="AL454" s="184">
        <f>IF(NOT(ISNUMBER(INDEX('M04-S04'!$AN$16:$AN$198,2*(ROWS($R$437:$R454)-1)+1))),INDEX('M04-S04'!$AD$16:$AD$198,2*(ROWS($AL$437:$AL454)-1)+1),"")</f>
        <v>0</v>
      </c>
      <c r="AM454" s="184" t="str">
        <f>IF(NOT(ISNUMBER(INDEX('M04-S04'!$AN$16:$AN$198,2*(ROWS($R$437:$R454)-1)+1))),INDEX('M04-S04'!$AF$16:$AF$198,2*(ROWS($AM$437:$AM454)-1)+1),"")</f>
        <v/>
      </c>
      <c r="AN454" s="52" t="str">
        <f>IF(NOT(ISNUMBER(INDEX('M04-S04'!$AN$16:$AN$198,2*(ROWS($R$437:$R454)-1)+1))),INDEX('M04-S04'!$AH$16:$AH$198,2*(ROWS($AN$437:$AN454)-1)+1),"")</f>
        <v/>
      </c>
      <c r="AO454" s="113"/>
      <c r="AU454"/>
    </row>
    <row r="455" spans="1:47">
      <c r="A455" s="57">
        <f t="shared" si="43"/>
        <v>0</v>
      </c>
      <c r="B455" s="183" t="str">
        <f t="shared" si="45"/>
        <v/>
      </c>
      <c r="C455" s="186" t="str">
        <f>IF(OR(R455&gt;0,V455&gt;0),INDEX('M04-S04'!$BC$16:$BC$198,2*(ROWS($C$437:C455)-1)+1),"")</f>
        <v/>
      </c>
      <c r="D455" t="s">
        <v>231</v>
      </c>
      <c r="E455" s="112"/>
      <c r="F455" s="112"/>
      <c r="G455" s="96"/>
      <c r="H455" s="96"/>
      <c r="I455" s="184">
        <f>IFERROR(ROUND(IF(ISNUMBER(INDEX('M04-S04'!$AN$16:$AN$198,2*(ROWS($R$437:$R455)-1)+1)),INDEX('M04-S04'!$AD$16:$AD$198,2*(ROWS($I$437:$I455)-1)+1),""),2),0)</f>
        <v>0</v>
      </c>
      <c r="J455" s="184">
        <f>IFERROR(ROUND(IF(ISNUMBER(INDEX('M04-S04'!$AN$16:$AN$198,2*(ROWS($R$437:$R455)-1)+1)),INDEX('M04-S04'!$AF$16:$AF$198,2*(ROWS($J$437:$J455)-1)+1),""),2),0)</f>
        <v>0</v>
      </c>
      <c r="K455" s="52">
        <f>IFERROR(ROUND(IF(ISNUMBER(INDEX('M04-S04'!$AN$16:$AN$198,2*(ROWS($R$437:$R455)-1)+1)),INDEX('M04-S04'!$AH$16:$AH$198,2*(ROWS($K$437:$K455)-1)+1),""),2),0)</f>
        <v>0</v>
      </c>
      <c r="M455" s="456" t="str">
        <f>IF(ISNUMBER(INDEX('M04-S04'!$AN$16:$AN$198,2*(ROWS($R$437:R455)-1)+1)),INDEX('M04-S04'!$X$16:$X$198,2*(ROWS($M$437:M455)-1)+1),"")</f>
        <v/>
      </c>
      <c r="N455" s="113"/>
      <c r="O455" s="459"/>
      <c r="P455" s="184" t="str">
        <f>IFERROR(IF(ISNUMBER(INDEX('M04-S04'!$AN$16:$AN$198,2*(ROWS($R$437:R455)-1)+1)),INDEX('M04-S04'!$AK$16:$AK$196,2*(ROWS($P$437:P455)-1)+1),""),"")</f>
        <v/>
      </c>
      <c r="Q455" s="184"/>
      <c r="R455" s="184">
        <f>IF(ISNUMBER(INDEX('M04-S04'!$AN$16:$AN$198,2*(ROWS($R$437:R455)-1)+1)),INDEX('M04-S04'!$AN$16:$AN$198,2*(ROWS($R$437:R455)-1)+1),0)</f>
        <v>0</v>
      </c>
      <c r="S455" s="23">
        <f>IF(NOT(ISNUMBER(INDEX('M04-S04'!$AN$16:$AN$198,2*(ROWS($R$437:R455)-1)+1))),INDEX('M04-S04'!$X$16:$X$198,2*(ROWS($S$437:S455)-1)+1),"")</f>
        <v>0</v>
      </c>
      <c r="T455" s="113"/>
      <c r="U455" s="459"/>
      <c r="V455" s="52" t="str">
        <f>IFERROR(IF(NOT(ISNUMBER(INDEX('M04-S04'!$AN$16:$AN$198,2*(ROWS($R$437:R455)-1)+1))),INDEX('M04-S04'!$AK$16:$AK$198,2*(ROWS($R$437:R455)-1)+1),0),0)</f>
        <v/>
      </c>
      <c r="W455" t="str">
        <f>IFERROR(IF(NOT(ISNUMBER(INDEX('M04-S04'!$AN$16:$AN$198,2*(ROWS($R$437:R455)-1)+1))),INDEX('M04-S04'!$BD$16:$BD$198,2*(ROWS($R$437:R455)-1)+1),""),"")</f>
        <v>Submit for Review</v>
      </c>
      <c r="X455" s="113"/>
      <c r="Y455" s="113"/>
      <c r="Z455" s="111">
        <f>INDEX('M04-S04'!$B$16:$B$198,2*(ROWS($Z$437:Z455)-1)+1)</f>
        <v>19</v>
      </c>
      <c r="AA455" s="112"/>
      <c r="AB455" s="111">
        <f>INDEX('M04-S04'!$F$16:$F$198,2*(ROWS($Z$437:AB455)-1)+1)</f>
        <v>0</v>
      </c>
      <c r="AC455">
        <f>INDEX('M04-S04'!$L$16:$L$198,2*(ROWS($AC$437:AC455)-1)+1)</f>
        <v>0</v>
      </c>
      <c r="AD455">
        <f>INDEX('M04-S04'!$T$16:$T$198,2*(ROWS($AD$437:AD455)-1)+1)</f>
        <v>0</v>
      </c>
      <c r="AE455" s="459"/>
      <c r="AF455" s="459"/>
      <c r="AG455" s="96"/>
      <c r="AH455" s="96"/>
      <c r="AI455" s="111">
        <f>INDEX('M04-S04'!$R$16:$R$198,2*(ROWS($AG$437:AI455)-1)+1)</f>
        <v>0</v>
      </c>
      <c r="AJ455" s="111">
        <f>INDEX('M04-S04'!$Z$16:$Z$198,2*(ROWS($AH$437:AJ455)-1)+1)</f>
        <v>0</v>
      </c>
      <c r="AK455" s="52" t="str">
        <f>INDEX('M04-S04'!$AV$16:$AV$198,2*(ROWS($AK$437:AK455)-1)+1)</f>
        <v/>
      </c>
      <c r="AL455" s="184">
        <f>IF(NOT(ISNUMBER(INDEX('M04-S04'!$AN$16:$AN$198,2*(ROWS($R$437:$R455)-1)+1))),INDEX('M04-S04'!$AD$16:$AD$198,2*(ROWS($AL$437:$AL455)-1)+1),"")</f>
        <v>0</v>
      </c>
      <c r="AM455" s="184" t="str">
        <f>IF(NOT(ISNUMBER(INDEX('M04-S04'!$AN$16:$AN$198,2*(ROWS($R$437:$R455)-1)+1))),INDEX('M04-S04'!$AF$16:$AF$198,2*(ROWS($AM$437:$AM455)-1)+1),"")</f>
        <v/>
      </c>
      <c r="AN455" s="52" t="str">
        <f>IF(NOT(ISNUMBER(INDEX('M04-S04'!$AN$16:$AN$198,2*(ROWS($R$437:$R455)-1)+1))),INDEX('M04-S04'!$AH$16:$AH$198,2*(ROWS($AN$437:$AN455)-1)+1),"")</f>
        <v/>
      </c>
      <c r="AO455" s="113"/>
      <c r="AU455"/>
    </row>
    <row r="456" spans="1:47">
      <c r="A456" s="57">
        <f t="shared" si="43"/>
        <v>0</v>
      </c>
      <c r="B456" s="183" t="str">
        <f t="shared" si="45"/>
        <v/>
      </c>
      <c r="C456" s="186" t="str">
        <f>IF(OR(R456&gt;0,V456&gt;0),INDEX('M04-S04'!$BC$16:$BC$198,2*(ROWS($C$437:C456)-1)+1),"")</f>
        <v/>
      </c>
      <c r="D456" t="s">
        <v>231</v>
      </c>
      <c r="E456" s="112"/>
      <c r="F456" s="112"/>
      <c r="G456" s="96"/>
      <c r="H456" s="96"/>
      <c r="I456" s="184">
        <f>IFERROR(ROUND(IF(ISNUMBER(INDEX('M04-S04'!$AN$16:$AN$198,2*(ROWS($R$437:$R456)-1)+1)),INDEX('M04-S04'!$AD$16:$AD$198,2*(ROWS($I$437:$I456)-1)+1),""),2),0)</f>
        <v>0</v>
      </c>
      <c r="J456" s="184">
        <f>IFERROR(ROUND(IF(ISNUMBER(INDEX('M04-S04'!$AN$16:$AN$198,2*(ROWS($R$437:$R456)-1)+1)),INDEX('M04-S04'!$AF$16:$AF$198,2*(ROWS($J$437:$J456)-1)+1),""),2),0)</f>
        <v>0</v>
      </c>
      <c r="K456" s="52">
        <f>IFERROR(ROUND(IF(ISNUMBER(INDEX('M04-S04'!$AN$16:$AN$198,2*(ROWS($R$437:$R456)-1)+1)),INDEX('M04-S04'!$AH$16:$AH$198,2*(ROWS($K$437:$K456)-1)+1),""),2),0)</f>
        <v>0</v>
      </c>
      <c r="M456" s="456" t="str">
        <f>IF(ISNUMBER(INDEX('M04-S04'!$AN$16:$AN$198,2*(ROWS($R$437:R456)-1)+1)),INDEX('M04-S04'!$X$16:$X$198,2*(ROWS($M$437:M456)-1)+1),"")</f>
        <v/>
      </c>
      <c r="N456" s="113"/>
      <c r="O456" s="459"/>
      <c r="P456" s="184" t="str">
        <f>IFERROR(IF(ISNUMBER(INDEX('M04-S04'!$AN$16:$AN$198,2*(ROWS($R$437:R456)-1)+1)),INDEX('M04-S04'!$AK$16:$AK$196,2*(ROWS($P$437:P456)-1)+1),""),"")</f>
        <v/>
      </c>
      <c r="Q456" s="184"/>
      <c r="R456" s="184">
        <f>IF(ISNUMBER(INDEX('M04-S04'!$AN$16:$AN$198,2*(ROWS($R$437:R456)-1)+1)),INDEX('M04-S04'!$AN$16:$AN$198,2*(ROWS($R$437:R456)-1)+1),0)</f>
        <v>0</v>
      </c>
      <c r="S456" s="23">
        <f>IF(NOT(ISNUMBER(INDEX('M04-S04'!$AN$16:$AN$198,2*(ROWS($R$437:R456)-1)+1))),INDEX('M04-S04'!$X$16:$X$198,2*(ROWS($S$437:S456)-1)+1),"")</f>
        <v>0</v>
      </c>
      <c r="T456" s="113"/>
      <c r="U456" s="459"/>
      <c r="V456" s="52" t="str">
        <f>IFERROR(IF(NOT(ISNUMBER(INDEX('M04-S04'!$AN$16:$AN$198,2*(ROWS($R$437:R456)-1)+1))),INDEX('M04-S04'!$AK$16:$AK$198,2*(ROWS($R$437:R456)-1)+1),0),0)</f>
        <v/>
      </c>
      <c r="W456" t="str">
        <f>IFERROR(IF(NOT(ISNUMBER(INDEX('M04-S04'!$AN$16:$AN$198,2*(ROWS($R$437:R456)-1)+1))),INDEX('M04-S04'!$BD$16:$BD$198,2*(ROWS($R$437:R456)-1)+1),""),"")</f>
        <v>Submit for Review</v>
      </c>
      <c r="X456" s="113"/>
      <c r="Y456" s="113"/>
      <c r="Z456" s="111">
        <f>INDEX('M04-S04'!$B$16:$B$198,2*(ROWS($Z$437:Z456)-1)+1)</f>
        <v>20</v>
      </c>
      <c r="AA456" s="112"/>
      <c r="AB456" s="111">
        <f>INDEX('M04-S04'!$F$16:$F$198,2*(ROWS($Z$437:AB456)-1)+1)</f>
        <v>0</v>
      </c>
      <c r="AC456">
        <f>INDEX('M04-S04'!$L$16:$L$198,2*(ROWS($AC$437:AC456)-1)+1)</f>
        <v>0</v>
      </c>
      <c r="AD456">
        <f>INDEX('M04-S04'!$T$16:$T$198,2*(ROWS($AD$437:AD456)-1)+1)</f>
        <v>0</v>
      </c>
      <c r="AE456" s="459"/>
      <c r="AF456" s="459"/>
      <c r="AG456" s="96"/>
      <c r="AH456" s="96"/>
      <c r="AI456" s="111">
        <f>INDEX('M04-S04'!$R$16:$R$198,2*(ROWS($AG$437:AI456)-1)+1)</f>
        <v>0</v>
      </c>
      <c r="AJ456" s="111">
        <f>INDEX('M04-S04'!$Z$16:$Z$198,2*(ROWS($AH$437:AJ456)-1)+1)</f>
        <v>0</v>
      </c>
      <c r="AK456" s="52" t="str">
        <f>INDEX('M04-S04'!$AV$16:$AV$198,2*(ROWS($AK$437:AK456)-1)+1)</f>
        <v/>
      </c>
      <c r="AL456" s="184">
        <f>IF(NOT(ISNUMBER(INDEX('M04-S04'!$AN$16:$AN$198,2*(ROWS($R$437:$R456)-1)+1))),INDEX('M04-S04'!$AD$16:$AD$198,2*(ROWS($AL$437:$AL456)-1)+1),"")</f>
        <v>0</v>
      </c>
      <c r="AM456" s="184" t="str">
        <f>IF(NOT(ISNUMBER(INDEX('M04-S04'!$AN$16:$AN$198,2*(ROWS($R$437:$R456)-1)+1))),INDEX('M04-S04'!$AF$16:$AF$198,2*(ROWS($AM$437:$AM456)-1)+1),"")</f>
        <v/>
      </c>
      <c r="AN456" s="52" t="str">
        <f>IF(NOT(ISNUMBER(INDEX('M04-S04'!$AN$16:$AN$198,2*(ROWS($R$437:$R456)-1)+1))),INDEX('M04-S04'!$AH$16:$AH$198,2*(ROWS($AN$437:$AN456)-1)+1),"")</f>
        <v/>
      </c>
      <c r="AO456" s="113"/>
      <c r="AU456"/>
    </row>
    <row r="457" spans="1:47">
      <c r="A457" s="57">
        <f t="shared" si="43"/>
        <v>0</v>
      </c>
      <c r="B457" s="183" t="str">
        <f t="shared" si="45"/>
        <v/>
      </c>
      <c r="C457" s="186" t="str">
        <f>IF(OR(R457&gt;0,V457&gt;0),INDEX('M04-S04'!$BC$16:$BC$198,2*(ROWS($C$437:C457)-1)+1),"")</f>
        <v/>
      </c>
      <c r="D457" t="s">
        <v>231</v>
      </c>
      <c r="E457" s="112"/>
      <c r="F457" s="112"/>
      <c r="G457" s="96"/>
      <c r="H457" s="96"/>
      <c r="I457" s="184">
        <f>IFERROR(ROUND(IF(ISNUMBER(INDEX('M04-S04'!$AN$16:$AN$198,2*(ROWS($R$437:$R457)-1)+1)),INDEX('M04-S04'!$AD$16:$AD$198,2*(ROWS($I$437:$I457)-1)+1),""),2),0)</f>
        <v>0</v>
      </c>
      <c r="J457" s="184">
        <f>IFERROR(ROUND(IF(ISNUMBER(INDEX('M04-S04'!$AN$16:$AN$198,2*(ROWS($R$437:$R457)-1)+1)),INDEX('M04-S04'!$AF$16:$AF$198,2*(ROWS($J$437:$J457)-1)+1),""),2),0)</f>
        <v>0</v>
      </c>
      <c r="K457" s="52">
        <f>IFERROR(ROUND(IF(ISNUMBER(INDEX('M04-S04'!$AN$16:$AN$198,2*(ROWS($R$437:$R457)-1)+1)),INDEX('M04-S04'!$AH$16:$AH$198,2*(ROWS($K$437:$K457)-1)+1),""),2),0)</f>
        <v>0</v>
      </c>
      <c r="M457" s="456" t="str">
        <f>IF(ISNUMBER(INDEX('M04-S04'!$AN$16:$AN$198,2*(ROWS($R$437:R457)-1)+1)),INDEX('M04-S04'!$X$16:$X$198,2*(ROWS($M$437:M457)-1)+1),"")</f>
        <v/>
      </c>
      <c r="N457" s="113"/>
      <c r="O457" s="459"/>
      <c r="P457" s="184" t="str">
        <f>IFERROR(IF(ISNUMBER(INDEX('M04-S04'!$AN$16:$AN$198,2*(ROWS($R$437:R457)-1)+1)),INDEX('M04-S04'!$AK$16:$AK$196,2*(ROWS($P$437:P457)-1)+1),""),"")</f>
        <v/>
      </c>
      <c r="Q457" s="184"/>
      <c r="R457" s="184">
        <f>IF(ISNUMBER(INDEX('M04-S04'!$AN$16:$AN$198,2*(ROWS($R$437:R457)-1)+1)),INDEX('M04-S04'!$AN$16:$AN$198,2*(ROWS($R$437:R457)-1)+1),0)</f>
        <v>0</v>
      </c>
      <c r="S457" s="23">
        <f>IF(NOT(ISNUMBER(INDEX('M04-S04'!$AN$16:$AN$198,2*(ROWS($R$437:R457)-1)+1))),INDEX('M04-S04'!$X$16:$X$198,2*(ROWS($S$437:S457)-1)+1),"")</f>
        <v>0</v>
      </c>
      <c r="T457" s="113"/>
      <c r="U457" s="459"/>
      <c r="V457" s="52" t="str">
        <f>IFERROR(IF(NOT(ISNUMBER(INDEX('M04-S04'!$AN$16:$AN$198,2*(ROWS($R$437:R457)-1)+1))),INDEX('M04-S04'!$AK$16:$AK$198,2*(ROWS($R$437:R457)-1)+1),0),0)</f>
        <v/>
      </c>
      <c r="W457" t="str">
        <f>IFERROR(IF(NOT(ISNUMBER(INDEX('M04-S04'!$AN$16:$AN$198,2*(ROWS($R$437:R457)-1)+1))),INDEX('M04-S04'!$BD$16:$BD$198,2*(ROWS($R$437:R457)-1)+1),""),"")</f>
        <v>Submit for Review</v>
      </c>
      <c r="X457" s="113"/>
      <c r="Y457" s="113"/>
      <c r="Z457" s="111">
        <f>INDEX('M04-S04'!$B$16:$B$198,2*(ROWS($Z$437:Z457)-1)+1)</f>
        <v>21</v>
      </c>
      <c r="AA457" s="112"/>
      <c r="AB457" s="111">
        <f>INDEX('M04-S04'!$F$16:$F$198,2*(ROWS($Z$437:AB457)-1)+1)</f>
        <v>0</v>
      </c>
      <c r="AC457">
        <f>INDEX('M04-S04'!$L$16:$L$198,2*(ROWS($AC$437:AC457)-1)+1)</f>
        <v>0</v>
      </c>
      <c r="AD457">
        <f>INDEX('M04-S04'!$T$16:$T$198,2*(ROWS($AD$437:AD457)-1)+1)</f>
        <v>0</v>
      </c>
      <c r="AE457" s="459"/>
      <c r="AF457" s="459"/>
      <c r="AG457" s="96"/>
      <c r="AH457" s="96"/>
      <c r="AI457" s="111">
        <f>INDEX('M04-S04'!$R$16:$R$198,2*(ROWS($AG$437:AI457)-1)+1)</f>
        <v>0</v>
      </c>
      <c r="AJ457" s="111">
        <f>INDEX('M04-S04'!$Z$16:$Z$198,2*(ROWS($AH$437:AJ457)-1)+1)</f>
        <v>0</v>
      </c>
      <c r="AK457" s="52" t="str">
        <f>INDEX('M04-S04'!$AV$16:$AV$198,2*(ROWS($AK$437:AK457)-1)+1)</f>
        <v/>
      </c>
      <c r="AL457" s="184">
        <f>IF(NOT(ISNUMBER(INDEX('M04-S04'!$AN$16:$AN$198,2*(ROWS($R$437:$R457)-1)+1))),INDEX('M04-S04'!$AD$16:$AD$198,2*(ROWS($AL$437:$AL457)-1)+1),"")</f>
        <v>0</v>
      </c>
      <c r="AM457" s="184" t="str">
        <f>IF(NOT(ISNUMBER(INDEX('M04-S04'!$AN$16:$AN$198,2*(ROWS($R$437:$R457)-1)+1))),INDEX('M04-S04'!$AF$16:$AF$198,2*(ROWS($AM$437:$AM457)-1)+1),"")</f>
        <v/>
      </c>
      <c r="AN457" s="52" t="str">
        <f>IF(NOT(ISNUMBER(INDEX('M04-S04'!$AN$16:$AN$198,2*(ROWS($R$437:$R457)-1)+1))),INDEX('M04-S04'!$AH$16:$AH$198,2*(ROWS($AN$437:$AN457)-1)+1),"")</f>
        <v/>
      </c>
      <c r="AO457" s="113"/>
      <c r="AU457"/>
    </row>
    <row r="458" spans="1:47">
      <c r="A458" s="57">
        <f t="shared" si="43"/>
        <v>0</v>
      </c>
      <c r="B458" s="183" t="str">
        <f t="shared" si="45"/>
        <v/>
      </c>
      <c r="C458" s="186" t="str">
        <f>IF(OR(R458&gt;0,V458&gt;0),INDEX('M04-S04'!$BC$16:$BC$198,2*(ROWS($C$437:C458)-1)+1),"")</f>
        <v/>
      </c>
      <c r="D458" t="s">
        <v>231</v>
      </c>
      <c r="E458" s="112"/>
      <c r="F458" s="112"/>
      <c r="G458" s="96"/>
      <c r="H458" s="96"/>
      <c r="I458" s="184">
        <f>IFERROR(ROUND(IF(ISNUMBER(INDEX('M04-S04'!$AN$16:$AN$198,2*(ROWS($R$437:$R458)-1)+1)),INDEX('M04-S04'!$AD$16:$AD$198,2*(ROWS($I$437:$I458)-1)+1),""),2),0)</f>
        <v>0</v>
      </c>
      <c r="J458" s="184">
        <f>IFERROR(ROUND(IF(ISNUMBER(INDEX('M04-S04'!$AN$16:$AN$198,2*(ROWS($R$437:$R458)-1)+1)),INDEX('M04-S04'!$AF$16:$AF$198,2*(ROWS($J$437:$J458)-1)+1),""),2),0)</f>
        <v>0</v>
      </c>
      <c r="K458" s="52">
        <f>IFERROR(ROUND(IF(ISNUMBER(INDEX('M04-S04'!$AN$16:$AN$198,2*(ROWS($R$437:$R458)-1)+1)),INDEX('M04-S04'!$AH$16:$AH$198,2*(ROWS($K$437:$K458)-1)+1),""),2),0)</f>
        <v>0</v>
      </c>
      <c r="M458" s="456" t="str">
        <f>IF(ISNUMBER(INDEX('M04-S04'!$AN$16:$AN$198,2*(ROWS($R$437:R458)-1)+1)),INDEX('M04-S04'!$X$16:$X$198,2*(ROWS($M$437:M458)-1)+1),"")</f>
        <v/>
      </c>
      <c r="N458" s="113"/>
      <c r="O458" s="459"/>
      <c r="P458" s="184" t="str">
        <f>IFERROR(IF(ISNUMBER(INDEX('M04-S04'!$AN$16:$AN$198,2*(ROWS($R$437:R458)-1)+1)),INDEX('M04-S04'!$AK$16:$AK$196,2*(ROWS($P$437:P458)-1)+1),""),"")</f>
        <v/>
      </c>
      <c r="Q458" s="184"/>
      <c r="R458" s="184">
        <f>IF(ISNUMBER(INDEX('M04-S04'!$AN$16:$AN$198,2*(ROWS($R$437:R458)-1)+1)),INDEX('M04-S04'!$AN$16:$AN$198,2*(ROWS($R$437:R458)-1)+1),0)</f>
        <v>0</v>
      </c>
      <c r="S458" s="23">
        <f>IF(NOT(ISNUMBER(INDEX('M04-S04'!$AN$16:$AN$198,2*(ROWS($R$437:R458)-1)+1))),INDEX('M04-S04'!$X$16:$X$198,2*(ROWS($S$437:S458)-1)+1),"")</f>
        <v>0</v>
      </c>
      <c r="T458" s="113"/>
      <c r="U458" s="459"/>
      <c r="V458" s="52" t="str">
        <f>IFERROR(IF(NOT(ISNUMBER(INDEX('M04-S04'!$AN$16:$AN$198,2*(ROWS($R$437:R458)-1)+1))),INDEX('M04-S04'!$AK$16:$AK$198,2*(ROWS($R$437:R458)-1)+1),0),0)</f>
        <v/>
      </c>
      <c r="W458" t="str">
        <f>IFERROR(IF(NOT(ISNUMBER(INDEX('M04-S04'!$AN$16:$AN$198,2*(ROWS($R$437:R458)-1)+1))),INDEX('M04-S04'!$BD$16:$BD$198,2*(ROWS($R$437:R458)-1)+1),""),"")</f>
        <v>Submit for Review</v>
      </c>
      <c r="X458" s="113"/>
      <c r="Y458" s="113"/>
      <c r="Z458" s="111">
        <f>INDEX('M04-S04'!$B$16:$B$198,2*(ROWS($Z$437:Z458)-1)+1)</f>
        <v>22</v>
      </c>
      <c r="AA458" s="112"/>
      <c r="AB458" s="111">
        <f>INDEX('M04-S04'!$F$16:$F$198,2*(ROWS($Z$437:AB458)-1)+1)</f>
        <v>0</v>
      </c>
      <c r="AC458">
        <f>INDEX('M04-S04'!$L$16:$L$198,2*(ROWS($AC$437:AC458)-1)+1)</f>
        <v>0</v>
      </c>
      <c r="AD458">
        <f>INDEX('M04-S04'!$T$16:$T$198,2*(ROWS($AD$437:AD458)-1)+1)</f>
        <v>0</v>
      </c>
      <c r="AE458" s="459"/>
      <c r="AF458" s="459"/>
      <c r="AG458" s="96"/>
      <c r="AH458" s="96"/>
      <c r="AI458" s="111">
        <f>INDEX('M04-S04'!$R$16:$R$198,2*(ROWS($AG$437:AI458)-1)+1)</f>
        <v>0</v>
      </c>
      <c r="AJ458" s="111">
        <f>INDEX('M04-S04'!$Z$16:$Z$198,2*(ROWS($AH$437:AJ458)-1)+1)</f>
        <v>0</v>
      </c>
      <c r="AK458" s="52" t="str">
        <f>INDEX('M04-S04'!$AV$16:$AV$198,2*(ROWS($AK$437:AK458)-1)+1)</f>
        <v/>
      </c>
      <c r="AL458" s="184">
        <f>IF(NOT(ISNUMBER(INDEX('M04-S04'!$AN$16:$AN$198,2*(ROWS($R$437:$R458)-1)+1))),INDEX('M04-S04'!$AD$16:$AD$198,2*(ROWS($AL$437:$AL458)-1)+1),"")</f>
        <v>0</v>
      </c>
      <c r="AM458" s="184" t="str">
        <f>IF(NOT(ISNUMBER(INDEX('M04-S04'!$AN$16:$AN$198,2*(ROWS($R$437:$R458)-1)+1))),INDEX('M04-S04'!$AF$16:$AF$198,2*(ROWS($AM$437:$AM458)-1)+1),"")</f>
        <v/>
      </c>
      <c r="AN458" s="52" t="str">
        <f>IF(NOT(ISNUMBER(INDEX('M04-S04'!$AN$16:$AN$198,2*(ROWS($R$437:$R458)-1)+1))),INDEX('M04-S04'!$AH$16:$AH$198,2*(ROWS($AN$437:$AN458)-1)+1),"")</f>
        <v/>
      </c>
      <c r="AO458" s="113"/>
      <c r="AU458"/>
    </row>
    <row r="459" spans="1:47">
      <c r="A459" s="57">
        <f t="shared" si="43"/>
        <v>0</v>
      </c>
      <c r="B459" s="183" t="str">
        <f t="shared" si="45"/>
        <v/>
      </c>
      <c r="C459" s="186" t="str">
        <f>IF(OR(R459&gt;0,V459&gt;0),INDEX('M04-S04'!$BC$16:$BC$198,2*(ROWS($C$437:C459)-1)+1),"")</f>
        <v/>
      </c>
      <c r="D459" t="s">
        <v>231</v>
      </c>
      <c r="E459" s="112"/>
      <c r="F459" s="112"/>
      <c r="G459" s="96"/>
      <c r="H459" s="96"/>
      <c r="I459" s="184">
        <f>IFERROR(ROUND(IF(ISNUMBER(INDEX('M04-S04'!$AN$16:$AN$198,2*(ROWS($R$437:$R459)-1)+1)),INDEX('M04-S04'!$AD$16:$AD$198,2*(ROWS($I$437:$I459)-1)+1),""),2),0)</f>
        <v>0</v>
      </c>
      <c r="J459" s="184">
        <f>IFERROR(ROUND(IF(ISNUMBER(INDEX('M04-S04'!$AN$16:$AN$198,2*(ROWS($R$437:$R459)-1)+1)),INDEX('M04-S04'!$AF$16:$AF$198,2*(ROWS($J$437:$J459)-1)+1),""),2),0)</f>
        <v>0</v>
      </c>
      <c r="K459" s="52">
        <f>IFERROR(ROUND(IF(ISNUMBER(INDEX('M04-S04'!$AN$16:$AN$198,2*(ROWS($R$437:$R459)-1)+1)),INDEX('M04-S04'!$AH$16:$AH$198,2*(ROWS($K$437:$K459)-1)+1),""),2),0)</f>
        <v>0</v>
      </c>
      <c r="M459" s="456" t="str">
        <f>IF(ISNUMBER(INDEX('M04-S04'!$AN$16:$AN$198,2*(ROWS($R$437:R459)-1)+1)),INDEX('M04-S04'!$X$16:$X$198,2*(ROWS($M$437:M459)-1)+1),"")</f>
        <v/>
      </c>
      <c r="N459" s="113"/>
      <c r="O459" s="459"/>
      <c r="P459" s="184" t="str">
        <f>IFERROR(IF(ISNUMBER(INDEX('M04-S04'!$AN$16:$AN$198,2*(ROWS($R$437:R459)-1)+1)),INDEX('M04-S04'!$AK$16:$AK$196,2*(ROWS($P$437:P459)-1)+1),""),"")</f>
        <v/>
      </c>
      <c r="Q459" s="184"/>
      <c r="R459" s="184">
        <f>IF(ISNUMBER(INDEX('M04-S04'!$AN$16:$AN$198,2*(ROWS($R$437:R459)-1)+1)),INDEX('M04-S04'!$AN$16:$AN$198,2*(ROWS($R$437:R459)-1)+1),0)</f>
        <v>0</v>
      </c>
      <c r="S459" s="23">
        <f>IF(NOT(ISNUMBER(INDEX('M04-S04'!$AN$16:$AN$198,2*(ROWS($R$437:R459)-1)+1))),INDEX('M04-S04'!$X$16:$X$198,2*(ROWS($S$437:S459)-1)+1),"")</f>
        <v>0</v>
      </c>
      <c r="T459" s="113"/>
      <c r="U459" s="459"/>
      <c r="V459" s="52" t="str">
        <f>IFERROR(IF(NOT(ISNUMBER(INDEX('M04-S04'!$AN$16:$AN$198,2*(ROWS($R$437:R459)-1)+1))),INDEX('M04-S04'!$AK$16:$AK$198,2*(ROWS($R$437:R459)-1)+1),0),0)</f>
        <v/>
      </c>
      <c r="W459" t="str">
        <f>IFERROR(IF(NOT(ISNUMBER(INDEX('M04-S04'!$AN$16:$AN$198,2*(ROWS($R$437:R459)-1)+1))),INDEX('M04-S04'!$BD$16:$BD$198,2*(ROWS($R$437:R459)-1)+1),""),"")</f>
        <v>Submit for Review</v>
      </c>
      <c r="X459" s="113"/>
      <c r="Y459" s="113"/>
      <c r="Z459" s="111">
        <f>INDEX('M04-S04'!$B$16:$B$198,2*(ROWS($Z$437:Z459)-1)+1)</f>
        <v>23</v>
      </c>
      <c r="AA459" s="112"/>
      <c r="AB459" s="111">
        <f>INDEX('M04-S04'!$F$16:$F$198,2*(ROWS($Z$437:AB459)-1)+1)</f>
        <v>0</v>
      </c>
      <c r="AC459">
        <f>INDEX('M04-S04'!$L$16:$L$198,2*(ROWS($AC$437:AC459)-1)+1)</f>
        <v>0</v>
      </c>
      <c r="AD459">
        <f>INDEX('M04-S04'!$T$16:$T$198,2*(ROWS($AD$437:AD459)-1)+1)</f>
        <v>0</v>
      </c>
      <c r="AE459" s="459"/>
      <c r="AF459" s="459"/>
      <c r="AG459" s="96"/>
      <c r="AH459" s="96"/>
      <c r="AI459" s="111">
        <f>INDEX('M04-S04'!$R$16:$R$198,2*(ROWS($AG$437:AI459)-1)+1)</f>
        <v>0</v>
      </c>
      <c r="AJ459" s="111">
        <f>INDEX('M04-S04'!$Z$16:$Z$198,2*(ROWS($AH$437:AJ459)-1)+1)</f>
        <v>0</v>
      </c>
      <c r="AK459" s="52" t="str">
        <f>INDEX('M04-S04'!$AV$16:$AV$198,2*(ROWS($AK$437:AK459)-1)+1)</f>
        <v/>
      </c>
      <c r="AL459" s="184">
        <f>IF(NOT(ISNUMBER(INDEX('M04-S04'!$AN$16:$AN$198,2*(ROWS($R$437:$R459)-1)+1))),INDEX('M04-S04'!$AD$16:$AD$198,2*(ROWS($AL$437:$AL459)-1)+1),"")</f>
        <v>0</v>
      </c>
      <c r="AM459" s="184" t="str">
        <f>IF(NOT(ISNUMBER(INDEX('M04-S04'!$AN$16:$AN$198,2*(ROWS($R$437:$R459)-1)+1))),INDEX('M04-S04'!$AF$16:$AF$198,2*(ROWS($AM$437:$AM459)-1)+1),"")</f>
        <v/>
      </c>
      <c r="AN459" s="52" t="str">
        <f>IF(NOT(ISNUMBER(INDEX('M04-S04'!$AN$16:$AN$198,2*(ROWS($R$437:$R459)-1)+1))),INDEX('M04-S04'!$AH$16:$AH$198,2*(ROWS($AN$437:$AN459)-1)+1),"")</f>
        <v/>
      </c>
      <c r="AO459" s="113"/>
      <c r="AU459"/>
    </row>
    <row r="460" spans="1:47">
      <c r="A460" s="57">
        <f t="shared" si="43"/>
        <v>0</v>
      </c>
      <c r="B460" s="183" t="str">
        <f t="shared" si="45"/>
        <v/>
      </c>
      <c r="C460" s="186" t="str">
        <f>IF(OR(R460&gt;0,V460&gt;0),INDEX('M04-S04'!$BC$16:$BC$198,2*(ROWS($C$437:C460)-1)+1),"")</f>
        <v/>
      </c>
      <c r="D460" t="s">
        <v>231</v>
      </c>
      <c r="E460" s="112"/>
      <c r="F460" s="112"/>
      <c r="G460" s="96"/>
      <c r="H460" s="96"/>
      <c r="I460" s="184">
        <f>IFERROR(ROUND(IF(ISNUMBER(INDEX('M04-S04'!$AN$16:$AN$198,2*(ROWS($R$437:$R460)-1)+1)),INDEX('M04-S04'!$AD$16:$AD$198,2*(ROWS($I$437:$I460)-1)+1),""),2),0)</f>
        <v>0</v>
      </c>
      <c r="J460" s="184">
        <f>IFERROR(ROUND(IF(ISNUMBER(INDEX('M04-S04'!$AN$16:$AN$198,2*(ROWS($R$437:$R460)-1)+1)),INDEX('M04-S04'!$AF$16:$AF$198,2*(ROWS($J$437:$J460)-1)+1),""),2),0)</f>
        <v>0</v>
      </c>
      <c r="K460" s="52">
        <f>IFERROR(ROUND(IF(ISNUMBER(INDEX('M04-S04'!$AN$16:$AN$198,2*(ROWS($R$437:$R460)-1)+1)),INDEX('M04-S04'!$AH$16:$AH$198,2*(ROWS($K$437:$K460)-1)+1),""),2),0)</f>
        <v>0</v>
      </c>
      <c r="M460" s="456" t="str">
        <f>IF(ISNUMBER(INDEX('M04-S04'!$AN$16:$AN$198,2*(ROWS($R$437:R460)-1)+1)),INDEX('M04-S04'!$X$16:$X$198,2*(ROWS($M$437:M460)-1)+1),"")</f>
        <v/>
      </c>
      <c r="N460" s="113"/>
      <c r="O460" s="459"/>
      <c r="P460" s="184" t="str">
        <f>IFERROR(IF(ISNUMBER(INDEX('M04-S04'!$AN$16:$AN$198,2*(ROWS($R$437:R460)-1)+1)),INDEX('M04-S04'!$AK$16:$AK$196,2*(ROWS($P$437:P460)-1)+1),""),"")</f>
        <v/>
      </c>
      <c r="Q460" s="184"/>
      <c r="R460" s="184">
        <f>IF(ISNUMBER(INDEX('M04-S04'!$AN$16:$AN$198,2*(ROWS($R$437:R460)-1)+1)),INDEX('M04-S04'!$AN$16:$AN$198,2*(ROWS($R$437:R460)-1)+1),0)</f>
        <v>0</v>
      </c>
      <c r="S460" s="23">
        <f>IF(NOT(ISNUMBER(INDEX('M04-S04'!$AN$16:$AN$198,2*(ROWS($R$437:R460)-1)+1))),INDEX('M04-S04'!$X$16:$X$198,2*(ROWS($S$437:S460)-1)+1),"")</f>
        <v>0</v>
      </c>
      <c r="T460" s="113"/>
      <c r="U460" s="459"/>
      <c r="V460" s="52" t="str">
        <f>IFERROR(IF(NOT(ISNUMBER(INDEX('M04-S04'!$AN$16:$AN$198,2*(ROWS($R$437:R460)-1)+1))),INDEX('M04-S04'!$AK$16:$AK$198,2*(ROWS($R$437:R460)-1)+1),0),0)</f>
        <v/>
      </c>
      <c r="W460" t="str">
        <f>IFERROR(IF(NOT(ISNUMBER(INDEX('M04-S04'!$AN$16:$AN$198,2*(ROWS($R$437:R460)-1)+1))),INDEX('M04-S04'!$BD$16:$BD$198,2*(ROWS($R$437:R460)-1)+1),""),"")</f>
        <v>Submit for Review</v>
      </c>
      <c r="X460" s="113"/>
      <c r="Y460" s="113"/>
      <c r="Z460" s="111">
        <f>INDEX('M04-S04'!$B$16:$B$198,2*(ROWS($Z$437:Z460)-1)+1)</f>
        <v>24</v>
      </c>
      <c r="AA460" s="112"/>
      <c r="AB460" s="111">
        <f>INDEX('M04-S04'!$F$16:$F$198,2*(ROWS($Z$437:AB460)-1)+1)</f>
        <v>0</v>
      </c>
      <c r="AC460">
        <f>INDEX('M04-S04'!$L$16:$L$198,2*(ROWS($AC$437:AC460)-1)+1)</f>
        <v>0</v>
      </c>
      <c r="AD460">
        <f>INDEX('M04-S04'!$T$16:$T$198,2*(ROWS($AD$437:AD460)-1)+1)</f>
        <v>0</v>
      </c>
      <c r="AE460" s="459"/>
      <c r="AF460" s="459"/>
      <c r="AG460" s="96"/>
      <c r="AH460" s="96"/>
      <c r="AI460" s="111">
        <f>INDEX('M04-S04'!$R$16:$R$198,2*(ROWS($AG$437:AI460)-1)+1)</f>
        <v>0</v>
      </c>
      <c r="AJ460" s="111">
        <f>INDEX('M04-S04'!$Z$16:$Z$198,2*(ROWS($AH$437:AJ460)-1)+1)</f>
        <v>0</v>
      </c>
      <c r="AK460" s="52" t="str">
        <f>INDEX('M04-S04'!$AV$16:$AV$198,2*(ROWS($AK$437:AK460)-1)+1)</f>
        <v/>
      </c>
      <c r="AL460" s="184">
        <f>IF(NOT(ISNUMBER(INDEX('M04-S04'!$AN$16:$AN$198,2*(ROWS($R$437:$R460)-1)+1))),INDEX('M04-S04'!$AD$16:$AD$198,2*(ROWS($AL$437:$AL460)-1)+1),"")</f>
        <v>0</v>
      </c>
      <c r="AM460" s="184" t="str">
        <f>IF(NOT(ISNUMBER(INDEX('M04-S04'!$AN$16:$AN$198,2*(ROWS($R$437:$R460)-1)+1))),INDEX('M04-S04'!$AF$16:$AF$198,2*(ROWS($AM$437:$AM460)-1)+1),"")</f>
        <v/>
      </c>
      <c r="AN460" s="52" t="str">
        <f>IF(NOT(ISNUMBER(INDEX('M04-S04'!$AN$16:$AN$198,2*(ROWS($R$437:$R460)-1)+1))),INDEX('M04-S04'!$AH$16:$AH$198,2*(ROWS($AN$437:$AN460)-1)+1),"")</f>
        <v/>
      </c>
      <c r="AO460" s="113"/>
      <c r="AU460"/>
    </row>
    <row r="461" spans="1:47">
      <c r="A461" s="57">
        <f t="shared" si="43"/>
        <v>0</v>
      </c>
      <c r="B461" s="183" t="str">
        <f t="shared" si="45"/>
        <v/>
      </c>
      <c r="C461" s="186" t="str">
        <f>IF(OR(R461&gt;0,V461&gt;0),INDEX('M04-S04'!$BC$16:$BC$198,2*(ROWS($C$437:C461)-1)+1),"")</f>
        <v/>
      </c>
      <c r="D461" t="s">
        <v>231</v>
      </c>
      <c r="E461" s="112"/>
      <c r="F461" s="112"/>
      <c r="G461" s="96"/>
      <c r="H461" s="96"/>
      <c r="I461" s="184">
        <f>IFERROR(ROUND(IF(ISNUMBER(INDEX('M04-S04'!$AN$16:$AN$198,2*(ROWS($R$437:$R461)-1)+1)),INDEX('M04-S04'!$AD$16:$AD$198,2*(ROWS($I$437:$I461)-1)+1),""),2),0)</f>
        <v>0</v>
      </c>
      <c r="J461" s="184">
        <f>IFERROR(ROUND(IF(ISNUMBER(INDEX('M04-S04'!$AN$16:$AN$198,2*(ROWS($R$437:$R461)-1)+1)),INDEX('M04-S04'!$AF$16:$AF$198,2*(ROWS($J$437:$J461)-1)+1),""),2),0)</f>
        <v>0</v>
      </c>
      <c r="K461" s="52">
        <f>IFERROR(ROUND(IF(ISNUMBER(INDEX('M04-S04'!$AN$16:$AN$198,2*(ROWS($R$437:$R461)-1)+1)),INDEX('M04-S04'!$AH$16:$AH$198,2*(ROWS($K$437:$K461)-1)+1),""),2),0)</f>
        <v>0</v>
      </c>
      <c r="M461" s="456" t="str">
        <f>IF(ISNUMBER(INDEX('M04-S04'!$AN$16:$AN$198,2*(ROWS($R$437:R461)-1)+1)),INDEX('M04-S04'!$X$16:$X$198,2*(ROWS($M$437:M461)-1)+1),"")</f>
        <v/>
      </c>
      <c r="N461" s="113"/>
      <c r="O461" s="459"/>
      <c r="P461" s="184" t="str">
        <f>IFERROR(IF(ISNUMBER(INDEX('M04-S04'!$AN$16:$AN$198,2*(ROWS($R$437:R461)-1)+1)),INDEX('M04-S04'!$AK$16:$AK$196,2*(ROWS($P$437:P461)-1)+1),""),"")</f>
        <v/>
      </c>
      <c r="Q461" s="184"/>
      <c r="R461" s="184">
        <f>IF(ISNUMBER(INDEX('M04-S04'!$AN$16:$AN$198,2*(ROWS($R$437:R461)-1)+1)),INDEX('M04-S04'!$AN$16:$AN$198,2*(ROWS($R$437:R461)-1)+1),0)</f>
        <v>0</v>
      </c>
      <c r="S461" s="23">
        <f>IF(NOT(ISNUMBER(INDEX('M04-S04'!$AN$16:$AN$198,2*(ROWS($R$437:R461)-1)+1))),INDEX('M04-S04'!$X$16:$X$198,2*(ROWS($S$437:S461)-1)+1),"")</f>
        <v>0</v>
      </c>
      <c r="T461" s="113"/>
      <c r="U461" s="459"/>
      <c r="V461" s="52" t="str">
        <f>IFERROR(IF(NOT(ISNUMBER(INDEX('M04-S04'!$AN$16:$AN$198,2*(ROWS($R$437:R461)-1)+1))),INDEX('M04-S04'!$AK$16:$AK$198,2*(ROWS($R$437:R461)-1)+1),0),0)</f>
        <v/>
      </c>
      <c r="W461" t="str">
        <f>IFERROR(IF(NOT(ISNUMBER(INDEX('M04-S04'!$AN$16:$AN$198,2*(ROWS($R$437:R461)-1)+1))),INDEX('M04-S04'!$BD$16:$BD$198,2*(ROWS($R$437:R461)-1)+1),""),"")</f>
        <v>Submit for Review</v>
      </c>
      <c r="X461" s="113"/>
      <c r="Y461" s="113"/>
      <c r="Z461" s="111">
        <f>INDEX('M04-S04'!$B$16:$B$198,2*(ROWS($Z$437:Z461)-1)+1)</f>
        <v>25</v>
      </c>
      <c r="AA461" s="112"/>
      <c r="AB461" s="111">
        <f>INDEX('M04-S04'!$F$16:$F$198,2*(ROWS($Z$437:AB461)-1)+1)</f>
        <v>0</v>
      </c>
      <c r="AC461">
        <f>INDEX('M04-S04'!$L$16:$L$198,2*(ROWS($AC$437:AC461)-1)+1)</f>
        <v>0</v>
      </c>
      <c r="AD461">
        <f>INDEX('M04-S04'!$T$16:$T$198,2*(ROWS($AD$437:AD461)-1)+1)</f>
        <v>0</v>
      </c>
      <c r="AE461" s="459"/>
      <c r="AF461" s="459"/>
      <c r="AG461" s="96"/>
      <c r="AH461" s="96"/>
      <c r="AI461" s="111">
        <f>INDEX('M04-S04'!$R$16:$R$198,2*(ROWS($AG$437:AI461)-1)+1)</f>
        <v>0</v>
      </c>
      <c r="AJ461" s="111">
        <f>INDEX('M04-S04'!$Z$16:$Z$198,2*(ROWS($AH$437:AJ461)-1)+1)</f>
        <v>0</v>
      </c>
      <c r="AK461" s="52" t="str">
        <f>INDEX('M04-S04'!$AV$16:$AV$198,2*(ROWS($AK$437:AK461)-1)+1)</f>
        <v/>
      </c>
      <c r="AL461" s="184">
        <f>IF(NOT(ISNUMBER(INDEX('M04-S04'!$AN$16:$AN$198,2*(ROWS($R$437:$R461)-1)+1))),INDEX('M04-S04'!$AD$16:$AD$198,2*(ROWS($AL$437:$AL461)-1)+1),"")</f>
        <v>0</v>
      </c>
      <c r="AM461" s="184" t="str">
        <f>IF(NOT(ISNUMBER(INDEX('M04-S04'!$AN$16:$AN$198,2*(ROWS($R$437:$R461)-1)+1))),INDEX('M04-S04'!$AF$16:$AF$198,2*(ROWS($AM$437:$AM461)-1)+1),"")</f>
        <v/>
      </c>
      <c r="AN461" s="52" t="str">
        <f>IF(NOT(ISNUMBER(INDEX('M04-S04'!$AN$16:$AN$198,2*(ROWS($R$437:$R461)-1)+1))),INDEX('M04-S04'!$AH$16:$AH$198,2*(ROWS($AN$437:$AN461)-1)+1),"")</f>
        <v/>
      </c>
      <c r="AO461" s="113"/>
      <c r="AU461"/>
    </row>
    <row r="462" spans="1:47">
      <c r="A462" s="57">
        <f t="shared" si="43"/>
        <v>0</v>
      </c>
      <c r="B462" s="183" t="str">
        <f t="shared" si="45"/>
        <v/>
      </c>
      <c r="C462" s="186" t="str">
        <f>IF(OR(R462&gt;0,V462&gt;0),INDEX('M04-S04'!$BC$16:$BC$198,2*(ROWS($C$437:C462)-1)+1),"")</f>
        <v/>
      </c>
      <c r="D462" t="s">
        <v>231</v>
      </c>
      <c r="E462" s="112"/>
      <c r="F462" s="112"/>
      <c r="G462" s="96"/>
      <c r="H462" s="96"/>
      <c r="I462" s="184">
        <f>IFERROR(ROUND(IF(ISNUMBER(INDEX('M04-S04'!$AN$16:$AN$198,2*(ROWS($R$437:$R462)-1)+1)),INDEX('M04-S04'!$AD$16:$AD$198,2*(ROWS($I$437:$I462)-1)+1),""),2),0)</f>
        <v>0</v>
      </c>
      <c r="J462" s="184">
        <f>IFERROR(ROUND(IF(ISNUMBER(INDEX('M04-S04'!$AN$16:$AN$198,2*(ROWS($R$437:$R462)-1)+1)),INDEX('M04-S04'!$AF$16:$AF$198,2*(ROWS($J$437:$J462)-1)+1),""),2),0)</f>
        <v>0</v>
      </c>
      <c r="K462" s="52">
        <f>IFERROR(ROUND(IF(ISNUMBER(INDEX('M04-S04'!$AN$16:$AN$198,2*(ROWS($R$437:$R462)-1)+1)),INDEX('M04-S04'!$AH$16:$AH$198,2*(ROWS($K$437:$K462)-1)+1),""),2),0)</f>
        <v>0</v>
      </c>
      <c r="M462" s="456" t="str">
        <f>IF(ISNUMBER(INDEX('M04-S04'!$AN$16:$AN$198,2*(ROWS($R$437:R462)-1)+1)),INDEX('M04-S04'!$X$16:$X$198,2*(ROWS($M$437:M462)-1)+1),"")</f>
        <v/>
      </c>
      <c r="N462" s="113"/>
      <c r="O462" s="459"/>
      <c r="P462" s="184" t="str">
        <f>IFERROR(IF(ISNUMBER(INDEX('M04-S04'!$AN$16:$AN$198,2*(ROWS($R$437:R462)-1)+1)),INDEX('M04-S04'!$AK$16:$AK$196,2*(ROWS($P$437:P462)-1)+1),""),"")</f>
        <v/>
      </c>
      <c r="Q462" s="184"/>
      <c r="R462" s="184">
        <f>IF(ISNUMBER(INDEX('M04-S04'!$AN$16:$AN$198,2*(ROWS($R$437:R462)-1)+1)),INDEX('M04-S04'!$AN$16:$AN$198,2*(ROWS($R$437:R462)-1)+1),0)</f>
        <v>0</v>
      </c>
      <c r="S462" s="23">
        <f>IF(NOT(ISNUMBER(INDEX('M04-S04'!$AN$16:$AN$198,2*(ROWS($R$437:R462)-1)+1))),INDEX('M04-S04'!$X$16:$X$198,2*(ROWS($S$437:S462)-1)+1),"")</f>
        <v>0</v>
      </c>
      <c r="T462" s="113"/>
      <c r="U462" s="459"/>
      <c r="V462" s="52" t="str">
        <f>IFERROR(IF(NOT(ISNUMBER(INDEX('M04-S04'!$AN$16:$AN$198,2*(ROWS($R$437:R462)-1)+1))),INDEX('M04-S04'!$AK$16:$AK$198,2*(ROWS($R$437:R462)-1)+1),0),0)</f>
        <v/>
      </c>
      <c r="W462" t="str">
        <f>IFERROR(IF(NOT(ISNUMBER(INDEX('M04-S04'!$AN$16:$AN$198,2*(ROWS($R$437:R462)-1)+1))),INDEX('M04-S04'!$BD$16:$BD$198,2*(ROWS($R$437:R462)-1)+1),""),"")</f>
        <v>Submit for Review</v>
      </c>
      <c r="X462" s="113"/>
      <c r="Y462" s="113"/>
      <c r="Z462" s="111">
        <f>INDEX('M04-S04'!$B$16:$B$198,2*(ROWS($Z$437:Z462)-1)+1)</f>
        <v>26</v>
      </c>
      <c r="AA462" s="112"/>
      <c r="AB462" s="111">
        <f>INDEX('M04-S04'!$F$16:$F$198,2*(ROWS($Z$437:AB462)-1)+1)</f>
        <v>0</v>
      </c>
      <c r="AC462">
        <f>INDEX('M04-S04'!$L$16:$L$198,2*(ROWS($AC$437:AC462)-1)+1)</f>
        <v>0</v>
      </c>
      <c r="AD462">
        <f>INDEX('M04-S04'!$T$16:$T$198,2*(ROWS($AD$437:AD462)-1)+1)</f>
        <v>0</v>
      </c>
      <c r="AE462" s="459"/>
      <c r="AF462" s="459"/>
      <c r="AG462" s="96"/>
      <c r="AH462" s="96"/>
      <c r="AI462" s="111">
        <f>INDEX('M04-S04'!$R$16:$R$198,2*(ROWS($AG$437:AI462)-1)+1)</f>
        <v>0</v>
      </c>
      <c r="AJ462" s="111">
        <f>INDEX('M04-S04'!$Z$16:$Z$198,2*(ROWS($AH$437:AJ462)-1)+1)</f>
        <v>0</v>
      </c>
      <c r="AK462" s="52" t="str">
        <f>INDEX('M04-S04'!$AV$16:$AV$198,2*(ROWS($AK$437:AK462)-1)+1)</f>
        <v/>
      </c>
      <c r="AL462" s="184">
        <f>IF(NOT(ISNUMBER(INDEX('M04-S04'!$AN$16:$AN$198,2*(ROWS($R$437:$R462)-1)+1))),INDEX('M04-S04'!$AD$16:$AD$198,2*(ROWS($AL$437:$AL462)-1)+1),"")</f>
        <v>0</v>
      </c>
      <c r="AM462" s="184" t="str">
        <f>IF(NOT(ISNUMBER(INDEX('M04-S04'!$AN$16:$AN$198,2*(ROWS($R$437:$R462)-1)+1))),INDEX('M04-S04'!$AF$16:$AF$198,2*(ROWS($AM$437:$AM462)-1)+1),"")</f>
        <v/>
      </c>
      <c r="AN462" s="52" t="str">
        <f>IF(NOT(ISNUMBER(INDEX('M04-S04'!$AN$16:$AN$198,2*(ROWS($R$437:$R462)-1)+1))),INDEX('M04-S04'!$AH$16:$AH$198,2*(ROWS($AN$437:$AN462)-1)+1),"")</f>
        <v/>
      </c>
      <c r="AO462" s="113"/>
      <c r="AU462"/>
    </row>
    <row r="463" spans="1:47">
      <c r="A463" s="57">
        <f t="shared" si="43"/>
        <v>0</v>
      </c>
      <c r="B463" s="183" t="str">
        <f t="shared" si="45"/>
        <v/>
      </c>
      <c r="C463" s="186" t="str">
        <f>IF(OR(R463&gt;0,V463&gt;0),INDEX('M04-S04'!$BC$16:$BC$198,2*(ROWS($C$437:C463)-1)+1),"")</f>
        <v/>
      </c>
      <c r="D463" t="s">
        <v>231</v>
      </c>
      <c r="E463" s="112"/>
      <c r="F463" s="112"/>
      <c r="G463" s="96"/>
      <c r="H463" s="96"/>
      <c r="I463" s="184">
        <f>IFERROR(ROUND(IF(ISNUMBER(INDEX('M04-S04'!$AN$16:$AN$198,2*(ROWS($R$437:$R463)-1)+1)),INDEX('M04-S04'!$AD$16:$AD$198,2*(ROWS($I$437:$I463)-1)+1),""),2),0)</f>
        <v>0</v>
      </c>
      <c r="J463" s="184">
        <f>IFERROR(ROUND(IF(ISNUMBER(INDEX('M04-S04'!$AN$16:$AN$198,2*(ROWS($R$437:$R463)-1)+1)),INDEX('M04-S04'!$AF$16:$AF$198,2*(ROWS($J$437:$J463)-1)+1),""),2),0)</f>
        <v>0</v>
      </c>
      <c r="K463" s="52">
        <f>IFERROR(ROUND(IF(ISNUMBER(INDEX('M04-S04'!$AN$16:$AN$198,2*(ROWS($R$437:$R463)-1)+1)),INDEX('M04-S04'!$AH$16:$AH$198,2*(ROWS($K$437:$K463)-1)+1),""),2),0)</f>
        <v>0</v>
      </c>
      <c r="M463" s="456" t="str">
        <f>IF(ISNUMBER(INDEX('M04-S04'!$AN$16:$AN$198,2*(ROWS($R$437:R463)-1)+1)),INDEX('M04-S04'!$X$16:$X$198,2*(ROWS($M$437:M463)-1)+1),"")</f>
        <v/>
      </c>
      <c r="N463" s="113"/>
      <c r="O463" s="459"/>
      <c r="P463" s="184" t="str">
        <f>IFERROR(IF(ISNUMBER(INDEX('M04-S04'!$AN$16:$AN$198,2*(ROWS($R$437:R463)-1)+1)),INDEX('M04-S04'!$AK$16:$AK$196,2*(ROWS($P$437:P463)-1)+1),""),"")</f>
        <v/>
      </c>
      <c r="Q463" s="184"/>
      <c r="R463" s="184">
        <f>IF(ISNUMBER(INDEX('M04-S04'!$AN$16:$AN$198,2*(ROWS($R$437:R463)-1)+1)),INDEX('M04-S04'!$AN$16:$AN$198,2*(ROWS($R$437:R463)-1)+1),0)</f>
        <v>0</v>
      </c>
      <c r="S463" s="23">
        <f>IF(NOT(ISNUMBER(INDEX('M04-S04'!$AN$16:$AN$198,2*(ROWS($R$437:R463)-1)+1))),INDEX('M04-S04'!$X$16:$X$198,2*(ROWS($S$437:S463)-1)+1),"")</f>
        <v>0</v>
      </c>
      <c r="T463" s="113"/>
      <c r="U463" s="459"/>
      <c r="V463" s="52" t="str">
        <f>IFERROR(IF(NOT(ISNUMBER(INDEX('M04-S04'!$AN$16:$AN$198,2*(ROWS($R$437:R463)-1)+1))),INDEX('M04-S04'!$AK$16:$AK$198,2*(ROWS($R$437:R463)-1)+1),0),0)</f>
        <v/>
      </c>
      <c r="W463" t="str">
        <f>IFERROR(IF(NOT(ISNUMBER(INDEX('M04-S04'!$AN$16:$AN$198,2*(ROWS($R$437:R463)-1)+1))),INDEX('M04-S04'!$BD$16:$BD$198,2*(ROWS($R$437:R463)-1)+1),""),"")</f>
        <v>Submit for Review</v>
      </c>
      <c r="X463" s="113"/>
      <c r="Y463" s="113"/>
      <c r="Z463" s="111">
        <f>INDEX('M04-S04'!$B$16:$B$198,2*(ROWS($Z$437:Z463)-1)+1)</f>
        <v>27</v>
      </c>
      <c r="AA463" s="112"/>
      <c r="AB463" s="111">
        <f>INDEX('M04-S04'!$F$16:$F$198,2*(ROWS($Z$437:AB463)-1)+1)</f>
        <v>0</v>
      </c>
      <c r="AC463">
        <f>INDEX('M04-S04'!$L$16:$L$198,2*(ROWS($AC$437:AC463)-1)+1)</f>
        <v>0</v>
      </c>
      <c r="AD463">
        <f>INDEX('M04-S04'!$T$16:$T$198,2*(ROWS($AD$437:AD463)-1)+1)</f>
        <v>0</v>
      </c>
      <c r="AE463" s="459"/>
      <c r="AF463" s="459"/>
      <c r="AG463" s="96"/>
      <c r="AH463" s="96"/>
      <c r="AI463" s="111">
        <f>INDEX('M04-S04'!$R$16:$R$198,2*(ROWS($AG$437:AI463)-1)+1)</f>
        <v>0</v>
      </c>
      <c r="AJ463" s="111">
        <f>INDEX('M04-S04'!$Z$16:$Z$198,2*(ROWS($AH$437:AJ463)-1)+1)</f>
        <v>0</v>
      </c>
      <c r="AK463" s="52" t="str">
        <f>INDEX('M04-S04'!$AV$16:$AV$198,2*(ROWS($AK$437:AK463)-1)+1)</f>
        <v/>
      </c>
      <c r="AL463" s="184">
        <f>IF(NOT(ISNUMBER(INDEX('M04-S04'!$AN$16:$AN$198,2*(ROWS($R$437:$R463)-1)+1))),INDEX('M04-S04'!$AD$16:$AD$198,2*(ROWS($AL$437:$AL463)-1)+1),"")</f>
        <v>0</v>
      </c>
      <c r="AM463" s="184" t="str">
        <f>IF(NOT(ISNUMBER(INDEX('M04-S04'!$AN$16:$AN$198,2*(ROWS($R$437:$R463)-1)+1))),INDEX('M04-S04'!$AF$16:$AF$198,2*(ROWS($AM$437:$AM463)-1)+1),"")</f>
        <v/>
      </c>
      <c r="AN463" s="52" t="str">
        <f>IF(NOT(ISNUMBER(INDEX('M04-S04'!$AN$16:$AN$198,2*(ROWS($R$437:$R463)-1)+1))),INDEX('M04-S04'!$AH$16:$AH$198,2*(ROWS($AN$437:$AN463)-1)+1),"")</f>
        <v/>
      </c>
      <c r="AO463" s="113"/>
      <c r="AU463"/>
    </row>
    <row r="464" spans="1:47">
      <c r="A464" s="57">
        <f t="shared" si="43"/>
        <v>0</v>
      </c>
      <c r="B464" s="183" t="str">
        <f t="shared" si="45"/>
        <v/>
      </c>
      <c r="C464" s="186" t="str">
        <f>IF(OR(R464&gt;0,V464&gt;0),INDEX('M04-S04'!$BC$16:$BC$198,2*(ROWS($C$437:C464)-1)+1),"")</f>
        <v/>
      </c>
      <c r="D464" t="s">
        <v>231</v>
      </c>
      <c r="E464" s="112"/>
      <c r="F464" s="112"/>
      <c r="G464" s="96"/>
      <c r="H464" s="96"/>
      <c r="I464" s="184">
        <f>IFERROR(ROUND(IF(ISNUMBER(INDEX('M04-S04'!$AN$16:$AN$198,2*(ROWS($R$437:$R464)-1)+1)),INDEX('M04-S04'!$AD$16:$AD$198,2*(ROWS($I$437:$I464)-1)+1),""),2),0)</f>
        <v>0</v>
      </c>
      <c r="J464" s="184">
        <f>IFERROR(ROUND(IF(ISNUMBER(INDEX('M04-S04'!$AN$16:$AN$198,2*(ROWS($R$437:$R464)-1)+1)),INDEX('M04-S04'!$AF$16:$AF$198,2*(ROWS($J$437:$J464)-1)+1),""),2),0)</f>
        <v>0</v>
      </c>
      <c r="K464" s="52">
        <f>IFERROR(ROUND(IF(ISNUMBER(INDEX('M04-S04'!$AN$16:$AN$198,2*(ROWS($R$437:$R464)-1)+1)),INDEX('M04-S04'!$AH$16:$AH$198,2*(ROWS($K$437:$K464)-1)+1),""),2),0)</f>
        <v>0</v>
      </c>
      <c r="M464" s="456" t="str">
        <f>IF(ISNUMBER(INDEX('M04-S04'!$AN$16:$AN$198,2*(ROWS($R$437:R464)-1)+1)),INDEX('M04-S04'!$X$16:$X$198,2*(ROWS($M$437:M464)-1)+1),"")</f>
        <v/>
      </c>
      <c r="N464" s="113"/>
      <c r="O464" s="459"/>
      <c r="P464" s="184" t="str">
        <f>IFERROR(IF(ISNUMBER(INDEX('M04-S04'!$AN$16:$AN$198,2*(ROWS($R$437:R464)-1)+1)),INDEX('M04-S04'!$AK$16:$AK$196,2*(ROWS($P$437:P464)-1)+1),""),"")</f>
        <v/>
      </c>
      <c r="Q464" s="184"/>
      <c r="R464" s="184">
        <f>IF(ISNUMBER(INDEX('M04-S04'!$AN$16:$AN$198,2*(ROWS($R$437:R464)-1)+1)),INDEX('M04-S04'!$AN$16:$AN$198,2*(ROWS($R$437:R464)-1)+1),0)</f>
        <v>0</v>
      </c>
      <c r="S464" s="23">
        <f>IF(NOT(ISNUMBER(INDEX('M04-S04'!$AN$16:$AN$198,2*(ROWS($R$437:R464)-1)+1))),INDEX('M04-S04'!$X$16:$X$198,2*(ROWS($S$437:S464)-1)+1),"")</f>
        <v>0</v>
      </c>
      <c r="T464" s="113"/>
      <c r="U464" s="459"/>
      <c r="V464" s="52" t="str">
        <f>IFERROR(IF(NOT(ISNUMBER(INDEX('M04-S04'!$AN$16:$AN$198,2*(ROWS($R$437:R464)-1)+1))),INDEX('M04-S04'!$AK$16:$AK$198,2*(ROWS($R$437:R464)-1)+1),0),0)</f>
        <v/>
      </c>
      <c r="W464" t="str">
        <f>IFERROR(IF(NOT(ISNUMBER(INDEX('M04-S04'!$AN$16:$AN$198,2*(ROWS($R$437:R464)-1)+1))),INDEX('M04-S04'!$BD$16:$BD$198,2*(ROWS($R$437:R464)-1)+1),""),"")</f>
        <v>Submit for Review</v>
      </c>
      <c r="X464" s="113"/>
      <c r="Y464" s="113"/>
      <c r="Z464" s="111">
        <f>INDEX('M04-S04'!$B$16:$B$198,2*(ROWS($Z$437:Z464)-1)+1)</f>
        <v>28</v>
      </c>
      <c r="AA464" s="112"/>
      <c r="AB464" s="111">
        <f>INDEX('M04-S04'!$F$16:$F$198,2*(ROWS($Z$437:AB464)-1)+1)</f>
        <v>0</v>
      </c>
      <c r="AC464">
        <f>INDEX('M04-S04'!$L$16:$L$198,2*(ROWS($AC$437:AC464)-1)+1)</f>
        <v>0</v>
      </c>
      <c r="AD464">
        <f>INDEX('M04-S04'!$T$16:$T$198,2*(ROWS($AD$437:AD464)-1)+1)</f>
        <v>0</v>
      </c>
      <c r="AE464" s="459"/>
      <c r="AF464" s="459"/>
      <c r="AG464" s="96"/>
      <c r="AH464" s="96"/>
      <c r="AI464" s="111">
        <f>INDEX('M04-S04'!$R$16:$R$198,2*(ROWS($AG$437:AI464)-1)+1)</f>
        <v>0</v>
      </c>
      <c r="AJ464" s="111">
        <f>INDEX('M04-S04'!$Z$16:$Z$198,2*(ROWS($AH$437:AJ464)-1)+1)</f>
        <v>0</v>
      </c>
      <c r="AK464" s="52" t="str">
        <f>INDEX('M04-S04'!$AV$16:$AV$198,2*(ROWS($AK$437:AK464)-1)+1)</f>
        <v/>
      </c>
      <c r="AL464" s="184">
        <f>IF(NOT(ISNUMBER(INDEX('M04-S04'!$AN$16:$AN$198,2*(ROWS($R$437:$R464)-1)+1))),INDEX('M04-S04'!$AD$16:$AD$198,2*(ROWS($AL$437:$AL464)-1)+1),"")</f>
        <v>0</v>
      </c>
      <c r="AM464" s="184" t="str">
        <f>IF(NOT(ISNUMBER(INDEX('M04-S04'!$AN$16:$AN$198,2*(ROWS($R$437:$R464)-1)+1))),INDEX('M04-S04'!$AF$16:$AF$198,2*(ROWS($AM$437:$AM464)-1)+1),"")</f>
        <v/>
      </c>
      <c r="AN464" s="52" t="str">
        <f>IF(NOT(ISNUMBER(INDEX('M04-S04'!$AN$16:$AN$198,2*(ROWS($R$437:$R464)-1)+1))),INDEX('M04-S04'!$AH$16:$AH$198,2*(ROWS($AN$437:$AN464)-1)+1),"")</f>
        <v/>
      </c>
      <c r="AO464" s="113"/>
      <c r="AU464"/>
    </row>
    <row r="465" spans="1:47">
      <c r="A465" s="57">
        <f t="shared" si="43"/>
        <v>0</v>
      </c>
      <c r="B465" s="183" t="str">
        <f t="shared" si="45"/>
        <v/>
      </c>
      <c r="C465" s="186" t="str">
        <f>IF(OR(R465&gt;0,V465&gt;0),INDEX('M04-S04'!$BC$16:$BC$198,2*(ROWS($C$437:C465)-1)+1),"")</f>
        <v/>
      </c>
      <c r="D465" t="s">
        <v>231</v>
      </c>
      <c r="E465" s="112"/>
      <c r="F465" s="112"/>
      <c r="G465" s="96"/>
      <c r="H465" s="96"/>
      <c r="I465" s="184">
        <f>IFERROR(ROUND(IF(ISNUMBER(INDEX('M04-S04'!$AN$16:$AN$198,2*(ROWS($R$437:$R465)-1)+1)),INDEX('M04-S04'!$AD$16:$AD$198,2*(ROWS($I$437:$I465)-1)+1),""),2),0)</f>
        <v>0</v>
      </c>
      <c r="J465" s="184">
        <f>IFERROR(ROUND(IF(ISNUMBER(INDEX('M04-S04'!$AN$16:$AN$198,2*(ROWS($R$437:$R465)-1)+1)),INDEX('M04-S04'!$AF$16:$AF$198,2*(ROWS($J$437:$J465)-1)+1),""),2),0)</f>
        <v>0</v>
      </c>
      <c r="K465" s="52">
        <f>IFERROR(ROUND(IF(ISNUMBER(INDEX('M04-S04'!$AN$16:$AN$198,2*(ROWS($R$437:$R465)-1)+1)),INDEX('M04-S04'!$AH$16:$AH$198,2*(ROWS($K$437:$K465)-1)+1),""),2),0)</f>
        <v>0</v>
      </c>
      <c r="M465" s="456" t="str">
        <f>IF(ISNUMBER(INDEX('M04-S04'!$AN$16:$AN$198,2*(ROWS($R$437:R465)-1)+1)),INDEX('M04-S04'!$X$16:$X$198,2*(ROWS($M$437:M465)-1)+1),"")</f>
        <v/>
      </c>
      <c r="N465" s="113"/>
      <c r="O465" s="459"/>
      <c r="P465" s="184" t="str">
        <f>IFERROR(IF(ISNUMBER(INDEX('M04-S04'!$AN$16:$AN$198,2*(ROWS($R$437:R465)-1)+1)),INDEX('M04-S04'!$AK$16:$AK$196,2*(ROWS($P$437:P465)-1)+1),""),"")</f>
        <v/>
      </c>
      <c r="Q465" s="184"/>
      <c r="R465" s="184">
        <f>IF(ISNUMBER(INDEX('M04-S04'!$AN$16:$AN$198,2*(ROWS($R$437:R465)-1)+1)),INDEX('M04-S04'!$AN$16:$AN$198,2*(ROWS($R$437:R465)-1)+1),0)</f>
        <v>0</v>
      </c>
      <c r="S465" s="23">
        <f>IF(NOT(ISNUMBER(INDEX('M04-S04'!$AN$16:$AN$198,2*(ROWS($R$437:R465)-1)+1))),INDEX('M04-S04'!$X$16:$X$198,2*(ROWS($S$437:S465)-1)+1),"")</f>
        <v>0</v>
      </c>
      <c r="T465" s="113"/>
      <c r="U465" s="459"/>
      <c r="V465" s="52" t="str">
        <f>IFERROR(IF(NOT(ISNUMBER(INDEX('M04-S04'!$AN$16:$AN$198,2*(ROWS($R$437:R465)-1)+1))),INDEX('M04-S04'!$AK$16:$AK$198,2*(ROWS($R$437:R465)-1)+1),0),0)</f>
        <v/>
      </c>
      <c r="W465" t="str">
        <f>IFERROR(IF(NOT(ISNUMBER(INDEX('M04-S04'!$AN$16:$AN$198,2*(ROWS($R$437:R465)-1)+1))),INDEX('M04-S04'!$BD$16:$BD$198,2*(ROWS($R$437:R465)-1)+1),""),"")</f>
        <v>Submit for Review</v>
      </c>
      <c r="X465" s="113"/>
      <c r="Y465" s="113"/>
      <c r="Z465" s="111">
        <f>INDEX('M04-S04'!$B$16:$B$198,2*(ROWS($Z$437:Z465)-1)+1)</f>
        <v>29</v>
      </c>
      <c r="AA465" s="112"/>
      <c r="AB465" s="111">
        <f>INDEX('M04-S04'!$F$16:$F$198,2*(ROWS($Z$437:AB465)-1)+1)</f>
        <v>0</v>
      </c>
      <c r="AC465">
        <f>INDEX('M04-S04'!$L$16:$L$198,2*(ROWS($AC$437:AC465)-1)+1)</f>
        <v>0</v>
      </c>
      <c r="AD465">
        <f>INDEX('M04-S04'!$T$16:$T$198,2*(ROWS($AD$437:AD465)-1)+1)</f>
        <v>0</v>
      </c>
      <c r="AE465" s="459"/>
      <c r="AF465" s="459"/>
      <c r="AG465" s="96"/>
      <c r="AH465" s="96"/>
      <c r="AI465" s="111">
        <f>INDEX('M04-S04'!$R$16:$R$198,2*(ROWS($AG$437:AI465)-1)+1)</f>
        <v>0</v>
      </c>
      <c r="AJ465" s="111">
        <f>INDEX('M04-S04'!$Z$16:$Z$198,2*(ROWS($AH$437:AJ465)-1)+1)</f>
        <v>0</v>
      </c>
      <c r="AK465" s="52" t="str">
        <f>INDEX('M04-S04'!$AV$16:$AV$198,2*(ROWS($AK$437:AK465)-1)+1)</f>
        <v/>
      </c>
      <c r="AL465" s="184">
        <f>IF(NOT(ISNUMBER(INDEX('M04-S04'!$AN$16:$AN$198,2*(ROWS($R$437:$R465)-1)+1))),INDEX('M04-S04'!$AD$16:$AD$198,2*(ROWS($AL$437:$AL465)-1)+1),"")</f>
        <v>0</v>
      </c>
      <c r="AM465" s="184" t="str">
        <f>IF(NOT(ISNUMBER(INDEX('M04-S04'!$AN$16:$AN$198,2*(ROWS($R$437:$R465)-1)+1))),INDEX('M04-S04'!$AF$16:$AF$198,2*(ROWS($AM$437:$AM465)-1)+1),"")</f>
        <v/>
      </c>
      <c r="AN465" s="52" t="str">
        <f>IF(NOT(ISNUMBER(INDEX('M04-S04'!$AN$16:$AN$198,2*(ROWS($R$437:$R465)-1)+1))),INDEX('M04-S04'!$AH$16:$AH$198,2*(ROWS($AN$437:$AN465)-1)+1),"")</f>
        <v/>
      </c>
      <c r="AO465" s="113"/>
      <c r="AU465"/>
    </row>
    <row r="466" spans="1:47">
      <c r="A466" s="57">
        <f t="shared" si="43"/>
        <v>0</v>
      </c>
      <c r="B466" s="183" t="str">
        <f t="shared" si="45"/>
        <v/>
      </c>
      <c r="C466" s="186" t="str">
        <f>IF(OR(R466&gt;0,V466&gt;0),INDEX('M04-S04'!$BC$16:$BC$198,2*(ROWS($C$437:C466)-1)+1),"")</f>
        <v/>
      </c>
      <c r="D466" t="s">
        <v>231</v>
      </c>
      <c r="E466" s="112"/>
      <c r="F466" s="112"/>
      <c r="G466" s="96"/>
      <c r="H466" s="96"/>
      <c r="I466" s="184">
        <f>IFERROR(ROUND(IF(ISNUMBER(INDEX('M04-S04'!$AN$16:$AN$198,2*(ROWS($R$437:$R466)-1)+1)),INDEX('M04-S04'!$AD$16:$AD$198,2*(ROWS($I$437:$I466)-1)+1),""),2),0)</f>
        <v>0</v>
      </c>
      <c r="J466" s="184">
        <f>IFERROR(ROUND(IF(ISNUMBER(INDEX('M04-S04'!$AN$16:$AN$198,2*(ROWS($R$437:$R466)-1)+1)),INDEX('M04-S04'!$AF$16:$AF$198,2*(ROWS($J$437:$J466)-1)+1),""),2),0)</f>
        <v>0</v>
      </c>
      <c r="K466" s="52">
        <f>IFERROR(ROUND(IF(ISNUMBER(INDEX('M04-S04'!$AN$16:$AN$198,2*(ROWS($R$437:$R466)-1)+1)),INDEX('M04-S04'!$AH$16:$AH$198,2*(ROWS($K$437:$K466)-1)+1),""),2),0)</f>
        <v>0</v>
      </c>
      <c r="M466" s="456" t="str">
        <f>IF(ISNUMBER(INDEX('M04-S04'!$AN$16:$AN$198,2*(ROWS($R$437:R466)-1)+1)),INDEX('M04-S04'!$X$16:$X$198,2*(ROWS($M$437:M466)-1)+1),"")</f>
        <v/>
      </c>
      <c r="N466" s="113"/>
      <c r="O466" s="459"/>
      <c r="P466" s="184" t="str">
        <f>IFERROR(IF(ISNUMBER(INDEX('M04-S04'!$AN$16:$AN$198,2*(ROWS($R$437:R466)-1)+1)),INDEX('M04-S04'!$AK$16:$AK$196,2*(ROWS($P$437:P466)-1)+1),""),"")</f>
        <v/>
      </c>
      <c r="Q466" s="184"/>
      <c r="R466" s="184">
        <f>IF(ISNUMBER(INDEX('M04-S04'!$AN$16:$AN$198,2*(ROWS($R$437:R466)-1)+1)),INDEX('M04-S04'!$AN$16:$AN$198,2*(ROWS($R$437:R466)-1)+1),0)</f>
        <v>0</v>
      </c>
      <c r="S466" s="23">
        <f>IF(NOT(ISNUMBER(INDEX('M04-S04'!$AN$16:$AN$198,2*(ROWS($R$437:R466)-1)+1))),INDEX('M04-S04'!$X$16:$X$198,2*(ROWS($S$437:S466)-1)+1),"")</f>
        <v>0</v>
      </c>
      <c r="T466" s="113"/>
      <c r="U466" s="459"/>
      <c r="V466" s="52" t="str">
        <f>IFERROR(IF(NOT(ISNUMBER(INDEX('M04-S04'!$AN$16:$AN$198,2*(ROWS($R$437:R466)-1)+1))),INDEX('M04-S04'!$AK$16:$AK$198,2*(ROWS($R$437:R466)-1)+1),0),0)</f>
        <v/>
      </c>
      <c r="W466" t="str">
        <f>IFERROR(IF(NOT(ISNUMBER(INDEX('M04-S04'!$AN$16:$AN$198,2*(ROWS($R$437:R466)-1)+1))),INDEX('M04-S04'!$BD$16:$BD$198,2*(ROWS($R$437:R466)-1)+1),""),"")</f>
        <v>Submit for Review</v>
      </c>
      <c r="X466" s="113"/>
      <c r="Y466" s="113"/>
      <c r="Z466" s="111">
        <f>INDEX('M04-S04'!$B$16:$B$198,2*(ROWS($Z$437:Z466)-1)+1)</f>
        <v>30</v>
      </c>
      <c r="AA466" s="112"/>
      <c r="AB466" s="111">
        <f>INDEX('M04-S04'!$F$16:$F$198,2*(ROWS($Z$437:AB466)-1)+1)</f>
        <v>0</v>
      </c>
      <c r="AC466">
        <f>INDEX('M04-S04'!$L$16:$L$198,2*(ROWS($AC$437:AC466)-1)+1)</f>
        <v>0</v>
      </c>
      <c r="AD466">
        <f>INDEX('M04-S04'!$T$16:$T$198,2*(ROWS($AD$437:AD466)-1)+1)</f>
        <v>0</v>
      </c>
      <c r="AE466" s="459"/>
      <c r="AF466" s="459"/>
      <c r="AG466" s="96"/>
      <c r="AH466" s="96"/>
      <c r="AI466" s="111">
        <f>INDEX('M04-S04'!$R$16:$R$198,2*(ROWS($AG$437:AI466)-1)+1)</f>
        <v>0</v>
      </c>
      <c r="AJ466" s="111">
        <f>INDEX('M04-S04'!$Z$16:$Z$198,2*(ROWS($AH$437:AJ466)-1)+1)</f>
        <v>0</v>
      </c>
      <c r="AK466" s="52" t="str">
        <f>INDEX('M04-S04'!$AV$16:$AV$198,2*(ROWS($AK$437:AK466)-1)+1)</f>
        <v/>
      </c>
      <c r="AL466" s="184">
        <f>IF(NOT(ISNUMBER(INDEX('M04-S04'!$AN$16:$AN$198,2*(ROWS($R$437:$R466)-1)+1))),INDEX('M04-S04'!$AD$16:$AD$198,2*(ROWS($AL$437:$AL466)-1)+1),"")</f>
        <v>0</v>
      </c>
      <c r="AM466" s="184" t="str">
        <f>IF(NOT(ISNUMBER(INDEX('M04-S04'!$AN$16:$AN$198,2*(ROWS($R$437:$R466)-1)+1))),INDEX('M04-S04'!$AF$16:$AF$198,2*(ROWS($AM$437:$AM466)-1)+1),"")</f>
        <v/>
      </c>
      <c r="AN466" s="52" t="str">
        <f>IF(NOT(ISNUMBER(INDEX('M04-S04'!$AN$16:$AN$198,2*(ROWS($R$437:$R466)-1)+1))),INDEX('M04-S04'!$AH$16:$AH$198,2*(ROWS($AN$437:$AN466)-1)+1),"")</f>
        <v/>
      </c>
      <c r="AO466" s="113"/>
      <c r="AU466"/>
    </row>
    <row r="467" spans="1:47">
      <c r="A467" s="57">
        <f t="shared" si="43"/>
        <v>0</v>
      </c>
      <c r="B467" s="183" t="str">
        <f t="shared" si="45"/>
        <v/>
      </c>
      <c r="C467" s="186" t="str">
        <f>IF(OR(R467&gt;0,V467&gt;0),INDEX('M04-S04'!$BC$16:$BC$198,2*(ROWS($C$437:C467)-1)+1),"")</f>
        <v/>
      </c>
      <c r="D467" t="s">
        <v>231</v>
      </c>
      <c r="E467" s="112"/>
      <c r="F467" s="112"/>
      <c r="G467" s="96"/>
      <c r="H467" s="96"/>
      <c r="I467" s="184">
        <f>IFERROR(ROUND(IF(ISNUMBER(INDEX('M04-S04'!$AN$16:$AN$198,2*(ROWS($R$437:$R467)-1)+1)),INDEX('M04-S04'!$AD$16:$AD$198,2*(ROWS($I$437:$I467)-1)+1),""),2),0)</f>
        <v>0</v>
      </c>
      <c r="J467" s="184">
        <f>IFERROR(ROUND(IF(ISNUMBER(INDEX('M04-S04'!$AN$16:$AN$198,2*(ROWS($R$437:$R467)-1)+1)),INDEX('M04-S04'!$AF$16:$AF$198,2*(ROWS($J$437:$J467)-1)+1),""),2),0)</f>
        <v>0</v>
      </c>
      <c r="K467" s="52">
        <f>IFERROR(ROUND(IF(ISNUMBER(INDEX('M04-S04'!$AN$16:$AN$198,2*(ROWS($R$437:$R467)-1)+1)),INDEX('M04-S04'!$AH$16:$AH$198,2*(ROWS($K$437:$K467)-1)+1),""),2),0)</f>
        <v>0</v>
      </c>
      <c r="M467" s="456" t="str">
        <f>IF(ISNUMBER(INDEX('M04-S04'!$AN$16:$AN$198,2*(ROWS($R$437:R467)-1)+1)),INDEX('M04-S04'!$X$16:$X$198,2*(ROWS($M$437:M467)-1)+1),"")</f>
        <v/>
      </c>
      <c r="N467" s="113"/>
      <c r="O467" s="459"/>
      <c r="P467" s="184" t="str">
        <f>IFERROR(IF(ISNUMBER(INDEX('M04-S04'!$AN$16:$AN$198,2*(ROWS($R$437:R467)-1)+1)),INDEX('M04-S04'!$AK$16:$AK$196,2*(ROWS($P$437:P467)-1)+1),""),"")</f>
        <v/>
      </c>
      <c r="Q467" s="184"/>
      <c r="R467" s="184">
        <f>IF(ISNUMBER(INDEX('M04-S04'!$AN$16:$AN$198,2*(ROWS($R$437:R467)-1)+1)),INDEX('M04-S04'!$AN$16:$AN$198,2*(ROWS($R$437:R467)-1)+1),0)</f>
        <v>0</v>
      </c>
      <c r="S467" s="23">
        <f>IF(NOT(ISNUMBER(INDEX('M04-S04'!$AN$16:$AN$198,2*(ROWS($R$437:R467)-1)+1))),INDEX('M04-S04'!$X$16:$X$198,2*(ROWS($S$437:S467)-1)+1),"")</f>
        <v>0</v>
      </c>
      <c r="T467" s="113"/>
      <c r="U467" s="459"/>
      <c r="V467" s="52" t="str">
        <f>IFERROR(IF(NOT(ISNUMBER(INDEX('M04-S04'!$AN$16:$AN$198,2*(ROWS($R$437:R467)-1)+1))),INDEX('M04-S04'!$AK$16:$AK$198,2*(ROWS($R$437:R467)-1)+1),0),0)</f>
        <v/>
      </c>
      <c r="W467" t="str">
        <f>IFERROR(IF(NOT(ISNUMBER(INDEX('M04-S04'!$AN$16:$AN$198,2*(ROWS($R$437:R467)-1)+1))),INDEX('M04-S04'!$BD$16:$BD$198,2*(ROWS($R$437:R467)-1)+1),""),"")</f>
        <v>Submit for Review</v>
      </c>
      <c r="X467" s="113"/>
      <c r="Y467" s="113"/>
      <c r="Z467" s="111">
        <f>INDEX('M04-S04'!$B$16:$B$198,2*(ROWS($Z$437:Z467)-1)+1)</f>
        <v>31</v>
      </c>
      <c r="AA467" s="112"/>
      <c r="AB467" s="111">
        <f>INDEX('M04-S04'!$F$16:$F$198,2*(ROWS($Z$437:AB467)-1)+1)</f>
        <v>0</v>
      </c>
      <c r="AC467">
        <f>INDEX('M04-S04'!$L$16:$L$198,2*(ROWS($AC$437:AC467)-1)+1)</f>
        <v>0</v>
      </c>
      <c r="AD467">
        <f>INDEX('M04-S04'!$T$16:$T$198,2*(ROWS($AD$437:AD467)-1)+1)</f>
        <v>0</v>
      </c>
      <c r="AE467" s="459"/>
      <c r="AF467" s="459"/>
      <c r="AG467" s="96"/>
      <c r="AH467" s="96"/>
      <c r="AI467" s="111">
        <f>INDEX('M04-S04'!$R$16:$R$198,2*(ROWS($AG$437:AI467)-1)+1)</f>
        <v>0</v>
      </c>
      <c r="AJ467" s="111">
        <f>INDEX('M04-S04'!$Z$16:$Z$198,2*(ROWS($AH$437:AJ467)-1)+1)</f>
        <v>0</v>
      </c>
      <c r="AK467" s="52" t="str">
        <f>INDEX('M04-S04'!$AV$16:$AV$198,2*(ROWS($AK$437:AK467)-1)+1)</f>
        <v/>
      </c>
      <c r="AL467" s="184">
        <f>IF(NOT(ISNUMBER(INDEX('M04-S04'!$AN$16:$AN$198,2*(ROWS($R$437:$R467)-1)+1))),INDEX('M04-S04'!$AD$16:$AD$198,2*(ROWS($AL$437:$AL467)-1)+1),"")</f>
        <v>0</v>
      </c>
      <c r="AM467" s="184" t="str">
        <f>IF(NOT(ISNUMBER(INDEX('M04-S04'!$AN$16:$AN$198,2*(ROWS($R$437:$R467)-1)+1))),INDEX('M04-S04'!$AF$16:$AF$198,2*(ROWS($AM$437:$AM467)-1)+1),"")</f>
        <v/>
      </c>
      <c r="AN467" s="52" t="str">
        <f>IF(NOT(ISNUMBER(INDEX('M04-S04'!$AN$16:$AN$198,2*(ROWS($R$437:$R467)-1)+1))),INDEX('M04-S04'!$AH$16:$AH$198,2*(ROWS($AN$437:$AN467)-1)+1),"")</f>
        <v/>
      </c>
      <c r="AO467" s="113"/>
      <c r="AU467"/>
    </row>
    <row r="468" spans="1:47">
      <c r="A468" s="57">
        <f t="shared" si="43"/>
        <v>0</v>
      </c>
      <c r="B468" s="183" t="str">
        <f t="shared" si="45"/>
        <v/>
      </c>
      <c r="C468" s="186" t="str">
        <f>IF(OR(R468&gt;0,V468&gt;0),INDEX('M04-S04'!$BC$16:$BC$198,2*(ROWS($C$437:C468)-1)+1),"")</f>
        <v/>
      </c>
      <c r="D468" t="s">
        <v>231</v>
      </c>
      <c r="E468" s="112"/>
      <c r="F468" s="112"/>
      <c r="G468" s="96"/>
      <c r="H468" s="96"/>
      <c r="I468" s="184">
        <f>IFERROR(ROUND(IF(ISNUMBER(INDEX('M04-S04'!$AN$16:$AN$198,2*(ROWS($R$437:$R468)-1)+1)),INDEX('M04-S04'!$AD$16:$AD$198,2*(ROWS($I$437:$I468)-1)+1),""),2),0)</f>
        <v>0</v>
      </c>
      <c r="J468" s="184">
        <f>IFERROR(ROUND(IF(ISNUMBER(INDEX('M04-S04'!$AN$16:$AN$198,2*(ROWS($R$437:$R468)-1)+1)),INDEX('M04-S04'!$AF$16:$AF$198,2*(ROWS($J$437:$J468)-1)+1),""),2),0)</f>
        <v>0</v>
      </c>
      <c r="K468" s="52">
        <f>IFERROR(ROUND(IF(ISNUMBER(INDEX('M04-S04'!$AN$16:$AN$198,2*(ROWS($R$437:$R468)-1)+1)),INDEX('M04-S04'!$AH$16:$AH$198,2*(ROWS($K$437:$K468)-1)+1),""),2),0)</f>
        <v>0</v>
      </c>
      <c r="M468" s="456" t="str">
        <f>IF(ISNUMBER(INDEX('M04-S04'!$AN$16:$AN$198,2*(ROWS($R$437:R468)-1)+1)),INDEX('M04-S04'!$X$16:$X$198,2*(ROWS($M$437:M468)-1)+1),"")</f>
        <v/>
      </c>
      <c r="N468" s="113"/>
      <c r="O468" s="459"/>
      <c r="P468" s="184" t="str">
        <f>IFERROR(IF(ISNUMBER(INDEX('M04-S04'!$AN$16:$AN$198,2*(ROWS($R$437:R468)-1)+1)),INDEX('M04-S04'!$AK$16:$AK$196,2*(ROWS($P$437:P468)-1)+1),""),"")</f>
        <v/>
      </c>
      <c r="Q468" s="184"/>
      <c r="R468" s="184">
        <f>IF(ISNUMBER(INDEX('M04-S04'!$AN$16:$AN$198,2*(ROWS($R$437:R468)-1)+1)),INDEX('M04-S04'!$AN$16:$AN$198,2*(ROWS($R$437:R468)-1)+1),0)</f>
        <v>0</v>
      </c>
      <c r="S468" s="23">
        <f>IF(NOT(ISNUMBER(INDEX('M04-S04'!$AN$16:$AN$198,2*(ROWS($R$437:R468)-1)+1))),INDEX('M04-S04'!$X$16:$X$198,2*(ROWS($S$437:S468)-1)+1),"")</f>
        <v>0</v>
      </c>
      <c r="T468" s="113"/>
      <c r="U468" s="459"/>
      <c r="V468" s="52" t="str">
        <f>IFERROR(IF(NOT(ISNUMBER(INDEX('M04-S04'!$AN$16:$AN$198,2*(ROWS($R$437:R468)-1)+1))),INDEX('M04-S04'!$AK$16:$AK$198,2*(ROWS($R$437:R468)-1)+1),0),0)</f>
        <v/>
      </c>
      <c r="W468" t="str">
        <f>IFERROR(IF(NOT(ISNUMBER(INDEX('M04-S04'!$AN$16:$AN$198,2*(ROWS($R$437:R468)-1)+1))),INDEX('M04-S04'!$BD$16:$BD$198,2*(ROWS($R$437:R468)-1)+1),""),"")</f>
        <v>Submit for Review</v>
      </c>
      <c r="X468" s="113"/>
      <c r="Y468" s="113"/>
      <c r="Z468" s="111">
        <f>INDEX('M04-S04'!$B$16:$B$198,2*(ROWS($Z$437:Z468)-1)+1)</f>
        <v>32</v>
      </c>
      <c r="AA468" s="112"/>
      <c r="AB468" s="111">
        <f>INDEX('M04-S04'!$F$16:$F$198,2*(ROWS($Z$437:AB468)-1)+1)</f>
        <v>0</v>
      </c>
      <c r="AC468">
        <f>INDEX('M04-S04'!$L$16:$L$198,2*(ROWS($AC$437:AC468)-1)+1)</f>
        <v>0</v>
      </c>
      <c r="AD468">
        <f>INDEX('M04-S04'!$T$16:$T$198,2*(ROWS($AD$437:AD468)-1)+1)</f>
        <v>0</v>
      </c>
      <c r="AE468" s="459"/>
      <c r="AF468" s="459"/>
      <c r="AG468" s="96"/>
      <c r="AH468" s="96"/>
      <c r="AI468" s="111">
        <f>INDEX('M04-S04'!$R$16:$R$198,2*(ROWS($AG$437:AI468)-1)+1)</f>
        <v>0</v>
      </c>
      <c r="AJ468" s="111">
        <f>INDEX('M04-S04'!$Z$16:$Z$198,2*(ROWS($AH$437:AJ468)-1)+1)</f>
        <v>0</v>
      </c>
      <c r="AK468" s="52" t="str">
        <f>INDEX('M04-S04'!$AV$16:$AV$198,2*(ROWS($AK$437:AK468)-1)+1)</f>
        <v/>
      </c>
      <c r="AL468" s="184">
        <f>IF(NOT(ISNUMBER(INDEX('M04-S04'!$AN$16:$AN$198,2*(ROWS($R$437:$R468)-1)+1))),INDEX('M04-S04'!$AD$16:$AD$198,2*(ROWS($AL$437:$AL468)-1)+1),"")</f>
        <v>0</v>
      </c>
      <c r="AM468" s="184" t="str">
        <f>IF(NOT(ISNUMBER(INDEX('M04-S04'!$AN$16:$AN$198,2*(ROWS($R$437:$R468)-1)+1))),INDEX('M04-S04'!$AF$16:$AF$198,2*(ROWS($AM$437:$AM468)-1)+1),"")</f>
        <v/>
      </c>
      <c r="AN468" s="52" t="str">
        <f>IF(NOT(ISNUMBER(INDEX('M04-S04'!$AN$16:$AN$198,2*(ROWS($R$437:$R468)-1)+1))),INDEX('M04-S04'!$AH$16:$AH$198,2*(ROWS($AN$437:$AN468)-1)+1),"")</f>
        <v/>
      </c>
      <c r="AO468" s="113"/>
      <c r="AU468"/>
    </row>
    <row r="469" spans="1:47">
      <c r="A469" s="57">
        <f t="shared" si="43"/>
        <v>0</v>
      </c>
      <c r="B469" s="183" t="str">
        <f t="shared" si="45"/>
        <v/>
      </c>
      <c r="C469" s="186" t="str">
        <f>IF(OR(R469&gt;0,V469&gt;0),INDEX('M04-S04'!$BC$16:$BC$198,2*(ROWS($C$437:C469)-1)+1),"")</f>
        <v/>
      </c>
      <c r="D469" t="s">
        <v>231</v>
      </c>
      <c r="E469" s="112"/>
      <c r="F469" s="112"/>
      <c r="G469" s="96"/>
      <c r="H469" s="96"/>
      <c r="I469" s="184">
        <f>IFERROR(ROUND(IF(ISNUMBER(INDEX('M04-S04'!$AN$16:$AN$198,2*(ROWS($R$437:$R469)-1)+1)),INDEX('M04-S04'!$AD$16:$AD$198,2*(ROWS($I$437:$I469)-1)+1),""),2),0)</f>
        <v>0</v>
      </c>
      <c r="J469" s="184">
        <f>IFERROR(ROUND(IF(ISNUMBER(INDEX('M04-S04'!$AN$16:$AN$198,2*(ROWS($R$437:$R469)-1)+1)),INDEX('M04-S04'!$AF$16:$AF$198,2*(ROWS($J$437:$J469)-1)+1),""),2),0)</f>
        <v>0</v>
      </c>
      <c r="K469" s="52">
        <f>IFERROR(ROUND(IF(ISNUMBER(INDEX('M04-S04'!$AN$16:$AN$198,2*(ROWS($R$437:$R469)-1)+1)),INDEX('M04-S04'!$AH$16:$AH$198,2*(ROWS($K$437:$K469)-1)+1),""),2),0)</f>
        <v>0</v>
      </c>
      <c r="M469" s="456" t="str">
        <f>IF(ISNUMBER(INDEX('M04-S04'!$AN$16:$AN$198,2*(ROWS($R$437:R469)-1)+1)),INDEX('M04-S04'!$X$16:$X$198,2*(ROWS($M$437:M469)-1)+1),"")</f>
        <v/>
      </c>
      <c r="N469" s="113"/>
      <c r="O469" s="459"/>
      <c r="P469" s="184" t="str">
        <f>IFERROR(IF(ISNUMBER(INDEX('M04-S04'!$AN$16:$AN$198,2*(ROWS($R$437:R469)-1)+1)),INDEX('M04-S04'!$AK$16:$AK$196,2*(ROWS($P$437:P469)-1)+1),""),"")</f>
        <v/>
      </c>
      <c r="Q469" s="184"/>
      <c r="R469" s="184">
        <f>IF(ISNUMBER(INDEX('M04-S04'!$AN$16:$AN$198,2*(ROWS($R$437:R469)-1)+1)),INDEX('M04-S04'!$AN$16:$AN$198,2*(ROWS($R$437:R469)-1)+1),0)</f>
        <v>0</v>
      </c>
      <c r="S469" s="23">
        <f>IF(NOT(ISNUMBER(INDEX('M04-S04'!$AN$16:$AN$198,2*(ROWS($R$437:R469)-1)+1))),INDEX('M04-S04'!$X$16:$X$198,2*(ROWS($S$437:S469)-1)+1),"")</f>
        <v>0</v>
      </c>
      <c r="T469" s="113"/>
      <c r="U469" s="459"/>
      <c r="V469" s="52" t="str">
        <f>IFERROR(IF(NOT(ISNUMBER(INDEX('M04-S04'!$AN$16:$AN$198,2*(ROWS($R$437:R469)-1)+1))),INDEX('M04-S04'!$AK$16:$AK$198,2*(ROWS($R$437:R469)-1)+1),0),0)</f>
        <v/>
      </c>
      <c r="W469" t="str">
        <f>IFERROR(IF(NOT(ISNUMBER(INDEX('M04-S04'!$AN$16:$AN$198,2*(ROWS($R$437:R469)-1)+1))),INDEX('M04-S04'!$BD$16:$BD$198,2*(ROWS($R$437:R469)-1)+1),""),"")</f>
        <v>Submit for Review</v>
      </c>
      <c r="X469" s="113"/>
      <c r="Y469" s="113"/>
      <c r="Z469" s="111">
        <f>INDEX('M04-S04'!$B$16:$B$198,2*(ROWS($Z$437:Z469)-1)+1)</f>
        <v>33</v>
      </c>
      <c r="AA469" s="112"/>
      <c r="AB469" s="111">
        <f>INDEX('M04-S04'!$F$16:$F$198,2*(ROWS($Z$437:AB469)-1)+1)</f>
        <v>0</v>
      </c>
      <c r="AC469">
        <f>INDEX('M04-S04'!$L$16:$L$198,2*(ROWS($AC$437:AC469)-1)+1)</f>
        <v>0</v>
      </c>
      <c r="AD469">
        <f>INDEX('M04-S04'!$T$16:$T$198,2*(ROWS($AD$437:AD469)-1)+1)</f>
        <v>0</v>
      </c>
      <c r="AE469" s="459"/>
      <c r="AF469" s="459"/>
      <c r="AG469" s="96"/>
      <c r="AH469" s="96"/>
      <c r="AI469" s="111">
        <f>INDEX('M04-S04'!$R$16:$R$198,2*(ROWS($AG$437:AI469)-1)+1)</f>
        <v>0</v>
      </c>
      <c r="AJ469" s="111">
        <f>INDEX('M04-S04'!$Z$16:$Z$198,2*(ROWS($AH$437:AJ469)-1)+1)</f>
        <v>0</v>
      </c>
      <c r="AK469" s="52" t="str">
        <f>INDEX('M04-S04'!$AV$16:$AV$198,2*(ROWS($AK$437:AK469)-1)+1)</f>
        <v/>
      </c>
      <c r="AL469" s="184">
        <f>IF(NOT(ISNUMBER(INDEX('M04-S04'!$AN$16:$AN$198,2*(ROWS($R$437:$R469)-1)+1))),INDEX('M04-S04'!$AD$16:$AD$198,2*(ROWS($AL$437:$AL469)-1)+1),"")</f>
        <v>0</v>
      </c>
      <c r="AM469" s="184" t="str">
        <f>IF(NOT(ISNUMBER(INDEX('M04-S04'!$AN$16:$AN$198,2*(ROWS($R$437:$R469)-1)+1))),INDEX('M04-S04'!$AF$16:$AF$198,2*(ROWS($AM$437:$AM469)-1)+1),"")</f>
        <v/>
      </c>
      <c r="AN469" s="52" t="str">
        <f>IF(NOT(ISNUMBER(INDEX('M04-S04'!$AN$16:$AN$198,2*(ROWS($R$437:$R469)-1)+1))),INDEX('M04-S04'!$AH$16:$AH$198,2*(ROWS($AN$437:$AN469)-1)+1),"")</f>
        <v/>
      </c>
      <c r="AO469" s="113"/>
      <c r="AU469"/>
    </row>
    <row r="470" spans="1:47">
      <c r="A470" s="57">
        <f t="shared" si="43"/>
        <v>0</v>
      </c>
      <c r="B470" s="183" t="str">
        <f t="shared" si="45"/>
        <v/>
      </c>
      <c r="C470" s="186" t="str">
        <f>IF(OR(R470&gt;0,V470&gt;0),INDEX('M04-S04'!$BC$16:$BC$198,2*(ROWS($C$437:C470)-1)+1),"")</f>
        <v/>
      </c>
      <c r="D470" t="s">
        <v>231</v>
      </c>
      <c r="E470" s="112"/>
      <c r="F470" s="112"/>
      <c r="G470" s="96"/>
      <c r="H470" s="96"/>
      <c r="I470" s="184">
        <f>IFERROR(ROUND(IF(ISNUMBER(INDEX('M04-S04'!$AN$16:$AN$198,2*(ROWS($R$437:$R470)-1)+1)),INDEX('M04-S04'!$AD$16:$AD$198,2*(ROWS($I$437:$I470)-1)+1),""),2),0)</f>
        <v>0</v>
      </c>
      <c r="J470" s="184">
        <f>IFERROR(ROUND(IF(ISNUMBER(INDEX('M04-S04'!$AN$16:$AN$198,2*(ROWS($R$437:$R470)-1)+1)),INDEX('M04-S04'!$AF$16:$AF$198,2*(ROWS($J$437:$J470)-1)+1),""),2),0)</f>
        <v>0</v>
      </c>
      <c r="K470" s="52">
        <f>IFERROR(ROUND(IF(ISNUMBER(INDEX('M04-S04'!$AN$16:$AN$198,2*(ROWS($R$437:$R470)-1)+1)),INDEX('M04-S04'!$AH$16:$AH$198,2*(ROWS($K$437:$K470)-1)+1),""),2),0)</f>
        <v>0</v>
      </c>
      <c r="M470" s="456" t="str">
        <f>IF(ISNUMBER(INDEX('M04-S04'!$AN$16:$AN$198,2*(ROWS($R$437:R470)-1)+1)),INDEX('M04-S04'!$X$16:$X$198,2*(ROWS($M$437:M470)-1)+1),"")</f>
        <v/>
      </c>
      <c r="N470" s="113"/>
      <c r="O470" s="459"/>
      <c r="P470" s="184" t="str">
        <f>IFERROR(IF(ISNUMBER(INDEX('M04-S04'!$AN$16:$AN$198,2*(ROWS($R$437:R470)-1)+1)),INDEX('M04-S04'!$AK$16:$AK$196,2*(ROWS($P$437:P470)-1)+1),""),"")</f>
        <v/>
      </c>
      <c r="Q470" s="184"/>
      <c r="R470" s="184">
        <f>IF(ISNUMBER(INDEX('M04-S04'!$AN$16:$AN$198,2*(ROWS($R$437:R470)-1)+1)),INDEX('M04-S04'!$AN$16:$AN$198,2*(ROWS($R$437:R470)-1)+1),0)</f>
        <v>0</v>
      </c>
      <c r="S470" s="23">
        <f>IF(NOT(ISNUMBER(INDEX('M04-S04'!$AN$16:$AN$198,2*(ROWS($R$437:R470)-1)+1))),INDEX('M04-S04'!$X$16:$X$198,2*(ROWS($S$437:S470)-1)+1),"")</f>
        <v>0</v>
      </c>
      <c r="T470" s="113"/>
      <c r="U470" s="459"/>
      <c r="V470" s="52" t="str">
        <f>IFERROR(IF(NOT(ISNUMBER(INDEX('M04-S04'!$AN$16:$AN$198,2*(ROWS($R$437:R470)-1)+1))),INDEX('M04-S04'!$AK$16:$AK$198,2*(ROWS($R$437:R470)-1)+1),0),0)</f>
        <v/>
      </c>
      <c r="W470" t="str">
        <f>IFERROR(IF(NOT(ISNUMBER(INDEX('M04-S04'!$AN$16:$AN$198,2*(ROWS($R$437:R470)-1)+1))),INDEX('M04-S04'!$BD$16:$BD$198,2*(ROWS($R$437:R470)-1)+1),""),"")</f>
        <v>Submit for Review</v>
      </c>
      <c r="X470" s="113"/>
      <c r="Y470" s="113"/>
      <c r="Z470" s="111">
        <f>INDEX('M04-S04'!$B$16:$B$198,2*(ROWS($Z$437:Z470)-1)+1)</f>
        <v>34</v>
      </c>
      <c r="AA470" s="112"/>
      <c r="AB470" s="111">
        <f>INDEX('M04-S04'!$F$16:$F$198,2*(ROWS($Z$437:AB470)-1)+1)</f>
        <v>0</v>
      </c>
      <c r="AC470">
        <f>INDEX('M04-S04'!$L$16:$L$198,2*(ROWS($AC$437:AC470)-1)+1)</f>
        <v>0</v>
      </c>
      <c r="AD470">
        <f>INDEX('M04-S04'!$T$16:$T$198,2*(ROWS($AD$437:AD470)-1)+1)</f>
        <v>0</v>
      </c>
      <c r="AE470" s="459"/>
      <c r="AF470" s="459"/>
      <c r="AG470" s="96"/>
      <c r="AH470" s="96"/>
      <c r="AI470" s="111">
        <f>INDEX('M04-S04'!$R$16:$R$198,2*(ROWS($AG$437:AI470)-1)+1)</f>
        <v>0</v>
      </c>
      <c r="AJ470" s="111">
        <f>INDEX('M04-S04'!$Z$16:$Z$198,2*(ROWS($AH$437:AJ470)-1)+1)</f>
        <v>0</v>
      </c>
      <c r="AK470" s="52" t="str">
        <f>INDEX('M04-S04'!$AV$16:$AV$198,2*(ROWS($AK$437:AK470)-1)+1)</f>
        <v/>
      </c>
      <c r="AL470" s="184">
        <f>IF(NOT(ISNUMBER(INDEX('M04-S04'!$AN$16:$AN$198,2*(ROWS($R$437:$R470)-1)+1))),INDEX('M04-S04'!$AD$16:$AD$198,2*(ROWS($AL$437:$AL470)-1)+1),"")</f>
        <v>0</v>
      </c>
      <c r="AM470" s="184" t="str">
        <f>IF(NOT(ISNUMBER(INDEX('M04-S04'!$AN$16:$AN$198,2*(ROWS($R$437:$R470)-1)+1))),INDEX('M04-S04'!$AF$16:$AF$198,2*(ROWS($AM$437:$AM470)-1)+1),"")</f>
        <v/>
      </c>
      <c r="AN470" s="52" t="str">
        <f>IF(NOT(ISNUMBER(INDEX('M04-S04'!$AN$16:$AN$198,2*(ROWS($R$437:$R470)-1)+1))),INDEX('M04-S04'!$AH$16:$AH$198,2*(ROWS($AN$437:$AN470)-1)+1),"")</f>
        <v/>
      </c>
      <c r="AO470" s="113"/>
      <c r="AU470"/>
    </row>
    <row r="471" spans="1:47">
      <c r="A471" s="57">
        <f t="shared" si="43"/>
        <v>0</v>
      </c>
      <c r="B471" s="183" t="str">
        <f t="shared" si="45"/>
        <v/>
      </c>
      <c r="C471" s="186" t="str">
        <f>IF(OR(R471&gt;0,V471&gt;0),INDEX('M04-S04'!$BC$16:$BC$198,2*(ROWS($C$437:C471)-1)+1),"")</f>
        <v/>
      </c>
      <c r="D471" t="s">
        <v>231</v>
      </c>
      <c r="E471" s="112"/>
      <c r="F471" s="112"/>
      <c r="G471" s="96"/>
      <c r="H471" s="96"/>
      <c r="I471" s="184">
        <f>IFERROR(ROUND(IF(ISNUMBER(INDEX('M04-S04'!$AN$16:$AN$198,2*(ROWS($R$437:$R471)-1)+1)),INDEX('M04-S04'!$AD$16:$AD$198,2*(ROWS($I$437:$I471)-1)+1),""),2),0)</f>
        <v>0</v>
      </c>
      <c r="J471" s="184">
        <f>IFERROR(ROUND(IF(ISNUMBER(INDEX('M04-S04'!$AN$16:$AN$198,2*(ROWS($R$437:$R471)-1)+1)),INDEX('M04-S04'!$AF$16:$AF$198,2*(ROWS($J$437:$J471)-1)+1),""),2),0)</f>
        <v>0</v>
      </c>
      <c r="K471" s="52">
        <f>IFERROR(ROUND(IF(ISNUMBER(INDEX('M04-S04'!$AN$16:$AN$198,2*(ROWS($R$437:$R471)-1)+1)),INDEX('M04-S04'!$AH$16:$AH$198,2*(ROWS($K$437:$K471)-1)+1),""),2),0)</f>
        <v>0</v>
      </c>
      <c r="M471" s="456" t="str">
        <f>IF(ISNUMBER(INDEX('M04-S04'!$AN$16:$AN$198,2*(ROWS($R$437:R471)-1)+1)),INDEX('M04-S04'!$X$16:$X$198,2*(ROWS($M$437:M471)-1)+1),"")</f>
        <v/>
      </c>
      <c r="N471" s="113"/>
      <c r="O471" s="459"/>
      <c r="P471" s="184" t="str">
        <f>IFERROR(IF(ISNUMBER(INDEX('M04-S04'!$AN$16:$AN$198,2*(ROWS($R$437:R471)-1)+1)),INDEX('M04-S04'!$AK$16:$AK$196,2*(ROWS($P$437:P471)-1)+1),""),"")</f>
        <v/>
      </c>
      <c r="Q471" s="184"/>
      <c r="R471" s="184">
        <f>IF(ISNUMBER(INDEX('M04-S04'!$AN$16:$AN$198,2*(ROWS($R$437:R471)-1)+1)),INDEX('M04-S04'!$AN$16:$AN$198,2*(ROWS($R$437:R471)-1)+1),0)</f>
        <v>0</v>
      </c>
      <c r="S471" s="23">
        <f>IF(NOT(ISNUMBER(INDEX('M04-S04'!$AN$16:$AN$198,2*(ROWS($R$437:R471)-1)+1))),INDEX('M04-S04'!$X$16:$X$198,2*(ROWS($S$437:S471)-1)+1),"")</f>
        <v>0</v>
      </c>
      <c r="T471" s="113"/>
      <c r="U471" s="459"/>
      <c r="V471" s="52" t="str">
        <f>IFERROR(IF(NOT(ISNUMBER(INDEX('M04-S04'!$AN$16:$AN$198,2*(ROWS($R$437:R471)-1)+1))),INDEX('M04-S04'!$AK$16:$AK$198,2*(ROWS($R$437:R471)-1)+1),0),0)</f>
        <v/>
      </c>
      <c r="W471" t="str">
        <f>IFERROR(IF(NOT(ISNUMBER(INDEX('M04-S04'!$AN$16:$AN$198,2*(ROWS($R$437:R471)-1)+1))),INDEX('M04-S04'!$BD$16:$BD$198,2*(ROWS($R$437:R471)-1)+1),""),"")</f>
        <v>Submit for Review</v>
      </c>
      <c r="X471" s="113"/>
      <c r="Y471" s="113"/>
      <c r="Z471" s="111">
        <f>INDEX('M04-S04'!$B$16:$B$198,2*(ROWS($Z$437:Z471)-1)+1)</f>
        <v>35</v>
      </c>
      <c r="AA471" s="112"/>
      <c r="AB471" s="111">
        <f>INDEX('M04-S04'!$F$16:$F$198,2*(ROWS($Z$437:AB471)-1)+1)</f>
        <v>0</v>
      </c>
      <c r="AC471">
        <f>INDEX('M04-S04'!$L$16:$L$198,2*(ROWS($AC$437:AC471)-1)+1)</f>
        <v>0</v>
      </c>
      <c r="AD471">
        <f>INDEX('M04-S04'!$T$16:$T$198,2*(ROWS($AD$437:AD471)-1)+1)</f>
        <v>0</v>
      </c>
      <c r="AE471" s="459"/>
      <c r="AF471" s="459"/>
      <c r="AG471" s="96"/>
      <c r="AH471" s="96"/>
      <c r="AI471" s="111">
        <f>INDEX('M04-S04'!$R$16:$R$198,2*(ROWS($AG$437:AI471)-1)+1)</f>
        <v>0</v>
      </c>
      <c r="AJ471" s="111">
        <f>INDEX('M04-S04'!$Z$16:$Z$198,2*(ROWS($AH$437:AJ471)-1)+1)</f>
        <v>0</v>
      </c>
      <c r="AK471" s="52" t="str">
        <f>INDEX('M04-S04'!$AV$16:$AV$198,2*(ROWS($AK$437:AK471)-1)+1)</f>
        <v/>
      </c>
      <c r="AL471" s="184">
        <f>IF(NOT(ISNUMBER(INDEX('M04-S04'!$AN$16:$AN$198,2*(ROWS($R$437:$R471)-1)+1))),INDEX('M04-S04'!$AD$16:$AD$198,2*(ROWS($AL$437:$AL471)-1)+1),"")</f>
        <v>0</v>
      </c>
      <c r="AM471" s="184" t="str">
        <f>IF(NOT(ISNUMBER(INDEX('M04-S04'!$AN$16:$AN$198,2*(ROWS($R$437:$R471)-1)+1))),INDEX('M04-S04'!$AF$16:$AF$198,2*(ROWS($AM$437:$AM471)-1)+1),"")</f>
        <v/>
      </c>
      <c r="AN471" s="52" t="str">
        <f>IF(NOT(ISNUMBER(INDEX('M04-S04'!$AN$16:$AN$198,2*(ROWS($R$437:$R471)-1)+1))),INDEX('M04-S04'!$AH$16:$AH$198,2*(ROWS($AN$437:$AN471)-1)+1),"")</f>
        <v/>
      </c>
      <c r="AO471" s="113"/>
      <c r="AU471"/>
    </row>
    <row r="472" spans="1:47">
      <c r="A472" s="57">
        <f t="shared" si="43"/>
        <v>0</v>
      </c>
      <c r="B472" s="183" t="str">
        <f t="shared" si="45"/>
        <v/>
      </c>
      <c r="C472" s="186" t="str">
        <f>IF(OR(R472&gt;0,V472&gt;0),INDEX('M04-S04'!$BC$16:$BC$198,2*(ROWS($C$437:C472)-1)+1),"")</f>
        <v/>
      </c>
      <c r="D472" t="s">
        <v>231</v>
      </c>
      <c r="E472" s="112"/>
      <c r="F472" s="112"/>
      <c r="G472" s="96"/>
      <c r="H472" s="96"/>
      <c r="I472" s="184">
        <f>IFERROR(ROUND(IF(ISNUMBER(INDEX('M04-S04'!$AN$16:$AN$198,2*(ROWS($R$437:$R472)-1)+1)),INDEX('M04-S04'!$AD$16:$AD$198,2*(ROWS($I$437:$I472)-1)+1),""),2),0)</f>
        <v>0</v>
      </c>
      <c r="J472" s="184">
        <f>IFERROR(ROUND(IF(ISNUMBER(INDEX('M04-S04'!$AN$16:$AN$198,2*(ROWS($R$437:$R472)-1)+1)),INDEX('M04-S04'!$AF$16:$AF$198,2*(ROWS($J$437:$J472)-1)+1),""),2),0)</f>
        <v>0</v>
      </c>
      <c r="K472" s="52">
        <f>IFERROR(ROUND(IF(ISNUMBER(INDEX('M04-S04'!$AN$16:$AN$198,2*(ROWS($R$437:$R472)-1)+1)),INDEX('M04-S04'!$AH$16:$AH$198,2*(ROWS($K$437:$K472)-1)+1),""),2),0)</f>
        <v>0</v>
      </c>
      <c r="M472" s="456" t="str">
        <f>IF(ISNUMBER(INDEX('M04-S04'!$AN$16:$AN$198,2*(ROWS($R$437:R472)-1)+1)),INDEX('M04-S04'!$X$16:$X$198,2*(ROWS($M$437:M472)-1)+1),"")</f>
        <v/>
      </c>
      <c r="N472" s="113"/>
      <c r="O472" s="459"/>
      <c r="P472" s="184" t="str">
        <f>IFERROR(IF(ISNUMBER(INDEX('M04-S04'!$AN$16:$AN$198,2*(ROWS($R$437:R472)-1)+1)),INDEX('M04-S04'!$AK$16:$AK$196,2*(ROWS($P$437:P472)-1)+1),""),"")</f>
        <v/>
      </c>
      <c r="Q472" s="184"/>
      <c r="R472" s="184">
        <f>IF(ISNUMBER(INDEX('M04-S04'!$AN$16:$AN$198,2*(ROWS($R$437:R472)-1)+1)),INDEX('M04-S04'!$AN$16:$AN$198,2*(ROWS($R$437:R472)-1)+1),0)</f>
        <v>0</v>
      </c>
      <c r="S472" s="23">
        <f>IF(NOT(ISNUMBER(INDEX('M04-S04'!$AN$16:$AN$198,2*(ROWS($R$437:R472)-1)+1))),INDEX('M04-S04'!$X$16:$X$198,2*(ROWS($S$437:S472)-1)+1),"")</f>
        <v>0</v>
      </c>
      <c r="T472" s="113"/>
      <c r="U472" s="459"/>
      <c r="V472" s="52" t="str">
        <f>IFERROR(IF(NOT(ISNUMBER(INDEX('M04-S04'!$AN$16:$AN$198,2*(ROWS($R$437:R472)-1)+1))),INDEX('M04-S04'!$AK$16:$AK$198,2*(ROWS($R$437:R472)-1)+1),0),0)</f>
        <v/>
      </c>
      <c r="W472" t="str">
        <f>IFERROR(IF(NOT(ISNUMBER(INDEX('M04-S04'!$AN$16:$AN$198,2*(ROWS($R$437:R472)-1)+1))),INDEX('M04-S04'!$BD$16:$BD$198,2*(ROWS($R$437:R472)-1)+1),""),"")</f>
        <v>Submit for Review</v>
      </c>
      <c r="X472" s="113"/>
      <c r="Y472" s="113"/>
      <c r="Z472" s="111">
        <f>INDEX('M04-S04'!$B$16:$B$198,2*(ROWS($Z$437:Z472)-1)+1)</f>
        <v>36</v>
      </c>
      <c r="AA472" s="112"/>
      <c r="AB472" s="111">
        <f>INDEX('M04-S04'!$F$16:$F$198,2*(ROWS($Z$437:AB472)-1)+1)</f>
        <v>0</v>
      </c>
      <c r="AC472">
        <f>INDEX('M04-S04'!$L$16:$L$198,2*(ROWS($AC$437:AC472)-1)+1)</f>
        <v>0</v>
      </c>
      <c r="AD472">
        <f>INDEX('M04-S04'!$T$16:$T$198,2*(ROWS($AD$437:AD472)-1)+1)</f>
        <v>0</v>
      </c>
      <c r="AE472" s="459"/>
      <c r="AF472" s="459"/>
      <c r="AG472" s="96"/>
      <c r="AH472" s="96"/>
      <c r="AI472" s="111">
        <f>INDEX('M04-S04'!$R$16:$R$198,2*(ROWS($AG$437:AI472)-1)+1)</f>
        <v>0</v>
      </c>
      <c r="AJ472" s="111">
        <f>INDEX('M04-S04'!$Z$16:$Z$198,2*(ROWS($AH$437:AJ472)-1)+1)</f>
        <v>0</v>
      </c>
      <c r="AK472" s="52" t="str">
        <f>INDEX('M04-S04'!$AV$16:$AV$198,2*(ROWS($AK$437:AK472)-1)+1)</f>
        <v/>
      </c>
      <c r="AL472" s="184">
        <f>IF(NOT(ISNUMBER(INDEX('M04-S04'!$AN$16:$AN$198,2*(ROWS($R$437:$R472)-1)+1))),INDEX('M04-S04'!$AD$16:$AD$198,2*(ROWS($AL$437:$AL472)-1)+1),"")</f>
        <v>0</v>
      </c>
      <c r="AM472" s="184" t="str">
        <f>IF(NOT(ISNUMBER(INDEX('M04-S04'!$AN$16:$AN$198,2*(ROWS($R$437:$R472)-1)+1))),INDEX('M04-S04'!$AF$16:$AF$198,2*(ROWS($AM$437:$AM472)-1)+1),"")</f>
        <v/>
      </c>
      <c r="AN472" s="52" t="str">
        <f>IF(NOT(ISNUMBER(INDEX('M04-S04'!$AN$16:$AN$198,2*(ROWS($R$437:$R472)-1)+1))),INDEX('M04-S04'!$AH$16:$AH$198,2*(ROWS($AN$437:$AN472)-1)+1),"")</f>
        <v/>
      </c>
      <c r="AO472" s="113"/>
      <c r="AU472"/>
    </row>
    <row r="473" spans="1:47">
      <c r="A473" s="57">
        <f t="shared" si="43"/>
        <v>0</v>
      </c>
      <c r="B473" s="183" t="str">
        <f t="shared" si="44"/>
        <v/>
      </c>
      <c r="C473" s="186" t="str">
        <f>IF(OR(R473&gt;0,V473&gt;0),INDEX('M04-S04'!$BC$16:$BC$198,2*(ROWS($C$437:C473)-1)+1),"")</f>
        <v/>
      </c>
      <c r="D473" t="s">
        <v>231</v>
      </c>
      <c r="E473" s="112"/>
      <c r="F473" s="112"/>
      <c r="G473" s="96"/>
      <c r="H473" s="96"/>
      <c r="I473" s="184">
        <f>IFERROR(ROUND(IF(ISNUMBER(INDEX('M04-S04'!$AN$16:$AN$198,2*(ROWS($R$437:$R473)-1)+1)),INDEX('M04-S04'!$AD$16:$AD$198,2*(ROWS($I$437:$I473)-1)+1),""),2),0)</f>
        <v>0</v>
      </c>
      <c r="J473" s="184">
        <f>IFERROR(ROUND(IF(ISNUMBER(INDEX('M04-S04'!$AN$16:$AN$198,2*(ROWS($R$437:$R473)-1)+1)),INDEX('M04-S04'!$AF$16:$AF$198,2*(ROWS($J$437:$J473)-1)+1),""),2),0)</f>
        <v>0</v>
      </c>
      <c r="K473" s="52">
        <f>IFERROR(ROUND(IF(ISNUMBER(INDEX('M04-S04'!$AN$16:$AN$198,2*(ROWS($R$437:$R473)-1)+1)),INDEX('M04-S04'!$AH$16:$AH$198,2*(ROWS($K$437:$K473)-1)+1),""),2),0)</f>
        <v>0</v>
      </c>
      <c r="M473" s="456" t="str">
        <f>IF(ISNUMBER(INDEX('M04-S04'!$AN$16:$AN$198,2*(ROWS($R$437:R473)-1)+1)),INDEX('M04-S04'!$X$16:$X$198,2*(ROWS($M$437:M473)-1)+1),"")</f>
        <v/>
      </c>
      <c r="N473" s="113"/>
      <c r="O473" s="459"/>
      <c r="P473" s="184" t="str">
        <f>IFERROR(IF(ISNUMBER(INDEX('M04-S04'!$AN$16:$AN$198,2*(ROWS($R$437:R473)-1)+1)),INDEX('M04-S04'!$AK$16:$AK$196,2*(ROWS($P$437:P473)-1)+1),""),"")</f>
        <v/>
      </c>
      <c r="Q473" s="184"/>
      <c r="R473" s="184">
        <f>IF(ISNUMBER(INDEX('M04-S04'!$AN$16:$AN$198,2*(ROWS($R$437:R473)-1)+1)),INDEX('M04-S04'!$AN$16:$AN$198,2*(ROWS($R$437:R473)-1)+1),0)</f>
        <v>0</v>
      </c>
      <c r="S473" s="23">
        <f>IF(NOT(ISNUMBER(INDEX('M04-S04'!$AN$16:$AN$198,2*(ROWS($R$437:R473)-1)+1))),INDEX('M04-S04'!$X$16:$X$198,2*(ROWS($S$437:S473)-1)+1),"")</f>
        <v>0</v>
      </c>
      <c r="T473" s="113"/>
      <c r="U473" s="459"/>
      <c r="V473" s="52" t="str">
        <f>IFERROR(IF(NOT(ISNUMBER(INDEX('M04-S04'!$AN$16:$AN$198,2*(ROWS($R$437:R473)-1)+1))),INDEX('M04-S04'!$AK$16:$AK$198,2*(ROWS($R$437:R473)-1)+1),0),0)</f>
        <v/>
      </c>
      <c r="W473" t="str">
        <f>IFERROR(IF(NOT(ISNUMBER(INDEX('M04-S04'!$AN$16:$AN$198,2*(ROWS($R$437:R473)-1)+1))),INDEX('M04-S04'!$BD$16:$BD$198,2*(ROWS($R$437:R473)-1)+1),""),"")</f>
        <v>Submit for Review</v>
      </c>
      <c r="X473" s="113"/>
      <c r="Y473" s="113"/>
      <c r="Z473" s="111">
        <f>INDEX('M04-S04'!$B$16:$B$198,2*(ROWS($Z$437:Z473)-1)+1)</f>
        <v>37</v>
      </c>
      <c r="AA473" s="112"/>
      <c r="AB473" s="111">
        <f>INDEX('M04-S04'!$F$16:$F$198,2*(ROWS($Z$437:AB473)-1)+1)</f>
        <v>0</v>
      </c>
      <c r="AC473">
        <f>INDEX('M04-S04'!$L$16:$L$198,2*(ROWS($AC$437:AC473)-1)+1)</f>
        <v>0</v>
      </c>
      <c r="AD473">
        <f>INDEX('M04-S04'!$T$16:$T$198,2*(ROWS($AD$437:AD473)-1)+1)</f>
        <v>0</v>
      </c>
      <c r="AE473" s="459"/>
      <c r="AF473" s="459"/>
      <c r="AG473" s="96"/>
      <c r="AH473" s="96"/>
      <c r="AI473" s="111">
        <f>INDEX('M04-S04'!$R$16:$R$198,2*(ROWS($AG$437:AI473)-1)+1)</f>
        <v>0</v>
      </c>
      <c r="AJ473" s="111">
        <f>INDEX('M04-S04'!$Z$16:$Z$198,2*(ROWS($AH$437:AJ473)-1)+1)</f>
        <v>0</v>
      </c>
      <c r="AK473" s="52" t="str">
        <f>INDEX('M04-S04'!$AV$16:$AV$198,2*(ROWS($AK$437:AK473)-1)+1)</f>
        <v/>
      </c>
      <c r="AL473" s="184">
        <f>IF(NOT(ISNUMBER(INDEX('M04-S04'!$AN$16:$AN$198,2*(ROWS($R$437:$R473)-1)+1))),INDEX('M04-S04'!$AD$16:$AD$198,2*(ROWS($AL$437:$AL473)-1)+1),"")</f>
        <v>0</v>
      </c>
      <c r="AM473" s="184" t="str">
        <f>IF(NOT(ISNUMBER(INDEX('M04-S04'!$AN$16:$AN$198,2*(ROWS($R$437:$R473)-1)+1))),INDEX('M04-S04'!$AF$16:$AF$198,2*(ROWS($AM$437:$AM473)-1)+1),"")</f>
        <v/>
      </c>
      <c r="AN473" s="52" t="str">
        <f>IF(NOT(ISNUMBER(INDEX('M04-S04'!$AN$16:$AN$198,2*(ROWS($R$437:$R473)-1)+1))),INDEX('M04-S04'!$AH$16:$AH$198,2*(ROWS($AN$437:$AN473)-1)+1),"")</f>
        <v/>
      </c>
      <c r="AO473" s="113"/>
      <c r="AU473"/>
    </row>
    <row r="474" spans="1:47">
      <c r="A474" s="57">
        <f t="shared" si="43"/>
        <v>0</v>
      </c>
      <c r="B474" s="183" t="str">
        <f t="shared" si="44"/>
        <v/>
      </c>
      <c r="C474" s="186" t="str">
        <f>IF(OR(R474&gt;0,V474&gt;0),INDEX('M04-S04'!$BC$16:$BC$198,2*(ROWS($C$437:C474)-1)+1),"")</f>
        <v/>
      </c>
      <c r="D474" t="s">
        <v>231</v>
      </c>
      <c r="E474" s="112"/>
      <c r="F474" s="112"/>
      <c r="G474" s="96"/>
      <c r="H474" s="96"/>
      <c r="I474" s="184">
        <f>IFERROR(ROUND(IF(ISNUMBER(INDEX('M04-S04'!$AN$16:$AN$198,2*(ROWS($R$437:$R474)-1)+1)),INDEX('M04-S04'!$AD$16:$AD$198,2*(ROWS($I$437:$I474)-1)+1),""),2),0)</f>
        <v>0</v>
      </c>
      <c r="J474" s="184">
        <f>IFERROR(ROUND(IF(ISNUMBER(INDEX('M04-S04'!$AN$16:$AN$198,2*(ROWS($R$437:$R474)-1)+1)),INDEX('M04-S04'!$AF$16:$AF$198,2*(ROWS($J$437:$J474)-1)+1),""),2),0)</f>
        <v>0</v>
      </c>
      <c r="K474" s="52">
        <f>IFERROR(ROUND(IF(ISNUMBER(INDEX('M04-S04'!$AN$16:$AN$198,2*(ROWS($R$437:$R474)-1)+1)),INDEX('M04-S04'!$AH$16:$AH$198,2*(ROWS($K$437:$K474)-1)+1),""),2),0)</f>
        <v>0</v>
      </c>
      <c r="M474" s="456" t="str">
        <f>IF(ISNUMBER(INDEX('M04-S04'!$AN$16:$AN$198,2*(ROWS($R$437:R474)-1)+1)),INDEX('M04-S04'!$X$16:$X$198,2*(ROWS($M$437:M474)-1)+1),"")</f>
        <v/>
      </c>
      <c r="N474" s="113"/>
      <c r="O474" s="459"/>
      <c r="P474" s="184" t="str">
        <f>IFERROR(IF(ISNUMBER(INDEX('M04-S04'!$AN$16:$AN$198,2*(ROWS($R$437:R474)-1)+1)),INDEX('M04-S04'!$AK$16:$AK$196,2*(ROWS($P$437:P474)-1)+1),""),"")</f>
        <v/>
      </c>
      <c r="Q474" s="184"/>
      <c r="R474" s="184">
        <f>IF(ISNUMBER(INDEX('M04-S04'!$AN$16:$AN$198,2*(ROWS($R$437:R474)-1)+1)),INDEX('M04-S04'!$AN$16:$AN$198,2*(ROWS($R$437:R474)-1)+1),0)</f>
        <v>0</v>
      </c>
      <c r="S474" s="23">
        <f>IF(NOT(ISNUMBER(INDEX('M04-S04'!$AN$16:$AN$198,2*(ROWS($R$437:R474)-1)+1))),INDEX('M04-S04'!$X$16:$X$198,2*(ROWS($S$437:S474)-1)+1),"")</f>
        <v>0</v>
      </c>
      <c r="T474" s="113"/>
      <c r="U474" s="459"/>
      <c r="V474" s="52" t="str">
        <f>IFERROR(IF(NOT(ISNUMBER(INDEX('M04-S04'!$AN$16:$AN$198,2*(ROWS($R$437:R474)-1)+1))),INDEX('M04-S04'!$AK$16:$AK$198,2*(ROWS($R$437:R474)-1)+1),0),0)</f>
        <v/>
      </c>
      <c r="W474" t="str">
        <f>IFERROR(IF(NOT(ISNUMBER(INDEX('M04-S04'!$AN$16:$AN$198,2*(ROWS($R$437:R474)-1)+1))),INDEX('M04-S04'!$BD$16:$BD$198,2*(ROWS($R$437:R474)-1)+1),""),"")</f>
        <v>Submit for Review</v>
      </c>
      <c r="X474" s="113"/>
      <c r="Y474" s="113"/>
      <c r="Z474" s="111">
        <f>INDEX('M04-S04'!$B$16:$B$198,2*(ROWS($Z$437:Z474)-1)+1)</f>
        <v>38</v>
      </c>
      <c r="AA474" s="112"/>
      <c r="AB474" s="111">
        <f>INDEX('M04-S04'!$F$16:$F$198,2*(ROWS($Z$437:AB474)-1)+1)</f>
        <v>0</v>
      </c>
      <c r="AC474">
        <f>INDEX('M04-S04'!$L$16:$L$198,2*(ROWS($AC$437:AC474)-1)+1)</f>
        <v>0</v>
      </c>
      <c r="AD474">
        <f>INDEX('M04-S04'!$T$16:$T$198,2*(ROWS($AD$437:AD474)-1)+1)</f>
        <v>0</v>
      </c>
      <c r="AE474" s="459"/>
      <c r="AF474" s="459"/>
      <c r="AG474" s="96"/>
      <c r="AH474" s="96"/>
      <c r="AI474" s="111">
        <f>INDEX('M04-S04'!$R$16:$R$198,2*(ROWS($AG$437:AI474)-1)+1)</f>
        <v>0</v>
      </c>
      <c r="AJ474" s="111">
        <f>INDEX('M04-S04'!$Z$16:$Z$198,2*(ROWS($AH$437:AJ474)-1)+1)</f>
        <v>0</v>
      </c>
      <c r="AK474" s="52" t="str">
        <f>INDEX('M04-S04'!$AV$16:$AV$198,2*(ROWS($AK$437:AK474)-1)+1)</f>
        <v/>
      </c>
      <c r="AL474" s="184">
        <f>IF(NOT(ISNUMBER(INDEX('M04-S04'!$AN$16:$AN$198,2*(ROWS($R$437:$R474)-1)+1))),INDEX('M04-S04'!$AD$16:$AD$198,2*(ROWS($AL$437:$AL474)-1)+1),"")</f>
        <v>0</v>
      </c>
      <c r="AM474" s="184" t="str">
        <f>IF(NOT(ISNUMBER(INDEX('M04-S04'!$AN$16:$AN$198,2*(ROWS($R$437:$R474)-1)+1))),INDEX('M04-S04'!$AF$16:$AF$198,2*(ROWS($AM$437:$AM474)-1)+1),"")</f>
        <v/>
      </c>
      <c r="AN474" s="52" t="str">
        <f>IF(NOT(ISNUMBER(INDEX('M04-S04'!$AN$16:$AN$198,2*(ROWS($R$437:$R474)-1)+1))),INDEX('M04-S04'!$AH$16:$AH$198,2*(ROWS($AN$437:$AN474)-1)+1),"")</f>
        <v/>
      </c>
      <c r="AO474" s="113"/>
      <c r="AU474"/>
    </row>
    <row r="475" spans="1:47">
      <c r="A475" s="57">
        <f t="shared" si="43"/>
        <v>0</v>
      </c>
      <c r="B475" s="183" t="str">
        <f t="shared" si="44"/>
        <v/>
      </c>
      <c r="C475" s="186" t="str">
        <f>IF(OR(R475&gt;0,V475&gt;0),INDEX('M04-S04'!$BC$16:$BC$198,2*(ROWS($C$437:C475)-1)+1),"")</f>
        <v/>
      </c>
      <c r="D475" t="s">
        <v>231</v>
      </c>
      <c r="E475" s="112"/>
      <c r="F475" s="112"/>
      <c r="G475" s="96"/>
      <c r="H475" s="96"/>
      <c r="I475" s="184">
        <f>IFERROR(ROUND(IF(ISNUMBER(INDEX('M04-S04'!$AN$16:$AN$198,2*(ROWS($R$437:$R475)-1)+1)),INDEX('M04-S04'!$AD$16:$AD$198,2*(ROWS($I$437:$I475)-1)+1),""),2),0)</f>
        <v>0</v>
      </c>
      <c r="J475" s="184">
        <f>IFERROR(ROUND(IF(ISNUMBER(INDEX('M04-S04'!$AN$16:$AN$198,2*(ROWS($R$437:$R475)-1)+1)),INDEX('M04-S04'!$AF$16:$AF$198,2*(ROWS($J$437:$J475)-1)+1),""),2),0)</f>
        <v>0</v>
      </c>
      <c r="K475" s="52">
        <f>IFERROR(ROUND(IF(ISNUMBER(INDEX('M04-S04'!$AN$16:$AN$198,2*(ROWS($R$437:$R475)-1)+1)),INDEX('M04-S04'!$AH$16:$AH$198,2*(ROWS($K$437:$K475)-1)+1),""),2),0)</f>
        <v>0</v>
      </c>
      <c r="M475" s="456" t="str">
        <f>IF(ISNUMBER(INDEX('M04-S04'!$AN$16:$AN$198,2*(ROWS($R$437:R475)-1)+1)),INDEX('M04-S04'!$X$16:$X$198,2*(ROWS($M$437:M475)-1)+1),"")</f>
        <v/>
      </c>
      <c r="N475" s="113"/>
      <c r="O475" s="459"/>
      <c r="P475" s="184" t="str">
        <f>IFERROR(IF(ISNUMBER(INDEX('M04-S04'!$AN$16:$AN$198,2*(ROWS($R$437:R475)-1)+1)),INDEX('M04-S04'!$AK$16:$AK$196,2*(ROWS($P$437:P475)-1)+1),""),"")</f>
        <v/>
      </c>
      <c r="Q475" s="184"/>
      <c r="R475" s="184">
        <f>IF(ISNUMBER(INDEX('M04-S04'!$AN$16:$AN$198,2*(ROWS($R$437:R475)-1)+1)),INDEX('M04-S04'!$AN$16:$AN$198,2*(ROWS($R$437:R475)-1)+1),0)</f>
        <v>0</v>
      </c>
      <c r="S475" s="23">
        <f>IF(NOT(ISNUMBER(INDEX('M04-S04'!$AN$16:$AN$198,2*(ROWS($R$437:R475)-1)+1))),INDEX('M04-S04'!$X$16:$X$198,2*(ROWS($S$437:S475)-1)+1),"")</f>
        <v>0</v>
      </c>
      <c r="T475" s="113"/>
      <c r="U475" s="459"/>
      <c r="V475" s="52" t="str">
        <f>IFERROR(IF(NOT(ISNUMBER(INDEX('M04-S04'!$AN$16:$AN$198,2*(ROWS($R$437:R475)-1)+1))),INDEX('M04-S04'!$AK$16:$AK$198,2*(ROWS($R$437:R475)-1)+1),0),0)</f>
        <v/>
      </c>
      <c r="W475" t="str">
        <f>IFERROR(IF(NOT(ISNUMBER(INDEX('M04-S04'!$AN$16:$AN$198,2*(ROWS($R$437:R475)-1)+1))),INDEX('M04-S04'!$BD$16:$BD$198,2*(ROWS($R$437:R475)-1)+1),""),"")</f>
        <v>Submit for Review</v>
      </c>
      <c r="X475" s="113"/>
      <c r="Y475" s="113"/>
      <c r="Z475" s="111">
        <f>INDEX('M04-S04'!$B$16:$B$198,2*(ROWS($Z$437:Z475)-1)+1)</f>
        <v>39</v>
      </c>
      <c r="AA475" s="112"/>
      <c r="AB475" s="111">
        <f>INDEX('M04-S04'!$F$16:$F$198,2*(ROWS($Z$437:AB475)-1)+1)</f>
        <v>0</v>
      </c>
      <c r="AC475">
        <f>INDEX('M04-S04'!$L$16:$L$198,2*(ROWS($AC$437:AC475)-1)+1)</f>
        <v>0</v>
      </c>
      <c r="AD475">
        <f>INDEX('M04-S04'!$T$16:$T$198,2*(ROWS($AD$437:AD475)-1)+1)</f>
        <v>0</v>
      </c>
      <c r="AE475" s="459"/>
      <c r="AF475" s="459"/>
      <c r="AG475" s="96"/>
      <c r="AH475" s="96"/>
      <c r="AI475" s="111">
        <f>INDEX('M04-S04'!$R$16:$R$198,2*(ROWS($AG$437:AI475)-1)+1)</f>
        <v>0</v>
      </c>
      <c r="AJ475" s="111">
        <f>INDEX('M04-S04'!$Z$16:$Z$198,2*(ROWS($AH$437:AJ475)-1)+1)</f>
        <v>0</v>
      </c>
      <c r="AK475" s="52" t="str">
        <f>INDEX('M04-S04'!$AV$16:$AV$198,2*(ROWS($AK$437:AK475)-1)+1)</f>
        <v/>
      </c>
      <c r="AL475" s="184">
        <f>IF(NOT(ISNUMBER(INDEX('M04-S04'!$AN$16:$AN$198,2*(ROWS($R$437:$R475)-1)+1))),INDEX('M04-S04'!$AD$16:$AD$198,2*(ROWS($AL$437:$AL475)-1)+1),"")</f>
        <v>0</v>
      </c>
      <c r="AM475" s="184" t="str">
        <f>IF(NOT(ISNUMBER(INDEX('M04-S04'!$AN$16:$AN$198,2*(ROWS($R$437:$R475)-1)+1))),INDEX('M04-S04'!$AF$16:$AF$198,2*(ROWS($AM$437:$AM475)-1)+1),"")</f>
        <v/>
      </c>
      <c r="AN475" s="52" t="str">
        <f>IF(NOT(ISNUMBER(INDEX('M04-S04'!$AN$16:$AN$198,2*(ROWS($R$437:$R475)-1)+1))),INDEX('M04-S04'!$AH$16:$AH$198,2*(ROWS($AN$437:$AN475)-1)+1),"")</f>
        <v/>
      </c>
      <c r="AO475" s="113"/>
      <c r="AU475"/>
    </row>
    <row r="476" spans="1:47">
      <c r="A476" s="57">
        <f t="shared" si="43"/>
        <v>0</v>
      </c>
      <c r="B476" s="183" t="str">
        <f t="shared" si="44"/>
        <v/>
      </c>
      <c r="C476" s="186" t="str">
        <f>IF(OR(R476&gt;0,V476&gt;0),INDEX('M04-S04'!$BC$16:$BC$198,2*(ROWS($C$437:C476)-1)+1),"")</f>
        <v/>
      </c>
      <c r="D476" t="s">
        <v>231</v>
      </c>
      <c r="E476" s="112"/>
      <c r="F476" s="112"/>
      <c r="G476" s="96"/>
      <c r="H476" s="96"/>
      <c r="I476" s="184">
        <f>IFERROR(ROUND(IF(ISNUMBER(INDEX('M04-S04'!$AN$16:$AN$198,2*(ROWS($R$437:$R476)-1)+1)),INDEX('M04-S04'!$AD$16:$AD$198,2*(ROWS($I$437:$I476)-1)+1),""),2),0)</f>
        <v>0</v>
      </c>
      <c r="J476" s="184">
        <f>IFERROR(ROUND(IF(ISNUMBER(INDEX('M04-S04'!$AN$16:$AN$198,2*(ROWS($R$437:$R476)-1)+1)),INDEX('M04-S04'!$AF$16:$AF$198,2*(ROWS($J$437:$J476)-1)+1),""),2),0)</f>
        <v>0</v>
      </c>
      <c r="K476" s="52">
        <f>IFERROR(ROUND(IF(ISNUMBER(INDEX('M04-S04'!$AN$16:$AN$198,2*(ROWS($R$437:$R476)-1)+1)),INDEX('M04-S04'!$AH$16:$AH$198,2*(ROWS($K$437:$K476)-1)+1),""),2),0)</f>
        <v>0</v>
      </c>
      <c r="M476" s="456" t="str">
        <f>IF(ISNUMBER(INDEX('M04-S04'!$AN$16:$AN$198,2*(ROWS($R$437:R476)-1)+1)),INDEX('M04-S04'!$X$16:$X$198,2*(ROWS($M$437:M476)-1)+1),"")</f>
        <v/>
      </c>
      <c r="N476" s="113"/>
      <c r="O476" s="459"/>
      <c r="P476" s="184" t="str">
        <f>IFERROR(IF(ISNUMBER(INDEX('M04-S04'!$AN$16:$AN$198,2*(ROWS($R$437:R476)-1)+1)),INDEX('M04-S04'!$AK$16:$AK$196,2*(ROWS($P$437:P476)-1)+1),""),"")</f>
        <v/>
      </c>
      <c r="Q476" s="184"/>
      <c r="R476" s="184">
        <f>IF(ISNUMBER(INDEX('M04-S04'!$AN$16:$AN$198,2*(ROWS($R$437:R476)-1)+1)),INDEX('M04-S04'!$AN$16:$AN$198,2*(ROWS($R$437:R476)-1)+1),0)</f>
        <v>0</v>
      </c>
      <c r="S476" s="23">
        <f>IF(NOT(ISNUMBER(INDEX('M04-S04'!$AN$16:$AN$198,2*(ROWS($R$437:R476)-1)+1))),INDEX('M04-S04'!$X$16:$X$198,2*(ROWS($S$437:S476)-1)+1),"")</f>
        <v>0</v>
      </c>
      <c r="T476" s="113"/>
      <c r="U476" s="459"/>
      <c r="V476" s="52" t="str">
        <f>IFERROR(IF(NOT(ISNUMBER(INDEX('M04-S04'!$AN$16:$AN$198,2*(ROWS($R$437:R476)-1)+1))),INDEX('M04-S04'!$AK$16:$AK$198,2*(ROWS($R$437:R476)-1)+1),0),0)</f>
        <v/>
      </c>
      <c r="W476" t="str">
        <f>IFERROR(IF(NOT(ISNUMBER(INDEX('M04-S04'!$AN$16:$AN$198,2*(ROWS($R$437:R476)-1)+1))),INDEX('M04-S04'!$BD$16:$BD$198,2*(ROWS($R$437:R476)-1)+1),""),"")</f>
        <v>Submit for Review</v>
      </c>
      <c r="X476" s="113"/>
      <c r="Y476" s="113"/>
      <c r="Z476" s="111">
        <f>INDEX('M04-S04'!$B$16:$B$198,2*(ROWS($Z$437:Z476)-1)+1)</f>
        <v>40</v>
      </c>
      <c r="AA476" s="112"/>
      <c r="AB476" s="111">
        <f>INDEX('M04-S04'!$F$16:$F$198,2*(ROWS($Z$437:AB476)-1)+1)</f>
        <v>0</v>
      </c>
      <c r="AC476">
        <f>INDEX('M04-S04'!$L$16:$L$198,2*(ROWS($AC$437:AC476)-1)+1)</f>
        <v>0</v>
      </c>
      <c r="AD476">
        <f>INDEX('M04-S04'!$T$16:$T$198,2*(ROWS($AD$437:AD476)-1)+1)</f>
        <v>0</v>
      </c>
      <c r="AE476" s="459"/>
      <c r="AF476" s="459"/>
      <c r="AG476" s="96"/>
      <c r="AH476" s="96"/>
      <c r="AI476" s="111">
        <f>INDEX('M04-S04'!$R$16:$R$198,2*(ROWS($AG$437:AI476)-1)+1)</f>
        <v>0</v>
      </c>
      <c r="AJ476" s="111">
        <f>INDEX('M04-S04'!$Z$16:$Z$198,2*(ROWS($AH$437:AJ476)-1)+1)</f>
        <v>0</v>
      </c>
      <c r="AK476" s="52" t="str">
        <f>INDEX('M04-S04'!$AV$16:$AV$198,2*(ROWS($AK$437:AK476)-1)+1)</f>
        <v/>
      </c>
      <c r="AL476" s="184">
        <f>IF(NOT(ISNUMBER(INDEX('M04-S04'!$AN$16:$AN$198,2*(ROWS($R$437:$R476)-1)+1))),INDEX('M04-S04'!$AD$16:$AD$198,2*(ROWS($AL$437:$AL476)-1)+1),"")</f>
        <v>0</v>
      </c>
      <c r="AM476" s="184" t="str">
        <f>IF(NOT(ISNUMBER(INDEX('M04-S04'!$AN$16:$AN$198,2*(ROWS($R$437:$R476)-1)+1))),INDEX('M04-S04'!$AF$16:$AF$198,2*(ROWS($AM$437:$AM476)-1)+1),"")</f>
        <v/>
      </c>
      <c r="AN476" s="52" t="str">
        <f>IF(NOT(ISNUMBER(INDEX('M04-S04'!$AN$16:$AN$198,2*(ROWS($R$437:$R476)-1)+1))),INDEX('M04-S04'!$AH$16:$AH$198,2*(ROWS($AN$437:$AN476)-1)+1),"")</f>
        <v/>
      </c>
      <c r="AO476" s="113"/>
      <c r="AU476"/>
    </row>
    <row r="477" spans="1:47">
      <c r="A477" s="57">
        <f t="shared" si="43"/>
        <v>0</v>
      </c>
      <c r="B477" s="183" t="str">
        <f t="shared" si="44"/>
        <v/>
      </c>
      <c r="C477" s="186" t="str">
        <f>IF(OR(R477&gt;0,V477&gt;0),INDEX('M04-S04'!$BC$16:$BC$198,2*(ROWS($C$437:C477)-1)+1),"")</f>
        <v/>
      </c>
      <c r="D477" t="s">
        <v>231</v>
      </c>
      <c r="E477" s="112"/>
      <c r="F477" s="112"/>
      <c r="G477" s="96"/>
      <c r="H477" s="96"/>
      <c r="I477" s="184">
        <f>IFERROR(ROUND(IF(ISNUMBER(INDEX('M04-S04'!$AN$16:$AN$198,2*(ROWS($R$437:$R477)-1)+1)),INDEX('M04-S04'!$AD$16:$AD$198,2*(ROWS($I$437:$I477)-1)+1),""),2),0)</f>
        <v>0</v>
      </c>
      <c r="J477" s="184">
        <f>IFERROR(ROUND(IF(ISNUMBER(INDEX('M04-S04'!$AN$16:$AN$198,2*(ROWS($R$437:$R477)-1)+1)),INDEX('M04-S04'!$AF$16:$AF$198,2*(ROWS($J$437:$J477)-1)+1),""),2),0)</f>
        <v>0</v>
      </c>
      <c r="K477" s="52">
        <f>IFERROR(ROUND(IF(ISNUMBER(INDEX('M04-S04'!$AN$16:$AN$198,2*(ROWS($R$437:$R477)-1)+1)),INDEX('M04-S04'!$AH$16:$AH$198,2*(ROWS($K$437:$K477)-1)+1),""),2),0)</f>
        <v>0</v>
      </c>
      <c r="M477" s="456" t="str">
        <f>IF(ISNUMBER(INDEX('M04-S04'!$AN$16:$AN$198,2*(ROWS($R$437:R477)-1)+1)),INDEX('M04-S04'!$X$16:$X$198,2*(ROWS($M$437:M477)-1)+1),"")</f>
        <v/>
      </c>
      <c r="N477" s="113"/>
      <c r="O477" s="459"/>
      <c r="P477" s="184" t="str">
        <f>IFERROR(IF(ISNUMBER(INDEX('M04-S04'!$AN$16:$AN$198,2*(ROWS($R$437:R477)-1)+1)),INDEX('M04-S04'!$AK$16:$AK$196,2*(ROWS($P$437:P477)-1)+1),""),"")</f>
        <v/>
      </c>
      <c r="Q477" s="184"/>
      <c r="R477" s="184">
        <f>IF(ISNUMBER(INDEX('M04-S04'!$AN$16:$AN$198,2*(ROWS($R$437:R477)-1)+1)),INDEX('M04-S04'!$AN$16:$AN$198,2*(ROWS($R$437:R477)-1)+1),0)</f>
        <v>0</v>
      </c>
      <c r="S477" s="23">
        <f>IF(NOT(ISNUMBER(INDEX('M04-S04'!$AN$16:$AN$198,2*(ROWS($R$437:R477)-1)+1))),INDEX('M04-S04'!$X$16:$X$198,2*(ROWS($S$437:S477)-1)+1),"")</f>
        <v>0</v>
      </c>
      <c r="T477" s="113"/>
      <c r="U477" s="459"/>
      <c r="V477" s="52" t="str">
        <f>IFERROR(IF(NOT(ISNUMBER(INDEX('M04-S04'!$AN$16:$AN$198,2*(ROWS($R$437:R477)-1)+1))),INDEX('M04-S04'!$AK$16:$AK$198,2*(ROWS($R$437:R477)-1)+1),0),0)</f>
        <v/>
      </c>
      <c r="W477" t="str">
        <f>IFERROR(IF(NOT(ISNUMBER(INDEX('M04-S04'!$AN$16:$AN$198,2*(ROWS($R$437:R477)-1)+1))),INDEX('M04-S04'!$BD$16:$BD$198,2*(ROWS($R$437:R477)-1)+1),""),"")</f>
        <v>Submit for Review</v>
      </c>
      <c r="X477" s="113"/>
      <c r="Y477" s="113"/>
      <c r="Z477" s="111">
        <f>INDEX('M04-S04'!$B$16:$B$198,2*(ROWS($Z$437:Z477)-1)+1)</f>
        <v>41</v>
      </c>
      <c r="AA477" s="112"/>
      <c r="AB477" s="111">
        <f>INDEX('M04-S04'!$F$16:$F$198,2*(ROWS($Z$437:AB477)-1)+1)</f>
        <v>0</v>
      </c>
      <c r="AC477">
        <f>INDEX('M04-S04'!$L$16:$L$198,2*(ROWS($AC$437:AC477)-1)+1)</f>
        <v>0</v>
      </c>
      <c r="AD477">
        <f>INDEX('M04-S04'!$T$16:$T$198,2*(ROWS($AD$437:AD477)-1)+1)</f>
        <v>0</v>
      </c>
      <c r="AE477" s="459"/>
      <c r="AF477" s="459"/>
      <c r="AG477" s="96"/>
      <c r="AH477" s="96"/>
      <c r="AI477" s="111">
        <f>INDEX('M04-S04'!$R$16:$R$198,2*(ROWS($AG$437:AI477)-1)+1)</f>
        <v>0</v>
      </c>
      <c r="AJ477" s="111">
        <f>INDEX('M04-S04'!$Z$16:$Z$198,2*(ROWS($AH$437:AJ477)-1)+1)</f>
        <v>0</v>
      </c>
      <c r="AK477" s="52" t="str">
        <f>INDEX('M04-S04'!$AV$16:$AV$198,2*(ROWS($AK$437:AK477)-1)+1)</f>
        <v/>
      </c>
      <c r="AL477" s="184">
        <f>IF(NOT(ISNUMBER(INDEX('M04-S04'!$AN$16:$AN$198,2*(ROWS($R$437:$R477)-1)+1))),INDEX('M04-S04'!$AD$16:$AD$198,2*(ROWS($AL$437:$AL477)-1)+1),"")</f>
        <v>0</v>
      </c>
      <c r="AM477" s="184" t="str">
        <f>IF(NOT(ISNUMBER(INDEX('M04-S04'!$AN$16:$AN$198,2*(ROWS($R$437:$R477)-1)+1))),INDEX('M04-S04'!$AF$16:$AF$198,2*(ROWS($AM$437:$AM477)-1)+1),"")</f>
        <v/>
      </c>
      <c r="AN477" s="52" t="str">
        <f>IF(NOT(ISNUMBER(INDEX('M04-S04'!$AN$16:$AN$198,2*(ROWS($R$437:$R477)-1)+1))),INDEX('M04-S04'!$AH$16:$AH$198,2*(ROWS($AN$437:$AN477)-1)+1),"")</f>
        <v/>
      </c>
      <c r="AO477" s="113"/>
      <c r="AU477"/>
    </row>
    <row r="478" spans="1:47">
      <c r="A478" s="57">
        <f t="shared" si="43"/>
        <v>0</v>
      </c>
      <c r="B478" s="183" t="str">
        <f t="shared" si="44"/>
        <v/>
      </c>
      <c r="C478" s="186" t="str">
        <f>IF(OR(R478&gt;0,V478&gt;0),INDEX('M04-S04'!$BC$16:$BC$198,2*(ROWS($C$437:C478)-1)+1),"")</f>
        <v/>
      </c>
      <c r="D478" t="s">
        <v>231</v>
      </c>
      <c r="E478" s="112"/>
      <c r="F478" s="112"/>
      <c r="G478" s="96"/>
      <c r="H478" s="96"/>
      <c r="I478" s="184">
        <f>IFERROR(ROUND(IF(ISNUMBER(INDEX('M04-S04'!$AN$16:$AN$198,2*(ROWS($R$437:$R478)-1)+1)),INDEX('M04-S04'!$AD$16:$AD$198,2*(ROWS($I$437:$I478)-1)+1),""),2),0)</f>
        <v>0</v>
      </c>
      <c r="J478" s="184">
        <f>IFERROR(ROUND(IF(ISNUMBER(INDEX('M04-S04'!$AN$16:$AN$198,2*(ROWS($R$437:$R478)-1)+1)),INDEX('M04-S04'!$AF$16:$AF$198,2*(ROWS($J$437:$J478)-1)+1),""),2),0)</f>
        <v>0</v>
      </c>
      <c r="K478" s="52">
        <f>IFERROR(ROUND(IF(ISNUMBER(INDEX('M04-S04'!$AN$16:$AN$198,2*(ROWS($R$437:$R478)-1)+1)),INDEX('M04-S04'!$AH$16:$AH$198,2*(ROWS($K$437:$K478)-1)+1),""),2),0)</f>
        <v>0</v>
      </c>
      <c r="M478" s="456" t="str">
        <f>IF(ISNUMBER(INDEX('M04-S04'!$AN$16:$AN$198,2*(ROWS($R$437:R478)-1)+1)),INDEX('M04-S04'!$X$16:$X$198,2*(ROWS($M$437:M478)-1)+1),"")</f>
        <v/>
      </c>
      <c r="N478" s="113"/>
      <c r="O478" s="459"/>
      <c r="P478" s="184" t="str">
        <f>IFERROR(IF(ISNUMBER(INDEX('M04-S04'!$AN$16:$AN$198,2*(ROWS($R$437:R478)-1)+1)),INDEX('M04-S04'!$AK$16:$AK$196,2*(ROWS($P$437:P478)-1)+1),""),"")</f>
        <v/>
      </c>
      <c r="Q478" s="184"/>
      <c r="R478" s="184">
        <f>IF(ISNUMBER(INDEX('M04-S04'!$AN$16:$AN$198,2*(ROWS($R$437:R478)-1)+1)),INDEX('M04-S04'!$AN$16:$AN$198,2*(ROWS($R$437:R478)-1)+1),0)</f>
        <v>0</v>
      </c>
      <c r="S478" s="23">
        <f>IF(NOT(ISNUMBER(INDEX('M04-S04'!$AN$16:$AN$198,2*(ROWS($R$437:R478)-1)+1))),INDEX('M04-S04'!$X$16:$X$198,2*(ROWS($S$437:S478)-1)+1),"")</f>
        <v>0</v>
      </c>
      <c r="T478" s="113"/>
      <c r="U478" s="459"/>
      <c r="V478" s="52" t="str">
        <f>IFERROR(IF(NOT(ISNUMBER(INDEX('M04-S04'!$AN$16:$AN$198,2*(ROWS($R$437:R478)-1)+1))),INDEX('M04-S04'!$AK$16:$AK$198,2*(ROWS($R$437:R478)-1)+1),0),0)</f>
        <v/>
      </c>
      <c r="W478" t="str">
        <f>IFERROR(IF(NOT(ISNUMBER(INDEX('M04-S04'!$AN$16:$AN$198,2*(ROWS($R$437:R478)-1)+1))),INDEX('M04-S04'!$BD$16:$BD$198,2*(ROWS($R$437:R478)-1)+1),""),"")</f>
        <v>Submit for Review</v>
      </c>
      <c r="X478" s="113"/>
      <c r="Y478" s="113"/>
      <c r="Z478" s="111">
        <f>INDEX('M04-S04'!$B$16:$B$198,2*(ROWS($Z$437:Z478)-1)+1)</f>
        <v>42</v>
      </c>
      <c r="AA478" s="112"/>
      <c r="AB478" s="111">
        <f>INDEX('M04-S04'!$F$16:$F$198,2*(ROWS($Z$437:AB478)-1)+1)</f>
        <v>0</v>
      </c>
      <c r="AC478">
        <f>INDEX('M04-S04'!$L$16:$L$198,2*(ROWS($AC$437:AC478)-1)+1)</f>
        <v>0</v>
      </c>
      <c r="AD478">
        <f>INDEX('M04-S04'!$T$16:$T$198,2*(ROWS($AD$437:AD478)-1)+1)</f>
        <v>0</v>
      </c>
      <c r="AE478" s="459"/>
      <c r="AF478" s="459"/>
      <c r="AG478" s="96"/>
      <c r="AH478" s="96"/>
      <c r="AI478" s="111">
        <f>INDEX('M04-S04'!$R$16:$R$198,2*(ROWS($AG$437:AI478)-1)+1)</f>
        <v>0</v>
      </c>
      <c r="AJ478" s="111">
        <f>INDEX('M04-S04'!$Z$16:$Z$198,2*(ROWS($AH$437:AJ478)-1)+1)</f>
        <v>0</v>
      </c>
      <c r="AK478" s="52" t="str">
        <f>INDEX('M04-S04'!$AV$16:$AV$198,2*(ROWS($AK$437:AK478)-1)+1)</f>
        <v/>
      </c>
      <c r="AL478" s="184">
        <f>IF(NOT(ISNUMBER(INDEX('M04-S04'!$AN$16:$AN$198,2*(ROWS($R$437:$R478)-1)+1))),INDEX('M04-S04'!$AD$16:$AD$198,2*(ROWS($AL$437:$AL478)-1)+1),"")</f>
        <v>0</v>
      </c>
      <c r="AM478" s="184" t="str">
        <f>IF(NOT(ISNUMBER(INDEX('M04-S04'!$AN$16:$AN$198,2*(ROWS($R$437:$R478)-1)+1))),INDEX('M04-S04'!$AF$16:$AF$198,2*(ROWS($AM$437:$AM478)-1)+1),"")</f>
        <v/>
      </c>
      <c r="AN478" s="52" t="str">
        <f>IF(NOT(ISNUMBER(INDEX('M04-S04'!$AN$16:$AN$198,2*(ROWS($R$437:$R478)-1)+1))),INDEX('M04-S04'!$AH$16:$AH$198,2*(ROWS($AN$437:$AN478)-1)+1),"")</f>
        <v/>
      </c>
      <c r="AO478" s="113"/>
      <c r="AU478"/>
    </row>
    <row r="479" spans="1:47">
      <c r="A479" s="57">
        <f t="shared" si="43"/>
        <v>0</v>
      </c>
      <c r="B479" s="183" t="str">
        <f t="shared" si="44"/>
        <v/>
      </c>
      <c r="C479" s="186" t="str">
        <f>IF(OR(R479&gt;0,V479&gt;0),INDEX('M04-S04'!$BC$16:$BC$198,2*(ROWS($C$437:C479)-1)+1),"")</f>
        <v/>
      </c>
      <c r="D479" t="s">
        <v>231</v>
      </c>
      <c r="E479" s="112"/>
      <c r="F479" s="112"/>
      <c r="G479" s="96"/>
      <c r="H479" s="96"/>
      <c r="I479" s="184">
        <f>IFERROR(ROUND(IF(ISNUMBER(INDEX('M04-S04'!$AN$16:$AN$198,2*(ROWS($R$437:$R479)-1)+1)),INDEX('M04-S04'!$AD$16:$AD$198,2*(ROWS($I$437:$I479)-1)+1),""),2),0)</f>
        <v>0</v>
      </c>
      <c r="J479" s="184">
        <f>IFERROR(ROUND(IF(ISNUMBER(INDEX('M04-S04'!$AN$16:$AN$198,2*(ROWS($R$437:$R479)-1)+1)),INDEX('M04-S04'!$AF$16:$AF$198,2*(ROWS($J$437:$J479)-1)+1),""),2),0)</f>
        <v>0</v>
      </c>
      <c r="K479" s="52">
        <f>IFERROR(ROUND(IF(ISNUMBER(INDEX('M04-S04'!$AN$16:$AN$198,2*(ROWS($R$437:$R479)-1)+1)),INDEX('M04-S04'!$AH$16:$AH$198,2*(ROWS($K$437:$K479)-1)+1),""),2),0)</f>
        <v>0</v>
      </c>
      <c r="M479" s="456" t="str">
        <f>IF(ISNUMBER(INDEX('M04-S04'!$AN$16:$AN$198,2*(ROWS($R$437:R479)-1)+1)),INDEX('M04-S04'!$X$16:$X$198,2*(ROWS($M$437:M479)-1)+1),"")</f>
        <v/>
      </c>
      <c r="N479" s="113"/>
      <c r="O479" s="459"/>
      <c r="P479" s="184" t="str">
        <f>IFERROR(IF(ISNUMBER(INDEX('M04-S04'!$AN$16:$AN$198,2*(ROWS($R$437:R479)-1)+1)),INDEX('M04-S04'!$AK$16:$AK$196,2*(ROWS($P$437:P479)-1)+1),""),"")</f>
        <v/>
      </c>
      <c r="Q479" s="184"/>
      <c r="R479" s="184">
        <f>IF(ISNUMBER(INDEX('M04-S04'!$AN$16:$AN$198,2*(ROWS($R$437:R479)-1)+1)),INDEX('M04-S04'!$AN$16:$AN$198,2*(ROWS($R$437:R479)-1)+1),0)</f>
        <v>0</v>
      </c>
      <c r="S479" s="23">
        <f>IF(NOT(ISNUMBER(INDEX('M04-S04'!$AN$16:$AN$198,2*(ROWS($R$437:R479)-1)+1))),INDEX('M04-S04'!$X$16:$X$198,2*(ROWS($S$437:S479)-1)+1),"")</f>
        <v>0</v>
      </c>
      <c r="T479" s="113"/>
      <c r="U479" s="459"/>
      <c r="V479" s="52" t="str">
        <f>IFERROR(IF(NOT(ISNUMBER(INDEX('M04-S04'!$AN$16:$AN$198,2*(ROWS($R$437:R479)-1)+1))),INDEX('M04-S04'!$AK$16:$AK$198,2*(ROWS($R$437:R479)-1)+1),0),0)</f>
        <v/>
      </c>
      <c r="W479" t="str">
        <f>IFERROR(IF(NOT(ISNUMBER(INDEX('M04-S04'!$AN$16:$AN$198,2*(ROWS($R$437:R479)-1)+1))),INDEX('M04-S04'!$BD$16:$BD$198,2*(ROWS($R$437:R479)-1)+1),""),"")</f>
        <v>Submit for Review</v>
      </c>
      <c r="X479" s="113"/>
      <c r="Y479" s="113"/>
      <c r="Z479" s="111">
        <f>INDEX('M04-S04'!$B$16:$B$198,2*(ROWS($Z$437:Z479)-1)+1)</f>
        <v>43</v>
      </c>
      <c r="AA479" s="112"/>
      <c r="AB479" s="111">
        <f>INDEX('M04-S04'!$F$16:$F$198,2*(ROWS($Z$437:AB479)-1)+1)</f>
        <v>0</v>
      </c>
      <c r="AC479">
        <f>INDEX('M04-S04'!$L$16:$L$198,2*(ROWS($AC$437:AC479)-1)+1)</f>
        <v>0</v>
      </c>
      <c r="AD479">
        <f>INDEX('M04-S04'!$T$16:$T$198,2*(ROWS($AD$437:AD479)-1)+1)</f>
        <v>0</v>
      </c>
      <c r="AE479" s="459"/>
      <c r="AF479" s="459"/>
      <c r="AG479" s="96"/>
      <c r="AH479" s="96"/>
      <c r="AI479" s="111">
        <f>INDEX('M04-S04'!$R$16:$R$198,2*(ROWS($AG$437:AI479)-1)+1)</f>
        <v>0</v>
      </c>
      <c r="AJ479" s="111">
        <f>INDEX('M04-S04'!$Z$16:$Z$198,2*(ROWS($AH$437:AJ479)-1)+1)</f>
        <v>0</v>
      </c>
      <c r="AK479" s="52" t="str">
        <f>INDEX('M04-S04'!$AV$16:$AV$198,2*(ROWS($AK$437:AK479)-1)+1)</f>
        <v/>
      </c>
      <c r="AL479" s="184">
        <f>IF(NOT(ISNUMBER(INDEX('M04-S04'!$AN$16:$AN$198,2*(ROWS($R$437:$R479)-1)+1))),INDEX('M04-S04'!$AD$16:$AD$198,2*(ROWS($AL$437:$AL479)-1)+1),"")</f>
        <v>0</v>
      </c>
      <c r="AM479" s="184" t="str">
        <f>IF(NOT(ISNUMBER(INDEX('M04-S04'!$AN$16:$AN$198,2*(ROWS($R$437:$R479)-1)+1))),INDEX('M04-S04'!$AF$16:$AF$198,2*(ROWS($AM$437:$AM479)-1)+1),"")</f>
        <v/>
      </c>
      <c r="AN479" s="52" t="str">
        <f>IF(NOT(ISNUMBER(INDEX('M04-S04'!$AN$16:$AN$198,2*(ROWS($R$437:$R479)-1)+1))),INDEX('M04-S04'!$AH$16:$AH$198,2*(ROWS($AN$437:$AN479)-1)+1),"")</f>
        <v/>
      </c>
      <c r="AO479" s="113"/>
      <c r="AU479"/>
    </row>
    <row r="480" spans="1:47">
      <c r="A480" s="57">
        <f t="shared" si="43"/>
        <v>0</v>
      </c>
      <c r="B480" s="183" t="str">
        <f t="shared" si="44"/>
        <v/>
      </c>
      <c r="C480" s="186" t="str">
        <f>IF(OR(R480&gt;0,V480&gt;0),INDEX('M04-S04'!$BC$16:$BC$198,2*(ROWS($C$437:C480)-1)+1),"")</f>
        <v/>
      </c>
      <c r="D480" t="s">
        <v>231</v>
      </c>
      <c r="E480" s="112"/>
      <c r="F480" s="112"/>
      <c r="G480" s="96"/>
      <c r="H480" s="96"/>
      <c r="I480" s="184">
        <f>IFERROR(ROUND(IF(ISNUMBER(INDEX('M04-S04'!$AN$16:$AN$198,2*(ROWS($R$437:$R480)-1)+1)),INDEX('M04-S04'!$AD$16:$AD$198,2*(ROWS($I$437:$I480)-1)+1),""),2),0)</f>
        <v>0</v>
      </c>
      <c r="J480" s="184">
        <f>IFERROR(ROUND(IF(ISNUMBER(INDEX('M04-S04'!$AN$16:$AN$198,2*(ROWS($R$437:$R480)-1)+1)),INDEX('M04-S04'!$AF$16:$AF$198,2*(ROWS($J$437:$J480)-1)+1),""),2),0)</f>
        <v>0</v>
      </c>
      <c r="K480" s="52">
        <f>IFERROR(ROUND(IF(ISNUMBER(INDEX('M04-S04'!$AN$16:$AN$198,2*(ROWS($R$437:$R480)-1)+1)),INDEX('M04-S04'!$AH$16:$AH$198,2*(ROWS($K$437:$K480)-1)+1),""),2),0)</f>
        <v>0</v>
      </c>
      <c r="M480" s="456" t="str">
        <f>IF(ISNUMBER(INDEX('M04-S04'!$AN$16:$AN$198,2*(ROWS($R$437:R480)-1)+1)),INDEX('M04-S04'!$X$16:$X$198,2*(ROWS($M$437:M480)-1)+1),"")</f>
        <v/>
      </c>
      <c r="N480" s="113"/>
      <c r="O480" s="459"/>
      <c r="P480" s="184" t="str">
        <f>IFERROR(IF(ISNUMBER(INDEX('M04-S04'!$AN$16:$AN$198,2*(ROWS($R$437:R480)-1)+1)),INDEX('M04-S04'!$AK$16:$AK$196,2*(ROWS($P$437:P480)-1)+1),""),"")</f>
        <v/>
      </c>
      <c r="Q480" s="184"/>
      <c r="R480" s="184">
        <f>IF(ISNUMBER(INDEX('M04-S04'!$AN$16:$AN$198,2*(ROWS($R$437:R480)-1)+1)),INDEX('M04-S04'!$AN$16:$AN$198,2*(ROWS($R$437:R480)-1)+1),0)</f>
        <v>0</v>
      </c>
      <c r="S480" s="23">
        <f>IF(NOT(ISNUMBER(INDEX('M04-S04'!$AN$16:$AN$198,2*(ROWS($R$437:R480)-1)+1))),INDEX('M04-S04'!$X$16:$X$198,2*(ROWS($S$437:S480)-1)+1),"")</f>
        <v>0</v>
      </c>
      <c r="T480" s="113"/>
      <c r="U480" s="459"/>
      <c r="V480" s="52" t="str">
        <f>IFERROR(IF(NOT(ISNUMBER(INDEX('M04-S04'!$AN$16:$AN$198,2*(ROWS($R$437:R480)-1)+1))),INDEX('M04-S04'!$AK$16:$AK$198,2*(ROWS($R$437:R480)-1)+1),0),0)</f>
        <v/>
      </c>
      <c r="W480" t="str">
        <f>IFERROR(IF(NOT(ISNUMBER(INDEX('M04-S04'!$AN$16:$AN$198,2*(ROWS($R$437:R480)-1)+1))),INDEX('M04-S04'!$BD$16:$BD$198,2*(ROWS($R$437:R480)-1)+1),""),"")</f>
        <v>Submit for Review</v>
      </c>
      <c r="X480" s="113"/>
      <c r="Y480" s="113"/>
      <c r="Z480" s="111">
        <f>INDEX('M04-S04'!$B$16:$B$198,2*(ROWS($Z$437:Z480)-1)+1)</f>
        <v>44</v>
      </c>
      <c r="AA480" s="112"/>
      <c r="AB480" s="111">
        <f>INDEX('M04-S04'!$F$16:$F$198,2*(ROWS($Z$437:AB480)-1)+1)</f>
        <v>0</v>
      </c>
      <c r="AC480">
        <f>INDEX('M04-S04'!$L$16:$L$198,2*(ROWS($AC$437:AC480)-1)+1)</f>
        <v>0</v>
      </c>
      <c r="AD480">
        <f>INDEX('M04-S04'!$T$16:$T$198,2*(ROWS($AD$437:AD480)-1)+1)</f>
        <v>0</v>
      </c>
      <c r="AE480" s="459"/>
      <c r="AF480" s="459"/>
      <c r="AG480" s="96"/>
      <c r="AH480" s="96"/>
      <c r="AI480" s="111">
        <f>INDEX('M04-S04'!$R$16:$R$198,2*(ROWS($AG$437:AI480)-1)+1)</f>
        <v>0</v>
      </c>
      <c r="AJ480" s="111">
        <f>INDEX('M04-S04'!$Z$16:$Z$198,2*(ROWS($AH$437:AJ480)-1)+1)</f>
        <v>0</v>
      </c>
      <c r="AK480" s="52" t="str">
        <f>INDEX('M04-S04'!$AV$16:$AV$198,2*(ROWS($AK$437:AK480)-1)+1)</f>
        <v/>
      </c>
      <c r="AL480" s="184">
        <f>IF(NOT(ISNUMBER(INDEX('M04-S04'!$AN$16:$AN$198,2*(ROWS($R$437:$R480)-1)+1))),INDEX('M04-S04'!$AD$16:$AD$198,2*(ROWS($AL$437:$AL480)-1)+1),"")</f>
        <v>0</v>
      </c>
      <c r="AM480" s="184" t="str">
        <f>IF(NOT(ISNUMBER(INDEX('M04-S04'!$AN$16:$AN$198,2*(ROWS($R$437:$R480)-1)+1))),INDEX('M04-S04'!$AF$16:$AF$198,2*(ROWS($AM$437:$AM480)-1)+1),"")</f>
        <v/>
      </c>
      <c r="AN480" s="52" t="str">
        <f>IF(NOT(ISNUMBER(INDEX('M04-S04'!$AN$16:$AN$198,2*(ROWS($R$437:$R480)-1)+1))),INDEX('M04-S04'!$AH$16:$AH$198,2*(ROWS($AN$437:$AN480)-1)+1),"")</f>
        <v/>
      </c>
      <c r="AO480" s="113"/>
      <c r="AU480"/>
    </row>
    <row r="481" spans="1:47">
      <c r="A481" s="57">
        <f t="shared" si="43"/>
        <v>0</v>
      </c>
      <c r="B481" s="183" t="str">
        <f t="shared" si="44"/>
        <v/>
      </c>
      <c r="C481" s="186" t="str">
        <f>IF(OR(R481&gt;0,V481&gt;0),INDEX('M04-S04'!$BC$16:$BC$198,2*(ROWS($C$437:C481)-1)+1),"")</f>
        <v/>
      </c>
      <c r="D481" t="s">
        <v>231</v>
      </c>
      <c r="E481" s="112"/>
      <c r="F481" s="112"/>
      <c r="G481" s="96"/>
      <c r="H481" s="96"/>
      <c r="I481" s="184">
        <f>IFERROR(ROUND(IF(ISNUMBER(INDEX('M04-S04'!$AN$16:$AN$198,2*(ROWS($R$437:$R481)-1)+1)),INDEX('M04-S04'!$AD$16:$AD$198,2*(ROWS($I$437:$I481)-1)+1),""),2),0)</f>
        <v>0</v>
      </c>
      <c r="J481" s="184">
        <f>IFERROR(ROUND(IF(ISNUMBER(INDEX('M04-S04'!$AN$16:$AN$198,2*(ROWS($R$437:$R481)-1)+1)),INDEX('M04-S04'!$AF$16:$AF$198,2*(ROWS($J$437:$J481)-1)+1),""),2),0)</f>
        <v>0</v>
      </c>
      <c r="K481" s="52">
        <f>IFERROR(ROUND(IF(ISNUMBER(INDEX('M04-S04'!$AN$16:$AN$198,2*(ROWS($R$437:$R481)-1)+1)),INDEX('M04-S04'!$AH$16:$AH$198,2*(ROWS($K$437:$K481)-1)+1),""),2),0)</f>
        <v>0</v>
      </c>
      <c r="M481" s="456" t="str">
        <f>IF(ISNUMBER(INDEX('M04-S04'!$AN$16:$AN$198,2*(ROWS($R$437:R481)-1)+1)),INDEX('M04-S04'!$X$16:$X$198,2*(ROWS($M$437:M481)-1)+1),"")</f>
        <v/>
      </c>
      <c r="N481" s="113"/>
      <c r="O481" s="459"/>
      <c r="P481" s="184" t="str">
        <f>IFERROR(IF(ISNUMBER(INDEX('M04-S04'!$AN$16:$AN$198,2*(ROWS($R$437:R481)-1)+1)),INDEX('M04-S04'!$AK$16:$AK$196,2*(ROWS($P$437:P481)-1)+1),""),"")</f>
        <v/>
      </c>
      <c r="Q481" s="184"/>
      <c r="R481" s="184">
        <f>IF(ISNUMBER(INDEX('M04-S04'!$AN$16:$AN$198,2*(ROWS($R$437:R481)-1)+1)),INDEX('M04-S04'!$AN$16:$AN$198,2*(ROWS($R$437:R481)-1)+1),0)</f>
        <v>0</v>
      </c>
      <c r="S481" s="23">
        <f>IF(NOT(ISNUMBER(INDEX('M04-S04'!$AN$16:$AN$198,2*(ROWS($R$437:R481)-1)+1))),INDEX('M04-S04'!$X$16:$X$198,2*(ROWS($S$437:S481)-1)+1),"")</f>
        <v>0</v>
      </c>
      <c r="T481" s="113"/>
      <c r="U481" s="459"/>
      <c r="V481" s="52" t="str">
        <f>IFERROR(IF(NOT(ISNUMBER(INDEX('M04-S04'!$AN$16:$AN$198,2*(ROWS($R$437:R481)-1)+1))),INDEX('M04-S04'!$AK$16:$AK$198,2*(ROWS($R$437:R481)-1)+1),0),0)</f>
        <v/>
      </c>
      <c r="W481" t="str">
        <f>IFERROR(IF(NOT(ISNUMBER(INDEX('M04-S04'!$AN$16:$AN$198,2*(ROWS($R$437:R481)-1)+1))),INDEX('M04-S04'!$BD$16:$BD$198,2*(ROWS($R$437:R481)-1)+1),""),"")</f>
        <v>Submit for Review</v>
      </c>
      <c r="X481" s="113"/>
      <c r="Y481" s="113"/>
      <c r="Z481" s="111">
        <f>INDEX('M04-S04'!$B$16:$B$198,2*(ROWS($Z$437:Z481)-1)+1)</f>
        <v>45</v>
      </c>
      <c r="AA481" s="112"/>
      <c r="AB481" s="111">
        <f>INDEX('M04-S04'!$F$16:$F$198,2*(ROWS($Z$437:AB481)-1)+1)</f>
        <v>0</v>
      </c>
      <c r="AC481">
        <f>INDEX('M04-S04'!$L$16:$L$198,2*(ROWS($AC$437:AC481)-1)+1)</f>
        <v>0</v>
      </c>
      <c r="AD481">
        <f>INDEX('M04-S04'!$T$16:$T$198,2*(ROWS($AD$437:AD481)-1)+1)</f>
        <v>0</v>
      </c>
      <c r="AE481" s="459"/>
      <c r="AF481" s="459"/>
      <c r="AG481" s="96"/>
      <c r="AH481" s="96"/>
      <c r="AI481" s="111">
        <f>INDEX('M04-S04'!$R$16:$R$198,2*(ROWS($AG$437:AI481)-1)+1)</f>
        <v>0</v>
      </c>
      <c r="AJ481" s="111">
        <f>INDEX('M04-S04'!$Z$16:$Z$198,2*(ROWS($AH$437:AJ481)-1)+1)</f>
        <v>0</v>
      </c>
      <c r="AK481" s="52" t="str">
        <f>INDEX('M04-S04'!$AV$16:$AV$198,2*(ROWS($AK$437:AK481)-1)+1)</f>
        <v/>
      </c>
      <c r="AL481" s="184">
        <f>IF(NOT(ISNUMBER(INDEX('M04-S04'!$AN$16:$AN$198,2*(ROWS($R$437:$R481)-1)+1))),INDEX('M04-S04'!$AD$16:$AD$198,2*(ROWS($AL$437:$AL481)-1)+1),"")</f>
        <v>0</v>
      </c>
      <c r="AM481" s="184" t="str">
        <f>IF(NOT(ISNUMBER(INDEX('M04-S04'!$AN$16:$AN$198,2*(ROWS($R$437:$R481)-1)+1))),INDEX('M04-S04'!$AF$16:$AF$198,2*(ROWS($AM$437:$AM481)-1)+1),"")</f>
        <v/>
      </c>
      <c r="AN481" s="52" t="str">
        <f>IF(NOT(ISNUMBER(INDEX('M04-S04'!$AN$16:$AN$198,2*(ROWS($R$437:$R481)-1)+1))),INDEX('M04-S04'!$AH$16:$AH$198,2*(ROWS($AN$437:$AN481)-1)+1),"")</f>
        <v/>
      </c>
      <c r="AO481" s="113"/>
      <c r="AU481"/>
    </row>
    <row r="482" spans="1:47">
      <c r="A482" s="57">
        <f t="shared" si="43"/>
        <v>0</v>
      </c>
      <c r="B482" s="183" t="str">
        <f t="shared" si="44"/>
        <v/>
      </c>
      <c r="C482" s="186" t="str">
        <f>IF(OR(R482&gt;0,V482&gt;0),INDEX('M04-S04'!$BC$16:$BC$198,2*(ROWS($C$437:C482)-1)+1),"")</f>
        <v/>
      </c>
      <c r="D482" t="s">
        <v>231</v>
      </c>
      <c r="E482" s="112"/>
      <c r="F482" s="112"/>
      <c r="G482" s="96"/>
      <c r="H482" s="96"/>
      <c r="I482" s="184">
        <f>IFERROR(ROUND(IF(ISNUMBER(INDEX('M04-S04'!$AN$16:$AN$198,2*(ROWS($R$437:$R482)-1)+1)),INDEX('M04-S04'!$AD$16:$AD$198,2*(ROWS($I$437:$I482)-1)+1),""),2),0)</f>
        <v>0</v>
      </c>
      <c r="J482" s="184">
        <f>IFERROR(ROUND(IF(ISNUMBER(INDEX('M04-S04'!$AN$16:$AN$198,2*(ROWS($R$437:$R482)-1)+1)),INDEX('M04-S04'!$AF$16:$AF$198,2*(ROWS($J$437:$J482)-1)+1),""),2),0)</f>
        <v>0</v>
      </c>
      <c r="K482" s="52">
        <f>IFERROR(ROUND(IF(ISNUMBER(INDEX('M04-S04'!$AN$16:$AN$198,2*(ROWS($R$437:$R482)-1)+1)),INDEX('M04-S04'!$AH$16:$AH$198,2*(ROWS($K$437:$K482)-1)+1),""),2),0)</f>
        <v>0</v>
      </c>
      <c r="M482" s="456" t="str">
        <f>IF(ISNUMBER(INDEX('M04-S04'!$AN$16:$AN$198,2*(ROWS($R$437:R482)-1)+1)),INDEX('M04-S04'!$X$16:$X$198,2*(ROWS($M$437:M482)-1)+1),"")</f>
        <v/>
      </c>
      <c r="N482" s="113"/>
      <c r="O482" s="459"/>
      <c r="P482" s="184" t="str">
        <f>IFERROR(IF(ISNUMBER(INDEX('M04-S04'!$AN$16:$AN$198,2*(ROWS($R$437:R482)-1)+1)),INDEX('M04-S04'!$AK$16:$AK$196,2*(ROWS($P$437:P482)-1)+1),""),"")</f>
        <v/>
      </c>
      <c r="Q482" s="184"/>
      <c r="R482" s="184">
        <f>IF(ISNUMBER(INDEX('M04-S04'!$AN$16:$AN$198,2*(ROWS($R$437:R482)-1)+1)),INDEX('M04-S04'!$AN$16:$AN$198,2*(ROWS($R$437:R482)-1)+1),0)</f>
        <v>0</v>
      </c>
      <c r="S482" s="23">
        <f>IF(NOT(ISNUMBER(INDEX('M04-S04'!$AN$16:$AN$198,2*(ROWS($R$437:R482)-1)+1))),INDEX('M04-S04'!$X$16:$X$198,2*(ROWS($S$437:S482)-1)+1),"")</f>
        <v>0</v>
      </c>
      <c r="T482" s="113"/>
      <c r="U482" s="459"/>
      <c r="V482" s="52" t="str">
        <f>IFERROR(IF(NOT(ISNUMBER(INDEX('M04-S04'!$AN$16:$AN$198,2*(ROWS($R$437:R482)-1)+1))),INDEX('M04-S04'!$AK$16:$AK$198,2*(ROWS($R$437:R482)-1)+1),0),0)</f>
        <v/>
      </c>
      <c r="W482" t="str">
        <f>IFERROR(IF(NOT(ISNUMBER(INDEX('M04-S04'!$AN$16:$AN$198,2*(ROWS($R$437:R482)-1)+1))),INDEX('M04-S04'!$BD$16:$BD$198,2*(ROWS($R$437:R482)-1)+1),""),"")</f>
        <v>Submit for Review</v>
      </c>
      <c r="X482" s="113"/>
      <c r="Y482" s="113"/>
      <c r="Z482" s="111">
        <f>INDEX('M04-S04'!$B$16:$B$198,2*(ROWS($Z$437:Z482)-1)+1)</f>
        <v>46</v>
      </c>
      <c r="AA482" s="112"/>
      <c r="AB482" s="111">
        <f>INDEX('M04-S04'!$F$16:$F$198,2*(ROWS($Z$437:AB482)-1)+1)</f>
        <v>0</v>
      </c>
      <c r="AC482">
        <f>INDEX('M04-S04'!$L$16:$L$198,2*(ROWS($AC$437:AC482)-1)+1)</f>
        <v>0</v>
      </c>
      <c r="AD482">
        <f>INDEX('M04-S04'!$T$16:$T$198,2*(ROWS($AD$437:AD482)-1)+1)</f>
        <v>0</v>
      </c>
      <c r="AE482" s="459"/>
      <c r="AF482" s="459"/>
      <c r="AG482" s="96"/>
      <c r="AH482" s="96"/>
      <c r="AI482" s="111">
        <f>INDEX('M04-S04'!$R$16:$R$198,2*(ROWS($AG$437:AI482)-1)+1)</f>
        <v>0</v>
      </c>
      <c r="AJ482" s="111">
        <f>INDEX('M04-S04'!$Z$16:$Z$198,2*(ROWS($AH$437:AJ482)-1)+1)</f>
        <v>0</v>
      </c>
      <c r="AK482" s="52" t="str">
        <f>INDEX('M04-S04'!$AV$16:$AV$198,2*(ROWS($AK$437:AK482)-1)+1)</f>
        <v/>
      </c>
      <c r="AL482" s="184">
        <f>IF(NOT(ISNUMBER(INDEX('M04-S04'!$AN$16:$AN$198,2*(ROWS($R$437:$R482)-1)+1))),INDEX('M04-S04'!$AD$16:$AD$198,2*(ROWS($AL$437:$AL482)-1)+1),"")</f>
        <v>0</v>
      </c>
      <c r="AM482" s="184" t="str">
        <f>IF(NOT(ISNUMBER(INDEX('M04-S04'!$AN$16:$AN$198,2*(ROWS($R$437:$R482)-1)+1))),INDEX('M04-S04'!$AF$16:$AF$198,2*(ROWS($AM$437:$AM482)-1)+1),"")</f>
        <v/>
      </c>
      <c r="AN482" s="52" t="str">
        <f>IF(NOT(ISNUMBER(INDEX('M04-S04'!$AN$16:$AN$198,2*(ROWS($R$437:$R482)-1)+1))),INDEX('M04-S04'!$AH$16:$AH$198,2*(ROWS($AN$437:$AN482)-1)+1),"")</f>
        <v/>
      </c>
      <c r="AO482" s="113"/>
      <c r="AU482"/>
    </row>
    <row r="483" spans="1:47">
      <c r="A483" s="57">
        <f t="shared" si="43"/>
        <v>0</v>
      </c>
      <c r="B483" s="183" t="str">
        <f t="shared" si="44"/>
        <v/>
      </c>
      <c r="C483" s="186" t="str">
        <f>IF(OR(R483&gt;0,V483&gt;0),INDEX('M04-S04'!$BC$16:$BC$198,2*(ROWS($C$437:C483)-1)+1),"")</f>
        <v/>
      </c>
      <c r="D483" t="s">
        <v>231</v>
      </c>
      <c r="E483" s="112"/>
      <c r="F483" s="112"/>
      <c r="G483" s="96"/>
      <c r="H483" s="96"/>
      <c r="I483" s="184">
        <f>IFERROR(ROUND(IF(ISNUMBER(INDEX('M04-S04'!$AN$16:$AN$198,2*(ROWS($R$437:$R483)-1)+1)),INDEX('M04-S04'!$AD$16:$AD$198,2*(ROWS($I$437:$I483)-1)+1),""),2),0)</f>
        <v>0</v>
      </c>
      <c r="J483" s="184">
        <f>IFERROR(ROUND(IF(ISNUMBER(INDEX('M04-S04'!$AN$16:$AN$198,2*(ROWS($R$437:$R483)-1)+1)),INDEX('M04-S04'!$AF$16:$AF$198,2*(ROWS($J$437:$J483)-1)+1),""),2),0)</f>
        <v>0</v>
      </c>
      <c r="K483" s="52">
        <f>IFERROR(ROUND(IF(ISNUMBER(INDEX('M04-S04'!$AN$16:$AN$198,2*(ROWS($R$437:$R483)-1)+1)),INDEX('M04-S04'!$AH$16:$AH$198,2*(ROWS($K$437:$K483)-1)+1),""),2),0)</f>
        <v>0</v>
      </c>
      <c r="M483" s="456" t="str">
        <f>IF(ISNUMBER(INDEX('M04-S04'!$AN$16:$AN$198,2*(ROWS($R$437:R483)-1)+1)),INDEX('M04-S04'!$X$16:$X$198,2*(ROWS($M$437:M483)-1)+1),"")</f>
        <v/>
      </c>
      <c r="N483" s="113"/>
      <c r="O483" s="459"/>
      <c r="P483" s="184" t="str">
        <f>IFERROR(IF(ISNUMBER(INDEX('M04-S04'!$AN$16:$AN$198,2*(ROWS($R$437:R483)-1)+1)),INDEX('M04-S04'!$AK$16:$AK$196,2*(ROWS($P$437:P483)-1)+1),""),"")</f>
        <v/>
      </c>
      <c r="Q483" s="184"/>
      <c r="R483" s="184">
        <f>IF(ISNUMBER(INDEX('M04-S04'!$AN$16:$AN$198,2*(ROWS($R$437:R483)-1)+1)),INDEX('M04-S04'!$AN$16:$AN$198,2*(ROWS($R$437:R483)-1)+1),0)</f>
        <v>0</v>
      </c>
      <c r="S483" s="23">
        <f>IF(NOT(ISNUMBER(INDEX('M04-S04'!$AN$16:$AN$198,2*(ROWS($R$437:R483)-1)+1))),INDEX('M04-S04'!$X$16:$X$198,2*(ROWS($S$437:S483)-1)+1),"")</f>
        <v>0</v>
      </c>
      <c r="T483" s="113"/>
      <c r="U483" s="459"/>
      <c r="V483" s="52" t="str">
        <f>IFERROR(IF(NOT(ISNUMBER(INDEX('M04-S04'!$AN$16:$AN$198,2*(ROWS($R$437:R483)-1)+1))),INDEX('M04-S04'!$AK$16:$AK$198,2*(ROWS($R$437:R483)-1)+1),0),0)</f>
        <v/>
      </c>
      <c r="W483" t="str">
        <f>IFERROR(IF(NOT(ISNUMBER(INDEX('M04-S04'!$AN$16:$AN$198,2*(ROWS($R$437:R483)-1)+1))),INDEX('M04-S04'!$BD$16:$BD$198,2*(ROWS($R$437:R483)-1)+1),""),"")</f>
        <v>Submit for Review</v>
      </c>
      <c r="X483" s="113"/>
      <c r="Y483" s="113"/>
      <c r="Z483" s="111">
        <f>INDEX('M04-S04'!$B$16:$B$198,2*(ROWS($Z$437:Z483)-1)+1)</f>
        <v>47</v>
      </c>
      <c r="AA483" s="112"/>
      <c r="AB483" s="111">
        <f>INDEX('M04-S04'!$F$16:$F$198,2*(ROWS($Z$437:AB483)-1)+1)</f>
        <v>0</v>
      </c>
      <c r="AC483">
        <f>INDEX('M04-S04'!$L$16:$L$198,2*(ROWS($AC$437:AC483)-1)+1)</f>
        <v>0</v>
      </c>
      <c r="AD483">
        <f>INDEX('M04-S04'!$T$16:$T$198,2*(ROWS($AD$437:AD483)-1)+1)</f>
        <v>0</v>
      </c>
      <c r="AE483" s="459"/>
      <c r="AF483" s="459"/>
      <c r="AG483" s="96"/>
      <c r="AH483" s="96"/>
      <c r="AI483" s="111">
        <f>INDEX('M04-S04'!$R$16:$R$198,2*(ROWS($AG$437:AI483)-1)+1)</f>
        <v>0</v>
      </c>
      <c r="AJ483" s="111">
        <f>INDEX('M04-S04'!$Z$16:$Z$198,2*(ROWS($AH$437:AJ483)-1)+1)</f>
        <v>0</v>
      </c>
      <c r="AK483" s="52" t="str">
        <f>INDEX('M04-S04'!$AV$16:$AV$198,2*(ROWS($AK$437:AK483)-1)+1)</f>
        <v/>
      </c>
      <c r="AL483" s="184">
        <f>IF(NOT(ISNUMBER(INDEX('M04-S04'!$AN$16:$AN$198,2*(ROWS($R$437:$R483)-1)+1))),INDEX('M04-S04'!$AD$16:$AD$198,2*(ROWS($AL$437:$AL483)-1)+1),"")</f>
        <v>0</v>
      </c>
      <c r="AM483" s="184" t="str">
        <f>IF(NOT(ISNUMBER(INDEX('M04-S04'!$AN$16:$AN$198,2*(ROWS($R$437:$R483)-1)+1))),INDEX('M04-S04'!$AF$16:$AF$198,2*(ROWS($AM$437:$AM483)-1)+1),"")</f>
        <v/>
      </c>
      <c r="AN483" s="52" t="str">
        <f>IF(NOT(ISNUMBER(INDEX('M04-S04'!$AN$16:$AN$198,2*(ROWS($R$437:$R483)-1)+1))),INDEX('M04-S04'!$AH$16:$AH$198,2*(ROWS($AN$437:$AN483)-1)+1),"")</f>
        <v/>
      </c>
      <c r="AO483" s="113"/>
      <c r="AU483"/>
    </row>
    <row r="484" spans="1:47">
      <c r="A484" s="57">
        <f t="shared" si="43"/>
        <v>0</v>
      </c>
      <c r="B484" s="183" t="str">
        <f t="shared" si="44"/>
        <v/>
      </c>
      <c r="C484" s="186" t="str">
        <f>IF(OR(R484&gt;0,V484&gt;0),INDEX('M04-S04'!$BC$16:$BC$198,2*(ROWS($C$437:C484)-1)+1),"")</f>
        <v/>
      </c>
      <c r="D484" t="s">
        <v>231</v>
      </c>
      <c r="E484" s="112"/>
      <c r="F484" s="112"/>
      <c r="G484" s="96"/>
      <c r="H484" s="96"/>
      <c r="I484" s="184">
        <f>IFERROR(ROUND(IF(ISNUMBER(INDEX('M04-S04'!$AN$16:$AN$198,2*(ROWS($R$437:$R484)-1)+1)),INDEX('M04-S04'!$AD$16:$AD$198,2*(ROWS($I$437:$I484)-1)+1),""),2),0)</f>
        <v>0</v>
      </c>
      <c r="J484" s="184">
        <f>IFERROR(ROUND(IF(ISNUMBER(INDEX('M04-S04'!$AN$16:$AN$198,2*(ROWS($R$437:$R484)-1)+1)),INDEX('M04-S04'!$AF$16:$AF$198,2*(ROWS($J$437:$J484)-1)+1),""),2),0)</f>
        <v>0</v>
      </c>
      <c r="K484" s="52">
        <f>IFERROR(ROUND(IF(ISNUMBER(INDEX('M04-S04'!$AN$16:$AN$198,2*(ROWS($R$437:$R484)-1)+1)),INDEX('M04-S04'!$AH$16:$AH$198,2*(ROWS($K$437:$K484)-1)+1),""),2),0)</f>
        <v>0</v>
      </c>
      <c r="M484" s="456" t="str">
        <f>IF(ISNUMBER(INDEX('M04-S04'!$AN$16:$AN$198,2*(ROWS($R$437:R484)-1)+1)),INDEX('M04-S04'!$X$16:$X$198,2*(ROWS($M$437:M484)-1)+1),"")</f>
        <v/>
      </c>
      <c r="N484" s="113"/>
      <c r="O484" s="459"/>
      <c r="P484" s="184" t="str">
        <f>IFERROR(IF(ISNUMBER(INDEX('M04-S04'!$AN$16:$AN$198,2*(ROWS($R$437:R484)-1)+1)),INDEX('M04-S04'!$AK$16:$AK$196,2*(ROWS($P$437:P484)-1)+1),""),"")</f>
        <v/>
      </c>
      <c r="Q484" s="184"/>
      <c r="R484" s="184">
        <f>IF(ISNUMBER(INDEX('M04-S04'!$AN$16:$AN$198,2*(ROWS($R$437:R484)-1)+1)),INDEX('M04-S04'!$AN$16:$AN$198,2*(ROWS($R$437:R484)-1)+1),0)</f>
        <v>0</v>
      </c>
      <c r="S484" s="23">
        <f>IF(NOT(ISNUMBER(INDEX('M04-S04'!$AN$16:$AN$198,2*(ROWS($R$437:R484)-1)+1))),INDEX('M04-S04'!$X$16:$X$198,2*(ROWS($S$437:S484)-1)+1),"")</f>
        <v>0</v>
      </c>
      <c r="T484" s="113"/>
      <c r="U484" s="459"/>
      <c r="V484" s="52" t="str">
        <f>IFERROR(IF(NOT(ISNUMBER(INDEX('M04-S04'!$AN$16:$AN$198,2*(ROWS($R$437:R484)-1)+1))),INDEX('M04-S04'!$AK$16:$AK$198,2*(ROWS($R$437:R484)-1)+1),0),0)</f>
        <v/>
      </c>
      <c r="W484" t="str">
        <f>IFERROR(IF(NOT(ISNUMBER(INDEX('M04-S04'!$AN$16:$AN$198,2*(ROWS($R$437:R484)-1)+1))),INDEX('M04-S04'!$BD$16:$BD$198,2*(ROWS($R$437:R484)-1)+1),""),"")</f>
        <v>Submit for Review</v>
      </c>
      <c r="X484" s="113"/>
      <c r="Y484" s="113"/>
      <c r="Z484" s="111">
        <f>INDEX('M04-S04'!$B$16:$B$198,2*(ROWS($Z$437:Z484)-1)+1)</f>
        <v>48</v>
      </c>
      <c r="AA484" s="112"/>
      <c r="AB484" s="111">
        <f>INDEX('M04-S04'!$F$16:$F$198,2*(ROWS($Z$437:AB484)-1)+1)</f>
        <v>0</v>
      </c>
      <c r="AC484">
        <f>INDEX('M04-S04'!$L$16:$L$198,2*(ROWS($AC$437:AC484)-1)+1)</f>
        <v>0</v>
      </c>
      <c r="AD484">
        <f>INDEX('M04-S04'!$T$16:$T$198,2*(ROWS($AD$437:AD484)-1)+1)</f>
        <v>0</v>
      </c>
      <c r="AE484" s="459"/>
      <c r="AF484" s="459"/>
      <c r="AG484" s="96"/>
      <c r="AH484" s="96"/>
      <c r="AI484" s="111">
        <f>INDEX('M04-S04'!$R$16:$R$198,2*(ROWS($AG$437:AI484)-1)+1)</f>
        <v>0</v>
      </c>
      <c r="AJ484" s="111">
        <f>INDEX('M04-S04'!$Z$16:$Z$198,2*(ROWS($AH$437:AJ484)-1)+1)</f>
        <v>0</v>
      </c>
      <c r="AK484" s="52" t="str">
        <f>INDEX('M04-S04'!$AV$16:$AV$198,2*(ROWS($AK$437:AK484)-1)+1)</f>
        <v/>
      </c>
      <c r="AL484" s="184">
        <f>IF(NOT(ISNUMBER(INDEX('M04-S04'!$AN$16:$AN$198,2*(ROWS($R$437:$R484)-1)+1))),INDEX('M04-S04'!$AD$16:$AD$198,2*(ROWS($AL$437:$AL484)-1)+1),"")</f>
        <v>0</v>
      </c>
      <c r="AM484" s="184" t="str">
        <f>IF(NOT(ISNUMBER(INDEX('M04-S04'!$AN$16:$AN$198,2*(ROWS($R$437:$R484)-1)+1))),INDEX('M04-S04'!$AF$16:$AF$198,2*(ROWS($AM$437:$AM484)-1)+1),"")</f>
        <v/>
      </c>
      <c r="AN484" s="52" t="str">
        <f>IF(NOT(ISNUMBER(INDEX('M04-S04'!$AN$16:$AN$198,2*(ROWS($R$437:$R484)-1)+1))),INDEX('M04-S04'!$AH$16:$AH$198,2*(ROWS($AN$437:$AN484)-1)+1),"")</f>
        <v/>
      </c>
      <c r="AO484" s="113"/>
      <c r="AU484"/>
    </row>
    <row r="485" spans="1:47">
      <c r="A485" s="57">
        <f t="shared" si="43"/>
        <v>0</v>
      </c>
      <c r="B485" s="183" t="str">
        <f t="shared" si="44"/>
        <v/>
      </c>
      <c r="C485" s="186" t="str">
        <f>IF(OR(R485&gt;0,V485&gt;0),INDEX('M04-S04'!$BC$16:$BC$198,2*(ROWS($C$437:C485)-1)+1),"")</f>
        <v/>
      </c>
      <c r="D485" t="s">
        <v>231</v>
      </c>
      <c r="E485" s="112"/>
      <c r="F485" s="112"/>
      <c r="G485" s="96"/>
      <c r="H485" s="96"/>
      <c r="I485" s="184">
        <f>IFERROR(ROUND(IF(ISNUMBER(INDEX('M04-S04'!$AN$16:$AN$198,2*(ROWS($R$437:$R485)-1)+1)),INDEX('M04-S04'!$AD$16:$AD$198,2*(ROWS($I$437:$I485)-1)+1),""),2),0)</f>
        <v>0</v>
      </c>
      <c r="J485" s="184">
        <f>IFERROR(ROUND(IF(ISNUMBER(INDEX('M04-S04'!$AN$16:$AN$198,2*(ROWS($R$437:$R485)-1)+1)),INDEX('M04-S04'!$AF$16:$AF$198,2*(ROWS($J$437:$J485)-1)+1),""),2),0)</f>
        <v>0</v>
      </c>
      <c r="K485" s="52">
        <f>IFERROR(ROUND(IF(ISNUMBER(INDEX('M04-S04'!$AN$16:$AN$198,2*(ROWS($R$437:$R485)-1)+1)),INDEX('M04-S04'!$AH$16:$AH$198,2*(ROWS($K$437:$K485)-1)+1),""),2),0)</f>
        <v>0</v>
      </c>
      <c r="M485" s="456" t="str">
        <f>IF(ISNUMBER(INDEX('M04-S04'!$AN$16:$AN$198,2*(ROWS($R$437:R485)-1)+1)),INDEX('M04-S04'!$X$16:$X$198,2*(ROWS($M$437:M485)-1)+1),"")</f>
        <v/>
      </c>
      <c r="N485" s="113"/>
      <c r="O485" s="459"/>
      <c r="P485" s="184" t="str">
        <f>IFERROR(IF(ISNUMBER(INDEX('M04-S04'!$AN$16:$AN$198,2*(ROWS($R$437:R485)-1)+1)),INDEX('M04-S04'!$AK$16:$AK$196,2*(ROWS($P$437:P485)-1)+1),""),"")</f>
        <v/>
      </c>
      <c r="Q485" s="184"/>
      <c r="R485" s="184">
        <f>IF(ISNUMBER(INDEX('M04-S04'!$AN$16:$AN$198,2*(ROWS($R$437:R485)-1)+1)),INDEX('M04-S04'!$AN$16:$AN$198,2*(ROWS($R$437:R485)-1)+1),0)</f>
        <v>0</v>
      </c>
      <c r="S485" s="23">
        <f>IF(NOT(ISNUMBER(INDEX('M04-S04'!$AN$16:$AN$198,2*(ROWS($R$437:R485)-1)+1))),INDEX('M04-S04'!$X$16:$X$198,2*(ROWS($S$437:S485)-1)+1),"")</f>
        <v>0</v>
      </c>
      <c r="T485" s="113"/>
      <c r="U485" s="459"/>
      <c r="V485" s="52" t="str">
        <f>IFERROR(IF(NOT(ISNUMBER(INDEX('M04-S04'!$AN$16:$AN$198,2*(ROWS($R$437:R485)-1)+1))),INDEX('M04-S04'!$AK$16:$AK$198,2*(ROWS($R$437:R485)-1)+1),0),0)</f>
        <v/>
      </c>
      <c r="W485" t="str">
        <f>IFERROR(IF(NOT(ISNUMBER(INDEX('M04-S04'!$AN$16:$AN$198,2*(ROWS($R$437:R485)-1)+1))),INDEX('M04-S04'!$BD$16:$BD$198,2*(ROWS($R$437:R485)-1)+1),""),"")</f>
        <v>Submit for Review</v>
      </c>
      <c r="X485" s="113"/>
      <c r="Y485" s="113"/>
      <c r="Z485" s="111">
        <f>INDEX('M04-S04'!$B$16:$B$198,2*(ROWS($Z$437:Z485)-1)+1)</f>
        <v>49</v>
      </c>
      <c r="AA485" s="112"/>
      <c r="AB485" s="111">
        <f>INDEX('M04-S04'!$F$16:$F$198,2*(ROWS($Z$437:AB485)-1)+1)</f>
        <v>0</v>
      </c>
      <c r="AC485">
        <f>INDEX('M04-S04'!$L$16:$L$198,2*(ROWS($AC$437:AC485)-1)+1)</f>
        <v>0</v>
      </c>
      <c r="AD485">
        <f>INDEX('M04-S04'!$T$16:$T$198,2*(ROWS($AD$437:AD485)-1)+1)</f>
        <v>0</v>
      </c>
      <c r="AE485" s="459"/>
      <c r="AF485" s="459"/>
      <c r="AG485" s="96"/>
      <c r="AH485" s="96"/>
      <c r="AI485" s="111">
        <f>INDEX('M04-S04'!$R$16:$R$198,2*(ROWS($AG$437:AI485)-1)+1)</f>
        <v>0</v>
      </c>
      <c r="AJ485" s="111">
        <f>INDEX('M04-S04'!$Z$16:$Z$198,2*(ROWS($AH$437:AJ485)-1)+1)</f>
        <v>0</v>
      </c>
      <c r="AK485" s="52" t="str">
        <f>INDEX('M04-S04'!$AV$16:$AV$198,2*(ROWS($AK$437:AK485)-1)+1)</f>
        <v/>
      </c>
      <c r="AL485" s="184">
        <f>IF(NOT(ISNUMBER(INDEX('M04-S04'!$AN$16:$AN$198,2*(ROWS($R$437:$R485)-1)+1))),INDEX('M04-S04'!$AD$16:$AD$198,2*(ROWS($AL$437:$AL485)-1)+1),"")</f>
        <v>0</v>
      </c>
      <c r="AM485" s="184" t="str">
        <f>IF(NOT(ISNUMBER(INDEX('M04-S04'!$AN$16:$AN$198,2*(ROWS($R$437:$R485)-1)+1))),INDEX('M04-S04'!$AF$16:$AF$198,2*(ROWS($AM$437:$AM485)-1)+1),"")</f>
        <v/>
      </c>
      <c r="AN485" s="52" t="str">
        <f>IF(NOT(ISNUMBER(INDEX('M04-S04'!$AN$16:$AN$198,2*(ROWS($R$437:$R485)-1)+1))),INDEX('M04-S04'!$AH$16:$AH$198,2*(ROWS($AN$437:$AN485)-1)+1),"")</f>
        <v/>
      </c>
      <c r="AO485" s="113"/>
      <c r="AU485"/>
    </row>
    <row r="486" spans="1:47">
      <c r="A486" s="57">
        <f t="shared" si="43"/>
        <v>0</v>
      </c>
      <c r="B486" s="183" t="str">
        <f t="shared" si="44"/>
        <v/>
      </c>
      <c r="C486" s="186" t="str">
        <f>IF(OR(R486&gt;0,V486&gt;0),INDEX('M04-S04'!$BC$16:$BC$198,2*(ROWS($C$437:C486)-1)+1),"")</f>
        <v/>
      </c>
      <c r="D486" t="s">
        <v>231</v>
      </c>
      <c r="E486" s="112"/>
      <c r="F486" s="112"/>
      <c r="G486" s="96"/>
      <c r="H486" s="96"/>
      <c r="I486" s="184">
        <f>IFERROR(ROUND(IF(ISNUMBER(INDEX('M04-S04'!$AN$16:$AN$198,2*(ROWS($R$437:$R486)-1)+1)),INDEX('M04-S04'!$AD$16:$AD$198,2*(ROWS($I$437:$I486)-1)+1),""),2),0)</f>
        <v>0</v>
      </c>
      <c r="J486" s="184">
        <f>IFERROR(ROUND(IF(ISNUMBER(INDEX('M04-S04'!$AN$16:$AN$198,2*(ROWS($R$437:$R486)-1)+1)),INDEX('M04-S04'!$AF$16:$AF$198,2*(ROWS($J$437:$J486)-1)+1),""),2),0)</f>
        <v>0</v>
      </c>
      <c r="K486" s="52">
        <f>IFERROR(ROUND(IF(ISNUMBER(INDEX('M04-S04'!$AN$16:$AN$198,2*(ROWS($R$437:$R486)-1)+1)),INDEX('M04-S04'!$AH$16:$AH$198,2*(ROWS($K$437:$K486)-1)+1),""),2),0)</f>
        <v>0</v>
      </c>
      <c r="M486" s="456" t="str">
        <f>IF(ISNUMBER(INDEX('M04-S04'!$AN$16:$AN$198,2*(ROWS($R$437:R486)-1)+1)),INDEX('M04-S04'!$X$16:$X$198,2*(ROWS($M$437:M486)-1)+1),"")</f>
        <v/>
      </c>
      <c r="N486" s="113"/>
      <c r="O486" s="459"/>
      <c r="P486" s="184" t="str">
        <f>IFERROR(IF(ISNUMBER(INDEX('M04-S04'!$AN$16:$AN$198,2*(ROWS($R$437:R486)-1)+1)),INDEX('M04-S04'!$AK$16:$AK$196,2*(ROWS($P$437:P486)-1)+1),""),"")</f>
        <v/>
      </c>
      <c r="Q486" s="184"/>
      <c r="R486" s="184">
        <f>IF(ISNUMBER(INDEX('M04-S04'!$AN$16:$AN$198,2*(ROWS($R$437:R486)-1)+1)),INDEX('M04-S04'!$AN$16:$AN$198,2*(ROWS($R$437:R486)-1)+1),0)</f>
        <v>0</v>
      </c>
      <c r="S486" s="23">
        <f>IF(NOT(ISNUMBER(INDEX('M04-S04'!$AN$16:$AN$198,2*(ROWS($R$437:R486)-1)+1))),INDEX('M04-S04'!$X$16:$X$198,2*(ROWS($S$437:S486)-1)+1),"")</f>
        <v>0</v>
      </c>
      <c r="T486" s="113"/>
      <c r="U486" s="459"/>
      <c r="V486" s="52" t="str">
        <f>IFERROR(IF(NOT(ISNUMBER(INDEX('M04-S04'!$AN$16:$AN$198,2*(ROWS($R$437:R486)-1)+1))),INDEX('M04-S04'!$AK$16:$AK$198,2*(ROWS($R$437:R486)-1)+1),0),0)</f>
        <v/>
      </c>
      <c r="W486" t="str">
        <f>IFERROR(IF(NOT(ISNUMBER(INDEX('M04-S04'!$AN$16:$AN$198,2*(ROWS($R$437:R486)-1)+1))),INDEX('M04-S04'!$BD$16:$BD$198,2*(ROWS($R$437:R486)-1)+1),""),"")</f>
        <v>Submit for Review</v>
      </c>
      <c r="X486" s="113"/>
      <c r="Y486" s="113"/>
      <c r="Z486" s="111">
        <f>INDEX('M04-S04'!$B$16:$B$198,2*(ROWS($Z$437:Z486)-1)+1)</f>
        <v>50</v>
      </c>
      <c r="AA486" s="112"/>
      <c r="AB486" s="111">
        <f>INDEX('M04-S04'!$F$16:$F$198,2*(ROWS($Z$437:AB486)-1)+1)</f>
        <v>0</v>
      </c>
      <c r="AC486">
        <f>INDEX('M04-S04'!$L$16:$L$198,2*(ROWS($AC$437:AC486)-1)+1)</f>
        <v>0</v>
      </c>
      <c r="AD486">
        <f>INDEX('M04-S04'!$T$16:$T$198,2*(ROWS($AD$437:AD486)-1)+1)</f>
        <v>0</v>
      </c>
      <c r="AE486" s="459"/>
      <c r="AF486" s="459"/>
      <c r="AG486" s="96"/>
      <c r="AH486" s="96"/>
      <c r="AI486" s="111">
        <f>INDEX('M04-S04'!$R$16:$R$198,2*(ROWS($AG$437:AI486)-1)+1)</f>
        <v>0</v>
      </c>
      <c r="AJ486" s="111">
        <f>INDEX('M04-S04'!$Z$16:$Z$198,2*(ROWS($AH$437:AJ486)-1)+1)</f>
        <v>0</v>
      </c>
      <c r="AK486" s="52" t="str">
        <f>INDEX('M04-S04'!$AV$16:$AV$198,2*(ROWS($AK$437:AK486)-1)+1)</f>
        <v/>
      </c>
      <c r="AL486" s="184">
        <f>IF(NOT(ISNUMBER(INDEX('M04-S04'!$AN$16:$AN$198,2*(ROWS($R$437:$R486)-1)+1))),INDEX('M04-S04'!$AD$16:$AD$198,2*(ROWS($AL$437:$AL486)-1)+1),"")</f>
        <v>0</v>
      </c>
      <c r="AM486" s="184" t="str">
        <f>IF(NOT(ISNUMBER(INDEX('M04-S04'!$AN$16:$AN$198,2*(ROWS($R$437:$R486)-1)+1))),INDEX('M04-S04'!$AF$16:$AF$198,2*(ROWS($AM$437:$AM486)-1)+1),"")</f>
        <v/>
      </c>
      <c r="AN486" s="52" t="str">
        <f>IF(NOT(ISNUMBER(INDEX('M04-S04'!$AN$16:$AN$198,2*(ROWS($R$437:$R486)-1)+1))),INDEX('M04-S04'!$AH$16:$AH$198,2*(ROWS($AN$437:$AN486)-1)+1),"")</f>
        <v/>
      </c>
      <c r="AO486" s="113"/>
      <c r="AU486"/>
    </row>
    <row r="487" spans="1:47">
      <c r="A487" s="130"/>
      <c r="B487" s="130"/>
      <c r="C487" s="130"/>
      <c r="D487" s="130"/>
      <c r="E487" s="130"/>
      <c r="F487" s="130"/>
      <c r="G487" s="130"/>
      <c r="H487" s="130"/>
      <c r="I487" s="130"/>
      <c r="J487" s="130"/>
      <c r="K487" s="130"/>
      <c r="L487" s="130"/>
      <c r="M487" s="458"/>
      <c r="N487" s="131"/>
      <c r="O487" s="458"/>
      <c r="P487" s="131"/>
      <c r="Q487" s="131"/>
      <c r="R487" s="130"/>
      <c r="S487" s="458"/>
      <c r="T487" s="131"/>
      <c r="U487" s="458"/>
      <c r="V487" s="131"/>
      <c r="W487" s="130"/>
      <c r="X487" s="131"/>
      <c r="Y487" s="131"/>
      <c r="Z487" s="130"/>
      <c r="AA487" s="130"/>
      <c r="AB487" s="130"/>
      <c r="AC487" s="130"/>
      <c r="AD487" s="130"/>
      <c r="AE487" s="458"/>
      <c r="AF487" s="458"/>
      <c r="AG487" s="130"/>
      <c r="AH487" s="130"/>
      <c r="AI487" s="130"/>
      <c r="AJ487" s="130"/>
      <c r="AK487" s="130"/>
      <c r="AL487" s="130"/>
      <c r="AM487" s="130"/>
      <c r="AN487" s="130"/>
      <c r="AO487" s="130"/>
      <c r="AU487"/>
    </row>
    <row r="488" spans="1:47">
      <c r="U488" s="23"/>
      <c r="AL488"/>
      <c r="AM488"/>
      <c r="AN488"/>
      <c r="AO488"/>
      <c r="AP488"/>
      <c r="AQ488"/>
      <c r="AR488"/>
      <c r="AS488"/>
      <c r="AT488"/>
      <c r="AU488"/>
    </row>
    <row r="489" spans="1:47">
      <c r="U489" s="23"/>
      <c r="AL489"/>
      <c r="AM489"/>
      <c r="AN489"/>
      <c r="AO489"/>
      <c r="AP489"/>
      <c r="AQ489"/>
      <c r="AR489"/>
      <c r="AS489"/>
      <c r="AT489"/>
      <c r="AU489"/>
    </row>
    <row r="490" spans="1:47">
      <c r="U490" s="23"/>
      <c r="AL490"/>
      <c r="AM490"/>
      <c r="AN490"/>
      <c r="AO490"/>
      <c r="AP490"/>
      <c r="AQ490"/>
      <c r="AR490"/>
      <c r="AS490"/>
      <c r="AT490"/>
      <c r="AU490"/>
    </row>
    <row r="491" spans="1:47">
      <c r="U491" s="23"/>
      <c r="AL491"/>
      <c r="AM491"/>
      <c r="AN491"/>
      <c r="AO491"/>
      <c r="AP491"/>
      <c r="AQ491"/>
      <c r="AR491"/>
      <c r="AS491"/>
      <c r="AT491"/>
      <c r="AU491"/>
    </row>
    <row r="492" spans="1:47">
      <c r="U492" s="23"/>
      <c r="AL492"/>
      <c r="AM492"/>
      <c r="AN492"/>
      <c r="AO492"/>
      <c r="AP492"/>
      <c r="AQ492"/>
      <c r="AR492"/>
      <c r="AS492"/>
      <c r="AT492"/>
      <c r="AU492"/>
    </row>
    <row r="493" spans="1:47">
      <c r="U493" s="23"/>
      <c r="AL493"/>
      <c r="AM493"/>
      <c r="AN493"/>
      <c r="AO493"/>
      <c r="AP493"/>
      <c r="AQ493"/>
      <c r="AR493"/>
      <c r="AS493"/>
      <c r="AT493"/>
      <c r="AU493"/>
    </row>
    <row r="494" spans="1:47">
      <c r="U494" s="23"/>
      <c r="AL494"/>
      <c r="AM494"/>
      <c r="AN494"/>
      <c r="AO494"/>
      <c r="AP494"/>
      <c r="AQ494"/>
      <c r="AR494"/>
      <c r="AS494"/>
      <c r="AT494"/>
      <c r="AU494"/>
    </row>
    <row r="495" spans="1:47">
      <c r="U495" s="23"/>
      <c r="AL495"/>
      <c r="AM495"/>
      <c r="AN495"/>
      <c r="AO495"/>
      <c r="AP495"/>
      <c r="AQ495"/>
      <c r="AR495"/>
      <c r="AS495"/>
      <c r="AT495"/>
      <c r="AU495"/>
    </row>
    <row r="496" spans="1:47">
      <c r="U496" s="23"/>
      <c r="AL496"/>
      <c r="AM496"/>
      <c r="AN496"/>
      <c r="AO496"/>
      <c r="AP496"/>
      <c r="AQ496"/>
      <c r="AR496"/>
      <c r="AS496"/>
      <c r="AT496"/>
      <c r="AU496"/>
    </row>
    <row r="497" spans="21:47">
      <c r="U497" s="23"/>
      <c r="AL497"/>
      <c r="AM497"/>
      <c r="AN497"/>
      <c r="AO497"/>
      <c r="AP497"/>
      <c r="AQ497"/>
      <c r="AR497"/>
      <c r="AS497"/>
      <c r="AT497"/>
      <c r="AU497"/>
    </row>
    <row r="498" spans="21:47">
      <c r="U498" s="23"/>
      <c r="AL498"/>
      <c r="AM498"/>
      <c r="AN498"/>
      <c r="AO498"/>
      <c r="AP498"/>
      <c r="AQ498"/>
      <c r="AR498"/>
      <c r="AS498"/>
      <c r="AT498"/>
      <c r="AU498"/>
    </row>
    <row r="499" spans="21:47">
      <c r="U499" s="23"/>
      <c r="AL499"/>
      <c r="AM499"/>
      <c r="AN499"/>
      <c r="AO499"/>
      <c r="AP499"/>
      <c r="AQ499"/>
      <c r="AR499"/>
      <c r="AS499"/>
      <c r="AT499"/>
      <c r="AU499"/>
    </row>
    <row r="500" spans="21:47">
      <c r="U500" s="23"/>
      <c r="AL500"/>
      <c r="AM500"/>
      <c r="AN500"/>
      <c r="AO500"/>
      <c r="AP500"/>
      <c r="AQ500"/>
      <c r="AR500"/>
      <c r="AS500"/>
      <c r="AT500"/>
      <c r="AU500"/>
    </row>
    <row r="501" spans="21:47">
      <c r="U501" s="23"/>
      <c r="AL501"/>
      <c r="AM501"/>
      <c r="AN501"/>
      <c r="AO501"/>
      <c r="AP501"/>
      <c r="AQ501"/>
      <c r="AR501"/>
      <c r="AS501"/>
      <c r="AT501"/>
      <c r="AU501"/>
    </row>
    <row r="502" spans="21:47">
      <c r="U502" s="23"/>
      <c r="AL502"/>
      <c r="AM502"/>
      <c r="AN502"/>
      <c r="AO502"/>
      <c r="AP502"/>
      <c r="AQ502"/>
      <c r="AR502"/>
      <c r="AS502"/>
      <c r="AT502"/>
      <c r="AU502"/>
    </row>
    <row r="503" spans="21:47">
      <c r="U503" s="23"/>
      <c r="AL503"/>
      <c r="AM503"/>
      <c r="AN503"/>
      <c r="AO503"/>
      <c r="AP503"/>
      <c r="AQ503"/>
      <c r="AR503"/>
      <c r="AS503"/>
      <c r="AT503"/>
      <c r="AU503"/>
    </row>
    <row r="504" spans="21:47">
      <c r="U504" s="23"/>
      <c r="AL504"/>
      <c r="AM504"/>
      <c r="AN504"/>
      <c r="AO504"/>
      <c r="AP504"/>
      <c r="AQ504"/>
      <c r="AR504"/>
      <c r="AS504"/>
      <c r="AT504"/>
      <c r="AU504"/>
    </row>
    <row r="505" spans="21:47">
      <c r="U505" s="23"/>
      <c r="AL505"/>
      <c r="AM505"/>
      <c r="AN505"/>
      <c r="AO505"/>
      <c r="AP505"/>
      <c r="AQ505"/>
      <c r="AR505"/>
      <c r="AS505"/>
      <c r="AT505"/>
      <c r="AU505"/>
    </row>
    <row r="506" spans="21:47">
      <c r="U506" s="23"/>
      <c r="AL506"/>
      <c r="AM506"/>
      <c r="AN506"/>
      <c r="AO506"/>
      <c r="AP506"/>
      <c r="AQ506"/>
      <c r="AR506"/>
      <c r="AS506"/>
      <c r="AT506"/>
      <c r="AU506"/>
    </row>
    <row r="507" spans="21:47">
      <c r="U507" s="23"/>
      <c r="AL507"/>
      <c r="AM507"/>
      <c r="AN507"/>
      <c r="AO507"/>
      <c r="AP507"/>
      <c r="AQ507"/>
      <c r="AR507"/>
      <c r="AS507"/>
      <c r="AT507"/>
      <c r="AU507"/>
    </row>
    <row r="508" spans="21:47">
      <c r="U508" s="23"/>
      <c r="AL508"/>
      <c r="AM508"/>
      <c r="AN508"/>
      <c r="AO508"/>
      <c r="AP508"/>
      <c r="AQ508"/>
      <c r="AR508"/>
      <c r="AS508"/>
      <c r="AT508"/>
      <c r="AU508"/>
    </row>
    <row r="509" spans="21:47">
      <c r="U509" s="23"/>
      <c r="AL509"/>
      <c r="AM509"/>
      <c r="AN509"/>
      <c r="AO509"/>
      <c r="AP509"/>
      <c r="AQ509"/>
      <c r="AR509"/>
      <c r="AS509"/>
      <c r="AT509"/>
      <c r="AU509"/>
    </row>
    <row r="510" spans="21:47">
      <c r="U510" s="23"/>
      <c r="AL510"/>
      <c r="AM510"/>
      <c r="AN510"/>
      <c r="AO510"/>
      <c r="AP510"/>
      <c r="AQ510"/>
      <c r="AR510"/>
      <c r="AS510"/>
      <c r="AT510"/>
      <c r="AU510"/>
    </row>
    <row r="511" spans="21:47">
      <c r="U511" s="23"/>
      <c r="AL511"/>
      <c r="AM511"/>
      <c r="AN511"/>
      <c r="AO511"/>
      <c r="AP511"/>
      <c r="AQ511"/>
      <c r="AR511"/>
      <c r="AS511"/>
      <c r="AT511"/>
      <c r="AU511"/>
    </row>
    <row r="512" spans="21:47">
      <c r="U512" s="23"/>
      <c r="AL512"/>
      <c r="AM512"/>
      <c r="AN512"/>
      <c r="AO512"/>
      <c r="AP512"/>
      <c r="AQ512"/>
      <c r="AR512"/>
      <c r="AS512"/>
      <c r="AT512"/>
      <c r="AU512"/>
    </row>
    <row r="513" spans="21:47">
      <c r="U513" s="23"/>
      <c r="AL513"/>
      <c r="AM513"/>
      <c r="AN513"/>
      <c r="AO513"/>
      <c r="AP513"/>
      <c r="AQ513"/>
      <c r="AR513"/>
      <c r="AS513"/>
      <c r="AT513"/>
      <c r="AU513"/>
    </row>
    <row r="514" spans="21:47">
      <c r="U514" s="23"/>
      <c r="AL514"/>
      <c r="AM514"/>
      <c r="AN514"/>
      <c r="AO514"/>
      <c r="AP514"/>
      <c r="AQ514"/>
      <c r="AR514"/>
      <c r="AS514"/>
      <c r="AT514"/>
      <c r="AU514"/>
    </row>
    <row r="515" spans="21:47">
      <c r="U515" s="23"/>
      <c r="AL515"/>
      <c r="AM515"/>
      <c r="AN515"/>
      <c r="AO515"/>
      <c r="AP515"/>
      <c r="AQ515"/>
      <c r="AR515"/>
      <c r="AS515"/>
      <c r="AT515"/>
      <c r="AU515"/>
    </row>
    <row r="516" spans="21:47">
      <c r="U516" s="23"/>
      <c r="AL516"/>
      <c r="AM516"/>
      <c r="AN516"/>
      <c r="AO516"/>
      <c r="AP516"/>
      <c r="AQ516"/>
      <c r="AR516"/>
      <c r="AS516"/>
      <c r="AT516"/>
      <c r="AU516"/>
    </row>
    <row r="517" spans="21:47">
      <c r="U517" s="23"/>
      <c r="AL517"/>
      <c r="AM517"/>
      <c r="AN517"/>
      <c r="AO517"/>
      <c r="AP517"/>
      <c r="AQ517"/>
      <c r="AR517"/>
      <c r="AS517"/>
      <c r="AT517"/>
      <c r="AU517"/>
    </row>
    <row r="518" spans="21:47">
      <c r="U518" s="23"/>
      <c r="AL518"/>
      <c r="AM518"/>
      <c r="AN518"/>
      <c r="AO518"/>
      <c r="AP518"/>
      <c r="AQ518"/>
      <c r="AR518"/>
      <c r="AS518"/>
      <c r="AT518"/>
      <c r="AU518"/>
    </row>
    <row r="519" spans="21:47">
      <c r="U519" s="23"/>
      <c r="AL519"/>
      <c r="AM519"/>
      <c r="AN519"/>
      <c r="AO519"/>
      <c r="AP519"/>
      <c r="AQ519"/>
      <c r="AR519"/>
      <c r="AS519"/>
      <c r="AT519"/>
      <c r="AU519"/>
    </row>
    <row r="520" spans="21:47">
      <c r="U520" s="23"/>
      <c r="AL520"/>
      <c r="AM520"/>
      <c r="AN520"/>
      <c r="AO520"/>
      <c r="AP520"/>
      <c r="AQ520"/>
      <c r="AR520"/>
      <c r="AS520"/>
      <c r="AT520"/>
      <c r="AU520"/>
    </row>
    <row r="521" spans="21:47">
      <c r="U521" s="23"/>
      <c r="AL521"/>
      <c r="AM521"/>
      <c r="AN521"/>
      <c r="AO521"/>
      <c r="AP521"/>
      <c r="AQ521"/>
      <c r="AR521"/>
      <c r="AS521"/>
      <c r="AT521"/>
      <c r="AU521"/>
    </row>
    <row r="522" spans="21:47">
      <c r="U522" s="23"/>
      <c r="AL522"/>
      <c r="AM522"/>
      <c r="AN522"/>
      <c r="AO522"/>
      <c r="AP522"/>
      <c r="AQ522"/>
      <c r="AR522"/>
      <c r="AS522"/>
      <c r="AT522"/>
      <c r="AU522"/>
    </row>
    <row r="523" spans="21:47">
      <c r="U523" s="23"/>
      <c r="AL523"/>
      <c r="AM523"/>
      <c r="AN523"/>
      <c r="AO523"/>
      <c r="AP523"/>
      <c r="AQ523"/>
      <c r="AR523"/>
      <c r="AS523"/>
      <c r="AT523"/>
      <c r="AU523"/>
    </row>
    <row r="524" spans="21:47">
      <c r="U524" s="23"/>
      <c r="AL524"/>
      <c r="AM524"/>
      <c r="AN524"/>
      <c r="AO524"/>
      <c r="AP524"/>
      <c r="AQ524"/>
      <c r="AR524"/>
      <c r="AS524"/>
      <c r="AT524"/>
      <c r="AU524"/>
    </row>
    <row r="525" spans="21:47">
      <c r="U525" s="23"/>
      <c r="AL525"/>
      <c r="AM525"/>
      <c r="AN525"/>
      <c r="AO525"/>
      <c r="AP525"/>
      <c r="AQ525"/>
      <c r="AR525"/>
      <c r="AS525"/>
      <c r="AT525"/>
      <c r="AU525"/>
    </row>
    <row r="526" spans="21:47">
      <c r="U526" s="23"/>
      <c r="AL526"/>
      <c r="AM526"/>
      <c r="AN526"/>
      <c r="AO526"/>
      <c r="AP526"/>
      <c r="AQ526"/>
      <c r="AR526"/>
      <c r="AS526"/>
      <c r="AT526"/>
      <c r="AU526"/>
    </row>
    <row r="527" spans="21:47">
      <c r="U527" s="23"/>
      <c r="AL527"/>
      <c r="AM527"/>
      <c r="AN527"/>
      <c r="AO527"/>
      <c r="AP527"/>
      <c r="AQ527"/>
      <c r="AR527"/>
      <c r="AS527"/>
      <c r="AT527"/>
      <c r="AU527"/>
    </row>
    <row r="528" spans="21:47">
      <c r="U528" s="23"/>
      <c r="AL528"/>
      <c r="AM528"/>
      <c r="AN528"/>
      <c r="AO528"/>
      <c r="AP528"/>
      <c r="AQ528"/>
      <c r="AR528"/>
      <c r="AS528"/>
      <c r="AT528"/>
      <c r="AU528"/>
    </row>
    <row r="529" spans="21:47">
      <c r="U529" s="23"/>
      <c r="AL529"/>
      <c r="AM529"/>
      <c r="AN529"/>
      <c r="AO529"/>
      <c r="AP529"/>
      <c r="AQ529"/>
      <c r="AR529"/>
      <c r="AS529"/>
      <c r="AT529"/>
      <c r="AU529"/>
    </row>
    <row r="530" spans="21:47">
      <c r="U530" s="23"/>
      <c r="AL530"/>
      <c r="AM530"/>
      <c r="AN530"/>
      <c r="AO530"/>
      <c r="AP530"/>
      <c r="AQ530"/>
      <c r="AR530"/>
      <c r="AS530"/>
      <c r="AT530"/>
      <c r="AU530"/>
    </row>
    <row r="531" spans="21:47">
      <c r="U531" s="23"/>
      <c r="AL531"/>
      <c r="AM531"/>
      <c r="AN531"/>
      <c r="AO531"/>
      <c r="AP531"/>
      <c r="AQ531"/>
      <c r="AR531"/>
      <c r="AS531"/>
      <c r="AT531"/>
      <c r="AU531"/>
    </row>
    <row r="532" spans="21:47">
      <c r="U532" s="23"/>
      <c r="AL532"/>
      <c r="AM532"/>
      <c r="AN532"/>
      <c r="AO532"/>
      <c r="AP532"/>
      <c r="AQ532"/>
      <c r="AR532"/>
      <c r="AS532"/>
      <c r="AT532"/>
      <c r="AU532"/>
    </row>
    <row r="533" spans="21:47">
      <c r="U533" s="23"/>
    </row>
    <row r="534" spans="21:47">
      <c r="U534" s="23"/>
    </row>
    <row r="535" spans="21:47">
      <c r="U535" s="23"/>
    </row>
    <row r="536" spans="21:47">
      <c r="U536" s="23"/>
    </row>
    <row r="537" spans="21:47">
      <c r="U537" s="23"/>
    </row>
    <row r="538" spans="21:47">
      <c r="U538" s="23"/>
    </row>
    <row r="539" spans="21:47">
      <c r="U539" s="23"/>
    </row>
    <row r="540" spans="21:47">
      <c r="U540" s="23"/>
    </row>
    <row r="541" spans="21:47">
      <c r="U541" s="23"/>
    </row>
    <row r="542" spans="21:47">
      <c r="U542" s="23"/>
    </row>
    <row r="543" spans="21:47">
      <c r="U543" s="23"/>
    </row>
    <row r="544" spans="21:47">
      <c r="U544" s="23"/>
    </row>
    <row r="545" spans="21:21">
      <c r="U545" s="23"/>
    </row>
    <row r="546" spans="21:21">
      <c r="U546" s="23"/>
    </row>
    <row r="547" spans="21:21">
      <c r="U547" s="23"/>
    </row>
    <row r="548" spans="21:21">
      <c r="U548" s="23"/>
    </row>
    <row r="549" spans="21:21">
      <c r="U549" s="23"/>
    </row>
    <row r="550" spans="21:21">
      <c r="U550" s="23"/>
    </row>
    <row r="551" spans="21:21">
      <c r="U551" s="23"/>
    </row>
    <row r="552" spans="21:21">
      <c r="U552" s="23"/>
    </row>
    <row r="553" spans="21:21">
      <c r="U553" s="23"/>
    </row>
    <row r="554" spans="21:21">
      <c r="U554" s="23"/>
    </row>
    <row r="555" spans="21:21">
      <c r="U555" s="23"/>
    </row>
    <row r="556" spans="21:21">
      <c r="U556" s="23"/>
    </row>
    <row r="557" spans="21:21">
      <c r="U557" s="23"/>
    </row>
    <row r="558" spans="21:21">
      <c r="U558" s="23"/>
    </row>
    <row r="559" spans="21:21">
      <c r="U559" s="23"/>
    </row>
    <row r="560" spans="21:21">
      <c r="U560" s="23"/>
    </row>
    <row r="561" spans="21:21">
      <c r="U561" s="23"/>
    </row>
    <row r="562" spans="21:21">
      <c r="U562" s="23"/>
    </row>
    <row r="563" spans="21:21">
      <c r="U563" s="23"/>
    </row>
    <row r="564" spans="21:21">
      <c r="U564" s="23"/>
    </row>
    <row r="565" spans="21:21">
      <c r="U565" s="23"/>
    </row>
    <row r="566" spans="21:21">
      <c r="U566" s="23"/>
    </row>
    <row r="567" spans="21:21">
      <c r="U567" s="23"/>
    </row>
    <row r="568" spans="21:21">
      <c r="U568" s="23"/>
    </row>
    <row r="569" spans="21:21">
      <c r="U569" s="23"/>
    </row>
    <row r="570" spans="21:21">
      <c r="U570" s="23"/>
    </row>
    <row r="571" spans="21:21">
      <c r="U571" s="23"/>
    </row>
    <row r="572" spans="21:21">
      <c r="U572" s="23"/>
    </row>
    <row r="573" spans="21:21">
      <c r="U573" s="23"/>
    </row>
    <row r="574" spans="21:21">
      <c r="U574" s="23"/>
    </row>
    <row r="575" spans="21:21">
      <c r="U575" s="23"/>
    </row>
    <row r="576" spans="21:21">
      <c r="U576" s="23"/>
    </row>
    <row r="577" spans="21:21">
      <c r="U577" s="23"/>
    </row>
    <row r="578" spans="21:21">
      <c r="U578" s="23"/>
    </row>
    <row r="579" spans="21:21">
      <c r="U579" s="23"/>
    </row>
    <row r="580" spans="21:21">
      <c r="U580" s="23"/>
    </row>
    <row r="581" spans="21:21">
      <c r="U581" s="23"/>
    </row>
    <row r="582" spans="21:21">
      <c r="U582" s="23"/>
    </row>
    <row r="583" spans="21:21">
      <c r="U583" s="23"/>
    </row>
    <row r="584" spans="21:21">
      <c r="U584" s="23"/>
    </row>
    <row r="585" spans="21:21">
      <c r="U585" s="23"/>
    </row>
    <row r="586" spans="21:21">
      <c r="U586" s="23"/>
    </row>
    <row r="587" spans="21:21">
      <c r="U587" s="23"/>
    </row>
    <row r="588" spans="21:21">
      <c r="U588" s="23"/>
    </row>
    <row r="589" spans="21:21">
      <c r="U589" s="23"/>
    </row>
    <row r="590" spans="21:21">
      <c r="U590" s="23"/>
    </row>
    <row r="591" spans="21:21">
      <c r="U591" s="23"/>
    </row>
    <row r="592" spans="21:21">
      <c r="U592" s="23"/>
    </row>
    <row r="593" spans="21:21">
      <c r="U593" s="23"/>
    </row>
    <row r="594" spans="21:21">
      <c r="U594" s="23"/>
    </row>
    <row r="595" spans="21:21">
      <c r="U595" s="23"/>
    </row>
    <row r="596" spans="21:21">
      <c r="U596" s="23"/>
    </row>
    <row r="597" spans="21:21">
      <c r="U597" s="23"/>
    </row>
    <row r="598" spans="21:21">
      <c r="U598" s="23"/>
    </row>
    <row r="599" spans="21:21">
      <c r="U599" s="23"/>
    </row>
    <row r="600" spans="21:21">
      <c r="U600" s="23"/>
    </row>
    <row r="601" spans="21:21">
      <c r="U601" s="23"/>
    </row>
    <row r="602" spans="21:21">
      <c r="U602" s="23"/>
    </row>
    <row r="603" spans="21:21">
      <c r="U603" s="23"/>
    </row>
    <row r="604" spans="21:21">
      <c r="U604" s="23"/>
    </row>
    <row r="605" spans="21:21">
      <c r="U605" s="23"/>
    </row>
    <row r="606" spans="21:21">
      <c r="U606" s="23"/>
    </row>
    <row r="607" spans="21:21">
      <c r="U607" s="23"/>
    </row>
    <row r="608" spans="21:21">
      <c r="U608" s="23"/>
    </row>
    <row r="609" spans="21:21">
      <c r="U609" s="23"/>
    </row>
    <row r="610" spans="21:21">
      <c r="U610" s="23"/>
    </row>
    <row r="611" spans="21:21">
      <c r="U611" s="23"/>
    </row>
    <row r="612" spans="21:21">
      <c r="U612" s="23"/>
    </row>
    <row r="613" spans="21:21">
      <c r="U613" s="23"/>
    </row>
    <row r="614" spans="21:21">
      <c r="U614" s="23"/>
    </row>
    <row r="615" spans="21:21">
      <c r="U615" s="23"/>
    </row>
    <row r="616" spans="21:21">
      <c r="U616" s="23"/>
    </row>
    <row r="617" spans="21:21">
      <c r="U617" s="23"/>
    </row>
    <row r="618" spans="21:21">
      <c r="U618" s="23"/>
    </row>
    <row r="619" spans="21:21">
      <c r="U619" s="23"/>
    </row>
    <row r="620" spans="21:21">
      <c r="U620" s="23"/>
    </row>
    <row r="621" spans="21:21">
      <c r="U621" s="23"/>
    </row>
    <row r="622" spans="21:21" ht="12.75" customHeight="1">
      <c r="U622" s="23"/>
    </row>
    <row r="623" spans="21:21">
      <c r="U623" s="23"/>
    </row>
    <row r="624" spans="21:21">
      <c r="U624" s="23"/>
    </row>
    <row r="625" spans="21:21">
      <c r="U625" s="23"/>
    </row>
    <row r="626" spans="21:21">
      <c r="U626" s="23"/>
    </row>
    <row r="627" spans="21:21">
      <c r="U627" s="23"/>
    </row>
    <row r="628" spans="21:21">
      <c r="U628" s="23"/>
    </row>
    <row r="629" spans="21:21">
      <c r="U629" s="23"/>
    </row>
    <row r="630" spans="21:21">
      <c r="U630" s="23"/>
    </row>
    <row r="631" spans="21:21">
      <c r="U631" s="23"/>
    </row>
    <row r="632" spans="21:21">
      <c r="U632" s="23"/>
    </row>
    <row r="633" spans="21:21">
      <c r="U633" s="23"/>
    </row>
    <row r="634" spans="21:21">
      <c r="U634" s="23"/>
    </row>
    <row r="635" spans="21:21">
      <c r="U635" s="23"/>
    </row>
    <row r="636" spans="21:21">
      <c r="U636" s="23"/>
    </row>
    <row r="637" spans="21:21">
      <c r="U637" s="23"/>
    </row>
    <row r="638" spans="21:21">
      <c r="U638" s="23"/>
    </row>
    <row r="639" spans="21:21">
      <c r="U639" s="23"/>
    </row>
    <row r="640" spans="21:21">
      <c r="U640" s="23"/>
    </row>
    <row r="641" spans="21:21">
      <c r="U641" s="23"/>
    </row>
    <row r="642" spans="21:21">
      <c r="U642" s="23"/>
    </row>
    <row r="643" spans="21:21">
      <c r="U643" s="23"/>
    </row>
    <row r="644" spans="21:21">
      <c r="U644" s="23"/>
    </row>
    <row r="645" spans="21:21">
      <c r="U645" s="23"/>
    </row>
    <row r="646" spans="21:21">
      <c r="U646" s="23"/>
    </row>
    <row r="647" spans="21:21">
      <c r="U647" s="23"/>
    </row>
    <row r="648" spans="21:21">
      <c r="U648" s="23"/>
    </row>
    <row r="649" spans="21:21">
      <c r="U649" s="23"/>
    </row>
    <row r="650" spans="21:21">
      <c r="U650" s="23"/>
    </row>
    <row r="651" spans="21:21">
      <c r="U651" s="23"/>
    </row>
    <row r="652" spans="21:21">
      <c r="U652" s="23"/>
    </row>
    <row r="653" spans="21:21">
      <c r="U653" s="23"/>
    </row>
    <row r="654" spans="21:21">
      <c r="U654" s="23"/>
    </row>
    <row r="655" spans="21:21">
      <c r="U655" s="23"/>
    </row>
    <row r="656" spans="21:21">
      <c r="U656" s="23"/>
    </row>
    <row r="657" spans="21:21">
      <c r="U657" s="23"/>
    </row>
    <row r="658" spans="21:21">
      <c r="U658" s="23"/>
    </row>
    <row r="659" spans="21:21">
      <c r="U659" s="23"/>
    </row>
    <row r="660" spans="21:21">
      <c r="U660" s="23"/>
    </row>
    <row r="661" spans="21:21">
      <c r="U661" s="23"/>
    </row>
    <row r="662" spans="21:21">
      <c r="U662" s="23"/>
    </row>
    <row r="663" spans="21:21">
      <c r="U663" s="23"/>
    </row>
    <row r="664" spans="21:21">
      <c r="U664" s="23"/>
    </row>
    <row r="665" spans="21:21">
      <c r="U665" s="23"/>
    </row>
    <row r="666" spans="21:21">
      <c r="U666" s="23"/>
    </row>
    <row r="667" spans="21:21">
      <c r="U667" s="23"/>
    </row>
    <row r="668" spans="21:21">
      <c r="U668" s="23"/>
    </row>
    <row r="669" spans="21:21">
      <c r="U669" s="23"/>
    </row>
    <row r="670" spans="21:21">
      <c r="U670" s="23"/>
    </row>
    <row r="671" spans="21:21">
      <c r="U671" s="23"/>
    </row>
    <row r="672" spans="21:21">
      <c r="U672" s="23"/>
    </row>
    <row r="673" spans="21:21">
      <c r="U673" s="23"/>
    </row>
    <row r="674" spans="21:21">
      <c r="U674" s="23"/>
    </row>
    <row r="675" spans="21:21">
      <c r="U675" s="23"/>
    </row>
    <row r="676" spans="21:21">
      <c r="U676" s="23"/>
    </row>
    <row r="677" spans="21:21">
      <c r="U677" s="23"/>
    </row>
    <row r="678" spans="21:21">
      <c r="U678" s="23"/>
    </row>
    <row r="679" spans="21:21">
      <c r="U679" s="23"/>
    </row>
    <row r="680" spans="21:21">
      <c r="U680" s="23"/>
    </row>
    <row r="681" spans="21:21">
      <c r="U681" s="23"/>
    </row>
    <row r="682" spans="21:21">
      <c r="U682" s="23"/>
    </row>
    <row r="683" spans="21:21">
      <c r="U683" s="23"/>
    </row>
    <row r="684" spans="21:21">
      <c r="U684" s="23"/>
    </row>
    <row r="685" spans="21:21">
      <c r="U685" s="23"/>
    </row>
    <row r="686" spans="21:21">
      <c r="U686" s="23"/>
    </row>
    <row r="687" spans="21:21">
      <c r="U687" s="23"/>
    </row>
    <row r="688" spans="21:21">
      <c r="U688" s="23"/>
    </row>
    <row r="689" spans="21:21">
      <c r="U689" s="23"/>
    </row>
    <row r="690" spans="21:21">
      <c r="U690" s="23"/>
    </row>
    <row r="691" spans="21:21">
      <c r="U691" s="23"/>
    </row>
    <row r="692" spans="21:21">
      <c r="U692" s="23"/>
    </row>
    <row r="693" spans="21:21">
      <c r="U693" s="23"/>
    </row>
    <row r="694" spans="21:21">
      <c r="U694" s="23"/>
    </row>
    <row r="695" spans="21:21">
      <c r="U695" s="23"/>
    </row>
    <row r="696" spans="21:21">
      <c r="U696" s="23"/>
    </row>
    <row r="697" spans="21:21">
      <c r="U697" s="23"/>
    </row>
    <row r="698" spans="21:21">
      <c r="U698" s="23"/>
    </row>
    <row r="699" spans="21:21">
      <c r="U699" s="23"/>
    </row>
    <row r="700" spans="21:21">
      <c r="U700" s="23"/>
    </row>
    <row r="701" spans="21:21">
      <c r="U701" s="23"/>
    </row>
    <row r="702" spans="21:21">
      <c r="U702" s="23"/>
    </row>
    <row r="703" spans="21:21">
      <c r="U703" s="23"/>
    </row>
    <row r="704" spans="21:21">
      <c r="U704" s="23"/>
    </row>
    <row r="705" spans="21:21">
      <c r="U705" s="23"/>
    </row>
    <row r="706" spans="21:21">
      <c r="U706" s="23"/>
    </row>
    <row r="707" spans="21:21">
      <c r="U707" s="23"/>
    </row>
    <row r="708" spans="21:21">
      <c r="U708" s="23"/>
    </row>
    <row r="709" spans="21:21">
      <c r="U709" s="23"/>
    </row>
    <row r="710" spans="21:21">
      <c r="U710" s="23"/>
    </row>
    <row r="711" spans="21:21">
      <c r="U711" s="23"/>
    </row>
    <row r="712" spans="21:21">
      <c r="U712" s="23"/>
    </row>
    <row r="713" spans="21:21">
      <c r="U713" s="23"/>
    </row>
    <row r="714" spans="21:21">
      <c r="U714" s="23"/>
    </row>
    <row r="715" spans="21:21">
      <c r="U715" s="23"/>
    </row>
    <row r="716" spans="21:21">
      <c r="U716" s="23"/>
    </row>
    <row r="717" spans="21:21">
      <c r="U717" s="23"/>
    </row>
    <row r="718" spans="21:21">
      <c r="U718" s="23"/>
    </row>
    <row r="719" spans="21:21">
      <c r="U719" s="23"/>
    </row>
    <row r="720" spans="21:21">
      <c r="U720" s="23"/>
    </row>
    <row r="721" spans="21:21">
      <c r="U721" s="23"/>
    </row>
    <row r="722" spans="21:21">
      <c r="U722" s="23"/>
    </row>
    <row r="723" spans="21:21">
      <c r="U723" s="23"/>
    </row>
    <row r="724" spans="21:21">
      <c r="U724" s="23"/>
    </row>
    <row r="725" spans="21:21">
      <c r="U725" s="23"/>
    </row>
    <row r="726" spans="21:21">
      <c r="U726" s="23"/>
    </row>
    <row r="727" spans="21:21">
      <c r="U727" s="23"/>
    </row>
    <row r="728" spans="21:21">
      <c r="U728" s="23"/>
    </row>
    <row r="729" spans="21:21">
      <c r="U729" s="23"/>
    </row>
    <row r="730" spans="21:21">
      <c r="U730" s="23"/>
    </row>
    <row r="731" spans="21:21">
      <c r="U731" s="23"/>
    </row>
    <row r="732" spans="21:21">
      <c r="U732" s="23"/>
    </row>
    <row r="733" spans="21:21">
      <c r="U733" s="23"/>
    </row>
    <row r="734" spans="21:21">
      <c r="U734" s="23"/>
    </row>
    <row r="735" spans="21:21">
      <c r="U735" s="23"/>
    </row>
    <row r="736" spans="21:21">
      <c r="U736" s="23"/>
    </row>
    <row r="737" spans="21:21">
      <c r="U737" s="23"/>
    </row>
    <row r="738" spans="21:21">
      <c r="U738" s="23"/>
    </row>
    <row r="739" spans="21:21">
      <c r="U739" s="23"/>
    </row>
    <row r="740" spans="21:21">
      <c r="U740" s="23"/>
    </row>
    <row r="741" spans="21:21">
      <c r="U741" s="23"/>
    </row>
    <row r="742" spans="21:21">
      <c r="U742" s="23"/>
    </row>
    <row r="743" spans="21:21">
      <c r="U743" s="23"/>
    </row>
    <row r="744" spans="21:21">
      <c r="U744" s="23"/>
    </row>
    <row r="745" spans="21:21">
      <c r="U745" s="23"/>
    </row>
    <row r="746" spans="21:21">
      <c r="U746" s="23"/>
    </row>
    <row r="747" spans="21:21">
      <c r="U747" s="23"/>
    </row>
    <row r="748" spans="21:21">
      <c r="U748" s="23"/>
    </row>
    <row r="749" spans="21:21">
      <c r="U749" s="23"/>
    </row>
    <row r="750" spans="21:21">
      <c r="U750" s="23"/>
    </row>
    <row r="751" spans="21:21">
      <c r="U751" s="23"/>
    </row>
    <row r="752" spans="21:21">
      <c r="U752" s="23"/>
    </row>
    <row r="753" spans="21:21">
      <c r="U753" s="23"/>
    </row>
    <row r="754" spans="21:21">
      <c r="U754" s="23"/>
    </row>
    <row r="755" spans="21:21">
      <c r="U755" s="23"/>
    </row>
    <row r="756" spans="21:21">
      <c r="U756" s="23"/>
    </row>
    <row r="757" spans="21:21">
      <c r="U757" s="23"/>
    </row>
    <row r="758" spans="21:21">
      <c r="U758" s="23"/>
    </row>
    <row r="759" spans="21:21">
      <c r="U759" s="23"/>
    </row>
    <row r="760" spans="21:21">
      <c r="U760" s="23"/>
    </row>
    <row r="761" spans="21:21">
      <c r="U761" s="23"/>
    </row>
    <row r="762" spans="21:21">
      <c r="U762" s="23"/>
    </row>
    <row r="763" spans="21:21">
      <c r="U763" s="23"/>
    </row>
    <row r="764" spans="21:21">
      <c r="U764" s="23"/>
    </row>
    <row r="765" spans="21:21">
      <c r="U765" s="23"/>
    </row>
    <row r="766" spans="21:21">
      <c r="U766" s="23"/>
    </row>
    <row r="767" spans="21:21">
      <c r="U767" s="23"/>
    </row>
    <row r="768" spans="21:21">
      <c r="U768" s="23"/>
    </row>
  </sheetData>
  <sheetProtection algorithmName="SHA-512" hashValue="FqsrLEL8NGPtq5EQ+K24uit2Y09KdJLQRDq76pRF7ZME3MazEznxvWLWsduwMUMj7VtFMOQML6EzxqIt0UmFjQ==" saltValue="71l/677JvxqCRjb9umxDVw==" spinCount="100000" sheet="1" objects="1" scenarios="1"/>
  <hyperlinks>
    <hyperlink ref="A54" location="'M03-S02'!A1" display="P-Electric Lighting Controls" xr:uid="{00000000-0004-0000-0400-000000000000}"/>
    <hyperlink ref="A105" location="'M03-S03'!A1" display="P-Electric Refrigeration" xr:uid="{00000000-0004-0000-0400-000001000000}"/>
    <hyperlink ref="A156" location="'M03-S04'!A1" display="P-Electric Kitchen" xr:uid="{00000000-0004-0000-0400-000002000000}"/>
    <hyperlink ref="A173" location="'M03-S05'!A1" display="P-Electric Motor" xr:uid="{00000000-0004-0000-0400-000003000000}"/>
    <hyperlink ref="A308" location="'M04-S01'!A1" display="NP-Electric Light" xr:uid="{00000000-0004-0000-0400-000004000000}"/>
    <hyperlink ref="A359" location="'M04-S02'!A1" display="NP-Electric" xr:uid="{00000000-0004-0000-0400-000005000000}"/>
    <hyperlink ref="A436" location="'M04-S04'!A1" display="NP-Gas" xr:uid="{00000000-0004-0000-0400-000007000000}"/>
    <hyperlink ref="A385" location="'M04-S03'!A1" display="CM-Lighting Controls" xr:uid="{00000000-0004-0000-0400-000008000000}"/>
    <hyperlink ref="A3" location="'M03-S01'!A1" display="P-Electric Lighting" xr:uid="{00000000-0004-0000-0400-000009000000}"/>
    <hyperlink ref="A214" location="'M03-S06'!A1" display="'M03-S06'!A1" xr:uid="{00000000-0004-0000-0400-000006000000}"/>
  </hyperlinks>
  <pageMargins left="0.7" right="0.7" top="0.75" bottom="0.75" header="0.3" footer="0.3"/>
  <pageSetup orientation="portrait" r:id="rId1"/>
  <ignoredErrors>
    <ignoredError sqref="A105 A156 A214 A308 A359 A385 A436 A3 A54"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2">
    <tabColor theme="7" tint="0.39997558519241921"/>
  </sheetPr>
  <dimension ref="A3:AU371"/>
  <sheetViews>
    <sheetView topLeftCell="A24" zoomScale="85" zoomScaleNormal="85" workbookViewId="0">
      <selection activeCell="B40" sqref="B40"/>
    </sheetView>
  </sheetViews>
  <sheetFormatPr defaultRowHeight="15"/>
  <cols>
    <col min="1" max="1" width="23.85546875" customWidth="1"/>
    <col min="2" max="2" width="28" bestFit="1" customWidth="1"/>
    <col min="6" max="6" width="9.5703125" customWidth="1"/>
    <col min="10" max="10" width="27.42578125" customWidth="1"/>
    <col min="11" max="11" width="26.42578125" customWidth="1"/>
    <col min="12" max="12" width="21.85546875" customWidth="1"/>
    <col min="13" max="13" width="19.85546875" hidden="1" customWidth="1"/>
    <col min="14" max="14" width="17" customWidth="1"/>
    <col min="15" max="15" width="15.28515625" customWidth="1"/>
    <col min="16" max="19" width="16.28515625" customWidth="1"/>
    <col min="20" max="20" width="11.5703125" customWidth="1"/>
    <col min="22" max="22" width="33" customWidth="1"/>
    <col min="23" max="23" width="21.140625" customWidth="1"/>
    <col min="24" max="24" width="32.140625" customWidth="1"/>
    <col min="25" max="25" width="42" customWidth="1"/>
    <col min="26" max="26" width="42.28515625" customWidth="1"/>
    <col min="41" max="41" width="41.42578125" customWidth="1"/>
    <col min="42" max="42" width="65" bestFit="1" customWidth="1"/>
  </cols>
  <sheetData>
    <row r="3" spans="1:47">
      <c r="AO3" t="s">
        <v>313</v>
      </c>
      <c r="AP3" t="s">
        <v>1328</v>
      </c>
    </row>
    <row r="4" spans="1:47">
      <c r="A4" t="s">
        <v>313</v>
      </c>
      <c r="B4" t="s">
        <v>1225</v>
      </c>
      <c r="E4" t="s">
        <v>329</v>
      </c>
      <c r="F4" t="s">
        <v>430</v>
      </c>
      <c r="J4" t="s">
        <v>431</v>
      </c>
      <c r="K4" t="s">
        <v>438</v>
      </c>
      <c r="O4" t="s">
        <v>446</v>
      </c>
      <c r="P4" t="s">
        <v>135</v>
      </c>
      <c r="Q4" t="s">
        <v>442</v>
      </c>
      <c r="R4" t="s">
        <v>443</v>
      </c>
      <c r="S4" t="s">
        <v>2373</v>
      </c>
      <c r="T4" t="s">
        <v>236</v>
      </c>
      <c r="U4" t="s">
        <v>118</v>
      </c>
      <c r="V4" t="s">
        <v>81</v>
      </c>
      <c r="W4" t="s">
        <v>82</v>
      </c>
      <c r="X4" t="s">
        <v>130</v>
      </c>
      <c r="Y4" t="s">
        <v>445</v>
      </c>
      <c r="Z4" t="s">
        <v>897</v>
      </c>
      <c r="AO4" t="s">
        <v>1542</v>
      </c>
      <c r="AP4" t="s">
        <v>1655</v>
      </c>
    </row>
    <row r="5" spans="1:47">
      <c r="A5" t="s">
        <v>1542</v>
      </c>
      <c r="B5" s="52">
        <v>0.79</v>
      </c>
      <c r="E5" t="s">
        <v>330</v>
      </c>
      <c r="F5" t="s">
        <v>331</v>
      </c>
      <c r="J5" t="s">
        <v>434</v>
      </c>
      <c r="O5" t="s">
        <v>135</v>
      </c>
      <c r="P5">
        <f>M02S02F01</f>
        <v>0</v>
      </c>
      <c r="Q5">
        <f>M02S02F02</f>
        <v>0</v>
      </c>
      <c r="R5">
        <f>M02S02F03</f>
        <v>0</v>
      </c>
      <c r="S5">
        <f>M02S02F05</f>
        <v>0</v>
      </c>
      <c r="T5">
        <f>M02S02F07</f>
        <v>0</v>
      </c>
      <c r="U5">
        <f>M02S02F08</f>
        <v>0</v>
      </c>
      <c r="V5">
        <f>M02S02F09</f>
        <v>0</v>
      </c>
      <c r="W5">
        <f>M02S02F10</f>
        <v>0</v>
      </c>
      <c r="X5">
        <f>M02S02F11</f>
        <v>0</v>
      </c>
      <c r="Y5" t="s">
        <v>1092</v>
      </c>
      <c r="Z5" t="s">
        <v>444</v>
      </c>
      <c r="AO5" t="s">
        <v>1542</v>
      </c>
      <c r="AP5" t="s">
        <v>1660</v>
      </c>
    </row>
    <row r="6" spans="1:47">
      <c r="A6" t="s">
        <v>314</v>
      </c>
      <c r="B6" s="52">
        <v>0.76</v>
      </c>
      <c r="E6" t="s">
        <v>334</v>
      </c>
      <c r="F6" t="s">
        <v>335</v>
      </c>
      <c r="J6" t="s">
        <v>435</v>
      </c>
      <c r="O6" t="s">
        <v>444</v>
      </c>
      <c r="P6">
        <f>M02S02F01</f>
        <v>0</v>
      </c>
      <c r="Q6" t="str">
        <f>M02S02F16</f>
        <v/>
      </c>
      <c r="R6" t="str">
        <f>M02S02F17</f>
        <v/>
      </c>
      <c r="S6" t="str">
        <f>M02S02F19</f>
        <v/>
      </c>
      <c r="T6" t="str">
        <f>M02S02F21</f>
        <v/>
      </c>
      <c r="U6" t="str">
        <f>M02S02F22</f>
        <v/>
      </c>
      <c r="V6" t="str">
        <f>M02S02F23</f>
        <v/>
      </c>
      <c r="W6" t="str">
        <f>M02S02F24</f>
        <v>IN</v>
      </c>
      <c r="X6" t="str">
        <f>M02S02F25</f>
        <v/>
      </c>
      <c r="Y6" t="s">
        <v>1093</v>
      </c>
      <c r="Z6" t="s">
        <v>444</v>
      </c>
      <c r="AO6" t="s">
        <v>1542</v>
      </c>
      <c r="AP6" t="s">
        <v>1659</v>
      </c>
    </row>
    <row r="7" spans="1:47">
      <c r="A7" t="s">
        <v>315</v>
      </c>
      <c r="B7" s="52">
        <v>0.5</v>
      </c>
      <c r="E7" t="s">
        <v>338</v>
      </c>
      <c r="F7" t="s">
        <v>339</v>
      </c>
      <c r="J7" t="s">
        <v>161</v>
      </c>
      <c r="O7" t="s">
        <v>881</v>
      </c>
      <c r="P7">
        <f>M02S03F02</f>
        <v>0</v>
      </c>
      <c r="Q7">
        <f>M02S03F03</f>
        <v>0</v>
      </c>
      <c r="R7">
        <f>M02S03F04</f>
        <v>0</v>
      </c>
      <c r="S7">
        <f>M02S03F06</f>
        <v>0</v>
      </c>
      <c r="T7">
        <f>M02S03F08</f>
        <v>0</v>
      </c>
      <c r="U7">
        <f>M02S03F09</f>
        <v>0</v>
      </c>
      <c r="V7">
        <f>M02S03F10</f>
        <v>0</v>
      </c>
      <c r="W7">
        <f>M02S03F11</f>
        <v>0</v>
      </c>
      <c r="X7">
        <f>M02S03F12</f>
        <v>0</v>
      </c>
      <c r="Y7" t="s">
        <v>1094</v>
      </c>
      <c r="Z7" t="s">
        <v>891</v>
      </c>
      <c r="AO7" t="s">
        <v>1542</v>
      </c>
      <c r="AP7" t="s">
        <v>1656</v>
      </c>
    </row>
    <row r="8" spans="1:47">
      <c r="A8" t="s">
        <v>1543</v>
      </c>
      <c r="B8" s="52">
        <v>0.65</v>
      </c>
      <c r="E8" t="s">
        <v>342</v>
      </c>
      <c r="F8" t="s">
        <v>343</v>
      </c>
      <c r="J8" t="s">
        <v>436</v>
      </c>
      <c r="O8" t="s">
        <v>163</v>
      </c>
      <c r="P8" t="str">
        <f>""</f>
        <v/>
      </c>
      <c r="Q8" t="str">
        <f>""</f>
        <v/>
      </c>
      <c r="R8" t="str">
        <f>""</f>
        <v/>
      </c>
      <c r="S8" t="str">
        <f>""</f>
        <v/>
      </c>
      <c r="T8" t="str">
        <f>""</f>
        <v/>
      </c>
      <c r="U8" t="str">
        <f>""</f>
        <v/>
      </c>
      <c r="V8" t="str">
        <f>""</f>
        <v/>
      </c>
      <c r="W8" t="str">
        <f>""</f>
        <v/>
      </c>
      <c r="X8" t="str">
        <f>""</f>
        <v/>
      </c>
      <c r="Y8" t="s">
        <v>1093</v>
      </c>
      <c r="Z8" t="s">
        <v>163</v>
      </c>
      <c r="AO8" t="s">
        <v>1542</v>
      </c>
      <c r="AP8" t="s">
        <v>1657</v>
      </c>
    </row>
    <row r="9" spans="1:47">
      <c r="A9" t="s">
        <v>316</v>
      </c>
      <c r="B9" s="52">
        <v>0.65</v>
      </c>
      <c r="E9" t="s">
        <v>346</v>
      </c>
      <c r="F9" t="s">
        <v>347</v>
      </c>
      <c r="J9" t="s">
        <v>437</v>
      </c>
      <c r="AO9" t="s">
        <v>1542</v>
      </c>
      <c r="AP9" t="s">
        <v>1658</v>
      </c>
      <c r="AU9" t="s">
        <v>2250</v>
      </c>
    </row>
    <row r="10" spans="1:47">
      <c r="A10" t="s">
        <v>317</v>
      </c>
      <c r="B10" s="52">
        <v>0.83</v>
      </c>
      <c r="E10" t="s">
        <v>350</v>
      </c>
      <c r="F10" t="s">
        <v>351</v>
      </c>
      <c r="J10" t="s">
        <v>1281</v>
      </c>
      <c r="AO10" t="s">
        <v>1542</v>
      </c>
      <c r="AP10" t="s">
        <v>1693</v>
      </c>
    </row>
    <row r="11" spans="1:47">
      <c r="A11" t="s">
        <v>318</v>
      </c>
      <c r="B11" s="52">
        <v>0.64</v>
      </c>
      <c r="E11" t="s">
        <v>354</v>
      </c>
      <c r="F11" t="s">
        <v>355</v>
      </c>
      <c r="AO11" t="s">
        <v>1542</v>
      </c>
      <c r="AP11" t="s">
        <v>1692</v>
      </c>
    </row>
    <row r="12" spans="1:47">
      <c r="A12" t="s">
        <v>319</v>
      </c>
      <c r="B12" s="52">
        <v>0.64</v>
      </c>
      <c r="E12" t="s">
        <v>358</v>
      </c>
      <c r="F12" t="s">
        <v>359</v>
      </c>
      <c r="J12" t="s">
        <v>1227</v>
      </c>
      <c r="K12" t="s">
        <v>1225</v>
      </c>
      <c r="N12" t="s">
        <v>1703</v>
      </c>
      <c r="AO12" t="s">
        <v>1542</v>
      </c>
      <c r="AP12" t="s">
        <v>968</v>
      </c>
      <c r="AU12" t="s">
        <v>2253</v>
      </c>
    </row>
    <row r="13" spans="1:47">
      <c r="A13" t="s">
        <v>320</v>
      </c>
      <c r="B13" s="52">
        <v>0.92</v>
      </c>
      <c r="E13" t="s">
        <v>362</v>
      </c>
      <c r="F13" t="s">
        <v>363</v>
      </c>
      <c r="J13" s="9" t="s">
        <v>1230</v>
      </c>
      <c r="K13" s="52">
        <v>0.74</v>
      </c>
      <c r="N13" t="s">
        <v>2163</v>
      </c>
      <c r="AO13" t="s">
        <v>1542</v>
      </c>
      <c r="AP13" t="s">
        <v>1508</v>
      </c>
    </row>
    <row r="14" spans="1:47">
      <c r="A14" t="s">
        <v>321</v>
      </c>
      <c r="B14" s="52">
        <v>0.78</v>
      </c>
      <c r="E14" t="s">
        <v>366</v>
      </c>
      <c r="F14" t="s">
        <v>367</v>
      </c>
      <c r="J14" s="9" t="s">
        <v>1228</v>
      </c>
      <c r="K14" s="52">
        <v>0.84</v>
      </c>
      <c r="N14" t="s">
        <v>1704</v>
      </c>
      <c r="AO14" t="s">
        <v>1542</v>
      </c>
      <c r="AP14" t="s">
        <v>1509</v>
      </c>
    </row>
    <row r="15" spans="1:47">
      <c r="A15" t="s">
        <v>322</v>
      </c>
      <c r="B15" s="52">
        <v>0.76</v>
      </c>
      <c r="E15" t="s">
        <v>370</v>
      </c>
      <c r="F15" t="s">
        <v>371</v>
      </c>
      <c r="J15" s="9" t="s">
        <v>164</v>
      </c>
      <c r="K15" s="52">
        <v>0.38</v>
      </c>
      <c r="N15" t="s">
        <v>1629</v>
      </c>
      <c r="AO15" t="s">
        <v>1542</v>
      </c>
      <c r="AP15" t="s">
        <v>1210</v>
      </c>
    </row>
    <row r="16" spans="1:47">
      <c r="A16" t="s">
        <v>323</v>
      </c>
      <c r="B16" s="52">
        <v>0.65</v>
      </c>
      <c r="E16" t="s">
        <v>374</v>
      </c>
      <c r="F16" t="s">
        <v>375</v>
      </c>
      <c r="J16" s="9" t="s">
        <v>1187</v>
      </c>
      <c r="K16" s="52">
        <v>0.74</v>
      </c>
      <c r="AO16" t="s">
        <v>1542</v>
      </c>
      <c r="AP16" t="s">
        <v>990</v>
      </c>
    </row>
    <row r="17" spans="1:47">
      <c r="A17" t="s">
        <v>324</v>
      </c>
      <c r="B17" s="52">
        <v>0.37</v>
      </c>
      <c r="E17" t="s">
        <v>378</v>
      </c>
      <c r="F17" t="s">
        <v>379</v>
      </c>
      <c r="J17" t="s">
        <v>160</v>
      </c>
      <c r="K17" s="52">
        <v>0.91300000000000003</v>
      </c>
      <c r="AO17" t="s">
        <v>1542</v>
      </c>
      <c r="AP17" t="s">
        <v>993</v>
      </c>
      <c r="AU17" t="s">
        <v>2252</v>
      </c>
    </row>
    <row r="18" spans="1:47">
      <c r="A18" t="s">
        <v>325</v>
      </c>
      <c r="B18" s="52">
        <v>0.76</v>
      </c>
      <c r="E18" t="s">
        <v>382</v>
      </c>
      <c r="F18" t="s">
        <v>383</v>
      </c>
      <c r="J18" s="9" t="s">
        <v>1189</v>
      </c>
      <c r="K18" s="52">
        <v>0.65</v>
      </c>
      <c r="AO18" t="s">
        <v>1542</v>
      </c>
      <c r="AP18" t="s">
        <v>994</v>
      </c>
    </row>
    <row r="19" spans="1:47">
      <c r="A19" t="s">
        <v>326</v>
      </c>
      <c r="B19" s="52">
        <v>1</v>
      </c>
      <c r="E19" t="s">
        <v>386</v>
      </c>
      <c r="F19" t="s">
        <v>387</v>
      </c>
      <c r="J19" s="9" t="s">
        <v>1195</v>
      </c>
      <c r="K19" s="52">
        <v>0.15</v>
      </c>
      <c r="AO19" t="s">
        <v>1542</v>
      </c>
      <c r="AP19" t="s">
        <v>1695</v>
      </c>
    </row>
    <row r="20" spans="1:47">
      <c r="A20" t="s">
        <v>327</v>
      </c>
      <c r="B20" s="52">
        <v>0.84</v>
      </c>
      <c r="E20" t="s">
        <v>390</v>
      </c>
      <c r="F20" t="s">
        <v>391</v>
      </c>
      <c r="J20" s="9" t="s">
        <v>1167</v>
      </c>
      <c r="K20" s="52">
        <v>0.78</v>
      </c>
      <c r="AO20" t="s">
        <v>1542</v>
      </c>
      <c r="AP20" t="s">
        <v>1599</v>
      </c>
    </row>
    <row r="21" spans="1:47">
      <c r="A21" t="s">
        <v>328</v>
      </c>
      <c r="B21" s="52">
        <v>0.79</v>
      </c>
      <c r="E21" t="s">
        <v>394</v>
      </c>
      <c r="F21" t="s">
        <v>395</v>
      </c>
      <c r="J21" s="9" t="s">
        <v>230</v>
      </c>
      <c r="K21" s="52">
        <v>0.75</v>
      </c>
      <c r="AO21" t="s">
        <v>1542</v>
      </c>
      <c r="AP21" t="s">
        <v>328</v>
      </c>
    </row>
    <row r="22" spans="1:47">
      <c r="B22" s="52"/>
      <c r="E22" t="s">
        <v>398</v>
      </c>
      <c r="F22" t="s">
        <v>399</v>
      </c>
      <c r="J22" s="9" t="s">
        <v>1229</v>
      </c>
      <c r="K22" s="52">
        <v>0.78</v>
      </c>
      <c r="AO22" t="s">
        <v>314</v>
      </c>
      <c r="AP22" t="s">
        <v>1662</v>
      </c>
      <c r="AU22" t="s">
        <v>2251</v>
      </c>
    </row>
    <row r="23" spans="1:47">
      <c r="E23" t="s">
        <v>402</v>
      </c>
      <c r="F23" t="s">
        <v>403</v>
      </c>
      <c r="J23" s="9" t="s">
        <v>162</v>
      </c>
      <c r="K23">
        <v>0.92</v>
      </c>
      <c r="AO23" t="s">
        <v>314</v>
      </c>
      <c r="AP23" t="s">
        <v>1693</v>
      </c>
    </row>
    <row r="24" spans="1:47">
      <c r="A24" t="s">
        <v>232</v>
      </c>
      <c r="E24" t="s">
        <v>406</v>
      </c>
      <c r="F24" t="s">
        <v>407</v>
      </c>
      <c r="K24" s="222"/>
      <c r="AO24" t="s">
        <v>314</v>
      </c>
      <c r="AP24" t="s">
        <v>1692</v>
      </c>
    </row>
    <row r="25" spans="1:47">
      <c r="A25" t="s">
        <v>432</v>
      </c>
      <c r="E25" t="s">
        <v>410</v>
      </c>
      <c r="F25" t="s">
        <v>411</v>
      </c>
      <c r="K25" s="222"/>
      <c r="AO25" t="s">
        <v>314</v>
      </c>
      <c r="AP25" t="s">
        <v>968</v>
      </c>
    </row>
    <row r="26" spans="1:47" ht="16.5" customHeight="1">
      <c r="A26" t="s">
        <v>154</v>
      </c>
      <c r="E26" t="s">
        <v>414</v>
      </c>
      <c r="F26" t="s">
        <v>415</v>
      </c>
      <c r="AO26" t="s">
        <v>314</v>
      </c>
      <c r="AP26" t="s">
        <v>1508</v>
      </c>
    </row>
    <row r="27" spans="1:47">
      <c r="A27" t="s">
        <v>433</v>
      </c>
      <c r="E27" t="s">
        <v>418</v>
      </c>
      <c r="F27" t="s">
        <v>419</v>
      </c>
      <c r="AO27" t="s">
        <v>314</v>
      </c>
      <c r="AP27" t="s">
        <v>1509</v>
      </c>
    </row>
    <row r="28" spans="1:47">
      <c r="A28" t="s">
        <v>501</v>
      </c>
      <c r="E28" t="s">
        <v>422</v>
      </c>
      <c r="F28" t="s">
        <v>423</v>
      </c>
      <c r="J28" t="s">
        <v>820</v>
      </c>
      <c r="K28" t="s">
        <v>821</v>
      </c>
      <c r="AO28" t="s">
        <v>314</v>
      </c>
      <c r="AP28" t="s">
        <v>1210</v>
      </c>
    </row>
    <row r="29" spans="1:47">
      <c r="A29" t="s">
        <v>502</v>
      </c>
      <c r="E29" t="s">
        <v>426</v>
      </c>
      <c r="F29" t="s">
        <v>427</v>
      </c>
      <c r="J29" t="s">
        <v>836</v>
      </c>
      <c r="K29" t="s">
        <v>839</v>
      </c>
      <c r="M29" t="s">
        <v>929</v>
      </c>
      <c r="AO29" t="s">
        <v>314</v>
      </c>
      <c r="AP29" t="s">
        <v>990</v>
      </c>
    </row>
    <row r="30" spans="1:47">
      <c r="A30" t="s">
        <v>163</v>
      </c>
      <c r="E30" t="s">
        <v>332</v>
      </c>
      <c r="F30" t="s">
        <v>333</v>
      </c>
      <c r="J30" t="s">
        <v>823</v>
      </c>
      <c r="K30" t="s">
        <v>839</v>
      </c>
      <c r="AO30" t="s">
        <v>314</v>
      </c>
      <c r="AP30" t="s">
        <v>993</v>
      </c>
    </row>
    <row r="31" spans="1:47">
      <c r="A31" t="s">
        <v>793</v>
      </c>
      <c r="E31" t="s">
        <v>336</v>
      </c>
      <c r="F31" t="s">
        <v>337</v>
      </c>
      <c r="J31" t="s">
        <v>824</v>
      </c>
      <c r="K31" t="s">
        <v>838</v>
      </c>
      <c r="AO31" t="s">
        <v>314</v>
      </c>
      <c r="AP31" t="s">
        <v>994</v>
      </c>
    </row>
    <row r="32" spans="1:47">
      <c r="E32" t="s">
        <v>340</v>
      </c>
      <c r="F32" t="s">
        <v>341</v>
      </c>
      <c r="J32" t="s">
        <v>825</v>
      </c>
      <c r="K32" t="s">
        <v>837</v>
      </c>
      <c r="AO32" t="s">
        <v>314</v>
      </c>
      <c r="AP32" t="s">
        <v>1695</v>
      </c>
    </row>
    <row r="33" spans="1:42">
      <c r="A33" t="s">
        <v>0</v>
      </c>
      <c r="E33" t="s">
        <v>344</v>
      </c>
      <c r="F33" t="s">
        <v>345</v>
      </c>
      <c r="J33" t="s">
        <v>826</v>
      </c>
      <c r="K33" t="s">
        <v>839</v>
      </c>
      <c r="AO33" t="s">
        <v>314</v>
      </c>
      <c r="AP33" t="s">
        <v>1599</v>
      </c>
    </row>
    <row r="34" spans="1:42">
      <c r="A34" t="s">
        <v>944</v>
      </c>
      <c r="E34" t="s">
        <v>348</v>
      </c>
      <c r="F34" t="s">
        <v>349</v>
      </c>
      <c r="J34" t="s">
        <v>872</v>
      </c>
      <c r="K34" t="s">
        <v>839</v>
      </c>
      <c r="AO34" t="s">
        <v>315</v>
      </c>
      <c r="AP34" t="s">
        <v>1663</v>
      </c>
    </row>
    <row r="35" spans="1:42">
      <c r="A35" t="s">
        <v>195</v>
      </c>
      <c r="E35" t="s">
        <v>352</v>
      </c>
      <c r="F35" t="s">
        <v>353</v>
      </c>
      <c r="J35" t="s">
        <v>930</v>
      </c>
      <c r="K35" t="s">
        <v>839</v>
      </c>
      <c r="AO35" t="s">
        <v>315</v>
      </c>
      <c r="AP35" t="s">
        <v>1346</v>
      </c>
    </row>
    <row r="36" spans="1:42">
      <c r="A36" t="s">
        <v>1041</v>
      </c>
      <c r="E36" t="s">
        <v>356</v>
      </c>
      <c r="F36" t="s">
        <v>357</v>
      </c>
      <c r="J36" s="9" t="s">
        <v>2049</v>
      </c>
      <c r="K36" t="s">
        <v>839</v>
      </c>
      <c r="AO36" t="s">
        <v>315</v>
      </c>
      <c r="AP36" t="s">
        <v>1666</v>
      </c>
    </row>
    <row r="37" spans="1:42">
      <c r="E37" t="s">
        <v>360</v>
      </c>
      <c r="F37" t="s">
        <v>361</v>
      </c>
      <c r="J37" s="160" t="s">
        <v>931</v>
      </c>
      <c r="K37" s="160" t="s">
        <v>839</v>
      </c>
      <c r="AO37" t="s">
        <v>315</v>
      </c>
      <c r="AP37" t="s">
        <v>1693</v>
      </c>
    </row>
    <row r="38" spans="1:42">
      <c r="A38" t="s">
        <v>441</v>
      </c>
      <c r="E38" t="s">
        <v>364</v>
      </c>
      <c r="F38" t="s">
        <v>365</v>
      </c>
      <c r="AO38" t="s">
        <v>315</v>
      </c>
      <c r="AP38" t="s">
        <v>1692</v>
      </c>
    </row>
    <row r="39" spans="1:42">
      <c r="A39" t="s">
        <v>439</v>
      </c>
      <c r="E39" t="s">
        <v>368</v>
      </c>
      <c r="F39" t="s">
        <v>369</v>
      </c>
      <c r="J39" t="s">
        <v>827</v>
      </c>
      <c r="K39" t="s">
        <v>828</v>
      </c>
      <c r="AO39" t="s">
        <v>315</v>
      </c>
      <c r="AP39" t="s">
        <v>968</v>
      </c>
    </row>
    <row r="40" spans="1:42">
      <c r="A40" t="s">
        <v>440</v>
      </c>
      <c r="E40" t="s">
        <v>372</v>
      </c>
      <c r="F40" t="s">
        <v>373</v>
      </c>
      <c r="J40" s="160" t="s">
        <v>829</v>
      </c>
      <c r="K40" s="160">
        <v>0.10392999999999999</v>
      </c>
      <c r="AO40" t="s">
        <v>315</v>
      </c>
      <c r="AP40" t="s">
        <v>1508</v>
      </c>
    </row>
    <row r="41" spans="1:42">
      <c r="E41" t="s">
        <v>376</v>
      </c>
      <c r="F41" t="s">
        <v>377</v>
      </c>
      <c r="J41" s="160" t="s">
        <v>830</v>
      </c>
      <c r="K41" s="160">
        <v>9.2289999999999997E-2</v>
      </c>
      <c r="AO41" t="s">
        <v>315</v>
      </c>
      <c r="AP41" t="s">
        <v>1509</v>
      </c>
    </row>
    <row r="42" spans="1:42">
      <c r="E42" t="s">
        <v>380</v>
      </c>
      <c r="F42" t="s">
        <v>381</v>
      </c>
      <c r="J42" s="160" t="s">
        <v>831</v>
      </c>
      <c r="K42" s="160">
        <v>8.0189999999999997E-2</v>
      </c>
      <c r="AO42" t="s">
        <v>315</v>
      </c>
      <c r="AP42" t="s">
        <v>1210</v>
      </c>
    </row>
    <row r="43" spans="1:42">
      <c r="A43" t="s">
        <v>900</v>
      </c>
      <c r="E43" t="s">
        <v>384</v>
      </c>
      <c r="F43" t="s">
        <v>385</v>
      </c>
      <c r="J43" s="160" t="s">
        <v>832</v>
      </c>
      <c r="K43" s="160">
        <v>6.1600000000000002E-2</v>
      </c>
      <c r="AO43" t="s">
        <v>315</v>
      </c>
      <c r="AP43" t="s">
        <v>990</v>
      </c>
    </row>
    <row r="44" spans="1:42">
      <c r="A44" t="s">
        <v>1642</v>
      </c>
      <c r="E44" t="s">
        <v>388</v>
      </c>
      <c r="F44" t="s">
        <v>389</v>
      </c>
      <c r="J44" s="160" t="s">
        <v>833</v>
      </c>
      <c r="K44" s="160" t="str">
        <f>""</f>
        <v/>
      </c>
      <c r="AO44" t="s">
        <v>315</v>
      </c>
      <c r="AP44" t="s">
        <v>993</v>
      </c>
    </row>
    <row r="45" spans="1:42">
      <c r="A45" t="s">
        <v>2442</v>
      </c>
      <c r="E45" t="s">
        <v>392</v>
      </c>
      <c r="F45" t="s">
        <v>393</v>
      </c>
      <c r="AO45" t="s">
        <v>315</v>
      </c>
      <c r="AP45" t="s">
        <v>994</v>
      </c>
    </row>
    <row r="46" spans="1:42">
      <c r="A46" t="s">
        <v>1322</v>
      </c>
      <c r="E46" t="s">
        <v>396</v>
      </c>
      <c r="F46" t="s">
        <v>397</v>
      </c>
      <c r="AO46" t="s">
        <v>315</v>
      </c>
      <c r="AP46" t="s">
        <v>1672</v>
      </c>
    </row>
    <row r="47" spans="1:42">
      <c r="A47" t="s">
        <v>1932</v>
      </c>
      <c r="E47" t="s">
        <v>400</v>
      </c>
      <c r="F47" t="s">
        <v>401</v>
      </c>
      <c r="J47" t="s">
        <v>447</v>
      </c>
      <c r="K47" t="s">
        <v>848</v>
      </c>
      <c r="AO47" t="s">
        <v>315</v>
      </c>
      <c r="AP47" t="s">
        <v>1599</v>
      </c>
    </row>
    <row r="48" spans="1:42">
      <c r="E48" t="s">
        <v>404</v>
      </c>
      <c r="F48" t="s">
        <v>405</v>
      </c>
      <c r="J48" t="s">
        <v>465</v>
      </c>
      <c r="K48" t="s">
        <v>465</v>
      </c>
      <c r="AO48" t="s">
        <v>1543</v>
      </c>
      <c r="AP48" t="s">
        <v>1693</v>
      </c>
    </row>
    <row r="49" spans="1:42">
      <c r="E49" t="s">
        <v>408</v>
      </c>
      <c r="F49" t="s">
        <v>409</v>
      </c>
      <c r="J49" t="s">
        <v>466</v>
      </c>
      <c r="K49" t="s">
        <v>466</v>
      </c>
      <c r="AO49" t="s">
        <v>1543</v>
      </c>
      <c r="AP49" t="s">
        <v>1692</v>
      </c>
    </row>
    <row r="50" spans="1:42" ht="15" customHeight="1">
      <c r="A50" t="s">
        <v>488</v>
      </c>
      <c r="E50" t="s">
        <v>412</v>
      </c>
      <c r="F50" t="s">
        <v>413</v>
      </c>
      <c r="J50" t="s">
        <v>468</v>
      </c>
      <c r="K50" t="s">
        <v>468</v>
      </c>
      <c r="AO50" t="s">
        <v>1543</v>
      </c>
      <c r="AP50" t="s">
        <v>968</v>
      </c>
    </row>
    <row r="51" spans="1:42">
      <c r="A51" t="s">
        <v>1516</v>
      </c>
      <c r="E51" t="s">
        <v>416</v>
      </c>
      <c r="F51" t="s">
        <v>417</v>
      </c>
      <c r="J51" t="s">
        <v>467</v>
      </c>
      <c r="K51" t="s">
        <v>467</v>
      </c>
      <c r="AO51" t="s">
        <v>1543</v>
      </c>
      <c r="AP51" t="s">
        <v>1508</v>
      </c>
    </row>
    <row r="52" spans="1:42">
      <c r="A52" t="s">
        <v>1050</v>
      </c>
      <c r="E52" t="s">
        <v>420</v>
      </c>
      <c r="F52" t="s">
        <v>421</v>
      </c>
      <c r="J52" t="s">
        <v>1541</v>
      </c>
      <c r="K52" t="s">
        <v>1541</v>
      </c>
      <c r="AO52" t="s">
        <v>1543</v>
      </c>
      <c r="AP52" t="s">
        <v>1509</v>
      </c>
    </row>
    <row r="53" spans="1:42" ht="15" customHeight="1">
      <c r="A53" t="s">
        <v>1547</v>
      </c>
      <c r="E53" t="s">
        <v>424</v>
      </c>
      <c r="F53" t="s">
        <v>425</v>
      </c>
      <c r="J53" t="s">
        <v>469</v>
      </c>
      <c r="K53" t="s">
        <v>469</v>
      </c>
      <c r="AO53" t="s">
        <v>1543</v>
      </c>
      <c r="AP53" t="s">
        <v>1210</v>
      </c>
    </row>
    <row r="54" spans="1:42">
      <c r="A54" t="s">
        <v>1933</v>
      </c>
      <c r="E54" t="s">
        <v>428</v>
      </c>
      <c r="F54" t="s">
        <v>429</v>
      </c>
      <c r="AO54" t="s">
        <v>1543</v>
      </c>
      <c r="AP54" t="s">
        <v>990</v>
      </c>
    </row>
    <row r="55" spans="1:42">
      <c r="AO55" t="s">
        <v>1543</v>
      </c>
      <c r="AP55" t="s">
        <v>993</v>
      </c>
    </row>
    <row r="56" spans="1:42">
      <c r="AO56" t="s">
        <v>1543</v>
      </c>
      <c r="AP56" t="s">
        <v>994</v>
      </c>
    </row>
    <row r="57" spans="1:42">
      <c r="AO57" t="s">
        <v>1543</v>
      </c>
      <c r="AP57" t="s">
        <v>1668</v>
      </c>
    </row>
    <row r="58" spans="1:42">
      <c r="A58" s="9" t="s">
        <v>811</v>
      </c>
      <c r="AO58" t="s">
        <v>1543</v>
      </c>
      <c r="AP58" t="s">
        <v>1669</v>
      </c>
    </row>
    <row r="59" spans="1:42">
      <c r="A59" t="s">
        <v>2105</v>
      </c>
      <c r="AK59" t="s">
        <v>2416</v>
      </c>
      <c r="AO59" t="s">
        <v>1543</v>
      </c>
      <c r="AP59" t="s">
        <v>1681</v>
      </c>
    </row>
    <row r="60" spans="1:42" ht="30.75" customHeight="1">
      <c r="A60" t="s">
        <v>2106</v>
      </c>
      <c r="J60" s="9" t="s">
        <v>966</v>
      </c>
      <c r="K60" s="9" t="s">
        <v>2255</v>
      </c>
      <c r="L60" s="9" t="s">
        <v>1225</v>
      </c>
      <c r="M60" s="9" t="s">
        <v>1344</v>
      </c>
      <c r="N60" s="9" t="s">
        <v>1648</v>
      </c>
      <c r="O60" s="9" t="s">
        <v>1649</v>
      </c>
      <c r="P60" s="9" t="s">
        <v>1650</v>
      </c>
      <c r="Q60" s="9" t="s">
        <v>1651</v>
      </c>
      <c r="R60" s="9" t="s">
        <v>1652</v>
      </c>
      <c r="S60" s="9" t="s">
        <v>1653</v>
      </c>
      <c r="T60" s="9" t="s">
        <v>1698</v>
      </c>
      <c r="U60" s="9" t="s">
        <v>1654</v>
      </c>
      <c r="W60" t="s">
        <v>1647</v>
      </c>
      <c r="X60" t="s">
        <v>996</v>
      </c>
      <c r="Y60" t="s">
        <v>1648</v>
      </c>
      <c r="Z60" t="s">
        <v>1649</v>
      </c>
      <c r="AA60" t="s">
        <v>1650</v>
      </c>
      <c r="AB60" t="s">
        <v>1651</v>
      </c>
      <c r="AC60" t="s">
        <v>1652</v>
      </c>
      <c r="AD60" t="s">
        <v>1653</v>
      </c>
      <c r="AE60" t="s">
        <v>1698</v>
      </c>
      <c r="AF60" t="s">
        <v>1654</v>
      </c>
      <c r="AG60" t="s">
        <v>1904</v>
      </c>
      <c r="AH60" t="s">
        <v>1905</v>
      </c>
      <c r="AI60" t="s">
        <v>1958</v>
      </c>
      <c r="AJ60" t="s">
        <v>1959</v>
      </c>
      <c r="AK60" t="s">
        <v>2415</v>
      </c>
      <c r="AO60" t="s">
        <v>1543</v>
      </c>
      <c r="AP60" t="s">
        <v>1680</v>
      </c>
    </row>
    <row r="61" spans="1:42">
      <c r="A61" t="s">
        <v>2107</v>
      </c>
      <c r="J61" t="s">
        <v>967</v>
      </c>
      <c r="K61">
        <v>0.71</v>
      </c>
      <c r="L61">
        <v>0.97</v>
      </c>
      <c r="M61" t="s">
        <v>1335</v>
      </c>
      <c r="N61">
        <v>4099</v>
      </c>
      <c r="O61">
        <v>2935</v>
      </c>
      <c r="P61">
        <v>1.1599999999999999</v>
      </c>
      <c r="Q61">
        <v>1.24</v>
      </c>
      <c r="R61">
        <v>0.97</v>
      </c>
      <c r="S61">
        <v>1.2999999999999999E-2</v>
      </c>
      <c r="T61">
        <v>0.315</v>
      </c>
      <c r="U61">
        <v>0.13700000000000001</v>
      </c>
      <c r="W61" t="s">
        <v>1655</v>
      </c>
      <c r="Y61">
        <v>4914</v>
      </c>
      <c r="Z61">
        <v>4914</v>
      </c>
      <c r="AA61">
        <v>1</v>
      </c>
      <c r="AB61">
        <v>1</v>
      </c>
      <c r="AC61">
        <v>0.95</v>
      </c>
      <c r="AD61">
        <v>0</v>
      </c>
      <c r="AE61">
        <v>0</v>
      </c>
      <c r="AF61">
        <v>0</v>
      </c>
      <c r="AG61">
        <v>0</v>
      </c>
      <c r="AH61">
        <v>0</v>
      </c>
      <c r="AI61">
        <v>0</v>
      </c>
      <c r="AJ61">
        <v>0</v>
      </c>
      <c r="AK61">
        <v>0</v>
      </c>
      <c r="AO61" t="s">
        <v>1543</v>
      </c>
      <c r="AP61" t="s">
        <v>1694</v>
      </c>
    </row>
    <row r="62" spans="1:42">
      <c r="A62" t="s">
        <v>812</v>
      </c>
      <c r="J62" t="s">
        <v>969</v>
      </c>
      <c r="K62">
        <v>0.76</v>
      </c>
      <c r="L62">
        <v>0.67</v>
      </c>
      <c r="M62" t="s">
        <v>1334</v>
      </c>
      <c r="N62">
        <v>3379</v>
      </c>
      <c r="O62">
        <v>3612</v>
      </c>
      <c r="P62">
        <v>1.08</v>
      </c>
      <c r="Q62">
        <v>1.3</v>
      </c>
      <c r="R62">
        <v>0.67</v>
      </c>
      <c r="S62">
        <v>1.4999999999999999E-2</v>
      </c>
      <c r="T62">
        <v>0.35399999999999998</v>
      </c>
      <c r="U62">
        <v>0.154</v>
      </c>
      <c r="W62" t="s">
        <v>1660</v>
      </c>
      <c r="Y62">
        <v>6205</v>
      </c>
      <c r="Z62">
        <v>6205</v>
      </c>
      <c r="AA62">
        <v>1</v>
      </c>
      <c r="AB62">
        <v>1</v>
      </c>
      <c r="AC62">
        <v>0.95</v>
      </c>
      <c r="AD62">
        <v>0</v>
      </c>
      <c r="AE62">
        <v>0</v>
      </c>
      <c r="AF62">
        <v>0</v>
      </c>
      <c r="AG62">
        <v>0</v>
      </c>
      <c r="AH62">
        <v>0</v>
      </c>
      <c r="AI62">
        <v>0</v>
      </c>
      <c r="AJ62">
        <v>0</v>
      </c>
      <c r="AK62">
        <v>0</v>
      </c>
      <c r="AO62" t="s">
        <v>1543</v>
      </c>
      <c r="AP62" t="s">
        <v>1682</v>
      </c>
    </row>
    <row r="63" spans="1:42">
      <c r="A63" t="s">
        <v>2108</v>
      </c>
      <c r="J63" t="s">
        <v>970</v>
      </c>
      <c r="K63">
        <v>0.9</v>
      </c>
      <c r="L63">
        <v>0.67</v>
      </c>
      <c r="M63" t="s">
        <v>1334</v>
      </c>
      <c r="N63">
        <v>3379</v>
      </c>
      <c r="O63">
        <v>3612</v>
      </c>
      <c r="P63">
        <v>1.08</v>
      </c>
      <c r="Q63">
        <v>1.3</v>
      </c>
      <c r="R63">
        <v>0.67</v>
      </c>
      <c r="S63">
        <v>1.4999999999999999E-2</v>
      </c>
      <c r="T63">
        <v>0.35399999999999998</v>
      </c>
      <c r="U63">
        <v>0.154</v>
      </c>
      <c r="W63" t="s">
        <v>1659</v>
      </c>
      <c r="Y63">
        <v>5446</v>
      </c>
      <c r="Z63">
        <v>5446</v>
      </c>
      <c r="AA63">
        <v>1</v>
      </c>
      <c r="AB63">
        <v>1</v>
      </c>
      <c r="AC63">
        <v>0.95</v>
      </c>
      <c r="AD63">
        <v>0</v>
      </c>
      <c r="AE63">
        <v>0</v>
      </c>
      <c r="AF63">
        <v>0</v>
      </c>
      <c r="AG63">
        <v>0</v>
      </c>
      <c r="AH63">
        <v>0</v>
      </c>
      <c r="AI63">
        <v>0</v>
      </c>
      <c r="AJ63">
        <v>0</v>
      </c>
      <c r="AK63">
        <v>0</v>
      </c>
      <c r="AO63" t="s">
        <v>1543</v>
      </c>
      <c r="AP63" t="s">
        <v>1689</v>
      </c>
    </row>
    <row r="64" spans="1:42">
      <c r="A64" t="s">
        <v>2109</v>
      </c>
      <c r="J64" t="s">
        <v>971</v>
      </c>
      <c r="K64">
        <v>0.9</v>
      </c>
      <c r="L64">
        <v>1</v>
      </c>
      <c r="M64" t="s">
        <v>1336</v>
      </c>
      <c r="N64">
        <v>5571</v>
      </c>
      <c r="O64">
        <v>4787</v>
      </c>
      <c r="P64">
        <v>1.08</v>
      </c>
      <c r="Q64">
        <v>1.1000000000000001</v>
      </c>
      <c r="R64">
        <v>1</v>
      </c>
      <c r="S64">
        <v>8.9999999999999993E-3</v>
      </c>
      <c r="T64">
        <v>0.20799999999999999</v>
      </c>
      <c r="U64">
        <v>0.09</v>
      </c>
      <c r="W64" t="s">
        <v>1656</v>
      </c>
      <c r="Y64">
        <v>2231</v>
      </c>
      <c r="Z64">
        <v>2231</v>
      </c>
      <c r="AA64">
        <v>1</v>
      </c>
      <c r="AB64">
        <v>1</v>
      </c>
      <c r="AC64">
        <v>0.76</v>
      </c>
      <c r="AD64">
        <v>0</v>
      </c>
      <c r="AE64">
        <v>0</v>
      </c>
      <c r="AF64">
        <v>0</v>
      </c>
      <c r="AG64">
        <v>0</v>
      </c>
      <c r="AH64">
        <v>0</v>
      </c>
      <c r="AI64">
        <v>0</v>
      </c>
      <c r="AJ64">
        <v>0</v>
      </c>
      <c r="AK64">
        <v>0</v>
      </c>
      <c r="AO64" t="s">
        <v>1543</v>
      </c>
      <c r="AP64" t="s">
        <v>1690</v>
      </c>
    </row>
    <row r="65" spans="1:42">
      <c r="A65" t="s">
        <v>793</v>
      </c>
      <c r="G65" t="s">
        <v>1542</v>
      </c>
      <c r="J65" t="s">
        <v>972</v>
      </c>
      <c r="K65">
        <v>0.79</v>
      </c>
      <c r="L65">
        <v>1</v>
      </c>
      <c r="M65" t="s">
        <v>1336</v>
      </c>
      <c r="N65">
        <v>5571</v>
      </c>
      <c r="O65">
        <v>4787</v>
      </c>
      <c r="P65">
        <v>1.08</v>
      </c>
      <c r="Q65">
        <v>1.1000000000000001</v>
      </c>
      <c r="R65">
        <v>1</v>
      </c>
      <c r="S65">
        <v>8.9999999999999993E-3</v>
      </c>
      <c r="T65">
        <v>0.20799999999999999</v>
      </c>
      <c r="U65">
        <v>0.09</v>
      </c>
      <c r="W65" t="s">
        <v>1657</v>
      </c>
      <c r="Y65">
        <v>5351</v>
      </c>
      <c r="Z65">
        <v>5351</v>
      </c>
      <c r="AA65">
        <v>1</v>
      </c>
      <c r="AB65">
        <v>1</v>
      </c>
      <c r="AC65">
        <v>0.95</v>
      </c>
      <c r="AD65">
        <v>0</v>
      </c>
      <c r="AE65">
        <v>0</v>
      </c>
      <c r="AF65">
        <v>0</v>
      </c>
      <c r="AG65">
        <v>0</v>
      </c>
      <c r="AH65">
        <v>0</v>
      </c>
      <c r="AI65">
        <v>0</v>
      </c>
      <c r="AJ65">
        <v>0</v>
      </c>
      <c r="AK65">
        <v>0</v>
      </c>
      <c r="AO65" t="s">
        <v>1543</v>
      </c>
      <c r="AP65" t="s">
        <v>1691</v>
      </c>
    </row>
    <row r="66" spans="1:42">
      <c r="G66" t="s">
        <v>314</v>
      </c>
      <c r="J66" t="s">
        <v>973</v>
      </c>
      <c r="K66">
        <v>0.78</v>
      </c>
      <c r="L66">
        <v>1</v>
      </c>
      <c r="M66" t="s">
        <v>1336</v>
      </c>
      <c r="N66">
        <v>5571</v>
      </c>
      <c r="O66">
        <v>4787</v>
      </c>
      <c r="P66">
        <v>1.08</v>
      </c>
      <c r="Q66">
        <v>1.1000000000000001</v>
      </c>
      <c r="R66">
        <v>1</v>
      </c>
      <c r="S66">
        <v>8.9999999999999993E-3</v>
      </c>
      <c r="T66">
        <v>0.20799999999999999</v>
      </c>
      <c r="U66">
        <v>0.09</v>
      </c>
      <c r="W66" t="s">
        <v>1658</v>
      </c>
      <c r="Y66">
        <v>4396</v>
      </c>
      <c r="Z66">
        <v>4396</v>
      </c>
      <c r="AA66">
        <v>1</v>
      </c>
      <c r="AB66">
        <v>1</v>
      </c>
      <c r="AC66">
        <v>0.95</v>
      </c>
      <c r="AD66">
        <v>0</v>
      </c>
      <c r="AE66">
        <v>0</v>
      </c>
      <c r="AF66">
        <v>0</v>
      </c>
      <c r="AG66">
        <v>0</v>
      </c>
      <c r="AH66">
        <v>0</v>
      </c>
      <c r="AI66">
        <v>0</v>
      </c>
      <c r="AJ66">
        <v>0</v>
      </c>
      <c r="AK66">
        <v>0</v>
      </c>
      <c r="AO66" t="s">
        <v>1543</v>
      </c>
      <c r="AP66" t="s">
        <v>1599</v>
      </c>
    </row>
    <row r="67" spans="1:42">
      <c r="G67" t="s">
        <v>315</v>
      </c>
      <c r="J67" t="s">
        <v>974</v>
      </c>
      <c r="K67">
        <v>0.61</v>
      </c>
      <c r="L67">
        <v>0.46</v>
      </c>
      <c r="M67" t="s">
        <v>1346</v>
      </c>
      <c r="N67">
        <v>2390</v>
      </c>
      <c r="O67">
        <v>777</v>
      </c>
      <c r="P67">
        <v>1.17</v>
      </c>
      <c r="Q67">
        <v>1.21</v>
      </c>
      <c r="R67">
        <v>0.46</v>
      </c>
      <c r="S67">
        <v>0.02</v>
      </c>
      <c r="T67">
        <v>0.46800000000000003</v>
      </c>
      <c r="U67">
        <v>0.20399999999999999</v>
      </c>
      <c r="W67" t="s">
        <v>1661</v>
      </c>
      <c r="X67">
        <v>1.1000000000000001</v>
      </c>
      <c r="Y67">
        <v>7862</v>
      </c>
      <c r="Z67">
        <v>5950</v>
      </c>
      <c r="AA67">
        <v>1.1399999999999999</v>
      </c>
      <c r="AB67">
        <v>1.3</v>
      </c>
      <c r="AC67">
        <v>0.66</v>
      </c>
      <c r="AD67">
        <v>3.5000000000000003E-2</v>
      </c>
      <c r="AE67">
        <v>0.82299999999999995</v>
      </c>
      <c r="AF67">
        <v>0.35799999999999998</v>
      </c>
      <c r="AG67">
        <v>4711</v>
      </c>
      <c r="AH67">
        <v>4373</v>
      </c>
      <c r="AI67">
        <v>1646</v>
      </c>
      <c r="AJ67">
        <v>1457</v>
      </c>
      <c r="AK67">
        <v>8760</v>
      </c>
      <c r="AO67" t="s">
        <v>316</v>
      </c>
      <c r="AP67" t="s">
        <v>1693</v>
      </c>
    </row>
    <row r="68" spans="1:42">
      <c r="A68" t="s">
        <v>813</v>
      </c>
      <c r="G68" t="s">
        <v>1543</v>
      </c>
      <c r="J68" t="s">
        <v>975</v>
      </c>
      <c r="K68">
        <v>0.65</v>
      </c>
      <c r="L68">
        <v>0.67</v>
      </c>
      <c r="M68" t="s">
        <v>1341</v>
      </c>
      <c r="N68">
        <v>3379</v>
      </c>
      <c r="O68">
        <v>3612</v>
      </c>
      <c r="P68">
        <v>1.08</v>
      </c>
      <c r="Q68">
        <v>1.3</v>
      </c>
      <c r="R68">
        <v>0.67</v>
      </c>
      <c r="S68">
        <v>1.4999999999999999E-2</v>
      </c>
      <c r="T68">
        <v>0.35399999999999998</v>
      </c>
      <c r="U68">
        <v>0.154</v>
      </c>
      <c r="W68" t="s">
        <v>1662</v>
      </c>
      <c r="X68" s="114">
        <v>0.9</v>
      </c>
      <c r="Y68">
        <v>4099</v>
      </c>
      <c r="Z68">
        <v>2935</v>
      </c>
      <c r="AA68">
        <v>1.1599999999999999</v>
      </c>
      <c r="AB68">
        <v>1.24</v>
      </c>
      <c r="AC68">
        <v>0.97</v>
      </c>
      <c r="AD68">
        <v>1.2999999999999999E-2</v>
      </c>
      <c r="AE68">
        <v>0.315</v>
      </c>
      <c r="AF68">
        <v>0.13700000000000001</v>
      </c>
      <c r="AG68">
        <v>5270</v>
      </c>
      <c r="AH68">
        <v>1605</v>
      </c>
      <c r="AI68">
        <v>2981</v>
      </c>
      <c r="AJ68">
        <v>1051</v>
      </c>
      <c r="AK68">
        <v>7451</v>
      </c>
      <c r="AO68" t="s">
        <v>316</v>
      </c>
      <c r="AP68" t="s">
        <v>1692</v>
      </c>
    </row>
    <row r="69" spans="1:42">
      <c r="A69" t="s">
        <v>814</v>
      </c>
      <c r="G69" t="s">
        <v>316</v>
      </c>
      <c r="J69" t="s">
        <v>968</v>
      </c>
      <c r="K69">
        <v>0.4</v>
      </c>
      <c r="L69">
        <v>0</v>
      </c>
      <c r="M69" t="s">
        <v>1343</v>
      </c>
      <c r="N69">
        <v>4303</v>
      </c>
      <c r="O69">
        <v>4303</v>
      </c>
      <c r="P69">
        <v>1</v>
      </c>
      <c r="Q69">
        <v>1</v>
      </c>
      <c r="R69">
        <v>0</v>
      </c>
      <c r="S69">
        <v>0</v>
      </c>
      <c r="T69">
        <v>0</v>
      </c>
      <c r="U69">
        <v>0</v>
      </c>
      <c r="W69" t="s">
        <v>1663</v>
      </c>
      <c r="X69" s="114">
        <v>1.2</v>
      </c>
      <c r="Y69">
        <v>2860</v>
      </c>
      <c r="Z69">
        <v>2860</v>
      </c>
      <c r="AA69">
        <v>1.17</v>
      </c>
      <c r="AB69">
        <v>1.29</v>
      </c>
      <c r="AC69">
        <v>0.72</v>
      </c>
      <c r="AD69">
        <v>1.7999999999999999E-2</v>
      </c>
      <c r="AE69">
        <v>0.42</v>
      </c>
      <c r="AF69">
        <v>0.183</v>
      </c>
      <c r="AG69">
        <v>5038</v>
      </c>
      <c r="AH69">
        <v>2987</v>
      </c>
      <c r="AI69">
        <v>1603</v>
      </c>
      <c r="AJ69">
        <v>837</v>
      </c>
      <c r="AK69">
        <v>3765</v>
      </c>
      <c r="AO69" t="s">
        <v>316</v>
      </c>
      <c r="AP69" t="s">
        <v>968</v>
      </c>
    </row>
    <row r="70" spans="1:42">
      <c r="A70" t="s">
        <v>82</v>
      </c>
      <c r="G70" t="s">
        <v>317</v>
      </c>
      <c r="J70" t="s">
        <v>2259</v>
      </c>
      <c r="K70">
        <v>0.113</v>
      </c>
      <c r="L70">
        <v>0</v>
      </c>
      <c r="M70" t="s">
        <v>1343</v>
      </c>
      <c r="N70">
        <v>4303</v>
      </c>
      <c r="O70">
        <v>4303</v>
      </c>
      <c r="P70">
        <v>1</v>
      </c>
      <c r="Q70">
        <v>1</v>
      </c>
      <c r="R70">
        <v>0</v>
      </c>
      <c r="S70">
        <v>0</v>
      </c>
      <c r="T70">
        <v>0</v>
      </c>
      <c r="U70">
        <v>0</v>
      </c>
      <c r="W70" t="s">
        <v>1346</v>
      </c>
      <c r="X70" s="114">
        <v>1.2</v>
      </c>
      <c r="Y70">
        <v>3395</v>
      </c>
      <c r="Z70">
        <v>2588</v>
      </c>
      <c r="AA70">
        <v>1.02</v>
      </c>
      <c r="AB70">
        <v>1.54</v>
      </c>
      <c r="AC70">
        <v>0.63</v>
      </c>
      <c r="AD70">
        <v>2.3E-2</v>
      </c>
      <c r="AE70">
        <v>0.54800000000000004</v>
      </c>
      <c r="AF70">
        <v>0.23799999999999999</v>
      </c>
      <c r="AG70">
        <v>7005</v>
      </c>
      <c r="AH70">
        <v>4065</v>
      </c>
      <c r="AI70">
        <v>1293</v>
      </c>
      <c r="AJ70">
        <v>564</v>
      </c>
      <c r="AK70">
        <v>3460</v>
      </c>
      <c r="AO70" t="s">
        <v>316</v>
      </c>
      <c r="AP70" t="s">
        <v>1508</v>
      </c>
    </row>
    <row r="71" spans="1:42">
      <c r="A71" t="s">
        <v>815</v>
      </c>
      <c r="G71" t="s">
        <v>318</v>
      </c>
      <c r="J71" t="s">
        <v>1509</v>
      </c>
      <c r="K71" s="9">
        <v>0.35</v>
      </c>
      <c r="L71">
        <v>1</v>
      </c>
      <c r="M71" t="s">
        <v>1343</v>
      </c>
      <c r="N71">
        <v>4303</v>
      </c>
      <c r="O71">
        <v>4303</v>
      </c>
      <c r="P71">
        <v>1</v>
      </c>
      <c r="Q71">
        <v>1</v>
      </c>
      <c r="R71">
        <v>0</v>
      </c>
      <c r="S71">
        <v>0</v>
      </c>
      <c r="T71">
        <v>0</v>
      </c>
      <c r="U71">
        <v>0</v>
      </c>
      <c r="W71" t="s">
        <v>1664</v>
      </c>
      <c r="X71" s="114">
        <v>1.5</v>
      </c>
      <c r="Y71">
        <v>4672</v>
      </c>
      <c r="Z71">
        <v>3650</v>
      </c>
      <c r="AA71">
        <v>1.0900000000000001</v>
      </c>
      <c r="AB71">
        <v>1.26</v>
      </c>
      <c r="AC71">
        <v>0.76</v>
      </c>
      <c r="AD71">
        <v>3.5000000000000003E-2</v>
      </c>
      <c r="AE71">
        <v>0.82799999999999996</v>
      </c>
      <c r="AF71">
        <v>0.36</v>
      </c>
      <c r="AG71">
        <v>4136</v>
      </c>
      <c r="AH71">
        <v>2084</v>
      </c>
      <c r="AI71">
        <v>1368</v>
      </c>
      <c r="AJ71">
        <v>1067</v>
      </c>
      <c r="AK71">
        <v>7004</v>
      </c>
      <c r="AO71" t="s">
        <v>316</v>
      </c>
      <c r="AP71" t="s">
        <v>1509</v>
      </c>
    </row>
    <row r="72" spans="1:42">
      <c r="A72" t="s">
        <v>816</v>
      </c>
      <c r="G72" t="s">
        <v>319</v>
      </c>
      <c r="J72" t="s">
        <v>1210</v>
      </c>
      <c r="K72">
        <v>0.06</v>
      </c>
      <c r="L72">
        <v>2</v>
      </c>
      <c r="M72" t="s">
        <v>1343</v>
      </c>
      <c r="N72">
        <v>4303</v>
      </c>
      <c r="O72">
        <v>4303</v>
      </c>
      <c r="P72">
        <v>1</v>
      </c>
      <c r="Q72">
        <v>1</v>
      </c>
      <c r="R72">
        <v>0</v>
      </c>
      <c r="S72">
        <v>0</v>
      </c>
      <c r="T72">
        <v>0</v>
      </c>
      <c r="U72">
        <v>0</v>
      </c>
      <c r="W72" t="s">
        <v>1665</v>
      </c>
      <c r="X72" s="114">
        <v>1.2</v>
      </c>
      <c r="Y72">
        <v>4093</v>
      </c>
      <c r="Z72">
        <v>2935</v>
      </c>
      <c r="AA72">
        <v>1.05</v>
      </c>
      <c r="AB72">
        <v>1.34</v>
      </c>
      <c r="AC72">
        <v>1</v>
      </c>
      <c r="AD72">
        <v>1.7000000000000001E-2</v>
      </c>
      <c r="AE72">
        <v>0.39400000000000002</v>
      </c>
      <c r="AF72">
        <v>0.17100000000000001</v>
      </c>
      <c r="AG72">
        <v>4940</v>
      </c>
      <c r="AH72">
        <v>1708</v>
      </c>
      <c r="AI72">
        <v>2947</v>
      </c>
      <c r="AJ72">
        <v>943</v>
      </c>
      <c r="AK72">
        <v>7156</v>
      </c>
      <c r="AO72" t="s">
        <v>316</v>
      </c>
      <c r="AP72" t="s">
        <v>1210</v>
      </c>
    </row>
    <row r="73" spans="1:42">
      <c r="G73" t="s">
        <v>320</v>
      </c>
      <c r="J73" t="s">
        <v>990</v>
      </c>
      <c r="K73">
        <v>0.7</v>
      </c>
      <c r="L73">
        <v>3</v>
      </c>
      <c r="M73" t="s">
        <v>1343</v>
      </c>
      <c r="N73">
        <v>4303</v>
      </c>
      <c r="O73">
        <v>4303</v>
      </c>
      <c r="P73">
        <v>1</v>
      </c>
      <c r="Q73">
        <v>1</v>
      </c>
      <c r="R73">
        <v>0</v>
      </c>
      <c r="S73">
        <v>0</v>
      </c>
      <c r="T73">
        <v>0</v>
      </c>
      <c r="U73">
        <v>0</v>
      </c>
      <c r="W73" t="s">
        <v>1666</v>
      </c>
      <c r="X73" s="114">
        <v>1.2</v>
      </c>
      <c r="Y73">
        <v>3038</v>
      </c>
      <c r="Z73">
        <v>2118</v>
      </c>
      <c r="AA73">
        <v>1.04</v>
      </c>
      <c r="AB73">
        <v>1.51</v>
      </c>
      <c r="AC73">
        <v>0.65</v>
      </c>
      <c r="AD73">
        <v>1.9E-2</v>
      </c>
      <c r="AE73">
        <v>0.45500000000000002</v>
      </c>
      <c r="AF73">
        <v>0.19800000000000001</v>
      </c>
      <c r="AG73">
        <v>6028</v>
      </c>
      <c r="AH73">
        <v>2649</v>
      </c>
      <c r="AI73">
        <v>1603</v>
      </c>
      <c r="AJ73">
        <v>837</v>
      </c>
      <c r="AK73">
        <v>3765</v>
      </c>
      <c r="AO73" t="s">
        <v>316</v>
      </c>
      <c r="AP73" t="s">
        <v>990</v>
      </c>
    </row>
    <row r="74" spans="1:42">
      <c r="G74" t="s">
        <v>321</v>
      </c>
      <c r="J74" t="s">
        <v>993</v>
      </c>
      <c r="K74">
        <v>0.6</v>
      </c>
      <c r="L74">
        <v>4</v>
      </c>
      <c r="M74" t="s">
        <v>1343</v>
      </c>
      <c r="N74">
        <v>4303</v>
      </c>
      <c r="O74">
        <v>4303</v>
      </c>
      <c r="P74">
        <v>1</v>
      </c>
      <c r="Q74">
        <v>1</v>
      </c>
      <c r="R74">
        <v>0</v>
      </c>
      <c r="S74">
        <v>0</v>
      </c>
      <c r="T74">
        <v>0</v>
      </c>
      <c r="U74">
        <v>0</v>
      </c>
      <c r="W74" t="s">
        <v>1667</v>
      </c>
      <c r="X74" s="114">
        <v>1.2</v>
      </c>
      <c r="Y74">
        <v>2698</v>
      </c>
      <c r="Z74">
        <v>3088</v>
      </c>
      <c r="AA74">
        <v>1.06</v>
      </c>
      <c r="AB74">
        <v>1.0900000000000001</v>
      </c>
      <c r="AC74">
        <v>0.65</v>
      </c>
      <c r="AD74">
        <v>1E-3</v>
      </c>
      <c r="AE74">
        <v>1.4E-2</v>
      </c>
      <c r="AF74">
        <v>6.0000000000000001E-3</v>
      </c>
      <c r="AG74">
        <v>3936</v>
      </c>
      <c r="AH74">
        <v>3277</v>
      </c>
      <c r="AI74">
        <v>2670</v>
      </c>
      <c r="AJ74">
        <v>3009</v>
      </c>
      <c r="AK74">
        <v>8760</v>
      </c>
      <c r="AO74" t="s">
        <v>316</v>
      </c>
      <c r="AP74" t="s">
        <v>993</v>
      </c>
    </row>
    <row r="75" spans="1:42">
      <c r="A75" t="s">
        <v>472</v>
      </c>
      <c r="G75" t="s">
        <v>322</v>
      </c>
      <c r="J75" t="s">
        <v>994</v>
      </c>
      <c r="K75">
        <v>0.11</v>
      </c>
      <c r="L75">
        <v>5</v>
      </c>
      <c r="M75" t="s">
        <v>1343</v>
      </c>
      <c r="N75">
        <v>4303</v>
      </c>
      <c r="O75">
        <v>4303</v>
      </c>
      <c r="P75">
        <v>1</v>
      </c>
      <c r="Q75">
        <v>1</v>
      </c>
      <c r="R75">
        <v>0</v>
      </c>
      <c r="S75">
        <v>0</v>
      </c>
      <c r="T75">
        <v>0</v>
      </c>
      <c r="U75">
        <v>0</v>
      </c>
      <c r="W75" t="s">
        <v>1693</v>
      </c>
      <c r="X75">
        <v>0.15</v>
      </c>
      <c r="Y75">
        <v>1200</v>
      </c>
      <c r="Z75">
        <v>1200</v>
      </c>
      <c r="AA75">
        <v>1</v>
      </c>
      <c r="AB75">
        <v>1</v>
      </c>
      <c r="AC75">
        <v>0</v>
      </c>
      <c r="AD75">
        <v>0</v>
      </c>
      <c r="AE75">
        <v>0</v>
      </c>
      <c r="AF75">
        <v>0</v>
      </c>
      <c r="AG75">
        <v>0</v>
      </c>
      <c r="AH75">
        <v>0</v>
      </c>
      <c r="AI75">
        <v>0</v>
      </c>
      <c r="AJ75">
        <v>0</v>
      </c>
      <c r="AK75">
        <v>0</v>
      </c>
      <c r="AO75" t="s">
        <v>316</v>
      </c>
      <c r="AP75" t="s">
        <v>994</v>
      </c>
    </row>
    <row r="76" spans="1:42">
      <c r="A76" t="s">
        <v>822</v>
      </c>
      <c r="G76" t="s">
        <v>323</v>
      </c>
      <c r="J76" t="s">
        <v>2256</v>
      </c>
      <c r="K76">
        <v>0.53</v>
      </c>
      <c r="L76" s="52">
        <f>LPDWATT[[#This Row],[Coincidence Factor CF]]</f>
        <v>0.65</v>
      </c>
      <c r="N76" s="597">
        <v>2698</v>
      </c>
      <c r="O76">
        <v>3088</v>
      </c>
      <c r="P76">
        <v>1.06</v>
      </c>
      <c r="Q76">
        <v>1.0900000000000001</v>
      </c>
      <c r="R76">
        <v>0.65</v>
      </c>
      <c r="S76">
        <v>1E-3</v>
      </c>
      <c r="T76">
        <v>1.4E-2</v>
      </c>
      <c r="U76">
        <v>6.0000000000000001E-3</v>
      </c>
      <c r="W76" t="s">
        <v>1692</v>
      </c>
      <c r="X76">
        <v>0.15</v>
      </c>
      <c r="Y76">
        <v>4300</v>
      </c>
      <c r="Z76">
        <v>4300</v>
      </c>
      <c r="AA76">
        <v>1</v>
      </c>
      <c r="AB76">
        <v>1</v>
      </c>
      <c r="AC76">
        <v>0</v>
      </c>
      <c r="AD76">
        <v>0</v>
      </c>
      <c r="AE76">
        <v>0</v>
      </c>
      <c r="AF76">
        <v>0</v>
      </c>
      <c r="AG76">
        <v>0</v>
      </c>
      <c r="AH76">
        <v>0</v>
      </c>
      <c r="AI76">
        <v>0</v>
      </c>
      <c r="AJ76">
        <v>0</v>
      </c>
      <c r="AK76">
        <v>0</v>
      </c>
      <c r="AO76" t="s">
        <v>316</v>
      </c>
      <c r="AP76" t="s">
        <v>988</v>
      </c>
    </row>
    <row r="77" spans="1:42">
      <c r="A77" t="s">
        <v>1033</v>
      </c>
      <c r="G77" t="s">
        <v>324</v>
      </c>
      <c r="J77" t="s">
        <v>976</v>
      </c>
      <c r="K77">
        <v>0.68</v>
      </c>
      <c r="L77" s="52">
        <f>LPDWATT[[#This Row],[Coincidence Factor CF]]</f>
        <v>0.67</v>
      </c>
      <c r="M77">
        <v>3612</v>
      </c>
      <c r="N77">
        <v>3379</v>
      </c>
      <c r="O77">
        <v>3612</v>
      </c>
      <c r="P77">
        <v>1.08</v>
      </c>
      <c r="Q77">
        <v>1.3</v>
      </c>
      <c r="R77">
        <v>0.67</v>
      </c>
      <c r="S77">
        <v>1.4999999999999999E-2</v>
      </c>
      <c r="T77">
        <v>0.35399999999999998</v>
      </c>
      <c r="U77">
        <v>0.154</v>
      </c>
      <c r="W77" t="s">
        <v>968</v>
      </c>
      <c r="X77">
        <v>1.25</v>
      </c>
      <c r="Y77">
        <v>4300</v>
      </c>
      <c r="Z77">
        <v>4300</v>
      </c>
      <c r="AA77">
        <v>1</v>
      </c>
      <c r="AB77">
        <v>1</v>
      </c>
      <c r="AC77">
        <v>0</v>
      </c>
      <c r="AD77">
        <v>0</v>
      </c>
      <c r="AE77">
        <v>0</v>
      </c>
      <c r="AF77">
        <v>0</v>
      </c>
      <c r="AG77">
        <v>0</v>
      </c>
      <c r="AH77">
        <v>0</v>
      </c>
      <c r="AI77">
        <v>0</v>
      </c>
      <c r="AJ77">
        <v>0</v>
      </c>
      <c r="AK77">
        <v>0</v>
      </c>
      <c r="AO77" t="s">
        <v>316</v>
      </c>
      <c r="AP77" t="s">
        <v>1599</v>
      </c>
    </row>
    <row r="78" spans="1:42">
      <c r="A78" t="s">
        <v>1034</v>
      </c>
      <c r="G78" t="s">
        <v>325</v>
      </c>
      <c r="J78" t="s">
        <v>977</v>
      </c>
      <c r="K78">
        <v>0.82</v>
      </c>
      <c r="L78" s="52">
        <f>LPDWATT[[#This Row],[Coincidence Factor CF]]</f>
        <v>0.67</v>
      </c>
      <c r="M78" t="s">
        <v>1337</v>
      </c>
      <c r="N78">
        <v>3890</v>
      </c>
      <c r="O78">
        <v>4207</v>
      </c>
      <c r="P78">
        <v>1.1399999999999999</v>
      </c>
      <c r="Q78">
        <v>1.04</v>
      </c>
      <c r="R78">
        <v>0.67</v>
      </c>
      <c r="S78">
        <v>0.02</v>
      </c>
      <c r="T78">
        <v>0.46300000000000002</v>
      </c>
      <c r="U78">
        <v>0.20100000000000001</v>
      </c>
      <c r="W78" t="s">
        <v>1508</v>
      </c>
      <c r="X78" s="114">
        <v>5</v>
      </c>
      <c r="Y78">
        <v>4300</v>
      </c>
      <c r="Z78">
        <v>4300</v>
      </c>
      <c r="AA78">
        <v>1</v>
      </c>
      <c r="AB78">
        <v>1</v>
      </c>
      <c r="AC78">
        <v>0</v>
      </c>
      <c r="AD78">
        <v>0</v>
      </c>
      <c r="AE78">
        <v>0</v>
      </c>
      <c r="AF78">
        <v>0</v>
      </c>
      <c r="AG78">
        <v>0</v>
      </c>
      <c r="AH78">
        <v>0</v>
      </c>
      <c r="AI78">
        <v>0</v>
      </c>
      <c r="AJ78">
        <v>0</v>
      </c>
      <c r="AK78">
        <v>0</v>
      </c>
      <c r="AO78" t="s">
        <v>317</v>
      </c>
      <c r="AP78" t="s">
        <v>1664</v>
      </c>
    </row>
    <row r="79" spans="1:42">
      <c r="A79" t="s">
        <v>1035</v>
      </c>
      <c r="G79" t="s">
        <v>326</v>
      </c>
      <c r="J79" t="s">
        <v>978</v>
      </c>
      <c r="K79">
        <v>1.05</v>
      </c>
      <c r="L79" s="52">
        <f>LPDWATT[[#This Row],[Coincidence Factor CF]]</f>
        <v>0.56000000000000005</v>
      </c>
      <c r="M79" t="s">
        <v>1337</v>
      </c>
      <c r="N79">
        <v>7616</v>
      </c>
      <c r="O79">
        <v>4207</v>
      </c>
      <c r="P79">
        <v>1.1299999999999999</v>
      </c>
      <c r="Q79">
        <v>1.35</v>
      </c>
      <c r="R79">
        <v>0.56000000000000005</v>
      </c>
      <c r="S79">
        <v>6.0000000000000001E-3</v>
      </c>
      <c r="T79">
        <v>0.14799999999999999</v>
      </c>
      <c r="U79">
        <v>6.4000000000000001E-2</v>
      </c>
      <c r="W79" t="s">
        <v>1509</v>
      </c>
      <c r="X79">
        <v>0.5</v>
      </c>
      <c r="Y79">
        <v>4300</v>
      </c>
      <c r="Z79">
        <v>4300</v>
      </c>
      <c r="AA79">
        <v>1</v>
      </c>
      <c r="AB79">
        <v>1</v>
      </c>
      <c r="AC79">
        <v>0</v>
      </c>
      <c r="AD79">
        <v>0</v>
      </c>
      <c r="AE79">
        <v>0</v>
      </c>
      <c r="AF79">
        <v>0</v>
      </c>
      <c r="AG79">
        <v>0</v>
      </c>
      <c r="AH79">
        <v>0</v>
      </c>
      <c r="AI79">
        <v>0</v>
      </c>
      <c r="AJ79">
        <v>0</v>
      </c>
      <c r="AK79">
        <v>0</v>
      </c>
      <c r="AO79" t="s">
        <v>317</v>
      </c>
      <c r="AP79" t="s">
        <v>1665</v>
      </c>
    </row>
    <row r="80" spans="1:42">
      <c r="A80" t="s">
        <v>835</v>
      </c>
      <c r="G80" t="s">
        <v>327</v>
      </c>
      <c r="J80" t="s">
        <v>979</v>
      </c>
      <c r="K80">
        <v>0.75</v>
      </c>
      <c r="L80" s="52">
        <f>LPDWATT[[#This Row],[Coincidence Factor CF]]</f>
        <v>8.5000000000000006E-2</v>
      </c>
      <c r="M80" t="s">
        <v>1338</v>
      </c>
      <c r="N80">
        <v>6138</v>
      </c>
      <c r="O80">
        <v>4542</v>
      </c>
      <c r="P80">
        <v>1.0900000000000001</v>
      </c>
      <c r="Q80">
        <v>1.26</v>
      </c>
      <c r="R80">
        <v>8.5000000000000006E-2</v>
      </c>
      <c r="S80">
        <v>1.7000000000000001E-2</v>
      </c>
      <c r="T80">
        <v>0.40600000000000003</v>
      </c>
      <c r="U80">
        <v>0.17599999999999999</v>
      </c>
      <c r="W80" t="s">
        <v>1210</v>
      </c>
      <c r="X80">
        <v>0.15</v>
      </c>
      <c r="Y80">
        <v>4300</v>
      </c>
      <c r="Z80">
        <v>4300</v>
      </c>
      <c r="AA80">
        <v>1</v>
      </c>
      <c r="AB80">
        <v>1</v>
      </c>
      <c r="AC80">
        <v>0</v>
      </c>
      <c r="AD80">
        <v>0</v>
      </c>
      <c r="AE80">
        <v>0</v>
      </c>
      <c r="AF80">
        <v>0</v>
      </c>
      <c r="AG80">
        <v>0</v>
      </c>
      <c r="AH80">
        <v>0</v>
      </c>
      <c r="AI80">
        <v>0</v>
      </c>
      <c r="AJ80">
        <v>0</v>
      </c>
      <c r="AK80">
        <v>0</v>
      </c>
      <c r="AO80" t="s">
        <v>317</v>
      </c>
      <c r="AP80" t="s">
        <v>1693</v>
      </c>
    </row>
    <row r="81" spans="1:42">
      <c r="A81" t="s">
        <v>834</v>
      </c>
      <c r="G81" t="s">
        <v>328</v>
      </c>
      <c r="J81" t="s">
        <v>980</v>
      </c>
      <c r="K81">
        <v>1.19</v>
      </c>
      <c r="L81" s="52">
        <f>LPDWATT[[#This Row],[Coincidence Factor CF]]</f>
        <v>0.67</v>
      </c>
      <c r="M81" t="s">
        <v>1341</v>
      </c>
      <c r="N81">
        <v>3379</v>
      </c>
      <c r="O81">
        <v>3612</v>
      </c>
      <c r="P81">
        <v>1.08</v>
      </c>
      <c r="Q81">
        <v>1.3</v>
      </c>
      <c r="R81">
        <v>0.67</v>
      </c>
      <c r="S81">
        <v>1.4999999999999999E-2</v>
      </c>
      <c r="T81">
        <v>0.35399999999999998</v>
      </c>
      <c r="U81">
        <v>0.154</v>
      </c>
      <c r="W81" t="s">
        <v>990</v>
      </c>
      <c r="X81" s="114">
        <v>1</v>
      </c>
      <c r="Y81">
        <v>4300</v>
      </c>
      <c r="Z81">
        <v>4300</v>
      </c>
      <c r="AA81">
        <v>1</v>
      </c>
      <c r="AB81">
        <v>1</v>
      </c>
      <c r="AC81">
        <v>0</v>
      </c>
      <c r="AD81">
        <v>0</v>
      </c>
      <c r="AE81">
        <v>0</v>
      </c>
      <c r="AF81">
        <v>0</v>
      </c>
      <c r="AG81">
        <v>0</v>
      </c>
      <c r="AH81">
        <v>0</v>
      </c>
      <c r="AI81">
        <v>0</v>
      </c>
      <c r="AJ81">
        <v>0</v>
      </c>
      <c r="AK81">
        <v>0</v>
      </c>
      <c r="AO81" t="s">
        <v>317</v>
      </c>
      <c r="AP81" t="s">
        <v>1692</v>
      </c>
    </row>
    <row r="82" spans="1:42">
      <c r="A82" t="s">
        <v>839</v>
      </c>
      <c r="J82" t="s">
        <v>1677</v>
      </c>
      <c r="K82">
        <v>0.9</v>
      </c>
      <c r="L82" s="52">
        <f>LPDWATT[[#This Row],[Coincidence Factor CF]]</f>
        <v>0.81</v>
      </c>
      <c r="M82" t="s">
        <v>1335</v>
      </c>
      <c r="N82">
        <v>4618</v>
      </c>
      <c r="O82">
        <v>2629</v>
      </c>
      <c r="P82">
        <v>1.02</v>
      </c>
      <c r="Q82">
        <v>1.04</v>
      </c>
      <c r="R82">
        <v>0.81</v>
      </c>
      <c r="S82">
        <v>1.2E-2</v>
      </c>
      <c r="T82">
        <v>0.27</v>
      </c>
      <c r="U82">
        <v>0.11700000000000001</v>
      </c>
      <c r="W82" t="s">
        <v>993</v>
      </c>
      <c r="X82" s="114">
        <v>1</v>
      </c>
      <c r="Y82">
        <v>4300</v>
      </c>
      <c r="Z82">
        <v>4300</v>
      </c>
      <c r="AA82">
        <v>1</v>
      </c>
      <c r="AB82">
        <v>1</v>
      </c>
      <c r="AC82">
        <v>0</v>
      </c>
      <c r="AD82">
        <v>0</v>
      </c>
      <c r="AE82">
        <v>0</v>
      </c>
      <c r="AF82">
        <v>0</v>
      </c>
      <c r="AG82">
        <v>0</v>
      </c>
      <c r="AH82">
        <v>0</v>
      </c>
      <c r="AI82">
        <v>0</v>
      </c>
      <c r="AJ82">
        <v>0</v>
      </c>
      <c r="AK82">
        <v>0</v>
      </c>
      <c r="AO82" t="s">
        <v>317</v>
      </c>
      <c r="AP82" t="s">
        <v>968</v>
      </c>
    </row>
    <row r="83" spans="1:42">
      <c r="A83" t="s">
        <v>906</v>
      </c>
      <c r="J83" t="s">
        <v>981</v>
      </c>
      <c r="K83">
        <v>0.75</v>
      </c>
      <c r="L83" s="52">
        <f>LPDWATT[[#This Row],[Coincidence Factor CF]]</f>
        <v>8.5000000000000006E-2</v>
      </c>
      <c r="M83" t="s">
        <v>1338</v>
      </c>
      <c r="N83">
        <v>6138</v>
      </c>
      <c r="O83">
        <v>4542</v>
      </c>
      <c r="P83">
        <v>1.0900000000000001</v>
      </c>
      <c r="Q83">
        <v>1.26</v>
      </c>
      <c r="R83">
        <v>8.5000000000000006E-2</v>
      </c>
      <c r="S83">
        <v>1.7000000000000001E-2</v>
      </c>
      <c r="T83">
        <v>0.40600000000000003</v>
      </c>
      <c r="U83">
        <v>0.17599999999999999</v>
      </c>
      <c r="W83" t="s">
        <v>994</v>
      </c>
      <c r="X83">
        <v>0.2</v>
      </c>
      <c r="Y83">
        <v>4300</v>
      </c>
      <c r="Z83">
        <v>4300</v>
      </c>
      <c r="AA83">
        <v>1</v>
      </c>
      <c r="AB83">
        <v>1</v>
      </c>
      <c r="AC83">
        <v>0</v>
      </c>
      <c r="AD83">
        <v>0</v>
      </c>
      <c r="AE83">
        <v>0</v>
      </c>
      <c r="AF83">
        <v>0</v>
      </c>
      <c r="AG83">
        <v>0</v>
      </c>
      <c r="AH83">
        <v>0</v>
      </c>
      <c r="AI83">
        <v>0</v>
      </c>
      <c r="AJ83">
        <v>0</v>
      </c>
      <c r="AK83">
        <v>0</v>
      </c>
      <c r="AO83" t="s">
        <v>317</v>
      </c>
      <c r="AP83" t="s">
        <v>1508</v>
      </c>
    </row>
    <row r="84" spans="1:42">
      <c r="A84" t="s">
        <v>2151</v>
      </c>
      <c r="J84" t="s">
        <v>982</v>
      </c>
      <c r="K84">
        <v>0.83</v>
      </c>
      <c r="L84" s="52">
        <f>LPDWATT[[#This Row],[Coincidence Factor CF]]</f>
        <v>0.53</v>
      </c>
      <c r="M84" t="s">
        <v>1341</v>
      </c>
      <c r="N84">
        <v>3506</v>
      </c>
      <c r="O84">
        <v>5475</v>
      </c>
      <c r="P84">
        <v>1.1100000000000001</v>
      </c>
      <c r="Q84">
        <v>1.38</v>
      </c>
      <c r="R84">
        <v>0.53</v>
      </c>
      <c r="S84">
        <v>2.9000000000000001E-2</v>
      </c>
      <c r="T84">
        <v>0.67300000000000004</v>
      </c>
      <c r="U84">
        <v>0.29299999999999998</v>
      </c>
      <c r="W84" t="s">
        <v>1697</v>
      </c>
      <c r="Y84">
        <v>5802</v>
      </c>
      <c r="AA84">
        <v>1.5</v>
      </c>
      <c r="AB84">
        <v>1.5</v>
      </c>
      <c r="AC84">
        <v>1</v>
      </c>
      <c r="AD84">
        <v>0</v>
      </c>
      <c r="AE84">
        <v>0</v>
      </c>
      <c r="AF84">
        <v>0</v>
      </c>
      <c r="AG84">
        <v>0</v>
      </c>
      <c r="AH84">
        <v>0</v>
      </c>
      <c r="AI84">
        <v>0</v>
      </c>
      <c r="AJ84">
        <v>0</v>
      </c>
      <c r="AK84">
        <v>0</v>
      </c>
      <c r="AO84" t="s">
        <v>317</v>
      </c>
      <c r="AP84" t="s">
        <v>1509</v>
      </c>
    </row>
    <row r="85" spans="1:42">
      <c r="J85" t="s">
        <v>983</v>
      </c>
      <c r="K85">
        <v>0.63</v>
      </c>
      <c r="L85" s="52">
        <f>LPDWATT[[#This Row],[Coincidence Factor CF]]</f>
        <v>0.62</v>
      </c>
      <c r="M85" t="s">
        <v>1337</v>
      </c>
      <c r="N85">
        <v>5216</v>
      </c>
      <c r="O85">
        <v>5950</v>
      </c>
      <c r="P85">
        <v>1.1100000000000001</v>
      </c>
      <c r="Q85">
        <v>1.1599999999999999</v>
      </c>
      <c r="R85">
        <v>0.62</v>
      </c>
      <c r="S85">
        <v>2.1000000000000001E-2</v>
      </c>
      <c r="T85">
        <v>0.48399999999999999</v>
      </c>
      <c r="U85">
        <v>0.21099999999999999</v>
      </c>
      <c r="W85" t="s">
        <v>1668</v>
      </c>
      <c r="X85" s="114">
        <v>0.3</v>
      </c>
      <c r="Y85">
        <v>3401</v>
      </c>
      <c r="Z85">
        <v>3540</v>
      </c>
      <c r="AA85">
        <v>1</v>
      </c>
      <c r="AB85">
        <v>1</v>
      </c>
      <c r="AC85">
        <v>0.92</v>
      </c>
      <c r="AD85">
        <v>0</v>
      </c>
      <c r="AE85">
        <v>0</v>
      </c>
      <c r="AF85">
        <v>0</v>
      </c>
      <c r="AG85">
        <v>4849</v>
      </c>
      <c r="AH85">
        <v>2102</v>
      </c>
      <c r="AI85">
        <v>969</v>
      </c>
      <c r="AJ85">
        <v>974</v>
      </c>
      <c r="AK85">
        <v>7357</v>
      </c>
      <c r="AO85" t="s">
        <v>317</v>
      </c>
      <c r="AP85" t="s">
        <v>1210</v>
      </c>
    </row>
    <row r="86" spans="1:42">
      <c r="A86" t="s">
        <v>1090</v>
      </c>
      <c r="J86" t="s">
        <v>984</v>
      </c>
      <c r="K86">
        <v>1.06</v>
      </c>
      <c r="L86" s="52">
        <f>LPDWATT[[#This Row],[Coincidence Factor CF]]</f>
        <v>0.67</v>
      </c>
      <c r="M86" t="s">
        <v>1334</v>
      </c>
      <c r="N86">
        <v>3379</v>
      </c>
      <c r="O86">
        <v>3612</v>
      </c>
      <c r="P86">
        <v>1.08</v>
      </c>
      <c r="Q86">
        <v>1.3</v>
      </c>
      <c r="R86">
        <v>0.67</v>
      </c>
      <c r="S86">
        <v>1.4999999999999999E-2</v>
      </c>
      <c r="T86">
        <v>0.35399999999999998</v>
      </c>
      <c r="U86">
        <v>0.154</v>
      </c>
      <c r="W86" t="s">
        <v>1669</v>
      </c>
      <c r="X86" s="114">
        <v>0.3</v>
      </c>
      <c r="Y86">
        <v>8766</v>
      </c>
      <c r="Z86">
        <v>8766</v>
      </c>
      <c r="AA86">
        <v>1</v>
      </c>
      <c r="AB86">
        <v>1</v>
      </c>
      <c r="AC86">
        <v>1</v>
      </c>
      <c r="AD86">
        <v>0</v>
      </c>
      <c r="AE86">
        <v>0</v>
      </c>
      <c r="AF86">
        <v>0</v>
      </c>
      <c r="AG86">
        <v>4849</v>
      </c>
      <c r="AH86">
        <v>2102</v>
      </c>
      <c r="AI86">
        <v>969</v>
      </c>
      <c r="AJ86">
        <v>974</v>
      </c>
      <c r="AK86">
        <v>7357</v>
      </c>
      <c r="AO86" t="s">
        <v>317</v>
      </c>
      <c r="AP86" t="s">
        <v>990</v>
      </c>
    </row>
    <row r="87" spans="1:42">
      <c r="A87" t="s">
        <v>1555</v>
      </c>
      <c r="J87" t="s">
        <v>325</v>
      </c>
      <c r="K87">
        <v>0.79</v>
      </c>
      <c r="L87" s="52">
        <f>LPDWATT[[#This Row],[Coincidence Factor CF]]</f>
        <v>0.6</v>
      </c>
      <c r="M87" t="s">
        <v>1339</v>
      </c>
      <c r="N87">
        <v>3266</v>
      </c>
      <c r="O87">
        <v>3088</v>
      </c>
      <c r="P87">
        <v>1.1000000000000001</v>
      </c>
      <c r="Q87">
        <v>1.36</v>
      </c>
      <c r="R87">
        <v>0.6</v>
      </c>
      <c r="S87">
        <v>1.6E-2</v>
      </c>
      <c r="T87">
        <v>0.378</v>
      </c>
      <c r="U87">
        <v>0.16400000000000001</v>
      </c>
      <c r="W87" t="s">
        <v>1670</v>
      </c>
      <c r="X87" s="114">
        <v>1.5</v>
      </c>
      <c r="Y87">
        <v>8468</v>
      </c>
      <c r="Z87">
        <v>3650</v>
      </c>
      <c r="AA87">
        <v>1.05</v>
      </c>
      <c r="AB87">
        <v>1.22</v>
      </c>
      <c r="AC87">
        <v>0.82</v>
      </c>
      <c r="AD87">
        <v>0.01</v>
      </c>
      <c r="AE87">
        <v>0.23</v>
      </c>
      <c r="AF87">
        <v>0.1</v>
      </c>
      <c r="AG87">
        <v>7452</v>
      </c>
      <c r="AH87">
        <v>5470</v>
      </c>
      <c r="AI87">
        <v>1551</v>
      </c>
      <c r="AJ87">
        <v>914</v>
      </c>
      <c r="AK87">
        <v>8543</v>
      </c>
      <c r="AO87" t="s">
        <v>317</v>
      </c>
      <c r="AP87" t="s">
        <v>993</v>
      </c>
    </row>
    <row r="88" spans="1:42">
      <c r="A88" t="s">
        <v>1556</v>
      </c>
      <c r="J88" t="s">
        <v>326</v>
      </c>
      <c r="K88">
        <v>0.15</v>
      </c>
      <c r="L88" s="52">
        <f>LPDWATT[[#This Row],[Coincidence Factor CF]]</f>
        <v>0</v>
      </c>
      <c r="M88" t="s">
        <v>1341</v>
      </c>
      <c r="N88">
        <v>4303</v>
      </c>
      <c r="O88">
        <v>4303</v>
      </c>
      <c r="P88">
        <v>1</v>
      </c>
      <c r="Q88">
        <v>1</v>
      </c>
      <c r="R88">
        <v>0</v>
      </c>
      <c r="S88">
        <v>0</v>
      </c>
      <c r="T88">
        <v>0</v>
      </c>
      <c r="U88">
        <v>0</v>
      </c>
      <c r="W88" t="s">
        <v>1671</v>
      </c>
      <c r="X88" s="114">
        <v>1.2</v>
      </c>
      <c r="Y88">
        <v>3890</v>
      </c>
      <c r="Z88">
        <v>4207</v>
      </c>
      <c r="AA88">
        <v>1.1399999999999999</v>
      </c>
      <c r="AB88">
        <v>1.04</v>
      </c>
      <c r="AC88">
        <v>0.67</v>
      </c>
      <c r="AD88">
        <v>0.02</v>
      </c>
      <c r="AE88">
        <v>0.46300000000000002</v>
      </c>
      <c r="AF88">
        <v>0.20100000000000001</v>
      </c>
      <c r="AG88">
        <v>8760</v>
      </c>
      <c r="AH88">
        <v>5470</v>
      </c>
      <c r="AI88">
        <v>1526</v>
      </c>
      <c r="AJ88">
        <v>1294</v>
      </c>
      <c r="AK88">
        <v>4314</v>
      </c>
      <c r="AO88" t="s">
        <v>317</v>
      </c>
      <c r="AP88" t="s">
        <v>994</v>
      </c>
    </row>
    <row r="89" spans="1:42">
      <c r="A89" t="s">
        <v>1557</v>
      </c>
      <c r="J89" t="s">
        <v>985</v>
      </c>
      <c r="K89">
        <v>0.75</v>
      </c>
      <c r="L89" s="52">
        <f>LPDWATT[[#This Row],[Coincidence Factor CF]]</f>
        <v>0.67</v>
      </c>
      <c r="M89" t="s">
        <v>1341</v>
      </c>
      <c r="N89">
        <v>3379</v>
      </c>
      <c r="O89">
        <v>3612</v>
      </c>
      <c r="P89">
        <v>1.08</v>
      </c>
      <c r="Q89">
        <v>1.3</v>
      </c>
      <c r="R89">
        <v>0.67</v>
      </c>
      <c r="S89">
        <v>1.4999999999999999E-2</v>
      </c>
      <c r="T89">
        <v>0.35399999999999998</v>
      </c>
      <c r="U89">
        <v>0.154</v>
      </c>
      <c r="W89" t="s">
        <v>1672</v>
      </c>
      <c r="X89" s="114">
        <v>1.2</v>
      </c>
      <c r="Y89">
        <v>3038</v>
      </c>
      <c r="Z89">
        <v>2327</v>
      </c>
      <c r="AA89">
        <v>1.1499999999999999</v>
      </c>
      <c r="AB89">
        <v>1.4</v>
      </c>
      <c r="AC89">
        <v>0.65</v>
      </c>
      <c r="AD89">
        <v>1.0999999999999999E-2</v>
      </c>
      <c r="AE89">
        <v>0.249</v>
      </c>
      <c r="AF89">
        <v>0.108</v>
      </c>
      <c r="AG89">
        <v>5480</v>
      </c>
      <c r="AH89">
        <v>3141</v>
      </c>
      <c r="AI89">
        <v>1855</v>
      </c>
      <c r="AJ89">
        <v>883</v>
      </c>
      <c r="AK89">
        <v>3460</v>
      </c>
      <c r="AO89" t="s">
        <v>317</v>
      </c>
      <c r="AP89" t="s">
        <v>1697</v>
      </c>
    </row>
    <row r="90" spans="1:42">
      <c r="A90" t="s">
        <v>1558</v>
      </c>
      <c r="J90" t="s">
        <v>986</v>
      </c>
      <c r="K90">
        <v>1.18</v>
      </c>
      <c r="L90" s="52">
        <f>LPDWATT[[#This Row],[Coincidence Factor CF]]</f>
        <v>0.53</v>
      </c>
      <c r="M90" t="s">
        <v>1334</v>
      </c>
      <c r="N90">
        <v>3506</v>
      </c>
      <c r="O90">
        <v>5475</v>
      </c>
      <c r="P90">
        <v>1.1100000000000001</v>
      </c>
      <c r="Q90">
        <v>1.38</v>
      </c>
      <c r="R90">
        <v>0.53</v>
      </c>
      <c r="S90">
        <v>2.9000000000000001E-2</v>
      </c>
      <c r="T90">
        <v>0.67300000000000004</v>
      </c>
      <c r="U90">
        <v>0.29299999999999998</v>
      </c>
      <c r="W90" t="s">
        <v>1674</v>
      </c>
      <c r="X90" s="114">
        <v>1.2</v>
      </c>
      <c r="Y90">
        <v>7616</v>
      </c>
      <c r="Z90">
        <v>4207</v>
      </c>
      <c r="AA90">
        <v>1.1399999999999999</v>
      </c>
      <c r="AB90">
        <v>1.27</v>
      </c>
      <c r="AC90">
        <v>0.56000000000000005</v>
      </c>
      <c r="AD90">
        <v>8.9999999999999993E-3</v>
      </c>
      <c r="AE90">
        <v>0.20499999999999999</v>
      </c>
      <c r="AF90">
        <v>8.8999999999999996E-2</v>
      </c>
      <c r="AG90">
        <v>3045</v>
      </c>
      <c r="AH90">
        <v>2336</v>
      </c>
      <c r="AI90">
        <v>1398</v>
      </c>
      <c r="AJ90">
        <v>1302</v>
      </c>
      <c r="AK90">
        <v>8021</v>
      </c>
      <c r="AO90" t="s">
        <v>317</v>
      </c>
      <c r="AP90" t="s">
        <v>1668</v>
      </c>
    </row>
    <row r="91" spans="1:42">
      <c r="A91" t="s">
        <v>1559</v>
      </c>
      <c r="J91" t="s">
        <v>2257</v>
      </c>
      <c r="K91">
        <v>0.8</v>
      </c>
      <c r="L91" s="52">
        <f>LPDWATT[[#This Row],[Coincidence Factor CF]]</f>
        <v>0.65</v>
      </c>
      <c r="N91">
        <v>2698</v>
      </c>
      <c r="O91">
        <v>3088</v>
      </c>
      <c r="P91">
        <v>1.06</v>
      </c>
      <c r="Q91">
        <v>1.0900000000000001</v>
      </c>
      <c r="R91">
        <v>0.65</v>
      </c>
      <c r="S91">
        <v>1E-3</v>
      </c>
      <c r="T91">
        <v>1.4E-2</v>
      </c>
      <c r="U91">
        <v>6.0000000000000001E-3</v>
      </c>
      <c r="W91" t="s">
        <v>1673</v>
      </c>
      <c r="X91" s="114">
        <v>1.2</v>
      </c>
      <c r="Y91">
        <v>7616</v>
      </c>
      <c r="Z91">
        <v>4207</v>
      </c>
      <c r="AA91">
        <v>1.17</v>
      </c>
      <c r="AB91">
        <v>1.32</v>
      </c>
      <c r="AC91">
        <v>0.56000000000000005</v>
      </c>
      <c r="AD91">
        <v>8.9999999999999993E-3</v>
      </c>
      <c r="AE91">
        <v>0.21099999999999999</v>
      </c>
      <c r="AF91">
        <v>9.1999999999999998E-2</v>
      </c>
      <c r="AG91">
        <v>2927</v>
      </c>
      <c r="AH91">
        <v>4948</v>
      </c>
      <c r="AI91">
        <v>1220</v>
      </c>
      <c r="AJ91">
        <v>1799</v>
      </c>
      <c r="AK91">
        <v>7924</v>
      </c>
      <c r="AO91" t="s">
        <v>317</v>
      </c>
      <c r="AP91" t="s">
        <v>1669</v>
      </c>
    </row>
    <row r="92" spans="1:42">
      <c r="A92" t="s">
        <v>1560</v>
      </c>
      <c r="J92" t="s">
        <v>987</v>
      </c>
      <c r="K92">
        <v>0.67</v>
      </c>
      <c r="L92" s="52">
        <f>LPDWATT[[#This Row],[Coincidence Factor CF]]</f>
        <v>0.53</v>
      </c>
      <c r="M92" t="s">
        <v>1341</v>
      </c>
      <c r="N92">
        <v>3506</v>
      </c>
      <c r="O92">
        <v>5475</v>
      </c>
      <c r="P92">
        <v>1.1100000000000001</v>
      </c>
      <c r="Q92">
        <v>1.38</v>
      </c>
      <c r="R92">
        <v>0.53</v>
      </c>
      <c r="S92">
        <v>2.9000000000000001E-2</v>
      </c>
      <c r="T92">
        <v>0.67300000000000004</v>
      </c>
      <c r="U92">
        <v>0.29299999999999998</v>
      </c>
      <c r="W92" t="s">
        <v>1676</v>
      </c>
      <c r="X92" s="114">
        <v>1.2</v>
      </c>
      <c r="Y92">
        <v>7616</v>
      </c>
      <c r="Z92">
        <v>2629</v>
      </c>
      <c r="AA92">
        <v>1.1599999999999999</v>
      </c>
      <c r="AB92">
        <v>1.42</v>
      </c>
      <c r="AC92">
        <v>0.56000000000000005</v>
      </c>
      <c r="AD92">
        <v>0</v>
      </c>
      <c r="AE92">
        <v>0</v>
      </c>
      <c r="AF92">
        <v>0</v>
      </c>
      <c r="AG92">
        <v>4371</v>
      </c>
      <c r="AH92">
        <v>8760</v>
      </c>
      <c r="AI92">
        <v>1571</v>
      </c>
      <c r="AJ92">
        <v>1562</v>
      </c>
      <c r="AK92">
        <v>4055</v>
      </c>
      <c r="AO92" t="s">
        <v>317</v>
      </c>
      <c r="AP92" t="s">
        <v>1670</v>
      </c>
    </row>
    <row r="93" spans="1:42">
      <c r="A93" t="s">
        <v>1561</v>
      </c>
      <c r="J93" t="s">
        <v>988</v>
      </c>
      <c r="K93">
        <v>0.94</v>
      </c>
      <c r="L93" s="52">
        <f>LPDWATT[[#This Row],[Coincidence Factor CF]]</f>
        <v>0.48</v>
      </c>
      <c r="M93" t="s">
        <v>1341</v>
      </c>
      <c r="N93">
        <v>2085</v>
      </c>
      <c r="O93">
        <v>1664</v>
      </c>
      <c r="P93">
        <v>1.1200000000000001</v>
      </c>
      <c r="Q93">
        <v>1.37</v>
      </c>
      <c r="R93">
        <v>0.48</v>
      </c>
      <c r="S93">
        <v>1.4999999999999999E-2</v>
      </c>
      <c r="T93">
        <v>0.35599999999999998</v>
      </c>
      <c r="U93">
        <v>0.155</v>
      </c>
      <c r="W93" t="s">
        <v>1675</v>
      </c>
      <c r="X93" s="114">
        <v>1.2</v>
      </c>
      <c r="Y93">
        <v>7616</v>
      </c>
      <c r="Z93">
        <v>4207</v>
      </c>
      <c r="AA93">
        <v>1.1299999999999999</v>
      </c>
      <c r="AB93">
        <v>1.35</v>
      </c>
      <c r="AC93">
        <v>0.56000000000000005</v>
      </c>
      <c r="AD93">
        <v>6.0000000000000001E-3</v>
      </c>
      <c r="AE93">
        <v>0.14799999999999999</v>
      </c>
      <c r="AF93">
        <v>6.4000000000000001E-2</v>
      </c>
      <c r="AG93">
        <v>8107</v>
      </c>
      <c r="AH93">
        <v>8707</v>
      </c>
      <c r="AI93">
        <v>697</v>
      </c>
      <c r="AJ93">
        <v>3332</v>
      </c>
      <c r="AK93">
        <v>4666</v>
      </c>
      <c r="AO93" t="s">
        <v>317</v>
      </c>
      <c r="AP93" t="s">
        <v>1694</v>
      </c>
    </row>
    <row r="94" spans="1:42">
      <c r="A94" t="s">
        <v>1562</v>
      </c>
      <c r="J94" t="s">
        <v>327</v>
      </c>
      <c r="K94">
        <v>1.06</v>
      </c>
      <c r="L94" s="52">
        <f>LPDWATT[[#This Row],[Coincidence Factor CF]]</f>
        <v>0.71</v>
      </c>
      <c r="M94" t="s">
        <v>1340</v>
      </c>
      <c r="N94">
        <v>4093</v>
      </c>
      <c r="O94">
        <v>2935</v>
      </c>
      <c r="P94">
        <v>1.1200000000000001</v>
      </c>
      <c r="Q94">
        <v>1.29</v>
      </c>
      <c r="R94">
        <v>0.71</v>
      </c>
      <c r="S94">
        <v>1.9E-2</v>
      </c>
      <c r="T94">
        <v>0.45</v>
      </c>
      <c r="U94">
        <v>0.19600000000000001</v>
      </c>
      <c r="W94" t="s">
        <v>1681</v>
      </c>
      <c r="X94" s="114">
        <v>1</v>
      </c>
      <c r="Y94">
        <v>6138</v>
      </c>
      <c r="Z94">
        <v>5475</v>
      </c>
      <c r="AA94">
        <v>1.0900000000000001</v>
      </c>
      <c r="AB94">
        <v>1.26</v>
      </c>
      <c r="AC94">
        <v>0.85</v>
      </c>
      <c r="AD94">
        <v>1.7000000000000001E-2</v>
      </c>
      <c r="AE94">
        <v>0.40600000000000003</v>
      </c>
      <c r="AF94">
        <v>0.17599999999999999</v>
      </c>
      <c r="AG94">
        <v>6340</v>
      </c>
      <c r="AH94">
        <v>6227</v>
      </c>
      <c r="AI94">
        <v>1733</v>
      </c>
      <c r="AJ94">
        <v>1168</v>
      </c>
      <c r="AK94">
        <v>8683</v>
      </c>
      <c r="AO94" t="s">
        <v>317</v>
      </c>
      <c r="AP94" t="s">
        <v>1696</v>
      </c>
    </row>
    <row r="95" spans="1:42">
      <c r="A95" t="s">
        <v>1563</v>
      </c>
      <c r="J95" t="s">
        <v>2258</v>
      </c>
      <c r="K95">
        <v>0.81</v>
      </c>
      <c r="L95" s="52">
        <f>LPDWATT[[#This Row],[Coincidence Factor CF]]</f>
        <v>0.65</v>
      </c>
      <c r="M95" t="s">
        <v>1345</v>
      </c>
      <c r="N95">
        <v>3038</v>
      </c>
      <c r="O95">
        <v>2327</v>
      </c>
      <c r="P95">
        <v>1.1499999999999999</v>
      </c>
      <c r="Q95">
        <v>1.4</v>
      </c>
      <c r="R95">
        <v>0.65</v>
      </c>
      <c r="S95">
        <v>1.0999999999999999E-2</v>
      </c>
      <c r="T95">
        <v>0.249</v>
      </c>
      <c r="U95">
        <v>0.108</v>
      </c>
      <c r="W95" t="s">
        <v>1680</v>
      </c>
      <c r="X95" s="114">
        <v>1.1000000000000001</v>
      </c>
      <c r="Y95">
        <v>2390</v>
      </c>
      <c r="Z95">
        <v>4542</v>
      </c>
      <c r="AA95">
        <v>1.17</v>
      </c>
      <c r="AB95">
        <v>1.21</v>
      </c>
      <c r="AC95">
        <v>0.46</v>
      </c>
      <c r="AD95">
        <v>0.02</v>
      </c>
      <c r="AE95">
        <v>0.46800000000000003</v>
      </c>
      <c r="AF95">
        <v>0.20399999999999999</v>
      </c>
      <c r="AG95">
        <v>5632</v>
      </c>
      <c r="AH95">
        <v>4155</v>
      </c>
      <c r="AI95">
        <v>1597</v>
      </c>
      <c r="AJ95">
        <v>1106</v>
      </c>
      <c r="AK95">
        <v>2409</v>
      </c>
      <c r="AO95" t="s">
        <v>317</v>
      </c>
      <c r="AP95" t="s">
        <v>1689</v>
      </c>
    </row>
    <row r="96" spans="1:42">
      <c r="A96" t="s">
        <v>1564</v>
      </c>
      <c r="J96" t="s">
        <v>989</v>
      </c>
      <c r="K96">
        <v>0.87</v>
      </c>
      <c r="L96" s="52">
        <f>LPDWATT[[#This Row],[Coincidence Factor CF]]</f>
        <v>0.67</v>
      </c>
      <c r="M96" t="s">
        <v>1341</v>
      </c>
      <c r="N96">
        <v>3379</v>
      </c>
      <c r="O96">
        <v>3612</v>
      </c>
      <c r="P96">
        <v>1.08</v>
      </c>
      <c r="Q96">
        <v>1.3</v>
      </c>
      <c r="R96">
        <v>0.67</v>
      </c>
      <c r="S96">
        <v>1.4999999999999999E-2</v>
      </c>
      <c r="T96">
        <v>0.35399999999999998</v>
      </c>
      <c r="U96">
        <v>0.154</v>
      </c>
      <c r="W96" t="s">
        <v>1694</v>
      </c>
      <c r="X96" s="114">
        <v>1</v>
      </c>
      <c r="Y96">
        <v>2954</v>
      </c>
      <c r="Z96">
        <v>2954</v>
      </c>
      <c r="AA96">
        <v>1.31</v>
      </c>
      <c r="AB96">
        <v>1.53</v>
      </c>
      <c r="AC96">
        <v>0.66</v>
      </c>
      <c r="AD96">
        <v>2.3E-2</v>
      </c>
      <c r="AE96">
        <v>0.52400000000000002</v>
      </c>
      <c r="AF96">
        <v>0.26200000000000001</v>
      </c>
      <c r="AG96">
        <v>5038</v>
      </c>
      <c r="AH96">
        <v>2987</v>
      </c>
      <c r="AI96">
        <v>1678</v>
      </c>
      <c r="AJ96">
        <v>1019</v>
      </c>
      <c r="AK96">
        <v>6241</v>
      </c>
      <c r="AO96" t="s">
        <v>317</v>
      </c>
      <c r="AP96" t="s">
        <v>1691</v>
      </c>
    </row>
    <row r="97" spans="1:42">
      <c r="J97" t="s">
        <v>991</v>
      </c>
      <c r="K97">
        <v>0.8</v>
      </c>
      <c r="L97" s="52">
        <f>LPDWATT[[#This Row],[Coincidence Factor CF]]</f>
        <v>0.67</v>
      </c>
      <c r="M97" t="s">
        <v>1341</v>
      </c>
      <c r="N97">
        <v>3379</v>
      </c>
      <c r="O97">
        <v>3612</v>
      </c>
      <c r="P97">
        <v>1.08</v>
      </c>
      <c r="Q97">
        <v>1.3</v>
      </c>
      <c r="R97">
        <v>0.67</v>
      </c>
      <c r="S97">
        <v>1.4999999999999999E-2</v>
      </c>
      <c r="T97">
        <v>0.35399999999999998</v>
      </c>
      <c r="U97">
        <v>0.154</v>
      </c>
      <c r="W97" t="s">
        <v>1677</v>
      </c>
      <c r="X97" s="114">
        <v>1.3</v>
      </c>
      <c r="Y97">
        <v>4618</v>
      </c>
      <c r="Z97">
        <v>5950</v>
      </c>
      <c r="AA97">
        <v>1.02</v>
      </c>
      <c r="AB97">
        <v>1.04</v>
      </c>
      <c r="AC97">
        <v>0.81</v>
      </c>
      <c r="AD97">
        <v>1.2E-2</v>
      </c>
      <c r="AE97">
        <v>0.27</v>
      </c>
      <c r="AF97">
        <v>0.11700000000000001</v>
      </c>
      <c r="AG97">
        <v>3821</v>
      </c>
      <c r="AH97">
        <v>2805</v>
      </c>
      <c r="AI97">
        <v>1013</v>
      </c>
      <c r="AJ97">
        <v>1055</v>
      </c>
      <c r="AK97">
        <v>8706</v>
      </c>
      <c r="AO97" t="s">
        <v>317</v>
      </c>
      <c r="AP97" t="s">
        <v>1599</v>
      </c>
    </row>
    <row r="98" spans="1:42">
      <c r="J98" t="s">
        <v>992</v>
      </c>
      <c r="K98">
        <v>0.61</v>
      </c>
      <c r="L98" s="52">
        <f>LPDWATT[[#This Row],[Coincidence Factor CF]]</f>
        <v>0.67</v>
      </c>
      <c r="M98" t="s">
        <v>1341</v>
      </c>
      <c r="N98">
        <v>3379</v>
      </c>
      <c r="O98">
        <v>3612</v>
      </c>
      <c r="P98">
        <v>1.08</v>
      </c>
      <c r="Q98">
        <v>1.3</v>
      </c>
      <c r="R98">
        <v>0.67</v>
      </c>
      <c r="S98">
        <v>1.4999999999999999E-2</v>
      </c>
      <c r="T98">
        <v>0.35399999999999998</v>
      </c>
      <c r="U98">
        <v>0.154</v>
      </c>
      <c r="W98" t="s">
        <v>1678</v>
      </c>
      <c r="X98" s="114">
        <v>0.7</v>
      </c>
      <c r="Y98">
        <v>6138</v>
      </c>
      <c r="Z98">
        <v>5950</v>
      </c>
      <c r="AA98">
        <v>1.2</v>
      </c>
      <c r="AB98">
        <v>1.24</v>
      </c>
      <c r="AC98">
        <v>0.9</v>
      </c>
      <c r="AD98">
        <v>5.0000000000000001E-3</v>
      </c>
      <c r="AE98">
        <v>0.109</v>
      </c>
      <c r="AF98">
        <v>4.7E-2</v>
      </c>
      <c r="AG98">
        <v>5168</v>
      </c>
      <c r="AH98">
        <v>6823</v>
      </c>
      <c r="AI98">
        <v>558</v>
      </c>
      <c r="AJ98">
        <v>1383</v>
      </c>
      <c r="AK98">
        <v>8760</v>
      </c>
      <c r="AO98" t="s">
        <v>318</v>
      </c>
      <c r="AP98" t="s">
        <v>1664</v>
      </c>
    </row>
    <row r="99" spans="1:42">
      <c r="A99" t="s">
        <v>1703</v>
      </c>
      <c r="J99" t="s">
        <v>328</v>
      </c>
      <c r="K99">
        <v>0.48</v>
      </c>
      <c r="L99" s="52">
        <f>LPDWATT[[#This Row],[Coincidence Factor CF]]</f>
        <v>0.85</v>
      </c>
      <c r="M99" t="s">
        <v>1342</v>
      </c>
      <c r="N99">
        <v>3135</v>
      </c>
      <c r="O99">
        <v>4293</v>
      </c>
      <c r="P99">
        <v>1.02</v>
      </c>
      <c r="Q99">
        <v>1.17</v>
      </c>
      <c r="R99">
        <v>0.85</v>
      </c>
      <c r="S99">
        <v>1.6E-2</v>
      </c>
      <c r="T99">
        <v>0.378</v>
      </c>
      <c r="U99">
        <v>0.16400000000000001</v>
      </c>
      <c r="W99" t="s">
        <v>1679</v>
      </c>
      <c r="X99" s="114">
        <v>0.7</v>
      </c>
      <c r="Y99">
        <v>5216</v>
      </c>
      <c r="Z99">
        <v>777</v>
      </c>
      <c r="AA99">
        <v>1.1100000000000001</v>
      </c>
      <c r="AB99">
        <v>1.1599999999999999</v>
      </c>
      <c r="AC99">
        <v>0.62</v>
      </c>
      <c r="AD99">
        <v>2.1000000000000001E-2</v>
      </c>
      <c r="AE99">
        <v>0.48399999999999999</v>
      </c>
      <c r="AF99">
        <v>0.21099999999999999</v>
      </c>
      <c r="AG99">
        <v>6011</v>
      </c>
      <c r="AH99">
        <v>4996</v>
      </c>
      <c r="AI99">
        <v>558</v>
      </c>
      <c r="AJ99">
        <v>1383</v>
      </c>
      <c r="AK99">
        <v>8760</v>
      </c>
      <c r="AO99" t="s">
        <v>318</v>
      </c>
      <c r="AP99" t="s">
        <v>1693</v>
      </c>
    </row>
    <row r="100" spans="1:42">
      <c r="A100" t="s">
        <v>2163</v>
      </c>
      <c r="J100" t="s">
        <v>995</v>
      </c>
      <c r="K100">
        <v>0.9</v>
      </c>
      <c r="L100" s="52">
        <v>0.67</v>
      </c>
      <c r="M100" t="s">
        <v>1341</v>
      </c>
      <c r="N100">
        <v>3379</v>
      </c>
      <c r="O100">
        <v>3612</v>
      </c>
      <c r="P100">
        <v>1.08</v>
      </c>
      <c r="Q100">
        <v>1.3</v>
      </c>
      <c r="R100">
        <v>0.67</v>
      </c>
      <c r="S100">
        <v>1.4999999999999999E-2</v>
      </c>
      <c r="T100">
        <v>0.35399999999999998</v>
      </c>
      <c r="U100">
        <v>0.154</v>
      </c>
      <c r="W100" t="s">
        <v>1682</v>
      </c>
      <c r="X100" s="114">
        <v>1.2</v>
      </c>
      <c r="Y100">
        <v>3506</v>
      </c>
      <c r="Z100">
        <v>3088</v>
      </c>
      <c r="AA100">
        <v>1.1100000000000001</v>
      </c>
      <c r="AB100">
        <v>1.38</v>
      </c>
      <c r="AC100">
        <v>0.53</v>
      </c>
      <c r="AD100">
        <v>2.9000000000000001E-2</v>
      </c>
      <c r="AE100">
        <v>0.67300000000000004</v>
      </c>
      <c r="AF100">
        <v>0.29299999999999998</v>
      </c>
      <c r="AG100">
        <v>5063</v>
      </c>
      <c r="AH100">
        <v>2120</v>
      </c>
      <c r="AI100">
        <v>1036</v>
      </c>
      <c r="AJ100">
        <v>745</v>
      </c>
      <c r="AK100">
        <v>7505</v>
      </c>
      <c r="AO100" t="s">
        <v>318</v>
      </c>
      <c r="AP100" t="s">
        <v>1692</v>
      </c>
    </row>
    <row r="101" spans="1:42">
      <c r="A101" t="s">
        <v>1704</v>
      </c>
      <c r="W101" t="s">
        <v>1686</v>
      </c>
      <c r="X101" s="114">
        <v>1</v>
      </c>
      <c r="Y101">
        <v>2886</v>
      </c>
      <c r="Z101">
        <v>3088</v>
      </c>
      <c r="AA101">
        <v>1</v>
      </c>
      <c r="AB101">
        <v>1.07</v>
      </c>
      <c r="AC101">
        <v>0.56999999999999995</v>
      </c>
      <c r="AD101">
        <v>3.9E-2</v>
      </c>
      <c r="AE101">
        <v>0.90500000000000003</v>
      </c>
      <c r="AF101">
        <v>0.39400000000000002</v>
      </c>
      <c r="AG101">
        <v>5361</v>
      </c>
      <c r="AH101">
        <v>4849</v>
      </c>
      <c r="AI101">
        <v>1432</v>
      </c>
      <c r="AJ101">
        <v>937</v>
      </c>
      <c r="AK101">
        <v>2279</v>
      </c>
      <c r="AO101" t="s">
        <v>318</v>
      </c>
      <c r="AP101" t="s">
        <v>968</v>
      </c>
    </row>
    <row r="102" spans="1:42">
      <c r="A102" t="s">
        <v>1629</v>
      </c>
      <c r="W102" t="s">
        <v>1683</v>
      </c>
      <c r="X102" s="114">
        <v>1</v>
      </c>
      <c r="Y102">
        <v>2886</v>
      </c>
      <c r="Z102">
        <v>3088</v>
      </c>
      <c r="AA102">
        <v>1.22</v>
      </c>
      <c r="AB102">
        <v>1.3</v>
      </c>
      <c r="AC102">
        <v>0.6</v>
      </c>
      <c r="AD102">
        <v>6.0000000000000001E-3</v>
      </c>
      <c r="AE102">
        <v>0.14899999999999999</v>
      </c>
      <c r="AF102">
        <v>6.5000000000000002E-2</v>
      </c>
      <c r="AG102">
        <v>4202</v>
      </c>
      <c r="AH102">
        <v>6049</v>
      </c>
      <c r="AI102">
        <v>1051</v>
      </c>
      <c r="AJ102">
        <v>1404</v>
      </c>
      <c r="AK102">
        <v>5303</v>
      </c>
      <c r="AO102" t="s">
        <v>318</v>
      </c>
      <c r="AP102" t="s">
        <v>1508</v>
      </c>
    </row>
    <row r="103" spans="1:42">
      <c r="W103" t="s">
        <v>1684</v>
      </c>
      <c r="X103" s="114">
        <v>1</v>
      </c>
      <c r="Y103">
        <v>2886</v>
      </c>
      <c r="Z103">
        <v>3088</v>
      </c>
      <c r="AA103">
        <v>1.21</v>
      </c>
      <c r="AB103">
        <v>1.17</v>
      </c>
      <c r="AC103">
        <v>0.6</v>
      </c>
      <c r="AD103">
        <v>7.0000000000000001E-3</v>
      </c>
      <c r="AE103">
        <v>0.153</v>
      </c>
      <c r="AF103">
        <v>3.6999999999999998E-2</v>
      </c>
      <c r="AG103">
        <v>4600</v>
      </c>
      <c r="AH103">
        <v>5341</v>
      </c>
      <c r="AI103">
        <v>2625</v>
      </c>
      <c r="AJ103">
        <v>1116</v>
      </c>
      <c r="AK103">
        <v>1648</v>
      </c>
      <c r="AO103" t="s">
        <v>318</v>
      </c>
      <c r="AP103" t="s">
        <v>1509</v>
      </c>
    </row>
    <row r="104" spans="1:42">
      <c r="A104" s="569" t="s">
        <v>2119</v>
      </c>
      <c r="W104" t="s">
        <v>1685</v>
      </c>
      <c r="X104" s="114">
        <v>1</v>
      </c>
      <c r="Y104">
        <v>2886</v>
      </c>
      <c r="Z104">
        <v>3088</v>
      </c>
      <c r="AA104">
        <v>1.06</v>
      </c>
      <c r="AB104">
        <v>1.65</v>
      </c>
      <c r="AC104">
        <v>0.6</v>
      </c>
      <c r="AD104">
        <v>1.4999999999999999E-2</v>
      </c>
      <c r="AE104">
        <v>0.34499999999999997</v>
      </c>
      <c r="AF104">
        <v>0.15</v>
      </c>
      <c r="AG104">
        <v>5646</v>
      </c>
      <c r="AH104">
        <v>6414</v>
      </c>
      <c r="AI104">
        <v>993</v>
      </c>
      <c r="AJ104">
        <v>887</v>
      </c>
      <c r="AK104">
        <v>2369</v>
      </c>
      <c r="AO104" t="s">
        <v>318</v>
      </c>
      <c r="AP104" t="s">
        <v>1210</v>
      </c>
    </row>
    <row r="105" spans="1:42">
      <c r="A105" s="560" t="s">
        <v>2120</v>
      </c>
      <c r="W105" t="s">
        <v>1687</v>
      </c>
      <c r="X105" s="114">
        <v>1</v>
      </c>
      <c r="Y105">
        <v>2698</v>
      </c>
      <c r="Z105">
        <v>3088</v>
      </c>
      <c r="AA105">
        <v>1.1000000000000001</v>
      </c>
      <c r="AB105">
        <v>1.26</v>
      </c>
      <c r="AC105">
        <v>0.52</v>
      </c>
      <c r="AD105">
        <v>0.01</v>
      </c>
      <c r="AE105">
        <v>0.23100000000000001</v>
      </c>
      <c r="AF105">
        <v>0.1</v>
      </c>
      <c r="AG105">
        <v>3834</v>
      </c>
      <c r="AH105">
        <v>3835</v>
      </c>
      <c r="AI105">
        <v>1629</v>
      </c>
      <c r="AJ105">
        <v>1796</v>
      </c>
      <c r="AK105">
        <v>6345</v>
      </c>
      <c r="AO105" t="s">
        <v>318</v>
      </c>
      <c r="AP105" t="s">
        <v>990</v>
      </c>
    </row>
    <row r="106" spans="1:42">
      <c r="A106" s="570" t="s">
        <v>2121</v>
      </c>
      <c r="W106" t="s">
        <v>1688</v>
      </c>
      <c r="X106" s="114">
        <v>1</v>
      </c>
      <c r="Y106">
        <v>3266</v>
      </c>
      <c r="Z106">
        <v>3088</v>
      </c>
      <c r="AA106">
        <v>1.1000000000000001</v>
      </c>
      <c r="AB106">
        <v>1.36</v>
      </c>
      <c r="AC106">
        <v>0.6</v>
      </c>
      <c r="AD106">
        <v>1.6E-2</v>
      </c>
      <c r="AE106">
        <v>0.378</v>
      </c>
      <c r="AF106">
        <v>0.16400000000000001</v>
      </c>
      <c r="AG106">
        <v>6119</v>
      </c>
      <c r="AH106">
        <v>3040</v>
      </c>
      <c r="AI106">
        <v>1328</v>
      </c>
      <c r="AJ106">
        <v>1128</v>
      </c>
      <c r="AK106">
        <v>3440</v>
      </c>
      <c r="AO106" t="s">
        <v>318</v>
      </c>
      <c r="AP106" t="s">
        <v>993</v>
      </c>
    </row>
    <row r="107" spans="1:42">
      <c r="W107" t="s">
        <v>1696</v>
      </c>
      <c r="Y107">
        <v>5802</v>
      </c>
      <c r="AA107">
        <v>1.29</v>
      </c>
      <c r="AB107">
        <v>1.29</v>
      </c>
      <c r="AC107">
        <v>1</v>
      </c>
      <c r="AD107">
        <v>0</v>
      </c>
      <c r="AE107">
        <v>0</v>
      </c>
      <c r="AF107">
        <v>0</v>
      </c>
      <c r="AG107">
        <v>0</v>
      </c>
      <c r="AH107">
        <v>0</v>
      </c>
      <c r="AI107">
        <v>0</v>
      </c>
      <c r="AJ107">
        <v>0</v>
      </c>
      <c r="AK107">
        <v>0</v>
      </c>
      <c r="AO107" t="s">
        <v>318</v>
      </c>
      <c r="AP107" t="s">
        <v>994</v>
      </c>
    </row>
    <row r="108" spans="1:42">
      <c r="W108" t="s">
        <v>988</v>
      </c>
      <c r="X108">
        <v>1.3</v>
      </c>
      <c r="Y108">
        <v>2085</v>
      </c>
      <c r="Z108">
        <v>1664</v>
      </c>
      <c r="AA108">
        <v>1.1200000000000001</v>
      </c>
      <c r="AB108">
        <v>1.37</v>
      </c>
      <c r="AC108">
        <v>0.48</v>
      </c>
      <c r="AD108">
        <v>1.4999999999999999E-2</v>
      </c>
      <c r="AE108">
        <v>0.35599999999999998</v>
      </c>
      <c r="AF108">
        <v>0.155</v>
      </c>
      <c r="AG108">
        <v>5199</v>
      </c>
      <c r="AH108">
        <v>2830</v>
      </c>
      <c r="AI108">
        <v>1504</v>
      </c>
      <c r="AJ108">
        <v>817</v>
      </c>
      <c r="AK108">
        <v>7380</v>
      </c>
      <c r="AO108" t="s">
        <v>318</v>
      </c>
      <c r="AP108" t="s">
        <v>1697</v>
      </c>
    </row>
    <row r="109" spans="1:42">
      <c r="W109" t="s">
        <v>1689</v>
      </c>
      <c r="X109">
        <v>1.6</v>
      </c>
      <c r="Y109">
        <v>5571</v>
      </c>
      <c r="Z109">
        <v>4784</v>
      </c>
      <c r="AA109">
        <v>1.08</v>
      </c>
      <c r="AB109">
        <v>1.1000000000000001</v>
      </c>
      <c r="AC109">
        <v>1</v>
      </c>
      <c r="AD109">
        <v>8.9999999999999993E-3</v>
      </c>
      <c r="AE109">
        <v>0.20799999999999999</v>
      </c>
      <c r="AF109">
        <v>0.09</v>
      </c>
      <c r="AG109">
        <v>3476</v>
      </c>
      <c r="AH109">
        <v>2305</v>
      </c>
      <c r="AI109">
        <v>1328</v>
      </c>
      <c r="AJ109">
        <v>1021</v>
      </c>
      <c r="AK109">
        <v>7302</v>
      </c>
      <c r="AO109" t="s">
        <v>318</v>
      </c>
      <c r="AP109" t="s">
        <v>1670</v>
      </c>
    </row>
    <row r="110" spans="1:42">
      <c r="W110" t="s">
        <v>1690</v>
      </c>
      <c r="X110">
        <v>1.5</v>
      </c>
      <c r="Y110">
        <v>4099</v>
      </c>
      <c r="Z110">
        <v>2935</v>
      </c>
      <c r="AA110">
        <v>1.06</v>
      </c>
      <c r="AB110">
        <v>1.06</v>
      </c>
      <c r="AC110">
        <v>0.94</v>
      </c>
      <c r="AD110">
        <v>1.4999999999999999E-2</v>
      </c>
      <c r="AE110">
        <v>0.34599999999999997</v>
      </c>
      <c r="AF110">
        <v>0.15</v>
      </c>
      <c r="AG110">
        <v>4249</v>
      </c>
      <c r="AH110">
        <v>2528</v>
      </c>
      <c r="AI110">
        <v>1322</v>
      </c>
      <c r="AJ110">
        <v>640</v>
      </c>
      <c r="AK110">
        <v>7155</v>
      </c>
      <c r="AO110" t="s">
        <v>318</v>
      </c>
      <c r="AP110" t="s">
        <v>1694</v>
      </c>
    </row>
    <row r="111" spans="1:42">
      <c r="W111" t="s">
        <v>1691</v>
      </c>
      <c r="X111">
        <v>1.5</v>
      </c>
      <c r="Y111">
        <v>4093</v>
      </c>
      <c r="Z111">
        <v>2935</v>
      </c>
      <c r="AA111">
        <v>1.1200000000000001</v>
      </c>
      <c r="AB111">
        <v>1.29</v>
      </c>
      <c r="AC111">
        <v>0.71</v>
      </c>
      <c r="AD111">
        <v>1.9E-2</v>
      </c>
      <c r="AE111">
        <v>0.45</v>
      </c>
      <c r="AF111">
        <v>0.19600000000000001</v>
      </c>
      <c r="AG111">
        <v>4475</v>
      </c>
      <c r="AH111">
        <v>2266</v>
      </c>
      <c r="AI111">
        <v>1325</v>
      </c>
      <c r="AJ111">
        <v>720</v>
      </c>
      <c r="AK111">
        <v>6921</v>
      </c>
      <c r="AO111" t="s">
        <v>318</v>
      </c>
      <c r="AP111" t="s">
        <v>1696</v>
      </c>
    </row>
    <row r="112" spans="1:42">
      <c r="W112" t="s">
        <v>1695</v>
      </c>
      <c r="X112" s="114">
        <v>0.8</v>
      </c>
      <c r="Y112">
        <v>3135</v>
      </c>
      <c r="AA112">
        <v>1</v>
      </c>
      <c r="AB112">
        <v>1</v>
      </c>
      <c r="AC112">
        <v>0.66</v>
      </c>
      <c r="AD112">
        <v>1.4E-2</v>
      </c>
      <c r="AE112">
        <v>0.32</v>
      </c>
      <c r="AF112">
        <v>0.16</v>
      </c>
      <c r="AG112">
        <v>0</v>
      </c>
      <c r="AH112">
        <v>0</v>
      </c>
      <c r="AI112">
        <v>0</v>
      </c>
      <c r="AJ112">
        <v>0</v>
      </c>
      <c r="AK112">
        <v>0</v>
      </c>
      <c r="AO112" t="s">
        <v>318</v>
      </c>
      <c r="AP112" t="s">
        <v>1690</v>
      </c>
    </row>
    <row r="113" spans="23:42">
      <c r="W113" t="s">
        <v>1599</v>
      </c>
      <c r="X113">
        <v>0.8</v>
      </c>
      <c r="Y113">
        <v>3379</v>
      </c>
      <c r="Z113">
        <v>3612</v>
      </c>
      <c r="AA113">
        <v>1.08</v>
      </c>
      <c r="AB113">
        <v>1.3</v>
      </c>
      <c r="AC113">
        <v>0.67</v>
      </c>
      <c r="AD113">
        <v>1.4999999999999999E-2</v>
      </c>
      <c r="AE113">
        <v>0.35399999999999998</v>
      </c>
      <c r="AF113">
        <v>0.154</v>
      </c>
      <c r="AG113">
        <v>5038</v>
      </c>
      <c r="AH113">
        <v>2987</v>
      </c>
      <c r="AI113">
        <v>1678</v>
      </c>
      <c r="AJ113">
        <v>1019</v>
      </c>
      <c r="AK113">
        <v>6241</v>
      </c>
      <c r="AO113" t="s">
        <v>318</v>
      </c>
      <c r="AP113" t="s">
        <v>1691</v>
      </c>
    </row>
    <row r="114" spans="23:42">
      <c r="W114" t="s">
        <v>328</v>
      </c>
      <c r="X114">
        <v>0.8</v>
      </c>
      <c r="Y114">
        <v>3135</v>
      </c>
      <c r="Z114">
        <v>4293</v>
      </c>
      <c r="AA114">
        <v>1.02</v>
      </c>
      <c r="AB114">
        <v>1.17</v>
      </c>
      <c r="AC114">
        <v>0.85</v>
      </c>
      <c r="AD114">
        <v>1.6E-2</v>
      </c>
      <c r="AE114">
        <v>0.378</v>
      </c>
      <c r="AF114">
        <v>0.16400000000000001</v>
      </c>
      <c r="AG114">
        <v>4606</v>
      </c>
      <c r="AH114">
        <v>770</v>
      </c>
      <c r="AI114">
        <v>1286</v>
      </c>
      <c r="AJ114">
        <v>265</v>
      </c>
      <c r="AK114">
        <v>6832</v>
      </c>
      <c r="AO114" t="s">
        <v>318</v>
      </c>
      <c r="AP114" t="s">
        <v>1599</v>
      </c>
    </row>
    <row r="115" spans="23:42">
      <c r="AO115" t="s">
        <v>319</v>
      </c>
      <c r="AP115" t="s">
        <v>1667</v>
      </c>
    </row>
    <row r="116" spans="23:42">
      <c r="AO116" t="s">
        <v>319</v>
      </c>
      <c r="AP116" t="s">
        <v>1693</v>
      </c>
    </row>
    <row r="117" spans="23:42">
      <c r="AO117" t="s">
        <v>319</v>
      </c>
      <c r="AP117" t="s">
        <v>1692</v>
      </c>
    </row>
    <row r="118" spans="23:42">
      <c r="AO118" t="s">
        <v>319</v>
      </c>
      <c r="AP118" t="s">
        <v>968</v>
      </c>
    </row>
    <row r="119" spans="23:42">
      <c r="AO119" t="s">
        <v>319</v>
      </c>
      <c r="AP119" t="s">
        <v>1508</v>
      </c>
    </row>
    <row r="120" spans="23:42">
      <c r="AO120" t="s">
        <v>319</v>
      </c>
      <c r="AP120" t="s">
        <v>1509</v>
      </c>
    </row>
    <row r="121" spans="23:42">
      <c r="AO121" t="s">
        <v>319</v>
      </c>
      <c r="AP121" t="s">
        <v>1210</v>
      </c>
    </row>
    <row r="122" spans="23:42">
      <c r="AO122" t="s">
        <v>319</v>
      </c>
      <c r="AP122" t="s">
        <v>990</v>
      </c>
    </row>
    <row r="123" spans="23:42">
      <c r="AO123" t="s">
        <v>319</v>
      </c>
      <c r="AP123" t="s">
        <v>993</v>
      </c>
    </row>
    <row r="124" spans="23:42">
      <c r="AO124" t="s">
        <v>319</v>
      </c>
      <c r="AP124" t="s">
        <v>994</v>
      </c>
    </row>
    <row r="125" spans="23:42">
      <c r="AO125" t="s">
        <v>319</v>
      </c>
      <c r="AP125" t="s">
        <v>1671</v>
      </c>
    </row>
    <row r="126" spans="23:42">
      <c r="AO126" t="s">
        <v>319</v>
      </c>
      <c r="AP126" t="s">
        <v>1678</v>
      </c>
    </row>
    <row r="127" spans="23:42">
      <c r="AO127" t="s">
        <v>319</v>
      </c>
      <c r="AP127" t="s">
        <v>1679</v>
      </c>
    </row>
    <row r="128" spans="23:42">
      <c r="AO128" t="s">
        <v>319</v>
      </c>
      <c r="AP128" t="s">
        <v>1686</v>
      </c>
    </row>
    <row r="129" spans="41:42">
      <c r="AO129" t="s">
        <v>319</v>
      </c>
      <c r="AP129" t="s">
        <v>1683</v>
      </c>
    </row>
    <row r="130" spans="41:42">
      <c r="AO130" t="s">
        <v>319</v>
      </c>
      <c r="AP130" t="s">
        <v>1684</v>
      </c>
    </row>
    <row r="131" spans="41:42">
      <c r="AO131" t="s">
        <v>319</v>
      </c>
      <c r="AP131" t="s">
        <v>1685</v>
      </c>
    </row>
    <row r="132" spans="41:42">
      <c r="AO132" t="s">
        <v>319</v>
      </c>
      <c r="AP132" t="s">
        <v>1687</v>
      </c>
    </row>
    <row r="133" spans="41:42">
      <c r="AO133" t="s">
        <v>319</v>
      </c>
      <c r="AP133" t="s">
        <v>1688</v>
      </c>
    </row>
    <row r="134" spans="41:42">
      <c r="AO134" t="s">
        <v>319</v>
      </c>
      <c r="AP134" t="s">
        <v>1695</v>
      </c>
    </row>
    <row r="135" spans="41:42">
      <c r="AO135" t="s">
        <v>319</v>
      </c>
      <c r="AP135" t="s">
        <v>1599</v>
      </c>
    </row>
    <row r="136" spans="41:42">
      <c r="AO136" t="s">
        <v>319</v>
      </c>
      <c r="AP136" t="s">
        <v>328</v>
      </c>
    </row>
    <row r="137" spans="41:42">
      <c r="AO137" t="s">
        <v>320</v>
      </c>
      <c r="AP137" t="s">
        <v>1664</v>
      </c>
    </row>
    <row r="138" spans="41:42">
      <c r="AO138" t="s">
        <v>320</v>
      </c>
      <c r="AP138" t="s">
        <v>1665</v>
      </c>
    </row>
    <row r="139" spans="41:42">
      <c r="AO139" t="s">
        <v>320</v>
      </c>
      <c r="AP139" t="s">
        <v>1693</v>
      </c>
    </row>
    <row r="140" spans="41:42">
      <c r="AO140" t="s">
        <v>320</v>
      </c>
      <c r="AP140" t="s">
        <v>1692</v>
      </c>
    </row>
    <row r="141" spans="41:42">
      <c r="AO141" t="s">
        <v>320</v>
      </c>
      <c r="AP141" t="s">
        <v>968</v>
      </c>
    </row>
    <row r="142" spans="41:42">
      <c r="AO142" t="s">
        <v>320</v>
      </c>
      <c r="AP142" t="s">
        <v>1508</v>
      </c>
    </row>
    <row r="143" spans="41:42">
      <c r="AO143" t="s">
        <v>320</v>
      </c>
      <c r="AP143" t="s">
        <v>1509</v>
      </c>
    </row>
    <row r="144" spans="41:42">
      <c r="AO144" t="s">
        <v>320</v>
      </c>
      <c r="AP144" t="s">
        <v>1210</v>
      </c>
    </row>
    <row r="145" spans="41:42">
      <c r="AO145" t="s">
        <v>320</v>
      </c>
      <c r="AP145" t="s">
        <v>990</v>
      </c>
    </row>
    <row r="146" spans="41:42">
      <c r="AO146" t="s">
        <v>320</v>
      </c>
      <c r="AP146" t="s">
        <v>993</v>
      </c>
    </row>
    <row r="147" spans="41:42">
      <c r="AO147" t="s">
        <v>320</v>
      </c>
      <c r="AP147" t="s">
        <v>994</v>
      </c>
    </row>
    <row r="148" spans="41:42">
      <c r="AO148" t="s">
        <v>320</v>
      </c>
      <c r="AP148" t="s">
        <v>1697</v>
      </c>
    </row>
    <row r="149" spans="41:42">
      <c r="AO149" t="s">
        <v>320</v>
      </c>
      <c r="AP149" t="s">
        <v>1668</v>
      </c>
    </row>
    <row r="150" spans="41:42">
      <c r="AO150" t="s">
        <v>320</v>
      </c>
      <c r="AP150" t="s">
        <v>1669</v>
      </c>
    </row>
    <row r="151" spans="41:42">
      <c r="AO151" t="s">
        <v>320</v>
      </c>
      <c r="AP151" t="s">
        <v>1670</v>
      </c>
    </row>
    <row r="152" spans="41:42">
      <c r="AO152" t="s">
        <v>320</v>
      </c>
      <c r="AP152" t="s">
        <v>1696</v>
      </c>
    </row>
    <row r="153" spans="41:42">
      <c r="AO153" t="s">
        <v>320</v>
      </c>
      <c r="AP153" t="s">
        <v>1689</v>
      </c>
    </row>
    <row r="154" spans="41:42">
      <c r="AO154" t="s">
        <v>320</v>
      </c>
      <c r="AP154" t="s">
        <v>1690</v>
      </c>
    </row>
    <row r="155" spans="41:42">
      <c r="AO155" t="s">
        <v>320</v>
      </c>
      <c r="AP155" t="s">
        <v>1691</v>
      </c>
    </row>
    <row r="156" spans="41:42">
      <c r="AO156" t="s">
        <v>320</v>
      </c>
      <c r="AP156" t="s">
        <v>1695</v>
      </c>
    </row>
    <row r="157" spans="41:42">
      <c r="AO157" t="s">
        <v>320</v>
      </c>
      <c r="AP157" t="s">
        <v>1599</v>
      </c>
    </row>
    <row r="158" spans="41:42">
      <c r="AO158" t="s">
        <v>320</v>
      </c>
      <c r="AP158" t="s">
        <v>328</v>
      </c>
    </row>
    <row r="159" spans="41:42">
      <c r="AO159" t="s">
        <v>321</v>
      </c>
      <c r="AP159" t="s">
        <v>1665</v>
      </c>
    </row>
    <row r="160" spans="41:42">
      <c r="AO160" t="s">
        <v>321</v>
      </c>
      <c r="AP160" t="s">
        <v>1667</v>
      </c>
    </row>
    <row r="161" spans="41:42">
      <c r="AO161" t="s">
        <v>321</v>
      </c>
      <c r="AP161" t="s">
        <v>1693</v>
      </c>
    </row>
    <row r="162" spans="41:42">
      <c r="AO162" t="s">
        <v>321</v>
      </c>
      <c r="AP162" t="s">
        <v>1692</v>
      </c>
    </row>
    <row r="163" spans="41:42">
      <c r="AO163" t="s">
        <v>321</v>
      </c>
      <c r="AP163" t="s">
        <v>968</v>
      </c>
    </row>
    <row r="164" spans="41:42">
      <c r="AO164" t="s">
        <v>321</v>
      </c>
      <c r="AP164" t="s">
        <v>1508</v>
      </c>
    </row>
    <row r="165" spans="41:42">
      <c r="AO165" t="s">
        <v>321</v>
      </c>
      <c r="AP165" t="s">
        <v>1509</v>
      </c>
    </row>
    <row r="166" spans="41:42">
      <c r="AO166" t="s">
        <v>321</v>
      </c>
      <c r="AP166" t="s">
        <v>1210</v>
      </c>
    </row>
    <row r="167" spans="41:42">
      <c r="AO167" t="s">
        <v>321</v>
      </c>
      <c r="AP167" t="s">
        <v>990</v>
      </c>
    </row>
    <row r="168" spans="41:42">
      <c r="AO168" t="s">
        <v>321</v>
      </c>
      <c r="AP168" t="s">
        <v>993</v>
      </c>
    </row>
    <row r="169" spans="41:42">
      <c r="AO169" t="s">
        <v>321</v>
      </c>
      <c r="AP169" t="s">
        <v>994</v>
      </c>
    </row>
    <row r="170" spans="41:42">
      <c r="AO170" t="s">
        <v>321</v>
      </c>
      <c r="AP170" t="s">
        <v>1668</v>
      </c>
    </row>
    <row r="171" spans="41:42">
      <c r="AO171" t="s">
        <v>321</v>
      </c>
      <c r="AP171" t="s">
        <v>1669</v>
      </c>
    </row>
    <row r="172" spans="41:42">
      <c r="AO172" t="s">
        <v>321</v>
      </c>
      <c r="AP172" t="s">
        <v>1671</v>
      </c>
    </row>
    <row r="173" spans="41:42">
      <c r="AO173" t="s">
        <v>321</v>
      </c>
      <c r="AP173" t="s">
        <v>1674</v>
      </c>
    </row>
    <row r="174" spans="41:42">
      <c r="AO174" t="s">
        <v>321</v>
      </c>
      <c r="AP174" t="s">
        <v>1673</v>
      </c>
    </row>
    <row r="175" spans="41:42">
      <c r="AO175" t="s">
        <v>321</v>
      </c>
      <c r="AP175" t="s">
        <v>1676</v>
      </c>
    </row>
    <row r="176" spans="41:42">
      <c r="AO176" t="s">
        <v>321</v>
      </c>
      <c r="AP176" t="s">
        <v>1675</v>
      </c>
    </row>
    <row r="177" spans="41:42">
      <c r="AO177" t="s">
        <v>321</v>
      </c>
      <c r="AP177" t="s">
        <v>1686</v>
      </c>
    </row>
    <row r="178" spans="41:42">
      <c r="AO178" t="s">
        <v>321</v>
      </c>
      <c r="AP178" t="s">
        <v>1683</v>
      </c>
    </row>
    <row r="179" spans="41:42">
      <c r="AO179" t="s">
        <v>321</v>
      </c>
      <c r="AP179" t="s">
        <v>1684</v>
      </c>
    </row>
    <row r="180" spans="41:42">
      <c r="AO180" t="s">
        <v>321</v>
      </c>
      <c r="AP180" t="s">
        <v>1685</v>
      </c>
    </row>
    <row r="181" spans="41:42">
      <c r="AO181" t="s">
        <v>321</v>
      </c>
      <c r="AP181" t="s">
        <v>1687</v>
      </c>
    </row>
    <row r="182" spans="41:42">
      <c r="AO182" t="s">
        <v>321</v>
      </c>
      <c r="AP182" t="s">
        <v>1688</v>
      </c>
    </row>
    <row r="183" spans="41:42">
      <c r="AO183" t="s">
        <v>321</v>
      </c>
      <c r="AP183" t="s">
        <v>1599</v>
      </c>
    </row>
    <row r="184" spans="41:42">
      <c r="AO184" t="s">
        <v>322</v>
      </c>
      <c r="AP184" t="s">
        <v>1693</v>
      </c>
    </row>
    <row r="185" spans="41:42">
      <c r="AO185" t="s">
        <v>322</v>
      </c>
      <c r="AP185" t="s">
        <v>1692</v>
      </c>
    </row>
    <row r="186" spans="41:42">
      <c r="AO186" t="s">
        <v>322</v>
      </c>
      <c r="AP186" t="s">
        <v>968</v>
      </c>
    </row>
    <row r="187" spans="41:42">
      <c r="AO187" t="s">
        <v>322</v>
      </c>
      <c r="AP187" t="s">
        <v>1508</v>
      </c>
    </row>
    <row r="188" spans="41:42">
      <c r="AO188" t="s">
        <v>322</v>
      </c>
      <c r="AP188" t="s">
        <v>1509</v>
      </c>
    </row>
    <row r="189" spans="41:42">
      <c r="AO189" t="s">
        <v>322</v>
      </c>
      <c r="AP189" t="s">
        <v>1210</v>
      </c>
    </row>
    <row r="190" spans="41:42">
      <c r="AO190" t="s">
        <v>322</v>
      </c>
      <c r="AP190" t="s">
        <v>990</v>
      </c>
    </row>
    <row r="191" spans="41:42">
      <c r="AO191" t="s">
        <v>322</v>
      </c>
      <c r="AP191" t="s">
        <v>993</v>
      </c>
    </row>
    <row r="192" spans="41:42">
      <c r="AO192" t="s">
        <v>322</v>
      </c>
      <c r="AP192" t="s">
        <v>994</v>
      </c>
    </row>
    <row r="193" spans="41:42">
      <c r="AO193" t="s">
        <v>322</v>
      </c>
      <c r="AP193" t="s">
        <v>1668</v>
      </c>
    </row>
    <row r="194" spans="41:42">
      <c r="AO194" t="s">
        <v>322</v>
      </c>
      <c r="AP194" t="s">
        <v>1669</v>
      </c>
    </row>
    <row r="195" spans="41:42">
      <c r="AO195" t="s">
        <v>322</v>
      </c>
      <c r="AP195" t="s">
        <v>1677</v>
      </c>
    </row>
    <row r="196" spans="41:42">
      <c r="AO196" t="s">
        <v>322</v>
      </c>
      <c r="AP196" t="s">
        <v>1686</v>
      </c>
    </row>
    <row r="197" spans="41:42">
      <c r="AO197" t="s">
        <v>322</v>
      </c>
      <c r="AP197" t="s">
        <v>1683</v>
      </c>
    </row>
    <row r="198" spans="41:42">
      <c r="AO198" t="s">
        <v>322</v>
      </c>
      <c r="AP198" t="s">
        <v>1684</v>
      </c>
    </row>
    <row r="199" spans="41:42">
      <c r="AO199" t="s">
        <v>322</v>
      </c>
      <c r="AP199" t="s">
        <v>1685</v>
      </c>
    </row>
    <row r="200" spans="41:42">
      <c r="AO200" t="s">
        <v>322</v>
      </c>
      <c r="AP200" t="s">
        <v>1687</v>
      </c>
    </row>
    <row r="201" spans="41:42">
      <c r="AO201" t="s">
        <v>322</v>
      </c>
      <c r="AP201" t="s">
        <v>1688</v>
      </c>
    </row>
    <row r="202" spans="41:42">
      <c r="AO202" t="s">
        <v>322</v>
      </c>
      <c r="AP202" t="s">
        <v>1695</v>
      </c>
    </row>
    <row r="203" spans="41:42">
      <c r="AO203" t="s">
        <v>322</v>
      </c>
      <c r="AP203" t="s">
        <v>1599</v>
      </c>
    </row>
    <row r="204" spans="41:42">
      <c r="AO204" t="s">
        <v>322</v>
      </c>
      <c r="AP204" t="s">
        <v>328</v>
      </c>
    </row>
    <row r="205" spans="41:42">
      <c r="AO205" t="s">
        <v>323</v>
      </c>
      <c r="AP205" t="s">
        <v>1686</v>
      </c>
    </row>
    <row r="206" spans="41:42">
      <c r="AO206" t="s">
        <v>323</v>
      </c>
      <c r="AP206" t="s">
        <v>1683</v>
      </c>
    </row>
    <row r="207" spans="41:42">
      <c r="AO207" t="s">
        <v>323</v>
      </c>
      <c r="AP207" t="s">
        <v>1684</v>
      </c>
    </row>
    <row r="208" spans="41:42">
      <c r="AO208" t="s">
        <v>323</v>
      </c>
      <c r="AP208" t="s">
        <v>1685</v>
      </c>
    </row>
    <row r="209" spans="41:42">
      <c r="AO209" t="s">
        <v>323</v>
      </c>
      <c r="AP209" t="s">
        <v>1687</v>
      </c>
    </row>
    <row r="210" spans="41:42">
      <c r="AO210" t="s">
        <v>323</v>
      </c>
      <c r="AP210" t="s">
        <v>1688</v>
      </c>
    </row>
    <row r="211" spans="41:42">
      <c r="AO211" t="s">
        <v>323</v>
      </c>
      <c r="AP211" t="s">
        <v>1599</v>
      </c>
    </row>
    <row r="212" spans="41:42">
      <c r="AO212" t="s">
        <v>323</v>
      </c>
      <c r="AP212" t="s">
        <v>328</v>
      </c>
    </row>
    <row r="213" spans="41:42">
      <c r="AO213" t="s">
        <v>324</v>
      </c>
      <c r="AP213" t="s">
        <v>1661</v>
      </c>
    </row>
    <row r="214" spans="41:42">
      <c r="AO214" t="s">
        <v>324</v>
      </c>
      <c r="AP214" t="s">
        <v>1693</v>
      </c>
    </row>
    <row r="215" spans="41:42">
      <c r="AO215" t="s">
        <v>324</v>
      </c>
      <c r="AP215" t="s">
        <v>1692</v>
      </c>
    </row>
    <row r="216" spans="41:42">
      <c r="AO216" t="s">
        <v>324</v>
      </c>
      <c r="AP216" t="s">
        <v>968</v>
      </c>
    </row>
    <row r="217" spans="41:42">
      <c r="AO217" t="s">
        <v>324</v>
      </c>
      <c r="AP217" t="s">
        <v>1508</v>
      </c>
    </row>
    <row r="218" spans="41:42">
      <c r="AO218" t="s">
        <v>324</v>
      </c>
      <c r="AP218" t="s">
        <v>1509</v>
      </c>
    </row>
    <row r="219" spans="41:42">
      <c r="AO219" t="s">
        <v>324</v>
      </c>
      <c r="AP219" t="s">
        <v>1210</v>
      </c>
    </row>
    <row r="220" spans="41:42">
      <c r="AO220" t="s">
        <v>324</v>
      </c>
      <c r="AP220" t="s">
        <v>990</v>
      </c>
    </row>
    <row r="221" spans="41:42">
      <c r="AO221" t="s">
        <v>324</v>
      </c>
      <c r="AP221" t="s">
        <v>993</v>
      </c>
    </row>
    <row r="222" spans="41:42">
      <c r="AO222" t="s">
        <v>324</v>
      </c>
      <c r="AP222" t="s">
        <v>994</v>
      </c>
    </row>
    <row r="223" spans="41:42">
      <c r="AO223" t="s">
        <v>324</v>
      </c>
      <c r="AP223" t="s">
        <v>1668</v>
      </c>
    </row>
    <row r="224" spans="41:42">
      <c r="AO224" t="s">
        <v>324</v>
      </c>
      <c r="AP224" t="s">
        <v>1669</v>
      </c>
    </row>
    <row r="225" spans="41:42">
      <c r="AO225" t="s">
        <v>324</v>
      </c>
      <c r="AP225" t="s">
        <v>1681</v>
      </c>
    </row>
    <row r="226" spans="41:42">
      <c r="AO226" t="s">
        <v>324</v>
      </c>
      <c r="AP226" t="s">
        <v>1680</v>
      </c>
    </row>
    <row r="227" spans="41:42">
      <c r="AO227" t="s">
        <v>324</v>
      </c>
      <c r="AP227" t="s">
        <v>1694</v>
      </c>
    </row>
    <row r="228" spans="41:42">
      <c r="AO228" t="s">
        <v>324</v>
      </c>
      <c r="AP228" t="s">
        <v>1678</v>
      </c>
    </row>
    <row r="229" spans="41:42">
      <c r="AO229" t="s">
        <v>324</v>
      </c>
      <c r="AP229" t="s">
        <v>1679</v>
      </c>
    </row>
    <row r="230" spans="41:42">
      <c r="AO230" t="s">
        <v>324</v>
      </c>
      <c r="AP230" t="s">
        <v>1686</v>
      </c>
    </row>
    <row r="231" spans="41:42">
      <c r="AO231" t="s">
        <v>324</v>
      </c>
      <c r="AP231" t="s">
        <v>1683</v>
      </c>
    </row>
    <row r="232" spans="41:42">
      <c r="AO232" t="s">
        <v>324</v>
      </c>
      <c r="AP232" t="s">
        <v>1684</v>
      </c>
    </row>
    <row r="233" spans="41:42">
      <c r="AO233" t="s">
        <v>324</v>
      </c>
      <c r="AP233" t="s">
        <v>1685</v>
      </c>
    </row>
    <row r="234" spans="41:42">
      <c r="AO234" t="s">
        <v>324</v>
      </c>
      <c r="AP234" t="s">
        <v>1687</v>
      </c>
    </row>
    <row r="235" spans="41:42">
      <c r="AO235" t="s">
        <v>324</v>
      </c>
      <c r="AP235" t="s">
        <v>1688</v>
      </c>
    </row>
    <row r="236" spans="41:42">
      <c r="AO236" t="s">
        <v>324</v>
      </c>
      <c r="AP236" t="s">
        <v>1599</v>
      </c>
    </row>
    <row r="237" spans="41:42">
      <c r="AO237" t="s">
        <v>325</v>
      </c>
      <c r="AP237" t="s">
        <v>1693</v>
      </c>
    </row>
    <row r="238" spans="41:42">
      <c r="AO238" t="s">
        <v>325</v>
      </c>
      <c r="AP238" t="s">
        <v>1692</v>
      </c>
    </row>
    <row r="239" spans="41:42">
      <c r="AO239" t="s">
        <v>325</v>
      </c>
      <c r="AP239" t="s">
        <v>968</v>
      </c>
    </row>
    <row r="240" spans="41:42">
      <c r="AO240" t="s">
        <v>325</v>
      </c>
      <c r="AP240" t="s">
        <v>1508</v>
      </c>
    </row>
    <row r="241" spans="41:42">
      <c r="AO241" t="s">
        <v>325</v>
      </c>
      <c r="AP241" t="s">
        <v>1509</v>
      </c>
    </row>
    <row r="242" spans="41:42">
      <c r="AO242" t="s">
        <v>325</v>
      </c>
      <c r="AP242" t="s">
        <v>1210</v>
      </c>
    </row>
    <row r="243" spans="41:42">
      <c r="AO243" t="s">
        <v>325</v>
      </c>
      <c r="AP243" t="s">
        <v>990</v>
      </c>
    </row>
    <row r="244" spans="41:42">
      <c r="AO244" t="s">
        <v>325</v>
      </c>
      <c r="AP244" t="s">
        <v>993</v>
      </c>
    </row>
    <row r="245" spans="41:42">
      <c r="AO245" t="s">
        <v>325</v>
      </c>
      <c r="AP245" t="s">
        <v>994</v>
      </c>
    </row>
    <row r="246" spans="41:42">
      <c r="AO246" t="s">
        <v>325</v>
      </c>
      <c r="AP246" t="s">
        <v>1668</v>
      </c>
    </row>
    <row r="247" spans="41:42">
      <c r="AO247" t="s">
        <v>325</v>
      </c>
      <c r="AP247" t="s">
        <v>1669</v>
      </c>
    </row>
    <row r="248" spans="41:42">
      <c r="AO248" t="s">
        <v>325</v>
      </c>
      <c r="AP248" t="s">
        <v>1686</v>
      </c>
    </row>
    <row r="249" spans="41:42">
      <c r="AO249" t="s">
        <v>325</v>
      </c>
      <c r="AP249" t="s">
        <v>1683</v>
      </c>
    </row>
    <row r="250" spans="41:42">
      <c r="AO250" t="s">
        <v>325</v>
      </c>
      <c r="AP250" t="s">
        <v>1684</v>
      </c>
    </row>
    <row r="251" spans="41:42">
      <c r="AO251" t="s">
        <v>325</v>
      </c>
      <c r="AP251" t="s">
        <v>1685</v>
      </c>
    </row>
    <row r="252" spans="41:42">
      <c r="AO252" t="s">
        <v>325</v>
      </c>
      <c r="AP252" t="s">
        <v>1687</v>
      </c>
    </row>
    <row r="253" spans="41:42">
      <c r="AO253" t="s">
        <v>325</v>
      </c>
      <c r="AP253" t="s">
        <v>1688</v>
      </c>
    </row>
    <row r="254" spans="41:42">
      <c r="AO254" t="s">
        <v>325</v>
      </c>
      <c r="AP254" t="s">
        <v>1599</v>
      </c>
    </row>
    <row r="255" spans="41:42">
      <c r="AO255" t="s">
        <v>326</v>
      </c>
      <c r="AP255" t="s">
        <v>1693</v>
      </c>
    </row>
    <row r="256" spans="41:42">
      <c r="AO256" t="s">
        <v>326</v>
      </c>
      <c r="AP256" t="s">
        <v>1692</v>
      </c>
    </row>
    <row r="257" spans="41:42">
      <c r="AO257" t="s">
        <v>326</v>
      </c>
      <c r="AP257" t="s">
        <v>968</v>
      </c>
    </row>
    <row r="258" spans="41:42">
      <c r="AO258" t="s">
        <v>326</v>
      </c>
      <c r="AP258" t="s">
        <v>1508</v>
      </c>
    </row>
    <row r="259" spans="41:42">
      <c r="AO259" t="s">
        <v>326</v>
      </c>
      <c r="AP259" t="s">
        <v>1509</v>
      </c>
    </row>
    <row r="260" spans="41:42">
      <c r="AO260" t="s">
        <v>326</v>
      </c>
      <c r="AP260" t="s">
        <v>1210</v>
      </c>
    </row>
    <row r="261" spans="41:42">
      <c r="AO261" t="s">
        <v>326</v>
      </c>
      <c r="AP261" t="s">
        <v>990</v>
      </c>
    </row>
    <row r="262" spans="41:42">
      <c r="AO262" t="s">
        <v>326</v>
      </c>
      <c r="AP262" t="s">
        <v>993</v>
      </c>
    </row>
    <row r="263" spans="41:42">
      <c r="AO263" t="s">
        <v>326</v>
      </c>
      <c r="AP263" t="s">
        <v>994</v>
      </c>
    </row>
    <row r="264" spans="41:42">
      <c r="AO264" t="s">
        <v>326</v>
      </c>
      <c r="AP264" t="s">
        <v>1668</v>
      </c>
    </row>
    <row r="265" spans="41:42">
      <c r="AO265" t="s">
        <v>326</v>
      </c>
      <c r="AP265" t="s">
        <v>1669</v>
      </c>
    </row>
    <row r="266" spans="41:42">
      <c r="AO266" t="s">
        <v>326</v>
      </c>
      <c r="AP266" t="s">
        <v>1695</v>
      </c>
    </row>
    <row r="267" spans="41:42">
      <c r="AO267" t="s">
        <v>326</v>
      </c>
      <c r="AP267" t="s">
        <v>1599</v>
      </c>
    </row>
    <row r="268" spans="41:42">
      <c r="AO268" t="s">
        <v>327</v>
      </c>
      <c r="AP268" t="s">
        <v>1664</v>
      </c>
    </row>
    <row r="269" spans="41:42">
      <c r="AO269" t="s">
        <v>327</v>
      </c>
      <c r="AP269" t="s">
        <v>1665</v>
      </c>
    </row>
    <row r="270" spans="41:42">
      <c r="AO270" t="s">
        <v>327</v>
      </c>
      <c r="AP270" t="s">
        <v>1693</v>
      </c>
    </row>
    <row r="271" spans="41:42">
      <c r="AO271" t="s">
        <v>327</v>
      </c>
      <c r="AP271" t="s">
        <v>1692</v>
      </c>
    </row>
    <row r="272" spans="41:42">
      <c r="AO272" t="s">
        <v>327</v>
      </c>
      <c r="AP272" t="s">
        <v>968</v>
      </c>
    </row>
    <row r="273" spans="41:42">
      <c r="AO273" t="s">
        <v>327</v>
      </c>
      <c r="AP273" t="s">
        <v>1508</v>
      </c>
    </row>
    <row r="274" spans="41:42">
      <c r="AO274" t="s">
        <v>327</v>
      </c>
      <c r="AP274" t="s">
        <v>1509</v>
      </c>
    </row>
    <row r="275" spans="41:42">
      <c r="AO275" t="s">
        <v>327</v>
      </c>
      <c r="AP275" t="s">
        <v>1210</v>
      </c>
    </row>
    <row r="276" spans="41:42">
      <c r="AO276" t="s">
        <v>327</v>
      </c>
      <c r="AP276" t="s">
        <v>990</v>
      </c>
    </row>
    <row r="277" spans="41:42">
      <c r="AO277" t="s">
        <v>327</v>
      </c>
      <c r="AP277" t="s">
        <v>993</v>
      </c>
    </row>
    <row r="278" spans="41:42">
      <c r="AO278" t="s">
        <v>327</v>
      </c>
      <c r="AP278" t="s">
        <v>994</v>
      </c>
    </row>
    <row r="279" spans="41:42">
      <c r="AO279" t="s">
        <v>327</v>
      </c>
      <c r="AP279" t="s">
        <v>1697</v>
      </c>
    </row>
    <row r="280" spans="41:42">
      <c r="AO280" t="s">
        <v>327</v>
      </c>
      <c r="AP280" t="s">
        <v>1668</v>
      </c>
    </row>
    <row r="281" spans="41:42">
      <c r="AO281" t="s">
        <v>327</v>
      </c>
      <c r="AP281" t="s">
        <v>1669</v>
      </c>
    </row>
    <row r="282" spans="41:42">
      <c r="AO282" t="s">
        <v>327</v>
      </c>
      <c r="AP282" t="s">
        <v>1670</v>
      </c>
    </row>
    <row r="283" spans="41:42">
      <c r="AO283" t="s">
        <v>327</v>
      </c>
      <c r="AP283" t="s">
        <v>1694</v>
      </c>
    </row>
    <row r="284" spans="41:42">
      <c r="AO284" t="s">
        <v>327</v>
      </c>
      <c r="AP284" t="s">
        <v>1682</v>
      </c>
    </row>
    <row r="285" spans="41:42">
      <c r="AO285" t="s">
        <v>327</v>
      </c>
      <c r="AP285" t="s">
        <v>1686</v>
      </c>
    </row>
    <row r="286" spans="41:42">
      <c r="AO286" t="s">
        <v>327</v>
      </c>
      <c r="AP286" t="s">
        <v>1683</v>
      </c>
    </row>
    <row r="287" spans="41:42">
      <c r="AO287" t="s">
        <v>327</v>
      </c>
      <c r="AP287" t="s">
        <v>1684</v>
      </c>
    </row>
    <row r="288" spans="41:42">
      <c r="AO288" t="s">
        <v>327</v>
      </c>
      <c r="AP288" t="s">
        <v>1685</v>
      </c>
    </row>
    <row r="289" spans="41:42">
      <c r="AO289" t="s">
        <v>327</v>
      </c>
      <c r="AP289" t="s">
        <v>1687</v>
      </c>
    </row>
    <row r="290" spans="41:42">
      <c r="AO290" t="s">
        <v>327</v>
      </c>
      <c r="AP290" t="s">
        <v>1688</v>
      </c>
    </row>
    <row r="291" spans="41:42">
      <c r="AO291" t="s">
        <v>327</v>
      </c>
      <c r="AP291" t="s">
        <v>1696</v>
      </c>
    </row>
    <row r="292" spans="41:42">
      <c r="AO292" t="s">
        <v>327</v>
      </c>
      <c r="AP292" t="s">
        <v>1689</v>
      </c>
    </row>
    <row r="293" spans="41:42">
      <c r="AO293" t="s">
        <v>327</v>
      </c>
      <c r="AP293" t="s">
        <v>1690</v>
      </c>
    </row>
    <row r="294" spans="41:42">
      <c r="AO294" t="s">
        <v>327</v>
      </c>
      <c r="AP294" t="s">
        <v>1691</v>
      </c>
    </row>
    <row r="295" spans="41:42">
      <c r="AO295" t="s">
        <v>327</v>
      </c>
      <c r="AP295" t="s">
        <v>1695</v>
      </c>
    </row>
    <row r="296" spans="41:42">
      <c r="AO296" t="s">
        <v>327</v>
      </c>
      <c r="AP296" t="s">
        <v>1599</v>
      </c>
    </row>
    <row r="297" spans="41:42">
      <c r="AO297" t="s">
        <v>328</v>
      </c>
      <c r="AP297" t="s">
        <v>1693</v>
      </c>
    </row>
    <row r="298" spans="41:42">
      <c r="AO298" t="s">
        <v>328</v>
      </c>
      <c r="AP298" t="s">
        <v>1692</v>
      </c>
    </row>
    <row r="299" spans="41:42">
      <c r="AO299" t="s">
        <v>328</v>
      </c>
      <c r="AP299" t="s">
        <v>968</v>
      </c>
    </row>
    <row r="300" spans="41:42">
      <c r="AO300" t="s">
        <v>328</v>
      </c>
      <c r="AP300" t="s">
        <v>1508</v>
      </c>
    </row>
    <row r="301" spans="41:42">
      <c r="AO301" t="s">
        <v>328</v>
      </c>
      <c r="AP301" t="s">
        <v>1509</v>
      </c>
    </row>
    <row r="302" spans="41:42">
      <c r="AO302" t="s">
        <v>328</v>
      </c>
      <c r="AP302" t="s">
        <v>1210</v>
      </c>
    </row>
    <row r="303" spans="41:42">
      <c r="AO303" t="s">
        <v>328</v>
      </c>
      <c r="AP303" t="s">
        <v>990</v>
      </c>
    </row>
    <row r="304" spans="41:42">
      <c r="AO304" t="s">
        <v>328</v>
      </c>
      <c r="AP304" t="s">
        <v>993</v>
      </c>
    </row>
    <row r="305" spans="41:42">
      <c r="AO305" t="s">
        <v>328</v>
      </c>
      <c r="AP305" t="s">
        <v>994</v>
      </c>
    </row>
    <row r="306" spans="41:42">
      <c r="AO306" t="s">
        <v>328</v>
      </c>
      <c r="AP306" t="s">
        <v>1668</v>
      </c>
    </row>
    <row r="307" spans="41:42">
      <c r="AO307" t="s">
        <v>328</v>
      </c>
      <c r="AP307" t="s">
        <v>1669</v>
      </c>
    </row>
    <row r="308" spans="41:42">
      <c r="AO308" t="s">
        <v>328</v>
      </c>
      <c r="AP308" t="s">
        <v>1677</v>
      </c>
    </row>
    <row r="309" spans="41:42">
      <c r="AO309" t="s">
        <v>328</v>
      </c>
      <c r="AP309" t="s">
        <v>1686</v>
      </c>
    </row>
    <row r="310" spans="41:42">
      <c r="AO310" t="s">
        <v>328</v>
      </c>
      <c r="AP310" t="s">
        <v>1683</v>
      </c>
    </row>
    <row r="311" spans="41:42">
      <c r="AO311" t="s">
        <v>328</v>
      </c>
      <c r="AP311" t="s">
        <v>1684</v>
      </c>
    </row>
    <row r="312" spans="41:42">
      <c r="AO312" t="s">
        <v>328</v>
      </c>
      <c r="AP312" t="s">
        <v>1685</v>
      </c>
    </row>
    <row r="313" spans="41:42">
      <c r="AO313" t="s">
        <v>328</v>
      </c>
      <c r="AP313" t="s">
        <v>1687</v>
      </c>
    </row>
    <row r="314" spans="41:42">
      <c r="AO314" t="s">
        <v>328</v>
      </c>
      <c r="AP314" t="s">
        <v>1688</v>
      </c>
    </row>
    <row r="315" spans="41:42">
      <c r="AO315" t="s">
        <v>328</v>
      </c>
      <c r="AP315" t="s">
        <v>1695</v>
      </c>
    </row>
    <row r="316" spans="41:42">
      <c r="AO316" t="s">
        <v>328</v>
      </c>
      <c r="AP316" t="s">
        <v>1599</v>
      </c>
    </row>
    <row r="317" spans="41:42">
      <c r="AO317" t="s">
        <v>328</v>
      </c>
      <c r="AP317" t="s">
        <v>328</v>
      </c>
    </row>
    <row r="318" spans="41:42">
      <c r="AO318" t="s">
        <v>2254</v>
      </c>
      <c r="AP318" t="s">
        <v>1655</v>
      </c>
    </row>
    <row r="319" spans="41:42">
      <c r="AO319" t="s">
        <v>2254</v>
      </c>
      <c r="AP319" t="s">
        <v>1660</v>
      </c>
    </row>
    <row r="320" spans="41:42">
      <c r="AO320" t="s">
        <v>2254</v>
      </c>
      <c r="AP320" t="s">
        <v>1659</v>
      </c>
    </row>
    <row r="321" spans="41:42">
      <c r="AO321" t="s">
        <v>2254</v>
      </c>
      <c r="AP321" t="s">
        <v>1656</v>
      </c>
    </row>
    <row r="322" spans="41:42">
      <c r="AO322" t="s">
        <v>2254</v>
      </c>
      <c r="AP322" t="s">
        <v>1657</v>
      </c>
    </row>
    <row r="323" spans="41:42">
      <c r="AO323" t="s">
        <v>2254</v>
      </c>
      <c r="AP323" t="s">
        <v>1658</v>
      </c>
    </row>
    <row r="324" spans="41:42">
      <c r="AO324" t="s">
        <v>2254</v>
      </c>
      <c r="AP324" t="s">
        <v>1661</v>
      </c>
    </row>
    <row r="325" spans="41:42">
      <c r="AO325" t="s">
        <v>2254</v>
      </c>
      <c r="AP325" t="s">
        <v>1662</v>
      </c>
    </row>
    <row r="326" spans="41:42">
      <c r="AO326" t="s">
        <v>2254</v>
      </c>
      <c r="AP326" t="s">
        <v>1663</v>
      </c>
    </row>
    <row r="327" spans="41:42">
      <c r="AO327" t="s">
        <v>2254</v>
      </c>
      <c r="AP327" t="s">
        <v>1346</v>
      </c>
    </row>
    <row r="328" spans="41:42">
      <c r="AO328" t="s">
        <v>2254</v>
      </c>
      <c r="AP328" t="s">
        <v>1664</v>
      </c>
    </row>
    <row r="329" spans="41:42">
      <c r="AO329" t="s">
        <v>2254</v>
      </c>
      <c r="AP329" t="s">
        <v>1665</v>
      </c>
    </row>
    <row r="330" spans="41:42">
      <c r="AO330" t="s">
        <v>2254</v>
      </c>
      <c r="AP330" t="s">
        <v>1666</v>
      </c>
    </row>
    <row r="331" spans="41:42">
      <c r="AO331" t="s">
        <v>2254</v>
      </c>
      <c r="AP331" t="s">
        <v>1667</v>
      </c>
    </row>
    <row r="332" spans="41:42">
      <c r="AO332" t="s">
        <v>2254</v>
      </c>
      <c r="AP332" t="s">
        <v>1693</v>
      </c>
    </row>
    <row r="333" spans="41:42">
      <c r="AO333" t="s">
        <v>2254</v>
      </c>
      <c r="AP333" t="s">
        <v>1692</v>
      </c>
    </row>
    <row r="334" spans="41:42">
      <c r="AO334" t="s">
        <v>2254</v>
      </c>
      <c r="AP334" t="s">
        <v>968</v>
      </c>
    </row>
    <row r="335" spans="41:42">
      <c r="AO335" t="s">
        <v>2254</v>
      </c>
      <c r="AP335" t="s">
        <v>1508</v>
      </c>
    </row>
    <row r="336" spans="41:42">
      <c r="AO336" t="s">
        <v>2254</v>
      </c>
      <c r="AP336" t="s">
        <v>1509</v>
      </c>
    </row>
    <row r="337" spans="41:42">
      <c r="AO337" t="s">
        <v>2254</v>
      </c>
      <c r="AP337" t="s">
        <v>1210</v>
      </c>
    </row>
    <row r="338" spans="41:42">
      <c r="AO338" t="s">
        <v>2254</v>
      </c>
      <c r="AP338" t="s">
        <v>990</v>
      </c>
    </row>
    <row r="339" spans="41:42">
      <c r="AO339" t="s">
        <v>2254</v>
      </c>
      <c r="AP339" t="s">
        <v>993</v>
      </c>
    </row>
    <row r="340" spans="41:42">
      <c r="AO340" t="s">
        <v>2254</v>
      </c>
      <c r="AP340" t="s">
        <v>994</v>
      </c>
    </row>
    <row r="341" spans="41:42">
      <c r="AO341" t="s">
        <v>2254</v>
      </c>
      <c r="AP341" t="s">
        <v>1697</v>
      </c>
    </row>
    <row r="342" spans="41:42">
      <c r="AO342" t="s">
        <v>2254</v>
      </c>
      <c r="AP342" t="s">
        <v>1668</v>
      </c>
    </row>
    <row r="343" spans="41:42">
      <c r="AO343" t="s">
        <v>2254</v>
      </c>
      <c r="AP343" t="s">
        <v>1669</v>
      </c>
    </row>
    <row r="344" spans="41:42">
      <c r="AO344" t="s">
        <v>2254</v>
      </c>
      <c r="AP344" t="s">
        <v>1670</v>
      </c>
    </row>
    <row r="345" spans="41:42">
      <c r="AO345" t="s">
        <v>2254</v>
      </c>
      <c r="AP345" t="s">
        <v>1671</v>
      </c>
    </row>
    <row r="346" spans="41:42">
      <c r="AO346" t="s">
        <v>2254</v>
      </c>
      <c r="AP346" t="s">
        <v>1672</v>
      </c>
    </row>
    <row r="347" spans="41:42">
      <c r="AO347" t="s">
        <v>2254</v>
      </c>
      <c r="AP347" t="s">
        <v>1674</v>
      </c>
    </row>
    <row r="348" spans="41:42">
      <c r="AO348" t="s">
        <v>2254</v>
      </c>
      <c r="AP348" t="s">
        <v>1673</v>
      </c>
    </row>
    <row r="349" spans="41:42">
      <c r="AO349" t="s">
        <v>2254</v>
      </c>
      <c r="AP349" t="s">
        <v>1676</v>
      </c>
    </row>
    <row r="350" spans="41:42">
      <c r="AO350" t="s">
        <v>2254</v>
      </c>
      <c r="AP350" t="s">
        <v>1675</v>
      </c>
    </row>
    <row r="351" spans="41:42">
      <c r="AO351" t="s">
        <v>2254</v>
      </c>
      <c r="AP351" t="s">
        <v>1681</v>
      </c>
    </row>
    <row r="352" spans="41:42">
      <c r="AO352" t="s">
        <v>2254</v>
      </c>
      <c r="AP352" t="s">
        <v>1680</v>
      </c>
    </row>
    <row r="353" spans="41:42">
      <c r="AO353" t="s">
        <v>2254</v>
      </c>
      <c r="AP353" t="s">
        <v>1694</v>
      </c>
    </row>
    <row r="354" spans="41:42">
      <c r="AO354" t="s">
        <v>2254</v>
      </c>
      <c r="AP354" t="s">
        <v>1677</v>
      </c>
    </row>
    <row r="355" spans="41:42">
      <c r="AO355" t="s">
        <v>2254</v>
      </c>
      <c r="AP355" t="s">
        <v>1678</v>
      </c>
    </row>
    <row r="356" spans="41:42">
      <c r="AO356" t="s">
        <v>2254</v>
      </c>
      <c r="AP356" t="s">
        <v>1679</v>
      </c>
    </row>
    <row r="357" spans="41:42">
      <c r="AO357" t="s">
        <v>2254</v>
      </c>
      <c r="AP357" t="s">
        <v>1682</v>
      </c>
    </row>
    <row r="358" spans="41:42">
      <c r="AO358" t="s">
        <v>2254</v>
      </c>
      <c r="AP358" t="s">
        <v>1686</v>
      </c>
    </row>
    <row r="359" spans="41:42">
      <c r="AO359" t="s">
        <v>2254</v>
      </c>
      <c r="AP359" t="s">
        <v>1683</v>
      </c>
    </row>
    <row r="360" spans="41:42">
      <c r="AO360" t="s">
        <v>2254</v>
      </c>
      <c r="AP360" t="s">
        <v>1684</v>
      </c>
    </row>
    <row r="361" spans="41:42">
      <c r="AO361" t="s">
        <v>2254</v>
      </c>
      <c r="AP361" t="s">
        <v>1685</v>
      </c>
    </row>
    <row r="362" spans="41:42">
      <c r="AO362" t="s">
        <v>2254</v>
      </c>
      <c r="AP362" t="s">
        <v>1687</v>
      </c>
    </row>
    <row r="363" spans="41:42">
      <c r="AO363" t="s">
        <v>2254</v>
      </c>
      <c r="AP363" t="s">
        <v>1688</v>
      </c>
    </row>
    <row r="364" spans="41:42">
      <c r="AO364" t="s">
        <v>2254</v>
      </c>
      <c r="AP364" t="s">
        <v>1696</v>
      </c>
    </row>
    <row r="365" spans="41:42">
      <c r="AO365" t="s">
        <v>2254</v>
      </c>
      <c r="AP365" t="s">
        <v>988</v>
      </c>
    </row>
    <row r="366" spans="41:42">
      <c r="AO366" t="s">
        <v>2254</v>
      </c>
      <c r="AP366" t="s">
        <v>1689</v>
      </c>
    </row>
    <row r="367" spans="41:42">
      <c r="AO367" t="s">
        <v>2254</v>
      </c>
      <c r="AP367" t="s">
        <v>1690</v>
      </c>
    </row>
    <row r="368" spans="41:42">
      <c r="AO368" t="s">
        <v>2254</v>
      </c>
      <c r="AP368" t="s">
        <v>1691</v>
      </c>
    </row>
    <row r="369" spans="41:42">
      <c r="AO369" t="s">
        <v>2254</v>
      </c>
      <c r="AP369" t="s">
        <v>1695</v>
      </c>
    </row>
    <row r="370" spans="41:42">
      <c r="AO370" t="s">
        <v>2254</v>
      </c>
      <c r="AP370" t="s">
        <v>1599</v>
      </c>
    </row>
    <row r="371" spans="41:42">
      <c r="AO371" t="s">
        <v>2254</v>
      </c>
      <c r="AP371" t="s">
        <v>328</v>
      </c>
    </row>
  </sheetData>
  <sheetProtection algorithmName="SHA-512" hashValue="Ciam1EPSrFtaImWpjL7NgAVNluqYE5qwGSm9RwOuka0PetBuTHenCSw8sl7OMXBSgzni/Uz4JhmQOE3z4fUKPA==" saltValue="HxRqUlIvgrp9eFufjNK+PQ==" spinCount="100000" sheet="1" objects="1" scenarios="1"/>
  <phoneticPr fontId="150" type="noConversion"/>
  <pageMargins left="0.7" right="0.7" top="0.75" bottom="0.75" header="0.3" footer="0.3"/>
  <pageSetup orientation="portrait" r:id="rId1"/>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4">
    <tabColor theme="4" tint="-0.249977111117893"/>
  </sheetPr>
  <dimension ref="A1:BV246"/>
  <sheetViews>
    <sheetView topLeftCell="A164" zoomScale="85" zoomScaleNormal="85" workbookViewId="0">
      <pane xSplit="2" topLeftCell="AF1" activePane="topRight" state="frozen"/>
      <selection activeCell="A37" sqref="A37"/>
      <selection pane="topRight" activeCell="AH189" sqref="AH189"/>
    </sheetView>
  </sheetViews>
  <sheetFormatPr defaultRowHeight="15"/>
  <cols>
    <col min="1" max="1" width="15.140625" style="349" customWidth="1"/>
    <col min="2" max="2" width="80.140625" style="311" bestFit="1" customWidth="1"/>
    <col min="3" max="3" width="78.28515625" style="310" bestFit="1" customWidth="1"/>
    <col min="4" max="4" width="17.28515625" style="310" customWidth="1"/>
    <col min="5" max="5" width="27.85546875" style="310" customWidth="1"/>
    <col min="6" max="6" width="32.85546875" style="310" customWidth="1"/>
    <col min="7" max="7" width="20" style="310" customWidth="1"/>
    <col min="8" max="8" width="27" style="310" customWidth="1"/>
    <col min="9" max="9" width="23.28515625" style="310" customWidth="1"/>
    <col min="10" max="10" width="23" style="310" customWidth="1"/>
    <col min="11" max="11" width="25.28515625" style="311" customWidth="1"/>
    <col min="12" max="12" width="18" style="310" customWidth="1"/>
    <col min="13" max="13" width="16.28515625" style="312" customWidth="1"/>
    <col min="14" max="14" width="27.85546875" style="310" customWidth="1"/>
    <col min="15" max="15" width="28.42578125" style="310" customWidth="1"/>
    <col min="16" max="16" width="18.28515625" style="310" customWidth="1"/>
    <col min="17" max="17" width="29.42578125" style="310" customWidth="1"/>
    <col min="18" max="18" width="25.7109375" style="310" customWidth="1"/>
    <col min="19" max="19" width="19.140625" style="310" customWidth="1"/>
    <col min="20" max="20" width="19.28515625" style="310" customWidth="1"/>
    <col min="21" max="21" width="17.28515625" style="310" customWidth="1"/>
    <col min="22" max="22" width="13" style="310" customWidth="1"/>
    <col min="23" max="23" width="30.5703125" style="310" customWidth="1"/>
    <col min="24" max="24" width="10.85546875" style="310" customWidth="1"/>
    <col min="25" max="25" width="12" style="310" customWidth="1"/>
    <col min="26" max="26" width="15.28515625" style="310" customWidth="1"/>
    <col min="27" max="27" width="22.42578125" style="310" customWidth="1"/>
    <col min="28" max="28" width="22.28515625" style="310" customWidth="1"/>
    <col min="29" max="29" width="25.5703125" style="310" customWidth="1"/>
    <col min="30" max="30" width="47.140625" style="310" bestFit="1" customWidth="1"/>
    <col min="31" max="31" width="19.5703125" style="310" customWidth="1"/>
    <col min="32" max="32" width="14.85546875" style="310" customWidth="1"/>
    <col min="33" max="33" width="56.28515625" style="310" customWidth="1"/>
    <col min="34" max="34" width="70.28515625" style="310" customWidth="1"/>
    <col min="35" max="35" width="48" style="310" customWidth="1"/>
    <col min="36" max="36" width="16.5703125" style="310" customWidth="1"/>
    <col min="37" max="37" width="15.7109375" style="310" customWidth="1"/>
    <col min="38" max="38" width="9.140625" style="310" customWidth="1"/>
    <col min="39" max="39" width="9.7109375" style="310" customWidth="1"/>
    <col min="40" max="40" width="23.140625" style="310" customWidth="1"/>
    <col min="41" max="41" width="48.7109375" style="310" bestFit="1" customWidth="1"/>
    <col min="42" max="45" width="9.140625" style="310"/>
    <col min="46" max="46" width="19.140625" style="310" customWidth="1"/>
    <col min="47" max="47" width="13.5703125" style="310" customWidth="1"/>
    <col min="48" max="48" width="14.5703125" style="310" customWidth="1"/>
    <col min="49" max="16384" width="9.140625" style="310"/>
  </cols>
  <sheetData>
    <row r="1" spans="1:54" s="315" customFormat="1" ht="12.75" customHeight="1">
      <c r="A1" s="349" t="s">
        <v>852</v>
      </c>
      <c r="B1" s="311" t="s">
        <v>853</v>
      </c>
      <c r="C1" s="310" t="s">
        <v>854</v>
      </c>
      <c r="D1" s="310" t="s">
        <v>855</v>
      </c>
      <c r="E1" s="310" t="s">
        <v>856</v>
      </c>
      <c r="F1" s="310" t="s">
        <v>144</v>
      </c>
      <c r="G1" s="310" t="s">
        <v>857</v>
      </c>
      <c r="H1" s="310" t="s">
        <v>858</v>
      </c>
      <c r="I1" s="310" t="s">
        <v>145</v>
      </c>
      <c r="J1" s="374" t="s">
        <v>1454</v>
      </c>
      <c r="K1" s="311" t="s">
        <v>859</v>
      </c>
      <c r="L1" s="310" t="s">
        <v>148</v>
      </c>
      <c r="M1" s="312" t="s">
        <v>860</v>
      </c>
      <c r="N1" s="310" t="s">
        <v>153</v>
      </c>
      <c r="O1" s="313" t="s">
        <v>687</v>
      </c>
      <c r="P1" s="313" t="s">
        <v>147</v>
      </c>
      <c r="Q1" s="310" t="s">
        <v>150</v>
      </c>
      <c r="R1" s="310" t="s">
        <v>861</v>
      </c>
      <c r="S1" s="310" t="s">
        <v>862</v>
      </c>
      <c r="T1" s="310" t="s">
        <v>863</v>
      </c>
      <c r="U1" s="310" t="s">
        <v>142</v>
      </c>
      <c r="V1" s="310" t="s">
        <v>0</v>
      </c>
      <c r="W1" s="310" t="s">
        <v>864</v>
      </c>
      <c r="X1" s="310" t="s">
        <v>489</v>
      </c>
      <c r="Y1" s="310" t="s">
        <v>152</v>
      </c>
      <c r="Z1" s="310" t="s">
        <v>817</v>
      </c>
      <c r="AA1" s="310" t="s">
        <v>151</v>
      </c>
      <c r="AB1" s="310" t="s">
        <v>865</v>
      </c>
      <c r="AC1" s="310" t="s">
        <v>100</v>
      </c>
      <c r="AD1" s="314" t="s">
        <v>169</v>
      </c>
      <c r="AE1" s="314" t="s">
        <v>170</v>
      </c>
      <c r="AF1" s="314" t="s">
        <v>173</v>
      </c>
      <c r="AG1" s="314" t="s">
        <v>220</v>
      </c>
      <c r="AH1" s="314" t="s">
        <v>171</v>
      </c>
      <c r="AI1" s="314" t="s">
        <v>172</v>
      </c>
      <c r="AJ1" s="314" t="s">
        <v>174</v>
      </c>
      <c r="AK1" s="314" t="s">
        <v>188</v>
      </c>
      <c r="AL1" s="314" t="s">
        <v>909</v>
      </c>
      <c r="AM1" s="314" t="s">
        <v>590</v>
      </c>
      <c r="AO1" s="316" t="s">
        <v>169</v>
      </c>
      <c r="AP1" s="316" t="s">
        <v>1401</v>
      </c>
      <c r="AQ1" s="316" t="s">
        <v>173</v>
      </c>
      <c r="AR1" s="316" t="s">
        <v>794</v>
      </c>
      <c r="AS1" s="316" t="s">
        <v>590</v>
      </c>
      <c r="AU1" s="317" t="s">
        <v>923</v>
      </c>
      <c r="AV1" s="317" t="s">
        <v>852</v>
      </c>
      <c r="AW1" s="317" t="s">
        <v>147</v>
      </c>
      <c r="AX1" s="317" t="s">
        <v>186</v>
      </c>
      <c r="AY1" s="317" t="s">
        <v>187</v>
      </c>
      <c r="AZ1" s="317" t="s">
        <v>909</v>
      </c>
      <c r="BA1" s="317" t="s">
        <v>910</v>
      </c>
      <c r="BB1" s="317" t="s">
        <v>687</v>
      </c>
    </row>
    <row r="2" spans="1:54" ht="30">
      <c r="A2" s="350">
        <v>810146</v>
      </c>
      <c r="B2" s="318" t="s">
        <v>1744</v>
      </c>
      <c r="C2" s="83" t="s">
        <v>1728</v>
      </c>
      <c r="D2" s="318" t="s">
        <v>155</v>
      </c>
      <c r="E2" s="83" t="s">
        <v>156</v>
      </c>
      <c r="F2" s="83" t="s">
        <v>1756</v>
      </c>
      <c r="G2" s="318" t="s">
        <v>155</v>
      </c>
      <c r="H2" s="355" t="s">
        <v>1284</v>
      </c>
      <c r="I2" s="83" t="s">
        <v>1766</v>
      </c>
      <c r="J2" s="318" t="s">
        <v>2171</v>
      </c>
      <c r="K2" s="319"/>
      <c r="L2" s="83">
        <v>15</v>
      </c>
      <c r="M2" s="320"/>
      <c r="N2" s="355"/>
      <c r="O2" s="321"/>
      <c r="P2" s="83">
        <v>1</v>
      </c>
      <c r="Q2" s="318">
        <v>15.7</v>
      </c>
      <c r="R2" s="397">
        <v>6.0000000000000001E-3</v>
      </c>
      <c r="S2" s="318">
        <v>6.3694267515923567E-2</v>
      </c>
      <c r="T2" s="318">
        <v>166.66666666666666</v>
      </c>
      <c r="U2" s="356" t="s">
        <v>154</v>
      </c>
      <c r="V2" s="310" t="s">
        <v>947</v>
      </c>
      <c r="W2" s="318"/>
      <c r="X2" s="318" t="s">
        <v>1002</v>
      </c>
      <c r="Y2" s="318" t="s">
        <v>1032</v>
      </c>
      <c r="Z2" s="318"/>
      <c r="AA2" s="322">
        <v>13</v>
      </c>
      <c r="AB2" s="355">
        <v>1</v>
      </c>
      <c r="AC2" s="83" t="s">
        <v>1112</v>
      </c>
      <c r="AD2" t="s">
        <v>2112</v>
      </c>
      <c r="AE2" s="318"/>
      <c r="AF2" s="318"/>
      <c r="AG2" s="318"/>
      <c r="AH2" s="9" t="s">
        <v>2389</v>
      </c>
      <c r="AI2" s="318"/>
      <c r="AJ2" s="83"/>
      <c r="AK2" s="83">
        <v>9999</v>
      </c>
      <c r="AL2" s="318">
        <v>1000</v>
      </c>
      <c r="AM2" s="318">
        <v>4</v>
      </c>
      <c r="AO2" s="383" t="s">
        <v>1382</v>
      </c>
      <c r="AP2" s="380"/>
      <c r="AQ2" s="380"/>
      <c r="AR2" s="380"/>
      <c r="AS2" s="380">
        <v>1</v>
      </c>
      <c r="AU2" s="323"/>
      <c r="AV2" s="323"/>
      <c r="AW2" s="323"/>
      <c r="AX2" s="318"/>
      <c r="AY2" s="318"/>
      <c r="AZ2" s="318"/>
      <c r="BA2" s="318"/>
      <c r="BB2" s="318"/>
    </row>
    <row r="3" spans="1:54">
      <c r="A3" s="350">
        <v>810157</v>
      </c>
      <c r="B3" s="318" t="s">
        <v>1755</v>
      </c>
      <c r="C3" s="83" t="s">
        <v>1737</v>
      </c>
      <c r="D3" s="318" t="s">
        <v>155</v>
      </c>
      <c r="E3" s="83" t="s">
        <v>1102</v>
      </c>
      <c r="F3" s="83" t="s">
        <v>1760</v>
      </c>
      <c r="G3" s="318" t="s">
        <v>155</v>
      </c>
      <c r="H3" s="355" t="s">
        <v>168</v>
      </c>
      <c r="I3" s="83" t="s">
        <v>1765</v>
      </c>
      <c r="J3" s="318" t="s">
        <v>2171</v>
      </c>
      <c r="K3" s="319"/>
      <c r="L3" s="83">
        <v>11</v>
      </c>
      <c r="M3" s="320"/>
      <c r="N3" s="355"/>
      <c r="O3" s="321"/>
      <c r="P3" s="83">
        <v>2</v>
      </c>
      <c r="Q3" s="318">
        <v>91.6</v>
      </c>
      <c r="R3" s="397">
        <v>2.1999999999999999E-2</v>
      </c>
      <c r="S3" s="318">
        <v>2.1834061135371181E-2</v>
      </c>
      <c r="T3" s="318">
        <v>90.909090909090921</v>
      </c>
      <c r="U3" s="356" t="s">
        <v>154</v>
      </c>
      <c r="V3" s="310" t="s">
        <v>947</v>
      </c>
      <c r="W3" s="318"/>
      <c r="X3" s="318" t="s">
        <v>1002</v>
      </c>
      <c r="Y3" s="318" t="s">
        <v>1032</v>
      </c>
      <c r="Z3" s="318"/>
      <c r="AA3" s="322">
        <v>12</v>
      </c>
      <c r="AB3" s="355">
        <v>1</v>
      </c>
      <c r="AC3" t="s">
        <v>1779</v>
      </c>
      <c r="AD3" s="83" t="s">
        <v>1782</v>
      </c>
      <c r="AE3" s="318"/>
      <c r="AF3" s="318"/>
      <c r="AG3" s="318"/>
      <c r="AH3" t="s">
        <v>1760</v>
      </c>
      <c r="AI3" s="318"/>
      <c r="AJ3" s="83"/>
      <c r="AK3" s="83">
        <v>9999</v>
      </c>
      <c r="AL3" s="318">
        <v>1000</v>
      </c>
      <c r="AM3" s="318">
        <v>15</v>
      </c>
      <c r="AO3" s="373" t="s">
        <v>1036</v>
      </c>
      <c r="AP3" s="382">
        <v>210</v>
      </c>
      <c r="AQ3" s="373">
        <v>1</v>
      </c>
      <c r="AR3" s="373">
        <v>300</v>
      </c>
      <c r="AS3" s="380">
        <v>2</v>
      </c>
      <c r="AU3" s="323"/>
      <c r="AV3" s="323"/>
      <c r="AW3" s="323"/>
      <c r="AX3" s="318"/>
      <c r="AY3" s="318"/>
      <c r="AZ3" s="318"/>
      <c r="BA3" s="318"/>
      <c r="BB3" s="318"/>
    </row>
    <row r="4" spans="1:54">
      <c r="A4" s="350">
        <v>810140</v>
      </c>
      <c r="B4" s="318" t="s">
        <v>1738</v>
      </c>
      <c r="C4" s="318" t="s">
        <v>1723</v>
      </c>
      <c r="D4" s="318" t="s">
        <v>155</v>
      </c>
      <c r="E4" s="318" t="s">
        <v>156</v>
      </c>
      <c r="F4" s="318" t="s">
        <v>1606</v>
      </c>
      <c r="G4" s="318" t="s">
        <v>155</v>
      </c>
      <c r="H4" s="385" t="s">
        <v>159</v>
      </c>
      <c r="I4" s="318" t="s">
        <v>1762</v>
      </c>
      <c r="J4" s="318" t="s">
        <v>2171</v>
      </c>
      <c r="K4" s="319"/>
      <c r="L4" s="83">
        <v>15</v>
      </c>
      <c r="M4" s="320"/>
      <c r="N4" s="385"/>
      <c r="O4" s="321"/>
      <c r="P4" s="83">
        <v>2</v>
      </c>
      <c r="Q4" s="318">
        <v>24.29</v>
      </c>
      <c r="R4" s="397">
        <v>8.9999999999999993E-3</v>
      </c>
      <c r="S4" s="318">
        <v>8.2338410868670234E-2</v>
      </c>
      <c r="T4" s="318">
        <v>222.22222222222223</v>
      </c>
      <c r="U4" s="356" t="s">
        <v>154</v>
      </c>
      <c r="V4" s="310" t="s">
        <v>947</v>
      </c>
      <c r="W4" s="318"/>
      <c r="X4" s="318" t="s">
        <v>1002</v>
      </c>
      <c r="Y4" s="318" t="s">
        <v>1032</v>
      </c>
      <c r="Z4" s="318"/>
      <c r="AA4" s="322">
        <v>22</v>
      </c>
      <c r="AB4" s="385">
        <v>1</v>
      </c>
      <c r="AC4" s="83" t="s">
        <v>157</v>
      </c>
      <c r="AD4" s="318" t="s">
        <v>1782</v>
      </c>
      <c r="AE4" s="318"/>
      <c r="AF4" s="318"/>
      <c r="AG4" s="318"/>
      <c r="AH4" s="9" t="s">
        <v>1606</v>
      </c>
      <c r="AI4" s="318"/>
      <c r="AJ4" s="318"/>
      <c r="AK4" s="318">
        <v>9999</v>
      </c>
      <c r="AL4" s="318">
        <v>1000</v>
      </c>
      <c r="AM4" s="318">
        <v>33</v>
      </c>
      <c r="AO4" s="372" t="s">
        <v>1366</v>
      </c>
      <c r="AP4" s="382">
        <v>295</v>
      </c>
      <c r="AQ4" s="372">
        <v>176</v>
      </c>
      <c r="AR4" s="372">
        <v>350</v>
      </c>
      <c r="AS4" s="380">
        <v>3</v>
      </c>
      <c r="AU4" s="323"/>
      <c r="AV4" s="323"/>
      <c r="AW4" s="323"/>
      <c r="AX4" s="318"/>
      <c r="AY4" s="318"/>
      <c r="AZ4" s="318"/>
      <c r="BA4" s="318"/>
      <c r="BB4" s="318"/>
    </row>
    <row r="5" spans="1:54">
      <c r="A5" s="350">
        <v>810143</v>
      </c>
      <c r="B5" s="318" t="s">
        <v>1741</v>
      </c>
      <c r="C5" s="83" t="s">
        <v>1726</v>
      </c>
      <c r="D5" s="318" t="s">
        <v>155</v>
      </c>
      <c r="E5" s="83" t="s">
        <v>156</v>
      </c>
      <c r="F5" s="83" t="s">
        <v>1756</v>
      </c>
      <c r="G5" s="318" t="s">
        <v>155</v>
      </c>
      <c r="H5" s="355" t="s">
        <v>159</v>
      </c>
      <c r="I5" s="83" t="s">
        <v>1765</v>
      </c>
      <c r="J5" s="318" t="s">
        <v>2171</v>
      </c>
      <c r="K5" s="319"/>
      <c r="L5" s="83">
        <v>15</v>
      </c>
      <c r="M5" s="320"/>
      <c r="N5" s="355"/>
      <c r="O5" s="321"/>
      <c r="P5" s="83">
        <v>2</v>
      </c>
      <c r="Q5" s="318">
        <v>35.57</v>
      </c>
      <c r="R5" s="397">
        <v>1.2999999999999999E-2</v>
      </c>
      <c r="S5" s="318">
        <v>5.6227157717177394E-2</v>
      </c>
      <c r="T5" s="318">
        <v>153.84615384615384</v>
      </c>
      <c r="U5" s="356" t="s">
        <v>154</v>
      </c>
      <c r="V5" s="310" t="s">
        <v>947</v>
      </c>
      <c r="W5" s="318"/>
      <c r="X5" s="318" t="s">
        <v>1002</v>
      </c>
      <c r="Y5" s="318" t="s">
        <v>1032</v>
      </c>
      <c r="Z5" s="318"/>
      <c r="AA5" s="322">
        <v>15</v>
      </c>
      <c r="AB5" s="355">
        <v>1</v>
      </c>
      <c r="AC5" s="83" t="s">
        <v>1776</v>
      </c>
      <c r="AD5" s="83" t="s">
        <v>1782</v>
      </c>
      <c r="AE5" s="318"/>
      <c r="AF5" s="318"/>
      <c r="AG5" s="318"/>
      <c r="AH5" t="s">
        <v>2390</v>
      </c>
      <c r="AI5" s="318"/>
      <c r="AJ5" s="83"/>
      <c r="AK5" s="83">
        <v>9999</v>
      </c>
      <c r="AL5" s="318">
        <v>1000</v>
      </c>
      <c r="AM5" s="318">
        <v>1</v>
      </c>
      <c r="AO5" s="373" t="s">
        <v>1111</v>
      </c>
      <c r="AP5" s="382">
        <v>458</v>
      </c>
      <c r="AQ5" s="373">
        <v>251</v>
      </c>
      <c r="AR5" s="373">
        <v>500</v>
      </c>
      <c r="AS5" s="380">
        <v>4</v>
      </c>
      <c r="AU5" s="324"/>
      <c r="AV5" s="323"/>
      <c r="AW5" s="323"/>
      <c r="AX5" s="318"/>
      <c r="AY5" s="318"/>
      <c r="AZ5" s="318"/>
      <c r="BA5" s="318"/>
      <c r="BB5" s="318"/>
    </row>
    <row r="6" spans="1:54" ht="30">
      <c r="A6" s="350">
        <v>810147</v>
      </c>
      <c r="B6" s="318" t="s">
        <v>1745</v>
      </c>
      <c r="C6" s="83" t="s">
        <v>1729</v>
      </c>
      <c r="D6" s="318" t="s">
        <v>155</v>
      </c>
      <c r="E6" s="83" t="s">
        <v>156</v>
      </c>
      <c r="F6" s="83" t="s">
        <v>1756</v>
      </c>
      <c r="G6" s="318" t="s">
        <v>155</v>
      </c>
      <c r="H6" s="355" t="s">
        <v>1285</v>
      </c>
      <c r="I6" s="83" t="s">
        <v>1767</v>
      </c>
      <c r="J6" s="318" t="s">
        <v>2171</v>
      </c>
      <c r="K6" s="319"/>
      <c r="L6" s="83">
        <v>15</v>
      </c>
      <c r="M6" s="320"/>
      <c r="N6" s="355"/>
      <c r="O6" s="321"/>
      <c r="P6" s="83">
        <v>3</v>
      </c>
      <c r="Q6" s="318">
        <v>41.95</v>
      </c>
      <c r="R6" s="397">
        <v>1.4999999999999999E-2</v>
      </c>
      <c r="S6" s="318">
        <v>7.1513706793802145E-2</v>
      </c>
      <c r="T6" s="318">
        <v>200</v>
      </c>
      <c r="U6" s="356" t="s">
        <v>154</v>
      </c>
      <c r="V6" s="310" t="s">
        <v>947</v>
      </c>
      <c r="W6" s="318"/>
      <c r="X6" s="318" t="s">
        <v>1002</v>
      </c>
      <c r="Y6" s="318" t="s">
        <v>1032</v>
      </c>
      <c r="Z6" s="318"/>
      <c r="AA6" s="322">
        <v>13</v>
      </c>
      <c r="AB6" s="355">
        <v>1</v>
      </c>
      <c r="AC6" s="83" t="s">
        <v>1112</v>
      </c>
      <c r="AD6" t="s">
        <v>1783</v>
      </c>
      <c r="AE6" s="318"/>
      <c r="AF6" s="318"/>
      <c r="AG6" s="318"/>
      <c r="AH6" s="9" t="s">
        <v>2391</v>
      </c>
      <c r="AI6" s="318"/>
      <c r="AJ6" s="83"/>
      <c r="AK6" s="83">
        <v>9999</v>
      </c>
      <c r="AL6" s="318">
        <v>1000</v>
      </c>
      <c r="AM6" s="318">
        <v>5</v>
      </c>
      <c r="AO6" s="373" t="s">
        <v>948</v>
      </c>
      <c r="AP6" s="382">
        <v>1080</v>
      </c>
      <c r="AQ6" s="373">
        <v>950</v>
      </c>
      <c r="AR6" s="373">
        <v>1200</v>
      </c>
      <c r="AS6" s="380">
        <v>5</v>
      </c>
      <c r="AU6" s="323"/>
      <c r="AV6" s="323"/>
      <c r="AW6" s="323"/>
      <c r="AX6" s="318"/>
      <c r="AY6" s="318"/>
      <c r="AZ6" s="318"/>
      <c r="BA6" s="318"/>
      <c r="BB6" s="318"/>
    </row>
    <row r="7" spans="1:54">
      <c r="A7" s="350">
        <v>810156</v>
      </c>
      <c r="B7" s="318" t="s">
        <v>1754</v>
      </c>
      <c r="C7" s="83" t="s">
        <v>1736</v>
      </c>
      <c r="D7" s="318" t="s">
        <v>155</v>
      </c>
      <c r="E7" s="83" t="s">
        <v>1102</v>
      </c>
      <c r="F7" s="83" t="s">
        <v>1759</v>
      </c>
      <c r="G7" s="318" t="s">
        <v>155</v>
      </c>
      <c r="H7" s="355" t="s">
        <v>1286</v>
      </c>
      <c r="I7" s="83" t="s">
        <v>1763</v>
      </c>
      <c r="J7" s="318" t="s">
        <v>2171</v>
      </c>
      <c r="K7" s="319"/>
      <c r="L7" s="83">
        <v>11</v>
      </c>
      <c r="M7" s="320"/>
      <c r="N7" s="355"/>
      <c r="O7" s="321"/>
      <c r="P7" s="83">
        <v>3</v>
      </c>
      <c r="Q7" s="318">
        <v>172.61</v>
      </c>
      <c r="R7" s="397">
        <v>4.1000000000000002E-2</v>
      </c>
      <c r="S7" s="318">
        <v>1.7380221308151322E-2</v>
      </c>
      <c r="T7" s="318">
        <v>73.170731707317074</v>
      </c>
      <c r="U7" s="356" t="s">
        <v>154</v>
      </c>
      <c r="V7" s="310" t="s">
        <v>947</v>
      </c>
      <c r="W7" s="318"/>
      <c r="X7" s="318" t="s">
        <v>1002</v>
      </c>
      <c r="Y7" s="318" t="s">
        <v>1032</v>
      </c>
      <c r="Z7" s="318"/>
      <c r="AA7" s="322">
        <v>16</v>
      </c>
      <c r="AB7" s="355">
        <v>1</v>
      </c>
      <c r="AC7" s="83" t="s">
        <v>1778</v>
      </c>
      <c r="AD7" s="83" t="s">
        <v>1781</v>
      </c>
      <c r="AE7" s="318"/>
      <c r="AF7" s="318"/>
      <c r="AG7" s="318"/>
      <c r="AH7" t="s">
        <v>1759</v>
      </c>
      <c r="AI7" s="318"/>
      <c r="AJ7" s="83">
        <v>1</v>
      </c>
      <c r="AK7" s="83">
        <v>9999</v>
      </c>
      <c r="AL7" s="318">
        <v>1000</v>
      </c>
      <c r="AM7" s="318">
        <v>14</v>
      </c>
      <c r="AO7" s="383" t="s">
        <v>1383</v>
      </c>
      <c r="AP7" s="380"/>
      <c r="AQ7" s="380"/>
      <c r="AR7" s="380"/>
      <c r="AS7" s="380">
        <v>6</v>
      </c>
      <c r="AU7" s="323"/>
      <c r="AV7" s="323"/>
      <c r="AW7" s="323"/>
      <c r="AX7" s="318"/>
      <c r="AY7" s="318"/>
      <c r="AZ7" s="318"/>
      <c r="BA7" s="318"/>
      <c r="BB7" s="318"/>
    </row>
    <row r="8" spans="1:54">
      <c r="A8" s="350">
        <v>810141</v>
      </c>
      <c r="B8" s="318" t="s">
        <v>1739</v>
      </c>
      <c r="C8" s="318" t="s">
        <v>1724</v>
      </c>
      <c r="D8" s="318" t="s">
        <v>155</v>
      </c>
      <c r="E8" s="318" t="s">
        <v>156</v>
      </c>
      <c r="F8" s="318" t="s">
        <v>1756</v>
      </c>
      <c r="G8" s="318" t="s">
        <v>155</v>
      </c>
      <c r="H8" s="385" t="s">
        <v>159</v>
      </c>
      <c r="I8" s="318" t="s">
        <v>1763</v>
      </c>
      <c r="J8" s="318" t="s">
        <v>2171</v>
      </c>
      <c r="K8" s="319"/>
      <c r="L8" s="83">
        <v>15</v>
      </c>
      <c r="M8" s="320"/>
      <c r="N8" s="385"/>
      <c r="O8" s="321"/>
      <c r="P8" s="83">
        <v>3.5</v>
      </c>
      <c r="Q8" s="318">
        <v>71.14</v>
      </c>
      <c r="R8" s="397">
        <v>2.5000000000000001E-2</v>
      </c>
      <c r="S8" s="318">
        <v>4.9198763002530219E-2</v>
      </c>
      <c r="T8" s="318">
        <v>140</v>
      </c>
      <c r="U8" s="356" t="s">
        <v>154</v>
      </c>
      <c r="V8" s="310" t="s">
        <v>947</v>
      </c>
      <c r="W8" s="318"/>
      <c r="X8" s="318" t="s">
        <v>1002</v>
      </c>
      <c r="Y8" s="318" t="s">
        <v>1032</v>
      </c>
      <c r="Z8" s="318"/>
      <c r="AA8" s="322">
        <v>30</v>
      </c>
      <c r="AB8" s="385">
        <v>1</v>
      </c>
      <c r="AC8" s="83" t="s">
        <v>1777</v>
      </c>
      <c r="AD8" s="318" t="s">
        <v>1781</v>
      </c>
      <c r="AE8" s="318"/>
      <c r="AF8" s="318"/>
      <c r="AG8" s="318"/>
      <c r="AH8" s="9" t="s">
        <v>2392</v>
      </c>
      <c r="AI8" s="318"/>
      <c r="AJ8" s="318"/>
      <c r="AK8" s="318">
        <v>9999</v>
      </c>
      <c r="AL8" s="318">
        <v>1000</v>
      </c>
      <c r="AM8" s="318">
        <v>34</v>
      </c>
      <c r="AO8" s="471" t="s">
        <v>950</v>
      </c>
      <c r="AP8" s="381" t="s">
        <v>1702</v>
      </c>
      <c r="AQ8" s="381">
        <v>1</v>
      </c>
      <c r="AR8" s="380">
        <v>9999</v>
      </c>
      <c r="AS8" s="380">
        <v>17</v>
      </c>
      <c r="AU8" s="323"/>
      <c r="AV8" s="323"/>
      <c r="AW8" s="323"/>
      <c r="AX8" s="318"/>
      <c r="AY8" s="318"/>
      <c r="AZ8" s="318"/>
      <c r="BA8" s="318"/>
      <c r="BB8" s="318"/>
    </row>
    <row r="9" spans="1:54">
      <c r="A9" s="350">
        <v>810148</v>
      </c>
      <c r="B9" s="318" t="s">
        <v>1746</v>
      </c>
      <c r="C9" s="83" t="s">
        <v>1607</v>
      </c>
      <c r="D9" s="318" t="s">
        <v>155</v>
      </c>
      <c r="E9" s="83" t="s">
        <v>156</v>
      </c>
      <c r="F9" t="s">
        <v>1606</v>
      </c>
      <c r="G9" s="318" t="s">
        <v>155</v>
      </c>
      <c r="H9" s="355" t="s">
        <v>1284</v>
      </c>
      <c r="I9" t="s">
        <v>1610</v>
      </c>
      <c r="J9" s="318" t="s">
        <v>2171</v>
      </c>
      <c r="K9" s="319"/>
      <c r="L9" s="83">
        <v>15</v>
      </c>
      <c r="M9" s="320"/>
      <c r="N9" s="355"/>
      <c r="O9" s="321"/>
      <c r="P9" s="83">
        <v>6</v>
      </c>
      <c r="Q9" s="318">
        <v>64.27</v>
      </c>
      <c r="R9" s="397">
        <v>2.3E-2</v>
      </c>
      <c r="S9" s="318">
        <v>9.3356153726466481E-2</v>
      </c>
      <c r="T9" s="318"/>
      <c r="U9" s="356" t="s">
        <v>154</v>
      </c>
      <c r="V9" s="310" t="s">
        <v>947</v>
      </c>
      <c r="W9" s="318"/>
      <c r="X9" s="318" t="s">
        <v>1002</v>
      </c>
      <c r="Y9" s="318" t="s">
        <v>1032</v>
      </c>
      <c r="Z9" s="318"/>
      <c r="AA9" s="322">
        <v>75</v>
      </c>
      <c r="AB9" s="355">
        <v>1</v>
      </c>
      <c r="AC9" s="83" t="s">
        <v>1112</v>
      </c>
      <c r="AD9" s="318" t="s">
        <v>1784</v>
      </c>
      <c r="AE9" s="318"/>
      <c r="AF9" s="318"/>
      <c r="AG9" s="318"/>
      <c r="AH9" s="9" t="s">
        <v>1771</v>
      </c>
      <c r="AI9" s="318"/>
      <c r="AJ9" s="83"/>
      <c r="AK9" s="83">
        <v>9999</v>
      </c>
      <c r="AL9" s="318">
        <v>1000</v>
      </c>
      <c r="AM9" s="318">
        <v>6</v>
      </c>
      <c r="AO9" s="472" t="s">
        <v>1780</v>
      </c>
      <c r="AP9" s="381"/>
      <c r="AQ9" s="381"/>
      <c r="AR9" s="380"/>
      <c r="AS9" s="380">
        <v>18</v>
      </c>
      <c r="AU9" s="324"/>
      <c r="AV9" s="323"/>
      <c r="AW9" s="323"/>
      <c r="AX9" s="318"/>
      <c r="AY9" s="318"/>
      <c r="AZ9" s="318"/>
      <c r="BA9" s="318"/>
      <c r="BB9" s="318"/>
    </row>
    <row r="10" spans="1:54">
      <c r="A10" s="384">
        <v>810171</v>
      </c>
      <c r="B10" s="495" t="s">
        <v>2262</v>
      </c>
      <c r="C10" s="318" t="s">
        <v>2263</v>
      </c>
      <c r="D10" s="318" t="s">
        <v>155</v>
      </c>
      <c r="E10" s="83" t="s">
        <v>156</v>
      </c>
      <c r="F10" s="318" t="s">
        <v>2174</v>
      </c>
      <c r="G10" s="318" t="s">
        <v>155</v>
      </c>
      <c r="H10" s="385" t="s">
        <v>159</v>
      </c>
      <c r="I10" s="83" t="s">
        <v>1610</v>
      </c>
      <c r="J10" s="318" t="s">
        <v>2171</v>
      </c>
      <c r="K10" s="319"/>
      <c r="L10" s="83">
        <v>15</v>
      </c>
      <c r="M10" s="320"/>
      <c r="N10" s="385"/>
      <c r="O10" s="321"/>
      <c r="P10" s="321">
        <v>10</v>
      </c>
      <c r="Q10" s="318">
        <v>79.7</v>
      </c>
      <c r="R10" s="398">
        <v>4.1000000000000002E-2</v>
      </c>
      <c r="S10" s="318">
        <v>0.12547051442910914</v>
      </c>
      <c r="T10" s="318">
        <v>243.90243902439025</v>
      </c>
      <c r="U10" s="356" t="s">
        <v>154</v>
      </c>
      <c r="V10" s="310" t="s">
        <v>947</v>
      </c>
      <c r="W10" s="318"/>
      <c r="X10" s="318" t="s">
        <v>1002</v>
      </c>
      <c r="Y10" s="318" t="s">
        <v>1032</v>
      </c>
      <c r="Z10" s="318"/>
      <c r="AA10" s="386">
        <v>115</v>
      </c>
      <c r="AB10" s="355">
        <v>1</v>
      </c>
      <c r="AC10" s="83" t="s">
        <v>1112</v>
      </c>
      <c r="AD10" s="318" t="s">
        <v>1784</v>
      </c>
      <c r="AE10" s="318"/>
      <c r="AF10" s="318"/>
      <c r="AG10" s="318"/>
      <c r="AH10" s="318" t="s">
        <v>2174</v>
      </c>
      <c r="AI10" s="318"/>
      <c r="AJ10" s="318"/>
      <c r="AK10" s="318">
        <v>9999</v>
      </c>
      <c r="AL10" s="318">
        <v>1000</v>
      </c>
      <c r="AM10" s="318">
        <v>31</v>
      </c>
      <c r="AO10" s="323" t="s">
        <v>2112</v>
      </c>
      <c r="AP10" s="381">
        <v>16</v>
      </c>
      <c r="AQ10" s="381">
        <v>1</v>
      </c>
      <c r="AR10" s="380">
        <v>75</v>
      </c>
      <c r="AS10" s="380">
        <v>19</v>
      </c>
    </row>
    <row r="11" spans="1:54">
      <c r="A11" s="384">
        <v>810178</v>
      </c>
      <c r="B11" s="495" t="s">
        <v>2268</v>
      </c>
      <c r="C11" s="318" t="s">
        <v>2269</v>
      </c>
      <c r="D11" s="318" t="s">
        <v>155</v>
      </c>
      <c r="E11" s="83" t="s">
        <v>156</v>
      </c>
      <c r="F11" s="318" t="s">
        <v>2177</v>
      </c>
      <c r="G11" s="318" t="s">
        <v>155</v>
      </c>
      <c r="H11" s="385" t="s">
        <v>159</v>
      </c>
      <c r="I11" s="83" t="s">
        <v>1610</v>
      </c>
      <c r="J11" s="318" t="s">
        <v>2171</v>
      </c>
      <c r="K11" s="319"/>
      <c r="L11" s="83">
        <v>15</v>
      </c>
      <c r="M11" s="320"/>
      <c r="N11" s="385"/>
      <c r="O11" s="321"/>
      <c r="P11" s="321">
        <v>15</v>
      </c>
      <c r="Q11" s="318">
        <v>103.48</v>
      </c>
      <c r="R11" s="398">
        <v>4.1000000000000002E-2</v>
      </c>
      <c r="S11" s="318">
        <v>0.1449555469655972</v>
      </c>
      <c r="T11" s="318">
        <v>365.85365853658533</v>
      </c>
      <c r="U11" s="356" t="s">
        <v>154</v>
      </c>
      <c r="V11" s="310" t="s">
        <v>947</v>
      </c>
      <c r="W11" s="318"/>
      <c r="X11" s="318" t="s">
        <v>1002</v>
      </c>
      <c r="Y11" s="318" t="s">
        <v>1032</v>
      </c>
      <c r="Z11" s="318"/>
      <c r="AA11" s="386">
        <v>131</v>
      </c>
      <c r="AB11" s="355">
        <v>1</v>
      </c>
      <c r="AC11" s="83" t="s">
        <v>1112</v>
      </c>
      <c r="AD11" s="318" t="s">
        <v>1784</v>
      </c>
      <c r="AE11" s="318"/>
      <c r="AF11" s="318"/>
      <c r="AG11" s="318"/>
      <c r="AH11" s="318" t="s">
        <v>2177</v>
      </c>
      <c r="AI11" s="318"/>
      <c r="AJ11" s="318"/>
      <c r="AK11" s="318">
        <v>9999</v>
      </c>
      <c r="AL11" s="318">
        <v>1000</v>
      </c>
      <c r="AM11" s="318">
        <v>38</v>
      </c>
      <c r="AO11" s="471" t="s">
        <v>1782</v>
      </c>
      <c r="AP11" s="471">
        <v>32</v>
      </c>
      <c r="AQ11" s="471">
        <v>1</v>
      </c>
      <c r="AR11" s="380">
        <v>100</v>
      </c>
      <c r="AS11" s="380">
        <v>20</v>
      </c>
    </row>
    <row r="12" spans="1:54">
      <c r="A12" s="350">
        <v>810155</v>
      </c>
      <c r="B12" s="318" t="s">
        <v>1753</v>
      </c>
      <c r="C12" s="83" t="s">
        <v>1608</v>
      </c>
      <c r="D12" s="318" t="s">
        <v>155</v>
      </c>
      <c r="E12" s="83" t="s">
        <v>156</v>
      </c>
      <c r="F12" s="83" t="s">
        <v>1061</v>
      </c>
      <c r="G12" s="318" t="s">
        <v>155</v>
      </c>
      <c r="H12" s="355" t="s">
        <v>1286</v>
      </c>
      <c r="I12" s="83" t="s">
        <v>1610</v>
      </c>
      <c r="J12" s="318" t="s">
        <v>2171</v>
      </c>
      <c r="K12" s="319"/>
      <c r="L12" s="83">
        <v>15</v>
      </c>
      <c r="M12" s="320"/>
      <c r="N12" s="355"/>
      <c r="O12" s="321"/>
      <c r="P12" s="83">
        <v>10</v>
      </c>
      <c r="Q12" s="318">
        <v>84.88</v>
      </c>
      <c r="R12" s="397">
        <v>0.03</v>
      </c>
      <c r="S12" s="318">
        <v>0.11781338360037701</v>
      </c>
      <c r="T12" s="318">
        <v>333.33333333333337</v>
      </c>
      <c r="U12" s="356" t="s">
        <v>154</v>
      </c>
      <c r="V12" s="310" t="s">
        <v>947</v>
      </c>
      <c r="W12" s="318"/>
      <c r="X12" s="318" t="s">
        <v>1002</v>
      </c>
      <c r="Y12" s="318" t="s">
        <v>1032</v>
      </c>
      <c r="Z12" s="318"/>
      <c r="AA12" s="322">
        <v>53</v>
      </c>
      <c r="AB12" s="355">
        <v>1</v>
      </c>
      <c r="AC12" s="83" t="s">
        <v>1112</v>
      </c>
      <c r="AD12" s="318" t="s">
        <v>1784</v>
      </c>
      <c r="AE12" s="318"/>
      <c r="AF12" s="318"/>
      <c r="AG12" s="318"/>
      <c r="AH12" t="s">
        <v>1611</v>
      </c>
      <c r="AI12" s="318"/>
      <c r="AJ12" s="83">
        <v>1</v>
      </c>
      <c r="AK12" s="83">
        <v>9999</v>
      </c>
      <c r="AL12" s="318">
        <v>1000</v>
      </c>
      <c r="AM12" s="318">
        <v>13</v>
      </c>
      <c r="AO12" s="471" t="s">
        <v>1781</v>
      </c>
      <c r="AP12" s="471">
        <v>58</v>
      </c>
      <c r="AQ12" s="471">
        <v>1</v>
      </c>
      <c r="AR12" s="380">
        <v>200</v>
      </c>
      <c r="AS12" s="380">
        <v>21</v>
      </c>
    </row>
    <row r="13" spans="1:54">
      <c r="A13" s="384">
        <v>810174</v>
      </c>
      <c r="B13" s="495" t="s">
        <v>2264</v>
      </c>
      <c r="C13" s="318" t="s">
        <v>2265</v>
      </c>
      <c r="D13" s="318" t="s">
        <v>155</v>
      </c>
      <c r="E13" s="83" t="s">
        <v>156</v>
      </c>
      <c r="F13" s="318" t="s">
        <v>2175</v>
      </c>
      <c r="G13" s="318" t="s">
        <v>155</v>
      </c>
      <c r="H13" s="385" t="s">
        <v>159</v>
      </c>
      <c r="I13" s="83" t="s">
        <v>1610</v>
      </c>
      <c r="J13" s="318" t="s">
        <v>2171</v>
      </c>
      <c r="K13" s="319"/>
      <c r="L13" s="83">
        <v>15</v>
      </c>
      <c r="M13" s="320"/>
      <c r="N13" s="385"/>
      <c r="O13" s="321"/>
      <c r="P13" s="321">
        <v>15</v>
      </c>
      <c r="Q13" s="318">
        <v>105.25</v>
      </c>
      <c r="R13" s="398">
        <v>5.3999999999999999E-2</v>
      </c>
      <c r="S13" s="318">
        <v>0.14251781472684086</v>
      </c>
      <c r="T13" s="318">
        <v>277.77777777777777</v>
      </c>
      <c r="U13" s="356" t="s">
        <v>154</v>
      </c>
      <c r="V13" s="310" t="s">
        <v>947</v>
      </c>
      <c r="W13" s="318"/>
      <c r="X13" s="318" t="s">
        <v>1002</v>
      </c>
      <c r="Y13" s="318" t="s">
        <v>1032</v>
      </c>
      <c r="Z13" s="318"/>
      <c r="AA13" s="386">
        <v>93</v>
      </c>
      <c r="AB13" s="355">
        <v>1</v>
      </c>
      <c r="AC13" s="83" t="s">
        <v>1112</v>
      </c>
      <c r="AD13" s="318" t="s">
        <v>1784</v>
      </c>
      <c r="AE13" s="318"/>
      <c r="AF13" s="318"/>
      <c r="AG13" s="318"/>
      <c r="AH13" s="318" t="s">
        <v>2182</v>
      </c>
      <c r="AI13" s="318"/>
      <c r="AJ13" s="318"/>
      <c r="AK13" s="318">
        <v>9999</v>
      </c>
      <c r="AL13" s="318">
        <v>1000</v>
      </c>
      <c r="AM13" s="318">
        <v>34</v>
      </c>
      <c r="AO13" s="471" t="s">
        <v>1783</v>
      </c>
      <c r="AP13" s="381">
        <v>62</v>
      </c>
      <c r="AQ13" s="381">
        <v>1</v>
      </c>
      <c r="AR13" s="380">
        <v>100</v>
      </c>
      <c r="AS13" s="380">
        <v>22</v>
      </c>
    </row>
    <row r="14" spans="1:54">
      <c r="A14" s="384">
        <v>810181</v>
      </c>
      <c r="B14" s="495" t="s">
        <v>2270</v>
      </c>
      <c r="C14" s="318" t="s">
        <v>2271</v>
      </c>
      <c r="D14" s="318" t="s">
        <v>155</v>
      </c>
      <c r="E14" s="83" t="s">
        <v>156</v>
      </c>
      <c r="F14" s="318" t="s">
        <v>2178</v>
      </c>
      <c r="G14" s="318" t="s">
        <v>155</v>
      </c>
      <c r="H14" s="385" t="s">
        <v>159</v>
      </c>
      <c r="I14" s="83" t="s">
        <v>1610</v>
      </c>
      <c r="J14" s="318" t="s">
        <v>2171</v>
      </c>
      <c r="K14" s="319"/>
      <c r="L14" s="83">
        <v>15</v>
      </c>
      <c r="M14" s="320"/>
      <c r="N14" s="385"/>
      <c r="O14" s="321"/>
      <c r="P14" s="321">
        <v>17</v>
      </c>
      <c r="Q14" s="318">
        <v>136.66</v>
      </c>
      <c r="R14" s="398">
        <v>5.3999999999999999E-2</v>
      </c>
      <c r="S14" s="318">
        <v>0.12439631201522026</v>
      </c>
      <c r="T14" s="318">
        <v>314.81481481481484</v>
      </c>
      <c r="U14" s="356" t="s">
        <v>154</v>
      </c>
      <c r="V14" s="310" t="s">
        <v>947</v>
      </c>
      <c r="W14" s="318"/>
      <c r="X14" s="318" t="s">
        <v>1002</v>
      </c>
      <c r="Y14" s="318" t="s">
        <v>1032</v>
      </c>
      <c r="Z14" s="318"/>
      <c r="AA14" s="386">
        <v>109</v>
      </c>
      <c r="AB14" s="355">
        <v>1</v>
      </c>
      <c r="AC14" s="83" t="s">
        <v>1112</v>
      </c>
      <c r="AD14" s="318" t="s">
        <v>1784</v>
      </c>
      <c r="AE14" s="318"/>
      <c r="AF14" s="318"/>
      <c r="AG14" s="318"/>
      <c r="AH14" s="318" t="s">
        <v>2186</v>
      </c>
      <c r="AI14" s="318"/>
      <c r="AJ14" s="318"/>
      <c r="AK14" s="318">
        <v>9999</v>
      </c>
      <c r="AL14" s="318">
        <v>1000</v>
      </c>
      <c r="AM14" s="318">
        <v>41</v>
      </c>
      <c r="AO14" s="472" t="s">
        <v>1784</v>
      </c>
      <c r="AP14" s="381">
        <v>59</v>
      </c>
      <c r="AQ14" s="381">
        <v>1</v>
      </c>
      <c r="AR14" s="380">
        <v>200</v>
      </c>
      <c r="AS14" s="380">
        <v>23</v>
      </c>
    </row>
    <row r="15" spans="1:54" ht="30">
      <c r="A15" s="350">
        <v>810145</v>
      </c>
      <c r="B15" s="318" t="s">
        <v>1743</v>
      </c>
      <c r="C15" s="83" t="s">
        <v>1609</v>
      </c>
      <c r="D15" s="318" t="s">
        <v>155</v>
      </c>
      <c r="E15" s="83" t="s">
        <v>156</v>
      </c>
      <c r="F15" s="83" t="s">
        <v>1062</v>
      </c>
      <c r="G15" s="318" t="s">
        <v>155</v>
      </c>
      <c r="H15" s="355" t="s">
        <v>1285</v>
      </c>
      <c r="I15" s="83" t="s">
        <v>1610</v>
      </c>
      <c r="J15" s="318" t="s">
        <v>2171</v>
      </c>
      <c r="K15" s="319"/>
      <c r="L15" s="83">
        <v>15</v>
      </c>
      <c r="M15" s="320"/>
      <c r="N15" s="355"/>
      <c r="O15" s="321"/>
      <c r="P15" s="83">
        <v>10</v>
      </c>
      <c r="Q15" s="318">
        <v>66.48</v>
      </c>
      <c r="R15" s="397">
        <v>2.4E-2</v>
      </c>
      <c r="S15" s="318">
        <v>0.15042117930204571</v>
      </c>
      <c r="T15" s="318">
        <v>416.66666666666669</v>
      </c>
      <c r="U15" s="356" t="s">
        <v>154</v>
      </c>
      <c r="V15" s="310" t="s">
        <v>947</v>
      </c>
      <c r="W15" s="318"/>
      <c r="X15" s="318" t="s">
        <v>1002</v>
      </c>
      <c r="Y15" s="318" t="s">
        <v>1032</v>
      </c>
      <c r="Z15" s="318"/>
      <c r="AA15" s="322">
        <v>55</v>
      </c>
      <c r="AB15" s="355">
        <v>1</v>
      </c>
      <c r="AC15" s="83" t="s">
        <v>1112</v>
      </c>
      <c r="AD15" s="318" t="s">
        <v>1784</v>
      </c>
      <c r="AE15" s="318"/>
      <c r="AF15" s="318"/>
      <c r="AG15" s="318"/>
      <c r="AH15" s="9" t="s">
        <v>1384</v>
      </c>
      <c r="AI15" s="318"/>
      <c r="AJ15" s="83"/>
      <c r="AK15" s="83">
        <v>9999</v>
      </c>
      <c r="AL15" s="318">
        <v>1000</v>
      </c>
      <c r="AM15" s="318">
        <v>3</v>
      </c>
      <c r="AO15" s="472" t="s">
        <v>1785</v>
      </c>
      <c r="AP15" s="381">
        <v>89</v>
      </c>
      <c r="AQ15" s="381">
        <v>1</v>
      </c>
      <c r="AR15" s="380">
        <v>300</v>
      </c>
      <c r="AS15" s="380">
        <v>24</v>
      </c>
    </row>
    <row r="16" spans="1:54" ht="30">
      <c r="A16" s="384">
        <v>810170</v>
      </c>
      <c r="B16" s="495" t="s">
        <v>2260</v>
      </c>
      <c r="C16" s="318" t="s">
        <v>2261</v>
      </c>
      <c r="D16" s="318" t="s">
        <v>155</v>
      </c>
      <c r="E16" s="83" t="s">
        <v>156</v>
      </c>
      <c r="F16" s="318" t="s">
        <v>2172</v>
      </c>
      <c r="G16" s="318" t="s">
        <v>155</v>
      </c>
      <c r="H16" s="385" t="s">
        <v>159</v>
      </c>
      <c r="I16" s="83" t="s">
        <v>1610</v>
      </c>
      <c r="J16" s="318" t="s">
        <v>2171</v>
      </c>
      <c r="K16" s="319"/>
      <c r="L16" s="83">
        <v>15</v>
      </c>
      <c r="M16" s="320"/>
      <c r="N16" s="385"/>
      <c r="O16" s="321"/>
      <c r="P16" s="321">
        <v>15</v>
      </c>
      <c r="Q16" s="318">
        <v>82.44</v>
      </c>
      <c r="R16" s="398">
        <v>4.2000000000000003E-2</v>
      </c>
      <c r="S16" s="318">
        <v>0.18195050946142649</v>
      </c>
      <c r="T16" s="318">
        <v>357.14285714285711</v>
      </c>
      <c r="U16" s="356" t="s">
        <v>154</v>
      </c>
      <c r="V16" s="310" t="s">
        <v>947</v>
      </c>
      <c r="W16" s="318"/>
      <c r="X16" s="318" t="s">
        <v>1002</v>
      </c>
      <c r="Y16" s="318" t="s">
        <v>1032</v>
      </c>
      <c r="Z16" s="318"/>
      <c r="AA16" s="386">
        <v>95</v>
      </c>
      <c r="AB16" s="355">
        <v>1</v>
      </c>
      <c r="AC16" s="83" t="s">
        <v>1112</v>
      </c>
      <c r="AD16" s="318" t="s">
        <v>1784</v>
      </c>
      <c r="AE16" s="318"/>
      <c r="AF16" s="318"/>
      <c r="AG16" s="318"/>
      <c r="AH16" s="586" t="s">
        <v>2180</v>
      </c>
      <c r="AI16" s="318"/>
      <c r="AJ16" s="318"/>
      <c r="AK16" s="318">
        <v>9999</v>
      </c>
      <c r="AL16" s="318">
        <v>1000</v>
      </c>
      <c r="AM16" s="318">
        <v>30</v>
      </c>
      <c r="AO16" s="472" t="s">
        <v>1786</v>
      </c>
      <c r="AP16" s="381">
        <v>113</v>
      </c>
      <c r="AQ16" s="382">
        <v>1</v>
      </c>
      <c r="AR16" s="380">
        <v>400</v>
      </c>
      <c r="AS16" s="380">
        <v>25</v>
      </c>
    </row>
    <row r="17" spans="1:45" ht="30">
      <c r="A17" s="384">
        <v>810177</v>
      </c>
      <c r="B17" s="495" t="s">
        <v>2266</v>
      </c>
      <c r="C17" s="318" t="s">
        <v>2267</v>
      </c>
      <c r="D17" s="318" t="s">
        <v>155</v>
      </c>
      <c r="E17" s="83" t="s">
        <v>156</v>
      </c>
      <c r="F17" s="318" t="s">
        <v>2176</v>
      </c>
      <c r="G17" s="318" t="s">
        <v>155</v>
      </c>
      <c r="H17" s="385" t="s">
        <v>159</v>
      </c>
      <c r="I17" s="83" t="s">
        <v>1610</v>
      </c>
      <c r="J17" s="318" t="s">
        <v>2171</v>
      </c>
      <c r="K17" s="319"/>
      <c r="L17" s="83">
        <v>15</v>
      </c>
      <c r="M17" s="320"/>
      <c r="N17" s="385"/>
      <c r="O17" s="321"/>
      <c r="P17" s="321">
        <v>20</v>
      </c>
      <c r="Q17" s="318">
        <v>107.03</v>
      </c>
      <c r="R17" s="398">
        <v>4.2000000000000003E-2</v>
      </c>
      <c r="S17" s="318">
        <v>0.1868634962160142</v>
      </c>
      <c r="T17" s="318">
        <v>476.19047619047615</v>
      </c>
      <c r="U17" s="356" t="s">
        <v>154</v>
      </c>
      <c r="V17" s="310" t="s">
        <v>947</v>
      </c>
      <c r="W17" s="318"/>
      <c r="X17" s="318" t="s">
        <v>1002</v>
      </c>
      <c r="Y17" s="318" t="s">
        <v>1032</v>
      </c>
      <c r="Z17" s="318"/>
      <c r="AA17" s="386">
        <v>111</v>
      </c>
      <c r="AB17" s="355">
        <v>1</v>
      </c>
      <c r="AC17" s="83" t="s">
        <v>1112</v>
      </c>
      <c r="AD17" s="318" t="s">
        <v>1784</v>
      </c>
      <c r="AE17" s="318"/>
      <c r="AF17" s="318"/>
      <c r="AG17" s="318"/>
      <c r="AH17" s="586" t="s">
        <v>2184</v>
      </c>
      <c r="AI17" s="318"/>
      <c r="AJ17" s="318"/>
      <c r="AK17" s="318">
        <v>9999</v>
      </c>
      <c r="AL17" s="318">
        <v>1000</v>
      </c>
      <c r="AM17" s="318">
        <v>37</v>
      </c>
      <c r="AO17" s="471" t="s">
        <v>1787</v>
      </c>
      <c r="AP17" s="381">
        <v>175</v>
      </c>
      <c r="AQ17" s="381">
        <v>1</v>
      </c>
      <c r="AR17" s="380">
        <v>600</v>
      </c>
      <c r="AS17" s="380">
        <v>26</v>
      </c>
    </row>
    <row r="18" spans="1:45" ht="30">
      <c r="A18" s="350">
        <v>810149</v>
      </c>
      <c r="B18" s="318" t="s">
        <v>1747</v>
      </c>
      <c r="C18" s="83" t="s">
        <v>1730</v>
      </c>
      <c r="D18" s="318" t="s">
        <v>155</v>
      </c>
      <c r="E18" s="83" t="s">
        <v>156</v>
      </c>
      <c r="F18" t="s">
        <v>1606</v>
      </c>
      <c r="G18" s="318" t="s">
        <v>155</v>
      </c>
      <c r="H18" s="355" t="s">
        <v>1285</v>
      </c>
      <c r="I18" t="s">
        <v>1768</v>
      </c>
      <c r="J18" s="318" t="s">
        <v>2171</v>
      </c>
      <c r="K18" s="319"/>
      <c r="L18" s="83">
        <v>15</v>
      </c>
      <c r="M18" s="320"/>
      <c r="N18" s="355"/>
      <c r="O18" s="321"/>
      <c r="P18" s="83">
        <v>8</v>
      </c>
      <c r="Q18" s="318">
        <v>108.67</v>
      </c>
      <c r="R18" s="397">
        <v>3.9E-2</v>
      </c>
      <c r="S18" s="318">
        <v>7.361737370019325E-2</v>
      </c>
      <c r="T18" s="318">
        <v>205.12820512820514</v>
      </c>
      <c r="U18" s="356" t="s">
        <v>154</v>
      </c>
      <c r="V18" s="310" t="s">
        <v>947</v>
      </c>
      <c r="W18" s="318"/>
      <c r="X18" s="318" t="s">
        <v>1002</v>
      </c>
      <c r="Y18" s="318" t="s">
        <v>1032</v>
      </c>
      <c r="Z18" s="318"/>
      <c r="AA18" s="322">
        <v>83</v>
      </c>
      <c r="AB18" s="355">
        <v>1</v>
      </c>
      <c r="AC18" s="83" t="s">
        <v>1112</v>
      </c>
      <c r="AD18" s="318" t="s">
        <v>1785</v>
      </c>
      <c r="AE18" s="318"/>
      <c r="AF18" s="318"/>
      <c r="AG18" s="318"/>
      <c r="AH18" s="9" t="s">
        <v>1772</v>
      </c>
      <c r="AI18" s="318"/>
      <c r="AJ18" s="83"/>
      <c r="AK18" s="83">
        <v>9999</v>
      </c>
      <c r="AL18" s="318">
        <v>1000</v>
      </c>
      <c r="AM18" s="318">
        <v>7</v>
      </c>
      <c r="AO18" s="382" t="s">
        <v>1788</v>
      </c>
      <c r="AP18" s="446">
        <v>224</v>
      </c>
      <c r="AQ18" s="446">
        <v>1</v>
      </c>
      <c r="AR18" s="380">
        <v>800</v>
      </c>
      <c r="AS18" s="380">
        <v>27</v>
      </c>
    </row>
    <row r="19" spans="1:45">
      <c r="A19" s="384">
        <v>810172</v>
      </c>
      <c r="B19" s="495" t="s">
        <v>2274</v>
      </c>
      <c r="C19" s="318" t="s">
        <v>2275</v>
      </c>
      <c r="D19" s="318" t="s">
        <v>155</v>
      </c>
      <c r="E19" s="83" t="s">
        <v>156</v>
      </c>
      <c r="F19" s="318" t="s">
        <v>2174</v>
      </c>
      <c r="G19" s="318" t="s">
        <v>155</v>
      </c>
      <c r="H19" s="385" t="s">
        <v>159</v>
      </c>
      <c r="I19" s="83" t="s">
        <v>1768</v>
      </c>
      <c r="J19" s="318" t="s">
        <v>2171</v>
      </c>
      <c r="K19" s="319"/>
      <c r="L19" s="83">
        <v>15</v>
      </c>
      <c r="M19" s="320"/>
      <c r="N19" s="385"/>
      <c r="O19" s="321"/>
      <c r="P19" s="321">
        <v>12</v>
      </c>
      <c r="Q19" s="318">
        <v>134.76</v>
      </c>
      <c r="R19" s="398">
        <v>6.9000000000000006E-2</v>
      </c>
      <c r="S19" s="318">
        <v>8.9047195013357089E-2</v>
      </c>
      <c r="T19" s="318">
        <v>173.91304347826085</v>
      </c>
      <c r="U19" s="356" t="s">
        <v>154</v>
      </c>
      <c r="V19" s="310" t="s">
        <v>947</v>
      </c>
      <c r="W19" s="318"/>
      <c r="X19" s="318" t="s">
        <v>1002</v>
      </c>
      <c r="Y19" s="318" t="s">
        <v>1032</v>
      </c>
      <c r="Z19" s="318"/>
      <c r="AA19" s="386">
        <v>123</v>
      </c>
      <c r="AB19" s="355">
        <v>1</v>
      </c>
      <c r="AC19" s="83" t="s">
        <v>1112</v>
      </c>
      <c r="AD19" s="318" t="s">
        <v>1785</v>
      </c>
      <c r="AE19" s="318"/>
      <c r="AF19" s="318"/>
      <c r="AG19" s="318"/>
      <c r="AH19" s="318" t="s">
        <v>2181</v>
      </c>
      <c r="AI19" s="318"/>
      <c r="AJ19" s="318"/>
      <c r="AK19" s="318">
        <v>9999</v>
      </c>
      <c r="AL19" s="318">
        <v>1000</v>
      </c>
      <c r="AM19" s="318">
        <v>32</v>
      </c>
      <c r="AS19" s="83"/>
    </row>
    <row r="20" spans="1:45">
      <c r="A20" s="384">
        <v>810179</v>
      </c>
      <c r="B20" s="495" t="s">
        <v>2280</v>
      </c>
      <c r="C20" s="318" t="s">
        <v>2281</v>
      </c>
      <c r="D20" s="318" t="s">
        <v>155</v>
      </c>
      <c r="E20" s="83" t="s">
        <v>156</v>
      </c>
      <c r="F20" s="318" t="s">
        <v>2177</v>
      </c>
      <c r="G20" s="318" t="s">
        <v>155</v>
      </c>
      <c r="H20" s="385" t="s">
        <v>159</v>
      </c>
      <c r="I20" s="83" t="s">
        <v>1768</v>
      </c>
      <c r="J20" s="318" t="s">
        <v>2171</v>
      </c>
      <c r="K20" s="319"/>
      <c r="L20" s="83">
        <v>15</v>
      </c>
      <c r="M20" s="320"/>
      <c r="N20" s="385"/>
      <c r="O20" s="321"/>
      <c r="P20" s="321">
        <v>15</v>
      </c>
      <c r="Q20" s="318">
        <v>174.97</v>
      </c>
      <c r="R20" s="398">
        <v>6.9000000000000006E-2</v>
      </c>
      <c r="S20" s="318">
        <v>8.5728982111219071E-2</v>
      </c>
      <c r="T20" s="318">
        <v>217.39130434782606</v>
      </c>
      <c r="U20" s="356" t="s">
        <v>154</v>
      </c>
      <c r="V20" s="310" t="s">
        <v>947</v>
      </c>
      <c r="W20" s="318"/>
      <c r="X20" s="318" t="s">
        <v>1002</v>
      </c>
      <c r="Y20" s="318" t="s">
        <v>1032</v>
      </c>
      <c r="Z20" s="318"/>
      <c r="AA20" s="386">
        <v>139</v>
      </c>
      <c r="AB20" s="355">
        <v>1</v>
      </c>
      <c r="AC20" s="83" t="s">
        <v>1112</v>
      </c>
      <c r="AD20" s="318" t="s">
        <v>1785</v>
      </c>
      <c r="AE20" s="318"/>
      <c r="AF20" s="318"/>
      <c r="AG20" s="318"/>
      <c r="AH20" s="318" t="s">
        <v>2185</v>
      </c>
      <c r="AI20" s="318"/>
      <c r="AJ20" s="318"/>
      <c r="AK20" s="318">
        <v>9999</v>
      </c>
      <c r="AL20" s="318">
        <v>1000</v>
      </c>
      <c r="AM20" s="318">
        <v>39</v>
      </c>
      <c r="AS20" s="83"/>
    </row>
    <row r="21" spans="1:45">
      <c r="A21" s="350">
        <v>810153</v>
      </c>
      <c r="B21" s="318" t="s">
        <v>1751</v>
      </c>
      <c r="C21" s="83" t="s">
        <v>1734</v>
      </c>
      <c r="D21" s="318" t="s">
        <v>155</v>
      </c>
      <c r="E21" s="83" t="s">
        <v>156</v>
      </c>
      <c r="F21" s="83" t="s">
        <v>1061</v>
      </c>
      <c r="G21" s="318" t="s">
        <v>155</v>
      </c>
      <c r="H21" s="355" t="s">
        <v>1286</v>
      </c>
      <c r="I21" s="83" t="s">
        <v>1768</v>
      </c>
      <c r="J21" s="318" t="s">
        <v>2171</v>
      </c>
      <c r="K21" s="319"/>
      <c r="L21" s="83">
        <v>15</v>
      </c>
      <c r="M21" s="320"/>
      <c r="N21" s="355"/>
      <c r="O21" s="321"/>
      <c r="P21" s="83">
        <v>17</v>
      </c>
      <c r="Q21" s="318">
        <v>123.39</v>
      </c>
      <c r="R21" s="397">
        <v>4.3999999999999997E-2</v>
      </c>
      <c r="S21" s="318">
        <v>0.13777453602398898</v>
      </c>
      <c r="T21" s="318">
        <v>386.36363636363637</v>
      </c>
      <c r="U21" s="356" t="s">
        <v>154</v>
      </c>
      <c r="V21" s="310" t="s">
        <v>947</v>
      </c>
      <c r="W21" s="318"/>
      <c r="X21" s="318" t="s">
        <v>1002</v>
      </c>
      <c r="Y21" s="318" t="s">
        <v>1032</v>
      </c>
      <c r="Z21" s="318"/>
      <c r="AA21" s="322">
        <v>69</v>
      </c>
      <c r="AB21" s="355">
        <v>1</v>
      </c>
      <c r="AC21" s="83" t="s">
        <v>1112</v>
      </c>
      <c r="AD21" s="318" t="s">
        <v>1785</v>
      </c>
      <c r="AE21" s="318"/>
      <c r="AF21" s="318"/>
      <c r="AG21" s="318"/>
      <c r="AH21" t="s">
        <v>1061</v>
      </c>
      <c r="AI21" s="318"/>
      <c r="AJ21" s="83">
        <v>1</v>
      </c>
      <c r="AK21" s="83">
        <v>9999</v>
      </c>
      <c r="AL21" s="318">
        <v>1000</v>
      </c>
      <c r="AM21" s="318">
        <v>11</v>
      </c>
      <c r="AS21" s="83"/>
    </row>
    <row r="22" spans="1:45">
      <c r="A22" s="384">
        <v>810173</v>
      </c>
      <c r="B22" s="495" t="s">
        <v>2276</v>
      </c>
      <c r="C22" s="318" t="s">
        <v>2277</v>
      </c>
      <c r="D22" s="318" t="s">
        <v>155</v>
      </c>
      <c r="E22" s="83" t="s">
        <v>156</v>
      </c>
      <c r="F22" s="318" t="s">
        <v>2175</v>
      </c>
      <c r="G22" s="318" t="s">
        <v>155</v>
      </c>
      <c r="H22" s="385" t="s">
        <v>159</v>
      </c>
      <c r="I22" s="83" t="s">
        <v>1768</v>
      </c>
      <c r="J22" s="318" t="s">
        <v>2171</v>
      </c>
      <c r="K22" s="319"/>
      <c r="L22" s="83">
        <v>15</v>
      </c>
      <c r="M22" s="320"/>
      <c r="N22" s="385"/>
      <c r="O22" s="321"/>
      <c r="P22" s="321">
        <v>25</v>
      </c>
      <c r="Q22" s="318">
        <v>153.01</v>
      </c>
      <c r="R22" s="398">
        <v>7.8E-2</v>
      </c>
      <c r="S22" s="318">
        <v>0.16338801385530358</v>
      </c>
      <c r="T22" s="318">
        <v>320.5128205128205</v>
      </c>
      <c r="U22" s="356" t="s">
        <v>154</v>
      </c>
      <c r="V22" s="310" t="s">
        <v>947</v>
      </c>
      <c r="W22" s="318"/>
      <c r="X22" s="318" t="s">
        <v>1002</v>
      </c>
      <c r="Y22" s="318" t="s">
        <v>1032</v>
      </c>
      <c r="Z22" s="318"/>
      <c r="AA22" s="386">
        <v>109</v>
      </c>
      <c r="AB22" s="355">
        <v>1</v>
      </c>
      <c r="AC22" s="83" t="s">
        <v>1112</v>
      </c>
      <c r="AD22" s="318" t="s">
        <v>1785</v>
      </c>
      <c r="AE22" s="318"/>
      <c r="AF22" s="318"/>
      <c r="AG22" s="318"/>
      <c r="AH22" s="318" t="s">
        <v>2175</v>
      </c>
      <c r="AI22" s="318"/>
      <c r="AJ22" s="318"/>
      <c r="AK22" s="318">
        <v>9999</v>
      </c>
      <c r="AL22" s="318">
        <v>1000</v>
      </c>
      <c r="AM22" s="318">
        <v>33</v>
      </c>
      <c r="AS22" s="83"/>
    </row>
    <row r="23" spans="1:45">
      <c r="A23" s="384">
        <v>810180</v>
      </c>
      <c r="B23" s="495" t="s">
        <v>2282</v>
      </c>
      <c r="C23" s="318" t="s">
        <v>2283</v>
      </c>
      <c r="D23" s="318" t="s">
        <v>155</v>
      </c>
      <c r="E23" s="83" t="s">
        <v>156</v>
      </c>
      <c r="F23" s="318" t="s">
        <v>2178</v>
      </c>
      <c r="G23" s="318" t="s">
        <v>155</v>
      </c>
      <c r="H23" s="385" t="s">
        <v>159</v>
      </c>
      <c r="I23" s="83" t="s">
        <v>1768</v>
      </c>
      <c r="J23" s="318" t="s">
        <v>2171</v>
      </c>
      <c r="K23" s="319"/>
      <c r="L23" s="83">
        <v>15</v>
      </c>
      <c r="M23" s="320"/>
      <c r="N23" s="385"/>
      <c r="O23" s="321"/>
      <c r="P23" s="321">
        <v>27</v>
      </c>
      <c r="Q23" s="318">
        <v>198.66</v>
      </c>
      <c r="R23" s="398">
        <v>7.8E-2</v>
      </c>
      <c r="S23" s="318">
        <v>0.1359106010268801</v>
      </c>
      <c r="T23" s="318">
        <v>346.15384615384613</v>
      </c>
      <c r="U23" s="356" t="s">
        <v>154</v>
      </c>
      <c r="V23" s="310" t="s">
        <v>947</v>
      </c>
      <c r="W23" s="318"/>
      <c r="X23" s="318" t="s">
        <v>1002</v>
      </c>
      <c r="Y23" s="318" t="s">
        <v>1032</v>
      </c>
      <c r="Z23" s="318"/>
      <c r="AA23" s="386">
        <v>125</v>
      </c>
      <c r="AB23" s="355">
        <v>1</v>
      </c>
      <c r="AC23" s="83" t="s">
        <v>1112</v>
      </c>
      <c r="AD23" s="318" t="s">
        <v>1785</v>
      </c>
      <c r="AE23" s="318"/>
      <c r="AF23" s="318"/>
      <c r="AG23" s="318"/>
      <c r="AH23" s="318" t="s">
        <v>2178</v>
      </c>
      <c r="AI23" s="318"/>
      <c r="AJ23" s="318"/>
      <c r="AK23" s="318">
        <v>9999</v>
      </c>
      <c r="AL23" s="318">
        <v>1000</v>
      </c>
      <c r="AM23" s="318">
        <v>40</v>
      </c>
      <c r="AS23" s="83"/>
    </row>
    <row r="24" spans="1:45">
      <c r="A24" s="350">
        <v>810144</v>
      </c>
      <c r="B24" s="318" t="s">
        <v>1742</v>
      </c>
      <c r="C24" s="83" t="s">
        <v>1727</v>
      </c>
      <c r="D24" s="318" t="s">
        <v>155</v>
      </c>
      <c r="E24" s="83" t="s">
        <v>156</v>
      </c>
      <c r="F24" s="83" t="s">
        <v>1062</v>
      </c>
      <c r="G24" s="318" t="s">
        <v>155</v>
      </c>
      <c r="H24" s="355" t="s">
        <v>1284</v>
      </c>
      <c r="I24" s="83" t="s">
        <v>1610</v>
      </c>
      <c r="J24" s="318" t="s">
        <v>2171</v>
      </c>
      <c r="K24" s="319"/>
      <c r="L24" s="83">
        <v>15</v>
      </c>
      <c r="M24" s="320"/>
      <c r="N24" s="355"/>
      <c r="O24" s="321"/>
      <c r="P24" s="83">
        <v>17</v>
      </c>
      <c r="Q24" s="318">
        <v>104.01</v>
      </c>
      <c r="R24" s="397">
        <v>3.6999999999999998E-2</v>
      </c>
      <c r="S24" s="318">
        <v>0.16344582251706566</v>
      </c>
      <c r="T24" s="318"/>
      <c r="U24" s="356" t="s">
        <v>154</v>
      </c>
      <c r="V24" s="310" t="s">
        <v>947</v>
      </c>
      <c r="W24" s="318"/>
      <c r="X24" s="318" t="s">
        <v>1002</v>
      </c>
      <c r="Y24" s="318" t="s">
        <v>1032</v>
      </c>
      <c r="Z24" s="318"/>
      <c r="AA24" s="322">
        <v>76</v>
      </c>
      <c r="AB24" s="355">
        <v>1</v>
      </c>
      <c r="AC24" s="83" t="s">
        <v>1112</v>
      </c>
      <c r="AD24" s="318" t="s">
        <v>1785</v>
      </c>
      <c r="AE24" s="318"/>
      <c r="AF24" s="318"/>
      <c r="AG24" s="318"/>
      <c r="AH24" s="9" t="s">
        <v>1385</v>
      </c>
      <c r="AI24" s="318"/>
      <c r="AJ24" s="83"/>
      <c r="AK24" s="83">
        <v>9999</v>
      </c>
      <c r="AL24" s="318">
        <v>1000</v>
      </c>
      <c r="AM24" s="318">
        <v>2</v>
      </c>
      <c r="AS24" s="83"/>
    </row>
    <row r="25" spans="1:45">
      <c r="A25" s="384">
        <v>810169</v>
      </c>
      <c r="B25" s="495" t="s">
        <v>2272</v>
      </c>
      <c r="C25" s="318" t="s">
        <v>2273</v>
      </c>
      <c r="D25" s="318" t="s">
        <v>155</v>
      </c>
      <c r="E25" s="83" t="s">
        <v>156</v>
      </c>
      <c r="F25" s="318" t="s">
        <v>2173</v>
      </c>
      <c r="G25" s="318" t="s">
        <v>155</v>
      </c>
      <c r="H25" s="385" t="s">
        <v>159</v>
      </c>
      <c r="I25" s="83" t="s">
        <v>1768</v>
      </c>
      <c r="J25" s="318" t="s">
        <v>2171</v>
      </c>
      <c r="K25" s="319"/>
      <c r="L25" s="83">
        <v>15</v>
      </c>
      <c r="M25" s="320"/>
      <c r="N25" s="385"/>
      <c r="O25" s="321"/>
      <c r="P25" s="321">
        <v>22</v>
      </c>
      <c r="Q25" s="318">
        <v>128.97999999999999</v>
      </c>
      <c r="R25" s="398">
        <v>6.6000000000000003E-2</v>
      </c>
      <c r="S25" s="318">
        <v>0.17056908047759345</v>
      </c>
      <c r="T25" s="318">
        <v>333.33333333333331</v>
      </c>
      <c r="U25" s="356" t="s">
        <v>154</v>
      </c>
      <c r="V25" s="310" t="s">
        <v>947</v>
      </c>
      <c r="W25" s="318"/>
      <c r="X25" s="318" t="s">
        <v>1002</v>
      </c>
      <c r="Y25" s="318" t="s">
        <v>1032</v>
      </c>
      <c r="Z25" s="318"/>
      <c r="AA25" s="386">
        <v>116</v>
      </c>
      <c r="AB25" s="355">
        <v>1</v>
      </c>
      <c r="AC25" s="83" t="s">
        <v>1112</v>
      </c>
      <c r="AD25" s="318" t="s">
        <v>1785</v>
      </c>
      <c r="AE25" s="318"/>
      <c r="AF25" s="318"/>
      <c r="AG25" s="318"/>
      <c r="AH25" s="318" t="s">
        <v>2179</v>
      </c>
      <c r="AI25" s="318"/>
      <c r="AJ25" s="318"/>
      <c r="AK25" s="318">
        <v>9999</v>
      </c>
      <c r="AL25" s="318">
        <v>1000</v>
      </c>
      <c r="AM25" s="318">
        <v>29</v>
      </c>
      <c r="AS25" s="83"/>
    </row>
    <row r="26" spans="1:45">
      <c r="A26" s="384">
        <v>810176</v>
      </c>
      <c r="B26" s="495" t="s">
        <v>2278</v>
      </c>
      <c r="C26" s="318" t="s">
        <v>2279</v>
      </c>
      <c r="D26" s="318" t="s">
        <v>155</v>
      </c>
      <c r="E26" s="83" t="s">
        <v>156</v>
      </c>
      <c r="F26" s="318" t="s">
        <v>2176</v>
      </c>
      <c r="G26" s="318" t="s">
        <v>155</v>
      </c>
      <c r="H26" s="385" t="s">
        <v>159</v>
      </c>
      <c r="I26" s="83" t="s">
        <v>1768</v>
      </c>
      <c r="J26" s="318" t="s">
        <v>2171</v>
      </c>
      <c r="K26" s="319"/>
      <c r="L26" s="83">
        <v>15</v>
      </c>
      <c r="M26" s="320"/>
      <c r="N26" s="385"/>
      <c r="O26" s="321"/>
      <c r="P26" s="321">
        <v>25</v>
      </c>
      <c r="Q26" s="318">
        <v>167.46</v>
      </c>
      <c r="R26" s="398">
        <v>6.6000000000000003E-2</v>
      </c>
      <c r="S26" s="318">
        <v>0.14928938253911381</v>
      </c>
      <c r="T26" s="318">
        <v>378.78787878787875</v>
      </c>
      <c r="U26" s="356" t="s">
        <v>154</v>
      </c>
      <c r="V26" s="310" t="s">
        <v>947</v>
      </c>
      <c r="W26" s="318"/>
      <c r="X26" s="318" t="s">
        <v>1002</v>
      </c>
      <c r="Y26" s="318" t="s">
        <v>1032</v>
      </c>
      <c r="Z26" s="318"/>
      <c r="AA26" s="386">
        <v>132</v>
      </c>
      <c r="AB26" s="355">
        <v>1</v>
      </c>
      <c r="AC26" s="83" t="s">
        <v>1112</v>
      </c>
      <c r="AD26" s="318" t="s">
        <v>1785</v>
      </c>
      <c r="AE26" s="318"/>
      <c r="AF26" s="318"/>
      <c r="AG26" s="318"/>
      <c r="AH26" s="318" t="s">
        <v>2183</v>
      </c>
      <c r="AI26" s="318"/>
      <c r="AJ26" s="318"/>
      <c r="AK26" s="318">
        <v>9999</v>
      </c>
      <c r="AL26" s="318">
        <v>1000</v>
      </c>
      <c r="AM26" s="318">
        <v>36</v>
      </c>
      <c r="AS26" s="83"/>
    </row>
    <row r="27" spans="1:45">
      <c r="A27" s="350">
        <v>810154</v>
      </c>
      <c r="B27" s="318" t="s">
        <v>1752</v>
      </c>
      <c r="C27" s="83" t="s">
        <v>1735</v>
      </c>
      <c r="D27" s="318" t="s">
        <v>155</v>
      </c>
      <c r="E27" s="83" t="s">
        <v>156</v>
      </c>
      <c r="F27" s="83" t="s">
        <v>1758</v>
      </c>
      <c r="G27" s="318" t="s">
        <v>155</v>
      </c>
      <c r="H27" s="355" t="s">
        <v>1286</v>
      </c>
      <c r="I27" s="83" t="s">
        <v>1610</v>
      </c>
      <c r="J27" s="318" t="s">
        <v>2171</v>
      </c>
      <c r="K27" s="319"/>
      <c r="L27" s="83">
        <v>15</v>
      </c>
      <c r="M27" s="320"/>
      <c r="N27" s="355"/>
      <c r="O27" s="321"/>
      <c r="P27" s="83">
        <v>33</v>
      </c>
      <c r="Q27" s="318">
        <v>258.07</v>
      </c>
      <c r="R27" s="397">
        <v>9.1999999999999998E-2</v>
      </c>
      <c r="S27" s="318">
        <v>0.12787228271399234</v>
      </c>
      <c r="T27" s="318">
        <v>358.69565217391306</v>
      </c>
      <c r="U27" s="356" t="s">
        <v>154</v>
      </c>
      <c r="V27" s="310" t="s">
        <v>947</v>
      </c>
      <c r="W27" s="318"/>
      <c r="X27" s="318" t="s">
        <v>1002</v>
      </c>
      <c r="Y27" s="318" t="s">
        <v>1032</v>
      </c>
      <c r="Z27" s="318"/>
      <c r="AA27" s="322">
        <v>42.88</v>
      </c>
      <c r="AB27" s="355">
        <v>1</v>
      </c>
      <c r="AC27" s="83" t="s">
        <v>1112</v>
      </c>
      <c r="AD27" s="318" t="s">
        <v>1785</v>
      </c>
      <c r="AE27" s="318"/>
      <c r="AF27" s="318"/>
      <c r="AG27" s="318"/>
      <c r="AH27" t="s">
        <v>1790</v>
      </c>
      <c r="AI27" s="318"/>
      <c r="AJ27" s="83">
        <v>1</v>
      </c>
      <c r="AK27" s="83">
        <v>9999</v>
      </c>
      <c r="AL27" s="318">
        <v>1000</v>
      </c>
      <c r="AM27" s="318">
        <v>12</v>
      </c>
      <c r="AS27" s="83"/>
    </row>
    <row r="28" spans="1:45">
      <c r="A28" s="350">
        <v>810142</v>
      </c>
      <c r="B28" s="318" t="s">
        <v>1740</v>
      </c>
      <c r="C28" s="318" t="s">
        <v>1725</v>
      </c>
      <c r="D28" s="318" t="s">
        <v>155</v>
      </c>
      <c r="E28" s="318" t="s">
        <v>156</v>
      </c>
      <c r="F28" s="318" t="s">
        <v>1062</v>
      </c>
      <c r="G28" s="318" t="s">
        <v>155</v>
      </c>
      <c r="H28" s="385" t="s">
        <v>159</v>
      </c>
      <c r="I28" s="318" t="s">
        <v>1764</v>
      </c>
      <c r="J28" s="318" t="s">
        <v>2171</v>
      </c>
      <c r="K28" s="319"/>
      <c r="L28" s="83">
        <v>15</v>
      </c>
      <c r="M28" s="320"/>
      <c r="N28" s="385"/>
      <c r="O28" s="321"/>
      <c r="P28" s="83">
        <v>25</v>
      </c>
      <c r="Q28" s="318">
        <v>149.88999999999999</v>
      </c>
      <c r="R28" s="397">
        <v>5.2999999999999999E-2</v>
      </c>
      <c r="S28" s="318">
        <v>0.16678897858429517</v>
      </c>
      <c r="T28" s="318">
        <v>471.69811320754718</v>
      </c>
      <c r="U28" s="356" t="s">
        <v>154</v>
      </c>
      <c r="V28" s="310" t="s">
        <v>947</v>
      </c>
      <c r="W28" s="318"/>
      <c r="X28" s="318" t="s">
        <v>1002</v>
      </c>
      <c r="Y28" s="318" t="s">
        <v>1032</v>
      </c>
      <c r="Z28" s="318"/>
      <c r="AA28" s="322">
        <v>104</v>
      </c>
      <c r="AB28" s="385">
        <v>1</v>
      </c>
      <c r="AC28" s="83" t="s">
        <v>157</v>
      </c>
      <c r="AD28" s="318" t="s">
        <v>1786</v>
      </c>
      <c r="AE28" s="318"/>
      <c r="AF28" s="318"/>
      <c r="AG28" s="318"/>
      <c r="AH28" s="9" t="s">
        <v>1062</v>
      </c>
      <c r="AI28" s="318"/>
      <c r="AJ28" s="318"/>
      <c r="AK28" s="318">
        <v>9999</v>
      </c>
      <c r="AL28" s="318">
        <v>1000</v>
      </c>
      <c r="AM28" s="318">
        <v>32</v>
      </c>
      <c r="AO28" s="310" t="s">
        <v>1013</v>
      </c>
      <c r="AP28" s="310" t="s">
        <v>1014</v>
      </c>
      <c r="AQ28" s="310" t="s">
        <v>1015</v>
      </c>
      <c r="AR28" s="310" t="s">
        <v>955</v>
      </c>
      <c r="AS28" s="310" t="s">
        <v>1012</v>
      </c>
    </row>
    <row r="29" spans="1:45">
      <c r="A29" s="384">
        <v>810168</v>
      </c>
      <c r="B29" s="495" t="s">
        <v>2284</v>
      </c>
      <c r="C29" s="318" t="s">
        <v>2285</v>
      </c>
      <c r="D29" s="318" t="s">
        <v>155</v>
      </c>
      <c r="E29" s="83" t="s">
        <v>156</v>
      </c>
      <c r="F29" s="318" t="s">
        <v>2172</v>
      </c>
      <c r="G29" s="318" t="s">
        <v>155</v>
      </c>
      <c r="H29" s="385" t="s">
        <v>159</v>
      </c>
      <c r="I29" s="318" t="s">
        <v>1764</v>
      </c>
      <c r="J29" s="318" t="s">
        <v>2171</v>
      </c>
      <c r="K29" s="319"/>
      <c r="L29" s="83">
        <v>15</v>
      </c>
      <c r="M29" s="320"/>
      <c r="N29" s="385"/>
      <c r="O29" s="321"/>
      <c r="P29" s="321">
        <v>30</v>
      </c>
      <c r="Q29" s="318">
        <v>185.86</v>
      </c>
      <c r="R29" s="398">
        <v>9.5000000000000001E-2</v>
      </c>
      <c r="S29" s="318">
        <v>0.16141181534488325</v>
      </c>
      <c r="T29" s="318">
        <v>315.78947368421052</v>
      </c>
      <c r="U29" s="356" t="s">
        <v>154</v>
      </c>
      <c r="V29" s="310" t="s">
        <v>947</v>
      </c>
      <c r="W29" s="318"/>
      <c r="X29" s="318" t="s">
        <v>1002</v>
      </c>
      <c r="Y29" s="318" t="s">
        <v>1032</v>
      </c>
      <c r="Z29" s="318"/>
      <c r="AA29" s="386">
        <v>144</v>
      </c>
      <c r="AB29" s="355">
        <v>1</v>
      </c>
      <c r="AC29" s="83" t="s">
        <v>1112</v>
      </c>
      <c r="AD29" s="318" t="s">
        <v>1786</v>
      </c>
      <c r="AE29" s="318"/>
      <c r="AF29" s="318"/>
      <c r="AG29" s="318"/>
      <c r="AH29" s="318" t="s">
        <v>2172</v>
      </c>
      <c r="AI29" s="318"/>
      <c r="AJ29" s="318"/>
      <c r="AK29" s="318">
        <v>9999</v>
      </c>
      <c r="AL29" s="318">
        <v>1000</v>
      </c>
      <c r="AM29" s="318">
        <v>28</v>
      </c>
      <c r="AO29" s="310" t="s">
        <v>1022</v>
      </c>
      <c r="AP29" s="310" t="s">
        <v>1023</v>
      </c>
      <c r="AQ29" s="310" t="s">
        <v>960</v>
      </c>
      <c r="AR29" s="310" t="s">
        <v>955</v>
      </c>
      <c r="AS29" s="310" t="s">
        <v>1024</v>
      </c>
    </row>
    <row r="30" spans="1:45">
      <c r="A30" s="384">
        <v>810175</v>
      </c>
      <c r="B30" s="495" t="s">
        <v>2286</v>
      </c>
      <c r="C30" s="318" t="s">
        <v>2287</v>
      </c>
      <c r="D30" s="318" t="s">
        <v>155</v>
      </c>
      <c r="E30" s="83" t="s">
        <v>156</v>
      </c>
      <c r="F30" s="318" t="s">
        <v>2176</v>
      </c>
      <c r="G30" s="318" t="s">
        <v>155</v>
      </c>
      <c r="H30" s="385" t="s">
        <v>159</v>
      </c>
      <c r="I30" s="318" t="s">
        <v>1764</v>
      </c>
      <c r="J30" s="318" t="s">
        <v>2171</v>
      </c>
      <c r="K30" s="319"/>
      <c r="L30" s="83">
        <v>15</v>
      </c>
      <c r="M30" s="320"/>
      <c r="N30" s="385"/>
      <c r="O30" s="321"/>
      <c r="P30" s="321">
        <v>35</v>
      </c>
      <c r="Q30" s="318">
        <v>241.32</v>
      </c>
      <c r="R30" s="398">
        <v>9.5000000000000001E-2</v>
      </c>
      <c r="S30" s="318">
        <v>0.14503563732802918</v>
      </c>
      <c r="T30" s="318">
        <v>368.42105263157896</v>
      </c>
      <c r="U30" s="356" t="s">
        <v>154</v>
      </c>
      <c r="V30" s="310" t="s">
        <v>947</v>
      </c>
      <c r="W30" s="318"/>
      <c r="X30" s="318" t="s">
        <v>1002</v>
      </c>
      <c r="Y30" s="318" t="s">
        <v>1032</v>
      </c>
      <c r="Z30" s="318"/>
      <c r="AA30" s="386">
        <v>160</v>
      </c>
      <c r="AB30" s="355">
        <v>1</v>
      </c>
      <c r="AC30" s="83" t="s">
        <v>1112</v>
      </c>
      <c r="AD30" s="318" t="s">
        <v>1786</v>
      </c>
      <c r="AE30" s="318"/>
      <c r="AF30" s="318"/>
      <c r="AG30" s="318"/>
      <c r="AH30" s="318" t="s">
        <v>2176</v>
      </c>
      <c r="AI30" s="318"/>
      <c r="AJ30" s="318"/>
      <c r="AK30" s="318">
        <v>9999</v>
      </c>
      <c r="AL30" s="318">
        <v>1000</v>
      </c>
      <c r="AM30" s="318">
        <v>35</v>
      </c>
      <c r="AO30" s="310" t="s">
        <v>1026</v>
      </c>
      <c r="AP30" s="310" t="s">
        <v>1027</v>
      </c>
      <c r="AQ30" s="310" t="s">
        <v>961</v>
      </c>
      <c r="AR30" s="310" t="s">
        <v>955</v>
      </c>
      <c r="AS30" s="310" t="s">
        <v>1024</v>
      </c>
    </row>
    <row r="31" spans="1:45" ht="30">
      <c r="A31" s="350">
        <v>810151</v>
      </c>
      <c r="B31" s="318" t="s">
        <v>1749</v>
      </c>
      <c r="C31" s="83" t="s">
        <v>1732</v>
      </c>
      <c r="D31" s="318" t="s">
        <v>155</v>
      </c>
      <c r="E31" s="83" t="s">
        <v>156</v>
      </c>
      <c r="F31" s="83" t="s">
        <v>1757</v>
      </c>
      <c r="G31" s="318" t="s">
        <v>155</v>
      </c>
      <c r="H31" s="355" t="s">
        <v>1285</v>
      </c>
      <c r="I31" s="83" t="s">
        <v>1764</v>
      </c>
      <c r="J31" s="318" t="s">
        <v>2171</v>
      </c>
      <c r="K31" s="319"/>
      <c r="L31" s="83">
        <v>15</v>
      </c>
      <c r="M31" s="320"/>
      <c r="N31" s="355"/>
      <c r="O31" s="321"/>
      <c r="P31" s="83">
        <v>28</v>
      </c>
      <c r="Q31" s="318">
        <v>262</v>
      </c>
      <c r="R31" s="397">
        <v>9.2999999999999999E-2</v>
      </c>
      <c r="S31" s="318">
        <v>0.10687022900763359</v>
      </c>
      <c r="T31" s="318">
        <v>301.07526881720429</v>
      </c>
      <c r="U31" s="356" t="s">
        <v>154</v>
      </c>
      <c r="V31" s="310" t="s">
        <v>947</v>
      </c>
      <c r="W31" s="318"/>
      <c r="X31" s="318" t="s">
        <v>1002</v>
      </c>
      <c r="Y31" s="318" t="s">
        <v>1032</v>
      </c>
      <c r="Z31" s="318"/>
      <c r="AA31" s="322">
        <v>31.94</v>
      </c>
      <c r="AB31" s="355">
        <v>1</v>
      </c>
      <c r="AC31" s="83" t="s">
        <v>1112</v>
      </c>
      <c r="AD31" s="318" t="s">
        <v>1786</v>
      </c>
      <c r="AE31" s="318"/>
      <c r="AF31" s="318"/>
      <c r="AG31" s="318"/>
      <c r="AH31" s="9" t="s">
        <v>1774</v>
      </c>
      <c r="AI31" s="318"/>
      <c r="AJ31" s="83"/>
      <c r="AK31" s="83">
        <v>9999</v>
      </c>
      <c r="AL31" s="318">
        <v>1000</v>
      </c>
      <c r="AM31" s="318">
        <v>9</v>
      </c>
      <c r="AO31" s="310" t="s">
        <v>1028</v>
      </c>
      <c r="AP31" s="310" t="s">
        <v>1029</v>
      </c>
      <c r="AQ31" s="310" t="s">
        <v>959</v>
      </c>
      <c r="AR31" s="310" t="s">
        <v>955</v>
      </c>
      <c r="AS31" s="310" t="s">
        <v>1024</v>
      </c>
    </row>
    <row r="32" spans="1:45" ht="30">
      <c r="A32" s="350">
        <v>810152</v>
      </c>
      <c r="B32" s="318" t="s">
        <v>1750</v>
      </c>
      <c r="C32" s="83" t="s">
        <v>1733</v>
      </c>
      <c r="D32" s="318" t="s">
        <v>155</v>
      </c>
      <c r="E32" s="83" t="s">
        <v>156</v>
      </c>
      <c r="F32" s="83" t="s">
        <v>1757</v>
      </c>
      <c r="G32" s="318" t="s">
        <v>155</v>
      </c>
      <c r="H32" s="355" t="s">
        <v>1286</v>
      </c>
      <c r="I32" s="83" t="s">
        <v>1770</v>
      </c>
      <c r="J32" s="318" t="s">
        <v>2171</v>
      </c>
      <c r="K32" s="319"/>
      <c r="L32" s="83">
        <v>15</v>
      </c>
      <c r="M32" s="320"/>
      <c r="N32" s="355"/>
      <c r="O32" s="321"/>
      <c r="P32" s="83">
        <v>55</v>
      </c>
      <c r="Q32" s="318">
        <v>430.53</v>
      </c>
      <c r="R32" s="397">
        <v>0.153</v>
      </c>
      <c r="S32" s="318">
        <v>0.12774951803590923</v>
      </c>
      <c r="T32" s="318">
        <v>359.47712418300654</v>
      </c>
      <c r="U32" s="356" t="s">
        <v>154</v>
      </c>
      <c r="V32" s="310" t="s">
        <v>947</v>
      </c>
      <c r="W32" s="318"/>
      <c r="X32" s="318" t="s">
        <v>1002</v>
      </c>
      <c r="Y32" s="318" t="s">
        <v>1032</v>
      </c>
      <c r="Z32" s="318"/>
      <c r="AA32" s="322">
        <v>61.17</v>
      </c>
      <c r="AB32" s="355">
        <v>1</v>
      </c>
      <c r="AC32" s="83" t="s">
        <v>1112</v>
      </c>
      <c r="AD32" s="318" t="s">
        <v>1787</v>
      </c>
      <c r="AE32" s="318"/>
      <c r="AF32" s="318"/>
      <c r="AG32" s="318"/>
      <c r="AH32" s="9" t="s">
        <v>1775</v>
      </c>
      <c r="AI32" s="318"/>
      <c r="AJ32" s="83">
        <v>1</v>
      </c>
      <c r="AK32" s="83">
        <v>9999</v>
      </c>
      <c r="AL32" s="318">
        <v>1000</v>
      </c>
      <c r="AM32" s="318">
        <v>10</v>
      </c>
    </row>
    <row r="33" spans="1:39">
      <c r="A33" s="350">
        <v>810150</v>
      </c>
      <c r="B33" s="318" t="s">
        <v>1748</v>
      </c>
      <c r="C33" s="83" t="s">
        <v>1731</v>
      </c>
      <c r="D33" s="318" t="s">
        <v>155</v>
      </c>
      <c r="E33" s="83" t="s">
        <v>156</v>
      </c>
      <c r="F33" s="83" t="s">
        <v>1757</v>
      </c>
      <c r="G33" s="318" t="s">
        <v>155</v>
      </c>
      <c r="H33" s="355" t="s">
        <v>1284</v>
      </c>
      <c r="I33" s="83" t="s">
        <v>1769</v>
      </c>
      <c r="J33" s="318" t="s">
        <v>2171</v>
      </c>
      <c r="K33" s="319"/>
      <c r="L33" s="83">
        <v>15</v>
      </c>
      <c r="M33" s="320"/>
      <c r="N33" s="355"/>
      <c r="O33" s="321"/>
      <c r="P33" s="83">
        <v>45</v>
      </c>
      <c r="Q33" s="318">
        <v>541.16999999999996</v>
      </c>
      <c r="R33" s="397">
        <v>0.192</v>
      </c>
      <c r="S33" s="318">
        <v>8.3153168135705974E-2</v>
      </c>
      <c r="T33" s="318"/>
      <c r="U33" s="356" t="s">
        <v>154</v>
      </c>
      <c r="V33" s="310" t="s">
        <v>947</v>
      </c>
      <c r="W33" s="318"/>
      <c r="X33" s="318" t="s">
        <v>1002</v>
      </c>
      <c r="Y33" s="318" t="s">
        <v>1032</v>
      </c>
      <c r="Z33" s="318"/>
      <c r="AA33" s="322">
        <v>51.11</v>
      </c>
      <c r="AB33" s="355">
        <v>1</v>
      </c>
      <c r="AC33" s="83" t="s">
        <v>1112</v>
      </c>
      <c r="AD33" s="318" t="s">
        <v>1788</v>
      </c>
      <c r="AE33" s="318"/>
      <c r="AF33" s="318"/>
      <c r="AG33" s="318"/>
      <c r="AH33" s="9" t="s">
        <v>1773</v>
      </c>
      <c r="AI33" s="318"/>
      <c r="AJ33" s="83"/>
      <c r="AK33" s="83">
        <v>9999</v>
      </c>
      <c r="AL33" s="318">
        <v>1000</v>
      </c>
      <c r="AM33" s="318">
        <v>8</v>
      </c>
    </row>
    <row r="34" spans="1:39">
      <c r="A34" s="493">
        <v>810121</v>
      </c>
      <c r="B34" s="494" t="s">
        <v>1095</v>
      </c>
      <c r="C34" s="495" t="s">
        <v>949</v>
      </c>
      <c r="D34" s="495" t="s">
        <v>155</v>
      </c>
      <c r="E34" s="495" t="s">
        <v>156</v>
      </c>
      <c r="F34" s="495" t="s">
        <v>949</v>
      </c>
      <c r="G34" s="495" t="s">
        <v>155</v>
      </c>
      <c r="H34" s="496" t="s">
        <v>1283</v>
      </c>
      <c r="I34" s="495" t="s">
        <v>950</v>
      </c>
      <c r="J34" s="318" t="s">
        <v>2171</v>
      </c>
      <c r="K34" s="494"/>
      <c r="L34" s="83">
        <v>5</v>
      </c>
      <c r="M34" s="497"/>
      <c r="N34" s="496"/>
      <c r="O34" s="498"/>
      <c r="P34" s="83">
        <v>2</v>
      </c>
      <c r="Q34" s="318">
        <v>31.8</v>
      </c>
      <c r="R34" s="397">
        <v>7.0000000000000001E-3</v>
      </c>
      <c r="S34" s="495">
        <v>0.41666666666666669</v>
      </c>
      <c r="T34" s="495">
        <v>537.63440860215053</v>
      </c>
      <c r="U34" s="496" t="s">
        <v>154</v>
      </c>
      <c r="V34" s="495" t="s">
        <v>947</v>
      </c>
      <c r="W34" s="495"/>
      <c r="X34" s="495" t="s">
        <v>1002</v>
      </c>
      <c r="Y34" s="495" t="s">
        <v>1032</v>
      </c>
      <c r="Z34" s="495"/>
      <c r="AA34" s="322">
        <v>32.5</v>
      </c>
      <c r="AB34" s="496">
        <v>1</v>
      </c>
      <c r="AC34" s="495" t="s">
        <v>157</v>
      </c>
      <c r="AD34" s="495" t="s">
        <v>950</v>
      </c>
      <c r="AE34" s="495"/>
      <c r="AF34" s="495"/>
      <c r="AG34" s="495"/>
      <c r="AH34" s="495" t="s">
        <v>949</v>
      </c>
      <c r="AI34" s="495"/>
      <c r="AJ34" s="495"/>
      <c r="AK34" s="495">
        <v>9999</v>
      </c>
      <c r="AL34" s="495">
        <v>1000</v>
      </c>
      <c r="AM34" s="495">
        <v>1</v>
      </c>
    </row>
    <row r="35" spans="1:39">
      <c r="A35" s="350">
        <v>810110</v>
      </c>
      <c r="B35" t="s">
        <v>1096</v>
      </c>
      <c r="C35" t="s">
        <v>1103</v>
      </c>
      <c r="D35" s="318" t="s">
        <v>155</v>
      </c>
      <c r="E35" s="83" t="s">
        <v>156</v>
      </c>
      <c r="F35" t="s">
        <v>1103</v>
      </c>
      <c r="G35" s="318" t="s">
        <v>155</v>
      </c>
      <c r="H35" s="403" t="s">
        <v>1284</v>
      </c>
      <c r="I35" s="318" t="s">
        <v>1036</v>
      </c>
      <c r="J35" s="318" t="s">
        <v>2171</v>
      </c>
      <c r="K35" s="319"/>
      <c r="L35" s="83">
        <v>12</v>
      </c>
      <c r="M35" s="320"/>
      <c r="N35" s="355"/>
      <c r="O35" s="321"/>
      <c r="P35" s="83">
        <v>45</v>
      </c>
      <c r="Q35" s="318">
        <v>608.01</v>
      </c>
      <c r="R35" s="397">
        <v>0</v>
      </c>
      <c r="S35" s="318">
        <v>7.5885328836424959E-2</v>
      </c>
      <c r="T35" s="318"/>
      <c r="U35" s="356" t="s">
        <v>154</v>
      </c>
      <c r="V35" s="310" t="s">
        <v>947</v>
      </c>
      <c r="W35" s="318"/>
      <c r="X35" s="318" t="s">
        <v>1002</v>
      </c>
      <c r="Y35" s="318" t="s">
        <v>1032</v>
      </c>
      <c r="Z35" s="318"/>
      <c r="AA35" s="322">
        <v>123.81</v>
      </c>
      <c r="AB35" s="355">
        <v>1</v>
      </c>
      <c r="AC35" s="83" t="s">
        <v>1112</v>
      </c>
      <c r="AD35" t="s">
        <v>1036</v>
      </c>
      <c r="AE35" s="318"/>
      <c r="AF35" s="318"/>
      <c r="AG35" s="318"/>
      <c r="AH35" s="9" t="s">
        <v>1103</v>
      </c>
      <c r="AI35" s="318"/>
      <c r="AJ35" s="83"/>
      <c r="AK35" s="83">
        <v>9999</v>
      </c>
      <c r="AL35" s="318">
        <v>1000</v>
      </c>
      <c r="AM35" s="318">
        <v>2</v>
      </c>
    </row>
    <row r="36" spans="1:39">
      <c r="A36" s="350">
        <v>810114</v>
      </c>
      <c r="B36" s="83" t="s">
        <v>1099</v>
      </c>
      <c r="C36" s="83" t="s">
        <v>1107</v>
      </c>
      <c r="D36" s="318" t="s">
        <v>155</v>
      </c>
      <c r="E36" s="83" t="s">
        <v>156</v>
      </c>
      <c r="F36" s="83" t="s">
        <v>1107</v>
      </c>
      <c r="G36" s="318" t="s">
        <v>155</v>
      </c>
      <c r="H36" s="355" t="s">
        <v>1285</v>
      </c>
      <c r="I36" s="318" t="s">
        <v>1036</v>
      </c>
      <c r="J36" s="318" t="s">
        <v>2171</v>
      </c>
      <c r="K36" s="319"/>
      <c r="L36" s="83">
        <v>15</v>
      </c>
      <c r="M36" s="320"/>
      <c r="N36" s="355"/>
      <c r="O36" s="321"/>
      <c r="P36" s="83">
        <v>50</v>
      </c>
      <c r="Q36" s="318">
        <v>330.93</v>
      </c>
      <c r="R36" s="397">
        <v>0.11700000000000001</v>
      </c>
      <c r="S36" s="318">
        <v>0.17667844522968199</v>
      </c>
      <c r="T36" s="318">
        <v>847.45762711864415</v>
      </c>
      <c r="U36" s="356" t="s">
        <v>154</v>
      </c>
      <c r="V36" s="310" t="s">
        <v>947</v>
      </c>
      <c r="W36" s="318"/>
      <c r="X36" s="318" t="s">
        <v>1002</v>
      </c>
      <c r="Y36" s="318" t="s">
        <v>1032</v>
      </c>
      <c r="Z36" s="318"/>
      <c r="AA36" s="322">
        <v>60</v>
      </c>
      <c r="AB36" s="355">
        <v>1</v>
      </c>
      <c r="AC36" t="s">
        <v>1112</v>
      </c>
      <c r="AD36" t="s">
        <v>1036</v>
      </c>
      <c r="AE36" s="318"/>
      <c r="AF36" s="318"/>
      <c r="AG36" s="318"/>
      <c r="AH36" s="9" t="s">
        <v>1107</v>
      </c>
      <c r="AI36" s="9"/>
      <c r="AJ36" s="83"/>
      <c r="AK36" s="83">
        <v>9999</v>
      </c>
      <c r="AL36" s="318">
        <v>1000</v>
      </c>
      <c r="AM36" s="318">
        <v>3</v>
      </c>
    </row>
    <row r="37" spans="1:39">
      <c r="A37" s="350">
        <v>810113</v>
      </c>
      <c r="B37" s="83" t="s">
        <v>1098</v>
      </c>
      <c r="C37" s="83" t="s">
        <v>1106</v>
      </c>
      <c r="D37" s="318" t="s">
        <v>155</v>
      </c>
      <c r="E37" s="83" t="s">
        <v>156</v>
      </c>
      <c r="F37" s="83" t="s">
        <v>1106</v>
      </c>
      <c r="G37" s="318" t="s">
        <v>155</v>
      </c>
      <c r="H37" s="355" t="s">
        <v>1284</v>
      </c>
      <c r="I37" s="318" t="s">
        <v>948</v>
      </c>
      <c r="J37" s="318" t="s">
        <v>2171</v>
      </c>
      <c r="K37" s="319"/>
      <c r="L37" s="83">
        <v>12</v>
      </c>
      <c r="M37" s="320"/>
      <c r="N37" s="355"/>
      <c r="O37" s="321"/>
      <c r="P37" s="83">
        <v>280</v>
      </c>
      <c r="Q37" s="318">
        <v>3272</v>
      </c>
      <c r="R37" s="397">
        <v>0</v>
      </c>
      <c r="S37" s="318">
        <v>0.15209125475285171</v>
      </c>
      <c r="T37" s="318"/>
      <c r="U37" s="356" t="s">
        <v>154</v>
      </c>
      <c r="V37" s="310" t="s">
        <v>947</v>
      </c>
      <c r="W37" s="318"/>
      <c r="X37" s="318" t="s">
        <v>1002</v>
      </c>
      <c r="Y37" s="318" t="s">
        <v>1032</v>
      </c>
      <c r="Z37" s="318"/>
      <c r="AA37" s="322">
        <v>319.31</v>
      </c>
      <c r="AB37" s="355">
        <v>1</v>
      </c>
      <c r="AC37" s="83" t="s">
        <v>1112</v>
      </c>
      <c r="AD37" t="s">
        <v>948</v>
      </c>
      <c r="AE37" s="318"/>
      <c r="AF37" s="318"/>
      <c r="AG37" s="318"/>
      <c r="AH37" s="9" t="s">
        <v>1106</v>
      </c>
      <c r="AI37" s="318"/>
      <c r="AJ37" s="83"/>
      <c r="AK37" s="83">
        <v>9999</v>
      </c>
      <c r="AL37" s="318">
        <v>1000</v>
      </c>
      <c r="AM37" s="318">
        <v>4</v>
      </c>
    </row>
    <row r="38" spans="1:39">
      <c r="A38" s="350">
        <v>810118</v>
      </c>
      <c r="B38" s="83" t="s">
        <v>1101</v>
      </c>
      <c r="C38" s="83" t="s">
        <v>1110</v>
      </c>
      <c r="D38" s="318" t="s">
        <v>155</v>
      </c>
      <c r="E38" s="83" t="s">
        <v>156</v>
      </c>
      <c r="F38" s="83" t="s">
        <v>1110</v>
      </c>
      <c r="G38" s="318" t="s">
        <v>155</v>
      </c>
      <c r="H38" s="355" t="s">
        <v>1285</v>
      </c>
      <c r="I38" s="318" t="s">
        <v>948</v>
      </c>
      <c r="J38" s="318" t="s">
        <v>2171</v>
      </c>
      <c r="K38" s="319"/>
      <c r="L38" s="83">
        <v>15</v>
      </c>
      <c r="M38" s="320"/>
      <c r="N38" s="355"/>
      <c r="O38" s="321"/>
      <c r="P38" s="83">
        <v>145</v>
      </c>
      <c r="Q38" s="318">
        <v>1898.25</v>
      </c>
      <c r="R38" s="397">
        <v>0.67400000000000004</v>
      </c>
      <c r="S38" s="318">
        <v>6.25E-2</v>
      </c>
      <c r="T38" s="318">
        <v>302.74059910771189</v>
      </c>
      <c r="U38" s="356" t="s">
        <v>154</v>
      </c>
      <c r="V38" s="310" t="s">
        <v>947</v>
      </c>
      <c r="W38" s="318"/>
      <c r="X38" s="318" t="s">
        <v>1002</v>
      </c>
      <c r="Y38" s="318" t="s">
        <v>1032</v>
      </c>
      <c r="Z38" s="318"/>
      <c r="AA38" s="322">
        <v>166.55</v>
      </c>
      <c r="AB38" s="355">
        <v>1</v>
      </c>
      <c r="AC38" s="83" t="s">
        <v>1112</v>
      </c>
      <c r="AD38" t="s">
        <v>948</v>
      </c>
      <c r="AE38" s="318"/>
      <c r="AF38" s="318"/>
      <c r="AG38" s="318"/>
      <c r="AH38" t="s">
        <v>1110</v>
      </c>
      <c r="AI38" s="318"/>
      <c r="AJ38" s="83"/>
      <c r="AK38" s="83">
        <v>9999</v>
      </c>
      <c r="AL38" s="318">
        <v>1000</v>
      </c>
      <c r="AM38" s="318">
        <v>5</v>
      </c>
    </row>
    <row r="39" spans="1:39">
      <c r="A39" s="350">
        <v>810111</v>
      </c>
      <c r="B39" s="83" t="s">
        <v>1462</v>
      </c>
      <c r="C39" s="83" t="s">
        <v>1104</v>
      </c>
      <c r="D39" s="318" t="s">
        <v>155</v>
      </c>
      <c r="E39" s="83" t="s">
        <v>156</v>
      </c>
      <c r="F39" s="83" t="s">
        <v>1368</v>
      </c>
      <c r="G39" s="318" t="s">
        <v>155</v>
      </c>
      <c r="H39" s="355" t="s">
        <v>1284</v>
      </c>
      <c r="I39" s="318" t="s">
        <v>1366</v>
      </c>
      <c r="J39" s="318" t="s">
        <v>2171</v>
      </c>
      <c r="K39" s="319"/>
      <c r="L39" s="83">
        <v>12</v>
      </c>
      <c r="M39" s="320"/>
      <c r="N39" s="355"/>
      <c r="O39" s="321"/>
      <c r="P39" s="83">
        <v>50</v>
      </c>
      <c r="Q39" s="318">
        <v>814.13</v>
      </c>
      <c r="R39" s="397">
        <v>0</v>
      </c>
      <c r="S39" s="318">
        <v>8.6859688195991089E-2</v>
      </c>
      <c r="T39" s="318"/>
      <c r="U39" s="356" t="s">
        <v>154</v>
      </c>
      <c r="V39" s="310" t="s">
        <v>947</v>
      </c>
      <c r="W39" s="318"/>
      <c r="X39" s="318" t="s">
        <v>1002</v>
      </c>
      <c r="Y39" s="318" t="s">
        <v>1032</v>
      </c>
      <c r="Z39" s="318"/>
      <c r="AA39" s="322">
        <v>134.55000000000001</v>
      </c>
      <c r="AB39" s="355">
        <v>1</v>
      </c>
      <c r="AC39" t="s">
        <v>1112</v>
      </c>
      <c r="AD39" t="s">
        <v>1366</v>
      </c>
      <c r="AE39" s="318"/>
      <c r="AF39" s="318"/>
      <c r="AG39" s="318"/>
      <c r="AH39" s="9" t="s">
        <v>1368</v>
      </c>
      <c r="AI39" s="318"/>
      <c r="AJ39" s="83"/>
      <c r="AK39" s="83">
        <v>9999</v>
      </c>
      <c r="AL39" s="318">
        <v>1000</v>
      </c>
      <c r="AM39" s="318">
        <v>6</v>
      </c>
    </row>
    <row r="40" spans="1:39">
      <c r="A40" s="493">
        <v>810116</v>
      </c>
      <c r="B40" s="494" t="s">
        <v>1463</v>
      </c>
      <c r="C40" s="495" t="s">
        <v>1108</v>
      </c>
      <c r="D40" s="495" t="s">
        <v>155</v>
      </c>
      <c r="E40" s="495" t="s">
        <v>156</v>
      </c>
      <c r="F40" s="495" t="s">
        <v>1367</v>
      </c>
      <c r="G40" s="495" t="s">
        <v>155</v>
      </c>
      <c r="H40" s="496" t="s">
        <v>1285</v>
      </c>
      <c r="I40" s="318" t="s">
        <v>1366</v>
      </c>
      <c r="J40" s="318" t="s">
        <v>2171</v>
      </c>
      <c r="K40" s="494"/>
      <c r="L40" s="83">
        <v>15</v>
      </c>
      <c r="M40" s="497"/>
      <c r="N40" s="496"/>
      <c r="O40" s="498"/>
      <c r="P40" s="83">
        <v>62.5</v>
      </c>
      <c r="Q40" s="318">
        <v>449.17</v>
      </c>
      <c r="R40" s="397">
        <v>0.159</v>
      </c>
      <c r="S40" s="495">
        <v>8.9541547277936964E-2</v>
      </c>
      <c r="T40" s="495">
        <v>434.02777777777783</v>
      </c>
      <c r="U40" s="496" t="s">
        <v>154</v>
      </c>
      <c r="V40" s="495" t="s">
        <v>947</v>
      </c>
      <c r="W40" s="495"/>
      <c r="X40" s="495" t="s">
        <v>1002</v>
      </c>
      <c r="Y40" s="495" t="s">
        <v>1032</v>
      </c>
      <c r="Z40" s="495"/>
      <c r="AA40" s="322">
        <v>129</v>
      </c>
      <c r="AB40" s="496">
        <v>1</v>
      </c>
      <c r="AC40" s="495" t="s">
        <v>1112</v>
      </c>
      <c r="AD40" s="495" t="s">
        <v>1366</v>
      </c>
      <c r="AE40" s="495"/>
      <c r="AF40" s="495"/>
      <c r="AG40" s="495"/>
      <c r="AH40" s="495" t="s">
        <v>1367</v>
      </c>
      <c r="AI40" s="495"/>
      <c r="AJ40" s="495"/>
      <c r="AK40" s="495">
        <v>9999</v>
      </c>
      <c r="AL40" s="495">
        <v>1000</v>
      </c>
      <c r="AM40" s="495">
        <v>7</v>
      </c>
    </row>
    <row r="41" spans="1:39">
      <c r="A41" s="493">
        <v>810112</v>
      </c>
      <c r="B41" s="494" t="s">
        <v>1097</v>
      </c>
      <c r="C41" s="495" t="s">
        <v>1105</v>
      </c>
      <c r="D41" s="495" t="s">
        <v>155</v>
      </c>
      <c r="E41" s="495" t="s">
        <v>156</v>
      </c>
      <c r="F41" s="495" t="s">
        <v>1105</v>
      </c>
      <c r="G41" s="495" t="s">
        <v>155</v>
      </c>
      <c r="H41" s="496" t="s">
        <v>1284</v>
      </c>
      <c r="I41" s="318" t="s">
        <v>1111</v>
      </c>
      <c r="J41" s="318" t="s">
        <v>2171</v>
      </c>
      <c r="K41" s="494"/>
      <c r="L41" s="83">
        <v>12</v>
      </c>
      <c r="M41" s="497"/>
      <c r="N41" s="496"/>
      <c r="O41" s="498"/>
      <c r="P41" s="83">
        <v>125</v>
      </c>
      <c r="Q41" s="318">
        <v>1261.21</v>
      </c>
      <c r="R41" s="397">
        <v>0</v>
      </c>
      <c r="S41" s="495">
        <v>0.10016025641025642</v>
      </c>
      <c r="T41" s="495"/>
      <c r="U41" s="496" t="s">
        <v>154</v>
      </c>
      <c r="V41" s="495" t="s">
        <v>947</v>
      </c>
      <c r="W41" s="495"/>
      <c r="X41" s="495" t="s">
        <v>1002</v>
      </c>
      <c r="Y41" s="495" t="s">
        <v>1032</v>
      </c>
      <c r="Z41" s="495"/>
      <c r="AA41" s="322">
        <v>196.16</v>
      </c>
      <c r="AB41" s="496">
        <v>1</v>
      </c>
      <c r="AC41" s="495" t="s">
        <v>1112</v>
      </c>
      <c r="AD41" s="495" t="s">
        <v>1111</v>
      </c>
      <c r="AE41" s="495"/>
      <c r="AF41" s="495"/>
      <c r="AG41" s="495"/>
      <c r="AH41" s="495" t="s">
        <v>1105</v>
      </c>
      <c r="AI41" s="495"/>
      <c r="AJ41" s="495"/>
      <c r="AK41" s="495">
        <v>9999</v>
      </c>
      <c r="AL41" s="495">
        <v>1000</v>
      </c>
      <c r="AM41" s="495">
        <v>8</v>
      </c>
    </row>
    <row r="42" spans="1:39">
      <c r="A42" s="350">
        <v>810117</v>
      </c>
      <c r="B42" s="494" t="s">
        <v>1100</v>
      </c>
      <c r="C42" s="83" t="s">
        <v>1109</v>
      </c>
      <c r="D42" s="318" t="s">
        <v>155</v>
      </c>
      <c r="E42" s="83" t="s">
        <v>156</v>
      </c>
      <c r="F42" s="83" t="s">
        <v>1109</v>
      </c>
      <c r="G42" s="318" t="s">
        <v>155</v>
      </c>
      <c r="H42" s="355" t="s">
        <v>1285</v>
      </c>
      <c r="I42" s="318" t="s">
        <v>1111</v>
      </c>
      <c r="J42" s="318" t="s">
        <v>2171</v>
      </c>
      <c r="K42" s="319"/>
      <c r="L42" s="83">
        <v>15</v>
      </c>
      <c r="M42" s="320"/>
      <c r="N42" s="355"/>
      <c r="O42" s="321"/>
      <c r="P42" s="83">
        <v>100</v>
      </c>
      <c r="Q42" s="318">
        <v>769.06</v>
      </c>
      <c r="R42" s="397">
        <v>0.27300000000000002</v>
      </c>
      <c r="S42" s="318">
        <v>8.9047195013357075E-2</v>
      </c>
      <c r="T42" s="318">
        <v>431.03448275862064</v>
      </c>
      <c r="U42" s="356" t="s">
        <v>154</v>
      </c>
      <c r="V42" s="310" t="s">
        <v>947</v>
      </c>
      <c r="W42" s="318"/>
      <c r="X42" s="318" t="s">
        <v>1002</v>
      </c>
      <c r="Y42" s="318" t="s">
        <v>1032</v>
      </c>
      <c r="Z42" s="318"/>
      <c r="AA42" s="322">
        <v>156</v>
      </c>
      <c r="AB42" s="355">
        <v>1</v>
      </c>
      <c r="AC42" s="83" t="s">
        <v>1112</v>
      </c>
      <c r="AD42" s="83" t="s">
        <v>1111</v>
      </c>
      <c r="AE42" s="318"/>
      <c r="AF42" s="318"/>
      <c r="AG42" s="318"/>
      <c r="AH42" s="9" t="s">
        <v>1109</v>
      </c>
      <c r="AI42" s="318"/>
      <c r="AJ42" s="83"/>
      <c r="AK42" s="83">
        <v>9999</v>
      </c>
      <c r="AL42" s="318">
        <v>1000</v>
      </c>
      <c r="AM42" s="318">
        <v>9</v>
      </c>
    </row>
    <row r="43" spans="1:39">
      <c r="A43" s="384"/>
      <c r="B43" s="319"/>
      <c r="C43" s="318"/>
      <c r="D43" s="318"/>
      <c r="E43" s="318"/>
      <c r="F43" s="318"/>
      <c r="G43" s="318"/>
      <c r="H43" s="385"/>
      <c r="I43" s="318"/>
      <c r="J43" s="318"/>
      <c r="K43" s="319"/>
      <c r="L43" s="318"/>
      <c r="M43" s="320"/>
      <c r="N43" s="385"/>
      <c r="O43" s="321"/>
      <c r="P43" s="321"/>
      <c r="Q43" s="318"/>
      <c r="R43" s="398"/>
      <c r="S43" s="321"/>
      <c r="T43" s="318"/>
      <c r="U43" s="385"/>
      <c r="V43" s="318"/>
      <c r="W43" s="318"/>
      <c r="X43" s="318"/>
      <c r="Y43" s="318"/>
      <c r="Z43" s="318"/>
      <c r="AA43" s="386"/>
      <c r="AB43" s="385"/>
      <c r="AC43" s="318"/>
      <c r="AD43" s="318"/>
      <c r="AE43" s="318"/>
      <c r="AF43" s="318"/>
      <c r="AG43" s="318"/>
      <c r="AH43" s="318"/>
      <c r="AI43" s="318"/>
      <c r="AJ43" s="318"/>
      <c r="AK43" s="318"/>
      <c r="AL43" s="318"/>
      <c r="AM43" s="318"/>
    </row>
    <row r="44" spans="1:39" ht="12.75" customHeight="1">
      <c r="A44" s="351"/>
      <c r="B44" s="319"/>
      <c r="C44" s="318"/>
      <c r="D44" s="318"/>
      <c r="E44" s="318"/>
      <c r="F44" s="318"/>
      <c r="G44" s="318"/>
      <c r="H44" s="318"/>
      <c r="I44" s="318"/>
      <c r="J44" s="318"/>
      <c r="K44" s="319"/>
      <c r="L44" s="318"/>
      <c r="M44" s="320"/>
      <c r="N44" s="318"/>
      <c r="O44" s="321"/>
      <c r="P44" s="321"/>
      <c r="Q44" s="318"/>
      <c r="R44" s="398"/>
      <c r="S44" s="318"/>
      <c r="T44" s="318"/>
      <c r="U44" s="318"/>
      <c r="V44" s="318"/>
      <c r="W44" s="318"/>
      <c r="X44" s="318"/>
      <c r="Y44" s="318"/>
      <c r="Z44" s="318"/>
      <c r="AA44" s="318"/>
      <c r="AB44" s="318"/>
      <c r="AC44" s="318"/>
      <c r="AD44" s="318"/>
      <c r="AE44" s="318"/>
      <c r="AF44" s="318"/>
      <c r="AG44" s="318"/>
      <c r="AH44" s="318"/>
      <c r="AI44" s="318"/>
      <c r="AJ44" s="324"/>
      <c r="AK44" s="318"/>
      <c r="AL44" s="318"/>
      <c r="AM44" s="318"/>
    </row>
    <row r="45" spans="1:39" ht="12.75" customHeight="1">
      <c r="O45" s="313"/>
      <c r="P45" s="313"/>
      <c r="R45" s="399"/>
    </row>
    <row r="46" spans="1:39" ht="12.75" customHeight="1">
      <c r="A46" s="352" t="s">
        <v>852</v>
      </c>
      <c r="B46" s="326" t="s">
        <v>853</v>
      </c>
      <c r="C46" s="314" t="s">
        <v>854</v>
      </c>
      <c r="D46" s="314" t="s">
        <v>855</v>
      </c>
      <c r="E46" s="314" t="s">
        <v>856</v>
      </c>
      <c r="F46" s="314" t="s">
        <v>144</v>
      </c>
      <c r="G46" s="314" t="s">
        <v>857</v>
      </c>
      <c r="H46" s="314" t="s">
        <v>858</v>
      </c>
      <c r="I46" s="314" t="s">
        <v>145</v>
      </c>
      <c r="J46" s="374" t="s">
        <v>1454</v>
      </c>
      <c r="K46" s="326" t="s">
        <v>859</v>
      </c>
      <c r="L46" s="314" t="s">
        <v>148</v>
      </c>
      <c r="M46" s="327" t="s">
        <v>860</v>
      </c>
      <c r="N46" s="314" t="s">
        <v>153</v>
      </c>
      <c r="O46" s="314" t="s">
        <v>687</v>
      </c>
      <c r="P46" s="314" t="s">
        <v>147</v>
      </c>
      <c r="Q46" s="314" t="s">
        <v>150</v>
      </c>
      <c r="R46" s="400" t="s">
        <v>861</v>
      </c>
      <c r="S46" s="314" t="s">
        <v>862</v>
      </c>
      <c r="T46" s="314" t="s">
        <v>863</v>
      </c>
      <c r="U46" s="314" t="s">
        <v>142</v>
      </c>
      <c r="V46" s="314" t="s">
        <v>0</v>
      </c>
      <c r="W46" s="314" t="s">
        <v>864</v>
      </c>
      <c r="X46" s="314" t="s">
        <v>489</v>
      </c>
      <c r="Y46" s="314" t="s">
        <v>152</v>
      </c>
      <c r="Z46" s="314" t="s">
        <v>817</v>
      </c>
      <c r="AA46" s="314" t="s">
        <v>151</v>
      </c>
      <c r="AB46" s="314" t="s">
        <v>865</v>
      </c>
      <c r="AC46" s="314" t="s">
        <v>100</v>
      </c>
      <c r="AD46" s="314" t="s">
        <v>169</v>
      </c>
      <c r="AE46" s="314" t="s">
        <v>170</v>
      </c>
      <c r="AF46" s="314" t="s">
        <v>173</v>
      </c>
      <c r="AG46" s="314" t="s">
        <v>220</v>
      </c>
      <c r="AH46" s="314" t="s">
        <v>171</v>
      </c>
      <c r="AI46" s="314" t="s">
        <v>172</v>
      </c>
      <c r="AJ46" s="314" t="s">
        <v>174</v>
      </c>
      <c r="AK46" s="314" t="s">
        <v>188</v>
      </c>
      <c r="AL46" s="314"/>
      <c r="AM46" s="314"/>
    </row>
    <row r="47" spans="1:39" ht="12.75" customHeight="1">
      <c r="A47" s="349">
        <v>810503</v>
      </c>
      <c r="B47" s="310" t="s">
        <v>1795</v>
      </c>
      <c r="C47" s="310" t="s">
        <v>1791</v>
      </c>
      <c r="D47" s="310" t="s">
        <v>155</v>
      </c>
      <c r="E47" s="310" t="s">
        <v>1010</v>
      </c>
      <c r="F47" s="310" t="s">
        <v>1791</v>
      </c>
      <c r="G47" s="310" t="s">
        <v>155</v>
      </c>
      <c r="H47" s="310" t="s">
        <v>1010</v>
      </c>
      <c r="I47" s="310" t="s">
        <v>1063</v>
      </c>
      <c r="J47" s="318" t="s">
        <v>2171</v>
      </c>
      <c r="K47" s="310" t="s">
        <v>2244</v>
      </c>
      <c r="L47" s="357">
        <v>10</v>
      </c>
      <c r="O47" s="313"/>
      <c r="P47" s="310">
        <v>0.2</v>
      </c>
      <c r="Q47" s="310">
        <v>1.02</v>
      </c>
      <c r="R47" s="399">
        <v>1E-3</v>
      </c>
      <c r="S47" s="310">
        <v>0.19607843137254902</v>
      </c>
      <c r="T47" s="310">
        <v>200</v>
      </c>
      <c r="U47" s="356" t="s">
        <v>154</v>
      </c>
      <c r="V47" s="310" t="s">
        <v>947</v>
      </c>
      <c r="X47" s="310" t="s">
        <v>1002</v>
      </c>
      <c r="Y47" s="310" t="s">
        <v>1032</v>
      </c>
      <c r="AA47" s="329">
        <v>0.27</v>
      </c>
      <c r="AB47" s="356">
        <v>2</v>
      </c>
      <c r="AC47" s="310" t="s">
        <v>101</v>
      </c>
      <c r="AD47" s="506" t="s">
        <v>1076</v>
      </c>
      <c r="AF47" s="83"/>
      <c r="AH47" s="374" t="s">
        <v>1791</v>
      </c>
      <c r="AI47" s="310">
        <v>0.28000000000000003</v>
      </c>
      <c r="AJ47" s="83"/>
      <c r="AK47" s="83"/>
    </row>
    <row r="48" spans="1:39" ht="12.75" customHeight="1">
      <c r="A48" s="56">
        <v>810507</v>
      </c>
      <c r="B48" s="310" t="s">
        <v>2140</v>
      </c>
      <c r="C48" s="83" t="s">
        <v>1792</v>
      </c>
      <c r="D48" s="310" t="s">
        <v>155</v>
      </c>
      <c r="E48" s="310" t="s">
        <v>1010</v>
      </c>
      <c r="F48" s="83" t="s">
        <v>1792</v>
      </c>
      <c r="G48" s="310" t="s">
        <v>155</v>
      </c>
      <c r="H48" s="310" t="s">
        <v>1010</v>
      </c>
      <c r="I48" s="310" t="s">
        <v>1063</v>
      </c>
      <c r="J48" s="318" t="s">
        <v>2171</v>
      </c>
      <c r="K48" s="310" t="s">
        <v>2244</v>
      </c>
      <c r="L48" s="357">
        <v>10</v>
      </c>
      <c r="N48" s="83"/>
      <c r="O48" s="313"/>
      <c r="P48" s="310">
        <v>0.25</v>
      </c>
      <c r="Q48" s="310">
        <v>1.39</v>
      </c>
      <c r="R48" s="399">
        <v>1E-3</v>
      </c>
      <c r="S48" s="310">
        <v>0.17985611510791369</v>
      </c>
      <c r="T48" s="310">
        <v>250</v>
      </c>
      <c r="U48" s="356" t="s">
        <v>154</v>
      </c>
      <c r="V48" s="310" t="s">
        <v>947</v>
      </c>
      <c r="X48" s="310" t="s">
        <v>1002</v>
      </c>
      <c r="Y48" s="310" t="s">
        <v>1032</v>
      </c>
      <c r="AA48" s="329">
        <v>1.01</v>
      </c>
      <c r="AB48" s="355">
        <v>1</v>
      </c>
      <c r="AC48" s="310" t="s">
        <v>101</v>
      </c>
      <c r="AD48" s="506" t="s">
        <v>1076</v>
      </c>
      <c r="AF48" s="315"/>
      <c r="AH48" s="374" t="s">
        <v>1792</v>
      </c>
      <c r="AI48" s="83">
        <v>0.38</v>
      </c>
      <c r="AJ48" s="330"/>
      <c r="AK48" s="330"/>
    </row>
    <row r="49" spans="1:74" ht="12.75" customHeight="1">
      <c r="A49" s="350">
        <v>810506</v>
      </c>
      <c r="B49" s="310" t="s">
        <v>1797</v>
      </c>
      <c r="C49" s="83" t="s">
        <v>1794</v>
      </c>
      <c r="D49" s="310" t="s">
        <v>155</v>
      </c>
      <c r="E49" s="310" t="s">
        <v>1010</v>
      </c>
      <c r="F49" s="83" t="s">
        <v>1794</v>
      </c>
      <c r="G49" s="310" t="s">
        <v>155</v>
      </c>
      <c r="H49" s="310" t="s">
        <v>1010</v>
      </c>
      <c r="I49" s="310" t="s">
        <v>1063</v>
      </c>
      <c r="J49" s="318" t="s">
        <v>2171</v>
      </c>
      <c r="K49" s="310" t="s">
        <v>2244</v>
      </c>
      <c r="L49" s="357">
        <v>10</v>
      </c>
      <c r="N49" s="83"/>
      <c r="O49" s="313"/>
      <c r="P49" s="329">
        <v>9.240000000000001E-2</v>
      </c>
      <c r="Q49" s="310">
        <v>1.76</v>
      </c>
      <c r="R49" s="399">
        <v>0</v>
      </c>
      <c r="S49" s="310">
        <v>5.2500000000000005E-2</v>
      </c>
      <c r="T49" s="310">
        <v>0</v>
      </c>
      <c r="U49" s="356" t="s">
        <v>154</v>
      </c>
      <c r="V49" s="310" t="s">
        <v>947</v>
      </c>
      <c r="X49" s="310" t="s">
        <v>1002</v>
      </c>
      <c r="Y49" s="310" t="s">
        <v>1032</v>
      </c>
      <c r="AA49" s="329">
        <v>0.95000000000000007</v>
      </c>
      <c r="AB49" s="355">
        <v>1</v>
      </c>
      <c r="AC49" s="310" t="s">
        <v>101</v>
      </c>
      <c r="AD49" s="506" t="s">
        <v>1076</v>
      </c>
      <c r="AF49" s="83"/>
      <c r="AH49" s="374" t="s">
        <v>1794</v>
      </c>
      <c r="AI49" s="83">
        <v>0.41</v>
      </c>
      <c r="AJ49" s="83"/>
      <c r="AK49" s="83"/>
    </row>
    <row r="50" spans="1:74" ht="12.75" customHeight="1">
      <c r="A50" s="499">
        <v>810505</v>
      </c>
      <c r="B50" s="310" t="s">
        <v>1796</v>
      </c>
      <c r="C50" s="501" t="s">
        <v>1793</v>
      </c>
      <c r="D50" s="501" t="s">
        <v>155</v>
      </c>
      <c r="E50" s="501" t="s">
        <v>1010</v>
      </c>
      <c r="F50" s="501" t="s">
        <v>1793</v>
      </c>
      <c r="G50" s="501" t="s">
        <v>155</v>
      </c>
      <c r="H50" s="501" t="s">
        <v>1010</v>
      </c>
      <c r="I50" s="310" t="s">
        <v>1063</v>
      </c>
      <c r="J50" s="318" t="s">
        <v>2171</v>
      </c>
      <c r="K50" s="310" t="s">
        <v>2244</v>
      </c>
      <c r="L50" s="357">
        <v>10</v>
      </c>
      <c r="M50" s="502"/>
      <c r="N50" s="501"/>
      <c r="O50" s="503"/>
      <c r="P50" s="310">
        <v>0.13</v>
      </c>
      <c r="Q50" s="310">
        <v>0.88</v>
      </c>
      <c r="R50" s="399">
        <v>1E-3</v>
      </c>
      <c r="S50" s="501">
        <v>0.14772727272727273</v>
      </c>
      <c r="T50" s="310">
        <v>130</v>
      </c>
      <c r="U50" s="505" t="s">
        <v>154</v>
      </c>
      <c r="V50" s="501" t="s">
        <v>947</v>
      </c>
      <c r="W50" s="501"/>
      <c r="X50" s="501" t="s">
        <v>1002</v>
      </c>
      <c r="Y50" s="310" t="s">
        <v>1032</v>
      </c>
      <c r="Z50" s="501"/>
      <c r="AA50" s="329">
        <v>0.65</v>
      </c>
      <c r="AB50" s="505">
        <v>1</v>
      </c>
      <c r="AC50" s="310" t="s">
        <v>101</v>
      </c>
      <c r="AD50" s="506" t="s">
        <v>1076</v>
      </c>
      <c r="AE50" s="501"/>
      <c r="AF50" s="507"/>
      <c r="AG50" s="501"/>
      <c r="AH50" s="374" t="s">
        <v>2393</v>
      </c>
      <c r="AI50" s="508">
        <v>0.24</v>
      </c>
      <c r="AJ50" s="506"/>
      <c r="AK50" s="506"/>
    </row>
    <row r="51" spans="1:74" ht="12.75" customHeight="1">
      <c r="I51" s="311"/>
      <c r="K51" s="310"/>
      <c r="L51" s="328"/>
      <c r="O51" s="313"/>
      <c r="R51" s="399"/>
      <c r="AL51" s="315"/>
    </row>
    <row r="52" spans="1:74" ht="12.75" customHeight="1">
      <c r="O52" s="313"/>
      <c r="P52" s="313"/>
      <c r="R52" s="399"/>
      <c r="AK52" s="315"/>
    </row>
    <row r="53" spans="1:74" ht="12.75" customHeight="1">
      <c r="A53" s="349" t="s">
        <v>852</v>
      </c>
      <c r="B53" s="310" t="s">
        <v>853</v>
      </c>
      <c r="C53" s="310" t="s">
        <v>854</v>
      </c>
      <c r="D53" s="310" t="s">
        <v>855</v>
      </c>
      <c r="E53" s="310" t="s">
        <v>856</v>
      </c>
      <c r="F53" s="310" t="s">
        <v>144</v>
      </c>
      <c r="G53" s="310" t="s">
        <v>857</v>
      </c>
      <c r="H53" s="310" t="s">
        <v>858</v>
      </c>
      <c r="I53" s="310" t="s">
        <v>145</v>
      </c>
      <c r="J53" s="374" t="s">
        <v>1454</v>
      </c>
      <c r="K53" s="311" t="s">
        <v>859</v>
      </c>
      <c r="L53" s="310" t="s">
        <v>148</v>
      </c>
      <c r="M53" s="312" t="s">
        <v>860</v>
      </c>
      <c r="N53" s="310" t="s">
        <v>153</v>
      </c>
      <c r="O53" s="310" t="s">
        <v>687</v>
      </c>
      <c r="P53" s="310" t="s">
        <v>147</v>
      </c>
      <c r="Q53" s="310" t="s">
        <v>150</v>
      </c>
      <c r="R53" s="399" t="s">
        <v>861</v>
      </c>
      <c r="S53" s="310" t="s">
        <v>862</v>
      </c>
      <c r="T53" s="310" t="s">
        <v>863</v>
      </c>
      <c r="U53" s="310" t="s">
        <v>142</v>
      </c>
      <c r="V53" s="310" t="s">
        <v>0</v>
      </c>
      <c r="W53" s="310" t="s">
        <v>864</v>
      </c>
      <c r="X53" s="310" t="s">
        <v>489</v>
      </c>
      <c r="Y53" s="310" t="s">
        <v>152</v>
      </c>
      <c r="Z53" s="310" t="s">
        <v>817</v>
      </c>
      <c r="AA53" s="310" t="s">
        <v>151</v>
      </c>
      <c r="AB53" s="310" t="s">
        <v>865</v>
      </c>
      <c r="AC53" s="310" t="s">
        <v>100</v>
      </c>
      <c r="AD53" s="315" t="s">
        <v>169</v>
      </c>
      <c r="AE53" s="315" t="s">
        <v>170</v>
      </c>
      <c r="AF53" s="315" t="s">
        <v>173</v>
      </c>
      <c r="AG53" s="315" t="s">
        <v>220</v>
      </c>
      <c r="AH53" s="315" t="s">
        <v>171</v>
      </c>
      <c r="AI53" s="315" t="s">
        <v>172</v>
      </c>
      <c r="AJ53" s="315" t="s">
        <v>174</v>
      </c>
      <c r="AK53" s="315" t="s">
        <v>188</v>
      </c>
    </row>
    <row r="54" spans="1:74" ht="12.75" customHeight="1">
      <c r="A54" s="56">
        <v>830849</v>
      </c>
      <c r="B54" s="83" t="s">
        <v>2245</v>
      </c>
      <c r="C54" s="325" t="s">
        <v>1126</v>
      </c>
      <c r="D54" s="325" t="s">
        <v>162</v>
      </c>
      <c r="E54" s="325" t="s">
        <v>1010</v>
      </c>
      <c r="F54" s="325" t="s">
        <v>999</v>
      </c>
      <c r="G54" s="325" t="s">
        <v>162</v>
      </c>
      <c r="H54" s="325" t="s">
        <v>1010</v>
      </c>
      <c r="I54" s="325" t="s">
        <v>1076</v>
      </c>
      <c r="J54" s="318" t="s">
        <v>2171</v>
      </c>
      <c r="K54" s="83" t="s">
        <v>2192</v>
      </c>
      <c r="L54" s="332">
        <v>12</v>
      </c>
      <c r="M54" s="83"/>
      <c r="N54" s="359"/>
      <c r="O54" s="83"/>
      <c r="P54" s="333">
        <v>45</v>
      </c>
      <c r="Q54" s="334">
        <v>920.47</v>
      </c>
      <c r="R54" s="445">
        <v>1.4E-2</v>
      </c>
      <c r="S54" s="83">
        <v>4.8888068052190724E-2</v>
      </c>
      <c r="T54" s="83">
        <v>3214.2857142857142</v>
      </c>
      <c r="U54" s="356" t="s">
        <v>154</v>
      </c>
      <c r="V54" s="310" t="s">
        <v>947</v>
      </c>
      <c r="X54" s="83" t="s">
        <v>1002</v>
      </c>
      <c r="Y54" s="310" t="s">
        <v>1032</v>
      </c>
      <c r="AA54" s="333">
        <v>68.78</v>
      </c>
      <c r="AB54" s="358">
        <v>1</v>
      </c>
      <c r="AC54" s="325" t="s">
        <v>954</v>
      </c>
      <c r="AD54" s="325" t="s">
        <v>1076</v>
      </c>
      <c r="AH54" s="325" t="s">
        <v>999</v>
      </c>
      <c r="AI54" s="325"/>
      <c r="AT54" s="310" t="s">
        <v>1004</v>
      </c>
      <c r="AU54" s="310" t="s">
        <v>1006</v>
      </c>
      <c r="AV54" s="310" t="s">
        <v>164</v>
      </c>
      <c r="AW54" s="310" t="s">
        <v>1007</v>
      </c>
      <c r="AX54" s="310" t="s">
        <v>1004</v>
      </c>
      <c r="AY54" s="310" t="s">
        <v>1001</v>
      </c>
      <c r="AZ54" s="310">
        <v>15</v>
      </c>
      <c r="BD54" s="310">
        <v>12.5</v>
      </c>
      <c r="BE54" s="310">
        <v>1346.64</v>
      </c>
      <c r="BF54" s="310">
        <v>0.51100000000000001</v>
      </c>
      <c r="BJ54" s="310" t="s">
        <v>1000</v>
      </c>
      <c r="BL54" s="310" t="s">
        <v>1002</v>
      </c>
      <c r="BM54" s="310" t="s">
        <v>1032</v>
      </c>
      <c r="BO54" s="310">
        <v>14</v>
      </c>
      <c r="BQ54" s="310" t="s">
        <v>1005</v>
      </c>
      <c r="BR54" s="310" t="s">
        <v>1007</v>
      </c>
      <c r="BV54" s="310" t="s">
        <v>1004</v>
      </c>
    </row>
    <row r="55" spans="1:74" ht="12.75" customHeight="1">
      <c r="A55" s="56">
        <v>830850</v>
      </c>
      <c r="B55" s="83" t="s">
        <v>2246</v>
      </c>
      <c r="C55" s="325" t="s">
        <v>1127</v>
      </c>
      <c r="D55" s="325" t="s">
        <v>162</v>
      </c>
      <c r="E55" s="325" t="s">
        <v>1010</v>
      </c>
      <c r="F55" s="325" t="s">
        <v>1003</v>
      </c>
      <c r="G55" s="325" t="s">
        <v>162</v>
      </c>
      <c r="H55" s="325" t="s">
        <v>1010</v>
      </c>
      <c r="I55" s="325" t="s">
        <v>1076</v>
      </c>
      <c r="J55" s="318" t="s">
        <v>2171</v>
      </c>
      <c r="K55" s="83" t="s">
        <v>2192</v>
      </c>
      <c r="L55" s="332">
        <v>12</v>
      </c>
      <c r="M55" s="83"/>
      <c r="N55" s="359"/>
      <c r="O55" s="83"/>
      <c r="P55" s="333">
        <v>50</v>
      </c>
      <c r="Q55" s="334">
        <v>1189.2</v>
      </c>
      <c r="R55" s="397">
        <v>2.9000000000000001E-2</v>
      </c>
      <c r="S55" s="83">
        <v>4.2045072317524385E-2</v>
      </c>
      <c r="T55" s="83">
        <v>1724.1379310344826</v>
      </c>
      <c r="U55" s="356" t="s">
        <v>154</v>
      </c>
      <c r="V55" s="310" t="s">
        <v>947</v>
      </c>
      <c r="X55" s="83" t="s">
        <v>1002</v>
      </c>
      <c r="Y55" s="310" t="s">
        <v>1032</v>
      </c>
      <c r="AA55" s="333">
        <v>68.78</v>
      </c>
      <c r="AB55" s="358">
        <v>1</v>
      </c>
      <c r="AC55" s="325" t="s">
        <v>954</v>
      </c>
      <c r="AD55" s="325" t="s">
        <v>1076</v>
      </c>
      <c r="AH55" s="325" t="s">
        <v>1003</v>
      </c>
      <c r="AI55" s="325"/>
      <c r="AT55" s="310" t="s">
        <v>1008</v>
      </c>
      <c r="AU55" s="310" t="s">
        <v>1009</v>
      </c>
      <c r="AV55" s="310" t="s">
        <v>164</v>
      </c>
      <c r="AW55" s="310" t="s">
        <v>1007</v>
      </c>
      <c r="AX55" s="310" t="s">
        <v>1008</v>
      </c>
      <c r="AY55" s="310" t="s">
        <v>1001</v>
      </c>
      <c r="AZ55" s="310">
        <v>15</v>
      </c>
      <c r="BD55" s="310">
        <v>12.5</v>
      </c>
      <c r="BE55" s="310">
        <v>429.78</v>
      </c>
      <c r="BF55" s="310">
        <v>0.16300000000000001</v>
      </c>
      <c r="BJ55" s="310" t="s">
        <v>1000</v>
      </c>
      <c r="BL55" s="310" t="s">
        <v>1002</v>
      </c>
      <c r="BM55" s="310" t="s">
        <v>1032</v>
      </c>
      <c r="BO55" s="310">
        <v>14</v>
      </c>
      <c r="BQ55" s="310" t="s">
        <v>1005</v>
      </c>
      <c r="BR55" s="310" t="s">
        <v>1007</v>
      </c>
      <c r="BV55" s="310" t="s">
        <v>1008</v>
      </c>
    </row>
    <row r="56" spans="1:74" ht="12.75" customHeight="1">
      <c r="A56" s="516">
        <v>830857</v>
      </c>
      <c r="B56" s="469" t="s">
        <v>2288</v>
      </c>
      <c r="C56" s="83" t="s">
        <v>2289</v>
      </c>
      <c r="D56" s="587"/>
      <c r="E56" s="83" t="s">
        <v>162</v>
      </c>
      <c r="F56" s="83" t="s">
        <v>2289</v>
      </c>
      <c r="G56" s="469" t="s">
        <v>162</v>
      </c>
      <c r="H56" s="374" t="s">
        <v>162</v>
      </c>
      <c r="I56" s="83" t="s">
        <v>2290</v>
      </c>
      <c r="J56" s="318" t="s">
        <v>2171</v>
      </c>
      <c r="K56" s="83" t="s">
        <v>2192</v>
      </c>
      <c r="L56" s="332">
        <v>8</v>
      </c>
      <c r="M56" s="518"/>
      <c r="N56" s="589"/>
      <c r="O56" s="519"/>
      <c r="P56" s="333">
        <v>110</v>
      </c>
      <c r="Q56" s="334">
        <v>2399</v>
      </c>
      <c r="R56" s="397">
        <v>0.621</v>
      </c>
      <c r="S56" s="83">
        <v>4.5852438516048352E-2</v>
      </c>
      <c r="T56" s="83">
        <v>177.13365539452496</v>
      </c>
      <c r="U56" s="356" t="s">
        <v>154</v>
      </c>
      <c r="V56" s="310" t="s">
        <v>947</v>
      </c>
      <c r="W56" s="374"/>
      <c r="X56" s="83" t="s">
        <v>1002</v>
      </c>
      <c r="Y56" s="310" t="s">
        <v>1032</v>
      </c>
      <c r="Z56" s="374"/>
      <c r="AA56" s="333">
        <v>502</v>
      </c>
      <c r="AB56" s="591">
        <v>1</v>
      </c>
      <c r="AC56" s="83" t="s">
        <v>954</v>
      </c>
      <c r="AD56" s="83" t="s">
        <v>2290</v>
      </c>
      <c r="AE56" s="374"/>
      <c r="AF56" s="374"/>
      <c r="AG56" s="374"/>
      <c r="AH56" s="83" t="s">
        <v>2289</v>
      </c>
      <c r="AI56" s="587"/>
      <c r="AJ56" s="374"/>
      <c r="AK56" s="374"/>
      <c r="AT56" s="310" t="s">
        <v>1016</v>
      </c>
      <c r="AU56" s="310" t="s">
        <v>160</v>
      </c>
      <c r="AV56" s="310" t="s">
        <v>955</v>
      </c>
      <c r="AW56" s="310" t="s">
        <v>1017</v>
      </c>
      <c r="AX56" s="310" t="s">
        <v>1016</v>
      </c>
      <c r="AY56" s="310" t="s">
        <v>1018</v>
      </c>
      <c r="AZ56" s="310">
        <v>20</v>
      </c>
      <c r="BD56" s="310">
        <v>70</v>
      </c>
      <c r="BE56" s="310">
        <v>720</v>
      </c>
      <c r="BF56" s="310">
        <v>7.0000000000000007E-2</v>
      </c>
      <c r="BJ56" s="310" t="s">
        <v>1000</v>
      </c>
      <c r="BL56" s="310" t="s">
        <v>1002</v>
      </c>
      <c r="BM56" s="310" t="s">
        <v>1032</v>
      </c>
      <c r="BO56" s="310">
        <v>250</v>
      </c>
      <c r="BQ56" s="310" t="s">
        <v>955</v>
      </c>
      <c r="BR56" s="310" t="s">
        <v>1017</v>
      </c>
      <c r="BV56" s="310" t="s">
        <v>1016</v>
      </c>
    </row>
    <row r="57" spans="1:74" ht="12.75" customHeight="1">
      <c r="A57" s="516">
        <v>830858</v>
      </c>
      <c r="B57" s="469" t="s">
        <v>2291</v>
      </c>
      <c r="C57" s="83" t="s">
        <v>2292</v>
      </c>
      <c r="D57" s="587" t="s">
        <v>162</v>
      </c>
      <c r="E57" s="83" t="s">
        <v>162</v>
      </c>
      <c r="F57" s="83" t="s">
        <v>2292</v>
      </c>
      <c r="G57" s="374" t="s">
        <v>162</v>
      </c>
      <c r="H57" s="374" t="s">
        <v>162</v>
      </c>
      <c r="I57" s="83" t="s">
        <v>2290</v>
      </c>
      <c r="J57" s="318" t="s">
        <v>2171</v>
      </c>
      <c r="K57" s="83" t="s">
        <v>2192</v>
      </c>
      <c r="L57" s="332">
        <v>8</v>
      </c>
      <c r="M57" s="518"/>
      <c r="N57" s="589"/>
      <c r="O57" s="519"/>
      <c r="P57" s="333">
        <v>130</v>
      </c>
      <c r="Q57" s="334">
        <v>6949</v>
      </c>
      <c r="R57" s="397">
        <v>1.3</v>
      </c>
      <c r="S57" s="374">
        <v>1.870772773060872E-2</v>
      </c>
      <c r="T57" s="83">
        <v>100</v>
      </c>
      <c r="U57" s="374" t="s">
        <v>154</v>
      </c>
      <c r="V57" s="374" t="s">
        <v>947</v>
      </c>
      <c r="W57" s="374"/>
      <c r="X57" s="374" t="s">
        <v>1002</v>
      </c>
      <c r="Y57" s="374" t="s">
        <v>1032</v>
      </c>
      <c r="Z57" s="374"/>
      <c r="AA57" s="333">
        <v>502</v>
      </c>
      <c r="AB57" s="591">
        <v>1</v>
      </c>
      <c r="AC57" s="83" t="s">
        <v>954</v>
      </c>
      <c r="AD57" s="83" t="s">
        <v>2290</v>
      </c>
      <c r="AE57" s="374"/>
      <c r="AF57" s="374"/>
      <c r="AG57" s="374"/>
      <c r="AH57" s="83" t="s">
        <v>2292</v>
      </c>
      <c r="AI57" s="587"/>
      <c r="AJ57" s="374"/>
      <c r="AK57" s="374"/>
      <c r="AT57" s="310" t="s">
        <v>960</v>
      </c>
      <c r="AU57" s="310" t="s">
        <v>1025</v>
      </c>
      <c r="AV57" s="310" t="s">
        <v>955</v>
      </c>
      <c r="AW57" s="310" t="s">
        <v>1011</v>
      </c>
      <c r="AX57" s="310" t="s">
        <v>960</v>
      </c>
      <c r="AY57" s="310" t="s">
        <v>1001</v>
      </c>
      <c r="AZ57" s="310">
        <v>15</v>
      </c>
      <c r="BD57" s="310">
        <v>75</v>
      </c>
      <c r="BE57" s="310">
        <v>4100</v>
      </c>
      <c r="BF57" s="310">
        <v>0.159</v>
      </c>
      <c r="BJ57" s="310" t="s">
        <v>1000</v>
      </c>
      <c r="BL57" s="310" t="s">
        <v>1002</v>
      </c>
      <c r="BM57" s="310" t="s">
        <v>1032</v>
      </c>
      <c r="BO57" s="310">
        <v>203</v>
      </c>
      <c r="BQ57" s="310" t="s">
        <v>958</v>
      </c>
      <c r="BR57" s="310" t="s">
        <v>1011</v>
      </c>
      <c r="BV57" s="310" t="s">
        <v>960</v>
      </c>
    </row>
    <row r="58" spans="1:74" ht="12.75" customHeight="1">
      <c r="A58" s="578">
        <v>830851</v>
      </c>
      <c r="B58" s="579" t="s">
        <v>2156</v>
      </c>
      <c r="C58" s="579" t="s">
        <v>2157</v>
      </c>
      <c r="D58" s="579" t="s">
        <v>162</v>
      </c>
      <c r="E58" s="579" t="s">
        <v>1012</v>
      </c>
      <c r="F58" s="579" t="s">
        <v>2157</v>
      </c>
      <c r="G58" s="579" t="s">
        <v>162</v>
      </c>
      <c r="H58" s="579" t="s">
        <v>1012</v>
      </c>
      <c r="I58" s="579" t="s">
        <v>2158</v>
      </c>
      <c r="J58" s="318" t="s">
        <v>2171</v>
      </c>
      <c r="K58" s="83" t="s">
        <v>2192</v>
      </c>
      <c r="L58" s="332">
        <v>13</v>
      </c>
      <c r="M58" s="580"/>
      <c r="N58" s="581"/>
      <c r="O58" s="582"/>
      <c r="P58" s="333">
        <v>250</v>
      </c>
      <c r="Q58" s="334">
        <v>1879</v>
      </c>
      <c r="R58" s="583">
        <v>0.214</v>
      </c>
      <c r="S58" s="584">
        <v>8.8495575221238937E-2</v>
      </c>
      <c r="T58" s="83">
        <v>1168.2242990654206</v>
      </c>
      <c r="U58" s="584" t="s">
        <v>154</v>
      </c>
      <c r="V58" s="584" t="s">
        <v>947</v>
      </c>
      <c r="W58" s="584"/>
      <c r="X58" s="584" t="s">
        <v>1002</v>
      </c>
      <c r="Y58" s="584" t="s">
        <v>1032</v>
      </c>
      <c r="Z58" s="584"/>
      <c r="AA58" s="333">
        <v>466.34</v>
      </c>
      <c r="AB58" s="585">
        <v>1</v>
      </c>
      <c r="AC58" s="579" t="s">
        <v>955</v>
      </c>
      <c r="AD58" s="579" t="s">
        <v>2158</v>
      </c>
      <c r="AE58" s="584"/>
      <c r="AF58" s="584"/>
      <c r="AG58" s="584"/>
      <c r="AH58" s="579" t="s">
        <v>2157</v>
      </c>
      <c r="AI58" s="579"/>
      <c r="AJ58" s="584"/>
      <c r="AK58" s="584"/>
      <c r="AT58" s="310" t="s">
        <v>959</v>
      </c>
      <c r="AU58" s="310" t="s">
        <v>160</v>
      </c>
      <c r="AV58" s="310" t="s">
        <v>955</v>
      </c>
      <c r="AW58" s="310" t="s">
        <v>1011</v>
      </c>
      <c r="AX58" s="310" t="s">
        <v>959</v>
      </c>
      <c r="AY58" s="310" t="s">
        <v>1001</v>
      </c>
      <c r="AZ58" s="310">
        <v>15</v>
      </c>
      <c r="BD58" s="310">
        <v>75</v>
      </c>
      <c r="BE58" s="310">
        <v>1560</v>
      </c>
      <c r="BF58" s="310">
        <v>0.27500000000000002</v>
      </c>
      <c r="BJ58" s="310" t="s">
        <v>1000</v>
      </c>
      <c r="BL58" s="310" t="s">
        <v>1002</v>
      </c>
      <c r="BM58" s="310" t="s">
        <v>1032</v>
      </c>
      <c r="BO58" s="310">
        <v>203</v>
      </c>
      <c r="BQ58" s="310" t="s">
        <v>958</v>
      </c>
      <c r="BR58" s="310" t="s">
        <v>1011</v>
      </c>
      <c r="BV58" s="310" t="s">
        <v>959</v>
      </c>
    </row>
    <row r="59" spans="1:74" ht="12.75" customHeight="1">
      <c r="A59" s="56">
        <v>830828</v>
      </c>
      <c r="B59" s="325" t="s">
        <v>2117</v>
      </c>
      <c r="C59" s="325" t="s">
        <v>1124</v>
      </c>
      <c r="D59" s="325" t="s">
        <v>162</v>
      </c>
      <c r="E59" s="325" t="s">
        <v>1012</v>
      </c>
      <c r="F59" s="325" t="s">
        <v>1134</v>
      </c>
      <c r="G59" s="325" t="s">
        <v>162</v>
      </c>
      <c r="H59" s="325" t="s">
        <v>1012</v>
      </c>
      <c r="I59" s="325" t="s">
        <v>1136</v>
      </c>
      <c r="J59" s="318" t="s">
        <v>2171</v>
      </c>
      <c r="K59" s="83" t="s">
        <v>2192</v>
      </c>
      <c r="L59" s="332">
        <v>15</v>
      </c>
      <c r="M59" s="83"/>
      <c r="N59" s="359"/>
      <c r="O59" s="83"/>
      <c r="P59" s="333">
        <v>100</v>
      </c>
      <c r="Q59" s="334">
        <v>1586</v>
      </c>
      <c r="R59" s="397">
        <v>0.18099999999999999</v>
      </c>
      <c r="S59" s="83">
        <v>6.3051702395964693E-2</v>
      </c>
      <c r="T59" s="83">
        <v>552.4861878453039</v>
      </c>
      <c r="U59" s="356" t="s">
        <v>154</v>
      </c>
      <c r="V59" s="310" t="s">
        <v>947</v>
      </c>
      <c r="X59" s="83" t="s">
        <v>1002</v>
      </c>
      <c r="Y59" s="310" t="s">
        <v>1032</v>
      </c>
      <c r="AA59" s="333">
        <v>304.58999999999997</v>
      </c>
      <c r="AB59" s="358">
        <v>1</v>
      </c>
      <c r="AC59" s="325" t="s">
        <v>955</v>
      </c>
      <c r="AD59" s="325" t="s">
        <v>1136</v>
      </c>
      <c r="AH59" s="325" t="s">
        <v>1134</v>
      </c>
      <c r="AI59" s="325"/>
      <c r="AT59" s="310" t="s">
        <v>957</v>
      </c>
      <c r="AU59" s="310" t="s">
        <v>1030</v>
      </c>
      <c r="AV59" s="310" t="s">
        <v>955</v>
      </c>
      <c r="AW59" s="310" t="s">
        <v>1031</v>
      </c>
      <c r="AX59" s="310" t="s">
        <v>957</v>
      </c>
      <c r="AY59" s="310" t="s">
        <v>1001</v>
      </c>
      <c r="AZ59" s="310">
        <v>15</v>
      </c>
      <c r="BD59" s="310">
        <v>75</v>
      </c>
      <c r="BE59" s="310">
        <v>1076</v>
      </c>
      <c r="BF59" s="310">
        <v>0.2286</v>
      </c>
      <c r="BJ59" s="310" t="s">
        <v>1000</v>
      </c>
      <c r="BL59" s="310" t="s">
        <v>1002</v>
      </c>
      <c r="BM59" s="310" t="s">
        <v>1032</v>
      </c>
      <c r="BO59" s="310">
        <v>116.77</v>
      </c>
      <c r="BQ59" s="310" t="s">
        <v>958</v>
      </c>
      <c r="BR59" s="310" t="s">
        <v>1031</v>
      </c>
      <c r="BV59" s="310" t="s">
        <v>957</v>
      </c>
    </row>
    <row r="60" spans="1:74" ht="12.75" customHeight="1">
      <c r="A60" s="56">
        <v>830827</v>
      </c>
      <c r="B60" s="325" t="s">
        <v>2118</v>
      </c>
      <c r="C60" s="325" t="s">
        <v>1125</v>
      </c>
      <c r="D60" s="325" t="s">
        <v>162</v>
      </c>
      <c r="E60" s="325" t="s">
        <v>1012</v>
      </c>
      <c r="F60" s="325" t="s">
        <v>1135</v>
      </c>
      <c r="G60" s="325" t="s">
        <v>162</v>
      </c>
      <c r="H60" s="325" t="s">
        <v>1012</v>
      </c>
      <c r="I60" s="325" t="s">
        <v>1136</v>
      </c>
      <c r="J60" s="318" t="s">
        <v>2171</v>
      </c>
      <c r="K60" s="83" t="s">
        <v>2192</v>
      </c>
      <c r="L60" s="332">
        <v>15</v>
      </c>
      <c r="M60" s="83"/>
      <c r="N60" s="359"/>
      <c r="O60" s="83"/>
      <c r="P60" s="333">
        <v>125</v>
      </c>
      <c r="Q60" s="334">
        <v>1586</v>
      </c>
      <c r="R60" s="397">
        <v>0.18099999999999999</v>
      </c>
      <c r="S60" s="83">
        <v>7.8814627994955866E-2</v>
      </c>
      <c r="T60" s="83">
        <v>690.60773480662988</v>
      </c>
      <c r="U60" s="356" t="s">
        <v>154</v>
      </c>
      <c r="V60" s="310" t="s">
        <v>947</v>
      </c>
      <c r="X60" s="83" t="s">
        <v>1002</v>
      </c>
      <c r="Y60" s="310" t="s">
        <v>1032</v>
      </c>
      <c r="AA60" s="333">
        <v>304.58999999999997</v>
      </c>
      <c r="AB60" s="358">
        <v>1</v>
      </c>
      <c r="AC60" s="325" t="s">
        <v>955</v>
      </c>
      <c r="AD60" s="325" t="s">
        <v>1136</v>
      </c>
      <c r="AH60" s="325" t="s">
        <v>1135</v>
      </c>
      <c r="AI60" s="325"/>
    </row>
    <row r="61" spans="1:74" ht="12.75" customHeight="1">
      <c r="A61" s="56">
        <v>830812</v>
      </c>
      <c r="B61" s="325" t="s">
        <v>2026</v>
      </c>
      <c r="C61" s="325" t="s">
        <v>1123</v>
      </c>
      <c r="D61" s="325" t="s">
        <v>162</v>
      </c>
      <c r="E61" s="325" t="s">
        <v>1128</v>
      </c>
      <c r="F61" s="325" t="s">
        <v>1133</v>
      </c>
      <c r="G61" s="325" t="s">
        <v>162</v>
      </c>
      <c r="H61" s="325" t="s">
        <v>1128</v>
      </c>
      <c r="I61" s="325" t="s">
        <v>1064</v>
      </c>
      <c r="J61" s="318" t="s">
        <v>2171</v>
      </c>
      <c r="K61" s="83" t="s">
        <v>2192</v>
      </c>
      <c r="L61" s="332">
        <v>9</v>
      </c>
      <c r="M61" s="83"/>
      <c r="N61" s="359"/>
      <c r="O61" s="83"/>
      <c r="P61" s="333">
        <v>70</v>
      </c>
      <c r="Q61" s="334">
        <v>1046.95</v>
      </c>
      <c r="R61" s="397">
        <v>0.19600000000000001</v>
      </c>
      <c r="S61" s="83">
        <v>6.6860881608481776E-2</v>
      </c>
      <c r="T61" s="83">
        <v>357.14285714285711</v>
      </c>
      <c r="U61" s="356" t="s">
        <v>154</v>
      </c>
      <c r="V61" s="310" t="s">
        <v>947</v>
      </c>
      <c r="X61" s="83" t="s">
        <v>1002</v>
      </c>
      <c r="Y61" s="310" t="s">
        <v>1032</v>
      </c>
      <c r="AA61" s="333">
        <v>200</v>
      </c>
      <c r="AB61" s="358">
        <v>1</v>
      </c>
      <c r="AC61" s="325" t="s">
        <v>956</v>
      </c>
      <c r="AD61" s="325" t="s">
        <v>1064</v>
      </c>
      <c r="AH61" s="57" t="s">
        <v>2076</v>
      </c>
      <c r="AI61" s="325"/>
    </row>
    <row r="62" spans="1:74" ht="12.75" customHeight="1">
      <c r="A62" s="56">
        <v>830811</v>
      </c>
      <c r="B62" s="325" t="s">
        <v>2027</v>
      </c>
      <c r="C62" s="325" t="s">
        <v>1122</v>
      </c>
      <c r="D62" s="325" t="s">
        <v>162</v>
      </c>
      <c r="E62" s="325" t="s">
        <v>1128</v>
      </c>
      <c r="F62" s="325" t="s">
        <v>1132</v>
      </c>
      <c r="G62" s="325" t="s">
        <v>162</v>
      </c>
      <c r="H62" s="325" t="s">
        <v>1128</v>
      </c>
      <c r="I62" s="325" t="s">
        <v>1064</v>
      </c>
      <c r="J62" s="318" t="s">
        <v>2171</v>
      </c>
      <c r="K62" s="83" t="s">
        <v>2192</v>
      </c>
      <c r="L62" s="332">
        <v>9</v>
      </c>
      <c r="M62" s="83"/>
      <c r="N62" s="359"/>
      <c r="O62" s="83"/>
      <c r="P62" s="333">
        <v>53</v>
      </c>
      <c r="Q62" s="334">
        <v>640.19000000000005</v>
      </c>
      <c r="R62" s="397">
        <v>0.12</v>
      </c>
      <c r="S62" s="83">
        <v>8.2787922335556624E-2</v>
      </c>
      <c r="T62" s="83">
        <v>441.66666666666669</v>
      </c>
      <c r="U62" s="356" t="s">
        <v>154</v>
      </c>
      <c r="V62" s="310" t="s">
        <v>947</v>
      </c>
      <c r="X62" s="83" t="s">
        <v>1002</v>
      </c>
      <c r="Y62" s="310" t="s">
        <v>1032</v>
      </c>
      <c r="AA62" s="333">
        <v>200</v>
      </c>
      <c r="AB62" s="358">
        <v>1</v>
      </c>
      <c r="AC62" s="325" t="s">
        <v>956</v>
      </c>
      <c r="AD62" s="325" t="s">
        <v>1064</v>
      </c>
      <c r="AH62" s="57" t="s">
        <v>1132</v>
      </c>
      <c r="AI62" s="325"/>
    </row>
    <row r="63" spans="1:74" ht="12.75" customHeight="1">
      <c r="A63" s="349">
        <v>830844</v>
      </c>
      <c r="B63" s="501" t="s">
        <v>2293</v>
      </c>
      <c r="C63" s="325" t="s">
        <v>1799</v>
      </c>
      <c r="D63" s="325" t="s">
        <v>162</v>
      </c>
      <c r="E63" s="500" t="s">
        <v>925</v>
      </c>
      <c r="F63" s="325" t="s">
        <v>1799</v>
      </c>
      <c r="G63" s="325" t="s">
        <v>1822</v>
      </c>
      <c r="H63" s="500" t="s">
        <v>162</v>
      </c>
      <c r="I63" s="500" t="s">
        <v>1800</v>
      </c>
      <c r="J63" s="318" t="s">
        <v>2171</v>
      </c>
      <c r="K63" s="83" t="s">
        <v>2192</v>
      </c>
      <c r="L63" s="332">
        <v>12</v>
      </c>
      <c r="M63" s="83"/>
      <c r="N63" s="359"/>
      <c r="O63" s="83"/>
      <c r="P63" s="333">
        <v>15</v>
      </c>
      <c r="Q63" s="334">
        <v>427.34</v>
      </c>
      <c r="R63" s="397">
        <v>4.5999999999999999E-2</v>
      </c>
      <c r="S63" s="83">
        <v>3.5100856460897646E-2</v>
      </c>
      <c r="T63" s="83">
        <v>326.08695652173913</v>
      </c>
      <c r="U63" s="356" t="s">
        <v>154</v>
      </c>
      <c r="V63" s="310" t="s">
        <v>947</v>
      </c>
      <c r="X63" s="83" t="s">
        <v>1002</v>
      </c>
      <c r="Y63" s="310" t="s">
        <v>1032</v>
      </c>
      <c r="AA63" s="333">
        <v>19</v>
      </c>
      <c r="AB63" s="510">
        <v>1</v>
      </c>
      <c r="AC63" s="500" t="s">
        <v>146</v>
      </c>
      <c r="AD63" s="325" t="s">
        <v>1800</v>
      </c>
      <c r="AH63" s="57" t="s">
        <v>1799</v>
      </c>
      <c r="AI63" s="325"/>
    </row>
    <row r="64" spans="1:74" ht="12.75" customHeight="1">
      <c r="A64" s="349">
        <v>830841</v>
      </c>
      <c r="B64" s="501" t="s">
        <v>2294</v>
      </c>
      <c r="C64" s="325" t="s">
        <v>1801</v>
      </c>
      <c r="D64" s="325" t="s">
        <v>162</v>
      </c>
      <c r="E64" s="500" t="s">
        <v>925</v>
      </c>
      <c r="F64" s="325" t="s">
        <v>1801</v>
      </c>
      <c r="G64" s="325" t="s">
        <v>1824</v>
      </c>
      <c r="H64" s="500" t="s">
        <v>162</v>
      </c>
      <c r="I64" s="500" t="s">
        <v>1800</v>
      </c>
      <c r="J64" s="318" t="s">
        <v>2171</v>
      </c>
      <c r="K64" s="83" t="s">
        <v>2192</v>
      </c>
      <c r="L64" s="332">
        <v>12</v>
      </c>
      <c r="M64" s="83"/>
      <c r="N64" s="359"/>
      <c r="O64" s="83"/>
      <c r="P64" s="333">
        <v>175</v>
      </c>
      <c r="Q64" s="334">
        <v>1592.49</v>
      </c>
      <c r="R64" s="397">
        <v>0.17</v>
      </c>
      <c r="S64" s="83">
        <v>0.10989079994222883</v>
      </c>
      <c r="T64" s="83">
        <v>1029.4117647058822</v>
      </c>
      <c r="U64" s="356" t="s">
        <v>154</v>
      </c>
      <c r="V64" s="310" t="s">
        <v>947</v>
      </c>
      <c r="X64" s="83" t="s">
        <v>1002</v>
      </c>
      <c r="Y64" s="310" t="s">
        <v>1032</v>
      </c>
      <c r="AA64" s="333">
        <v>201</v>
      </c>
      <c r="AB64" s="510">
        <v>1</v>
      </c>
      <c r="AC64" s="500" t="s">
        <v>146</v>
      </c>
      <c r="AD64" s="325" t="s">
        <v>1800</v>
      </c>
      <c r="AH64" s="57" t="s">
        <v>1801</v>
      </c>
      <c r="AI64" s="325"/>
    </row>
    <row r="65" spans="1:47" ht="12.75" customHeight="1">
      <c r="A65" s="349">
        <v>830839</v>
      </c>
      <c r="B65" s="501" t="s">
        <v>2295</v>
      </c>
      <c r="C65" s="325" t="s">
        <v>1802</v>
      </c>
      <c r="D65" s="325" t="s">
        <v>162</v>
      </c>
      <c r="E65" s="500" t="s">
        <v>925</v>
      </c>
      <c r="F65" s="325" t="s">
        <v>1802</v>
      </c>
      <c r="G65" s="325" t="s">
        <v>1803</v>
      </c>
      <c r="H65" s="500" t="s">
        <v>162</v>
      </c>
      <c r="I65" s="500" t="s">
        <v>1800</v>
      </c>
      <c r="J65" s="318" t="s">
        <v>2171</v>
      </c>
      <c r="K65" s="83" t="s">
        <v>2192</v>
      </c>
      <c r="L65" s="332">
        <v>12</v>
      </c>
      <c r="M65" s="83"/>
      <c r="N65" s="359"/>
      <c r="O65" s="83"/>
      <c r="P65" s="333">
        <v>50</v>
      </c>
      <c r="Q65" s="334">
        <v>639.19000000000005</v>
      </c>
      <c r="R65" s="397">
        <v>6.8000000000000005E-2</v>
      </c>
      <c r="S65" s="83">
        <v>7.8224002252851255E-2</v>
      </c>
      <c r="T65" s="83">
        <v>735.29411764705878</v>
      </c>
      <c r="U65" s="356" t="s">
        <v>154</v>
      </c>
      <c r="V65" s="310" t="s">
        <v>947</v>
      </c>
      <c r="X65" s="83" t="s">
        <v>1002</v>
      </c>
      <c r="Y65" s="310" t="s">
        <v>1032</v>
      </c>
      <c r="AA65" s="333">
        <v>56</v>
      </c>
      <c r="AB65" s="510">
        <v>1</v>
      </c>
      <c r="AC65" s="500" t="s">
        <v>146</v>
      </c>
      <c r="AD65" s="325" t="s">
        <v>1800</v>
      </c>
      <c r="AH65" s="57" t="s">
        <v>1802</v>
      </c>
      <c r="AI65" s="325"/>
    </row>
    <row r="66" spans="1:47" ht="12.75" customHeight="1">
      <c r="A66" s="349">
        <v>830843</v>
      </c>
      <c r="B66" s="501" t="s">
        <v>2296</v>
      </c>
      <c r="C66" s="325" t="s">
        <v>1804</v>
      </c>
      <c r="D66" s="325" t="s">
        <v>162</v>
      </c>
      <c r="E66" s="500" t="s">
        <v>925</v>
      </c>
      <c r="F66" s="325" t="s">
        <v>1804</v>
      </c>
      <c r="G66" s="325" t="s">
        <v>1805</v>
      </c>
      <c r="H66" s="500" t="s">
        <v>162</v>
      </c>
      <c r="I66" s="500" t="s">
        <v>1800</v>
      </c>
      <c r="J66" s="318" t="s">
        <v>2171</v>
      </c>
      <c r="K66" s="83" t="s">
        <v>2192</v>
      </c>
      <c r="L66" s="332">
        <v>12</v>
      </c>
      <c r="M66" s="83"/>
      <c r="N66" s="359"/>
      <c r="O66" s="83"/>
      <c r="P66" s="333">
        <v>110</v>
      </c>
      <c r="Q66" s="334">
        <v>1062.8800000000001</v>
      </c>
      <c r="R66" s="397">
        <v>0.114</v>
      </c>
      <c r="S66" s="83">
        <v>0.10349239801294595</v>
      </c>
      <c r="T66" s="83">
        <v>964.9122807017543</v>
      </c>
      <c r="U66" s="356" t="s">
        <v>154</v>
      </c>
      <c r="V66" s="310" t="s">
        <v>947</v>
      </c>
      <c r="X66" s="83" t="s">
        <v>1002</v>
      </c>
      <c r="Y66" s="310" t="s">
        <v>1032</v>
      </c>
      <c r="AA66" s="333">
        <v>114</v>
      </c>
      <c r="AB66" s="510">
        <v>1</v>
      </c>
      <c r="AC66" s="500" t="s">
        <v>146</v>
      </c>
      <c r="AD66" s="325" t="s">
        <v>1800</v>
      </c>
      <c r="AH66" s="57" t="s">
        <v>1804</v>
      </c>
      <c r="AI66" s="325"/>
    </row>
    <row r="67" spans="1:47" ht="12.75" customHeight="1">
      <c r="A67" s="349">
        <v>830831</v>
      </c>
      <c r="B67" s="501" t="s">
        <v>2297</v>
      </c>
      <c r="C67" s="500" t="s">
        <v>1806</v>
      </c>
      <c r="D67" s="325" t="s">
        <v>162</v>
      </c>
      <c r="E67" s="500" t="s">
        <v>953</v>
      </c>
      <c r="F67" s="500" t="s">
        <v>1806</v>
      </c>
      <c r="G67" s="500" t="s">
        <v>1822</v>
      </c>
      <c r="H67" s="500" t="s">
        <v>162</v>
      </c>
      <c r="I67" s="500" t="s">
        <v>1807</v>
      </c>
      <c r="J67" s="318" t="s">
        <v>2171</v>
      </c>
      <c r="K67" s="83" t="s">
        <v>2192</v>
      </c>
      <c r="L67" s="332">
        <v>12</v>
      </c>
      <c r="M67" s="502"/>
      <c r="N67" s="509"/>
      <c r="O67" s="503"/>
      <c r="P67" s="333">
        <v>25</v>
      </c>
      <c r="Q67" s="334">
        <v>169.84</v>
      </c>
      <c r="R67" s="504">
        <v>1.7999999999999999E-2</v>
      </c>
      <c r="S67" s="83">
        <v>0.14719736222326896</v>
      </c>
      <c r="T67" s="83">
        <v>1388.8888888888889</v>
      </c>
      <c r="U67" s="356" t="s">
        <v>154</v>
      </c>
      <c r="V67" s="310" t="s">
        <v>947</v>
      </c>
      <c r="W67" s="501"/>
      <c r="X67" s="83" t="s">
        <v>1002</v>
      </c>
      <c r="Y67" s="310" t="s">
        <v>1032</v>
      </c>
      <c r="Z67" s="501"/>
      <c r="AA67" s="333">
        <v>51</v>
      </c>
      <c r="AB67" s="510">
        <v>1</v>
      </c>
      <c r="AC67" s="500" t="s">
        <v>146</v>
      </c>
      <c r="AD67" s="500" t="s">
        <v>1807</v>
      </c>
      <c r="AE67" s="501"/>
      <c r="AF67" s="501"/>
      <c r="AG67" s="501"/>
      <c r="AH67" s="500" t="s">
        <v>1806</v>
      </c>
      <c r="AI67" s="500"/>
      <c r="AJ67" s="501"/>
      <c r="AK67" s="501"/>
    </row>
    <row r="68" spans="1:47" ht="12.75" customHeight="1">
      <c r="A68" s="349">
        <v>830840</v>
      </c>
      <c r="B68" s="501" t="s">
        <v>2298</v>
      </c>
      <c r="C68" s="325" t="s">
        <v>1808</v>
      </c>
      <c r="D68" s="325" t="s">
        <v>162</v>
      </c>
      <c r="E68" s="500" t="s">
        <v>953</v>
      </c>
      <c r="F68" s="325" t="s">
        <v>1808</v>
      </c>
      <c r="G68" s="325" t="s">
        <v>1823</v>
      </c>
      <c r="H68" s="500" t="s">
        <v>162</v>
      </c>
      <c r="I68" s="500" t="s">
        <v>1807</v>
      </c>
      <c r="J68" s="318" t="s">
        <v>2171</v>
      </c>
      <c r="K68" s="83" t="s">
        <v>2192</v>
      </c>
      <c r="L68" s="332">
        <v>12</v>
      </c>
      <c r="M68" s="83"/>
      <c r="N68" s="359"/>
      <c r="O68" s="83"/>
      <c r="P68" s="333">
        <v>70</v>
      </c>
      <c r="Q68" s="334">
        <v>601.20000000000005</v>
      </c>
      <c r="R68" s="397">
        <v>6.4000000000000001E-2</v>
      </c>
      <c r="S68" s="83">
        <v>0.1164337990685296</v>
      </c>
      <c r="T68" s="83">
        <v>1093.75</v>
      </c>
      <c r="U68" s="356" t="s">
        <v>154</v>
      </c>
      <c r="V68" s="310" t="s">
        <v>947</v>
      </c>
      <c r="X68" s="83" t="s">
        <v>1002</v>
      </c>
      <c r="Y68" s="310" t="s">
        <v>1032</v>
      </c>
      <c r="AA68" s="333">
        <v>420</v>
      </c>
      <c r="AB68" s="510">
        <v>1</v>
      </c>
      <c r="AC68" s="500" t="s">
        <v>146</v>
      </c>
      <c r="AD68" s="325" t="s">
        <v>1807</v>
      </c>
      <c r="AH68" s="57" t="s">
        <v>1808</v>
      </c>
      <c r="AI68" s="325"/>
      <c r="AT68" s="310" t="s">
        <v>2053</v>
      </c>
      <c r="AU68" s="310" t="e">
        <f>_xlfn.CONCAT(PMEHVAC[[#This Row],[Measure '#]],"-HVAC-",AT68)</f>
        <v>#VALUE!</v>
      </c>
    </row>
    <row r="69" spans="1:47" ht="12.75" customHeight="1">
      <c r="A69" s="349">
        <v>830833</v>
      </c>
      <c r="B69" s="501" t="s">
        <v>2299</v>
      </c>
      <c r="C69" s="500" t="s">
        <v>1809</v>
      </c>
      <c r="D69" s="325" t="s">
        <v>162</v>
      </c>
      <c r="E69" s="500" t="s">
        <v>953</v>
      </c>
      <c r="F69" s="500" t="s">
        <v>1809</v>
      </c>
      <c r="G69" s="500" t="s">
        <v>1803</v>
      </c>
      <c r="H69" s="500" t="s">
        <v>162</v>
      </c>
      <c r="I69" s="500" t="s">
        <v>1807</v>
      </c>
      <c r="J69" s="318" t="s">
        <v>2171</v>
      </c>
      <c r="K69" s="83" t="s">
        <v>2192</v>
      </c>
      <c r="L69" s="332">
        <v>12</v>
      </c>
      <c r="M69" s="502"/>
      <c r="N69" s="509"/>
      <c r="O69" s="503"/>
      <c r="P69" s="333">
        <v>41</v>
      </c>
      <c r="Q69" s="334">
        <v>270.29000000000002</v>
      </c>
      <c r="R69" s="504">
        <v>2.9000000000000001E-2</v>
      </c>
      <c r="S69" s="83">
        <v>0.15168892670835027</v>
      </c>
      <c r="T69" s="83">
        <v>1413.7931034482758</v>
      </c>
      <c r="U69" s="356" t="s">
        <v>154</v>
      </c>
      <c r="V69" s="310" t="s">
        <v>947</v>
      </c>
      <c r="W69" s="501"/>
      <c r="X69" s="83" t="s">
        <v>1002</v>
      </c>
      <c r="Y69" s="310" t="s">
        <v>1032</v>
      </c>
      <c r="Z69" s="501"/>
      <c r="AA69" s="333">
        <v>125</v>
      </c>
      <c r="AB69" s="510">
        <v>1</v>
      </c>
      <c r="AC69" s="500" t="s">
        <v>146</v>
      </c>
      <c r="AD69" s="500" t="s">
        <v>1807</v>
      </c>
      <c r="AE69" s="501"/>
      <c r="AF69" s="501"/>
      <c r="AG69" s="501"/>
      <c r="AH69" s="500" t="s">
        <v>1809</v>
      </c>
      <c r="AI69" s="500"/>
      <c r="AJ69" s="501"/>
      <c r="AK69" s="501"/>
      <c r="AT69" s="554" t="s">
        <v>2030</v>
      </c>
      <c r="AU69" s="310" t="e">
        <f>_xlfn.CONCAT(PMEHVAC[[#This Row],[Measure '#]],"-HVAC-",AT69)</f>
        <v>#VALUE!</v>
      </c>
    </row>
    <row r="70" spans="1:47" ht="12.75" customHeight="1">
      <c r="A70" s="349">
        <v>830836</v>
      </c>
      <c r="B70" s="501" t="s">
        <v>2300</v>
      </c>
      <c r="C70" s="500" t="s">
        <v>1810</v>
      </c>
      <c r="D70" s="325" t="s">
        <v>162</v>
      </c>
      <c r="E70" s="500" t="s">
        <v>953</v>
      </c>
      <c r="F70" s="500" t="s">
        <v>1810</v>
      </c>
      <c r="G70" s="500" t="s">
        <v>1805</v>
      </c>
      <c r="H70" s="500" t="s">
        <v>162</v>
      </c>
      <c r="I70" s="500" t="s">
        <v>1807</v>
      </c>
      <c r="J70" s="318" t="s">
        <v>2171</v>
      </c>
      <c r="K70" s="83" t="s">
        <v>2192</v>
      </c>
      <c r="L70" s="332">
        <v>12</v>
      </c>
      <c r="M70" s="502"/>
      <c r="N70" s="509"/>
      <c r="O70" s="503"/>
      <c r="P70" s="333">
        <v>65</v>
      </c>
      <c r="Q70" s="334">
        <v>540.57000000000005</v>
      </c>
      <c r="R70" s="504">
        <v>5.8000000000000003E-2</v>
      </c>
      <c r="S70" s="83">
        <v>0.12024344673215309</v>
      </c>
      <c r="T70" s="83">
        <v>1120.6896551724137</v>
      </c>
      <c r="U70" s="356" t="s">
        <v>154</v>
      </c>
      <c r="V70" s="310" t="s">
        <v>947</v>
      </c>
      <c r="W70" s="501"/>
      <c r="X70" s="83" t="s">
        <v>1002</v>
      </c>
      <c r="Y70" s="310" t="s">
        <v>1032</v>
      </c>
      <c r="Z70" s="501"/>
      <c r="AA70" s="333">
        <v>252</v>
      </c>
      <c r="AB70" s="510">
        <v>1</v>
      </c>
      <c r="AC70" s="500" t="s">
        <v>146</v>
      </c>
      <c r="AD70" s="500" t="s">
        <v>1807</v>
      </c>
      <c r="AE70" s="501"/>
      <c r="AF70" s="501"/>
      <c r="AG70" s="501"/>
      <c r="AH70" s="500" t="s">
        <v>1810</v>
      </c>
      <c r="AI70" s="500"/>
      <c r="AJ70" s="501"/>
      <c r="AK70" s="501"/>
      <c r="AT70" s="310" t="s">
        <v>2031</v>
      </c>
      <c r="AU70" s="310" t="e">
        <f>_xlfn.CONCAT(PMEHVAC[[#This Row],[Measure '#]],"-HVAC-",AT70)</f>
        <v>#VALUE!</v>
      </c>
    </row>
    <row r="71" spans="1:47" ht="12.75" customHeight="1">
      <c r="A71" s="349">
        <v>830830</v>
      </c>
      <c r="B71" s="501" t="s">
        <v>2301</v>
      </c>
      <c r="C71" s="500" t="s">
        <v>1811</v>
      </c>
      <c r="D71" s="325" t="s">
        <v>162</v>
      </c>
      <c r="E71" s="500" t="s">
        <v>925</v>
      </c>
      <c r="F71" s="500" t="s">
        <v>1811</v>
      </c>
      <c r="G71" s="500" t="s">
        <v>1822</v>
      </c>
      <c r="H71" s="500" t="s">
        <v>162</v>
      </c>
      <c r="I71" s="500" t="s">
        <v>1800</v>
      </c>
      <c r="J71" s="318" t="s">
        <v>2171</v>
      </c>
      <c r="K71" s="83" t="s">
        <v>2192</v>
      </c>
      <c r="L71" s="332">
        <v>12</v>
      </c>
      <c r="M71" s="502"/>
      <c r="N71" s="509"/>
      <c r="O71" s="503"/>
      <c r="P71" s="333">
        <v>25</v>
      </c>
      <c r="Q71" s="334">
        <v>211.85</v>
      </c>
      <c r="R71" s="504">
        <v>2.3E-2</v>
      </c>
      <c r="S71" s="83">
        <v>0.11800802454566911</v>
      </c>
      <c r="T71" s="83">
        <v>1086.9565217391305</v>
      </c>
      <c r="U71" s="356" t="s">
        <v>154</v>
      </c>
      <c r="V71" s="310" t="s">
        <v>947</v>
      </c>
      <c r="W71" s="501"/>
      <c r="X71" s="83" t="s">
        <v>1002</v>
      </c>
      <c r="Y71" s="310" t="s">
        <v>1032</v>
      </c>
      <c r="Z71" s="501"/>
      <c r="AA71" s="333">
        <v>27</v>
      </c>
      <c r="AB71" s="510">
        <v>1</v>
      </c>
      <c r="AC71" s="500" t="s">
        <v>146</v>
      </c>
      <c r="AD71" s="500" t="s">
        <v>1800</v>
      </c>
      <c r="AE71" s="501"/>
      <c r="AF71" s="501"/>
      <c r="AG71" s="501"/>
      <c r="AH71" s="500" t="s">
        <v>1811</v>
      </c>
      <c r="AI71" s="500"/>
      <c r="AJ71" s="501"/>
      <c r="AK71" s="501"/>
      <c r="AL71" s="315"/>
      <c r="AT71" s="310" t="s">
        <v>2032</v>
      </c>
      <c r="AU71" s="310" t="e">
        <f>_xlfn.CONCAT(PMEHVAC[[#This Row],[Measure '#]],"-HVAC-",AT71)</f>
        <v>#VALUE!</v>
      </c>
    </row>
    <row r="72" spans="1:47" ht="12.75" customHeight="1">
      <c r="A72" s="349">
        <v>830832</v>
      </c>
      <c r="B72" s="501" t="s">
        <v>2302</v>
      </c>
      <c r="C72" s="500" t="s">
        <v>1812</v>
      </c>
      <c r="D72" s="325" t="s">
        <v>162</v>
      </c>
      <c r="E72" s="500" t="s">
        <v>925</v>
      </c>
      <c r="F72" s="500" t="s">
        <v>1812</v>
      </c>
      <c r="G72" s="500" t="s">
        <v>1823</v>
      </c>
      <c r="H72" s="500" t="s">
        <v>162</v>
      </c>
      <c r="I72" s="500" t="s">
        <v>1800</v>
      </c>
      <c r="J72" s="318" t="s">
        <v>2171</v>
      </c>
      <c r="K72" s="83" t="s">
        <v>2192</v>
      </c>
      <c r="L72" s="332">
        <v>12</v>
      </c>
      <c r="M72" s="502"/>
      <c r="N72" s="509"/>
      <c r="O72" s="503"/>
      <c r="P72" s="333">
        <v>82.5</v>
      </c>
      <c r="Q72" s="334">
        <v>942.34</v>
      </c>
      <c r="R72" s="504">
        <v>0.10100000000000001</v>
      </c>
      <c r="S72" s="83">
        <v>8.7548018761805721E-2</v>
      </c>
      <c r="T72" s="83">
        <v>816.83168316831677</v>
      </c>
      <c r="U72" s="356" t="s">
        <v>154</v>
      </c>
      <c r="V72" s="310" t="s">
        <v>947</v>
      </c>
      <c r="W72" s="501"/>
      <c r="X72" s="83" t="s">
        <v>1002</v>
      </c>
      <c r="Y72" s="310" t="s">
        <v>1032</v>
      </c>
      <c r="Z72" s="501"/>
      <c r="AA72" s="333">
        <v>196</v>
      </c>
      <c r="AB72" s="510">
        <v>1</v>
      </c>
      <c r="AC72" s="500" t="s">
        <v>146</v>
      </c>
      <c r="AD72" s="500" t="s">
        <v>1800</v>
      </c>
      <c r="AE72" s="501"/>
      <c r="AF72" s="501"/>
      <c r="AG72" s="501"/>
      <c r="AH72" s="500" t="s">
        <v>1812</v>
      </c>
      <c r="AI72" s="500"/>
      <c r="AJ72" s="501"/>
      <c r="AK72" s="501"/>
      <c r="AT72" s="310" t="s">
        <v>2054</v>
      </c>
      <c r="AU72" s="310" t="e">
        <f>_xlfn.CONCAT(PMEHVAC[[#This Row],[Measure '#]],"-HVAC-",AT72)</f>
        <v>#VALUE!</v>
      </c>
    </row>
    <row r="73" spans="1:47" ht="12.75" customHeight="1">
      <c r="A73" s="349">
        <v>830842</v>
      </c>
      <c r="B73" s="501" t="s">
        <v>2303</v>
      </c>
      <c r="C73" s="325" t="s">
        <v>1813</v>
      </c>
      <c r="D73" s="325" t="s">
        <v>162</v>
      </c>
      <c r="E73" s="500" t="s">
        <v>925</v>
      </c>
      <c r="F73" s="325" t="s">
        <v>1813</v>
      </c>
      <c r="G73" s="325" t="s">
        <v>1803</v>
      </c>
      <c r="H73" s="500" t="s">
        <v>162</v>
      </c>
      <c r="I73" s="500" t="s">
        <v>1800</v>
      </c>
      <c r="J73" s="318" t="s">
        <v>2171</v>
      </c>
      <c r="K73" s="83" t="s">
        <v>2192</v>
      </c>
      <c r="L73" s="332">
        <v>12</v>
      </c>
      <c r="M73" s="83"/>
      <c r="N73" s="359"/>
      <c r="O73" s="83"/>
      <c r="P73" s="333">
        <v>45</v>
      </c>
      <c r="Q73" s="334">
        <v>413.46</v>
      </c>
      <c r="R73" s="397">
        <v>4.3999999999999997E-2</v>
      </c>
      <c r="S73" s="83">
        <v>0.108837614279495</v>
      </c>
      <c r="T73" s="83">
        <v>1022.7272727272727</v>
      </c>
      <c r="U73" s="356" t="s">
        <v>154</v>
      </c>
      <c r="V73" s="310" t="s">
        <v>947</v>
      </c>
      <c r="X73" s="83" t="s">
        <v>1002</v>
      </c>
      <c r="Y73" s="310" t="s">
        <v>1032</v>
      </c>
      <c r="AA73" s="333">
        <v>57</v>
      </c>
      <c r="AB73" s="510">
        <v>1</v>
      </c>
      <c r="AC73" s="500" t="s">
        <v>146</v>
      </c>
      <c r="AD73" s="325" t="s">
        <v>1800</v>
      </c>
      <c r="AH73" s="325" t="s">
        <v>1813</v>
      </c>
      <c r="AI73" s="325"/>
      <c r="AT73" s="310" t="s">
        <v>2033</v>
      </c>
      <c r="AU73" s="310" t="e">
        <f>_xlfn.CONCAT(PMEHVAC[[#This Row],[Measure '#]],"-HVAC-",AT73)</f>
        <v>#VALUE!</v>
      </c>
    </row>
    <row r="74" spans="1:47" ht="12.75" customHeight="1">
      <c r="A74" s="349">
        <v>830845</v>
      </c>
      <c r="B74" s="501" t="s">
        <v>2304</v>
      </c>
      <c r="C74" s="325" t="s">
        <v>1814</v>
      </c>
      <c r="D74" s="325" t="s">
        <v>162</v>
      </c>
      <c r="E74" s="500" t="s">
        <v>925</v>
      </c>
      <c r="F74" s="325" t="s">
        <v>1814</v>
      </c>
      <c r="G74" s="325" t="s">
        <v>1805</v>
      </c>
      <c r="H74" s="500" t="s">
        <v>162</v>
      </c>
      <c r="I74" s="500" t="s">
        <v>1800</v>
      </c>
      <c r="J74" s="318" t="s">
        <v>2171</v>
      </c>
      <c r="K74" s="83" t="s">
        <v>2192</v>
      </c>
      <c r="L74" s="332">
        <v>12</v>
      </c>
      <c r="M74" s="83"/>
      <c r="N74" s="359"/>
      <c r="O74" s="83"/>
      <c r="P74" s="333">
        <v>58</v>
      </c>
      <c r="Q74" s="334">
        <v>640.65</v>
      </c>
      <c r="R74" s="397">
        <v>6.8000000000000005E-2</v>
      </c>
      <c r="S74" s="83">
        <v>9.0533052368688055E-2</v>
      </c>
      <c r="T74" s="83">
        <v>852.94117647058818</v>
      </c>
      <c r="U74" s="356" t="s">
        <v>154</v>
      </c>
      <c r="V74" s="310" t="s">
        <v>947</v>
      </c>
      <c r="X74" s="83" t="s">
        <v>1002</v>
      </c>
      <c r="Y74" s="310" t="s">
        <v>1032</v>
      </c>
      <c r="AA74" s="333">
        <v>119</v>
      </c>
      <c r="AB74" s="510">
        <v>1</v>
      </c>
      <c r="AC74" s="500" t="s">
        <v>146</v>
      </c>
      <c r="AD74" s="325" t="s">
        <v>1800</v>
      </c>
      <c r="AH74" s="325" t="s">
        <v>1814</v>
      </c>
      <c r="AI74" s="325"/>
      <c r="AT74" s="310" t="s">
        <v>2034</v>
      </c>
      <c r="AU74" s="310" t="e">
        <f>_xlfn.CONCAT(PMEHVAC[[#This Row],[Measure '#]],"-HVAC-",AT74)</f>
        <v>#VALUE!</v>
      </c>
    </row>
    <row r="75" spans="1:47" ht="12.75" customHeight="1">
      <c r="A75" s="349">
        <v>830835</v>
      </c>
      <c r="B75" s="501" t="s">
        <v>2305</v>
      </c>
      <c r="C75" s="500" t="s">
        <v>1815</v>
      </c>
      <c r="D75" s="325" t="s">
        <v>162</v>
      </c>
      <c r="E75" s="500" t="s">
        <v>953</v>
      </c>
      <c r="F75" s="500" t="s">
        <v>1815</v>
      </c>
      <c r="G75" s="500" t="s">
        <v>1822</v>
      </c>
      <c r="H75" s="500" t="s">
        <v>162</v>
      </c>
      <c r="I75" s="500" t="s">
        <v>1807</v>
      </c>
      <c r="J75" s="318" t="s">
        <v>2171</v>
      </c>
      <c r="K75" s="83" t="s">
        <v>2192</v>
      </c>
      <c r="L75" s="332">
        <v>12</v>
      </c>
      <c r="M75" s="502"/>
      <c r="N75" s="509"/>
      <c r="O75" s="503"/>
      <c r="P75" s="333">
        <v>29</v>
      </c>
      <c r="Q75" s="334">
        <v>289.64</v>
      </c>
      <c r="R75" s="504">
        <v>3.1E-2</v>
      </c>
      <c r="S75" s="83">
        <v>0.10012429222483082</v>
      </c>
      <c r="T75" s="83">
        <v>935.48387096774195</v>
      </c>
      <c r="U75" s="356" t="s">
        <v>154</v>
      </c>
      <c r="V75" s="310" t="s">
        <v>947</v>
      </c>
      <c r="W75" s="501"/>
      <c r="X75" s="83" t="s">
        <v>1002</v>
      </c>
      <c r="Y75" s="310" t="s">
        <v>1032</v>
      </c>
      <c r="Z75" s="501"/>
      <c r="AA75" s="333">
        <v>53</v>
      </c>
      <c r="AB75" s="510">
        <v>1</v>
      </c>
      <c r="AC75" s="500" t="s">
        <v>146</v>
      </c>
      <c r="AD75" s="500" t="s">
        <v>1807</v>
      </c>
      <c r="AE75" s="501"/>
      <c r="AF75" s="501"/>
      <c r="AG75" s="501"/>
      <c r="AH75" s="500" t="s">
        <v>1815</v>
      </c>
      <c r="AI75" s="500"/>
      <c r="AJ75" s="501"/>
      <c r="AK75" s="501"/>
      <c r="AT75" s="310" t="s">
        <v>2035</v>
      </c>
      <c r="AU75" s="310" t="e">
        <f>_xlfn.CONCAT(PMEHVAC[[#This Row],[Measure '#]],"-HVAC-",AT75)</f>
        <v>#VALUE!</v>
      </c>
    </row>
    <row r="76" spans="1:47">
      <c r="A76" s="349">
        <v>830837</v>
      </c>
      <c r="B76" s="501" t="s">
        <v>2306</v>
      </c>
      <c r="C76" s="500" t="s">
        <v>1816</v>
      </c>
      <c r="D76" s="325" t="s">
        <v>162</v>
      </c>
      <c r="E76" s="500" t="s">
        <v>953</v>
      </c>
      <c r="F76" s="500" t="s">
        <v>1816</v>
      </c>
      <c r="G76" s="500" t="s">
        <v>1824</v>
      </c>
      <c r="H76" s="500" t="s">
        <v>162</v>
      </c>
      <c r="I76" s="500" t="s">
        <v>1807</v>
      </c>
      <c r="J76" s="318" t="s">
        <v>2171</v>
      </c>
      <c r="K76" s="83" t="s">
        <v>2192</v>
      </c>
      <c r="L76" s="332">
        <v>12</v>
      </c>
      <c r="M76" s="502"/>
      <c r="N76" s="509"/>
      <c r="O76" s="503"/>
      <c r="P76" s="333">
        <v>46.5</v>
      </c>
      <c r="Q76" s="334">
        <v>460.18</v>
      </c>
      <c r="R76" s="504">
        <v>4.9000000000000002E-2</v>
      </c>
      <c r="S76" s="83">
        <v>0.10104741622843236</v>
      </c>
      <c r="T76" s="83">
        <v>948.9795918367347</v>
      </c>
      <c r="U76" s="356" t="s">
        <v>154</v>
      </c>
      <c r="V76" s="310" t="s">
        <v>947</v>
      </c>
      <c r="W76" s="501"/>
      <c r="X76" s="83" t="s">
        <v>1002</v>
      </c>
      <c r="Y76" s="310" t="s">
        <v>1032</v>
      </c>
      <c r="Z76" s="501"/>
      <c r="AA76" s="333">
        <v>401</v>
      </c>
      <c r="AB76" s="510">
        <v>1</v>
      </c>
      <c r="AC76" s="500" t="s">
        <v>146</v>
      </c>
      <c r="AD76" s="500" t="s">
        <v>1807</v>
      </c>
      <c r="AE76" s="501"/>
      <c r="AF76" s="501"/>
      <c r="AG76" s="501"/>
      <c r="AH76" s="500" t="s">
        <v>1816</v>
      </c>
      <c r="AI76" s="500"/>
      <c r="AJ76" s="501"/>
      <c r="AK76" s="501"/>
      <c r="AT76" s="310" t="s">
        <v>2036</v>
      </c>
      <c r="AU76" s="310" t="e">
        <f>_xlfn.CONCAT(PMEHVAC[[#This Row],[Measure '#]],"-HVAC-",AT76)</f>
        <v>#VALUE!</v>
      </c>
    </row>
    <row r="77" spans="1:47">
      <c r="A77" s="349">
        <v>830838</v>
      </c>
      <c r="B77" s="501" t="s">
        <v>2307</v>
      </c>
      <c r="C77" s="500" t="s">
        <v>1817</v>
      </c>
      <c r="D77" s="325" t="s">
        <v>162</v>
      </c>
      <c r="E77" s="500" t="s">
        <v>953</v>
      </c>
      <c r="F77" s="500" t="s">
        <v>1817</v>
      </c>
      <c r="G77" s="500" t="s">
        <v>1803</v>
      </c>
      <c r="H77" s="500" t="s">
        <v>162</v>
      </c>
      <c r="I77" s="500" t="s">
        <v>1807</v>
      </c>
      <c r="J77" s="318" t="s">
        <v>2171</v>
      </c>
      <c r="K77" s="83" t="s">
        <v>2192</v>
      </c>
      <c r="L77" s="332">
        <v>12</v>
      </c>
      <c r="M77" s="502"/>
      <c r="N77" s="509"/>
      <c r="O77" s="503"/>
      <c r="P77" s="333">
        <v>31</v>
      </c>
      <c r="Q77" s="334">
        <v>332.38</v>
      </c>
      <c r="R77" s="504">
        <v>3.5999999999999997E-2</v>
      </c>
      <c r="S77" s="83">
        <v>9.3266742884650103E-2</v>
      </c>
      <c r="T77" s="83">
        <v>861.1111111111112</v>
      </c>
      <c r="U77" s="356" t="s">
        <v>154</v>
      </c>
      <c r="V77" s="310" t="s">
        <v>947</v>
      </c>
      <c r="W77" s="501"/>
      <c r="X77" s="83" t="s">
        <v>1002</v>
      </c>
      <c r="Y77" s="310" t="s">
        <v>1032</v>
      </c>
      <c r="Z77" s="501"/>
      <c r="AA77" s="333">
        <v>121</v>
      </c>
      <c r="AB77" s="510">
        <v>1</v>
      </c>
      <c r="AC77" s="500" t="s">
        <v>146</v>
      </c>
      <c r="AD77" s="500" t="s">
        <v>1807</v>
      </c>
      <c r="AE77" s="501"/>
      <c r="AF77" s="501"/>
      <c r="AG77" s="501"/>
      <c r="AH77" s="500" t="s">
        <v>1817</v>
      </c>
      <c r="AI77" s="500"/>
      <c r="AJ77" s="501"/>
      <c r="AK77" s="501"/>
      <c r="AT77" s="310" t="s">
        <v>2037</v>
      </c>
      <c r="AU77" s="310" t="e">
        <f>_xlfn.CONCAT(PMEHVAC[[#This Row],[Measure '#]],"-HVAC-",AT77)</f>
        <v>#VALUE!</v>
      </c>
    </row>
    <row r="78" spans="1:47">
      <c r="A78" s="349">
        <v>830834</v>
      </c>
      <c r="B78" s="501" t="s">
        <v>2308</v>
      </c>
      <c r="C78" s="500" t="s">
        <v>1818</v>
      </c>
      <c r="D78" s="325" t="s">
        <v>162</v>
      </c>
      <c r="E78" s="500" t="s">
        <v>953</v>
      </c>
      <c r="F78" s="500" t="s">
        <v>1818</v>
      </c>
      <c r="G78" s="500" t="s">
        <v>1805</v>
      </c>
      <c r="H78" s="500" t="s">
        <v>162</v>
      </c>
      <c r="I78" s="500" t="s">
        <v>1807</v>
      </c>
      <c r="J78" s="318" t="s">
        <v>2171</v>
      </c>
      <c r="K78" s="83" t="s">
        <v>2192</v>
      </c>
      <c r="L78" s="332">
        <v>12</v>
      </c>
      <c r="M78" s="502"/>
      <c r="N78" s="509"/>
      <c r="O78" s="503"/>
      <c r="P78" s="333">
        <v>33</v>
      </c>
      <c r="Q78" s="334">
        <v>421.86</v>
      </c>
      <c r="R78" s="504">
        <v>4.4999999999999998E-2</v>
      </c>
      <c r="S78" s="83">
        <v>7.8225003555681974E-2</v>
      </c>
      <c r="T78" s="83">
        <v>733.33333333333337</v>
      </c>
      <c r="U78" s="356" t="s">
        <v>154</v>
      </c>
      <c r="V78" s="310" t="s">
        <v>947</v>
      </c>
      <c r="W78" s="501"/>
      <c r="X78" s="83" t="s">
        <v>1002</v>
      </c>
      <c r="Y78" s="310" t="s">
        <v>1032</v>
      </c>
      <c r="Z78" s="501"/>
      <c r="AA78" s="333">
        <v>247</v>
      </c>
      <c r="AB78" s="510">
        <v>1</v>
      </c>
      <c r="AC78" s="500" t="s">
        <v>146</v>
      </c>
      <c r="AD78" s="500" t="s">
        <v>1807</v>
      </c>
      <c r="AE78" s="501"/>
      <c r="AF78" s="501"/>
      <c r="AG78" s="501"/>
      <c r="AH78" s="500" t="s">
        <v>1818</v>
      </c>
      <c r="AI78" s="500"/>
      <c r="AJ78" s="501"/>
      <c r="AK78" s="501"/>
      <c r="AT78" s="310" t="s">
        <v>2048</v>
      </c>
      <c r="AU78" s="310" t="e">
        <f>_xlfn.CONCAT(PMEHVAC[[#This Row],[Measure '#]],"-HVAC-",AT78)</f>
        <v>#VALUE!</v>
      </c>
    </row>
    <row r="79" spans="1:47">
      <c r="A79" s="555">
        <v>830855</v>
      </c>
      <c r="B79" s="469" t="s">
        <v>2309</v>
      </c>
      <c r="C79" s="83" t="s">
        <v>2197</v>
      </c>
      <c r="D79" s="331" t="s">
        <v>162</v>
      </c>
      <c r="E79" s="83" t="s">
        <v>162</v>
      </c>
      <c r="F79" s="83" t="s">
        <v>2197</v>
      </c>
      <c r="G79" s="469" t="s">
        <v>162</v>
      </c>
      <c r="H79" s="83" t="s">
        <v>162</v>
      </c>
      <c r="I79" s="83" t="s">
        <v>2310</v>
      </c>
      <c r="J79" s="318" t="s">
        <v>2171</v>
      </c>
      <c r="K79" s="83" t="s">
        <v>2192</v>
      </c>
      <c r="L79" s="332">
        <v>13</v>
      </c>
      <c r="M79" s="83"/>
      <c r="N79" s="359"/>
      <c r="O79" s="83"/>
      <c r="P79" s="333">
        <v>90</v>
      </c>
      <c r="Q79" s="334">
        <v>293</v>
      </c>
      <c r="R79" s="397">
        <v>3.3000000000000002E-2</v>
      </c>
      <c r="S79" s="83">
        <v>0.30716723549488056</v>
      </c>
      <c r="T79" s="83">
        <v>2727.272727272727</v>
      </c>
      <c r="U79" s="356" t="s">
        <v>154</v>
      </c>
      <c r="V79" s="310" t="s">
        <v>947</v>
      </c>
      <c r="X79" s="83" t="s">
        <v>1002</v>
      </c>
      <c r="Y79" s="310" t="s">
        <v>1032</v>
      </c>
      <c r="AA79" s="333">
        <v>161.75</v>
      </c>
      <c r="AB79" s="358">
        <v>1</v>
      </c>
      <c r="AC79" s="83" t="s">
        <v>2311</v>
      </c>
      <c r="AD79" s="83" t="s">
        <v>2310</v>
      </c>
      <c r="AH79" s="83" t="s">
        <v>2197</v>
      </c>
      <c r="AI79" s="325"/>
      <c r="AT79" s="310" t="s">
        <v>2038</v>
      </c>
      <c r="AU79" s="310" t="e">
        <f>_xlfn.CONCAT(PMEHVAC[[#This Row],[Measure '#]],"-HVAC-",AT79)</f>
        <v>#VALUE!</v>
      </c>
    </row>
    <row r="80" spans="1:47">
      <c r="A80" s="555">
        <v>831301</v>
      </c>
      <c r="B80" s="331" t="s">
        <v>1117</v>
      </c>
      <c r="C80" s="325" t="s">
        <v>1119</v>
      </c>
      <c r="D80" s="331" t="s">
        <v>162</v>
      </c>
      <c r="E80" s="325" t="s">
        <v>953</v>
      </c>
      <c r="F80" s="325" t="s">
        <v>1129</v>
      </c>
      <c r="G80" s="331" t="s">
        <v>162</v>
      </c>
      <c r="H80" s="325" t="s">
        <v>953</v>
      </c>
      <c r="I80" s="325" t="s">
        <v>1074</v>
      </c>
      <c r="J80" s="318" t="s">
        <v>2171</v>
      </c>
      <c r="K80" s="83" t="s">
        <v>2192</v>
      </c>
      <c r="L80" s="332">
        <v>9</v>
      </c>
      <c r="M80" s="83"/>
      <c r="N80" s="359"/>
      <c r="O80" s="83"/>
      <c r="P80" s="333">
        <v>10</v>
      </c>
      <c r="Q80" s="334">
        <v>511.74</v>
      </c>
      <c r="R80" s="397">
        <v>8.7999999999999995E-2</v>
      </c>
      <c r="S80" s="83">
        <v>1.9541173252042052E-2</v>
      </c>
      <c r="T80" s="83">
        <v>113.63636363636364</v>
      </c>
      <c r="U80" s="356" t="s">
        <v>154</v>
      </c>
      <c r="V80" s="310" t="s">
        <v>947</v>
      </c>
      <c r="X80" s="83" t="s">
        <v>1002</v>
      </c>
      <c r="Y80" s="310" t="s">
        <v>1032</v>
      </c>
      <c r="AA80" s="333">
        <v>44</v>
      </c>
      <c r="AB80" s="358">
        <v>1</v>
      </c>
      <c r="AC80" s="325" t="s">
        <v>954</v>
      </c>
      <c r="AD80" s="325" t="s">
        <v>1074</v>
      </c>
      <c r="AH80" s="57" t="s">
        <v>1129</v>
      </c>
      <c r="AI80" s="325"/>
      <c r="AT80" s="310" t="s">
        <v>2039</v>
      </c>
      <c r="AU80" s="310" t="e">
        <f>_xlfn.CONCAT(PMEHVAC[[#This Row],[Measure '#]],"-HVAC-",AT80)</f>
        <v>#VALUE!</v>
      </c>
    </row>
    <row r="81" spans="1:40">
      <c r="A81" s="555">
        <v>831303</v>
      </c>
      <c r="B81" s="331" t="s">
        <v>2150</v>
      </c>
      <c r="C81" s="325" t="s">
        <v>1120</v>
      </c>
      <c r="D81" s="331" t="s">
        <v>162</v>
      </c>
      <c r="E81" s="325" t="s">
        <v>953</v>
      </c>
      <c r="F81" s="325" t="s">
        <v>1130</v>
      </c>
      <c r="G81" s="331" t="s">
        <v>162</v>
      </c>
      <c r="H81" s="325" t="s">
        <v>953</v>
      </c>
      <c r="I81" s="325" t="s">
        <v>1074</v>
      </c>
      <c r="J81" s="318" t="s">
        <v>2171</v>
      </c>
      <c r="K81" s="83" t="s">
        <v>2192</v>
      </c>
      <c r="L81" s="332">
        <v>9</v>
      </c>
      <c r="M81" s="83"/>
      <c r="N81" s="359"/>
      <c r="O81" s="83"/>
      <c r="P81" s="333">
        <v>8</v>
      </c>
      <c r="Q81" s="334">
        <v>335.31</v>
      </c>
      <c r="R81" s="397">
        <v>5.8000000000000003E-2</v>
      </c>
      <c r="S81" s="83">
        <v>2.3858518982434164E-2</v>
      </c>
      <c r="T81" s="83">
        <v>137.93103448275861</v>
      </c>
      <c r="U81" s="356" t="s">
        <v>154</v>
      </c>
      <c r="V81" s="310" t="s">
        <v>947</v>
      </c>
      <c r="X81" s="83" t="s">
        <v>1002</v>
      </c>
      <c r="Y81" s="310" t="s">
        <v>1032</v>
      </c>
      <c r="AA81" s="333">
        <v>44</v>
      </c>
      <c r="AB81" s="358">
        <v>1</v>
      </c>
      <c r="AC81" s="325" t="s">
        <v>954</v>
      </c>
      <c r="AD81" s="325" t="s">
        <v>1074</v>
      </c>
      <c r="AH81" s="325" t="s">
        <v>2072</v>
      </c>
      <c r="AI81" s="325"/>
    </row>
    <row r="82" spans="1:40">
      <c r="A82" s="555">
        <v>831201</v>
      </c>
      <c r="B82" s="331" t="s">
        <v>1118</v>
      </c>
      <c r="C82" s="325" t="s">
        <v>1121</v>
      </c>
      <c r="D82" s="331" t="s">
        <v>162</v>
      </c>
      <c r="E82" s="325" t="s">
        <v>1010</v>
      </c>
      <c r="F82" s="325" t="s">
        <v>1131</v>
      </c>
      <c r="G82" s="331" t="s">
        <v>162</v>
      </c>
      <c r="H82" s="325" t="s">
        <v>1010</v>
      </c>
      <c r="I82" s="325" t="s">
        <v>1063</v>
      </c>
      <c r="J82" s="318" t="s">
        <v>2171</v>
      </c>
      <c r="K82" s="83" t="s">
        <v>2192</v>
      </c>
      <c r="L82" s="332">
        <v>8</v>
      </c>
      <c r="M82" s="83"/>
      <c r="N82" s="359"/>
      <c r="O82" s="83"/>
      <c r="P82" s="333">
        <v>10</v>
      </c>
      <c r="Q82" s="334">
        <v>62.13</v>
      </c>
      <c r="R82" s="397">
        <v>7.0000000000000001E-3</v>
      </c>
      <c r="S82" s="83">
        <v>0.16095284081764041</v>
      </c>
      <c r="T82" s="83">
        <v>1428.5714285714284</v>
      </c>
      <c r="U82" s="356" t="s">
        <v>154</v>
      </c>
      <c r="V82" s="310" t="s">
        <v>947</v>
      </c>
      <c r="X82" s="83" t="s">
        <v>1002</v>
      </c>
      <c r="Y82" s="310" t="s">
        <v>1032</v>
      </c>
      <c r="AA82" s="333">
        <v>37.92</v>
      </c>
      <c r="AB82" s="358">
        <v>1</v>
      </c>
      <c r="AC82" s="325" t="s">
        <v>954</v>
      </c>
      <c r="AD82" s="325" t="s">
        <v>1063</v>
      </c>
      <c r="AH82" s="325" t="s">
        <v>2075</v>
      </c>
      <c r="AI82" s="325"/>
    </row>
    <row r="83" spans="1:40">
      <c r="A83" s="555">
        <v>830854</v>
      </c>
      <c r="B83" s="469" t="s">
        <v>2312</v>
      </c>
      <c r="C83" s="83" t="s">
        <v>2313</v>
      </c>
      <c r="D83" s="331" t="s">
        <v>162</v>
      </c>
      <c r="E83" s="83" t="s">
        <v>162</v>
      </c>
      <c r="F83" s="83" t="s">
        <v>2313</v>
      </c>
      <c r="G83" s="469" t="s">
        <v>162</v>
      </c>
      <c r="H83" s="83" t="s">
        <v>162</v>
      </c>
      <c r="I83" s="83" t="s">
        <v>2314</v>
      </c>
      <c r="J83" s="318" t="s">
        <v>2171</v>
      </c>
      <c r="K83" s="83" t="s">
        <v>2192</v>
      </c>
      <c r="L83" s="332">
        <v>5</v>
      </c>
      <c r="M83" s="83"/>
      <c r="N83" s="359"/>
      <c r="O83" s="83"/>
      <c r="P83" s="333">
        <v>10</v>
      </c>
      <c r="Q83" s="334">
        <v>168.29</v>
      </c>
      <c r="R83" s="397">
        <v>0</v>
      </c>
      <c r="S83" s="83">
        <v>5.9421237150157472E-2</v>
      </c>
      <c r="T83" s="83">
        <v>0</v>
      </c>
      <c r="U83" s="356" t="s">
        <v>154</v>
      </c>
      <c r="V83" s="310" t="s">
        <v>947</v>
      </c>
      <c r="X83" s="83" t="s">
        <v>1002</v>
      </c>
      <c r="Y83" s="310" t="s">
        <v>1032</v>
      </c>
      <c r="AA83" s="333">
        <v>42</v>
      </c>
      <c r="AB83" s="358">
        <v>1</v>
      </c>
      <c r="AC83" s="83" t="s">
        <v>1021</v>
      </c>
      <c r="AD83" s="83" t="s">
        <v>2314</v>
      </c>
      <c r="AH83" s="83" t="s">
        <v>2313</v>
      </c>
      <c r="AI83" s="325"/>
    </row>
    <row r="84" spans="1:40">
      <c r="A84" s="555">
        <v>830856</v>
      </c>
      <c r="B84" s="469" t="s">
        <v>2315</v>
      </c>
      <c r="C84" s="83" t="s">
        <v>2316</v>
      </c>
      <c r="D84" s="331" t="s">
        <v>162</v>
      </c>
      <c r="E84" s="83" t="s">
        <v>162</v>
      </c>
      <c r="F84" s="83" t="s">
        <v>2316</v>
      </c>
      <c r="G84" s="469" t="s">
        <v>162</v>
      </c>
      <c r="H84" s="83" t="s">
        <v>162</v>
      </c>
      <c r="I84" s="83" t="s">
        <v>1993</v>
      </c>
      <c r="J84" s="318" t="s">
        <v>2171</v>
      </c>
      <c r="K84" s="83" t="s">
        <v>2192</v>
      </c>
      <c r="L84" s="332">
        <v>15</v>
      </c>
      <c r="M84" s="83"/>
      <c r="N84" s="359"/>
      <c r="O84" s="83"/>
      <c r="P84" s="333">
        <v>125</v>
      </c>
      <c r="Q84" s="334">
        <v>1500</v>
      </c>
      <c r="R84" s="397">
        <v>0</v>
      </c>
      <c r="S84" s="83">
        <v>8.3333333333333329E-2</v>
      </c>
      <c r="T84" s="83">
        <v>0</v>
      </c>
      <c r="U84" s="356" t="s">
        <v>154</v>
      </c>
      <c r="V84" s="310" t="s">
        <v>947</v>
      </c>
      <c r="X84" s="83" t="s">
        <v>1002</v>
      </c>
      <c r="Y84" s="310" t="s">
        <v>1032</v>
      </c>
      <c r="AA84" s="333">
        <v>1170</v>
      </c>
      <c r="AB84" s="358">
        <v>1</v>
      </c>
      <c r="AC84" s="83" t="s">
        <v>958</v>
      </c>
      <c r="AD84" s="83" t="s">
        <v>1993</v>
      </c>
      <c r="AH84" s="83" t="s">
        <v>2316</v>
      </c>
      <c r="AI84" s="325"/>
    </row>
    <row r="85" spans="1:40">
      <c r="A85" s="555">
        <v>830859</v>
      </c>
      <c r="B85" s="469" t="s">
        <v>2317</v>
      </c>
      <c r="C85" s="83" t="s">
        <v>2198</v>
      </c>
      <c r="D85" s="331" t="s">
        <v>162</v>
      </c>
      <c r="E85" s="83" t="s">
        <v>1010</v>
      </c>
      <c r="F85" s="83" t="s">
        <v>2198</v>
      </c>
      <c r="G85" s="469" t="s">
        <v>162</v>
      </c>
      <c r="H85" s="83" t="s">
        <v>1010</v>
      </c>
      <c r="I85" s="83" t="s">
        <v>1076</v>
      </c>
      <c r="J85" s="318" t="s">
        <v>2171</v>
      </c>
      <c r="K85" s="83" t="s">
        <v>2192</v>
      </c>
      <c r="L85" s="332">
        <v>5</v>
      </c>
      <c r="M85" s="83"/>
      <c r="N85" s="359"/>
      <c r="O85" s="83"/>
      <c r="P85" s="333">
        <v>100</v>
      </c>
      <c r="Q85" s="334">
        <v>370.18</v>
      </c>
      <c r="R85" s="397">
        <v>0</v>
      </c>
      <c r="S85" s="83">
        <v>0.27013885136960397</v>
      </c>
      <c r="T85" s="83">
        <v>0</v>
      </c>
      <c r="U85" s="356" t="s">
        <v>154</v>
      </c>
      <c r="V85" s="310" t="s">
        <v>947</v>
      </c>
      <c r="X85" s="83" t="s">
        <v>1002</v>
      </c>
      <c r="Y85" s="310" t="s">
        <v>1032</v>
      </c>
      <c r="AA85" s="333">
        <v>239</v>
      </c>
      <c r="AB85" s="358">
        <v>1</v>
      </c>
      <c r="AC85" s="83" t="s">
        <v>2318</v>
      </c>
      <c r="AD85" s="83" t="s">
        <v>1076</v>
      </c>
      <c r="AH85" s="83" t="s">
        <v>2198</v>
      </c>
      <c r="AI85" s="325"/>
    </row>
    <row r="86" spans="1:40">
      <c r="A86" s="555">
        <v>830860</v>
      </c>
      <c r="B86" s="469" t="s">
        <v>2319</v>
      </c>
      <c r="C86" s="83" t="s">
        <v>2199</v>
      </c>
      <c r="D86" s="331" t="s">
        <v>162</v>
      </c>
      <c r="E86" s="83" t="s">
        <v>162</v>
      </c>
      <c r="F86" s="83" t="s">
        <v>2199</v>
      </c>
      <c r="G86" s="469" t="s">
        <v>162</v>
      </c>
      <c r="H86" s="83" t="s">
        <v>162</v>
      </c>
      <c r="I86" s="83" t="s">
        <v>2320</v>
      </c>
      <c r="J86" s="318" t="s">
        <v>2171</v>
      </c>
      <c r="K86" s="83" t="s">
        <v>2192</v>
      </c>
      <c r="L86" s="332">
        <v>4</v>
      </c>
      <c r="M86" s="83"/>
      <c r="N86" s="359"/>
      <c r="O86" s="83"/>
      <c r="P86" s="333">
        <v>70</v>
      </c>
      <c r="Q86" s="334">
        <v>1688.4</v>
      </c>
      <c r="R86" s="397">
        <v>0.193</v>
      </c>
      <c r="S86" s="83">
        <v>4.1459369817578771E-2</v>
      </c>
      <c r="T86" s="83">
        <v>362.6943005181347</v>
      </c>
      <c r="U86" s="356" t="s">
        <v>154</v>
      </c>
      <c r="V86" s="310" t="s">
        <v>947</v>
      </c>
      <c r="X86" s="83" t="s">
        <v>1002</v>
      </c>
      <c r="Y86" s="310" t="s">
        <v>1032</v>
      </c>
      <c r="AA86" s="333">
        <v>214.62</v>
      </c>
      <c r="AB86" s="358">
        <v>1</v>
      </c>
      <c r="AC86" s="83" t="s">
        <v>2321</v>
      </c>
      <c r="AD86" s="83" t="s">
        <v>2320</v>
      </c>
      <c r="AH86" s="83" t="s">
        <v>2199</v>
      </c>
      <c r="AI86" s="325"/>
    </row>
    <row r="87" spans="1:40">
      <c r="A87" s="555">
        <v>830852</v>
      </c>
      <c r="B87" s="469" t="s">
        <v>2322</v>
      </c>
      <c r="C87" s="83" t="s">
        <v>2323</v>
      </c>
      <c r="D87" s="331" t="s">
        <v>162</v>
      </c>
      <c r="E87" s="83" t="s">
        <v>162</v>
      </c>
      <c r="F87" s="83" t="s">
        <v>2323</v>
      </c>
      <c r="G87" s="469" t="s">
        <v>162</v>
      </c>
      <c r="H87" s="83" t="s">
        <v>162</v>
      </c>
      <c r="I87" s="83" t="s">
        <v>2320</v>
      </c>
      <c r="J87" s="318" t="s">
        <v>2171</v>
      </c>
      <c r="K87" s="83" t="s">
        <v>2192</v>
      </c>
      <c r="L87" s="332">
        <v>4</v>
      </c>
      <c r="M87" s="83"/>
      <c r="N87" s="359"/>
      <c r="O87" s="83"/>
      <c r="P87" s="333">
        <v>50</v>
      </c>
      <c r="Q87" s="334">
        <v>307.64999999999998</v>
      </c>
      <c r="R87" s="397">
        <v>3.5000000000000003E-2</v>
      </c>
      <c r="S87" s="83">
        <v>0.16252234682268812</v>
      </c>
      <c r="T87" s="83">
        <v>1428.5714285714284</v>
      </c>
      <c r="U87" s="356" t="s">
        <v>154</v>
      </c>
      <c r="V87" s="310" t="s">
        <v>947</v>
      </c>
      <c r="X87" s="83" t="s">
        <v>1002</v>
      </c>
      <c r="Y87" s="310" t="s">
        <v>1032</v>
      </c>
      <c r="AA87" s="333">
        <v>214.62</v>
      </c>
      <c r="AB87" s="358">
        <v>1</v>
      </c>
      <c r="AC87" s="83" t="s">
        <v>2321</v>
      </c>
      <c r="AD87" s="83" t="s">
        <v>2320</v>
      </c>
      <c r="AH87" s="83" t="s">
        <v>2323</v>
      </c>
      <c r="AI87" s="325"/>
    </row>
    <row r="88" spans="1:40">
      <c r="A88" s="555">
        <v>830853</v>
      </c>
      <c r="B88" s="469" t="s">
        <v>2324</v>
      </c>
      <c r="C88" s="83" t="s">
        <v>2325</v>
      </c>
      <c r="D88" s="331" t="s">
        <v>162</v>
      </c>
      <c r="E88" s="83" t="s">
        <v>162</v>
      </c>
      <c r="F88" s="83" t="s">
        <v>2325</v>
      </c>
      <c r="G88" s="469" t="s">
        <v>162</v>
      </c>
      <c r="H88" s="83" t="s">
        <v>162</v>
      </c>
      <c r="I88" s="83" t="s">
        <v>2320</v>
      </c>
      <c r="J88" s="318" t="s">
        <v>2171</v>
      </c>
      <c r="K88" s="83" t="s">
        <v>2192</v>
      </c>
      <c r="L88" s="332">
        <v>4</v>
      </c>
      <c r="M88" s="83"/>
      <c r="N88" s="359"/>
      <c r="O88" s="83"/>
      <c r="P88" s="333">
        <v>125</v>
      </c>
      <c r="Q88" s="334">
        <v>995.4</v>
      </c>
      <c r="R88" s="397">
        <v>0.114</v>
      </c>
      <c r="S88" s="83">
        <v>0.12557765722322684</v>
      </c>
      <c r="T88" s="83">
        <v>1096.4912280701753</v>
      </c>
      <c r="U88" s="356" t="s">
        <v>154</v>
      </c>
      <c r="V88" s="310" t="s">
        <v>947</v>
      </c>
      <c r="X88" s="83" t="s">
        <v>1002</v>
      </c>
      <c r="Y88" s="310" t="s">
        <v>1032</v>
      </c>
      <c r="AA88" s="333">
        <v>214.62</v>
      </c>
      <c r="AB88" s="358">
        <v>1</v>
      </c>
      <c r="AC88" s="83" t="s">
        <v>925</v>
      </c>
      <c r="AD88" s="83" t="s">
        <v>2320</v>
      </c>
      <c r="AH88" s="83" t="s">
        <v>2325</v>
      </c>
      <c r="AI88" s="325"/>
    </row>
    <row r="89" spans="1:40" ht="12.75" customHeight="1">
      <c r="A89" s="555">
        <v>830861</v>
      </c>
      <c r="B89" s="469" t="s">
        <v>2326</v>
      </c>
      <c r="C89" s="83" t="s">
        <v>2327</v>
      </c>
      <c r="D89" s="331" t="s">
        <v>162</v>
      </c>
      <c r="E89" s="83" t="s">
        <v>162</v>
      </c>
      <c r="F89" s="83" t="s">
        <v>2328</v>
      </c>
      <c r="G89" s="469" t="s">
        <v>162</v>
      </c>
      <c r="H89" s="83" t="s">
        <v>162</v>
      </c>
      <c r="I89" s="83" t="s">
        <v>2320</v>
      </c>
      <c r="J89" s="318" t="s">
        <v>2171</v>
      </c>
      <c r="K89" s="83" t="s">
        <v>2192</v>
      </c>
      <c r="L89" s="332">
        <v>4</v>
      </c>
      <c r="M89" s="83"/>
      <c r="N89" s="359"/>
      <c r="O89" s="83"/>
      <c r="P89" s="333">
        <v>175</v>
      </c>
      <c r="Q89" s="334">
        <v>10374</v>
      </c>
      <c r="R89" s="397">
        <v>1.1830000000000001</v>
      </c>
      <c r="S89" s="83">
        <v>1.6869095816464237E-2</v>
      </c>
      <c r="T89" s="83">
        <v>147.92899408284023</v>
      </c>
      <c r="U89" s="356" t="s">
        <v>154</v>
      </c>
      <c r="V89" s="310" t="s">
        <v>947</v>
      </c>
      <c r="X89" s="83" t="s">
        <v>1002</v>
      </c>
      <c r="Y89" s="310" t="s">
        <v>1032</v>
      </c>
      <c r="AA89" s="333">
        <v>214.62</v>
      </c>
      <c r="AB89" s="358">
        <v>1</v>
      </c>
      <c r="AC89" s="83" t="s">
        <v>925</v>
      </c>
      <c r="AD89" s="83" t="s">
        <v>2320</v>
      </c>
      <c r="AH89" s="83" t="s">
        <v>2328</v>
      </c>
      <c r="AI89" s="325"/>
    </row>
    <row r="90" spans="1:40" ht="12.75" customHeight="1">
      <c r="A90" s="516"/>
      <c r="B90" s="587"/>
      <c r="C90" s="587"/>
      <c r="D90" s="587"/>
      <c r="E90" s="587"/>
      <c r="F90" s="587"/>
      <c r="G90" s="587"/>
      <c r="H90" s="587"/>
      <c r="I90" s="587"/>
      <c r="J90" s="318"/>
      <c r="K90" s="587"/>
      <c r="L90" s="588"/>
      <c r="M90" s="518"/>
      <c r="N90" s="589"/>
      <c r="O90" s="519"/>
      <c r="P90" s="519"/>
      <c r="Q90" s="590"/>
      <c r="R90" s="520"/>
      <c r="S90" s="374"/>
      <c r="T90" s="374"/>
      <c r="U90" s="374"/>
      <c r="V90" s="374"/>
      <c r="W90" s="374"/>
      <c r="X90" s="374"/>
      <c r="Y90" s="374"/>
      <c r="Z90" s="374"/>
      <c r="AA90" s="519"/>
      <c r="AB90" s="591"/>
      <c r="AC90" s="587"/>
      <c r="AD90" s="587"/>
      <c r="AE90" s="374"/>
      <c r="AF90" s="374"/>
      <c r="AG90" s="374"/>
      <c r="AH90" s="587"/>
      <c r="AI90" s="587"/>
      <c r="AJ90" s="374"/>
      <c r="AK90" s="374"/>
    </row>
    <row r="91" spans="1:40" ht="12.75" customHeight="1"/>
    <row r="92" spans="1:40">
      <c r="A92" s="349" t="s">
        <v>852</v>
      </c>
      <c r="B92" s="310" t="s">
        <v>853</v>
      </c>
      <c r="C92" s="310" t="s">
        <v>854</v>
      </c>
      <c r="D92" s="310" t="s">
        <v>855</v>
      </c>
      <c r="E92" s="310" t="s">
        <v>856</v>
      </c>
      <c r="F92" s="310" t="s">
        <v>144</v>
      </c>
      <c r="G92" s="310" t="s">
        <v>857</v>
      </c>
      <c r="H92" s="310" t="s">
        <v>858</v>
      </c>
      <c r="I92" s="310" t="s">
        <v>145</v>
      </c>
      <c r="J92" s="374" t="s">
        <v>1454</v>
      </c>
      <c r="K92" s="311" t="s">
        <v>859</v>
      </c>
      <c r="L92" s="310" t="s">
        <v>148</v>
      </c>
      <c r="M92" s="312" t="s">
        <v>860</v>
      </c>
      <c r="N92" s="310" t="s">
        <v>153</v>
      </c>
      <c r="O92" s="310" t="s">
        <v>687</v>
      </c>
      <c r="P92" s="310" t="s">
        <v>147</v>
      </c>
      <c r="Q92" s="310" t="s">
        <v>150</v>
      </c>
      <c r="R92" s="399" t="s">
        <v>861</v>
      </c>
      <c r="S92" s="310" t="s">
        <v>862</v>
      </c>
      <c r="T92" s="310" t="s">
        <v>863</v>
      </c>
      <c r="U92" s="310" t="s">
        <v>142</v>
      </c>
      <c r="V92" s="310" t="s">
        <v>0</v>
      </c>
      <c r="W92" s="310" t="s">
        <v>864</v>
      </c>
      <c r="X92" s="310" t="s">
        <v>489</v>
      </c>
      <c r="Y92" s="310" t="s">
        <v>152</v>
      </c>
      <c r="Z92" s="310" t="s">
        <v>817</v>
      </c>
      <c r="AA92" s="310" t="s">
        <v>151</v>
      </c>
      <c r="AB92" s="310" t="s">
        <v>865</v>
      </c>
      <c r="AC92" s="310" t="s">
        <v>100</v>
      </c>
      <c r="AD92" s="315" t="s">
        <v>169</v>
      </c>
      <c r="AE92" s="315" t="s">
        <v>170</v>
      </c>
      <c r="AF92" s="315" t="s">
        <v>173</v>
      </c>
      <c r="AG92" s="315" t="s">
        <v>220</v>
      </c>
      <c r="AH92" s="315" t="s">
        <v>171</v>
      </c>
      <c r="AI92" s="315" t="s">
        <v>172</v>
      </c>
      <c r="AJ92" s="315" t="s">
        <v>174</v>
      </c>
      <c r="AK92" s="315" t="s">
        <v>188</v>
      </c>
      <c r="AL92" s="507" t="s">
        <v>1853</v>
      </c>
      <c r="AM92" s="507" t="s">
        <v>1854</v>
      </c>
      <c r="AN92" s="315" t="s">
        <v>2214</v>
      </c>
    </row>
    <row r="93" spans="1:40" ht="12.75" customHeight="1">
      <c r="A93" s="56">
        <v>820745</v>
      </c>
      <c r="B93" s="83" t="s">
        <v>2329</v>
      </c>
      <c r="C93" s="83" t="s">
        <v>2196</v>
      </c>
      <c r="D93" s="83" t="s">
        <v>160</v>
      </c>
      <c r="E93" s="83" t="s">
        <v>160</v>
      </c>
      <c r="F93" s="83" t="s">
        <v>2196</v>
      </c>
      <c r="G93" s="83" t="s">
        <v>1845</v>
      </c>
      <c r="H93" s="83" t="s">
        <v>160</v>
      </c>
      <c r="I93" s="83" t="s">
        <v>2189</v>
      </c>
      <c r="J93" s="318" t="s">
        <v>2171</v>
      </c>
      <c r="K93" s="311" t="s">
        <v>2192</v>
      </c>
      <c r="L93" s="332">
        <v>23</v>
      </c>
      <c r="O93" s="313" t="s">
        <v>160</v>
      </c>
      <c r="P93" s="333">
        <v>5</v>
      </c>
      <c r="Q93" s="333">
        <v>177</v>
      </c>
      <c r="R93" s="333">
        <v>0.09</v>
      </c>
      <c r="S93" s="310">
        <v>2.8248587570621469E-2</v>
      </c>
      <c r="T93" s="310">
        <v>55.555555555555557</v>
      </c>
      <c r="U93" s="356" t="s">
        <v>154</v>
      </c>
      <c r="V93" s="310" t="s">
        <v>947</v>
      </c>
      <c r="W93" s="310" t="s">
        <v>1846</v>
      </c>
      <c r="X93" s="310" t="s">
        <v>1002</v>
      </c>
      <c r="Y93" s="325" t="s">
        <v>1032</v>
      </c>
      <c r="AA93" s="333">
        <v>424</v>
      </c>
      <c r="AC93" s="522" t="s">
        <v>2243</v>
      </c>
      <c r="AD93" t="s">
        <v>2220</v>
      </c>
      <c r="AE93" s="310">
        <v>13.7</v>
      </c>
      <c r="AF93" s="310" t="s">
        <v>2403</v>
      </c>
      <c r="AG93" s="310">
        <v>10.1</v>
      </c>
      <c r="AH93" s="379" t="s">
        <v>2196</v>
      </c>
      <c r="AI93" s="379" t="s">
        <v>2196</v>
      </c>
      <c r="AJ93" s="514">
        <v>0</v>
      </c>
      <c r="AK93" s="514">
        <v>150</v>
      </c>
      <c r="AL93" s="501">
        <v>1019</v>
      </c>
      <c r="AM93" s="501">
        <v>1508</v>
      </c>
      <c r="AN93" s="374"/>
    </row>
    <row r="94" spans="1:40" ht="12.75" customHeight="1">
      <c r="A94" s="56">
        <v>820738</v>
      </c>
      <c r="B94" s="83" t="s">
        <v>2145</v>
      </c>
      <c r="C94" s="325" t="s">
        <v>2053</v>
      </c>
      <c r="D94" s="325" t="s">
        <v>160</v>
      </c>
      <c r="E94" s="325" t="s">
        <v>160</v>
      </c>
      <c r="F94" s="325" t="s">
        <v>2053</v>
      </c>
      <c r="G94" s="325" t="s">
        <v>1845</v>
      </c>
      <c r="H94" s="325" t="s">
        <v>160</v>
      </c>
      <c r="I94" s="325" t="s">
        <v>2190</v>
      </c>
      <c r="J94" s="318" t="s">
        <v>2171</v>
      </c>
      <c r="K94" s="311" t="s">
        <v>2192</v>
      </c>
      <c r="L94" s="332">
        <v>16</v>
      </c>
      <c r="O94" s="313" t="s">
        <v>160</v>
      </c>
      <c r="P94" s="333">
        <v>22</v>
      </c>
      <c r="Q94" s="333">
        <v>2175.54</v>
      </c>
      <c r="R94" s="333">
        <v>0.20100000000000001</v>
      </c>
      <c r="S94" s="310">
        <v>1.0112431855998971E-2</v>
      </c>
      <c r="T94" s="310">
        <v>109.45273631840796</v>
      </c>
      <c r="U94" s="356" t="s">
        <v>154</v>
      </c>
      <c r="V94" s="310" t="s">
        <v>947</v>
      </c>
      <c r="W94" s="310" t="s">
        <v>1846</v>
      </c>
      <c r="X94" s="310" t="s">
        <v>1002</v>
      </c>
      <c r="Y94" s="325" t="s">
        <v>1032</v>
      </c>
      <c r="AA94" s="333">
        <v>100</v>
      </c>
      <c r="AC94" s="325" t="s">
        <v>1847</v>
      </c>
      <c r="AD94" s="512" t="s">
        <v>2130</v>
      </c>
      <c r="AE94" s="512">
        <v>13.4</v>
      </c>
      <c r="AF94" s="512" t="s">
        <v>2131</v>
      </c>
      <c r="AG94" s="512">
        <v>6.7</v>
      </c>
      <c r="AH94" s="556" t="s">
        <v>2055</v>
      </c>
      <c r="AI94" s="556" t="s">
        <v>2055</v>
      </c>
      <c r="AJ94" s="514">
        <v>0</v>
      </c>
      <c r="AK94" s="547">
        <v>5.41</v>
      </c>
      <c r="AL94" s="501">
        <v>1019</v>
      </c>
      <c r="AM94" s="501">
        <v>1508</v>
      </c>
      <c r="AN94" s="374"/>
    </row>
    <row r="95" spans="1:40" ht="12.75" customHeight="1">
      <c r="A95" s="56">
        <v>820719</v>
      </c>
      <c r="B95" s="83" t="s">
        <v>2041</v>
      </c>
      <c r="C95" s="325" t="s">
        <v>2031</v>
      </c>
      <c r="D95" s="325" t="s">
        <v>160</v>
      </c>
      <c r="E95" s="325" t="s">
        <v>160</v>
      </c>
      <c r="F95" s="325" t="s">
        <v>2031</v>
      </c>
      <c r="G95" s="325" t="s">
        <v>1845</v>
      </c>
      <c r="H95" s="325" t="s">
        <v>160</v>
      </c>
      <c r="I95" s="325" t="s">
        <v>2190</v>
      </c>
      <c r="J95" s="318" t="s">
        <v>2171</v>
      </c>
      <c r="K95" s="311" t="s">
        <v>2192</v>
      </c>
      <c r="L95" s="332">
        <v>16</v>
      </c>
      <c r="O95" s="313" t="s">
        <v>160</v>
      </c>
      <c r="P95" s="333">
        <v>26</v>
      </c>
      <c r="Q95" s="333">
        <v>1241.55</v>
      </c>
      <c r="R95" s="333">
        <v>0.41099999999999998</v>
      </c>
      <c r="S95" s="310">
        <v>2.0941564979259798E-2</v>
      </c>
      <c r="T95" s="310">
        <v>63.260340632603409</v>
      </c>
      <c r="U95" s="356" t="s">
        <v>154</v>
      </c>
      <c r="V95" s="310" t="s">
        <v>947</v>
      </c>
      <c r="W95" s="310" t="s">
        <v>1846</v>
      </c>
      <c r="X95" s="310" t="s">
        <v>1002</v>
      </c>
      <c r="Y95" s="325" t="s">
        <v>1032</v>
      </c>
      <c r="AA95" s="333">
        <v>100</v>
      </c>
      <c r="AC95" s="511" t="s">
        <v>1848</v>
      </c>
      <c r="AD95" s="515" t="s">
        <v>1851</v>
      </c>
      <c r="AE95" s="595">
        <v>12.3</v>
      </c>
      <c r="AF95" s="515" t="s">
        <v>1852</v>
      </c>
      <c r="AG95" s="515">
        <v>3.2</v>
      </c>
      <c r="AH95" s="557" t="s">
        <v>2018</v>
      </c>
      <c r="AI95" s="557" t="s">
        <v>2018</v>
      </c>
      <c r="AJ95" s="514">
        <v>20</v>
      </c>
      <c r="AK95" s="514">
        <v>100</v>
      </c>
      <c r="AL95" s="501">
        <v>1019</v>
      </c>
      <c r="AM95" s="501">
        <v>1508</v>
      </c>
      <c r="AN95" s="374"/>
    </row>
    <row r="96" spans="1:40" ht="12.75" customHeight="1">
      <c r="A96" s="56">
        <v>820718</v>
      </c>
      <c r="B96" s="83" t="s">
        <v>2040</v>
      </c>
      <c r="C96" s="325" t="s">
        <v>2030</v>
      </c>
      <c r="D96" s="325" t="s">
        <v>160</v>
      </c>
      <c r="E96" s="325" t="s">
        <v>160</v>
      </c>
      <c r="F96" s="325" t="s">
        <v>2030</v>
      </c>
      <c r="G96" s="325" t="s">
        <v>1845</v>
      </c>
      <c r="H96" s="325" t="s">
        <v>160</v>
      </c>
      <c r="I96" s="325" t="s">
        <v>2190</v>
      </c>
      <c r="J96" s="318" t="s">
        <v>2171</v>
      </c>
      <c r="K96" s="311" t="s">
        <v>2192</v>
      </c>
      <c r="L96" s="332">
        <v>16</v>
      </c>
      <c r="O96" s="313" t="s">
        <v>160</v>
      </c>
      <c r="P96" s="333">
        <v>26</v>
      </c>
      <c r="Q96" s="333">
        <v>2633.24</v>
      </c>
      <c r="R96" s="333">
        <v>1.823</v>
      </c>
      <c r="S96" s="310">
        <v>9.8737676778417466E-3</v>
      </c>
      <c r="T96" s="310">
        <v>14.26220515633571</v>
      </c>
      <c r="U96" s="356" t="s">
        <v>154</v>
      </c>
      <c r="V96" s="310" t="s">
        <v>947</v>
      </c>
      <c r="W96" s="310" t="s">
        <v>1846</v>
      </c>
      <c r="X96" s="310" t="s">
        <v>1002</v>
      </c>
      <c r="Y96" s="325" t="s">
        <v>1032</v>
      </c>
      <c r="AA96" s="333">
        <v>100</v>
      </c>
      <c r="AC96" s="511" t="s">
        <v>1848</v>
      </c>
      <c r="AD96" s="512" t="s">
        <v>1851</v>
      </c>
      <c r="AE96" s="512">
        <v>13.3</v>
      </c>
      <c r="AF96" s="512" t="s">
        <v>1852</v>
      </c>
      <c r="AG96" s="512">
        <v>3.3</v>
      </c>
      <c r="AH96" s="556" t="s">
        <v>2023</v>
      </c>
      <c r="AI96" s="556" t="s">
        <v>2023</v>
      </c>
      <c r="AJ96" s="514">
        <v>11.25</v>
      </c>
      <c r="AK96" s="514">
        <v>19.999999899999999</v>
      </c>
      <c r="AL96" s="501">
        <v>1019</v>
      </c>
      <c r="AM96" s="501"/>
      <c r="AN96" s="374"/>
    </row>
    <row r="97" spans="1:40" ht="12.75" customHeight="1">
      <c r="A97" s="56">
        <v>820717</v>
      </c>
      <c r="B97" s="83" t="s">
        <v>2042</v>
      </c>
      <c r="C97" s="325" t="s">
        <v>2032</v>
      </c>
      <c r="D97" s="325" t="s">
        <v>160</v>
      </c>
      <c r="E97" s="325" t="s">
        <v>160</v>
      </c>
      <c r="F97" s="325" t="s">
        <v>2032</v>
      </c>
      <c r="G97" s="325" t="s">
        <v>1845</v>
      </c>
      <c r="H97" s="325" t="s">
        <v>160</v>
      </c>
      <c r="I97" s="325" t="s">
        <v>2190</v>
      </c>
      <c r="J97" s="318" t="s">
        <v>2171</v>
      </c>
      <c r="K97" s="311" t="s">
        <v>2192</v>
      </c>
      <c r="L97" s="332">
        <v>16</v>
      </c>
      <c r="O97" s="313" t="s">
        <v>160</v>
      </c>
      <c r="P97" s="333">
        <v>26</v>
      </c>
      <c r="Q97" s="333">
        <v>1267.58</v>
      </c>
      <c r="R97" s="333">
        <v>1.1950000000000001</v>
      </c>
      <c r="S97" s="310">
        <v>2.0511525899745975E-2</v>
      </c>
      <c r="T97" s="310">
        <v>21.757322175732217</v>
      </c>
      <c r="U97" s="356" t="s">
        <v>154</v>
      </c>
      <c r="V97" s="310" t="s">
        <v>947</v>
      </c>
      <c r="W97" s="310" t="s">
        <v>1846</v>
      </c>
      <c r="X97" s="310" t="s">
        <v>1002</v>
      </c>
      <c r="Y97" s="325" t="s">
        <v>1032</v>
      </c>
      <c r="AA97" s="333">
        <v>100</v>
      </c>
      <c r="AC97" s="511" t="s">
        <v>1848</v>
      </c>
      <c r="AD97" s="512" t="s">
        <v>1851</v>
      </c>
      <c r="AE97" s="512">
        <v>13.9</v>
      </c>
      <c r="AF97" s="512" t="s">
        <v>1852</v>
      </c>
      <c r="AG97" s="512">
        <v>3.4</v>
      </c>
      <c r="AH97" s="556" t="s">
        <v>2017</v>
      </c>
      <c r="AI97" s="556" t="s">
        <v>2017</v>
      </c>
      <c r="AJ97" s="514">
        <v>5.416666666666667</v>
      </c>
      <c r="AK97" s="514">
        <v>11.24</v>
      </c>
      <c r="AL97" s="501">
        <v>1019</v>
      </c>
      <c r="AM97" s="501">
        <v>1508</v>
      </c>
      <c r="AN97" s="374"/>
    </row>
    <row r="98" spans="1:40" ht="12.75" customHeight="1">
      <c r="A98" s="56">
        <v>820739</v>
      </c>
      <c r="B98" s="83" t="s">
        <v>2146</v>
      </c>
      <c r="C98" s="325" t="s">
        <v>2054</v>
      </c>
      <c r="D98" s="325" t="s">
        <v>160</v>
      </c>
      <c r="E98" s="325" t="s">
        <v>160</v>
      </c>
      <c r="F98" s="325" t="s">
        <v>2054</v>
      </c>
      <c r="G98" s="325" t="s">
        <v>1845</v>
      </c>
      <c r="H98" s="325" t="s">
        <v>160</v>
      </c>
      <c r="I98" s="349" t="s">
        <v>2191</v>
      </c>
      <c r="J98" s="318" t="s">
        <v>2171</v>
      </c>
      <c r="K98" s="311" t="s">
        <v>2192</v>
      </c>
      <c r="L98" s="332">
        <v>15</v>
      </c>
      <c r="O98" s="313" t="s">
        <v>160</v>
      </c>
      <c r="P98" s="333">
        <v>20</v>
      </c>
      <c r="Q98" s="333">
        <v>196.14</v>
      </c>
      <c r="R98" s="333">
        <v>0.14000000000000001</v>
      </c>
      <c r="S98" s="310">
        <v>0.10196798205363516</v>
      </c>
      <c r="T98" s="310">
        <v>142.85714285714283</v>
      </c>
      <c r="U98" s="356" t="s">
        <v>154</v>
      </c>
      <c r="V98" s="310" t="s">
        <v>947</v>
      </c>
      <c r="W98" s="310" t="s">
        <v>1846</v>
      </c>
      <c r="X98" s="310" t="s">
        <v>1002</v>
      </c>
      <c r="Y98" s="325" t="s">
        <v>1032</v>
      </c>
      <c r="AA98" s="333">
        <v>63</v>
      </c>
      <c r="AC98" s="325" t="s">
        <v>1847</v>
      </c>
      <c r="AD98" t="s">
        <v>2130</v>
      </c>
      <c r="AE98" s="310">
        <v>13.4</v>
      </c>
      <c r="AF98" s="310" t="s">
        <v>1850</v>
      </c>
      <c r="AG98" s="310">
        <v>11.180000000000003</v>
      </c>
      <c r="AH98" s="379" t="s">
        <v>2056</v>
      </c>
      <c r="AI98" s="379" t="s">
        <v>2056</v>
      </c>
      <c r="AJ98" s="514">
        <v>0</v>
      </c>
      <c r="AK98" s="514">
        <v>5.41</v>
      </c>
      <c r="AL98" s="501">
        <v>1019</v>
      </c>
      <c r="AM98" s="501">
        <v>0</v>
      </c>
      <c r="AN98" s="374"/>
    </row>
    <row r="99" spans="1:40" ht="12.75" customHeight="1">
      <c r="A99" s="56">
        <v>820728</v>
      </c>
      <c r="B99" s="83" t="s">
        <v>2043</v>
      </c>
      <c r="C99" s="325" t="s">
        <v>2036</v>
      </c>
      <c r="D99" s="325" t="s">
        <v>160</v>
      </c>
      <c r="E99" s="325" t="s">
        <v>160</v>
      </c>
      <c r="F99" s="325" t="s">
        <v>2036</v>
      </c>
      <c r="G99" s="325" t="s">
        <v>1845</v>
      </c>
      <c r="H99" s="325" t="s">
        <v>160</v>
      </c>
      <c r="I99" s="349" t="s">
        <v>2191</v>
      </c>
      <c r="J99" s="318" t="s">
        <v>2171</v>
      </c>
      <c r="K99" s="311" t="s">
        <v>2192</v>
      </c>
      <c r="L99" s="332">
        <v>15</v>
      </c>
      <c r="O99" s="313" t="s">
        <v>160</v>
      </c>
      <c r="P99" s="333">
        <v>26</v>
      </c>
      <c r="Q99" s="333">
        <v>4852.38</v>
      </c>
      <c r="R99" s="333">
        <v>6.2110000000000003</v>
      </c>
      <c r="S99" s="310">
        <v>5.3581953598028182E-3</v>
      </c>
      <c r="T99" s="310">
        <v>4.1861213975205276</v>
      </c>
      <c r="U99" s="356" t="s">
        <v>154</v>
      </c>
      <c r="V99" s="310" t="s">
        <v>947</v>
      </c>
      <c r="W99" s="310" t="s">
        <v>1846</v>
      </c>
      <c r="X99" s="310" t="s">
        <v>1002</v>
      </c>
      <c r="Y99" s="325" t="s">
        <v>1032</v>
      </c>
      <c r="AA99" s="333">
        <v>19</v>
      </c>
      <c r="AC99" s="511" t="s">
        <v>1849</v>
      </c>
      <c r="AD99" s="512" t="s">
        <v>1851</v>
      </c>
      <c r="AE99" s="512">
        <v>11.2</v>
      </c>
      <c r="AF99" s="512" t="s">
        <v>1850</v>
      </c>
      <c r="AG99" s="512">
        <v>9.5</v>
      </c>
      <c r="AH99" s="393" t="s">
        <v>2022</v>
      </c>
      <c r="AI99" s="393" t="s">
        <v>2022</v>
      </c>
      <c r="AJ99" s="514">
        <v>63.333333333333336</v>
      </c>
      <c r="AK99" s="514">
        <v>150</v>
      </c>
      <c r="AL99" s="501">
        <v>1019</v>
      </c>
      <c r="AM99" s="501">
        <v>0</v>
      </c>
      <c r="AN99" s="374"/>
    </row>
    <row r="100" spans="1:40" ht="12.75" customHeight="1">
      <c r="A100" s="56">
        <v>820740</v>
      </c>
      <c r="B100" s="83" t="s">
        <v>2147</v>
      </c>
      <c r="C100" s="325" t="s">
        <v>2033</v>
      </c>
      <c r="D100" s="325" t="s">
        <v>160</v>
      </c>
      <c r="E100" s="325" t="s">
        <v>160</v>
      </c>
      <c r="F100" s="325" t="s">
        <v>2033</v>
      </c>
      <c r="G100" s="325" t="s">
        <v>1845</v>
      </c>
      <c r="H100" s="325" t="s">
        <v>160</v>
      </c>
      <c r="I100" s="349" t="s">
        <v>2191</v>
      </c>
      <c r="J100" s="318" t="s">
        <v>2171</v>
      </c>
      <c r="K100" s="311" t="s">
        <v>2192</v>
      </c>
      <c r="L100" s="332">
        <v>15</v>
      </c>
      <c r="O100" s="313" t="s">
        <v>160</v>
      </c>
      <c r="P100" s="333">
        <v>22</v>
      </c>
      <c r="Q100" s="333">
        <v>742.48</v>
      </c>
      <c r="R100" s="333">
        <v>0.95</v>
      </c>
      <c r="S100" s="310">
        <v>2.9630427755629782E-2</v>
      </c>
      <c r="T100" s="310">
        <v>23.157894736842106</v>
      </c>
      <c r="U100" s="356" t="s">
        <v>154</v>
      </c>
      <c r="V100" s="310" t="s">
        <v>947</v>
      </c>
      <c r="W100" s="310" t="s">
        <v>1846</v>
      </c>
      <c r="X100" s="310" t="s">
        <v>1002</v>
      </c>
      <c r="Y100" s="325" t="s">
        <v>1032</v>
      </c>
      <c r="AA100" s="333">
        <v>63</v>
      </c>
      <c r="AC100" s="511" t="s">
        <v>1849</v>
      </c>
      <c r="AD100" s="512" t="s">
        <v>1851</v>
      </c>
      <c r="AE100" s="514">
        <v>14.2</v>
      </c>
      <c r="AF100" s="512" t="s">
        <v>1850</v>
      </c>
      <c r="AG100" s="512">
        <v>10.8</v>
      </c>
      <c r="AH100" s="556" t="s">
        <v>2019</v>
      </c>
      <c r="AI100" s="556" t="s">
        <v>2019</v>
      </c>
      <c r="AJ100" s="514">
        <v>11.25</v>
      </c>
      <c r="AK100" s="514">
        <v>19.999999899999999</v>
      </c>
      <c r="AL100" s="501">
        <v>1019</v>
      </c>
      <c r="AM100" s="501">
        <v>0</v>
      </c>
      <c r="AN100" s="374"/>
    </row>
    <row r="101" spans="1:40" ht="12.75" customHeight="1">
      <c r="A101" s="56">
        <v>820741</v>
      </c>
      <c r="B101" s="83" t="s">
        <v>2148</v>
      </c>
      <c r="C101" s="325" t="s">
        <v>2034</v>
      </c>
      <c r="D101" s="325" t="s">
        <v>160</v>
      </c>
      <c r="E101" s="325" t="s">
        <v>160</v>
      </c>
      <c r="F101" s="325" t="s">
        <v>2034</v>
      </c>
      <c r="G101" s="325" t="s">
        <v>1845</v>
      </c>
      <c r="H101" s="325" t="s">
        <v>160</v>
      </c>
      <c r="I101" s="349" t="s">
        <v>2191</v>
      </c>
      <c r="J101" s="318" t="s">
        <v>2171</v>
      </c>
      <c r="K101" s="311" t="s">
        <v>2192</v>
      </c>
      <c r="L101" s="332">
        <v>15</v>
      </c>
      <c r="O101" s="313" t="s">
        <v>160</v>
      </c>
      <c r="P101" s="333">
        <v>22</v>
      </c>
      <c r="Q101" s="333">
        <v>3751.77</v>
      </c>
      <c r="R101" s="333">
        <v>4.8019999999999996</v>
      </c>
      <c r="S101" s="310">
        <v>5.8638989063828544E-3</v>
      </c>
      <c r="T101" s="310">
        <v>4.5814244064972929</v>
      </c>
      <c r="U101" s="356" t="s">
        <v>154</v>
      </c>
      <c r="V101" s="310" t="s">
        <v>947</v>
      </c>
      <c r="W101" s="310" t="s">
        <v>1846</v>
      </c>
      <c r="X101" s="310" t="s">
        <v>1002</v>
      </c>
      <c r="Y101" s="325" t="s">
        <v>1032</v>
      </c>
      <c r="AA101" s="333">
        <v>19</v>
      </c>
      <c r="AC101" s="511" t="s">
        <v>1849</v>
      </c>
      <c r="AD101" s="512" t="s">
        <v>1851</v>
      </c>
      <c r="AE101" s="512">
        <v>13.2</v>
      </c>
      <c r="AF101" s="512" t="s">
        <v>1850</v>
      </c>
      <c r="AG101" s="512">
        <v>9.8000000000000007</v>
      </c>
      <c r="AH101" s="393" t="s">
        <v>2020</v>
      </c>
      <c r="AI101" s="393" t="s">
        <v>2020</v>
      </c>
      <c r="AJ101" s="514">
        <v>20</v>
      </c>
      <c r="AK101" s="514">
        <v>63.2</v>
      </c>
      <c r="AL101" s="501">
        <v>1019</v>
      </c>
      <c r="AM101" s="501">
        <v>0</v>
      </c>
      <c r="AN101" s="374"/>
    </row>
    <row r="102" spans="1:40" ht="15" customHeight="1">
      <c r="A102" s="56">
        <v>820742</v>
      </c>
      <c r="B102" s="83" t="s">
        <v>2149</v>
      </c>
      <c r="C102" s="325" t="s">
        <v>2035</v>
      </c>
      <c r="D102" s="325" t="s">
        <v>160</v>
      </c>
      <c r="E102" s="325" t="s">
        <v>160</v>
      </c>
      <c r="F102" s="325" t="s">
        <v>2035</v>
      </c>
      <c r="G102" s="325" t="s">
        <v>1845</v>
      </c>
      <c r="H102" s="325" t="s">
        <v>160</v>
      </c>
      <c r="I102" s="349" t="s">
        <v>2191</v>
      </c>
      <c r="J102" s="318" t="s">
        <v>2171</v>
      </c>
      <c r="K102" s="311" t="s">
        <v>2192</v>
      </c>
      <c r="L102" s="332">
        <v>15</v>
      </c>
      <c r="O102" s="313" t="s">
        <v>160</v>
      </c>
      <c r="P102" s="333">
        <v>20</v>
      </c>
      <c r="Q102" s="333">
        <v>177.56</v>
      </c>
      <c r="R102" s="333">
        <v>0.22700000000000001</v>
      </c>
      <c r="S102" s="310">
        <v>0.11263798152737103</v>
      </c>
      <c r="T102" s="310">
        <v>88.105726872246692</v>
      </c>
      <c r="U102" s="356" t="s">
        <v>154</v>
      </c>
      <c r="V102" s="310" t="s">
        <v>947</v>
      </c>
      <c r="W102" s="310" t="s">
        <v>1846</v>
      </c>
      <c r="X102" s="310" t="s">
        <v>1002</v>
      </c>
      <c r="Y102" s="325" t="s">
        <v>1032</v>
      </c>
      <c r="AA102" s="333">
        <v>63</v>
      </c>
      <c r="AC102" s="511" t="s">
        <v>1849</v>
      </c>
      <c r="AD102" s="512" t="s">
        <v>1851</v>
      </c>
      <c r="AE102" s="512">
        <v>14.8</v>
      </c>
      <c r="AF102" s="512" t="s">
        <v>1850</v>
      </c>
      <c r="AG102" s="514">
        <v>11</v>
      </c>
      <c r="AH102" s="556" t="s">
        <v>2021</v>
      </c>
      <c r="AI102" s="556" t="s">
        <v>2021</v>
      </c>
      <c r="AJ102" s="514">
        <v>5.416666666666667</v>
      </c>
      <c r="AK102" s="514">
        <v>11.24</v>
      </c>
      <c r="AL102" s="501">
        <v>1019</v>
      </c>
      <c r="AM102" s="501">
        <v>0</v>
      </c>
      <c r="AN102" s="374"/>
    </row>
    <row r="103" spans="1:40" ht="12.75" customHeight="1">
      <c r="A103" s="56">
        <v>820721</v>
      </c>
      <c r="B103" s="83" t="s">
        <v>2044</v>
      </c>
      <c r="C103" s="325" t="s">
        <v>2374</v>
      </c>
      <c r="D103" s="325" t="s">
        <v>160</v>
      </c>
      <c r="E103" s="325" t="s">
        <v>160</v>
      </c>
      <c r="F103" s="325" t="s">
        <v>2374</v>
      </c>
      <c r="G103" s="325" t="s">
        <v>1845</v>
      </c>
      <c r="H103" s="325" t="s">
        <v>160</v>
      </c>
      <c r="I103" s="325" t="s">
        <v>2190</v>
      </c>
      <c r="J103" s="318" t="s">
        <v>2171</v>
      </c>
      <c r="K103" s="311" t="s">
        <v>2192</v>
      </c>
      <c r="L103" s="332">
        <v>25</v>
      </c>
      <c r="O103" s="313" t="s">
        <v>160</v>
      </c>
      <c r="P103" s="333">
        <v>18.5</v>
      </c>
      <c r="Q103" s="333">
        <v>801.01</v>
      </c>
      <c r="R103" s="333">
        <v>0.224</v>
      </c>
      <c r="S103" s="310">
        <v>2.3095841500106115E-2</v>
      </c>
      <c r="T103" s="310">
        <v>82.589285714285708</v>
      </c>
      <c r="U103" s="356" t="s">
        <v>154</v>
      </c>
      <c r="V103" s="310" t="s">
        <v>947</v>
      </c>
      <c r="W103" s="310" t="s">
        <v>1846</v>
      </c>
      <c r="X103" s="310" t="s">
        <v>1002</v>
      </c>
      <c r="Y103" s="325" t="s">
        <v>1032</v>
      </c>
      <c r="AA103" s="333">
        <v>3761</v>
      </c>
      <c r="AC103" s="325" t="s">
        <v>1848</v>
      </c>
      <c r="AD103" s="9" t="s">
        <v>1850</v>
      </c>
      <c r="AE103" s="310">
        <v>16.3</v>
      </c>
      <c r="AF103" s="310" t="s">
        <v>1852</v>
      </c>
      <c r="AG103" s="310">
        <v>3.7</v>
      </c>
      <c r="AH103" s="379" t="s">
        <v>2379</v>
      </c>
      <c r="AI103" s="379" t="s">
        <v>2379</v>
      </c>
      <c r="AJ103" s="514">
        <v>0</v>
      </c>
      <c r="AK103" s="514">
        <v>11.24</v>
      </c>
      <c r="AL103" s="501">
        <v>1019</v>
      </c>
      <c r="AM103" s="501">
        <v>1508</v>
      </c>
      <c r="AN103" s="374"/>
    </row>
    <row r="104" spans="1:40" ht="12.75" customHeight="1">
      <c r="A104" s="56">
        <v>820720</v>
      </c>
      <c r="B104" s="83" t="s">
        <v>2047</v>
      </c>
      <c r="C104" s="325" t="s">
        <v>2048</v>
      </c>
      <c r="D104" s="325" t="s">
        <v>160</v>
      </c>
      <c r="E104" s="325" t="s">
        <v>160</v>
      </c>
      <c r="F104" s="325" t="s">
        <v>2048</v>
      </c>
      <c r="G104" s="325" t="s">
        <v>1845</v>
      </c>
      <c r="H104" s="325" t="s">
        <v>160</v>
      </c>
      <c r="I104" s="325" t="s">
        <v>2190</v>
      </c>
      <c r="J104" s="318" t="s">
        <v>2171</v>
      </c>
      <c r="K104" s="311" t="s">
        <v>2192</v>
      </c>
      <c r="L104" s="332">
        <v>25</v>
      </c>
      <c r="O104" s="313" t="s">
        <v>160</v>
      </c>
      <c r="P104" s="333">
        <v>17.5</v>
      </c>
      <c r="Q104" s="333">
        <v>2383.3000000000002</v>
      </c>
      <c r="R104" s="333">
        <v>0.377</v>
      </c>
      <c r="S104" s="310">
        <v>7.3427600386019379E-3</v>
      </c>
      <c r="T104" s="310">
        <v>46.419098143236077</v>
      </c>
      <c r="U104" s="356" t="s">
        <v>154</v>
      </c>
      <c r="V104" s="310" t="s">
        <v>947</v>
      </c>
      <c r="W104" s="310" t="s">
        <v>1846</v>
      </c>
      <c r="X104" s="310" t="s">
        <v>1002</v>
      </c>
      <c r="Y104" s="325" t="s">
        <v>1032</v>
      </c>
      <c r="AA104" s="333">
        <v>3761</v>
      </c>
      <c r="AC104" s="325" t="s">
        <v>1848</v>
      </c>
      <c r="AD104" t="s">
        <v>1850</v>
      </c>
      <c r="AE104" s="310">
        <v>14.1</v>
      </c>
      <c r="AF104" s="310" t="s">
        <v>1852</v>
      </c>
      <c r="AG104" s="310">
        <v>3.2</v>
      </c>
      <c r="AH104" s="379" t="s">
        <v>2064</v>
      </c>
      <c r="AI104" s="379" t="s">
        <v>2064</v>
      </c>
      <c r="AJ104" s="514">
        <v>0</v>
      </c>
      <c r="AK104" s="514">
        <v>11.24</v>
      </c>
      <c r="AL104" s="501">
        <v>1019</v>
      </c>
      <c r="AM104" s="501">
        <v>1508</v>
      </c>
      <c r="AN104" s="374"/>
    </row>
    <row r="105" spans="1:40" ht="12.75" customHeight="1">
      <c r="A105" s="56">
        <v>820808</v>
      </c>
      <c r="B105" s="83" t="s">
        <v>2330</v>
      </c>
      <c r="C105" s="83" t="s">
        <v>2215</v>
      </c>
      <c r="D105" s="83" t="s">
        <v>160</v>
      </c>
      <c r="E105" s="83" t="s">
        <v>1010</v>
      </c>
      <c r="F105" s="83" t="s">
        <v>2215</v>
      </c>
      <c r="G105" s="83" t="s">
        <v>1845</v>
      </c>
      <c r="H105" s="83" t="s">
        <v>160</v>
      </c>
      <c r="I105" s="83" t="s">
        <v>2212</v>
      </c>
      <c r="J105" s="318" t="s">
        <v>2171</v>
      </c>
      <c r="K105" s="311" t="s">
        <v>2192</v>
      </c>
      <c r="L105" s="332">
        <v>11</v>
      </c>
      <c r="O105" s="313" t="s">
        <v>160</v>
      </c>
      <c r="P105" s="333">
        <v>120</v>
      </c>
      <c r="Q105" s="333">
        <v>909.62</v>
      </c>
      <c r="R105" s="333">
        <v>0.35299999999999998</v>
      </c>
      <c r="S105" s="310">
        <v>0.131923220685561</v>
      </c>
      <c r="T105" s="310">
        <v>339.94334277620396</v>
      </c>
      <c r="U105" s="356" t="s">
        <v>154</v>
      </c>
      <c r="V105" s="310" t="s">
        <v>947</v>
      </c>
      <c r="W105" s="310" t="s">
        <v>1846</v>
      </c>
      <c r="X105" s="310" t="s">
        <v>1002</v>
      </c>
      <c r="Y105" s="325" t="s">
        <v>1032</v>
      </c>
      <c r="AA105" s="333">
        <v>40.506109117262078</v>
      </c>
      <c r="AC105" s="83" t="s">
        <v>2213</v>
      </c>
      <c r="AD105" t="s">
        <v>2193</v>
      </c>
      <c r="AE105" s="593" t="s">
        <v>2193</v>
      </c>
      <c r="AF105" s="310" t="s">
        <v>2193</v>
      </c>
      <c r="AG105" s="593" t="s">
        <v>2193</v>
      </c>
      <c r="AH105" s="379" t="s">
        <v>2215</v>
      </c>
      <c r="AI105" s="379" t="s">
        <v>2215</v>
      </c>
      <c r="AJ105" s="594">
        <v>0</v>
      </c>
      <c r="AK105" s="594">
        <v>50</v>
      </c>
      <c r="AL105" s="501">
        <v>1019</v>
      </c>
      <c r="AM105" s="501">
        <v>1508</v>
      </c>
      <c r="AN105" s="374">
        <v>103.08257142857141</v>
      </c>
    </row>
    <row r="106" spans="1:40" ht="12.75" customHeight="1">
      <c r="A106" s="56">
        <v>820809</v>
      </c>
      <c r="B106" s="83" t="s">
        <v>2331</v>
      </c>
      <c r="C106" s="83" t="s">
        <v>2216</v>
      </c>
      <c r="D106" s="83" t="s">
        <v>160</v>
      </c>
      <c r="E106" s="83" t="s">
        <v>1010</v>
      </c>
      <c r="F106" s="83" t="s">
        <v>2216</v>
      </c>
      <c r="G106" s="83" t="s">
        <v>1845</v>
      </c>
      <c r="H106" s="83" t="s">
        <v>160</v>
      </c>
      <c r="I106" s="83" t="s">
        <v>2212</v>
      </c>
      <c r="J106" s="318" t="s">
        <v>2171</v>
      </c>
      <c r="K106" s="311" t="s">
        <v>2192</v>
      </c>
      <c r="L106" s="332">
        <v>11</v>
      </c>
      <c r="O106" s="313" t="s">
        <v>160</v>
      </c>
      <c r="P106" s="333">
        <v>85</v>
      </c>
      <c r="Q106" s="333">
        <v>2255.7199999999998</v>
      </c>
      <c r="R106" s="333">
        <v>0.33400000000000002</v>
      </c>
      <c r="S106" s="310">
        <v>3.7681981806252554E-2</v>
      </c>
      <c r="T106" s="310">
        <v>254.49101796407183</v>
      </c>
      <c r="U106" s="356" t="s">
        <v>154</v>
      </c>
      <c r="V106" s="310" t="s">
        <v>947</v>
      </c>
      <c r="W106" s="310" t="s">
        <v>1846</v>
      </c>
      <c r="X106" s="310" t="s">
        <v>1002</v>
      </c>
      <c r="Y106" s="325" t="s">
        <v>1032</v>
      </c>
      <c r="AA106" s="333">
        <v>175</v>
      </c>
      <c r="AC106" s="83" t="s">
        <v>2213</v>
      </c>
      <c r="AD106" t="s">
        <v>2193</v>
      </c>
      <c r="AE106" s="593" t="s">
        <v>2193</v>
      </c>
      <c r="AF106" s="310" t="s">
        <v>2193</v>
      </c>
      <c r="AG106" s="593" t="s">
        <v>2193</v>
      </c>
      <c r="AH106" s="379" t="s">
        <v>2216</v>
      </c>
      <c r="AI106" s="379" t="s">
        <v>2216</v>
      </c>
      <c r="AJ106" s="594">
        <v>0</v>
      </c>
      <c r="AK106" s="594">
        <v>50</v>
      </c>
      <c r="AL106" s="501">
        <v>1019</v>
      </c>
      <c r="AM106" s="501">
        <v>1508</v>
      </c>
      <c r="AN106" s="374"/>
    </row>
    <row r="107" spans="1:40" ht="12.75" customHeight="1">
      <c r="A107" s="349">
        <v>820810</v>
      </c>
      <c r="B107" s="83" t="s">
        <v>2332</v>
      </c>
      <c r="C107" s="83" t="s">
        <v>2333</v>
      </c>
      <c r="D107" s="83" t="s">
        <v>160</v>
      </c>
      <c r="E107" s="83" t="s">
        <v>1010</v>
      </c>
      <c r="F107" s="83" t="s">
        <v>2333</v>
      </c>
      <c r="G107" s="83" t="s">
        <v>1845</v>
      </c>
      <c r="H107" s="83" t="s">
        <v>160</v>
      </c>
      <c r="I107" s="83" t="s">
        <v>2212</v>
      </c>
      <c r="J107" s="318" t="s">
        <v>2171</v>
      </c>
      <c r="K107" s="311" t="s">
        <v>2192</v>
      </c>
      <c r="L107" s="332">
        <v>11</v>
      </c>
      <c r="M107" s="518"/>
      <c r="N107" s="374"/>
      <c r="O107" s="519" t="s">
        <v>160</v>
      </c>
      <c r="P107" s="333">
        <v>65</v>
      </c>
      <c r="Q107" s="333">
        <v>677.05</v>
      </c>
      <c r="R107" s="333">
        <v>0.33400000000000002</v>
      </c>
      <c r="S107" s="310">
        <v>9.6004726386529807E-2</v>
      </c>
      <c r="T107" s="310">
        <v>194.61077844311376</v>
      </c>
      <c r="U107" s="356" t="s">
        <v>154</v>
      </c>
      <c r="V107" s="310" t="s">
        <v>947</v>
      </c>
      <c r="W107" s="310" t="s">
        <v>1846</v>
      </c>
      <c r="X107" s="310" t="s">
        <v>1002</v>
      </c>
      <c r="Y107" s="325" t="s">
        <v>1032</v>
      </c>
      <c r="AA107" s="333">
        <v>175</v>
      </c>
      <c r="AB107" s="374"/>
      <c r="AC107" s="83" t="s">
        <v>2213</v>
      </c>
      <c r="AD107" t="s">
        <v>2193</v>
      </c>
      <c r="AE107" s="593" t="s">
        <v>2193</v>
      </c>
      <c r="AF107" s="310" t="s">
        <v>2193</v>
      </c>
      <c r="AG107" s="593" t="s">
        <v>2193</v>
      </c>
      <c r="AH107" s="379" t="s">
        <v>2333</v>
      </c>
      <c r="AI107" s="379" t="s">
        <v>2333</v>
      </c>
      <c r="AJ107" s="594">
        <v>0</v>
      </c>
      <c r="AK107" s="594">
        <v>50</v>
      </c>
      <c r="AL107" s="501">
        <v>1019</v>
      </c>
      <c r="AM107" s="501">
        <v>1508</v>
      </c>
      <c r="AN107" s="374"/>
    </row>
    <row r="108" spans="1:40" ht="12.75" customHeight="1">
      <c r="A108" s="56">
        <v>820812</v>
      </c>
      <c r="B108" s="83" t="s">
        <v>2334</v>
      </c>
      <c r="C108" s="83" t="s">
        <v>2218</v>
      </c>
      <c r="D108" s="83" t="s">
        <v>160</v>
      </c>
      <c r="E108" s="83" t="s">
        <v>1010</v>
      </c>
      <c r="F108" s="83" t="s">
        <v>2218</v>
      </c>
      <c r="G108" s="83" t="s">
        <v>1845</v>
      </c>
      <c r="H108" s="83" t="s">
        <v>160</v>
      </c>
      <c r="I108" s="83" t="s">
        <v>2212</v>
      </c>
      <c r="J108" s="318" t="s">
        <v>2171</v>
      </c>
      <c r="K108" s="311" t="s">
        <v>2192</v>
      </c>
      <c r="L108" s="332">
        <v>11</v>
      </c>
      <c r="O108" s="313" t="s">
        <v>160</v>
      </c>
      <c r="P108" s="333">
        <v>40</v>
      </c>
      <c r="Q108" s="333">
        <v>1578.66</v>
      </c>
      <c r="R108" s="333">
        <v>0</v>
      </c>
      <c r="S108" s="310">
        <v>2.5337944839294083E-2</v>
      </c>
      <c r="T108" s="310">
        <v>0</v>
      </c>
      <c r="U108" s="356" t="s">
        <v>154</v>
      </c>
      <c r="V108" s="310" t="s">
        <v>947</v>
      </c>
      <c r="W108" s="310" t="s">
        <v>1846</v>
      </c>
      <c r="X108" s="310" t="s">
        <v>1002</v>
      </c>
      <c r="Y108" s="325" t="s">
        <v>1032</v>
      </c>
      <c r="AA108" s="333">
        <v>175</v>
      </c>
      <c r="AC108" s="83" t="s">
        <v>2213</v>
      </c>
      <c r="AD108" t="s">
        <v>2193</v>
      </c>
      <c r="AE108" s="593" t="s">
        <v>2193</v>
      </c>
      <c r="AF108" s="310" t="s">
        <v>2193</v>
      </c>
      <c r="AG108" s="593" t="s">
        <v>2193</v>
      </c>
      <c r="AH108" s="379" t="s">
        <v>2218</v>
      </c>
      <c r="AI108" s="379" t="s">
        <v>2218</v>
      </c>
      <c r="AJ108" s="594">
        <v>0</v>
      </c>
      <c r="AK108" s="594">
        <v>50</v>
      </c>
      <c r="AL108" s="501">
        <v>1019</v>
      </c>
      <c r="AM108" s="501">
        <v>1508</v>
      </c>
      <c r="AN108" s="374"/>
    </row>
    <row r="109" spans="1:40" ht="12.75" customHeight="1">
      <c r="A109" s="56">
        <v>820811</v>
      </c>
      <c r="B109" s="83" t="s">
        <v>2335</v>
      </c>
      <c r="C109" s="83" t="s">
        <v>2217</v>
      </c>
      <c r="D109" s="83" t="s">
        <v>160</v>
      </c>
      <c r="E109" s="83" t="s">
        <v>1010</v>
      </c>
      <c r="F109" s="83" t="s">
        <v>2217</v>
      </c>
      <c r="G109" s="83" t="s">
        <v>1845</v>
      </c>
      <c r="H109" s="83" t="s">
        <v>160</v>
      </c>
      <c r="I109" s="83" t="s">
        <v>2212</v>
      </c>
      <c r="J109" s="318" t="s">
        <v>2171</v>
      </c>
      <c r="K109" s="311" t="s">
        <v>2192</v>
      </c>
      <c r="L109" s="332">
        <v>11</v>
      </c>
      <c r="O109" s="313" t="s">
        <v>160</v>
      </c>
      <c r="P109" s="333">
        <v>40</v>
      </c>
      <c r="Q109" s="333">
        <v>2255.7199999999998</v>
      </c>
      <c r="R109" s="333">
        <v>0.33400000000000002</v>
      </c>
      <c r="S109" s="310">
        <v>1.7732697320589436E-2</v>
      </c>
      <c r="T109" s="310">
        <v>119.76047904191616</v>
      </c>
      <c r="U109" s="356" t="s">
        <v>154</v>
      </c>
      <c r="V109" s="310" t="s">
        <v>947</v>
      </c>
      <c r="W109" s="310" t="s">
        <v>1846</v>
      </c>
      <c r="X109" s="310" t="s">
        <v>1002</v>
      </c>
      <c r="Y109" s="325" t="s">
        <v>1032</v>
      </c>
      <c r="AA109" s="333">
        <v>175</v>
      </c>
      <c r="AC109" s="83" t="s">
        <v>2213</v>
      </c>
      <c r="AD109" t="s">
        <v>2193</v>
      </c>
      <c r="AE109" s="593" t="s">
        <v>2193</v>
      </c>
      <c r="AF109" s="310" t="s">
        <v>2193</v>
      </c>
      <c r="AG109" s="593" t="s">
        <v>2193</v>
      </c>
      <c r="AH109" s="379" t="s">
        <v>2217</v>
      </c>
      <c r="AI109" s="379" t="s">
        <v>2217</v>
      </c>
      <c r="AJ109" s="594">
        <v>0</v>
      </c>
      <c r="AK109" s="594">
        <v>50</v>
      </c>
      <c r="AL109" s="501">
        <v>1019</v>
      </c>
      <c r="AM109" s="501">
        <v>1508</v>
      </c>
      <c r="AN109" s="374"/>
    </row>
    <row r="110" spans="1:40" ht="12.75" customHeight="1">
      <c r="A110" s="56">
        <v>820743</v>
      </c>
      <c r="B110" s="83" t="s">
        <v>2336</v>
      </c>
      <c r="C110" s="83" t="s">
        <v>2194</v>
      </c>
      <c r="D110" s="83" t="s">
        <v>160</v>
      </c>
      <c r="E110" s="83" t="s">
        <v>160</v>
      </c>
      <c r="F110" s="83" t="s">
        <v>2194</v>
      </c>
      <c r="G110" s="83" t="s">
        <v>1845</v>
      </c>
      <c r="H110" s="83" t="s">
        <v>160</v>
      </c>
      <c r="I110" s="83" t="s">
        <v>2187</v>
      </c>
      <c r="J110" s="318" t="s">
        <v>2171</v>
      </c>
      <c r="K110" s="311" t="s">
        <v>2192</v>
      </c>
      <c r="L110" s="332">
        <v>23</v>
      </c>
      <c r="O110" s="313" t="s">
        <v>160</v>
      </c>
      <c r="P110" s="333">
        <v>4</v>
      </c>
      <c r="Q110" s="333">
        <v>50</v>
      </c>
      <c r="R110" s="333">
        <v>8.9999999999999993E-3</v>
      </c>
      <c r="S110" s="310">
        <v>0.08</v>
      </c>
      <c r="T110" s="310">
        <v>444.44444444444446</v>
      </c>
      <c r="U110" s="356" t="s">
        <v>154</v>
      </c>
      <c r="V110" s="310" t="s">
        <v>947</v>
      </c>
      <c r="W110" s="310" t="s">
        <v>1846</v>
      </c>
      <c r="X110" s="310" t="s">
        <v>1002</v>
      </c>
      <c r="Y110" s="325" t="s">
        <v>1032</v>
      </c>
      <c r="AA110" s="333">
        <v>66</v>
      </c>
      <c r="AC110" s="522" t="s">
        <v>2242</v>
      </c>
      <c r="AD110" t="s">
        <v>2221</v>
      </c>
      <c r="AE110" s="310">
        <v>0.55000000000000004</v>
      </c>
      <c r="AF110" s="310" t="s">
        <v>2219</v>
      </c>
      <c r="AG110" s="310">
        <v>0.61</v>
      </c>
      <c r="AH110" s="379" t="s">
        <v>2194</v>
      </c>
      <c r="AI110" s="379" t="s">
        <v>2194</v>
      </c>
      <c r="AJ110" s="514">
        <v>0</v>
      </c>
      <c r="AK110" s="514">
        <v>150</v>
      </c>
      <c r="AL110" s="501">
        <v>1019</v>
      </c>
      <c r="AM110" s="501">
        <v>1508</v>
      </c>
      <c r="AN110" s="374"/>
    </row>
    <row r="111" spans="1:40" ht="12.75" customHeight="1">
      <c r="A111" s="56">
        <v>820744</v>
      </c>
      <c r="B111" s="83" t="s">
        <v>2337</v>
      </c>
      <c r="C111" s="83" t="s">
        <v>2195</v>
      </c>
      <c r="D111" s="83" t="s">
        <v>160</v>
      </c>
      <c r="E111" s="83" t="s">
        <v>160</v>
      </c>
      <c r="F111" s="83" t="s">
        <v>2195</v>
      </c>
      <c r="G111" s="83" t="s">
        <v>1845</v>
      </c>
      <c r="H111" s="83" t="s">
        <v>160</v>
      </c>
      <c r="I111" s="83" t="s">
        <v>2188</v>
      </c>
      <c r="J111" s="318" t="s">
        <v>2171</v>
      </c>
      <c r="K111" s="311" t="s">
        <v>2192</v>
      </c>
      <c r="L111" s="332">
        <v>23</v>
      </c>
      <c r="O111" s="313" t="s">
        <v>160</v>
      </c>
      <c r="P111" s="333">
        <v>4</v>
      </c>
      <c r="Q111" s="333">
        <v>27</v>
      </c>
      <c r="R111" s="333">
        <v>9.0999999999999998E-2</v>
      </c>
      <c r="S111" s="310">
        <v>0.14814814814814814</v>
      </c>
      <c r="T111" s="310">
        <v>43.956043956043956</v>
      </c>
      <c r="U111" s="356" t="s">
        <v>154</v>
      </c>
      <c r="V111" s="310" t="s">
        <v>947</v>
      </c>
      <c r="W111" s="310" t="s">
        <v>1846</v>
      </c>
      <c r="X111" s="310" t="s">
        <v>1002</v>
      </c>
      <c r="Y111" s="325" t="s">
        <v>1032</v>
      </c>
      <c r="AA111" s="333">
        <v>120.5</v>
      </c>
      <c r="AC111" s="522" t="s">
        <v>2242</v>
      </c>
      <c r="AD111" t="s">
        <v>2221</v>
      </c>
      <c r="AE111" s="310">
        <v>0.6</v>
      </c>
      <c r="AF111" s="310" t="s">
        <v>2219</v>
      </c>
      <c r="AG111" s="310">
        <v>0.75</v>
      </c>
      <c r="AH111" s="379" t="s">
        <v>2195</v>
      </c>
      <c r="AI111" s="379" t="s">
        <v>2195</v>
      </c>
      <c r="AJ111" s="514">
        <v>0</v>
      </c>
      <c r="AK111" s="514">
        <v>75</v>
      </c>
      <c r="AL111" s="501">
        <v>1019</v>
      </c>
      <c r="AM111" s="501">
        <v>1508</v>
      </c>
      <c r="AN111" s="374"/>
    </row>
    <row r="112" spans="1:40" ht="12.75" customHeight="1">
      <c r="A112" s="56">
        <v>820722</v>
      </c>
      <c r="B112" s="83" t="s">
        <v>2045</v>
      </c>
      <c r="C112" s="325" t="s">
        <v>2375</v>
      </c>
      <c r="D112" s="325" t="s">
        <v>160</v>
      </c>
      <c r="E112" s="325" t="s">
        <v>160</v>
      </c>
      <c r="F112" s="325" t="s">
        <v>2375</v>
      </c>
      <c r="G112" s="325" t="s">
        <v>1845</v>
      </c>
      <c r="H112" s="325" t="s">
        <v>160</v>
      </c>
      <c r="I112" s="325" t="s">
        <v>2190</v>
      </c>
      <c r="J112" s="318" t="s">
        <v>2171</v>
      </c>
      <c r="K112" s="311" t="s">
        <v>2192</v>
      </c>
      <c r="L112" s="332">
        <v>16</v>
      </c>
      <c r="O112" s="313" t="s">
        <v>160</v>
      </c>
      <c r="P112" s="333">
        <v>14</v>
      </c>
      <c r="Q112" s="333">
        <v>302.39</v>
      </c>
      <c r="R112" s="333">
        <v>0.21</v>
      </c>
      <c r="S112" s="310">
        <v>4.6297827309104138E-2</v>
      </c>
      <c r="T112" s="310">
        <v>66.666666666666671</v>
      </c>
      <c r="U112" s="356" t="s">
        <v>154</v>
      </c>
      <c r="V112" s="310" t="s">
        <v>947</v>
      </c>
      <c r="W112" s="310" t="s">
        <v>1846</v>
      </c>
      <c r="X112" s="310" t="s">
        <v>1002</v>
      </c>
      <c r="Y112" s="325" t="s">
        <v>1032</v>
      </c>
      <c r="AA112" s="333">
        <v>125</v>
      </c>
      <c r="AC112" s="325" t="s">
        <v>1848</v>
      </c>
      <c r="AD112" s="9" t="s">
        <v>1850</v>
      </c>
      <c r="AE112" s="310">
        <v>12.2</v>
      </c>
      <c r="AF112" s="310" t="s">
        <v>1852</v>
      </c>
      <c r="AG112" s="310">
        <v>4.3</v>
      </c>
      <c r="AH112" s="379" t="s">
        <v>2377</v>
      </c>
      <c r="AI112" s="379" t="s">
        <v>2377</v>
      </c>
      <c r="AJ112" s="514">
        <v>0</v>
      </c>
      <c r="AK112" s="514">
        <v>1.415</v>
      </c>
      <c r="AL112" s="501">
        <v>1019</v>
      </c>
      <c r="AM112" s="501">
        <v>1508</v>
      </c>
      <c r="AN112" s="374"/>
    </row>
    <row r="113" spans="1:45" ht="12.75" customHeight="1">
      <c r="A113" s="56">
        <v>820723</v>
      </c>
      <c r="B113" s="83" t="s">
        <v>2046</v>
      </c>
      <c r="C113" s="325" t="s">
        <v>2376</v>
      </c>
      <c r="D113" s="325" t="s">
        <v>160</v>
      </c>
      <c r="E113" s="325" t="s">
        <v>160</v>
      </c>
      <c r="F113" s="325" t="s">
        <v>2376</v>
      </c>
      <c r="G113" s="325" t="s">
        <v>1845</v>
      </c>
      <c r="H113" s="325" t="s">
        <v>160</v>
      </c>
      <c r="I113" s="325" t="s">
        <v>2190</v>
      </c>
      <c r="J113" s="318" t="s">
        <v>2171</v>
      </c>
      <c r="K113" s="311" t="s">
        <v>2192</v>
      </c>
      <c r="L113" s="332">
        <v>16</v>
      </c>
      <c r="O113" s="313" t="s">
        <v>160</v>
      </c>
      <c r="P113" s="333">
        <v>19</v>
      </c>
      <c r="Q113" s="333">
        <v>1424.91</v>
      </c>
      <c r="R113" s="333">
        <v>0.90800000000000003</v>
      </c>
      <c r="S113" s="310">
        <v>1.3334175491785446E-2</v>
      </c>
      <c r="T113" s="310">
        <v>20.92511013215859</v>
      </c>
      <c r="U113" s="356" t="s">
        <v>154</v>
      </c>
      <c r="V113" s="310" t="s">
        <v>947</v>
      </c>
      <c r="W113" s="310" t="s">
        <v>1846</v>
      </c>
      <c r="X113" s="310" t="s">
        <v>1002</v>
      </c>
      <c r="Y113" s="325" t="s">
        <v>1032</v>
      </c>
      <c r="AA113" s="333">
        <v>808.33</v>
      </c>
      <c r="AC113" s="325" t="s">
        <v>1848</v>
      </c>
      <c r="AD113" t="s">
        <v>1850</v>
      </c>
      <c r="AE113" s="310">
        <v>13</v>
      </c>
      <c r="AF113" s="310" t="s">
        <v>1852</v>
      </c>
      <c r="AG113" s="310">
        <v>4.3</v>
      </c>
      <c r="AH113" s="379" t="s">
        <v>2378</v>
      </c>
      <c r="AI113" s="379" t="s">
        <v>2378</v>
      </c>
      <c r="AJ113" s="514">
        <v>1.4166666666666667</v>
      </c>
      <c r="AK113" s="514">
        <v>11.24</v>
      </c>
      <c r="AL113" s="501">
        <v>1019</v>
      </c>
      <c r="AM113" s="501">
        <v>1508</v>
      </c>
      <c r="AN113" s="374"/>
    </row>
    <row r="114" spans="1:45" ht="12.75" customHeight="1">
      <c r="A114" s="350"/>
      <c r="O114" s="313"/>
      <c r="P114" s="313"/>
      <c r="R114" s="399"/>
    </row>
    <row r="115" spans="1:45" ht="12.75" customHeight="1">
      <c r="O115" s="313"/>
      <c r="P115" s="313"/>
      <c r="R115" s="399"/>
    </row>
    <row r="116" spans="1:45" ht="12.75" customHeight="1">
      <c r="A116" s="349" t="s">
        <v>852</v>
      </c>
      <c r="B116" s="310" t="s">
        <v>853</v>
      </c>
      <c r="C116" s="310" t="s">
        <v>854</v>
      </c>
      <c r="D116" s="310" t="s">
        <v>855</v>
      </c>
      <c r="E116" s="310" t="s">
        <v>856</v>
      </c>
      <c r="F116" s="310" t="s">
        <v>144</v>
      </c>
      <c r="G116" s="310" t="s">
        <v>857</v>
      </c>
      <c r="H116" s="310" t="s">
        <v>858</v>
      </c>
      <c r="I116" s="310" t="s">
        <v>145</v>
      </c>
      <c r="J116" s="374" t="s">
        <v>1454</v>
      </c>
      <c r="K116" s="311" t="s">
        <v>859</v>
      </c>
      <c r="L116" s="310" t="s">
        <v>148</v>
      </c>
      <c r="M116" s="312" t="s">
        <v>860</v>
      </c>
      <c r="N116" s="310" t="s">
        <v>153</v>
      </c>
      <c r="O116" s="310" t="s">
        <v>687</v>
      </c>
      <c r="P116" s="310" t="s">
        <v>147</v>
      </c>
      <c r="Q116" s="310" t="s">
        <v>150</v>
      </c>
      <c r="R116" s="399" t="s">
        <v>861</v>
      </c>
      <c r="S116" s="310" t="s">
        <v>862</v>
      </c>
      <c r="T116" s="310" t="s">
        <v>863</v>
      </c>
      <c r="U116" s="310" t="s">
        <v>142</v>
      </c>
      <c r="V116" s="310" t="s">
        <v>0</v>
      </c>
      <c r="W116" s="310" t="s">
        <v>864</v>
      </c>
      <c r="X116" s="310" t="s">
        <v>489</v>
      </c>
      <c r="Y116" s="310" t="s">
        <v>152</v>
      </c>
      <c r="Z116" s="310" t="s">
        <v>817</v>
      </c>
      <c r="AA116" s="310" t="s">
        <v>151</v>
      </c>
      <c r="AB116" s="310" t="s">
        <v>865</v>
      </c>
      <c r="AC116" s="310" t="s">
        <v>100</v>
      </c>
      <c r="AD116" s="315" t="s">
        <v>169</v>
      </c>
      <c r="AE116" s="315" t="s">
        <v>170</v>
      </c>
      <c r="AF116" s="315" t="s">
        <v>173</v>
      </c>
      <c r="AG116" s="315" t="s">
        <v>220</v>
      </c>
      <c r="AH116" s="315" t="s">
        <v>171</v>
      </c>
      <c r="AI116" s="315" t="s">
        <v>172</v>
      </c>
      <c r="AJ116" s="315" t="s">
        <v>174</v>
      </c>
      <c r="AK116" s="315" t="s">
        <v>188</v>
      </c>
      <c r="AO116" s="83"/>
      <c r="AP116" s="83"/>
      <c r="AQ116" s="83"/>
      <c r="AR116" s="83"/>
      <c r="AS116" s="83"/>
    </row>
    <row r="117" spans="1:45" ht="12.75" customHeight="1">
      <c r="A117" s="56">
        <v>851028</v>
      </c>
      <c r="B117" s="83" t="s">
        <v>2338</v>
      </c>
      <c r="C117" s="83" t="s">
        <v>2207</v>
      </c>
      <c r="D117" s="310" t="s">
        <v>1019</v>
      </c>
      <c r="E117" s="325" t="s">
        <v>963</v>
      </c>
      <c r="F117" s="83" t="s">
        <v>2207</v>
      </c>
      <c r="G117" s="310" t="s">
        <v>1019</v>
      </c>
      <c r="H117" s="325" t="s">
        <v>963</v>
      </c>
      <c r="I117" s="325" t="s">
        <v>1153</v>
      </c>
      <c r="J117" s="318" t="s">
        <v>2171</v>
      </c>
      <c r="K117" s="311" t="s">
        <v>2192</v>
      </c>
      <c r="L117" s="332">
        <v>20</v>
      </c>
      <c r="P117" s="333">
        <v>750</v>
      </c>
      <c r="Q117" s="334">
        <v>20513</v>
      </c>
      <c r="R117" s="397">
        <v>1.274</v>
      </c>
      <c r="S117" s="310">
        <v>3.6562180080924295E-2</v>
      </c>
      <c r="T117" s="310">
        <v>588.69701726844585</v>
      </c>
      <c r="U117" s="356" t="s">
        <v>154</v>
      </c>
      <c r="V117" s="310" t="s">
        <v>947</v>
      </c>
      <c r="W117" s="310" t="s">
        <v>1846</v>
      </c>
      <c r="X117" s="310" t="s">
        <v>1002</v>
      </c>
      <c r="Y117" s="310" t="s">
        <v>1032</v>
      </c>
      <c r="AA117" s="333">
        <v>970</v>
      </c>
      <c r="AC117" s="325" t="s">
        <v>963</v>
      </c>
      <c r="AD117" s="83" t="s">
        <v>1064</v>
      </c>
      <c r="AH117" s="83" t="s">
        <v>2207</v>
      </c>
      <c r="AI117" s="310" t="s">
        <v>2207</v>
      </c>
      <c r="AO117" s="83"/>
      <c r="AP117" s="83"/>
      <c r="AQ117" s="83"/>
      <c r="AR117" s="83"/>
      <c r="AS117" s="83"/>
    </row>
    <row r="118" spans="1:45" ht="12.75" customHeight="1">
      <c r="A118" s="56">
        <v>851029</v>
      </c>
      <c r="B118" s="83" t="s">
        <v>2339</v>
      </c>
      <c r="C118" s="83" t="s">
        <v>2208</v>
      </c>
      <c r="D118" s="310" t="s">
        <v>1019</v>
      </c>
      <c r="E118" s="325" t="s">
        <v>963</v>
      </c>
      <c r="F118" s="83" t="s">
        <v>2208</v>
      </c>
      <c r="G118" s="310" t="s">
        <v>1019</v>
      </c>
      <c r="H118" s="325" t="s">
        <v>963</v>
      </c>
      <c r="I118" s="325" t="s">
        <v>1153</v>
      </c>
      <c r="J118" s="318" t="s">
        <v>2171</v>
      </c>
      <c r="K118" s="311" t="s">
        <v>2192</v>
      </c>
      <c r="L118" s="332">
        <v>10</v>
      </c>
      <c r="P118" s="333">
        <v>50</v>
      </c>
      <c r="Q118" s="334">
        <v>2547</v>
      </c>
      <c r="R118" s="397">
        <v>0.158</v>
      </c>
      <c r="S118" s="310">
        <v>1.9630938358853552E-2</v>
      </c>
      <c r="T118" s="310">
        <v>316.45569620253167</v>
      </c>
      <c r="U118" s="356" t="s">
        <v>154</v>
      </c>
      <c r="V118" s="310" t="s">
        <v>947</v>
      </c>
      <c r="W118" s="310" t="s">
        <v>1846</v>
      </c>
      <c r="X118" s="310" t="s">
        <v>1002</v>
      </c>
      <c r="Y118" s="310" t="s">
        <v>1032</v>
      </c>
      <c r="AA118" s="333">
        <v>1710</v>
      </c>
      <c r="AC118" s="325" t="s">
        <v>963</v>
      </c>
      <c r="AD118" s="83" t="s">
        <v>1064</v>
      </c>
      <c r="AH118" s="83" t="s">
        <v>2208</v>
      </c>
      <c r="AI118" s="310" t="s">
        <v>2208</v>
      </c>
      <c r="AO118" s="83"/>
      <c r="AP118" s="83"/>
      <c r="AQ118" s="83"/>
      <c r="AR118" s="83"/>
      <c r="AS118" s="83"/>
    </row>
    <row r="119" spans="1:45" ht="12.75" customHeight="1">
      <c r="A119" s="56">
        <v>851026</v>
      </c>
      <c r="B119" s="83" t="s">
        <v>2340</v>
      </c>
      <c r="C119" s="83" t="s">
        <v>2205</v>
      </c>
      <c r="D119" s="310" t="s">
        <v>1019</v>
      </c>
      <c r="E119" s="325" t="s">
        <v>963</v>
      </c>
      <c r="F119" s="83" t="s">
        <v>2205</v>
      </c>
      <c r="G119" s="310" t="s">
        <v>1019</v>
      </c>
      <c r="H119" s="325" t="s">
        <v>963</v>
      </c>
      <c r="I119" s="325" t="s">
        <v>1153</v>
      </c>
      <c r="J119" s="318" t="s">
        <v>2171</v>
      </c>
      <c r="K119" s="311" t="s">
        <v>2192</v>
      </c>
      <c r="L119" s="332">
        <v>15</v>
      </c>
      <c r="P119" s="333">
        <v>750</v>
      </c>
      <c r="Q119" s="334">
        <v>8586</v>
      </c>
      <c r="R119" s="397">
        <v>0.53300000000000003</v>
      </c>
      <c r="S119" s="310">
        <v>8.7351502445842069E-2</v>
      </c>
      <c r="T119" s="310">
        <v>1407.1294559099435</v>
      </c>
      <c r="U119" s="356" t="s">
        <v>154</v>
      </c>
      <c r="V119" s="310" t="s">
        <v>947</v>
      </c>
      <c r="W119" s="310" t="s">
        <v>1846</v>
      </c>
      <c r="X119" s="310" t="s">
        <v>1002</v>
      </c>
      <c r="Y119" s="310" t="s">
        <v>1032</v>
      </c>
      <c r="AA119" s="333">
        <v>995</v>
      </c>
      <c r="AC119" s="325" t="s">
        <v>963</v>
      </c>
      <c r="AD119" s="83" t="s">
        <v>1064</v>
      </c>
      <c r="AH119" s="83" t="s">
        <v>2205</v>
      </c>
      <c r="AI119" s="310" t="s">
        <v>2205</v>
      </c>
      <c r="AO119" s="83"/>
      <c r="AP119" s="83"/>
      <c r="AQ119" s="83"/>
      <c r="AR119" s="83"/>
      <c r="AS119" s="83"/>
    </row>
    <row r="120" spans="1:45" ht="12.75" customHeight="1">
      <c r="A120" s="56">
        <v>851027</v>
      </c>
      <c r="B120" s="83" t="s">
        <v>2341</v>
      </c>
      <c r="C120" s="83" t="s">
        <v>2206</v>
      </c>
      <c r="D120" s="310" t="s">
        <v>1019</v>
      </c>
      <c r="E120" s="325" t="s">
        <v>963</v>
      </c>
      <c r="F120" s="83" t="s">
        <v>2206</v>
      </c>
      <c r="G120" s="310" t="s">
        <v>1019</v>
      </c>
      <c r="H120" s="325" t="s">
        <v>963</v>
      </c>
      <c r="I120" s="325" t="s">
        <v>1153</v>
      </c>
      <c r="J120" s="318" t="s">
        <v>2171</v>
      </c>
      <c r="K120" s="311" t="s">
        <v>2192</v>
      </c>
      <c r="L120" s="332">
        <v>20</v>
      </c>
      <c r="P120" s="333">
        <v>1200</v>
      </c>
      <c r="Q120" s="334">
        <v>8533</v>
      </c>
      <c r="R120" s="397">
        <v>0.53</v>
      </c>
      <c r="S120" s="310">
        <v>0.14063049337864761</v>
      </c>
      <c r="T120" s="310">
        <v>2264.1509433962265</v>
      </c>
      <c r="U120" s="356" t="s">
        <v>154</v>
      </c>
      <c r="V120" s="310" t="s">
        <v>947</v>
      </c>
      <c r="W120" s="310" t="s">
        <v>1846</v>
      </c>
      <c r="X120" s="310" t="s">
        <v>1002</v>
      </c>
      <c r="Y120" s="310" t="s">
        <v>1032</v>
      </c>
      <c r="AA120" s="333">
        <v>2050</v>
      </c>
      <c r="AC120" s="325" t="s">
        <v>963</v>
      </c>
      <c r="AD120" s="83" t="s">
        <v>1064</v>
      </c>
      <c r="AH120" s="83" t="s">
        <v>2206</v>
      </c>
      <c r="AI120" s="310" t="s">
        <v>2206</v>
      </c>
      <c r="AO120" s="83"/>
      <c r="AP120" s="83"/>
      <c r="AQ120" s="83"/>
      <c r="AR120" s="83"/>
      <c r="AS120" s="83"/>
    </row>
    <row r="121" spans="1:45" ht="12.75" customHeight="1">
      <c r="A121" s="56">
        <v>851025</v>
      </c>
      <c r="B121" s="83" t="s">
        <v>2342</v>
      </c>
      <c r="C121" s="83" t="s">
        <v>2204</v>
      </c>
      <c r="D121" s="310" t="s">
        <v>1019</v>
      </c>
      <c r="E121" s="325" t="s">
        <v>963</v>
      </c>
      <c r="F121" s="83" t="s">
        <v>2204</v>
      </c>
      <c r="G121" s="310" t="s">
        <v>1019</v>
      </c>
      <c r="H121" s="325" t="s">
        <v>963</v>
      </c>
      <c r="I121" s="325" t="s">
        <v>1153</v>
      </c>
      <c r="J121" s="318" t="s">
        <v>2171</v>
      </c>
      <c r="K121" s="311" t="s">
        <v>2192</v>
      </c>
      <c r="L121" s="332">
        <v>10</v>
      </c>
      <c r="P121" s="333">
        <v>350</v>
      </c>
      <c r="Q121" s="334">
        <v>3687</v>
      </c>
      <c r="R121" s="397">
        <v>0.22900000000000001</v>
      </c>
      <c r="S121" s="310">
        <v>9.4928125847572556E-2</v>
      </c>
      <c r="T121" s="310">
        <v>1528.3842794759826</v>
      </c>
      <c r="U121" s="356" t="s">
        <v>154</v>
      </c>
      <c r="V121" s="310" t="s">
        <v>947</v>
      </c>
      <c r="W121" s="310" t="s">
        <v>1846</v>
      </c>
      <c r="X121" s="310" t="s">
        <v>1002</v>
      </c>
      <c r="Y121" s="310" t="s">
        <v>1032</v>
      </c>
      <c r="AA121" s="333">
        <v>2025</v>
      </c>
      <c r="AC121" s="325" t="s">
        <v>963</v>
      </c>
      <c r="AD121" s="83" t="s">
        <v>1064</v>
      </c>
      <c r="AH121" s="83" t="s">
        <v>2204</v>
      </c>
      <c r="AI121" s="310" t="s">
        <v>2204</v>
      </c>
      <c r="AO121" s="83"/>
      <c r="AP121" s="83"/>
      <c r="AQ121" s="83"/>
      <c r="AR121" s="83"/>
      <c r="AS121" s="83"/>
    </row>
    <row r="122" spans="1:45" ht="12.75" customHeight="1">
      <c r="A122" s="56">
        <v>851024</v>
      </c>
      <c r="B122" s="83" t="s">
        <v>2343</v>
      </c>
      <c r="C122" s="83" t="s">
        <v>2203</v>
      </c>
      <c r="D122" s="310" t="s">
        <v>1019</v>
      </c>
      <c r="E122" s="325" t="s">
        <v>963</v>
      </c>
      <c r="F122" s="83" t="s">
        <v>2203</v>
      </c>
      <c r="G122" s="310" t="s">
        <v>1019</v>
      </c>
      <c r="H122" s="325" t="s">
        <v>963</v>
      </c>
      <c r="I122" s="325" t="s">
        <v>1153</v>
      </c>
      <c r="J122" s="318" t="s">
        <v>2171</v>
      </c>
      <c r="K122" s="311" t="s">
        <v>2192</v>
      </c>
      <c r="L122" s="332">
        <v>20</v>
      </c>
      <c r="P122" s="333">
        <v>700</v>
      </c>
      <c r="Q122" s="334">
        <v>24303</v>
      </c>
      <c r="R122" s="397">
        <v>1.5089999999999999</v>
      </c>
      <c r="S122" s="310">
        <v>2.880302843270378E-2</v>
      </c>
      <c r="T122" s="310">
        <v>463.88336646785956</v>
      </c>
      <c r="U122" s="356" t="s">
        <v>154</v>
      </c>
      <c r="V122" s="310" t="s">
        <v>947</v>
      </c>
      <c r="W122" s="310" t="s">
        <v>1846</v>
      </c>
      <c r="X122" s="310" t="s">
        <v>1002</v>
      </c>
      <c r="Y122" s="310" t="s">
        <v>1032</v>
      </c>
      <c r="AA122" s="333">
        <v>970</v>
      </c>
      <c r="AC122" s="325" t="s">
        <v>963</v>
      </c>
      <c r="AD122" s="83" t="s">
        <v>1064</v>
      </c>
      <c r="AH122" s="83" t="s">
        <v>2203</v>
      </c>
      <c r="AI122" s="310" t="s">
        <v>2203</v>
      </c>
      <c r="AO122" s="83"/>
      <c r="AP122" s="83"/>
      <c r="AQ122" s="83"/>
      <c r="AR122" s="83"/>
      <c r="AS122" s="83"/>
    </row>
    <row r="123" spans="1:45" ht="12.75" customHeight="1">
      <c r="A123" s="56">
        <v>851023</v>
      </c>
      <c r="B123" s="83" t="s">
        <v>2344</v>
      </c>
      <c r="C123" s="83" t="s">
        <v>2202</v>
      </c>
      <c r="D123" s="310" t="s">
        <v>1019</v>
      </c>
      <c r="E123" s="325" t="s">
        <v>963</v>
      </c>
      <c r="F123" s="83" t="s">
        <v>2202</v>
      </c>
      <c r="G123" s="310" t="s">
        <v>1019</v>
      </c>
      <c r="H123" s="325" t="s">
        <v>963</v>
      </c>
      <c r="I123" s="325" t="s">
        <v>1153</v>
      </c>
      <c r="J123" s="318" t="s">
        <v>2171</v>
      </c>
      <c r="K123" s="311" t="s">
        <v>2192</v>
      </c>
      <c r="L123" s="332">
        <v>15</v>
      </c>
      <c r="P123" s="333">
        <v>450</v>
      </c>
      <c r="Q123" s="334">
        <v>17369</v>
      </c>
      <c r="R123" s="397">
        <v>1.079</v>
      </c>
      <c r="S123" s="310">
        <v>2.5908227301514191E-2</v>
      </c>
      <c r="T123" s="310">
        <v>417.05282669138091</v>
      </c>
      <c r="U123" s="356" t="s">
        <v>154</v>
      </c>
      <c r="V123" s="310" t="s">
        <v>947</v>
      </c>
      <c r="W123" s="310" t="s">
        <v>1846</v>
      </c>
      <c r="X123" s="310" t="s">
        <v>1002</v>
      </c>
      <c r="Y123" s="310" t="s">
        <v>1032</v>
      </c>
      <c r="AA123" s="333">
        <v>662</v>
      </c>
      <c r="AC123" s="325" t="s">
        <v>963</v>
      </c>
      <c r="AD123" s="83" t="s">
        <v>1064</v>
      </c>
      <c r="AH123" s="83" t="s">
        <v>2202</v>
      </c>
      <c r="AI123" s="310" t="s">
        <v>2202</v>
      </c>
      <c r="AO123" s="83"/>
      <c r="AP123" s="83"/>
      <c r="AQ123" s="83"/>
      <c r="AR123" s="83"/>
      <c r="AS123" s="83"/>
    </row>
    <row r="124" spans="1:45" ht="12.75" customHeight="1">
      <c r="A124" s="56">
        <v>851022</v>
      </c>
      <c r="B124" s="83" t="s">
        <v>2345</v>
      </c>
      <c r="C124" s="83" t="s">
        <v>2201</v>
      </c>
      <c r="D124" s="310" t="s">
        <v>1019</v>
      </c>
      <c r="E124" s="325" t="s">
        <v>963</v>
      </c>
      <c r="F124" s="83" t="s">
        <v>2201</v>
      </c>
      <c r="G124" s="310" t="s">
        <v>1019</v>
      </c>
      <c r="H124" s="325" t="s">
        <v>963</v>
      </c>
      <c r="I124" s="325" t="s">
        <v>1153</v>
      </c>
      <c r="J124" s="318" t="s">
        <v>2171</v>
      </c>
      <c r="K124" s="311" t="s">
        <v>2192</v>
      </c>
      <c r="L124" s="332">
        <v>10</v>
      </c>
      <c r="P124" s="333">
        <v>150</v>
      </c>
      <c r="Q124" s="334">
        <v>3957</v>
      </c>
      <c r="R124" s="397">
        <v>0.246</v>
      </c>
      <c r="S124" s="310">
        <v>3.7907505686125852E-2</v>
      </c>
      <c r="T124" s="310">
        <v>609.7560975609756</v>
      </c>
      <c r="U124" s="356" t="s">
        <v>154</v>
      </c>
      <c r="V124" s="310" t="s">
        <v>947</v>
      </c>
      <c r="W124" s="310" t="s">
        <v>1846</v>
      </c>
      <c r="X124" s="310" t="s">
        <v>1002</v>
      </c>
      <c r="Y124" s="310" t="s">
        <v>1032</v>
      </c>
      <c r="AA124" s="333">
        <v>234</v>
      </c>
      <c r="AC124" s="325" t="s">
        <v>963</v>
      </c>
      <c r="AD124" s="83" t="s">
        <v>1064</v>
      </c>
      <c r="AH124" s="83" t="s">
        <v>2201</v>
      </c>
      <c r="AI124" s="310" t="s">
        <v>2201</v>
      </c>
      <c r="AL124" s="83"/>
      <c r="AM124" s="83"/>
      <c r="AO124" s="83"/>
      <c r="AP124" s="83"/>
      <c r="AQ124" s="83"/>
      <c r="AR124" s="83"/>
      <c r="AS124" s="83"/>
    </row>
    <row r="125" spans="1:45" ht="12.75" customHeight="1">
      <c r="A125" s="56">
        <v>851008</v>
      </c>
      <c r="B125" s="325" t="s">
        <v>1139</v>
      </c>
      <c r="C125" s="325" t="s">
        <v>1145</v>
      </c>
      <c r="D125" s="310" t="s">
        <v>1019</v>
      </c>
      <c r="E125" s="325" t="s">
        <v>962</v>
      </c>
      <c r="F125" s="325" t="s">
        <v>1065</v>
      </c>
      <c r="G125" s="310" t="s">
        <v>1019</v>
      </c>
      <c r="H125" s="325" t="s">
        <v>962</v>
      </c>
      <c r="I125" s="325" t="s">
        <v>1153</v>
      </c>
      <c r="J125" s="318" t="s">
        <v>2171</v>
      </c>
      <c r="K125" s="311" t="s">
        <v>2192</v>
      </c>
      <c r="L125" s="332">
        <v>12</v>
      </c>
      <c r="O125" s="313"/>
      <c r="P125" s="333">
        <v>175</v>
      </c>
      <c r="Q125" s="334">
        <v>3346.47</v>
      </c>
      <c r="R125" s="397">
        <v>0.23400000000000001</v>
      </c>
      <c r="S125" s="310">
        <v>5.2293909701864955E-2</v>
      </c>
      <c r="T125" s="310">
        <v>747.86324786324781</v>
      </c>
      <c r="U125" s="356" t="s">
        <v>154</v>
      </c>
      <c r="V125" s="310" t="s">
        <v>947</v>
      </c>
      <c r="W125" s="310" t="s">
        <v>1846</v>
      </c>
      <c r="X125" s="310" t="s">
        <v>1002</v>
      </c>
      <c r="Y125" s="310" t="s">
        <v>1032</v>
      </c>
      <c r="AA125" s="333">
        <v>1500</v>
      </c>
      <c r="AC125" s="325" t="s">
        <v>962</v>
      </c>
      <c r="AD125" s="83" t="s">
        <v>1064</v>
      </c>
      <c r="AH125" s="83" t="s">
        <v>1065</v>
      </c>
      <c r="AI125" s="310" t="s">
        <v>1065</v>
      </c>
      <c r="AL125" s="83"/>
      <c r="AM125" s="83"/>
      <c r="AO125" s="83"/>
      <c r="AP125" s="83"/>
      <c r="AQ125" s="83"/>
      <c r="AR125" s="83"/>
      <c r="AS125" s="83"/>
    </row>
    <row r="126" spans="1:45" ht="12.75" customHeight="1">
      <c r="A126" s="56">
        <v>851013</v>
      </c>
      <c r="B126" s="325" t="s">
        <v>1140</v>
      </c>
      <c r="C126" s="325" t="s">
        <v>1146</v>
      </c>
      <c r="D126" s="310" t="s">
        <v>1019</v>
      </c>
      <c r="E126" s="325" t="s">
        <v>1150</v>
      </c>
      <c r="F126" s="325" t="s">
        <v>1151</v>
      </c>
      <c r="G126" s="310" t="s">
        <v>1019</v>
      </c>
      <c r="H126" s="325" t="s">
        <v>1150</v>
      </c>
      <c r="I126" s="325" t="s">
        <v>1153</v>
      </c>
      <c r="J126" s="318" t="s">
        <v>2171</v>
      </c>
      <c r="K126" s="311" t="s">
        <v>2192</v>
      </c>
      <c r="L126" s="332">
        <v>12</v>
      </c>
      <c r="O126" s="313"/>
      <c r="P126" s="333">
        <v>300</v>
      </c>
      <c r="Q126" s="334">
        <v>335.07</v>
      </c>
      <c r="R126" s="397">
        <v>4.2000000000000003E-2</v>
      </c>
      <c r="S126" s="310">
        <v>0.89533530307100007</v>
      </c>
      <c r="T126" s="310">
        <v>7142.8571428571422</v>
      </c>
      <c r="U126" s="356" t="s">
        <v>154</v>
      </c>
      <c r="V126" s="310" t="s">
        <v>947</v>
      </c>
      <c r="W126" s="310" t="s">
        <v>1846</v>
      </c>
      <c r="X126" s="310" t="s">
        <v>1002</v>
      </c>
      <c r="Y126" s="310" t="s">
        <v>1032</v>
      </c>
      <c r="AA126" s="333">
        <v>1000</v>
      </c>
      <c r="AC126" s="325" t="s">
        <v>926</v>
      </c>
      <c r="AD126" s="83" t="s">
        <v>1064</v>
      </c>
      <c r="AH126" s="83" t="s">
        <v>2077</v>
      </c>
      <c r="AI126" s="310" t="s">
        <v>2073</v>
      </c>
      <c r="AL126" s="83"/>
      <c r="AM126" s="83"/>
      <c r="AO126" s="83"/>
      <c r="AP126" s="83"/>
      <c r="AQ126" s="83"/>
      <c r="AR126" s="83"/>
      <c r="AS126" s="83"/>
    </row>
    <row r="127" spans="1:45" ht="12.75" customHeight="1">
      <c r="A127" s="56">
        <v>851020</v>
      </c>
      <c r="B127" s="83" t="s">
        <v>2346</v>
      </c>
      <c r="C127" s="83" t="s">
        <v>2200</v>
      </c>
      <c r="D127" s="310" t="s">
        <v>1019</v>
      </c>
      <c r="E127" s="325" t="s">
        <v>1150</v>
      </c>
      <c r="F127" s="83" t="s">
        <v>2200</v>
      </c>
      <c r="G127" s="310" t="s">
        <v>1019</v>
      </c>
      <c r="H127" s="325" t="s">
        <v>1150</v>
      </c>
      <c r="I127" s="325" t="s">
        <v>1153</v>
      </c>
      <c r="J127" s="318" t="s">
        <v>2171</v>
      </c>
      <c r="K127" s="311" t="s">
        <v>2192</v>
      </c>
      <c r="L127" s="332">
        <v>12</v>
      </c>
      <c r="P127" s="333">
        <v>325</v>
      </c>
      <c r="Q127" s="334">
        <v>1005.21</v>
      </c>
      <c r="R127" s="397">
        <v>0.125</v>
      </c>
      <c r="S127" s="310">
        <v>0.32331552610897224</v>
      </c>
      <c r="T127" s="310">
        <v>2600</v>
      </c>
      <c r="U127" s="356" t="s">
        <v>154</v>
      </c>
      <c r="V127" s="310" t="s">
        <v>947</v>
      </c>
      <c r="W127" s="310" t="s">
        <v>1846</v>
      </c>
      <c r="X127" s="310" t="s">
        <v>1002</v>
      </c>
      <c r="Y127" s="310" t="s">
        <v>1032</v>
      </c>
      <c r="AA127" s="333">
        <v>1000</v>
      </c>
      <c r="AC127" s="325" t="s">
        <v>1150</v>
      </c>
      <c r="AD127" s="83" t="s">
        <v>1064</v>
      </c>
      <c r="AH127" s="83" t="s">
        <v>2200</v>
      </c>
      <c r="AI127" s="310" t="s">
        <v>2200</v>
      </c>
      <c r="AL127" s="83"/>
      <c r="AM127" s="83"/>
      <c r="AO127" s="83"/>
      <c r="AP127" s="83"/>
      <c r="AQ127" s="83"/>
      <c r="AR127" s="83"/>
      <c r="AS127" s="83"/>
    </row>
    <row r="128" spans="1:45" ht="12.75" customHeight="1">
      <c r="A128" s="56">
        <v>851018</v>
      </c>
      <c r="B128" s="83" t="s">
        <v>2001</v>
      </c>
      <c r="C128" s="325" t="s">
        <v>1147</v>
      </c>
      <c r="D128" s="310" t="s">
        <v>1019</v>
      </c>
      <c r="E128" s="325" t="s">
        <v>1150</v>
      </c>
      <c r="F128" s="325" t="s">
        <v>1152</v>
      </c>
      <c r="G128" s="310" t="s">
        <v>1019</v>
      </c>
      <c r="H128" s="325" t="s">
        <v>1150</v>
      </c>
      <c r="I128" s="325" t="s">
        <v>1153</v>
      </c>
      <c r="J128" s="318" t="s">
        <v>2171</v>
      </c>
      <c r="K128" s="311" t="s">
        <v>2192</v>
      </c>
      <c r="L128" s="332">
        <v>12</v>
      </c>
      <c r="O128" s="313"/>
      <c r="P128" s="333">
        <v>350</v>
      </c>
      <c r="Q128" s="334">
        <v>2343.85</v>
      </c>
      <c r="R128" s="397">
        <v>0.29099999999999998</v>
      </c>
      <c r="S128" s="310">
        <v>0.14932696204961923</v>
      </c>
      <c r="T128" s="310">
        <v>1202.7491408934709</v>
      </c>
      <c r="U128" s="356" t="s">
        <v>154</v>
      </c>
      <c r="V128" s="310" t="s">
        <v>947</v>
      </c>
      <c r="W128" s="310" t="s">
        <v>1846</v>
      </c>
      <c r="X128" s="310" t="s">
        <v>1002</v>
      </c>
      <c r="Y128" s="310" t="s">
        <v>1032</v>
      </c>
      <c r="AA128" s="333">
        <v>1000</v>
      </c>
      <c r="AC128" s="325" t="s">
        <v>926</v>
      </c>
      <c r="AD128" s="83" t="s">
        <v>1064</v>
      </c>
      <c r="AH128" s="83" t="s">
        <v>2078</v>
      </c>
      <c r="AI128" s="310" t="s">
        <v>2074</v>
      </c>
      <c r="AL128" s="83"/>
      <c r="AM128" s="83"/>
      <c r="AO128" s="83"/>
      <c r="AP128" s="83"/>
      <c r="AQ128" s="83"/>
      <c r="AR128" s="83"/>
      <c r="AS128" s="83"/>
    </row>
    <row r="129" spans="1:45" ht="12.75" customHeight="1">
      <c r="A129" s="56">
        <v>851017</v>
      </c>
      <c r="B129" s="83" t="s">
        <v>2002</v>
      </c>
      <c r="C129" s="325" t="s">
        <v>1148</v>
      </c>
      <c r="D129" s="310" t="s">
        <v>1019</v>
      </c>
      <c r="E129" s="325" t="s">
        <v>1067</v>
      </c>
      <c r="F129" s="325" t="s">
        <v>1066</v>
      </c>
      <c r="G129" s="310" t="s">
        <v>1019</v>
      </c>
      <c r="H129" s="325" t="s">
        <v>1067</v>
      </c>
      <c r="I129" s="325" t="s">
        <v>1153</v>
      </c>
      <c r="J129" s="318" t="s">
        <v>2171</v>
      </c>
      <c r="K129" s="311" t="s">
        <v>2192</v>
      </c>
      <c r="L129" s="332">
        <v>12</v>
      </c>
      <c r="O129" s="313"/>
      <c r="P129" s="333">
        <v>750</v>
      </c>
      <c r="Q129" s="334">
        <v>18739.78</v>
      </c>
      <c r="R129" s="397">
        <v>1.7470000000000001</v>
      </c>
      <c r="S129" s="310">
        <v>4.0021814557054565E-2</v>
      </c>
      <c r="T129" s="310">
        <v>429.30738408700626</v>
      </c>
      <c r="U129" s="356" t="s">
        <v>154</v>
      </c>
      <c r="V129" s="310" t="s">
        <v>947</v>
      </c>
      <c r="W129" s="310" t="s">
        <v>1846</v>
      </c>
      <c r="X129" s="310" t="s">
        <v>1002</v>
      </c>
      <c r="Y129" s="310" t="s">
        <v>1032</v>
      </c>
      <c r="AA129" s="333">
        <v>2281</v>
      </c>
      <c r="AC129" s="325" t="s">
        <v>1067</v>
      </c>
      <c r="AD129" s="83" t="s">
        <v>1064</v>
      </c>
      <c r="AH129" s="83" t="s">
        <v>1066</v>
      </c>
      <c r="AI129" s="310" t="s">
        <v>1066</v>
      </c>
      <c r="AL129" s="83"/>
      <c r="AM129" s="83"/>
      <c r="AO129" s="83"/>
      <c r="AP129" s="83"/>
      <c r="AQ129" s="83"/>
      <c r="AR129" s="83"/>
      <c r="AS129" s="83"/>
    </row>
    <row r="130" spans="1:45" ht="12.75" customHeight="1">
      <c r="A130" s="56">
        <v>851014</v>
      </c>
      <c r="B130" s="83" t="s">
        <v>2003</v>
      </c>
      <c r="C130" s="325" t="s">
        <v>1149</v>
      </c>
      <c r="D130" s="310" t="s">
        <v>1019</v>
      </c>
      <c r="E130" s="325" t="s">
        <v>1067</v>
      </c>
      <c r="F130" s="325" t="s">
        <v>1068</v>
      </c>
      <c r="G130" s="310" t="s">
        <v>1019</v>
      </c>
      <c r="H130" s="325" t="s">
        <v>1067</v>
      </c>
      <c r="I130" s="325" t="s">
        <v>1153</v>
      </c>
      <c r="J130" s="318" t="s">
        <v>2171</v>
      </c>
      <c r="K130" s="311" t="s">
        <v>2192</v>
      </c>
      <c r="L130" s="332">
        <v>12</v>
      </c>
      <c r="O130" s="313"/>
      <c r="P130" s="333">
        <v>275</v>
      </c>
      <c r="Q130" s="334">
        <v>1546.14</v>
      </c>
      <c r="R130" s="397">
        <v>0.14399999999999999</v>
      </c>
      <c r="S130" s="310">
        <v>0.17786228931403364</v>
      </c>
      <c r="T130" s="310">
        <v>1909.7222222222224</v>
      </c>
      <c r="U130" s="356" t="s">
        <v>154</v>
      </c>
      <c r="V130" s="310" t="s">
        <v>947</v>
      </c>
      <c r="W130" s="310" t="s">
        <v>1846</v>
      </c>
      <c r="X130" s="310" t="s">
        <v>1002</v>
      </c>
      <c r="Y130" s="310" t="s">
        <v>1032</v>
      </c>
      <c r="AA130" s="333">
        <v>960</v>
      </c>
      <c r="AC130" s="325" t="s">
        <v>1067</v>
      </c>
      <c r="AD130" s="83" t="s">
        <v>1064</v>
      </c>
      <c r="AH130" s="83" t="s">
        <v>1068</v>
      </c>
      <c r="AI130" s="310" t="s">
        <v>1068</v>
      </c>
      <c r="AL130" s="83"/>
      <c r="AM130" s="83"/>
      <c r="AO130" s="83"/>
      <c r="AP130" s="83"/>
      <c r="AQ130" s="83"/>
      <c r="AR130" s="83"/>
      <c r="AS130" s="83"/>
    </row>
    <row r="131" spans="1:45" ht="12.75" customHeight="1">
      <c r="A131" s="56">
        <v>851001</v>
      </c>
      <c r="B131" s="325" t="s">
        <v>1137</v>
      </c>
      <c r="C131" s="325" t="s">
        <v>1141</v>
      </c>
      <c r="D131" s="310" t="s">
        <v>1019</v>
      </c>
      <c r="E131" s="325" t="s">
        <v>1070</v>
      </c>
      <c r="F131" s="325" t="s">
        <v>1069</v>
      </c>
      <c r="G131" s="310" t="s">
        <v>1019</v>
      </c>
      <c r="H131" s="325" t="s">
        <v>1070</v>
      </c>
      <c r="I131" s="325" t="s">
        <v>1153</v>
      </c>
      <c r="J131" s="318" t="s">
        <v>2171</v>
      </c>
      <c r="K131" s="311" t="s">
        <v>2192</v>
      </c>
      <c r="L131" s="332">
        <v>12</v>
      </c>
      <c r="P131" s="333">
        <v>440.00000000000006</v>
      </c>
      <c r="Q131" s="334">
        <v>13506.74</v>
      </c>
      <c r="R131" s="397">
        <v>2.5150000000000001</v>
      </c>
      <c r="S131" s="310">
        <v>3.2576328558926879E-2</v>
      </c>
      <c r="T131" s="310">
        <v>174.95029821073561</v>
      </c>
      <c r="U131" s="356" t="s">
        <v>154</v>
      </c>
      <c r="V131" s="310" t="s">
        <v>947</v>
      </c>
      <c r="W131" s="310" t="s">
        <v>1846</v>
      </c>
      <c r="X131" s="310" t="s">
        <v>1002</v>
      </c>
      <c r="Y131" s="310" t="s">
        <v>1032</v>
      </c>
      <c r="AA131" s="333">
        <v>2758</v>
      </c>
      <c r="AC131" s="325" t="s">
        <v>1070</v>
      </c>
      <c r="AD131" s="83" t="s">
        <v>1064</v>
      </c>
      <c r="AH131" s="83" t="s">
        <v>1069</v>
      </c>
      <c r="AI131" s="310" t="s">
        <v>1069</v>
      </c>
      <c r="AL131" s="83"/>
      <c r="AM131" s="83"/>
      <c r="AO131" s="83"/>
      <c r="AP131" s="83"/>
      <c r="AQ131" s="83"/>
      <c r="AR131" s="83"/>
      <c r="AS131" s="83"/>
    </row>
    <row r="132" spans="1:45" ht="12.75" customHeight="1">
      <c r="A132" s="56">
        <v>851002</v>
      </c>
      <c r="B132" s="325" t="s">
        <v>1138</v>
      </c>
      <c r="C132" s="325" t="s">
        <v>1142</v>
      </c>
      <c r="D132" s="310" t="s">
        <v>1019</v>
      </c>
      <c r="E132" s="325" t="s">
        <v>1070</v>
      </c>
      <c r="F132" s="325" t="s">
        <v>1071</v>
      </c>
      <c r="G132" s="310" t="s">
        <v>1019</v>
      </c>
      <c r="H132" s="325" t="s">
        <v>1070</v>
      </c>
      <c r="I132" s="325" t="s">
        <v>1153</v>
      </c>
      <c r="J132" s="318" t="s">
        <v>2171</v>
      </c>
      <c r="K132" s="311" t="s">
        <v>2192</v>
      </c>
      <c r="L132" s="332">
        <v>12</v>
      </c>
      <c r="P132" s="333">
        <v>780</v>
      </c>
      <c r="Q132" s="334">
        <v>18449.68</v>
      </c>
      <c r="R132" s="397">
        <v>3.4350000000000001</v>
      </c>
      <c r="S132" s="310">
        <v>4.2277156026554387E-2</v>
      </c>
      <c r="T132" s="310">
        <v>227.07423580786025</v>
      </c>
      <c r="U132" s="356" t="s">
        <v>154</v>
      </c>
      <c r="V132" s="310" t="s">
        <v>947</v>
      </c>
      <c r="W132" s="310" t="s">
        <v>1846</v>
      </c>
      <c r="X132" s="310" t="s">
        <v>1002</v>
      </c>
      <c r="Y132" s="310" t="s">
        <v>1032</v>
      </c>
      <c r="AA132" s="333">
        <v>2758</v>
      </c>
      <c r="AC132" s="325" t="s">
        <v>1070</v>
      </c>
      <c r="AD132" s="83" t="s">
        <v>1064</v>
      </c>
      <c r="AH132" s="83" t="s">
        <v>1071</v>
      </c>
      <c r="AI132" s="310" t="s">
        <v>1071</v>
      </c>
      <c r="AL132" s="83"/>
      <c r="AM132" s="83"/>
      <c r="AO132" s="83"/>
      <c r="AP132" s="83"/>
      <c r="AQ132" s="83"/>
      <c r="AR132" s="83"/>
      <c r="AS132" s="83"/>
    </row>
    <row r="133" spans="1:45" ht="12.75" customHeight="1">
      <c r="A133" s="56">
        <v>851015</v>
      </c>
      <c r="B133" s="83" t="s">
        <v>2004</v>
      </c>
      <c r="C133" s="325" t="s">
        <v>1143</v>
      </c>
      <c r="D133" s="310" t="s">
        <v>1019</v>
      </c>
      <c r="E133" s="325" t="s">
        <v>1070</v>
      </c>
      <c r="F133" s="325" t="s">
        <v>1072</v>
      </c>
      <c r="G133" s="310" t="s">
        <v>1019</v>
      </c>
      <c r="H133" s="325" t="s">
        <v>1070</v>
      </c>
      <c r="I133" s="325" t="s">
        <v>1153</v>
      </c>
      <c r="J133" s="318" t="s">
        <v>2171</v>
      </c>
      <c r="K133" s="311" t="s">
        <v>2192</v>
      </c>
      <c r="L133" s="332">
        <v>12</v>
      </c>
      <c r="P133" s="333">
        <v>895</v>
      </c>
      <c r="Q133" s="334">
        <v>23606.97</v>
      </c>
      <c r="R133" s="397">
        <v>4.3949999999999996</v>
      </c>
      <c r="S133" s="310">
        <v>3.7912531764982965E-2</v>
      </c>
      <c r="T133" s="310">
        <v>203.64050056882823</v>
      </c>
      <c r="U133" s="356" t="s">
        <v>154</v>
      </c>
      <c r="V133" s="310" t="s">
        <v>947</v>
      </c>
      <c r="W133" s="310" t="s">
        <v>1846</v>
      </c>
      <c r="X133" s="310" t="s">
        <v>1002</v>
      </c>
      <c r="Y133" s="310" t="s">
        <v>1032</v>
      </c>
      <c r="AA133" s="333">
        <v>2758</v>
      </c>
      <c r="AC133" s="325" t="s">
        <v>1070</v>
      </c>
      <c r="AD133" s="83" t="s">
        <v>1064</v>
      </c>
      <c r="AH133" s="83" t="s">
        <v>1072</v>
      </c>
      <c r="AI133" s="310" t="s">
        <v>1072</v>
      </c>
      <c r="AL133" s="83"/>
      <c r="AM133" s="83"/>
      <c r="AO133" s="83"/>
      <c r="AP133" s="83"/>
      <c r="AQ133" s="83"/>
      <c r="AR133" s="83"/>
      <c r="AS133" s="83"/>
    </row>
    <row r="134" spans="1:45" ht="12.75" customHeight="1">
      <c r="A134" s="56">
        <v>851016</v>
      </c>
      <c r="B134" s="83" t="s">
        <v>2005</v>
      </c>
      <c r="C134" s="325" t="s">
        <v>1144</v>
      </c>
      <c r="D134" s="310" t="s">
        <v>1019</v>
      </c>
      <c r="E134" s="325" t="s">
        <v>1070</v>
      </c>
      <c r="F134" s="325" t="s">
        <v>1073</v>
      </c>
      <c r="G134" s="310" t="s">
        <v>1019</v>
      </c>
      <c r="H134" s="325" t="s">
        <v>1070</v>
      </c>
      <c r="I134" s="325" t="s">
        <v>1153</v>
      </c>
      <c r="J134" s="318" t="s">
        <v>2171</v>
      </c>
      <c r="K134" s="311" t="s">
        <v>2192</v>
      </c>
      <c r="L134" s="332">
        <v>12</v>
      </c>
      <c r="P134" s="333">
        <v>945</v>
      </c>
      <c r="Q134" s="334">
        <v>28550.55</v>
      </c>
      <c r="R134" s="397">
        <v>5.3150000000000004</v>
      </c>
      <c r="S134" s="310">
        <v>3.3099187231069103E-2</v>
      </c>
      <c r="T134" s="310">
        <v>177.79868297271869</v>
      </c>
      <c r="U134" s="356" t="s">
        <v>154</v>
      </c>
      <c r="V134" s="310" t="s">
        <v>947</v>
      </c>
      <c r="W134" s="310" t="s">
        <v>1846</v>
      </c>
      <c r="X134" s="310" t="s">
        <v>1002</v>
      </c>
      <c r="Y134" s="310" t="s">
        <v>1032</v>
      </c>
      <c r="AA134" s="333">
        <v>2758</v>
      </c>
      <c r="AC134" s="325" t="s">
        <v>1070</v>
      </c>
      <c r="AD134" s="83" t="s">
        <v>1064</v>
      </c>
      <c r="AH134" s="83" t="s">
        <v>1073</v>
      </c>
      <c r="AI134" s="310" t="s">
        <v>1073</v>
      </c>
      <c r="AL134" s="83"/>
      <c r="AM134" s="83"/>
      <c r="AO134" s="83"/>
      <c r="AP134" s="83"/>
      <c r="AQ134" s="83"/>
      <c r="AR134" s="83"/>
      <c r="AS134" s="83"/>
    </row>
    <row r="135" spans="1:45" ht="12.75" customHeight="1">
      <c r="A135" s="56">
        <v>851017</v>
      </c>
      <c r="B135" s="83" t="s">
        <v>2005</v>
      </c>
      <c r="C135" s="325" t="s">
        <v>1144</v>
      </c>
      <c r="D135" s="310" t="s">
        <v>1019</v>
      </c>
      <c r="E135" s="325" t="s">
        <v>1070</v>
      </c>
      <c r="F135" s="325" t="s">
        <v>1073</v>
      </c>
      <c r="G135" s="310" t="s">
        <v>1019</v>
      </c>
      <c r="H135" s="325" t="s">
        <v>1070</v>
      </c>
      <c r="I135" s="325" t="s">
        <v>1153</v>
      </c>
      <c r="J135" s="318" t="s">
        <v>2426</v>
      </c>
      <c r="K135" s="311" t="s">
        <v>2427</v>
      </c>
      <c r="L135" s="332">
        <v>12</v>
      </c>
      <c r="P135" s="333">
        <v>945</v>
      </c>
      <c r="Q135" s="334">
        <v>28550.55</v>
      </c>
      <c r="R135" s="397">
        <v>5.3150000000000004</v>
      </c>
      <c r="S135" s="310">
        <v>3.3099187231069103E-2</v>
      </c>
      <c r="T135" s="310">
        <v>177.79868297271869</v>
      </c>
      <c r="U135" s="356" t="s">
        <v>154</v>
      </c>
      <c r="V135" s="310" t="s">
        <v>947</v>
      </c>
      <c r="W135" s="310" t="s">
        <v>1846</v>
      </c>
      <c r="X135" s="310" t="s">
        <v>1002</v>
      </c>
      <c r="Y135" s="310" t="s">
        <v>1032</v>
      </c>
      <c r="AA135" s="333">
        <v>2759</v>
      </c>
      <c r="AC135" s="325" t="s">
        <v>1070</v>
      </c>
      <c r="AD135" s="83" t="s">
        <v>1064</v>
      </c>
      <c r="AH135" s="83" t="s">
        <v>1073</v>
      </c>
      <c r="AI135" s="310" t="s">
        <v>1073</v>
      </c>
      <c r="AL135" s="83"/>
      <c r="AM135" s="83"/>
      <c r="AO135" s="83"/>
      <c r="AP135" s="83"/>
      <c r="AQ135" s="83"/>
      <c r="AR135" s="83"/>
      <c r="AS135" s="83"/>
    </row>
    <row r="136" spans="1:45" ht="12.75" customHeight="1">
      <c r="A136" s="56">
        <v>851018</v>
      </c>
      <c r="B136" s="83" t="s">
        <v>2005</v>
      </c>
      <c r="C136" s="325" t="s">
        <v>1144</v>
      </c>
      <c r="D136" s="310" t="s">
        <v>1019</v>
      </c>
      <c r="E136" s="325" t="s">
        <v>1070</v>
      </c>
      <c r="F136" s="325" t="s">
        <v>1073</v>
      </c>
      <c r="G136" s="310" t="s">
        <v>1019</v>
      </c>
      <c r="H136" s="325" t="s">
        <v>1070</v>
      </c>
      <c r="I136" s="325" t="s">
        <v>1153</v>
      </c>
      <c r="J136" s="318" t="s">
        <v>2428</v>
      </c>
      <c r="K136" s="311" t="s">
        <v>2429</v>
      </c>
      <c r="L136" s="332">
        <v>12</v>
      </c>
      <c r="P136" s="333">
        <v>945</v>
      </c>
      <c r="Q136" s="334">
        <v>28550.55</v>
      </c>
      <c r="R136" s="397">
        <v>5.3150000000000004</v>
      </c>
      <c r="S136" s="310">
        <v>3.3099187231069103E-2</v>
      </c>
      <c r="T136" s="310">
        <v>177.79868297271869</v>
      </c>
      <c r="U136" s="356" t="s">
        <v>154</v>
      </c>
      <c r="V136" s="310" t="s">
        <v>947</v>
      </c>
      <c r="W136" s="310" t="s">
        <v>1846</v>
      </c>
      <c r="X136" s="310" t="s">
        <v>1002</v>
      </c>
      <c r="Y136" s="310" t="s">
        <v>1032</v>
      </c>
      <c r="AA136" s="333">
        <v>2760</v>
      </c>
      <c r="AC136" s="325" t="s">
        <v>1070</v>
      </c>
      <c r="AD136" s="83" t="s">
        <v>1064</v>
      </c>
      <c r="AH136" s="83" t="s">
        <v>1073</v>
      </c>
      <c r="AI136" s="310" t="s">
        <v>1073</v>
      </c>
      <c r="AL136" s="83"/>
      <c r="AM136" s="83"/>
      <c r="AO136" s="83"/>
      <c r="AP136" s="83"/>
      <c r="AQ136" s="83"/>
      <c r="AR136" s="83"/>
      <c r="AS136" s="83"/>
    </row>
    <row r="137" spans="1:45" ht="12.75" customHeight="1">
      <c r="A137" s="350"/>
      <c r="B137" s="83"/>
      <c r="C137" s="83"/>
      <c r="D137" s="83"/>
      <c r="E137" s="83"/>
      <c r="F137" s="83"/>
      <c r="G137" s="83"/>
      <c r="H137" s="83"/>
      <c r="I137" s="83"/>
      <c r="J137" s="83"/>
      <c r="K137" s="83"/>
      <c r="L137" s="83"/>
      <c r="M137" s="83"/>
      <c r="N137" s="83"/>
      <c r="O137" s="83"/>
      <c r="P137" s="83"/>
      <c r="Q137" s="83"/>
      <c r="R137" s="397"/>
      <c r="S137" s="83"/>
      <c r="T137" s="83"/>
      <c r="U137" s="83"/>
      <c r="V137" s="83"/>
      <c r="W137" s="83"/>
      <c r="X137" s="83"/>
      <c r="Y137" s="83"/>
      <c r="Z137" s="83"/>
      <c r="AA137" s="83"/>
      <c r="AB137" s="83"/>
      <c r="AC137" s="83"/>
      <c r="AD137" s="83"/>
      <c r="AE137" s="83"/>
      <c r="AF137" s="83"/>
      <c r="AG137" s="83"/>
      <c r="AH137" s="83"/>
      <c r="AI137" s="83"/>
      <c r="AJ137" s="83"/>
      <c r="AK137" s="83"/>
      <c r="AL137" s="83"/>
      <c r="AM137" s="83"/>
      <c r="AO137" s="83"/>
      <c r="AP137" s="83"/>
      <c r="AQ137" s="83"/>
      <c r="AR137" s="83"/>
      <c r="AS137" s="83"/>
    </row>
    <row r="138" spans="1:45" ht="12.75" customHeight="1">
      <c r="A138" s="353" t="s">
        <v>852</v>
      </c>
      <c r="B138" s="335" t="s">
        <v>853</v>
      </c>
      <c r="C138" s="335" t="s">
        <v>854</v>
      </c>
      <c r="D138" s="335" t="s">
        <v>855</v>
      </c>
      <c r="E138" s="335" t="s">
        <v>856</v>
      </c>
      <c r="F138" s="335" t="s">
        <v>144</v>
      </c>
      <c r="G138" s="335" t="s">
        <v>857</v>
      </c>
      <c r="H138" s="335" t="s">
        <v>858</v>
      </c>
      <c r="I138" s="335" t="s">
        <v>145</v>
      </c>
      <c r="J138" s="374" t="s">
        <v>1454</v>
      </c>
      <c r="K138" s="336" t="s">
        <v>859</v>
      </c>
      <c r="L138" s="337" t="s">
        <v>148</v>
      </c>
      <c r="M138" s="338" t="s">
        <v>860</v>
      </c>
      <c r="N138" s="335" t="s">
        <v>153</v>
      </c>
      <c r="O138" s="335" t="s">
        <v>687</v>
      </c>
      <c r="P138" s="335" t="s">
        <v>147</v>
      </c>
      <c r="Q138" s="335" t="s">
        <v>1207</v>
      </c>
      <c r="R138" s="401" t="s">
        <v>165</v>
      </c>
      <c r="S138" s="335" t="s">
        <v>1208</v>
      </c>
      <c r="T138" s="335" t="s">
        <v>1209</v>
      </c>
      <c r="U138" s="335" t="s">
        <v>142</v>
      </c>
      <c r="V138" s="335" t="s">
        <v>0</v>
      </c>
      <c r="W138" s="335" t="s">
        <v>864</v>
      </c>
      <c r="X138" s="335" t="s">
        <v>489</v>
      </c>
      <c r="Y138" s="335" t="s">
        <v>152</v>
      </c>
      <c r="Z138" s="335" t="s">
        <v>817</v>
      </c>
      <c r="AA138" s="335" t="s">
        <v>151</v>
      </c>
      <c r="AB138" s="335" t="s">
        <v>865</v>
      </c>
      <c r="AC138" s="335" t="s">
        <v>100</v>
      </c>
      <c r="AD138" s="339" t="s">
        <v>169</v>
      </c>
      <c r="AE138" s="339" t="s">
        <v>170</v>
      </c>
      <c r="AF138" s="339" t="s">
        <v>173</v>
      </c>
      <c r="AG138" s="339" t="s">
        <v>220</v>
      </c>
      <c r="AH138" s="339" t="s">
        <v>171</v>
      </c>
      <c r="AI138" s="339" t="s">
        <v>172</v>
      </c>
      <c r="AJ138" s="339" t="s">
        <v>174</v>
      </c>
      <c r="AK138" s="339" t="s">
        <v>188</v>
      </c>
      <c r="AL138" s="83"/>
      <c r="AM138" s="83"/>
      <c r="AO138" s="83"/>
      <c r="AP138" s="83"/>
      <c r="AQ138" s="83"/>
      <c r="AR138" s="83"/>
      <c r="AS138" s="83"/>
    </row>
    <row r="139" spans="1:45" ht="12.75" customHeight="1">
      <c r="A139" s="403">
        <v>910127</v>
      </c>
      <c r="B139" s="545" t="s">
        <v>1998</v>
      </c>
      <c r="C139" s="543" t="s">
        <v>1957</v>
      </c>
      <c r="D139" s="376" t="s">
        <v>160</v>
      </c>
      <c r="E139" s="376" t="s">
        <v>1159</v>
      </c>
      <c r="F139" s="543" t="s">
        <v>1961</v>
      </c>
      <c r="G139" s="376" t="s">
        <v>160</v>
      </c>
      <c r="H139" s="376" t="s">
        <v>1159</v>
      </c>
      <c r="I139" s="543" t="s">
        <v>1965</v>
      </c>
      <c r="J139" s="318" t="s">
        <v>1761</v>
      </c>
      <c r="K139" s="311" t="s">
        <v>2192</v>
      </c>
      <c r="L139" s="343">
        <v>16</v>
      </c>
      <c r="M139" s="544"/>
      <c r="N139" s="543"/>
      <c r="O139" s="545"/>
      <c r="P139" s="345">
        <v>1.2</v>
      </c>
      <c r="Q139" s="346">
        <v>2.61</v>
      </c>
      <c r="R139" s="546"/>
      <c r="S139" s="545"/>
      <c r="T139" s="545"/>
      <c r="U139" s="340" t="s">
        <v>166</v>
      </c>
      <c r="V139" s="341" t="s">
        <v>947</v>
      </c>
      <c r="W139" s="545" t="s">
        <v>1846</v>
      </c>
      <c r="X139" s="341" t="s">
        <v>1002</v>
      </c>
      <c r="Y139" s="341" t="s">
        <v>1032</v>
      </c>
      <c r="Z139" s="545"/>
      <c r="AA139" s="345">
        <v>1.44</v>
      </c>
      <c r="AB139" s="345">
        <v>200</v>
      </c>
      <c r="AC139" s="345" t="s">
        <v>1075</v>
      </c>
      <c r="AD139" s="543" t="s">
        <v>1967</v>
      </c>
      <c r="AE139" s="545"/>
      <c r="AF139" s="545"/>
      <c r="AG139" s="545"/>
      <c r="AH139" s="543" t="s">
        <v>1957</v>
      </c>
      <c r="AI139" s="545"/>
      <c r="AJ139" s="545">
        <v>0</v>
      </c>
      <c r="AK139" s="545">
        <v>225</v>
      </c>
      <c r="AL139" s="83"/>
      <c r="AM139" s="83"/>
      <c r="AO139" s="83"/>
      <c r="AP139" s="83"/>
      <c r="AQ139" s="83"/>
      <c r="AR139" s="83"/>
      <c r="AS139" s="83"/>
    </row>
    <row r="140" spans="1:45" ht="12.75" customHeight="1">
      <c r="A140" s="403">
        <v>910133</v>
      </c>
      <c r="B140" s="592" t="s">
        <v>2347</v>
      </c>
      <c r="C140" s="592" t="s">
        <v>1154</v>
      </c>
      <c r="D140" s="592" t="s">
        <v>160</v>
      </c>
      <c r="E140" s="592" t="s">
        <v>160</v>
      </c>
      <c r="F140" s="592" t="s">
        <v>1154</v>
      </c>
      <c r="G140" s="340" t="s">
        <v>160</v>
      </c>
      <c r="H140" s="340" t="s">
        <v>1078</v>
      </c>
      <c r="I140" s="592" t="s">
        <v>2348</v>
      </c>
      <c r="J140" s="318" t="s">
        <v>2171</v>
      </c>
      <c r="K140" s="311" t="s">
        <v>2192</v>
      </c>
      <c r="L140" s="343">
        <v>16</v>
      </c>
      <c r="M140" s="344"/>
      <c r="N140" s="340"/>
      <c r="O140" s="341"/>
      <c r="P140" s="345">
        <v>1.5</v>
      </c>
      <c r="Q140" s="346">
        <v>1.21</v>
      </c>
      <c r="R140" s="402"/>
      <c r="S140" s="341"/>
      <c r="T140" s="341"/>
      <c r="U140" s="340" t="s">
        <v>166</v>
      </c>
      <c r="V140" s="341" t="s">
        <v>947</v>
      </c>
      <c r="W140" s="545" t="s">
        <v>1846</v>
      </c>
      <c r="X140" s="341" t="s">
        <v>1002</v>
      </c>
      <c r="Y140" s="341" t="s">
        <v>1032</v>
      </c>
      <c r="Z140" s="341"/>
      <c r="AA140" s="345">
        <v>10.199999999999999</v>
      </c>
      <c r="AB140" s="345">
        <v>500</v>
      </c>
      <c r="AC140" s="345" t="s">
        <v>1960</v>
      </c>
      <c r="AD140" s="592" t="s">
        <v>2348</v>
      </c>
      <c r="AE140" s="341"/>
      <c r="AF140" s="341"/>
      <c r="AG140" s="341"/>
      <c r="AH140" s="181" t="s">
        <v>1154</v>
      </c>
      <c r="AI140" s="341"/>
      <c r="AJ140" s="341">
        <v>0</v>
      </c>
      <c r="AK140" s="341">
        <v>9999</v>
      </c>
      <c r="AL140" s="83"/>
      <c r="AM140" s="83"/>
      <c r="AO140" s="83"/>
      <c r="AP140" s="83"/>
      <c r="AQ140" s="83"/>
      <c r="AR140" s="83"/>
      <c r="AS140" s="83"/>
    </row>
    <row r="141" spans="1:45" ht="12.75" customHeight="1">
      <c r="A141" s="403">
        <v>910114</v>
      </c>
      <c r="B141" s="340" t="s">
        <v>1155</v>
      </c>
      <c r="C141" s="340" t="s">
        <v>1157</v>
      </c>
      <c r="D141" s="340" t="s">
        <v>160</v>
      </c>
      <c r="E141" s="340" t="s">
        <v>1078</v>
      </c>
      <c r="F141" s="340" t="s">
        <v>1156</v>
      </c>
      <c r="G141" s="340" t="s">
        <v>160</v>
      </c>
      <c r="H141" s="340" t="s">
        <v>1078</v>
      </c>
      <c r="I141" s="340" t="s">
        <v>1082</v>
      </c>
      <c r="J141" s="318" t="s">
        <v>1761</v>
      </c>
      <c r="K141" s="311" t="s">
        <v>2192</v>
      </c>
      <c r="L141" s="343">
        <v>6</v>
      </c>
      <c r="M141" s="344"/>
      <c r="N141" s="340"/>
      <c r="O141" s="341"/>
      <c r="P141" s="345">
        <v>70</v>
      </c>
      <c r="Q141" s="346">
        <v>169.56</v>
      </c>
      <c r="R141" s="402"/>
      <c r="S141" s="341"/>
      <c r="T141" s="341"/>
      <c r="U141" s="340" t="s">
        <v>166</v>
      </c>
      <c r="V141" s="341" t="s">
        <v>947</v>
      </c>
      <c r="W141" s="545" t="s">
        <v>1846</v>
      </c>
      <c r="X141" s="341" t="s">
        <v>1002</v>
      </c>
      <c r="Y141" s="341" t="s">
        <v>1032</v>
      </c>
      <c r="Z141" s="341"/>
      <c r="AA141" s="345">
        <v>77</v>
      </c>
      <c r="AB141" s="345">
        <v>10</v>
      </c>
      <c r="AC141" s="345" t="s">
        <v>1083</v>
      </c>
      <c r="AD141" s="340" t="s">
        <v>1082</v>
      </c>
      <c r="AE141" s="341"/>
      <c r="AF141" s="341"/>
      <c r="AG141" s="341"/>
      <c r="AH141" s="376" t="s">
        <v>1156</v>
      </c>
      <c r="AI141" s="341"/>
      <c r="AJ141" s="341">
        <v>0</v>
      </c>
      <c r="AK141" s="341">
        <v>9999</v>
      </c>
      <c r="AL141" s="83"/>
      <c r="AM141" s="83"/>
      <c r="AO141" s="83"/>
      <c r="AP141" s="83"/>
      <c r="AQ141" s="83"/>
      <c r="AR141" s="83"/>
      <c r="AS141" s="83"/>
    </row>
    <row r="142" spans="1:45" s="83" customFormat="1" ht="12.75" customHeight="1">
      <c r="A142" s="403">
        <v>910122</v>
      </c>
      <c r="B142" s="545" t="s">
        <v>2066</v>
      </c>
      <c r="C142" s="340" t="s">
        <v>2065</v>
      </c>
      <c r="D142" s="340" t="s">
        <v>1621</v>
      </c>
      <c r="E142" s="340" t="s">
        <v>1621</v>
      </c>
      <c r="F142" s="340" t="s">
        <v>2065</v>
      </c>
      <c r="G142" s="340" t="s">
        <v>164</v>
      </c>
      <c r="H142" s="340" t="s">
        <v>1621</v>
      </c>
      <c r="I142" s="340" t="s">
        <v>1963</v>
      </c>
      <c r="J142" s="318" t="s">
        <v>1761</v>
      </c>
      <c r="K142" s="311" t="s">
        <v>2192</v>
      </c>
      <c r="L142" s="343">
        <v>15</v>
      </c>
      <c r="M142" s="344"/>
      <c r="N142" s="340"/>
      <c r="O142" s="341"/>
      <c r="P142" s="345">
        <v>60.500000000000007</v>
      </c>
      <c r="Q142" s="346">
        <v>65.13</v>
      </c>
      <c r="R142" s="402"/>
      <c r="S142" s="341"/>
      <c r="T142" s="341"/>
      <c r="U142" s="340" t="s">
        <v>166</v>
      </c>
      <c r="V142" s="341" t="s">
        <v>947</v>
      </c>
      <c r="W142" s="545" t="s">
        <v>1846</v>
      </c>
      <c r="X142" s="341" t="s">
        <v>1002</v>
      </c>
      <c r="Y142" s="341" t="s">
        <v>1032</v>
      </c>
      <c r="Z142" s="341"/>
      <c r="AA142" s="345">
        <v>80</v>
      </c>
      <c r="AB142" s="345">
        <v>20</v>
      </c>
      <c r="AC142" s="345" t="s">
        <v>958</v>
      </c>
      <c r="AD142" s="340" t="s">
        <v>1969</v>
      </c>
      <c r="AE142" s="341"/>
      <c r="AF142" s="341"/>
      <c r="AG142" s="341"/>
      <c r="AH142" s="376" t="s">
        <v>1968</v>
      </c>
      <c r="AI142" s="341"/>
      <c r="AJ142" s="341">
        <v>0</v>
      </c>
      <c r="AK142" s="341">
        <v>100</v>
      </c>
      <c r="AN142" s="310"/>
    </row>
    <row r="143" spans="1:45" s="83" customFormat="1" ht="12.75" customHeight="1">
      <c r="A143" s="403">
        <v>910121</v>
      </c>
      <c r="B143" s="340" t="s">
        <v>2009</v>
      </c>
      <c r="C143" s="376" t="s">
        <v>1403</v>
      </c>
      <c r="D143" s="340" t="s">
        <v>160</v>
      </c>
      <c r="E143" s="340" t="s">
        <v>1078</v>
      </c>
      <c r="F143" s="376" t="s">
        <v>1081</v>
      </c>
      <c r="G143" s="340" t="s">
        <v>160</v>
      </c>
      <c r="H143" s="340" t="s">
        <v>1078</v>
      </c>
      <c r="I143" s="340" t="s">
        <v>1082</v>
      </c>
      <c r="J143" s="318" t="s">
        <v>1761</v>
      </c>
      <c r="K143" s="311" t="s">
        <v>2192</v>
      </c>
      <c r="L143" s="343">
        <v>6</v>
      </c>
      <c r="M143" s="344"/>
      <c r="N143" s="340"/>
      <c r="O143" s="341"/>
      <c r="P143" s="345">
        <v>70</v>
      </c>
      <c r="Q143" s="346">
        <v>174.96</v>
      </c>
      <c r="R143" s="402"/>
      <c r="S143" s="341"/>
      <c r="T143" s="341"/>
      <c r="U143" s="340" t="s">
        <v>166</v>
      </c>
      <c r="V143" s="341" t="s">
        <v>947</v>
      </c>
      <c r="W143" s="545" t="s">
        <v>1846</v>
      </c>
      <c r="X143" s="341" t="s">
        <v>1002</v>
      </c>
      <c r="Y143" s="341" t="s">
        <v>1032</v>
      </c>
      <c r="Z143" s="341"/>
      <c r="AA143" s="345">
        <v>77</v>
      </c>
      <c r="AB143" s="345">
        <v>10</v>
      </c>
      <c r="AC143" s="345" t="s">
        <v>1083</v>
      </c>
      <c r="AD143" s="340" t="s">
        <v>1082</v>
      </c>
      <c r="AE143" s="341"/>
      <c r="AF143" s="341"/>
      <c r="AG143" s="341"/>
      <c r="AH143" s="376" t="s">
        <v>1081</v>
      </c>
      <c r="AI143" s="341"/>
      <c r="AJ143" s="341">
        <v>0</v>
      </c>
      <c r="AK143" s="341">
        <v>9999</v>
      </c>
      <c r="AN143" s="310"/>
    </row>
    <row r="144" spans="1:45" s="83" customFormat="1" ht="12.75" customHeight="1">
      <c r="A144" s="403">
        <v>910126</v>
      </c>
      <c r="B144" s="545" t="s">
        <v>2069</v>
      </c>
      <c r="C144" s="543" t="s">
        <v>1974</v>
      </c>
      <c r="D144" s="376" t="s">
        <v>160</v>
      </c>
      <c r="E144" s="376" t="s">
        <v>1078</v>
      </c>
      <c r="F144" s="543" t="s">
        <v>1974</v>
      </c>
      <c r="G144" s="376" t="s">
        <v>160</v>
      </c>
      <c r="H144" s="376" t="s">
        <v>1078</v>
      </c>
      <c r="I144" s="543" t="s">
        <v>1964</v>
      </c>
      <c r="J144" s="318" t="s">
        <v>1761</v>
      </c>
      <c r="K144" s="311" t="s">
        <v>2192</v>
      </c>
      <c r="L144" s="343">
        <v>25</v>
      </c>
      <c r="M144" s="544"/>
      <c r="N144" s="543"/>
      <c r="O144" s="545"/>
      <c r="P144" s="345">
        <v>1.6500000000000001</v>
      </c>
      <c r="Q144" s="346">
        <v>2.15</v>
      </c>
      <c r="R144" s="546"/>
      <c r="S144" s="545"/>
      <c r="T144" s="545"/>
      <c r="U144" s="340" t="s">
        <v>166</v>
      </c>
      <c r="V144" s="341" t="s">
        <v>947</v>
      </c>
      <c r="W144" s="545" t="s">
        <v>1846</v>
      </c>
      <c r="X144" s="341" t="s">
        <v>1002</v>
      </c>
      <c r="Y144" s="341" t="s">
        <v>1032</v>
      </c>
      <c r="Z144" s="545"/>
      <c r="AA144" s="345">
        <v>12.17</v>
      </c>
      <c r="AB144" s="345">
        <v>200</v>
      </c>
      <c r="AC144" s="345" t="s">
        <v>1075</v>
      </c>
      <c r="AD144" s="543" t="s">
        <v>1970</v>
      </c>
      <c r="AE144" s="545"/>
      <c r="AF144" s="545"/>
      <c r="AG144" s="545"/>
      <c r="AH144" s="543" t="s">
        <v>1974</v>
      </c>
      <c r="AI144" s="545"/>
      <c r="AJ144" s="545">
        <v>0</v>
      </c>
      <c r="AK144" s="545">
        <v>299</v>
      </c>
      <c r="AN144" s="310"/>
    </row>
    <row r="145" spans="1:45" s="83" customFormat="1" ht="12.75" customHeight="1">
      <c r="A145" s="403">
        <v>910123</v>
      </c>
      <c r="B145" s="545" t="s">
        <v>2070</v>
      </c>
      <c r="C145" s="543" t="s">
        <v>1975</v>
      </c>
      <c r="D145" s="376" t="s">
        <v>160</v>
      </c>
      <c r="E145" s="376" t="s">
        <v>1078</v>
      </c>
      <c r="F145" s="543" t="s">
        <v>1975</v>
      </c>
      <c r="G145" s="376"/>
      <c r="H145" s="376" t="s">
        <v>1078</v>
      </c>
      <c r="I145" s="543" t="s">
        <v>1964</v>
      </c>
      <c r="J145" s="318" t="s">
        <v>1761</v>
      </c>
      <c r="K145" s="311" t="s">
        <v>2192</v>
      </c>
      <c r="L145" s="343">
        <v>25</v>
      </c>
      <c r="M145" s="544"/>
      <c r="N145" s="543"/>
      <c r="O145" s="545"/>
      <c r="P145" s="345">
        <v>1.6500000000000001</v>
      </c>
      <c r="Q145" s="346">
        <v>1.44</v>
      </c>
      <c r="R145" s="546"/>
      <c r="S145" s="545"/>
      <c r="T145" s="545"/>
      <c r="U145" s="340" t="s">
        <v>166</v>
      </c>
      <c r="V145" s="341" t="s">
        <v>947</v>
      </c>
      <c r="W145" s="545" t="s">
        <v>1846</v>
      </c>
      <c r="X145" s="341" t="s">
        <v>1002</v>
      </c>
      <c r="Y145" s="341" t="s">
        <v>1032</v>
      </c>
      <c r="Z145" s="545"/>
      <c r="AA145" s="345">
        <v>12.17</v>
      </c>
      <c r="AB145" s="345">
        <v>1000</v>
      </c>
      <c r="AC145" s="345" t="s">
        <v>1075</v>
      </c>
      <c r="AD145" s="543" t="s">
        <v>1972</v>
      </c>
      <c r="AE145" s="545"/>
      <c r="AF145" s="545"/>
      <c r="AG145" s="545"/>
      <c r="AH145" s="543" t="s">
        <v>1975</v>
      </c>
      <c r="AI145" s="545"/>
      <c r="AJ145" s="545">
        <v>300</v>
      </c>
      <c r="AK145" s="545">
        <v>2500</v>
      </c>
      <c r="AN145" s="310"/>
    </row>
    <row r="146" spans="1:45" s="83" customFormat="1" ht="12.75" customHeight="1">
      <c r="A146" s="403">
        <v>910128</v>
      </c>
      <c r="B146" s="340" t="s">
        <v>2010</v>
      </c>
      <c r="C146" s="340" t="s">
        <v>1158</v>
      </c>
      <c r="D146" s="340" t="s">
        <v>160</v>
      </c>
      <c r="E146" s="340" t="s">
        <v>1078</v>
      </c>
      <c r="F146" s="340" t="s">
        <v>1084</v>
      </c>
      <c r="G146" s="340" t="s">
        <v>160</v>
      </c>
      <c r="H146" s="340" t="s">
        <v>1078</v>
      </c>
      <c r="I146" s="340" t="s">
        <v>1082</v>
      </c>
      <c r="J146" s="318" t="s">
        <v>1761</v>
      </c>
      <c r="K146" s="311" t="s">
        <v>2192</v>
      </c>
      <c r="L146" s="343">
        <v>6</v>
      </c>
      <c r="M146" s="344"/>
      <c r="N146" s="340"/>
      <c r="O146" s="341"/>
      <c r="P146" s="345">
        <v>180</v>
      </c>
      <c r="Q146" s="346">
        <v>116.72</v>
      </c>
      <c r="R146" s="402"/>
      <c r="S146" s="341"/>
      <c r="T146" s="341"/>
      <c r="U146" s="340" t="s">
        <v>166</v>
      </c>
      <c r="V146" s="341" t="s">
        <v>947</v>
      </c>
      <c r="W146" s="545" t="s">
        <v>1846</v>
      </c>
      <c r="X146" s="341" t="s">
        <v>1002</v>
      </c>
      <c r="Y146" s="341" t="s">
        <v>1032</v>
      </c>
      <c r="Z146" s="341"/>
      <c r="AA146" s="345">
        <v>180</v>
      </c>
      <c r="AB146" s="345">
        <v>10</v>
      </c>
      <c r="AC146" s="345" t="s">
        <v>1083</v>
      </c>
      <c r="AD146" s="340" t="s">
        <v>1082</v>
      </c>
      <c r="AE146" s="341"/>
      <c r="AF146" s="341"/>
      <c r="AG146" s="341"/>
      <c r="AH146" s="376" t="s">
        <v>1084</v>
      </c>
      <c r="AI146" s="341"/>
      <c r="AJ146" s="341">
        <v>0</v>
      </c>
      <c r="AK146" s="341">
        <v>9999</v>
      </c>
      <c r="AN146" s="310"/>
    </row>
    <row r="147" spans="1:45" s="83" customFormat="1" ht="12.75" customHeight="1">
      <c r="A147" s="403">
        <v>910129</v>
      </c>
      <c r="B147" s="340" t="s">
        <v>2011</v>
      </c>
      <c r="C147" s="340" t="s">
        <v>1161</v>
      </c>
      <c r="D147" s="340" t="s">
        <v>160</v>
      </c>
      <c r="E147" s="340" t="s">
        <v>1080</v>
      </c>
      <c r="F147" s="340" t="s">
        <v>1079</v>
      </c>
      <c r="G147" s="340" t="s">
        <v>160</v>
      </c>
      <c r="H147" s="340" t="s">
        <v>1080</v>
      </c>
      <c r="I147" s="340" t="s">
        <v>1160</v>
      </c>
      <c r="J147" s="318" t="s">
        <v>1761</v>
      </c>
      <c r="K147" s="311" t="s">
        <v>2192</v>
      </c>
      <c r="L147" s="343">
        <v>15</v>
      </c>
      <c r="M147" s="344"/>
      <c r="N147" s="340"/>
      <c r="O147" s="341"/>
      <c r="P147" s="345">
        <v>2.7</v>
      </c>
      <c r="Q147" s="346">
        <v>2.66</v>
      </c>
      <c r="R147" s="402"/>
      <c r="S147" s="341"/>
      <c r="T147" s="341"/>
      <c r="U147" s="340" t="s">
        <v>166</v>
      </c>
      <c r="V147" s="341" t="s">
        <v>947</v>
      </c>
      <c r="W147" s="545" t="s">
        <v>1846</v>
      </c>
      <c r="X147" s="341" t="s">
        <v>1002</v>
      </c>
      <c r="Y147" s="341" t="s">
        <v>1032</v>
      </c>
      <c r="Z147" s="341"/>
      <c r="AA147" s="345">
        <v>2.7</v>
      </c>
      <c r="AB147" s="345">
        <v>1</v>
      </c>
      <c r="AC147" s="345" t="s">
        <v>1080</v>
      </c>
      <c r="AD147" s="340" t="s">
        <v>1160</v>
      </c>
      <c r="AE147" s="341"/>
      <c r="AF147" s="341"/>
      <c r="AG147" s="341"/>
      <c r="AH147" s="376" t="s">
        <v>1079</v>
      </c>
      <c r="AI147" s="341"/>
      <c r="AJ147" s="341">
        <v>0</v>
      </c>
      <c r="AK147" s="341">
        <v>9999</v>
      </c>
      <c r="AN147" s="310"/>
    </row>
    <row r="148" spans="1:45" s="83" customFormat="1" ht="12.75" customHeight="1">
      <c r="A148" s="403">
        <v>910134</v>
      </c>
      <c r="B148" s="592" t="s">
        <v>2349</v>
      </c>
      <c r="C148" s="592" t="s">
        <v>2209</v>
      </c>
      <c r="D148" s="592" t="s">
        <v>160</v>
      </c>
      <c r="E148" s="592" t="s">
        <v>160</v>
      </c>
      <c r="F148" s="592" t="s">
        <v>2209</v>
      </c>
      <c r="G148" s="340" t="s">
        <v>160</v>
      </c>
      <c r="H148" s="340" t="s">
        <v>1078</v>
      </c>
      <c r="I148" s="592" t="s">
        <v>1077</v>
      </c>
      <c r="J148" s="318" t="s">
        <v>2171</v>
      </c>
      <c r="K148" s="311" t="s">
        <v>2192</v>
      </c>
      <c r="L148" s="343">
        <v>15</v>
      </c>
      <c r="M148" s="344"/>
      <c r="N148" s="340"/>
      <c r="O148" s="341"/>
      <c r="P148" s="345">
        <v>2.5</v>
      </c>
      <c r="Q148" s="346">
        <v>0.28999999999999998</v>
      </c>
      <c r="R148" s="402"/>
      <c r="S148" s="341"/>
      <c r="T148" s="341"/>
      <c r="U148" s="340" t="s">
        <v>166</v>
      </c>
      <c r="V148" s="341" t="s">
        <v>947</v>
      </c>
      <c r="W148" s="545" t="s">
        <v>1846</v>
      </c>
      <c r="X148" s="341" t="s">
        <v>1002</v>
      </c>
      <c r="Y148" s="341" t="s">
        <v>1032</v>
      </c>
      <c r="Z148" s="341"/>
      <c r="AA148" s="345">
        <v>4.1500000000000004</v>
      </c>
      <c r="AB148" s="345">
        <v>50</v>
      </c>
      <c r="AC148" s="345" t="s">
        <v>1021</v>
      </c>
      <c r="AD148" s="592" t="s">
        <v>1077</v>
      </c>
      <c r="AE148" s="341"/>
      <c r="AF148" s="341"/>
      <c r="AG148" s="341"/>
      <c r="AH148" s="181" t="s">
        <v>2209</v>
      </c>
      <c r="AI148" s="341"/>
      <c r="AJ148" s="341">
        <v>0</v>
      </c>
      <c r="AK148" s="341">
        <v>9999</v>
      </c>
    </row>
    <row r="149" spans="1:45" s="83" customFormat="1" ht="12.75" customHeight="1">
      <c r="A149" s="403">
        <v>910136</v>
      </c>
      <c r="B149" s="592" t="s">
        <v>2350</v>
      </c>
      <c r="C149" s="592" t="s">
        <v>2210</v>
      </c>
      <c r="D149" s="592" t="s">
        <v>160</v>
      </c>
      <c r="E149" s="592" t="s">
        <v>160</v>
      </c>
      <c r="F149" s="592" t="s">
        <v>2210</v>
      </c>
      <c r="G149" s="340" t="s">
        <v>160</v>
      </c>
      <c r="H149" s="340" t="s">
        <v>1078</v>
      </c>
      <c r="I149" s="592" t="s">
        <v>1077</v>
      </c>
      <c r="J149" s="318" t="s">
        <v>2171</v>
      </c>
      <c r="K149" s="311" t="s">
        <v>2192</v>
      </c>
      <c r="L149" s="343">
        <v>15</v>
      </c>
      <c r="M149" s="344"/>
      <c r="N149" s="340"/>
      <c r="O149" s="341"/>
      <c r="P149" s="345">
        <v>2.5</v>
      </c>
      <c r="Q149" s="346">
        <v>0.36</v>
      </c>
      <c r="R149" s="402"/>
      <c r="S149" s="341"/>
      <c r="T149" s="341"/>
      <c r="U149" s="340" t="s">
        <v>166</v>
      </c>
      <c r="V149" s="341" t="s">
        <v>947</v>
      </c>
      <c r="W149" s="545" t="s">
        <v>1846</v>
      </c>
      <c r="X149" s="341" t="s">
        <v>1002</v>
      </c>
      <c r="Y149" s="341" t="s">
        <v>1032</v>
      </c>
      <c r="Z149" s="341"/>
      <c r="AA149" s="345">
        <v>4.45</v>
      </c>
      <c r="AB149" s="345">
        <v>50</v>
      </c>
      <c r="AC149" s="345" t="s">
        <v>1021</v>
      </c>
      <c r="AD149" s="592" t="s">
        <v>1077</v>
      </c>
      <c r="AE149" s="341"/>
      <c r="AF149" s="341"/>
      <c r="AG149" s="341"/>
      <c r="AH149" s="181" t="s">
        <v>2210</v>
      </c>
      <c r="AI149" s="341"/>
      <c r="AJ149" s="341">
        <v>0</v>
      </c>
      <c r="AK149" s="341">
        <v>9999</v>
      </c>
    </row>
    <row r="150" spans="1:45" s="83" customFormat="1" ht="12.75" customHeight="1">
      <c r="A150" s="403">
        <v>910138</v>
      </c>
      <c r="B150" s="592" t="s">
        <v>2351</v>
      </c>
      <c r="C150" s="592" t="s">
        <v>2211</v>
      </c>
      <c r="D150" s="592" t="s">
        <v>1010</v>
      </c>
      <c r="E150" s="592" t="s">
        <v>160</v>
      </c>
      <c r="F150" s="592" t="s">
        <v>2211</v>
      </c>
      <c r="G150" s="340" t="s">
        <v>160</v>
      </c>
      <c r="H150" s="340" t="s">
        <v>1010</v>
      </c>
      <c r="I150" s="592" t="s">
        <v>2212</v>
      </c>
      <c r="J150" s="318" t="s">
        <v>2171</v>
      </c>
      <c r="K150" s="311" t="s">
        <v>2192</v>
      </c>
      <c r="L150" s="343">
        <v>11</v>
      </c>
      <c r="M150" s="344"/>
      <c r="N150" s="340"/>
      <c r="O150" s="341"/>
      <c r="P150" s="345">
        <v>50</v>
      </c>
      <c r="Q150" s="346">
        <v>103.08</v>
      </c>
      <c r="R150" s="402"/>
      <c r="S150" s="341"/>
      <c r="T150" s="341"/>
      <c r="U150" s="340" t="s">
        <v>166</v>
      </c>
      <c r="V150" s="341" t="s">
        <v>947</v>
      </c>
      <c r="W150" s="545" t="s">
        <v>1846</v>
      </c>
      <c r="X150" s="341" t="s">
        <v>1002</v>
      </c>
      <c r="Y150" s="341" t="s">
        <v>1032</v>
      </c>
      <c r="Z150" s="341"/>
      <c r="AA150" s="345">
        <v>175</v>
      </c>
      <c r="AB150" s="345">
        <v>1</v>
      </c>
      <c r="AC150" s="345" t="s">
        <v>146</v>
      </c>
      <c r="AD150" s="592" t="s">
        <v>2212</v>
      </c>
      <c r="AE150" s="341"/>
      <c r="AF150" s="341"/>
      <c r="AG150" s="341"/>
      <c r="AH150" s="181" t="s">
        <v>2211</v>
      </c>
      <c r="AI150" s="341"/>
      <c r="AJ150" s="341">
        <v>0</v>
      </c>
      <c r="AK150" s="341">
        <v>9999</v>
      </c>
    </row>
    <row r="151" spans="1:45" s="83" customFormat="1" ht="12.75" customHeight="1">
      <c r="A151" s="403">
        <v>910130</v>
      </c>
      <c r="B151" s="545" t="s">
        <v>1999</v>
      </c>
      <c r="C151" s="340" t="s">
        <v>1952</v>
      </c>
      <c r="D151" s="340" t="s">
        <v>160</v>
      </c>
      <c r="E151" s="340" t="s">
        <v>1078</v>
      </c>
      <c r="F151" s="340" t="s">
        <v>1952</v>
      </c>
      <c r="G151" s="340" t="s">
        <v>160</v>
      </c>
      <c r="H151" s="340" t="s">
        <v>1078</v>
      </c>
      <c r="I151" s="340" t="s">
        <v>1962</v>
      </c>
      <c r="J151" s="318" t="s">
        <v>1761</v>
      </c>
      <c r="K151" s="311" t="s">
        <v>2192</v>
      </c>
      <c r="L151" s="343">
        <v>3</v>
      </c>
      <c r="M151" s="344"/>
      <c r="N151" s="340"/>
      <c r="O151" s="341"/>
      <c r="P151" s="345">
        <v>0.55000000000000004</v>
      </c>
      <c r="Q151" s="346">
        <v>0.43</v>
      </c>
      <c r="R151" s="402"/>
      <c r="S151" s="341"/>
      <c r="T151" s="341"/>
      <c r="U151" s="340" t="s">
        <v>166</v>
      </c>
      <c r="V151" s="341" t="s">
        <v>947</v>
      </c>
      <c r="W151" s="545" t="s">
        <v>1846</v>
      </c>
      <c r="X151" s="341" t="s">
        <v>1002</v>
      </c>
      <c r="Y151" s="341" t="s">
        <v>1032</v>
      </c>
      <c r="Z151" s="341"/>
      <c r="AA151" s="345">
        <v>0.83</v>
      </c>
      <c r="AB151" s="345">
        <v>500</v>
      </c>
      <c r="AC151" s="345" t="s">
        <v>1075</v>
      </c>
      <c r="AD151" s="340" t="s">
        <v>1966</v>
      </c>
      <c r="AE151" s="341"/>
      <c r="AF151" s="341"/>
      <c r="AG151" s="341"/>
      <c r="AH151" s="376" t="s">
        <v>1952</v>
      </c>
      <c r="AI151" s="341"/>
      <c r="AJ151" s="341">
        <v>0</v>
      </c>
      <c r="AK151" s="341">
        <v>9999</v>
      </c>
    </row>
    <row r="152" spans="1:45" s="83" customFormat="1" ht="12.75" customHeight="1">
      <c r="A152" s="403">
        <v>910131</v>
      </c>
      <c r="B152" s="545" t="s">
        <v>2000</v>
      </c>
      <c r="C152" s="340" t="s">
        <v>1953</v>
      </c>
      <c r="D152" s="340" t="s">
        <v>160</v>
      </c>
      <c r="E152" s="340" t="s">
        <v>1159</v>
      </c>
      <c r="F152" s="340" t="s">
        <v>1953</v>
      </c>
      <c r="G152" s="340" t="s">
        <v>160</v>
      </c>
      <c r="H152" s="340" t="s">
        <v>1159</v>
      </c>
      <c r="I152" s="340" t="s">
        <v>1962</v>
      </c>
      <c r="J152" s="318" t="s">
        <v>1761</v>
      </c>
      <c r="K152" s="311" t="s">
        <v>2192</v>
      </c>
      <c r="L152" s="343">
        <v>3</v>
      </c>
      <c r="M152" s="344"/>
      <c r="N152" s="340"/>
      <c r="O152" s="341"/>
      <c r="P152" s="345">
        <v>0.55000000000000004</v>
      </c>
      <c r="Q152" s="346">
        <v>0.33</v>
      </c>
      <c r="R152" s="402"/>
      <c r="S152" s="341"/>
      <c r="T152" s="341"/>
      <c r="U152" s="340" t="s">
        <v>166</v>
      </c>
      <c r="V152" s="341" t="s">
        <v>947</v>
      </c>
      <c r="W152" s="545" t="s">
        <v>1846</v>
      </c>
      <c r="X152" s="341" t="s">
        <v>1002</v>
      </c>
      <c r="Y152" s="341" t="s">
        <v>1032</v>
      </c>
      <c r="Z152" s="341"/>
      <c r="AA152" s="345">
        <v>2.12</v>
      </c>
      <c r="AB152" s="345">
        <v>500</v>
      </c>
      <c r="AC152" s="345" t="s">
        <v>1075</v>
      </c>
      <c r="AD152" s="340" t="s">
        <v>1966</v>
      </c>
      <c r="AE152" s="341"/>
      <c r="AF152" s="341"/>
      <c r="AG152" s="341"/>
      <c r="AH152" s="376" t="s">
        <v>1953</v>
      </c>
      <c r="AI152" s="341"/>
      <c r="AJ152" s="341">
        <v>0</v>
      </c>
      <c r="AK152" s="341">
        <v>9999</v>
      </c>
    </row>
    <row r="153" spans="1:45" s="83" customFormat="1" ht="12.75" customHeight="1">
      <c r="A153" s="403">
        <v>910124</v>
      </c>
      <c r="B153" s="545" t="s">
        <v>2067</v>
      </c>
      <c r="C153" s="340" t="s">
        <v>1976</v>
      </c>
      <c r="D153" s="340" t="s">
        <v>160</v>
      </c>
      <c r="E153" s="340" t="s">
        <v>1078</v>
      </c>
      <c r="F153" s="340" t="s">
        <v>1976</v>
      </c>
      <c r="G153" s="340" t="s">
        <v>160</v>
      </c>
      <c r="H153" s="340" t="s">
        <v>1078</v>
      </c>
      <c r="I153" s="543" t="s">
        <v>1964</v>
      </c>
      <c r="J153" s="318" t="s">
        <v>1761</v>
      </c>
      <c r="K153" s="311" t="s">
        <v>2192</v>
      </c>
      <c r="L153" s="343">
        <v>25</v>
      </c>
      <c r="M153" s="344"/>
      <c r="N153" s="340"/>
      <c r="O153" s="341"/>
      <c r="P153" s="345">
        <v>1.6500000000000001</v>
      </c>
      <c r="Q153" s="346">
        <v>1.84</v>
      </c>
      <c r="R153" s="402"/>
      <c r="S153" s="341"/>
      <c r="T153" s="341"/>
      <c r="U153" s="340" t="s">
        <v>166</v>
      </c>
      <c r="V153" s="341" t="s">
        <v>947</v>
      </c>
      <c r="W153" s="545" t="s">
        <v>1846</v>
      </c>
      <c r="X153" s="341" t="s">
        <v>1002</v>
      </c>
      <c r="Y153" s="341" t="s">
        <v>1032</v>
      </c>
      <c r="Z153" s="341"/>
      <c r="AA153" s="345">
        <v>4.3499999999999996</v>
      </c>
      <c r="AB153" s="345">
        <v>200</v>
      </c>
      <c r="AC153" s="345" t="s">
        <v>1075</v>
      </c>
      <c r="AD153" s="340" t="s">
        <v>1971</v>
      </c>
      <c r="AE153" s="341"/>
      <c r="AF153" s="341"/>
      <c r="AG153" s="341"/>
      <c r="AH153" s="376" t="s">
        <v>1976</v>
      </c>
      <c r="AI153" s="341"/>
      <c r="AJ153" s="341">
        <v>0</v>
      </c>
      <c r="AK153" s="341">
        <v>299</v>
      </c>
      <c r="AO153" t="s">
        <v>1602</v>
      </c>
      <c r="AP153" t="s">
        <v>1332</v>
      </c>
      <c r="AQ153" t="s">
        <v>1591</v>
      </c>
      <c r="AR153" t="s">
        <v>1592</v>
      </c>
      <c r="AS153" t="s">
        <v>1705</v>
      </c>
    </row>
    <row r="154" spans="1:45" s="83" customFormat="1" ht="12.75" customHeight="1">
      <c r="A154" s="403">
        <v>910125</v>
      </c>
      <c r="B154" s="545" t="s">
        <v>2068</v>
      </c>
      <c r="C154" s="543" t="s">
        <v>2071</v>
      </c>
      <c r="D154" s="376" t="s">
        <v>160</v>
      </c>
      <c r="E154" s="376" t="s">
        <v>1078</v>
      </c>
      <c r="F154" s="543" t="s">
        <v>2071</v>
      </c>
      <c r="G154" s="376" t="s">
        <v>160</v>
      </c>
      <c r="H154" s="376" t="s">
        <v>1078</v>
      </c>
      <c r="I154" s="543" t="s">
        <v>1964</v>
      </c>
      <c r="J154" s="318" t="s">
        <v>1761</v>
      </c>
      <c r="K154" s="311" t="s">
        <v>2192</v>
      </c>
      <c r="L154" s="343">
        <v>25</v>
      </c>
      <c r="M154" s="544"/>
      <c r="N154" s="543"/>
      <c r="O154" s="545"/>
      <c r="P154" s="345">
        <v>1.6500000000000001</v>
      </c>
      <c r="Q154" s="346">
        <v>2.0499999999999998</v>
      </c>
      <c r="R154" s="546"/>
      <c r="S154" s="545"/>
      <c r="T154" s="545"/>
      <c r="U154" s="340" t="s">
        <v>166</v>
      </c>
      <c r="V154" s="341" t="s">
        <v>947</v>
      </c>
      <c r="W154" s="545" t="s">
        <v>1846</v>
      </c>
      <c r="X154" s="341" t="s">
        <v>1002</v>
      </c>
      <c r="Y154" s="341" t="s">
        <v>1032</v>
      </c>
      <c r="Z154" s="545"/>
      <c r="AA154" s="345">
        <v>4.3499999999999996</v>
      </c>
      <c r="AB154" s="345">
        <v>1000</v>
      </c>
      <c r="AC154" s="345" t="s">
        <v>1075</v>
      </c>
      <c r="AD154" s="543" t="s">
        <v>1973</v>
      </c>
      <c r="AE154" s="545"/>
      <c r="AF154" s="545"/>
      <c r="AG154" s="545"/>
      <c r="AH154" s="543" t="s">
        <v>1977</v>
      </c>
      <c r="AI154" s="545"/>
      <c r="AJ154" s="545">
        <v>300</v>
      </c>
      <c r="AK154" s="545">
        <v>2500</v>
      </c>
      <c r="AO154" s="374" t="s">
        <v>2062</v>
      </c>
      <c r="AP154" s="83" t="s">
        <v>1876</v>
      </c>
      <c r="AS154" s="397">
        <v>0.14000000000000001</v>
      </c>
    </row>
    <row r="155" spans="1:45" s="83" customFormat="1" ht="12.75" customHeight="1">
      <c r="A155" s="354"/>
      <c r="B155" s="341"/>
      <c r="C155" s="341"/>
      <c r="D155" s="341"/>
      <c r="E155" s="341"/>
      <c r="F155" s="341"/>
      <c r="G155" s="341"/>
      <c r="H155" s="341"/>
      <c r="I155" s="341"/>
      <c r="J155" s="341"/>
      <c r="K155" s="341"/>
      <c r="L155" s="348"/>
      <c r="M155" s="344"/>
      <c r="N155" s="341"/>
      <c r="O155" s="341"/>
      <c r="P155" s="341"/>
      <c r="Q155" s="341"/>
      <c r="R155" s="402"/>
      <c r="S155" s="341"/>
      <c r="T155" s="341"/>
      <c r="U155" s="341"/>
      <c r="V155" s="341"/>
      <c r="W155" s="341"/>
      <c r="X155" s="341"/>
      <c r="Y155" s="341"/>
      <c r="Z155" s="341"/>
      <c r="AA155" s="341"/>
      <c r="AB155" s="341"/>
      <c r="AC155" s="341"/>
      <c r="AD155" s="341"/>
      <c r="AE155" s="341"/>
      <c r="AF155" s="341"/>
      <c r="AG155" s="341"/>
      <c r="AH155" s="341"/>
      <c r="AI155" s="341"/>
      <c r="AJ155" s="341"/>
      <c r="AK155" s="341"/>
      <c r="AO155" s="374" t="s">
        <v>2062</v>
      </c>
      <c r="AP155" s="83" t="s">
        <v>1877</v>
      </c>
      <c r="AS155" s="397">
        <v>0.18</v>
      </c>
    </row>
    <row r="156" spans="1:45" s="83" customFormat="1" ht="12.75" customHeight="1">
      <c r="A156" s="354"/>
      <c r="B156" s="342"/>
      <c r="C156" s="341"/>
      <c r="D156" s="341"/>
      <c r="E156" s="341"/>
      <c r="F156" s="341"/>
      <c r="G156" s="341"/>
      <c r="H156" s="341"/>
      <c r="I156" s="341"/>
      <c r="J156" s="341"/>
      <c r="K156" s="342"/>
      <c r="L156" s="348"/>
      <c r="M156" s="344"/>
      <c r="N156" s="341"/>
      <c r="O156" s="341"/>
      <c r="P156" s="341"/>
      <c r="Q156" s="341"/>
      <c r="R156" s="402"/>
      <c r="S156" s="341"/>
      <c r="T156" s="341"/>
      <c r="U156" s="341"/>
      <c r="V156" s="341"/>
      <c r="W156" s="341"/>
      <c r="X156" s="341"/>
      <c r="Y156" s="341"/>
      <c r="Z156" s="341"/>
      <c r="AA156" s="341"/>
      <c r="AB156" s="341"/>
      <c r="AC156" s="341"/>
      <c r="AD156" s="341"/>
      <c r="AE156" s="341"/>
      <c r="AF156" s="341"/>
      <c r="AG156" s="341"/>
      <c r="AH156" s="341"/>
      <c r="AI156" s="341"/>
      <c r="AJ156" s="341"/>
      <c r="AK156" s="341"/>
      <c r="AO156" s="374" t="s">
        <v>2062</v>
      </c>
      <c r="AP156" s="83" t="s">
        <v>1878</v>
      </c>
      <c r="AS156" s="397">
        <v>0.15</v>
      </c>
    </row>
    <row r="157" spans="1:45" s="83" customFormat="1" ht="12.75" customHeight="1">
      <c r="A157" s="353" t="s">
        <v>852</v>
      </c>
      <c r="B157" s="335" t="s">
        <v>853</v>
      </c>
      <c r="C157" s="335" t="s">
        <v>854</v>
      </c>
      <c r="D157" s="335" t="s">
        <v>855</v>
      </c>
      <c r="E157" s="335" t="s">
        <v>856</v>
      </c>
      <c r="F157" s="335" t="s">
        <v>144</v>
      </c>
      <c r="G157" s="335" t="s">
        <v>857</v>
      </c>
      <c r="H157" s="335" t="s">
        <v>858</v>
      </c>
      <c r="I157" s="335" t="s">
        <v>145</v>
      </c>
      <c r="J157" s="374" t="s">
        <v>1454</v>
      </c>
      <c r="K157" s="336" t="s">
        <v>859</v>
      </c>
      <c r="L157" s="337" t="s">
        <v>148</v>
      </c>
      <c r="M157" s="338" t="s">
        <v>860</v>
      </c>
      <c r="N157" s="335" t="s">
        <v>153</v>
      </c>
      <c r="O157" s="335" t="s">
        <v>687</v>
      </c>
      <c r="P157" s="335" t="s">
        <v>147</v>
      </c>
      <c r="Q157" s="335" t="s">
        <v>1207</v>
      </c>
      <c r="R157" s="401" t="s">
        <v>165</v>
      </c>
      <c r="S157" s="335" t="s">
        <v>1208</v>
      </c>
      <c r="T157" s="335" t="s">
        <v>1209</v>
      </c>
      <c r="U157" s="335" t="s">
        <v>142</v>
      </c>
      <c r="V157" s="335" t="s">
        <v>0</v>
      </c>
      <c r="W157" s="335" t="s">
        <v>864</v>
      </c>
      <c r="X157" s="335" t="s">
        <v>489</v>
      </c>
      <c r="Y157" s="335" t="s">
        <v>152</v>
      </c>
      <c r="Z157" s="335" t="s">
        <v>817</v>
      </c>
      <c r="AA157" s="335" t="s">
        <v>151</v>
      </c>
      <c r="AB157" s="335" t="s">
        <v>865</v>
      </c>
      <c r="AC157" s="335" t="s">
        <v>100</v>
      </c>
      <c r="AD157" s="339" t="s">
        <v>169</v>
      </c>
      <c r="AE157" s="339" t="s">
        <v>170</v>
      </c>
      <c r="AF157" s="339" t="s">
        <v>173</v>
      </c>
      <c r="AG157" s="339" t="s">
        <v>220</v>
      </c>
      <c r="AH157" s="339" t="s">
        <v>171</v>
      </c>
      <c r="AI157" s="339" t="s">
        <v>172</v>
      </c>
      <c r="AJ157" s="339" t="s">
        <v>174</v>
      </c>
      <c r="AK157" s="339" t="s">
        <v>188</v>
      </c>
      <c r="AO157" s="374" t="s">
        <v>2062</v>
      </c>
      <c r="AP157" s="83" t="s">
        <v>1879</v>
      </c>
      <c r="AS157" s="23">
        <v>0.15</v>
      </c>
    </row>
    <row r="158" spans="1:45" s="83" customFormat="1" ht="12.75" customHeight="1">
      <c r="A158" s="403">
        <v>930803</v>
      </c>
      <c r="B158" s="340" t="s">
        <v>2006</v>
      </c>
      <c r="C158" s="340" t="s">
        <v>2007</v>
      </c>
      <c r="D158" s="340" t="s">
        <v>1162</v>
      </c>
      <c r="E158" s="592" t="s">
        <v>1162</v>
      </c>
      <c r="F158" s="340" t="s">
        <v>2008</v>
      </c>
      <c r="G158" s="340" t="s">
        <v>1162</v>
      </c>
      <c r="H158" s="340" t="s">
        <v>1162</v>
      </c>
      <c r="I158" s="340" t="s">
        <v>1980</v>
      </c>
      <c r="J158" s="318" t="s">
        <v>2171</v>
      </c>
      <c r="K158" s="545" t="s">
        <v>2192</v>
      </c>
      <c r="L158" s="347">
        <v>15</v>
      </c>
      <c r="M158" s="344"/>
      <c r="N158" s="340"/>
      <c r="O158" s="341"/>
      <c r="P158" s="333">
        <v>2.5</v>
      </c>
      <c r="Q158" s="346">
        <v>2.44</v>
      </c>
      <c r="R158" s="402"/>
      <c r="S158" s="341"/>
      <c r="T158" s="341"/>
      <c r="U158" s="340" t="s">
        <v>166</v>
      </c>
      <c r="V158" s="341" t="s">
        <v>947</v>
      </c>
      <c r="W158" s="341" t="s">
        <v>1846</v>
      </c>
      <c r="X158" s="341" t="s">
        <v>1002</v>
      </c>
      <c r="Y158" s="341" t="s">
        <v>1032</v>
      </c>
      <c r="Z158" s="341"/>
      <c r="AA158" s="347">
        <v>3.8199999999999994</v>
      </c>
      <c r="AB158" s="347">
        <v>1</v>
      </c>
      <c r="AC158" s="340" t="s">
        <v>1086</v>
      </c>
      <c r="AD158" s="340" t="s">
        <v>1980</v>
      </c>
      <c r="AE158" s="341"/>
      <c r="AF158" s="341"/>
      <c r="AG158" s="341"/>
      <c r="AH158" s="376" t="s">
        <v>2385</v>
      </c>
      <c r="AI158" s="341"/>
      <c r="AJ158" s="341"/>
      <c r="AK158" s="341"/>
      <c r="AO158" s="374" t="s">
        <v>2062</v>
      </c>
      <c r="AP158" s="83" t="s">
        <v>1880</v>
      </c>
      <c r="AS158" s="23">
        <v>0.18</v>
      </c>
    </row>
    <row r="159" spans="1:45" s="83" customFormat="1" ht="12.75" customHeight="1">
      <c r="A159" s="403">
        <v>930809</v>
      </c>
      <c r="B159" s="545" t="s">
        <v>2363</v>
      </c>
      <c r="C159" s="592" t="s">
        <v>2235</v>
      </c>
      <c r="D159" s="340" t="s">
        <v>1162</v>
      </c>
      <c r="E159" s="592" t="s">
        <v>1162</v>
      </c>
      <c r="F159" s="592" t="s">
        <v>2235</v>
      </c>
      <c r="G159" s="592" t="s">
        <v>1162</v>
      </c>
      <c r="H159" s="340" t="s">
        <v>1162</v>
      </c>
      <c r="I159" s="592" t="s">
        <v>2364</v>
      </c>
      <c r="J159" s="318" t="s">
        <v>2171</v>
      </c>
      <c r="K159" s="545" t="s">
        <v>2192</v>
      </c>
      <c r="L159" s="347">
        <v>15</v>
      </c>
      <c r="M159" s="344"/>
      <c r="N159" s="340"/>
      <c r="O159" s="341"/>
      <c r="P159" s="333">
        <v>220</v>
      </c>
      <c r="Q159" s="346">
        <v>103.39</v>
      </c>
      <c r="R159" s="402"/>
      <c r="S159" s="341"/>
      <c r="T159" s="341"/>
      <c r="U159" s="340" t="s">
        <v>166</v>
      </c>
      <c r="V159" s="341" t="s">
        <v>947</v>
      </c>
      <c r="W159" s="341" t="s">
        <v>1846</v>
      </c>
      <c r="X159" s="341" t="s">
        <v>1002</v>
      </c>
      <c r="Y159" s="341" t="s">
        <v>1032</v>
      </c>
      <c r="Z159" s="341"/>
      <c r="AA159" s="347">
        <v>220</v>
      </c>
      <c r="AB159" s="347">
        <v>1</v>
      </c>
      <c r="AC159" s="347" t="s">
        <v>146</v>
      </c>
      <c r="AD159" s="181" t="s">
        <v>2364</v>
      </c>
      <c r="AE159" s="341"/>
      <c r="AF159" s="341"/>
      <c r="AG159" s="341"/>
      <c r="AH159" s="181" t="s">
        <v>2235</v>
      </c>
      <c r="AI159" s="341"/>
      <c r="AJ159" s="341"/>
      <c r="AK159" s="341"/>
      <c r="AO159" s="374" t="s">
        <v>1856</v>
      </c>
      <c r="AP159" s="83" t="s">
        <v>1863</v>
      </c>
      <c r="AS159" s="397"/>
    </row>
    <row r="160" spans="1:45" s="83" customFormat="1" ht="12.75" customHeight="1">
      <c r="A160" s="403">
        <v>930811</v>
      </c>
      <c r="B160" s="545" t="s">
        <v>2365</v>
      </c>
      <c r="C160" s="592" t="s">
        <v>1955</v>
      </c>
      <c r="D160" s="340" t="s">
        <v>1162</v>
      </c>
      <c r="E160" s="592" t="s">
        <v>1162</v>
      </c>
      <c r="F160" s="592" t="s">
        <v>1955</v>
      </c>
      <c r="G160" s="592" t="s">
        <v>1162</v>
      </c>
      <c r="H160" s="340" t="s">
        <v>1162</v>
      </c>
      <c r="I160" s="592" t="s">
        <v>2364</v>
      </c>
      <c r="J160" s="318" t="s">
        <v>2171</v>
      </c>
      <c r="K160" s="545" t="s">
        <v>2192</v>
      </c>
      <c r="L160" s="347">
        <v>15</v>
      </c>
      <c r="M160" s="344"/>
      <c r="N160" s="340"/>
      <c r="O160" s="341"/>
      <c r="P160" s="333">
        <v>55.000000000000007</v>
      </c>
      <c r="Q160" s="346">
        <v>13.67</v>
      </c>
      <c r="R160" s="402"/>
      <c r="S160" s="341"/>
      <c r="T160" s="341"/>
      <c r="U160" s="340" t="s">
        <v>166</v>
      </c>
      <c r="V160" s="341" t="s">
        <v>947</v>
      </c>
      <c r="W160" s="341" t="s">
        <v>1846</v>
      </c>
      <c r="X160" s="341" t="s">
        <v>1002</v>
      </c>
      <c r="Y160" s="341" t="s">
        <v>1032</v>
      </c>
      <c r="Z160" s="341"/>
      <c r="AA160" s="347">
        <v>440</v>
      </c>
      <c r="AB160" s="347">
        <v>1</v>
      </c>
      <c r="AC160" s="347" t="s">
        <v>146</v>
      </c>
      <c r="AD160" s="181" t="s">
        <v>2364</v>
      </c>
      <c r="AE160" s="341"/>
      <c r="AF160" s="341"/>
      <c r="AG160" s="341"/>
      <c r="AH160" s="181" t="s">
        <v>1955</v>
      </c>
      <c r="AI160" s="341"/>
      <c r="AJ160" s="341"/>
      <c r="AK160" s="341"/>
      <c r="AO160" s="374" t="s">
        <v>2061</v>
      </c>
      <c r="AP160" s="83" t="s">
        <v>1885</v>
      </c>
      <c r="AS160" s="397">
        <v>0.14000000000000001</v>
      </c>
    </row>
    <row r="161" spans="1:50" s="83" customFormat="1" ht="12.75" customHeight="1">
      <c r="A161" s="403">
        <v>930806</v>
      </c>
      <c r="B161" s="545" t="s">
        <v>1996</v>
      </c>
      <c r="C161" s="539" t="s">
        <v>1956</v>
      </c>
      <c r="D161" s="340" t="s">
        <v>1162</v>
      </c>
      <c r="E161" s="592" t="s">
        <v>1162</v>
      </c>
      <c r="F161" s="539" t="s">
        <v>1956</v>
      </c>
      <c r="G161" s="340" t="s">
        <v>1162</v>
      </c>
      <c r="H161" s="340" t="s">
        <v>1162</v>
      </c>
      <c r="I161" s="538" t="s">
        <v>1981</v>
      </c>
      <c r="J161" s="495" t="s">
        <v>1761</v>
      </c>
      <c r="K161" s="545" t="s">
        <v>2192</v>
      </c>
      <c r="L161" s="347">
        <v>15</v>
      </c>
      <c r="M161" s="540"/>
      <c r="N161" s="538"/>
      <c r="O161" s="541"/>
      <c r="P161" s="333">
        <v>82</v>
      </c>
      <c r="Q161" s="346">
        <v>55.01</v>
      </c>
      <c r="R161" s="542"/>
      <c r="S161" s="541"/>
      <c r="T161" s="541"/>
      <c r="U161" s="340" t="s">
        <v>166</v>
      </c>
      <c r="V161" s="341" t="s">
        <v>947</v>
      </c>
      <c r="W161" s="341" t="s">
        <v>1846</v>
      </c>
      <c r="X161" s="341" t="s">
        <v>1002</v>
      </c>
      <c r="Y161" s="341" t="s">
        <v>1032</v>
      </c>
      <c r="Z161" s="541"/>
      <c r="AA161" s="347">
        <v>440</v>
      </c>
      <c r="AB161" s="347">
        <v>1</v>
      </c>
      <c r="AC161" s="347" t="s">
        <v>146</v>
      </c>
      <c r="AD161" s="543" t="s">
        <v>1978</v>
      </c>
      <c r="AE161" s="541"/>
      <c r="AF161" s="541"/>
      <c r="AG161" s="541"/>
      <c r="AH161" s="538" t="s">
        <v>1956</v>
      </c>
      <c r="AI161" s="541"/>
      <c r="AJ161" s="541"/>
      <c r="AK161" s="541"/>
      <c r="AO161" s="374" t="s">
        <v>2061</v>
      </c>
      <c r="AP161" s="83" t="s">
        <v>1888</v>
      </c>
      <c r="AS161" s="397">
        <v>0.18</v>
      </c>
    </row>
    <row r="162" spans="1:50" s="83" customFormat="1" ht="12.75" customHeight="1">
      <c r="A162" s="403">
        <v>930810</v>
      </c>
      <c r="B162" s="545" t="s">
        <v>2366</v>
      </c>
      <c r="C162" s="592" t="s">
        <v>2236</v>
      </c>
      <c r="D162" s="340" t="s">
        <v>1162</v>
      </c>
      <c r="E162" s="592" t="s">
        <v>1162</v>
      </c>
      <c r="F162" s="592" t="s">
        <v>2236</v>
      </c>
      <c r="G162" s="592" t="s">
        <v>1162</v>
      </c>
      <c r="H162" s="340" t="s">
        <v>1162</v>
      </c>
      <c r="I162" s="592" t="s">
        <v>2364</v>
      </c>
      <c r="J162" s="318" t="s">
        <v>2171</v>
      </c>
      <c r="K162" s="545" t="s">
        <v>2192</v>
      </c>
      <c r="L162" s="347">
        <v>15</v>
      </c>
      <c r="M162" s="344"/>
      <c r="N162" s="340"/>
      <c r="O162" s="341"/>
      <c r="P162" s="333">
        <v>82</v>
      </c>
      <c r="Q162" s="346">
        <v>230.86</v>
      </c>
      <c r="R162" s="402"/>
      <c r="S162" s="341"/>
      <c r="T162" s="341"/>
      <c r="U162" s="340" t="s">
        <v>166</v>
      </c>
      <c r="V162" s="341" t="s">
        <v>947</v>
      </c>
      <c r="W162" s="341" t="s">
        <v>1846</v>
      </c>
      <c r="X162" s="341" t="s">
        <v>1002</v>
      </c>
      <c r="Y162" s="341" t="s">
        <v>1032</v>
      </c>
      <c r="Z162" s="341"/>
      <c r="AA162" s="347">
        <v>220</v>
      </c>
      <c r="AB162" s="347">
        <v>1</v>
      </c>
      <c r="AC162" s="347" t="s">
        <v>146</v>
      </c>
      <c r="AD162" s="181" t="s">
        <v>2364</v>
      </c>
      <c r="AE162" s="341"/>
      <c r="AF162" s="341"/>
      <c r="AG162" s="341"/>
      <c r="AH162" s="181" t="s">
        <v>2236</v>
      </c>
      <c r="AI162" s="341"/>
      <c r="AJ162" s="341"/>
      <c r="AK162" s="341"/>
      <c r="AO162" s="374" t="s">
        <v>2061</v>
      </c>
      <c r="AP162" s="83" t="s">
        <v>1891</v>
      </c>
      <c r="AS162" s="397">
        <v>0.15</v>
      </c>
    </row>
    <row r="163" spans="1:50" s="83" customFormat="1" ht="12.75" customHeight="1">
      <c r="A163" s="403">
        <v>910135</v>
      </c>
      <c r="B163" s="545" t="s">
        <v>2367</v>
      </c>
      <c r="C163" s="592" t="s">
        <v>2237</v>
      </c>
      <c r="D163" s="340" t="s">
        <v>1162</v>
      </c>
      <c r="E163" s="592" t="s">
        <v>1162</v>
      </c>
      <c r="F163" s="592" t="s">
        <v>2224</v>
      </c>
      <c r="G163" s="592" t="s">
        <v>1162</v>
      </c>
      <c r="H163" s="340" t="s">
        <v>1162</v>
      </c>
      <c r="I163" s="592" t="s">
        <v>1077</v>
      </c>
      <c r="J163" s="318" t="s">
        <v>2171</v>
      </c>
      <c r="K163" s="545" t="s">
        <v>2192</v>
      </c>
      <c r="L163" s="347">
        <v>15</v>
      </c>
      <c r="M163" s="344"/>
      <c r="N163" s="340"/>
      <c r="O163" s="341"/>
      <c r="P163" s="333">
        <v>1</v>
      </c>
      <c r="Q163" s="346">
        <v>0.56999999999999995</v>
      </c>
      <c r="R163" s="402"/>
      <c r="S163" s="341"/>
      <c r="T163" s="341"/>
      <c r="U163" s="340" t="s">
        <v>166</v>
      </c>
      <c r="V163" s="341" t="s">
        <v>947</v>
      </c>
      <c r="W163" s="341" t="s">
        <v>1846</v>
      </c>
      <c r="X163" s="341" t="s">
        <v>1002</v>
      </c>
      <c r="Y163" s="341" t="s">
        <v>1032</v>
      </c>
      <c r="Z163" s="341"/>
      <c r="AA163" s="347">
        <v>4.1500000000000004</v>
      </c>
      <c r="AB163" s="347">
        <v>1</v>
      </c>
      <c r="AC163" s="347" t="s">
        <v>1021</v>
      </c>
      <c r="AD163" s="181" t="s">
        <v>1077</v>
      </c>
      <c r="AE163" s="341"/>
      <c r="AF163" s="341"/>
      <c r="AG163" s="341"/>
      <c r="AH163" s="181" t="s">
        <v>2237</v>
      </c>
      <c r="AI163" s="341"/>
      <c r="AJ163" s="341"/>
      <c r="AK163" s="341"/>
      <c r="AO163" s="374" t="s">
        <v>2061</v>
      </c>
      <c r="AP163" s="83" t="s">
        <v>1892</v>
      </c>
      <c r="AS163" s="23">
        <v>0.15</v>
      </c>
    </row>
    <row r="164" spans="1:50" s="83" customFormat="1" ht="12.75" customHeight="1">
      <c r="A164" s="403">
        <v>910137</v>
      </c>
      <c r="B164" s="545" t="s">
        <v>2368</v>
      </c>
      <c r="C164" s="592" t="s">
        <v>2238</v>
      </c>
      <c r="D164" s="340" t="s">
        <v>1162</v>
      </c>
      <c r="E164" s="592" t="s">
        <v>1162</v>
      </c>
      <c r="F164" s="592" t="s">
        <v>2224</v>
      </c>
      <c r="G164" s="592" t="s">
        <v>1162</v>
      </c>
      <c r="H164" s="340" t="s">
        <v>1162</v>
      </c>
      <c r="I164" s="592" t="s">
        <v>1077</v>
      </c>
      <c r="J164" s="318" t="s">
        <v>2171</v>
      </c>
      <c r="K164" s="545" t="s">
        <v>2192</v>
      </c>
      <c r="L164" s="347">
        <v>15</v>
      </c>
      <c r="M164" s="344"/>
      <c r="N164" s="340"/>
      <c r="O164" s="341"/>
      <c r="P164" s="333">
        <v>2</v>
      </c>
      <c r="Q164" s="346">
        <v>0.69</v>
      </c>
      <c r="R164" s="402"/>
      <c r="S164" s="341"/>
      <c r="T164" s="341"/>
      <c r="U164" s="340" t="s">
        <v>166</v>
      </c>
      <c r="V164" s="341" t="s">
        <v>947</v>
      </c>
      <c r="W164" s="341" t="s">
        <v>1846</v>
      </c>
      <c r="X164" s="341" t="s">
        <v>1002</v>
      </c>
      <c r="Y164" s="341" t="s">
        <v>1032</v>
      </c>
      <c r="Z164" s="341"/>
      <c r="AA164" s="347">
        <v>4.45</v>
      </c>
      <c r="AB164" s="347">
        <v>1</v>
      </c>
      <c r="AC164" s="347" t="s">
        <v>1021</v>
      </c>
      <c r="AD164" s="181" t="s">
        <v>1077</v>
      </c>
      <c r="AE164" s="341"/>
      <c r="AF164" s="341"/>
      <c r="AG164" s="341"/>
      <c r="AH164" s="181" t="s">
        <v>2238</v>
      </c>
      <c r="AI164" s="341"/>
      <c r="AJ164" s="341"/>
      <c r="AK164" s="341"/>
      <c r="AO164" s="374" t="s">
        <v>2061</v>
      </c>
      <c r="AP164" s="83" t="s">
        <v>1893</v>
      </c>
      <c r="AS164" s="23">
        <v>0.18</v>
      </c>
    </row>
    <row r="165" spans="1:50" s="83" customFormat="1" ht="12.75" customHeight="1">
      <c r="A165" s="403">
        <v>930804</v>
      </c>
      <c r="B165" s="545" t="s">
        <v>1997</v>
      </c>
      <c r="C165" s="340" t="s">
        <v>1954</v>
      </c>
      <c r="D165" s="340" t="s">
        <v>1162</v>
      </c>
      <c r="E165" s="592" t="s">
        <v>1162</v>
      </c>
      <c r="F165" s="340" t="s">
        <v>1954</v>
      </c>
      <c r="G165" s="340" t="s">
        <v>1162</v>
      </c>
      <c r="H165" s="340" t="s">
        <v>1162</v>
      </c>
      <c r="I165" s="340" t="s">
        <v>1981</v>
      </c>
      <c r="J165" s="318" t="s">
        <v>1761</v>
      </c>
      <c r="K165" s="545" t="s">
        <v>2192</v>
      </c>
      <c r="L165" s="347">
        <v>13</v>
      </c>
      <c r="M165" s="344"/>
      <c r="N165" s="340"/>
      <c r="O165" s="341"/>
      <c r="P165" s="333">
        <v>148.5</v>
      </c>
      <c r="Q165" s="346">
        <v>126</v>
      </c>
      <c r="R165" s="402"/>
      <c r="S165" s="341"/>
      <c r="T165" s="341"/>
      <c r="U165" s="340" t="s">
        <v>166</v>
      </c>
      <c r="V165" s="341" t="s">
        <v>947</v>
      </c>
      <c r="W165" s="341" t="s">
        <v>1846</v>
      </c>
      <c r="X165" s="341" t="s">
        <v>1002</v>
      </c>
      <c r="Y165" s="341" t="s">
        <v>1032</v>
      </c>
      <c r="Z165" s="341"/>
      <c r="AA165" s="347">
        <v>220</v>
      </c>
      <c r="AB165" s="347">
        <v>1</v>
      </c>
      <c r="AC165" s="347" t="s">
        <v>146</v>
      </c>
      <c r="AD165" s="376" t="s">
        <v>1979</v>
      </c>
      <c r="AE165" s="341"/>
      <c r="AF165" s="341"/>
      <c r="AG165" s="341"/>
      <c r="AH165" s="376" t="s">
        <v>1954</v>
      </c>
      <c r="AI165" s="341"/>
      <c r="AJ165" s="341"/>
      <c r="AK165" s="341"/>
      <c r="AO165" s="374" t="s">
        <v>1860</v>
      </c>
      <c r="AP165" s="9" t="s">
        <v>1889</v>
      </c>
      <c r="AS165" s="23">
        <v>70.2</v>
      </c>
    </row>
    <row r="166" spans="1:50" s="83" customFormat="1" ht="12.75" customHeight="1">
      <c r="A166" s="350"/>
      <c r="AO166" s="374" t="s">
        <v>1860</v>
      </c>
      <c r="AP166" s="9" t="s">
        <v>1886</v>
      </c>
      <c r="AS166" s="23">
        <v>74.8</v>
      </c>
    </row>
    <row r="167" spans="1:50" s="83" customFormat="1" ht="12.75" customHeight="1">
      <c r="A167" s="352" t="s">
        <v>852</v>
      </c>
      <c r="B167" s="326" t="s">
        <v>853</v>
      </c>
      <c r="C167" s="314" t="s">
        <v>854</v>
      </c>
      <c r="D167" s="314" t="s">
        <v>855</v>
      </c>
      <c r="E167" s="314" t="s">
        <v>856</v>
      </c>
      <c r="F167" s="314" t="s">
        <v>144</v>
      </c>
      <c r="G167" s="314" t="s">
        <v>857</v>
      </c>
      <c r="H167" s="314" t="s">
        <v>858</v>
      </c>
      <c r="I167" s="314" t="s">
        <v>145</v>
      </c>
      <c r="J167" s="374" t="s">
        <v>1454</v>
      </c>
      <c r="K167" s="326" t="s">
        <v>859</v>
      </c>
      <c r="L167" s="314" t="s">
        <v>148</v>
      </c>
      <c r="M167" s="327" t="s">
        <v>860</v>
      </c>
      <c r="N167" s="314" t="s">
        <v>153</v>
      </c>
      <c r="O167" s="314" t="s">
        <v>687</v>
      </c>
      <c r="P167" s="314" t="s">
        <v>147</v>
      </c>
      <c r="Q167" s="314" t="s">
        <v>150</v>
      </c>
      <c r="R167" s="400" t="s">
        <v>861</v>
      </c>
      <c r="S167" s="314" t="s">
        <v>862</v>
      </c>
      <c r="T167" s="314" t="s">
        <v>863</v>
      </c>
      <c r="U167" s="314" t="s">
        <v>142</v>
      </c>
      <c r="V167" s="314" t="s">
        <v>0</v>
      </c>
      <c r="W167" s="314" t="s">
        <v>864</v>
      </c>
      <c r="X167" s="314" t="s">
        <v>489</v>
      </c>
      <c r="Y167" s="314" t="s">
        <v>152</v>
      </c>
      <c r="Z167" s="314" t="s">
        <v>817</v>
      </c>
      <c r="AA167" s="314" t="s">
        <v>151</v>
      </c>
      <c r="AB167" s="314" t="s">
        <v>865</v>
      </c>
      <c r="AC167" s="314" t="s">
        <v>100</v>
      </c>
      <c r="AD167" s="314" t="s">
        <v>169</v>
      </c>
      <c r="AE167" s="314" t="s">
        <v>170</v>
      </c>
      <c r="AF167" s="314" t="s">
        <v>173</v>
      </c>
      <c r="AG167" s="314" t="s">
        <v>220</v>
      </c>
      <c r="AH167" s="314" t="s">
        <v>171</v>
      </c>
      <c r="AI167" s="314" t="s">
        <v>172</v>
      </c>
      <c r="AJ167" s="314" t="s">
        <v>174</v>
      </c>
      <c r="AK167" s="314" t="s">
        <v>188</v>
      </c>
      <c r="AO167" s="374" t="s">
        <v>1860</v>
      </c>
      <c r="AP167" s="9" t="s">
        <v>1894</v>
      </c>
      <c r="AS167" s="23">
        <v>82.3</v>
      </c>
    </row>
    <row r="168" spans="1:50" s="83" customFormat="1" ht="12.75" customHeight="1">
      <c r="A168" s="516">
        <v>840916</v>
      </c>
      <c r="B168" s="374" t="s">
        <v>2063</v>
      </c>
      <c r="C168" s="374" t="s">
        <v>2062</v>
      </c>
      <c r="D168" s="374" t="s">
        <v>1024</v>
      </c>
      <c r="E168" s="310" t="s">
        <v>1621</v>
      </c>
      <c r="F168" s="374" t="s">
        <v>2062</v>
      </c>
      <c r="G168" s="310" t="s">
        <v>164</v>
      </c>
      <c r="H168" s="310" t="s">
        <v>1621</v>
      </c>
      <c r="I168" s="374" t="s">
        <v>1994</v>
      </c>
      <c r="J168" s="318" t="s">
        <v>1761</v>
      </c>
      <c r="K168" s="374"/>
      <c r="L168" s="517">
        <v>15</v>
      </c>
      <c r="M168" s="518"/>
      <c r="N168" s="374"/>
      <c r="O168" s="519"/>
      <c r="P168" s="374">
        <v>3.75</v>
      </c>
      <c r="Q168" s="374">
        <v>65.8</v>
      </c>
      <c r="R168" s="520">
        <v>1.0999999999999999E-2</v>
      </c>
      <c r="S168" s="310">
        <v>5.6990881458966566E-2</v>
      </c>
      <c r="T168" s="310">
        <v>340.90909090909093</v>
      </c>
      <c r="U168" s="356" t="s">
        <v>154</v>
      </c>
      <c r="V168" s="310" t="s">
        <v>947</v>
      </c>
      <c r="W168" s="310" t="s">
        <v>1846</v>
      </c>
      <c r="X168" s="310" t="s">
        <v>1002</v>
      </c>
      <c r="Y168" s="310" t="s">
        <v>1032</v>
      </c>
      <c r="Z168" s="374"/>
      <c r="AA168" s="521">
        <v>12</v>
      </c>
      <c r="AB168" s="451"/>
      <c r="AC168" s="374" t="s">
        <v>1583</v>
      </c>
      <c r="AD168" t="s">
        <v>1869</v>
      </c>
      <c r="AE168" s="374">
        <v>0.02</v>
      </c>
      <c r="AF168">
        <v>1.2999999999999999E-2</v>
      </c>
      <c r="AG168" s="374">
        <v>3.0000000000000001E-3</v>
      </c>
      <c r="AH168" s="374" t="s">
        <v>2062</v>
      </c>
      <c r="AI168" s="374" t="s">
        <v>1875</v>
      </c>
      <c r="AJ168">
        <v>0</v>
      </c>
      <c r="AK168">
        <v>9999</v>
      </c>
      <c r="AO168" s="374" t="s">
        <v>1860</v>
      </c>
      <c r="AP168" s="9" t="s">
        <v>1895</v>
      </c>
      <c r="AS168" s="23">
        <v>82.5</v>
      </c>
    </row>
    <row r="169" spans="1:50" s="83" customFormat="1" ht="12.75" customHeight="1">
      <c r="A169" s="516">
        <v>840911</v>
      </c>
      <c r="B169" s="374" t="s">
        <v>1934</v>
      </c>
      <c r="C169" s="374" t="s">
        <v>1856</v>
      </c>
      <c r="D169" s="374" t="s">
        <v>1024</v>
      </c>
      <c r="E169" s="310" t="s">
        <v>1621</v>
      </c>
      <c r="F169" s="374" t="s">
        <v>1856</v>
      </c>
      <c r="G169" s="310" t="s">
        <v>164</v>
      </c>
      <c r="H169" s="310" t="s">
        <v>1621</v>
      </c>
      <c r="I169" s="374" t="s">
        <v>1863</v>
      </c>
      <c r="J169" s="318" t="s">
        <v>1761</v>
      </c>
      <c r="K169" s="374"/>
      <c r="L169" s="517">
        <v>13</v>
      </c>
      <c r="M169" s="518"/>
      <c r="N169" s="374"/>
      <c r="O169" s="519"/>
      <c r="P169" s="374">
        <v>2</v>
      </c>
      <c r="Q169" s="374">
        <v>302.92</v>
      </c>
      <c r="R169" s="520">
        <v>0.19400000000000001</v>
      </c>
      <c r="S169" s="310">
        <v>6.6024032747920239E-3</v>
      </c>
      <c r="T169" s="310">
        <v>10.309278350515463</v>
      </c>
      <c r="U169" s="356" t="s">
        <v>154</v>
      </c>
      <c r="V169" s="310" t="s">
        <v>947</v>
      </c>
      <c r="W169" s="310" t="s">
        <v>1846</v>
      </c>
      <c r="X169" s="310" t="s">
        <v>1002</v>
      </c>
      <c r="Y169" s="310" t="s">
        <v>1032</v>
      </c>
      <c r="Z169" s="374"/>
      <c r="AA169" s="521">
        <v>6</v>
      </c>
      <c r="AB169" s="451"/>
      <c r="AC169" s="374" t="s">
        <v>1583</v>
      </c>
      <c r="AD169" t="s">
        <v>1869</v>
      </c>
      <c r="AE169" s="374">
        <v>0.84299999999999997</v>
      </c>
      <c r="AF169">
        <v>0.55100000000000005</v>
      </c>
      <c r="AG169" s="374"/>
      <c r="AH169" s="374" t="s">
        <v>1856</v>
      </c>
      <c r="AI169" s="374" t="s">
        <v>1865</v>
      </c>
      <c r="AJ169">
        <v>0</v>
      </c>
      <c r="AK169">
        <v>9999</v>
      </c>
      <c r="AO169" s="374" t="s">
        <v>1860</v>
      </c>
      <c r="AP169" s="9" t="s">
        <v>1914</v>
      </c>
      <c r="AS169" s="23">
        <v>82.5</v>
      </c>
    </row>
    <row r="170" spans="1:50" s="83" customFormat="1" ht="12.75" customHeight="1">
      <c r="A170" s="516">
        <v>840914</v>
      </c>
      <c r="B170" s="374" t="s">
        <v>2060</v>
      </c>
      <c r="C170" s="374" t="s">
        <v>2061</v>
      </c>
      <c r="D170" s="374" t="s">
        <v>1024</v>
      </c>
      <c r="E170" s="310" t="s">
        <v>1621</v>
      </c>
      <c r="F170" s="374" t="s">
        <v>2061</v>
      </c>
      <c r="G170" s="310" t="s">
        <v>164</v>
      </c>
      <c r="H170" s="310" t="s">
        <v>1621</v>
      </c>
      <c r="I170" s="374" t="s">
        <v>1994</v>
      </c>
      <c r="J170" s="318" t="s">
        <v>1761</v>
      </c>
      <c r="K170" s="374"/>
      <c r="L170" s="517">
        <v>15</v>
      </c>
      <c r="M170" s="518"/>
      <c r="N170" s="374"/>
      <c r="O170" s="519"/>
      <c r="P170" s="374">
        <v>3</v>
      </c>
      <c r="Q170" s="374">
        <v>79.290000000000006</v>
      </c>
      <c r="R170" s="520">
        <v>1.2999999999999999E-2</v>
      </c>
      <c r="S170" s="310">
        <v>3.7835792659856218E-2</v>
      </c>
      <c r="T170" s="310">
        <v>230.76923076923077</v>
      </c>
      <c r="U170" s="356" t="s">
        <v>154</v>
      </c>
      <c r="V170" s="310" t="s">
        <v>947</v>
      </c>
      <c r="W170" s="310" t="s">
        <v>1846</v>
      </c>
      <c r="X170" s="310" t="s">
        <v>1002</v>
      </c>
      <c r="Y170" s="310" t="s">
        <v>1032</v>
      </c>
      <c r="Z170" s="374"/>
      <c r="AA170" s="521">
        <v>3</v>
      </c>
      <c r="AB170" s="451"/>
      <c r="AC170" s="374" t="s">
        <v>1583</v>
      </c>
      <c r="AD170" t="s">
        <v>1869</v>
      </c>
      <c r="AE170" s="374">
        <v>7.4999999999999997E-2</v>
      </c>
      <c r="AF170">
        <v>7.0000000000000001E-3</v>
      </c>
      <c r="AG170" s="374">
        <v>0</v>
      </c>
      <c r="AH170" s="374" t="s">
        <v>2061</v>
      </c>
      <c r="AI170" s="374" t="s">
        <v>1874</v>
      </c>
      <c r="AJ170">
        <v>0</v>
      </c>
      <c r="AK170">
        <v>9999</v>
      </c>
      <c r="AL170" s="469"/>
      <c r="AM170" s="469"/>
      <c r="AO170" s="374" t="s">
        <v>1860</v>
      </c>
      <c r="AP170" s="9" t="s">
        <v>1896</v>
      </c>
      <c r="AS170" s="23">
        <v>73.2</v>
      </c>
    </row>
    <row r="171" spans="1:50" s="83" customFormat="1" ht="12.75" customHeight="1">
      <c r="A171" s="349">
        <v>840908</v>
      </c>
      <c r="B171" s="310" t="s">
        <v>1620</v>
      </c>
      <c r="C171" s="310" t="s">
        <v>1176</v>
      </c>
      <c r="D171" s="310" t="s">
        <v>1024</v>
      </c>
      <c r="E171" s="310" t="s">
        <v>1621</v>
      </c>
      <c r="F171" s="310" t="s">
        <v>1176</v>
      </c>
      <c r="G171" s="310" t="s">
        <v>164</v>
      </c>
      <c r="H171" s="310" t="s">
        <v>1621</v>
      </c>
      <c r="I171" s="310" t="s">
        <v>2423</v>
      </c>
      <c r="J171" s="318" t="s">
        <v>1761</v>
      </c>
      <c r="K171" s="310"/>
      <c r="L171" s="517">
        <v>1</v>
      </c>
      <c r="M171" s="312"/>
      <c r="N171" s="310"/>
      <c r="O171" s="313"/>
      <c r="P171" s="374">
        <v>50</v>
      </c>
      <c r="Q171" s="374">
        <v>19.829999999999998</v>
      </c>
      <c r="R171" s="520">
        <v>3.0000000000000001E-3</v>
      </c>
      <c r="S171" s="310">
        <v>0.30257186081694404</v>
      </c>
      <c r="T171" s="310">
        <v>2000</v>
      </c>
      <c r="U171" s="356" t="s">
        <v>154</v>
      </c>
      <c r="V171" s="310" t="s">
        <v>947</v>
      </c>
      <c r="W171" s="310" t="s">
        <v>1846</v>
      </c>
      <c r="X171" s="310" t="s">
        <v>1002</v>
      </c>
      <c r="Y171" s="310" t="s">
        <v>1032</v>
      </c>
      <c r="Z171" s="310"/>
      <c r="AA171" s="521">
        <v>75</v>
      </c>
      <c r="AB171" s="356">
        <v>20</v>
      </c>
      <c r="AC171" s="374" t="s">
        <v>2418</v>
      </c>
      <c r="AD171" s="83" t="s">
        <v>2417</v>
      </c>
      <c r="AE171" s="310"/>
      <c r="AG171" s="310"/>
      <c r="AH171" s="374" t="s">
        <v>1580</v>
      </c>
      <c r="AI171" s="310" t="s">
        <v>1600</v>
      </c>
      <c r="AJ171" s="83">
        <v>0</v>
      </c>
      <c r="AK171" s="83">
        <v>9999</v>
      </c>
      <c r="AO171" s="374" t="s">
        <v>1860</v>
      </c>
      <c r="AP171" s="9" t="s">
        <v>1897</v>
      </c>
      <c r="AS171" s="23">
        <v>70.8</v>
      </c>
    </row>
    <row r="172" spans="1:50" s="469" customFormat="1" ht="12.75" customHeight="1">
      <c r="A172" s="516">
        <v>840917</v>
      </c>
      <c r="B172" s="374" t="s">
        <v>1938</v>
      </c>
      <c r="C172" s="374" t="s">
        <v>1860</v>
      </c>
      <c r="D172" s="374" t="s">
        <v>1024</v>
      </c>
      <c r="E172" s="310" t="s">
        <v>1621</v>
      </c>
      <c r="F172" s="374" t="s">
        <v>1860</v>
      </c>
      <c r="G172" s="310" t="s">
        <v>164</v>
      </c>
      <c r="H172" s="310" t="s">
        <v>1621</v>
      </c>
      <c r="I172" s="374" t="s">
        <v>1991</v>
      </c>
      <c r="J172" s="318" t="s">
        <v>1761</v>
      </c>
      <c r="K172" s="374"/>
      <c r="L172" s="517">
        <v>10</v>
      </c>
      <c r="M172" s="518"/>
      <c r="N172" s="374"/>
      <c r="O172" s="519"/>
      <c r="P172" s="374">
        <v>3.5</v>
      </c>
      <c r="Q172" s="374">
        <v>44.25</v>
      </c>
      <c r="R172" s="520">
        <v>7.0000000000000001E-3</v>
      </c>
      <c r="S172" s="310">
        <v>7.909604519774012E-2</v>
      </c>
      <c r="T172" s="310">
        <v>500</v>
      </c>
      <c r="U172" s="356" t="s">
        <v>154</v>
      </c>
      <c r="V172" s="310" t="s">
        <v>947</v>
      </c>
      <c r="W172" s="310" t="s">
        <v>1846</v>
      </c>
      <c r="X172" s="310" t="s">
        <v>1002</v>
      </c>
      <c r="Y172" s="310" t="s">
        <v>1032</v>
      </c>
      <c r="Z172" s="374"/>
      <c r="AA172" s="521">
        <v>10</v>
      </c>
      <c r="AB172" s="451"/>
      <c r="AC172" s="374" t="s">
        <v>958</v>
      </c>
      <c r="AD172" t="s">
        <v>1871</v>
      </c>
      <c r="AE172" s="374"/>
      <c r="AF172"/>
      <c r="AG172" s="374"/>
      <c r="AH172" s="374" t="s">
        <v>1860</v>
      </c>
      <c r="AI172" s="374" t="s">
        <v>1881</v>
      </c>
      <c r="AJ172">
        <v>0</v>
      </c>
      <c r="AK172">
        <v>9999</v>
      </c>
      <c r="AL172" s="83"/>
      <c r="AM172" s="83"/>
      <c r="AN172" s="83"/>
      <c r="AO172" s="374" t="s">
        <v>1860</v>
      </c>
      <c r="AP172" s="9" t="s">
        <v>1898</v>
      </c>
      <c r="AQ172" s="83"/>
      <c r="AR172" s="83"/>
      <c r="AS172" s="23">
        <v>77.599999999999994</v>
      </c>
      <c r="AT172" s="83"/>
      <c r="AV172" t="s">
        <v>1597</v>
      </c>
      <c r="AW172" t="s">
        <v>911</v>
      </c>
      <c r="AX172" t="s">
        <v>1598</v>
      </c>
    </row>
    <row r="173" spans="1:50" s="83" customFormat="1" ht="12.75" customHeight="1">
      <c r="A173" s="516">
        <v>840918</v>
      </c>
      <c r="B173" s="374" t="s">
        <v>1939</v>
      </c>
      <c r="C173" s="374" t="s">
        <v>1861</v>
      </c>
      <c r="D173" s="374" t="s">
        <v>1024</v>
      </c>
      <c r="E173" s="310" t="s">
        <v>1621</v>
      </c>
      <c r="F173" s="374" t="s">
        <v>1861</v>
      </c>
      <c r="G173" s="310" t="s">
        <v>164</v>
      </c>
      <c r="H173" s="310" t="s">
        <v>1621</v>
      </c>
      <c r="I173" s="374" t="s">
        <v>1882</v>
      </c>
      <c r="J173" s="318" t="s">
        <v>1761</v>
      </c>
      <c r="K173" s="374"/>
      <c r="L173" s="517">
        <v>10</v>
      </c>
      <c r="M173" s="518"/>
      <c r="N173" s="374"/>
      <c r="O173" s="519"/>
      <c r="P173" s="374">
        <v>100</v>
      </c>
      <c r="Q173" s="374">
        <v>1969.66</v>
      </c>
      <c r="R173" s="520">
        <v>0.30499999999999999</v>
      </c>
      <c r="S173" s="310">
        <v>5.0770183686524577E-2</v>
      </c>
      <c r="T173" s="310">
        <v>327.86885245901641</v>
      </c>
      <c r="U173" s="356" t="s">
        <v>154</v>
      </c>
      <c r="V173" s="310" t="s">
        <v>947</v>
      </c>
      <c r="W173" s="310" t="s">
        <v>1846</v>
      </c>
      <c r="X173" s="310" t="s">
        <v>1002</v>
      </c>
      <c r="Y173" s="310" t="s">
        <v>1032</v>
      </c>
      <c r="Z173" s="374"/>
      <c r="AA173" s="521">
        <v>244</v>
      </c>
      <c r="AB173" s="451"/>
      <c r="AC173" s="374" t="s">
        <v>1883</v>
      </c>
      <c r="AD173" t="s">
        <v>1872</v>
      </c>
      <c r="AE173" s="374"/>
      <c r="AF173"/>
      <c r="AG173" s="374"/>
      <c r="AH173" s="374" t="s">
        <v>1861</v>
      </c>
      <c r="AI173" s="374" t="s">
        <v>1882</v>
      </c>
      <c r="AJ173">
        <v>0</v>
      </c>
      <c r="AK173">
        <v>9999</v>
      </c>
      <c r="AO173" s="374" t="s">
        <v>1861</v>
      </c>
      <c r="AP173" s="9" t="s">
        <v>1890</v>
      </c>
      <c r="AS173" s="23">
        <v>0.184</v>
      </c>
      <c r="AV173" s="56">
        <v>1</v>
      </c>
      <c r="AW173">
        <v>1976</v>
      </c>
      <c r="AX173">
        <v>0.59</v>
      </c>
    </row>
    <row r="174" spans="1:50" s="83" customFormat="1" ht="12.75" customHeight="1">
      <c r="A174" s="516">
        <v>840915</v>
      </c>
      <c r="B174" s="374" t="s">
        <v>1937</v>
      </c>
      <c r="C174" s="374" t="s">
        <v>1859</v>
      </c>
      <c r="D174" s="374" t="s">
        <v>1024</v>
      </c>
      <c r="E174" s="310" t="s">
        <v>1621</v>
      </c>
      <c r="F174" s="374" t="s">
        <v>1859</v>
      </c>
      <c r="G174" s="310" t="s">
        <v>164</v>
      </c>
      <c r="H174" s="310" t="s">
        <v>1621</v>
      </c>
      <c r="I174" s="374" t="s">
        <v>1864</v>
      </c>
      <c r="J174" s="318" t="s">
        <v>1761</v>
      </c>
      <c r="K174" s="374"/>
      <c r="L174" s="517">
        <v>15</v>
      </c>
      <c r="M174" s="518"/>
      <c r="N174" s="374"/>
      <c r="O174" s="519"/>
      <c r="P174" s="374">
        <v>20</v>
      </c>
      <c r="Q174" s="374">
        <v>2523.14</v>
      </c>
      <c r="R174" s="520">
        <v>0.39400000000000002</v>
      </c>
      <c r="S174" s="310">
        <v>7.9266311025151196E-3</v>
      </c>
      <c r="T174" s="310">
        <v>50.761421319796952</v>
      </c>
      <c r="U174" s="356" t="s">
        <v>154</v>
      </c>
      <c r="V174" s="310" t="s">
        <v>947</v>
      </c>
      <c r="W174" s="310" t="s">
        <v>1846</v>
      </c>
      <c r="X174" s="310" t="s">
        <v>1002</v>
      </c>
      <c r="Y174" s="310" t="s">
        <v>1032</v>
      </c>
      <c r="Z174" s="374"/>
      <c r="AA174" s="521">
        <v>76.75</v>
      </c>
      <c r="AB174" s="451"/>
      <c r="AC174" s="374" t="s">
        <v>1005</v>
      </c>
      <c r="AD174" t="s">
        <v>1870</v>
      </c>
      <c r="AE174" s="374">
        <v>58</v>
      </c>
      <c r="AF174"/>
      <c r="AG174" s="374"/>
      <c r="AH174" s="374" t="s">
        <v>1859</v>
      </c>
      <c r="AI174" s="374" t="s">
        <v>1005</v>
      </c>
      <c r="AJ174">
        <v>0</v>
      </c>
      <c r="AK174">
        <v>9999</v>
      </c>
      <c r="AO174" s="374" t="s">
        <v>1861</v>
      </c>
      <c r="AP174" s="9" t="s">
        <v>1887</v>
      </c>
      <c r="AS174" s="23">
        <v>0.13600000000000001</v>
      </c>
      <c r="AT174" s="469"/>
      <c r="AV174" s="56">
        <v>2</v>
      </c>
      <c r="AW174">
        <v>3952</v>
      </c>
      <c r="AX174">
        <v>0.95</v>
      </c>
    </row>
    <row r="175" spans="1:50" s="83" customFormat="1" ht="12.75" customHeight="1">
      <c r="A175" s="516">
        <v>840913</v>
      </c>
      <c r="B175" s="374" t="s">
        <v>1936</v>
      </c>
      <c r="C175" s="374" t="s">
        <v>1858</v>
      </c>
      <c r="D175" s="374" t="s">
        <v>1024</v>
      </c>
      <c r="E175" s="310" t="s">
        <v>1621</v>
      </c>
      <c r="F175" s="374" t="s">
        <v>1858</v>
      </c>
      <c r="G175" s="310" t="s">
        <v>164</v>
      </c>
      <c r="H175" s="310" t="s">
        <v>1621</v>
      </c>
      <c r="I175" s="374" t="s">
        <v>1863</v>
      </c>
      <c r="J175" s="318" t="s">
        <v>1761</v>
      </c>
      <c r="K175" s="374"/>
      <c r="L175" s="517">
        <v>13</v>
      </c>
      <c r="M175" s="518"/>
      <c r="N175" s="374"/>
      <c r="O175" s="519"/>
      <c r="P175" s="374">
        <v>0.8</v>
      </c>
      <c r="Q175" s="374">
        <v>118.26</v>
      </c>
      <c r="R175" s="520">
        <v>7.5999999999999998E-2</v>
      </c>
      <c r="S175" s="310">
        <v>6.7647556232031123E-3</v>
      </c>
      <c r="T175" s="310">
        <v>10.526315789473685</v>
      </c>
      <c r="U175" s="356" t="s">
        <v>154</v>
      </c>
      <c r="V175" s="310" t="s">
        <v>947</v>
      </c>
      <c r="W175" s="310" t="s">
        <v>1846</v>
      </c>
      <c r="X175" s="310" t="s">
        <v>1002</v>
      </c>
      <c r="Y175" s="310" t="s">
        <v>1032</v>
      </c>
      <c r="Z175" s="374"/>
      <c r="AA175" s="521">
        <v>6.0000000000000009</v>
      </c>
      <c r="AB175" s="451"/>
      <c r="AC175" s="374" t="s">
        <v>1583</v>
      </c>
      <c r="AD175" t="s">
        <v>1869</v>
      </c>
      <c r="AE175" s="374">
        <v>0.84299999999999997</v>
      </c>
      <c r="AF175">
        <v>0.72899999999999998</v>
      </c>
      <c r="AG175" s="374"/>
      <c r="AH175" s="374" t="s">
        <v>1858</v>
      </c>
      <c r="AI175" s="374" t="s">
        <v>1867</v>
      </c>
      <c r="AJ175">
        <v>0</v>
      </c>
      <c r="AK175">
        <v>9999</v>
      </c>
      <c r="AO175" s="374" t="s">
        <v>1861</v>
      </c>
      <c r="AP175" s="9" t="s">
        <v>1899</v>
      </c>
      <c r="AS175" s="23">
        <v>0.152</v>
      </c>
      <c r="AV175" s="56">
        <v>3</v>
      </c>
      <c r="AW175">
        <v>5928</v>
      </c>
      <c r="AX175">
        <v>0.95</v>
      </c>
    </row>
    <row r="176" spans="1:50" s="83" customFormat="1" ht="12.75" customHeight="1">
      <c r="A176" s="516">
        <v>840912</v>
      </c>
      <c r="B176" s="374" t="s">
        <v>1935</v>
      </c>
      <c r="C176" s="374" t="s">
        <v>1857</v>
      </c>
      <c r="D176" s="374" t="s">
        <v>1024</v>
      </c>
      <c r="E176" s="310" t="s">
        <v>1621</v>
      </c>
      <c r="F176" s="374" t="s">
        <v>1857</v>
      </c>
      <c r="G176" s="310" t="s">
        <v>164</v>
      </c>
      <c r="H176" s="310" t="s">
        <v>1621</v>
      </c>
      <c r="I176" s="374" t="s">
        <v>1863</v>
      </c>
      <c r="J176" s="318" t="s">
        <v>1761</v>
      </c>
      <c r="K176" s="374"/>
      <c r="L176" s="517">
        <v>13</v>
      </c>
      <c r="M176" s="518"/>
      <c r="N176" s="374"/>
      <c r="O176" s="519"/>
      <c r="P176" s="374">
        <v>2.25</v>
      </c>
      <c r="Q176" s="374">
        <v>354.79</v>
      </c>
      <c r="R176" s="520">
        <v>0.22700000000000001</v>
      </c>
      <c r="S176" s="310">
        <v>6.3417796442966261E-3</v>
      </c>
      <c r="T176" s="310">
        <v>9.9118942731277535</v>
      </c>
      <c r="U176" s="356" t="s">
        <v>154</v>
      </c>
      <c r="V176" s="310" t="s">
        <v>947</v>
      </c>
      <c r="W176" s="310" t="s">
        <v>1846</v>
      </c>
      <c r="X176" s="310" t="s">
        <v>1002</v>
      </c>
      <c r="Y176" s="310" t="s">
        <v>1032</v>
      </c>
      <c r="Z176" s="374"/>
      <c r="AA176" s="521">
        <v>6</v>
      </c>
      <c r="AB176" s="451"/>
      <c r="AC176" s="374" t="s">
        <v>1583</v>
      </c>
      <c r="AD176" t="s">
        <v>1869</v>
      </c>
      <c r="AE176" s="374">
        <v>0.84299999999999997</v>
      </c>
      <c r="AF176">
        <v>0.501</v>
      </c>
      <c r="AG176" s="374"/>
      <c r="AH176" s="374" t="s">
        <v>1873</v>
      </c>
      <c r="AI176" s="374" t="s">
        <v>1866</v>
      </c>
      <c r="AJ176">
        <v>0</v>
      </c>
      <c r="AK176">
        <v>9999</v>
      </c>
      <c r="AO176" s="374" t="s">
        <v>1861</v>
      </c>
      <c r="AP176" s="9" t="s">
        <v>1900</v>
      </c>
      <c r="AS176" s="23">
        <v>5.5E-2</v>
      </c>
      <c r="AV176" s="56">
        <v>4</v>
      </c>
      <c r="AW176">
        <v>8320</v>
      </c>
      <c r="AX176">
        <v>0.95</v>
      </c>
    </row>
    <row r="177" spans="1:50" s="83" customFormat="1" ht="12.75" customHeight="1">
      <c r="A177" s="516">
        <v>840919</v>
      </c>
      <c r="B177" s="374" t="s">
        <v>1995</v>
      </c>
      <c r="C177" s="374" t="s">
        <v>1862</v>
      </c>
      <c r="D177" s="374" t="s">
        <v>1162</v>
      </c>
      <c r="E177" s="374" t="s">
        <v>1162</v>
      </c>
      <c r="F177" s="374" t="s">
        <v>1862</v>
      </c>
      <c r="G177" s="374" t="s">
        <v>1162</v>
      </c>
      <c r="H177" s="374" t="s">
        <v>1162</v>
      </c>
      <c r="I177" s="374" t="s">
        <v>1992</v>
      </c>
      <c r="J177" s="318" t="s">
        <v>1761</v>
      </c>
      <c r="K177" s="374"/>
      <c r="L177" s="517">
        <v>5</v>
      </c>
      <c r="M177" s="518"/>
      <c r="N177" s="374"/>
      <c r="O177" s="519"/>
      <c r="P177" s="374">
        <v>65</v>
      </c>
      <c r="Q177" s="374">
        <v>95.58</v>
      </c>
      <c r="R177" s="520">
        <v>1.4E-2</v>
      </c>
      <c r="S177" s="310">
        <v>0.6800585896631095</v>
      </c>
      <c r="T177" s="310">
        <v>4642.8571428571431</v>
      </c>
      <c r="U177" s="356" t="s">
        <v>154</v>
      </c>
      <c r="V177" s="310" t="s">
        <v>947</v>
      </c>
      <c r="W177" s="310" t="s">
        <v>1846</v>
      </c>
      <c r="X177" s="310" t="s">
        <v>1002</v>
      </c>
      <c r="Y177" s="310" t="s">
        <v>1032</v>
      </c>
      <c r="Z177" s="374"/>
      <c r="AA177" s="521">
        <v>1050</v>
      </c>
      <c r="AB177" s="451"/>
      <c r="AC177" s="374" t="s">
        <v>146</v>
      </c>
      <c r="AD177" t="s">
        <v>1868</v>
      </c>
      <c r="AE177" s="374"/>
      <c r="AF177"/>
      <c r="AG177" s="374"/>
      <c r="AH177" s="374" t="s">
        <v>1862</v>
      </c>
      <c r="AI177" s="374" t="s">
        <v>1862</v>
      </c>
      <c r="AJ177">
        <v>0</v>
      </c>
      <c r="AK177">
        <v>9999</v>
      </c>
      <c r="AO177" s="374" t="s">
        <v>1861</v>
      </c>
      <c r="AP177" s="9" t="s">
        <v>1912</v>
      </c>
      <c r="AS177" s="23">
        <v>5.5E-2</v>
      </c>
      <c r="AV177" s="56" t="s">
        <v>1599</v>
      </c>
      <c r="AW177">
        <v>5702</v>
      </c>
      <c r="AX177">
        <v>0.89</v>
      </c>
    </row>
    <row r="178" spans="1:50" s="83" customFormat="1" ht="12.75" customHeight="1">
      <c r="A178" s="516">
        <v>840923</v>
      </c>
      <c r="B178" s="374" t="s">
        <v>2239</v>
      </c>
      <c r="C178" s="374" t="s">
        <v>2240</v>
      </c>
      <c r="D178" s="310" t="s">
        <v>1024</v>
      </c>
      <c r="E178" s="374" t="s">
        <v>1162</v>
      </c>
      <c r="F178" s="374" t="s">
        <v>2240</v>
      </c>
      <c r="G178" s="374" t="s">
        <v>1162</v>
      </c>
      <c r="H178" s="374" t="s">
        <v>1162</v>
      </c>
      <c r="I178" s="374" t="s">
        <v>2241</v>
      </c>
      <c r="J178" s="318" t="s">
        <v>2171</v>
      </c>
      <c r="K178" s="374"/>
      <c r="L178" s="517">
        <v>12</v>
      </c>
      <c r="M178" s="518"/>
      <c r="N178" s="374"/>
      <c r="O178" s="519"/>
      <c r="P178" s="374">
        <v>100</v>
      </c>
      <c r="Q178" s="374">
        <v>1425</v>
      </c>
      <c r="R178" s="520">
        <v>0.19800000000000001</v>
      </c>
      <c r="S178" s="310">
        <v>7.0175438596491224E-2</v>
      </c>
      <c r="T178" s="310">
        <v>505.05050505050502</v>
      </c>
      <c r="U178" s="356" t="s">
        <v>154</v>
      </c>
      <c r="V178" s="310" t="s">
        <v>947</v>
      </c>
      <c r="W178" s="310" t="s">
        <v>1846</v>
      </c>
      <c r="X178" s="310" t="s">
        <v>1002</v>
      </c>
      <c r="Y178" s="310" t="s">
        <v>1032</v>
      </c>
      <c r="Z178" s="374"/>
      <c r="AA178" s="521">
        <v>200</v>
      </c>
      <c r="AB178" s="451">
        <v>25</v>
      </c>
      <c r="AC178" s="374" t="s">
        <v>958</v>
      </c>
      <c r="AD178" s="374" t="s">
        <v>1605</v>
      </c>
      <c r="AE178" s="374"/>
      <c r="AF178" s="374"/>
      <c r="AG178" s="374"/>
      <c r="AH178" s="374" t="s">
        <v>2240</v>
      </c>
      <c r="AI178" s="374" t="s">
        <v>1601</v>
      </c>
      <c r="AJ178" s="374">
        <v>0</v>
      </c>
      <c r="AK178" s="374">
        <v>200</v>
      </c>
      <c r="AN178" s="469"/>
      <c r="AO178" s="374" t="s">
        <v>1861</v>
      </c>
      <c r="AP178" s="9" t="s">
        <v>1901</v>
      </c>
      <c r="AS178" s="23">
        <v>0.153</v>
      </c>
      <c r="AV178" s="56"/>
      <c r="AW178"/>
      <c r="AX178"/>
    </row>
    <row r="179" spans="1:50" s="83" customFormat="1" ht="12.75" customHeight="1">
      <c r="A179" s="349">
        <v>840920</v>
      </c>
      <c r="B179" s="374" t="s">
        <v>2137</v>
      </c>
      <c r="C179" s="374" t="s">
        <v>1855</v>
      </c>
      <c r="D179" s="374" t="s">
        <v>160</v>
      </c>
      <c r="E179" s="374" t="s">
        <v>160</v>
      </c>
      <c r="F179" s="374" t="s">
        <v>1855</v>
      </c>
      <c r="G179" s="374" t="s">
        <v>160</v>
      </c>
      <c r="H179" s="374" t="s">
        <v>160</v>
      </c>
      <c r="I179" s="374" t="s">
        <v>1993</v>
      </c>
      <c r="J179" s="318" t="s">
        <v>2138</v>
      </c>
      <c r="K179" s="374"/>
      <c r="L179" s="517">
        <v>15</v>
      </c>
      <c r="M179" s="518"/>
      <c r="N179" s="374"/>
      <c r="O179" s="519" t="s">
        <v>160</v>
      </c>
      <c r="P179" s="374">
        <v>85</v>
      </c>
      <c r="Q179" s="374">
        <v>260.16000000000003</v>
      </c>
      <c r="R179" s="520">
        <v>0.438</v>
      </c>
      <c r="S179" s="310">
        <v>0.32672201722017219</v>
      </c>
      <c r="T179" s="310">
        <v>194.06392694063928</v>
      </c>
      <c r="U179" s="451" t="s">
        <v>154</v>
      </c>
      <c r="V179" s="374" t="s">
        <v>947</v>
      </c>
      <c r="W179" s="310" t="s">
        <v>1846</v>
      </c>
      <c r="X179" s="374" t="s">
        <v>1002</v>
      </c>
      <c r="Y179" s="374" t="s">
        <v>1032</v>
      </c>
      <c r="Z179" s="374"/>
      <c r="AA179" s="521">
        <v>2068</v>
      </c>
      <c r="AB179" s="451"/>
      <c r="AC179" s="374" t="s">
        <v>958</v>
      </c>
      <c r="AD179" t="s">
        <v>1871</v>
      </c>
      <c r="AE179" s="374">
        <v>0.40699999999999997</v>
      </c>
      <c r="AF179"/>
      <c r="AG179" s="374"/>
      <c r="AH179" s="374" t="s">
        <v>1855</v>
      </c>
      <c r="AI179" s="374" t="s">
        <v>1601</v>
      </c>
      <c r="AJ179">
        <v>0</v>
      </c>
      <c r="AK179">
        <v>9999</v>
      </c>
      <c r="AN179" s="469"/>
      <c r="AO179" s="374" t="s">
        <v>1861</v>
      </c>
      <c r="AP179" s="9" t="s">
        <v>1902</v>
      </c>
      <c r="AS179" s="23">
        <v>0.17799999999999999</v>
      </c>
      <c r="AV179" s="56"/>
      <c r="AW179"/>
      <c r="AX179"/>
    </row>
    <row r="180" spans="1:50" s="83" customFormat="1" ht="12.75" customHeight="1">
      <c r="A180" s="349">
        <v>840921</v>
      </c>
      <c r="B180" s="374" t="s">
        <v>2399</v>
      </c>
      <c r="C180" s="374" t="s">
        <v>2400</v>
      </c>
      <c r="D180" s="374" t="s">
        <v>160</v>
      </c>
      <c r="E180" s="374" t="s">
        <v>160</v>
      </c>
      <c r="F180" s="374" t="s">
        <v>2400</v>
      </c>
      <c r="G180" s="374" t="s">
        <v>160</v>
      </c>
      <c r="H180" s="374" t="s">
        <v>160</v>
      </c>
      <c r="I180" s="374" t="s">
        <v>1993</v>
      </c>
      <c r="J180" s="318" t="s">
        <v>1761</v>
      </c>
      <c r="K180" s="374"/>
      <c r="L180" s="517">
        <v>15</v>
      </c>
      <c r="M180" s="518"/>
      <c r="N180" s="374"/>
      <c r="O180" s="519" t="s">
        <v>160</v>
      </c>
      <c r="P180" s="374">
        <v>99.000000000000014</v>
      </c>
      <c r="Q180" s="374">
        <v>2579.9699999999998</v>
      </c>
      <c r="R180" s="520">
        <v>0.41299999999999998</v>
      </c>
      <c r="S180" s="310">
        <v>3.8372539215572279E-2</v>
      </c>
      <c r="T180" s="310">
        <v>239.70944309927364</v>
      </c>
      <c r="U180" s="451" t="s">
        <v>154</v>
      </c>
      <c r="V180" s="374" t="s">
        <v>947</v>
      </c>
      <c r="W180" s="310" t="s">
        <v>1846</v>
      </c>
      <c r="X180" s="374" t="s">
        <v>1002</v>
      </c>
      <c r="Y180" s="374" t="s">
        <v>1032</v>
      </c>
      <c r="Z180" s="374"/>
      <c r="AA180" s="521">
        <v>2068</v>
      </c>
      <c r="AB180" s="451"/>
      <c r="AC180" s="374" t="s">
        <v>958</v>
      </c>
      <c r="AD180" t="s">
        <v>1871</v>
      </c>
      <c r="AE180" s="374"/>
      <c r="AF180"/>
      <c r="AG180" s="374"/>
      <c r="AH180" s="374" t="s">
        <v>2400</v>
      </c>
      <c r="AI180" s="374" t="s">
        <v>1601</v>
      </c>
      <c r="AJ180">
        <v>0</v>
      </c>
      <c r="AK180">
        <v>75</v>
      </c>
      <c r="AN180" s="469"/>
      <c r="AO180" s="374" t="s">
        <v>1861</v>
      </c>
      <c r="AP180" s="9" t="s">
        <v>1903</v>
      </c>
      <c r="AS180" s="23">
        <v>0.107</v>
      </c>
      <c r="AV180" s="56"/>
      <c r="AW180"/>
      <c r="AX180"/>
    </row>
    <row r="181" spans="1:50" s="83" customFormat="1" ht="12.75" customHeight="1">
      <c r="A181" s="56">
        <v>840922</v>
      </c>
      <c r="B181" s="83" t="s">
        <v>2139</v>
      </c>
      <c r="C181" s="83" t="s">
        <v>1619</v>
      </c>
      <c r="D181" s="310" t="s">
        <v>1024</v>
      </c>
      <c r="E181" s="310" t="s">
        <v>1621</v>
      </c>
      <c r="F181" s="83" t="s">
        <v>1619</v>
      </c>
      <c r="G181" s="310" t="s">
        <v>164</v>
      </c>
      <c r="H181" s="310" t="s">
        <v>1621</v>
      </c>
      <c r="I181" s="83" t="s">
        <v>1993</v>
      </c>
      <c r="J181" s="318" t="s">
        <v>1761</v>
      </c>
      <c r="K181" s="310"/>
      <c r="L181" s="517">
        <v>13</v>
      </c>
      <c r="M181" s="312"/>
      <c r="O181" s="313"/>
      <c r="P181" s="374">
        <v>55.000000000000007</v>
      </c>
      <c r="Q181" s="374">
        <v>917.31</v>
      </c>
      <c r="R181" s="520">
        <v>0.14299999999999999</v>
      </c>
      <c r="S181" s="310">
        <v>5.9957920441290308E-2</v>
      </c>
      <c r="T181" s="310">
        <v>384.6153846153847</v>
      </c>
      <c r="U181" s="356" t="s">
        <v>154</v>
      </c>
      <c r="V181" s="310" t="s">
        <v>947</v>
      </c>
      <c r="W181" s="310" t="s">
        <v>1846</v>
      </c>
      <c r="X181" s="310" t="s">
        <v>1002</v>
      </c>
      <c r="Y181" s="310" t="s">
        <v>1032</v>
      </c>
      <c r="Z181" s="310"/>
      <c r="AA181" s="521">
        <v>1950.5199999999998</v>
      </c>
      <c r="AB181" s="355">
        <v>25</v>
      </c>
      <c r="AC181" s="374" t="s">
        <v>958</v>
      </c>
      <c r="AD181" s="330" t="s">
        <v>1605</v>
      </c>
      <c r="AE181" s="310"/>
      <c r="AF181" s="315"/>
      <c r="AG181" s="310"/>
      <c r="AH181" s="374" t="s">
        <v>1582</v>
      </c>
      <c r="AI181" s="83" t="s">
        <v>1601</v>
      </c>
      <c r="AJ181" s="330">
        <v>0</v>
      </c>
      <c r="AK181" s="330">
        <v>200</v>
      </c>
      <c r="AN181" s="469"/>
      <c r="AO181" s="374" t="s">
        <v>1859</v>
      </c>
      <c r="AP181" s="522" t="s">
        <v>1916</v>
      </c>
      <c r="AS181" s="23">
        <v>0.184</v>
      </c>
      <c r="AV181" s="56"/>
      <c r="AW181"/>
      <c r="AX181"/>
    </row>
    <row r="182" spans="1:50" s="83" customFormat="1" ht="12.75" customHeight="1">
      <c r="A182" s="350"/>
      <c r="AN182" s="469"/>
      <c r="AO182" s="374" t="s">
        <v>1859</v>
      </c>
      <c r="AP182" s="522" t="s">
        <v>1907</v>
      </c>
      <c r="AS182" s="23">
        <v>0.13600000000000001</v>
      </c>
      <c r="AV182" s="641" t="s">
        <v>2422</v>
      </c>
    </row>
    <row r="183" spans="1:50" s="83" customFormat="1" ht="12.75" customHeight="1">
      <c r="A183" s="482" t="s">
        <v>852</v>
      </c>
      <c r="B183" s="483" t="s">
        <v>853</v>
      </c>
      <c r="C183" s="483" t="s">
        <v>854</v>
      </c>
      <c r="D183" s="483" t="s">
        <v>855</v>
      </c>
      <c r="E183" s="483" t="s">
        <v>856</v>
      </c>
      <c r="F183" s="483" t="s">
        <v>144</v>
      </c>
      <c r="G183" s="483" t="s">
        <v>857</v>
      </c>
      <c r="H183" s="483" t="s">
        <v>858</v>
      </c>
      <c r="I183" s="483" t="s">
        <v>145</v>
      </c>
      <c r="J183" s="483" t="s">
        <v>1454</v>
      </c>
      <c r="K183" s="484" t="s">
        <v>859</v>
      </c>
      <c r="L183" s="483" t="s">
        <v>148</v>
      </c>
      <c r="M183" s="485" t="s">
        <v>860</v>
      </c>
      <c r="N183" s="483" t="s">
        <v>153</v>
      </c>
      <c r="O183" s="483" t="s">
        <v>687</v>
      </c>
      <c r="P183" s="483" t="s">
        <v>147</v>
      </c>
      <c r="Q183" s="483" t="s">
        <v>150</v>
      </c>
      <c r="R183" s="486" t="s">
        <v>861</v>
      </c>
      <c r="S183" s="483" t="s">
        <v>862</v>
      </c>
      <c r="T183" s="483" t="s">
        <v>863</v>
      </c>
      <c r="U183" s="483" t="s">
        <v>142</v>
      </c>
      <c r="V183" s="483" t="s">
        <v>0</v>
      </c>
      <c r="W183" s="483" t="s">
        <v>864</v>
      </c>
      <c r="X183" s="483" t="s">
        <v>489</v>
      </c>
      <c r="Y183" s="483" t="s">
        <v>152</v>
      </c>
      <c r="Z183" s="483" t="s">
        <v>817</v>
      </c>
      <c r="AA183" s="483" t="s">
        <v>151</v>
      </c>
      <c r="AB183" s="483" t="s">
        <v>865</v>
      </c>
      <c r="AC183" s="483" t="s">
        <v>100</v>
      </c>
      <c r="AD183" s="487" t="s">
        <v>169</v>
      </c>
      <c r="AE183" s="487" t="s">
        <v>170</v>
      </c>
      <c r="AF183" s="487" t="s">
        <v>173</v>
      </c>
      <c r="AG183" s="487" t="s">
        <v>220</v>
      </c>
      <c r="AH183" s="487" t="s">
        <v>171</v>
      </c>
      <c r="AI183" s="487" t="s">
        <v>172</v>
      </c>
      <c r="AJ183" s="487" t="s">
        <v>174</v>
      </c>
      <c r="AK183" s="487" t="s">
        <v>188</v>
      </c>
      <c r="AO183" s="374" t="s">
        <v>1859</v>
      </c>
      <c r="AP183" s="522" t="s">
        <v>1908</v>
      </c>
      <c r="AS183" s="23">
        <v>0.152</v>
      </c>
      <c r="AV183" s="83" t="s">
        <v>2062</v>
      </c>
    </row>
    <row r="184" spans="1:50" s="83" customFormat="1" ht="12.75" customHeight="1">
      <c r="A184" s="558">
        <v>84</v>
      </c>
      <c r="B184" s="639" t="s">
        <v>2437</v>
      </c>
      <c r="C184" t="s">
        <v>2433</v>
      </c>
      <c r="D184" s="57" t="s">
        <v>2445</v>
      </c>
      <c r="E184" s="57" t="s">
        <v>2445</v>
      </c>
      <c r="F184" s="57" t="s">
        <v>2433</v>
      </c>
      <c r="G184" s="57"/>
      <c r="H184" s="57"/>
      <c r="I184" s="57"/>
      <c r="J184" s="481" t="s">
        <v>2432</v>
      </c>
      <c r="K184"/>
      <c r="L184" s="561">
        <v>1</v>
      </c>
      <c r="M184"/>
      <c r="N184" s="562"/>
      <c r="O184"/>
      <c r="P184" s="563">
        <v>2</v>
      </c>
      <c r="Q184" s="564"/>
      <c r="R184" s="23"/>
      <c r="S184"/>
      <c r="T184"/>
      <c r="U184" t="s">
        <v>154</v>
      </c>
      <c r="V184" s="374" t="s">
        <v>947</v>
      </c>
      <c r="W184" s="374"/>
      <c r="X184" s="478" t="s">
        <v>1002</v>
      </c>
      <c r="Y184" s="491" t="s">
        <v>1032</v>
      </c>
      <c r="Z184" s="480"/>
      <c r="AA184" s="479"/>
      <c r="AB184" s="565">
        <v>1</v>
      </c>
      <c r="AC184" s="57" t="s">
        <v>892</v>
      </c>
      <c r="AD184" s="57" t="s">
        <v>1634</v>
      </c>
      <c r="AE184" s="374"/>
      <c r="AF184" s="374"/>
      <c r="AG184" s="374"/>
      <c r="AH184" s="57" t="s">
        <v>2433</v>
      </c>
      <c r="AI184" s="57" t="s">
        <v>2433</v>
      </c>
      <c r="AJ184" s="57"/>
      <c r="AK184" s="57"/>
      <c r="AO184" s="374" t="s">
        <v>1859</v>
      </c>
      <c r="AP184" s="522" t="s">
        <v>1909</v>
      </c>
      <c r="AS184" s="23">
        <v>5.5E-2</v>
      </c>
      <c r="AV184" s="83" t="s">
        <v>1856</v>
      </c>
    </row>
    <row r="185" spans="1:50" s="83" customFormat="1" ht="12.75" customHeight="1">
      <c r="A185" s="558">
        <v>86</v>
      </c>
      <c r="B185" s="639" t="s">
        <v>2438</v>
      </c>
      <c r="C185" t="s">
        <v>2434</v>
      </c>
      <c r="D185" s="57" t="s">
        <v>2445</v>
      </c>
      <c r="E185" s="57" t="s">
        <v>2445</v>
      </c>
      <c r="F185" s="57" t="s">
        <v>2434</v>
      </c>
      <c r="G185" s="57"/>
      <c r="H185" s="57"/>
      <c r="I185" s="57"/>
      <c r="J185" s="481" t="s">
        <v>2432</v>
      </c>
      <c r="K185"/>
      <c r="L185" s="561">
        <v>1</v>
      </c>
      <c r="M185"/>
      <c r="N185" s="562"/>
      <c r="O185"/>
      <c r="P185" s="563">
        <v>0.4</v>
      </c>
      <c r="Q185" s="564"/>
      <c r="R185" s="23"/>
      <c r="S185"/>
      <c r="T185"/>
      <c r="U185" t="s">
        <v>154</v>
      </c>
      <c r="V185" s="374" t="s">
        <v>947</v>
      </c>
      <c r="W185" s="374"/>
      <c r="X185" s="491" t="s">
        <v>1002</v>
      </c>
      <c r="Y185" s="491" t="s">
        <v>1032</v>
      </c>
      <c r="Z185" s="374"/>
      <c r="AA185" s="563"/>
      <c r="AB185" s="565">
        <v>1</v>
      </c>
      <c r="AC185" s="57" t="s">
        <v>892</v>
      </c>
      <c r="AD185" s="57" t="s">
        <v>1634</v>
      </c>
      <c r="AE185" s="374"/>
      <c r="AF185" s="374"/>
      <c r="AG185" s="374"/>
      <c r="AH185" s="57" t="s">
        <v>2434</v>
      </c>
      <c r="AI185" s="57" t="s">
        <v>2434</v>
      </c>
      <c r="AJ185" s="57"/>
      <c r="AK185" s="57"/>
      <c r="AO185" s="374" t="s">
        <v>1859</v>
      </c>
      <c r="AP185" s="522" t="s">
        <v>1913</v>
      </c>
      <c r="AS185" s="23">
        <v>5.5E-2</v>
      </c>
      <c r="AV185" s="83" t="s">
        <v>2061</v>
      </c>
    </row>
    <row r="186" spans="1:50" s="83" customFormat="1" ht="12.75" customHeight="1">
      <c r="A186" s="558">
        <v>89</v>
      </c>
      <c r="B186" s="639" t="s">
        <v>2439</v>
      </c>
      <c r="C186" t="s">
        <v>2435</v>
      </c>
      <c r="D186" s="57" t="s">
        <v>2445</v>
      </c>
      <c r="E186" s="57" t="s">
        <v>2445</v>
      </c>
      <c r="F186" s="57" t="s">
        <v>2435</v>
      </c>
      <c r="G186" s="57"/>
      <c r="H186" s="57"/>
      <c r="I186" s="57"/>
      <c r="J186" s="481" t="s">
        <v>2432</v>
      </c>
      <c r="K186"/>
      <c r="L186" s="561">
        <v>1</v>
      </c>
      <c r="M186"/>
      <c r="N186" s="562"/>
      <c r="O186"/>
      <c r="P186" s="563">
        <v>0.2</v>
      </c>
      <c r="Q186" s="564"/>
      <c r="R186" s="23"/>
      <c r="S186"/>
      <c r="T186"/>
      <c r="U186" t="s">
        <v>154</v>
      </c>
      <c r="V186" s="374" t="s">
        <v>947</v>
      </c>
      <c r="W186" s="374"/>
      <c r="X186" s="489" t="s">
        <v>1002</v>
      </c>
      <c r="Y186" s="491" t="s">
        <v>1032</v>
      </c>
      <c r="Z186" s="374"/>
      <c r="AA186" s="563"/>
      <c r="AB186" s="565">
        <v>1</v>
      </c>
      <c r="AC186" s="57" t="s">
        <v>892</v>
      </c>
      <c r="AD186" s="57" t="s">
        <v>1634</v>
      </c>
      <c r="AE186" s="374"/>
      <c r="AF186" s="374"/>
      <c r="AG186" s="374"/>
      <c r="AH186" s="57" t="s">
        <v>2435</v>
      </c>
      <c r="AI186" s="57" t="s">
        <v>2435</v>
      </c>
      <c r="AJ186" s="57"/>
      <c r="AK186" s="57"/>
      <c r="AO186" s="374" t="s">
        <v>1859</v>
      </c>
      <c r="AP186" s="522" t="s">
        <v>1910</v>
      </c>
      <c r="AS186" s="23">
        <v>0.153</v>
      </c>
      <c r="AV186" s="83" t="s">
        <v>1860</v>
      </c>
    </row>
    <row r="187" spans="1:50" s="83" customFormat="1" ht="12.75" customHeight="1">
      <c r="A187" s="558">
        <v>90</v>
      </c>
      <c r="B187" s="639" t="s">
        <v>2440</v>
      </c>
      <c r="C187" t="s">
        <v>2436</v>
      </c>
      <c r="D187" s="57" t="s">
        <v>2445</v>
      </c>
      <c r="E187" s="57" t="s">
        <v>2445</v>
      </c>
      <c r="F187" s="57" t="s">
        <v>2436</v>
      </c>
      <c r="G187" s="57"/>
      <c r="H187" s="57"/>
      <c r="I187" s="57"/>
      <c r="J187" s="481" t="s">
        <v>2432</v>
      </c>
      <c r="K187"/>
      <c r="L187" s="561">
        <v>1</v>
      </c>
      <c r="M187"/>
      <c r="N187" s="562"/>
      <c r="O187"/>
      <c r="P187" s="563">
        <v>0.2</v>
      </c>
      <c r="Q187" s="564"/>
      <c r="R187" s="23"/>
      <c r="S187"/>
      <c r="T187"/>
      <c r="U187" t="s">
        <v>154</v>
      </c>
      <c r="V187" s="374" t="s">
        <v>231</v>
      </c>
      <c r="W187" s="374"/>
      <c r="X187" s="489" t="s">
        <v>1002</v>
      </c>
      <c r="Y187" s="491" t="s">
        <v>1032</v>
      </c>
      <c r="Z187" s="374"/>
      <c r="AA187" s="563"/>
      <c r="AB187" s="565">
        <v>1</v>
      </c>
      <c r="AC187" s="57" t="s">
        <v>892</v>
      </c>
      <c r="AD187" s="57" t="s">
        <v>1634</v>
      </c>
      <c r="AE187" s="374"/>
      <c r="AF187" s="374"/>
      <c r="AG187" s="374"/>
      <c r="AH187" s="57" t="s">
        <v>2436</v>
      </c>
      <c r="AI187" s="57" t="s">
        <v>2436</v>
      </c>
      <c r="AJ187" s="57"/>
      <c r="AK187" s="57"/>
      <c r="AO187" s="374" t="s">
        <v>1859</v>
      </c>
      <c r="AP187" s="522" t="s">
        <v>1911</v>
      </c>
      <c r="AS187" s="23">
        <v>0.17799999999999999</v>
      </c>
      <c r="AV187" s="83" t="s">
        <v>1861</v>
      </c>
    </row>
    <row r="188" spans="1:50" s="83" customFormat="1" ht="12.75" customHeight="1">
      <c r="A188" s="558">
        <v>93</v>
      </c>
      <c r="B188" s="639" t="s">
        <v>2443</v>
      </c>
      <c r="C188" t="s">
        <v>2444</v>
      </c>
      <c r="D188" s="57" t="s">
        <v>2445</v>
      </c>
      <c r="E188" s="57" t="s">
        <v>2445</v>
      </c>
      <c r="F188" s="57" t="s">
        <v>2436</v>
      </c>
      <c r="G188" s="57"/>
      <c r="H188" s="57"/>
      <c r="I188" s="57"/>
      <c r="J188" s="481" t="s">
        <v>2432</v>
      </c>
      <c r="K188"/>
      <c r="L188" s="561">
        <v>1</v>
      </c>
      <c r="M188"/>
      <c r="N188" s="562"/>
      <c r="O188"/>
      <c r="P188" s="563">
        <v>0.2</v>
      </c>
      <c r="Q188" s="564"/>
      <c r="R188" s="23"/>
      <c r="S188"/>
      <c r="T188"/>
      <c r="U188" t="s">
        <v>166</v>
      </c>
      <c r="V188" s="374" t="s">
        <v>947</v>
      </c>
      <c r="W188" s="374"/>
      <c r="X188" s="478" t="s">
        <v>1002</v>
      </c>
      <c r="Y188" s="491" t="s">
        <v>1032</v>
      </c>
      <c r="Z188" s="480"/>
      <c r="AA188" s="479"/>
      <c r="AB188" s="565">
        <v>1</v>
      </c>
      <c r="AC188" s="57" t="s">
        <v>892</v>
      </c>
      <c r="AD188" s="57" t="s">
        <v>1634</v>
      </c>
      <c r="AE188" s="374"/>
      <c r="AF188" s="374"/>
      <c r="AG188" s="374"/>
      <c r="AH188" t="s">
        <v>2444</v>
      </c>
      <c r="AI188" t="s">
        <v>2444</v>
      </c>
      <c r="AJ188" s="57"/>
      <c r="AK188" s="57"/>
      <c r="AO188" s="374" t="s">
        <v>1859</v>
      </c>
      <c r="AP188" s="522" t="s">
        <v>1911</v>
      </c>
      <c r="AS188" s="23">
        <v>0.17799999999999999</v>
      </c>
      <c r="AV188" s="83" t="s">
        <v>1861</v>
      </c>
    </row>
    <row r="189" spans="1:50" s="83" customFormat="1" ht="12.75" customHeight="1">
      <c r="A189" s="558">
        <v>95</v>
      </c>
      <c r="B189" s="639" t="s">
        <v>2447</v>
      </c>
      <c r="C189" t="s">
        <v>2448</v>
      </c>
      <c r="D189" s="57" t="s">
        <v>2445</v>
      </c>
      <c r="E189" s="57" t="s">
        <v>2445</v>
      </c>
      <c r="F189" t="s">
        <v>2448</v>
      </c>
      <c r="G189" s="57"/>
      <c r="H189" s="57"/>
      <c r="I189" s="57"/>
      <c r="J189" s="481" t="s">
        <v>2449</v>
      </c>
      <c r="K189"/>
      <c r="L189" s="561">
        <v>1</v>
      </c>
      <c r="M189"/>
      <c r="N189" s="562"/>
      <c r="O189"/>
      <c r="P189" s="563">
        <v>1</v>
      </c>
      <c r="Q189" s="564"/>
      <c r="R189" s="23"/>
      <c r="S189"/>
      <c r="T189"/>
      <c r="U189" t="s">
        <v>154</v>
      </c>
      <c r="V189" s="374" t="s">
        <v>947</v>
      </c>
      <c r="W189" s="374"/>
      <c r="X189" s="491" t="s">
        <v>1002</v>
      </c>
      <c r="Y189" s="491" t="s">
        <v>1032</v>
      </c>
      <c r="Z189" s="374"/>
      <c r="AA189" s="563"/>
      <c r="AB189" s="565">
        <v>1</v>
      </c>
      <c r="AC189" s="57" t="s">
        <v>892</v>
      </c>
      <c r="AD189" s="57" t="s">
        <v>1634</v>
      </c>
      <c r="AE189" s="374"/>
      <c r="AF189" s="374"/>
      <c r="AG189" s="374"/>
      <c r="AH189" s="57" t="s">
        <v>2448</v>
      </c>
      <c r="AI189" s="57" t="s">
        <v>2448</v>
      </c>
      <c r="AJ189" s="57"/>
      <c r="AK189" s="57"/>
      <c r="AO189" s="374" t="s">
        <v>1859</v>
      </c>
      <c r="AP189" s="522" t="s">
        <v>1909</v>
      </c>
      <c r="AS189" s="23">
        <v>5.5E-2</v>
      </c>
      <c r="AV189" s="83" t="s">
        <v>1856</v>
      </c>
    </row>
    <row r="190" spans="1:50" s="83" customFormat="1" ht="12.75" customHeight="1">
      <c r="A190" s="558"/>
      <c r="B190"/>
      <c r="C190"/>
      <c r="D190" s="57"/>
      <c r="E190" s="57"/>
      <c r="F190" s="57"/>
      <c r="G190" s="57"/>
      <c r="H190" s="57"/>
      <c r="I190" s="57"/>
      <c r="J190" s="481"/>
      <c r="K190"/>
      <c r="L190" s="561"/>
      <c r="M190"/>
      <c r="N190" s="562"/>
      <c r="O190"/>
      <c r="P190" s="563"/>
      <c r="Q190" s="564"/>
      <c r="R190" s="23"/>
      <c r="S190"/>
      <c r="T190"/>
      <c r="U190"/>
      <c r="V190" s="374"/>
      <c r="W190" s="374"/>
      <c r="X190" s="489"/>
      <c r="Y190" s="491"/>
      <c r="Z190" s="374"/>
      <c r="AA190" s="563"/>
      <c r="AB190" s="565"/>
      <c r="AC190" s="57"/>
      <c r="AD190" s="57"/>
      <c r="AE190" s="374"/>
      <c r="AF190" s="374"/>
      <c r="AG190" s="374"/>
      <c r="AH190" s="57"/>
      <c r="AI190" s="57"/>
      <c r="AJ190" s="374"/>
      <c r="AK190" s="374"/>
      <c r="AO190" s="374" t="s">
        <v>1873</v>
      </c>
      <c r="AP190" s="9" t="s">
        <v>1884</v>
      </c>
      <c r="AQ190"/>
      <c r="AR190"/>
      <c r="AS190" s="23"/>
      <c r="AV190" s="83" t="s">
        <v>1873</v>
      </c>
    </row>
    <row r="191" spans="1:50" s="83" customFormat="1" ht="12.75" customHeight="1">
      <c r="A191" s="558"/>
      <c r="B191"/>
      <c r="C191"/>
      <c r="D191" s="57"/>
      <c r="E191" s="57"/>
      <c r="F191" s="57"/>
      <c r="G191" s="57"/>
      <c r="H191" s="57"/>
      <c r="I191" s="57"/>
      <c r="J191" s="481"/>
      <c r="K191"/>
      <c r="L191" s="561"/>
      <c r="M191"/>
      <c r="N191" s="562"/>
      <c r="O191"/>
      <c r="P191" s="563"/>
      <c r="Q191" s="564"/>
      <c r="R191" s="23"/>
      <c r="S191"/>
      <c r="T191"/>
      <c r="U191"/>
      <c r="V191" s="374"/>
      <c r="W191" s="374"/>
      <c r="X191" s="489"/>
      <c r="Y191" s="491"/>
      <c r="Z191" s="374"/>
      <c r="AA191" s="563"/>
      <c r="AB191" s="565"/>
      <c r="AC191" s="57"/>
      <c r="AD191" s="57"/>
      <c r="AE191" s="374"/>
      <c r="AF191" s="374"/>
      <c r="AG191" s="374"/>
      <c r="AH191" s="57"/>
      <c r="AI191" s="57"/>
      <c r="AJ191" s="374"/>
      <c r="AK191" s="374"/>
      <c r="AO191" s="374" t="s">
        <v>1862</v>
      </c>
      <c r="AP191" s="83" t="s">
        <v>1915</v>
      </c>
      <c r="AS191" s="23"/>
      <c r="AV191" s="83" t="s">
        <v>1862</v>
      </c>
    </row>
    <row r="192" spans="1:50" s="83" customFormat="1" ht="12.75" customHeight="1">
      <c r="A192" s="558"/>
      <c r="B192"/>
      <c r="C192"/>
      <c r="D192" s="57"/>
      <c r="E192" s="57"/>
      <c r="F192" s="57"/>
      <c r="G192" s="57"/>
      <c r="H192" s="57"/>
      <c r="I192" s="57"/>
      <c r="J192" s="481"/>
      <c r="K192"/>
      <c r="L192" s="561"/>
      <c r="M192"/>
      <c r="N192" s="562"/>
      <c r="O192"/>
      <c r="P192" s="563"/>
      <c r="Q192" s="564"/>
      <c r="R192" s="23"/>
      <c r="S192"/>
      <c r="T192"/>
      <c r="U192"/>
      <c r="V192" s="374"/>
      <c r="W192" s="374"/>
      <c r="X192" s="489"/>
      <c r="Y192" s="491"/>
      <c r="Z192" s="374"/>
      <c r="AA192" s="563"/>
      <c r="AB192" s="565"/>
      <c r="AC192" s="57"/>
      <c r="AD192" s="57"/>
      <c r="AE192" s="374"/>
      <c r="AF192" s="374"/>
      <c r="AG192" s="374"/>
      <c r="AH192" s="57"/>
      <c r="AI192" s="57"/>
      <c r="AJ192" s="374"/>
      <c r="AK192" s="374"/>
      <c r="AO192" s="374" t="s">
        <v>2240</v>
      </c>
      <c r="AP192" s="83" t="s">
        <v>2241</v>
      </c>
      <c r="AS192" s="23"/>
      <c r="AV192" s="83" t="s">
        <v>2240</v>
      </c>
    </row>
    <row r="193" spans="1:51" s="83" customFormat="1" ht="12.75" customHeight="1">
      <c r="A193" s="638"/>
      <c r="B193"/>
      <c r="C193"/>
      <c r="D193" s="57"/>
      <c r="E193" s="488"/>
      <c r="F193" s="488"/>
      <c r="G193" s="57"/>
      <c r="H193" s="57"/>
      <c r="I193" s="57"/>
      <c r="J193" s="481"/>
      <c r="K193"/>
      <c r="L193" s="561"/>
      <c r="M193"/>
      <c r="N193" s="562"/>
      <c r="O193"/>
      <c r="P193" s="563"/>
      <c r="Q193" s="564"/>
      <c r="R193" s="23"/>
      <c r="S193"/>
      <c r="T193"/>
      <c r="U193"/>
      <c r="V193" s="374"/>
      <c r="W193" s="374"/>
      <c r="X193" s="489"/>
      <c r="Y193" s="491"/>
      <c r="Z193" s="374"/>
      <c r="AA193" s="563"/>
      <c r="AB193" s="565"/>
      <c r="AC193" s="57"/>
      <c r="AD193" s="57"/>
      <c r="AE193" s="374"/>
      <c r="AF193" s="374"/>
      <c r="AG193" s="374"/>
      <c r="AH193"/>
      <c r="AI193"/>
      <c r="AJ193" s="374"/>
      <c r="AK193" s="374"/>
      <c r="AO193" s="83" t="s">
        <v>1855</v>
      </c>
      <c r="AP193" s="83" t="s">
        <v>1114</v>
      </c>
      <c r="AS193" s="23">
        <v>0.249</v>
      </c>
      <c r="AV193" s="83" t="s">
        <v>1855</v>
      </c>
    </row>
    <row r="194" spans="1:51" s="83" customFormat="1" ht="12.75" customHeight="1">
      <c r="A194" s="638"/>
      <c r="B194" s="489"/>
      <c r="C194"/>
      <c r="D194" s="57"/>
      <c r="E194" s="488"/>
      <c r="F194" s="488"/>
      <c r="G194" s="57"/>
      <c r="H194" s="57"/>
      <c r="I194" s="57"/>
      <c r="J194" s="481"/>
      <c r="K194"/>
      <c r="L194" s="561"/>
      <c r="M194"/>
      <c r="N194" s="562"/>
      <c r="O194"/>
      <c r="P194" s="563"/>
      <c r="Q194" s="564"/>
      <c r="R194" s="23"/>
      <c r="S194"/>
      <c r="T194"/>
      <c r="U194"/>
      <c r="V194" s="374"/>
      <c r="W194" s="374"/>
      <c r="X194" s="489"/>
      <c r="Y194" s="491"/>
      <c r="Z194" s="374"/>
      <c r="AA194" s="563"/>
      <c r="AB194" s="565"/>
      <c r="AC194" s="57"/>
      <c r="AD194" s="57"/>
      <c r="AE194" s="374"/>
      <c r="AF194" s="374"/>
      <c r="AG194" s="374"/>
      <c r="AH194"/>
      <c r="AI194"/>
      <c r="AJ194" s="374"/>
      <c r="AK194" s="374"/>
      <c r="AO194" s="83" t="s">
        <v>1855</v>
      </c>
      <c r="AP194" s="83" t="s">
        <v>1115</v>
      </c>
      <c r="AS194" s="23">
        <v>8.1000000000000003E-2</v>
      </c>
      <c r="AV194" s="83" t="s">
        <v>2400</v>
      </c>
    </row>
    <row r="195" spans="1:51" s="83" customFormat="1" ht="12.75" customHeight="1">
      <c r="A195" s="638"/>
      <c r="B195" s="489"/>
      <c r="C195"/>
      <c r="D195" s="57"/>
      <c r="E195" s="488"/>
      <c r="F195"/>
      <c r="G195" s="57"/>
      <c r="H195" s="57"/>
      <c r="I195" s="57"/>
      <c r="J195" s="481"/>
      <c r="K195"/>
      <c r="L195" s="561"/>
      <c r="M195"/>
      <c r="N195" s="562"/>
      <c r="O195"/>
      <c r="P195" s="563"/>
      <c r="Q195" s="564"/>
      <c r="R195" s="23"/>
      <c r="S195"/>
      <c r="T195"/>
      <c r="U195"/>
      <c r="V195" s="374"/>
      <c r="W195" s="374"/>
      <c r="X195" s="489"/>
      <c r="Y195" s="491"/>
      <c r="Z195" s="374"/>
      <c r="AA195" s="563"/>
      <c r="AB195" s="565"/>
      <c r="AC195" s="57"/>
      <c r="AD195" s="57"/>
      <c r="AE195" s="374"/>
      <c r="AF195" s="374"/>
      <c r="AG195" s="374"/>
      <c r="AH195"/>
      <c r="AI195"/>
      <c r="AJ195" s="374"/>
      <c r="AK195" s="374"/>
      <c r="AO195" s="83" t="s">
        <v>1855</v>
      </c>
      <c r="AP195" s="83" t="s">
        <v>1906</v>
      </c>
      <c r="AS195" s="23">
        <v>0.502</v>
      </c>
      <c r="AV195" s="83" t="s">
        <v>1582</v>
      </c>
    </row>
    <row r="196" spans="1:51" s="83" customFormat="1" ht="12" customHeight="1">
      <c r="A196" s="638"/>
      <c r="B196" s="489"/>
      <c r="C196"/>
      <c r="D196" s="57"/>
      <c r="E196" s="488"/>
      <c r="F196"/>
      <c r="G196" s="57"/>
      <c r="H196" s="57"/>
      <c r="I196" s="57"/>
      <c r="J196" s="481"/>
      <c r="K196"/>
      <c r="L196" s="561"/>
      <c r="M196"/>
      <c r="N196" s="562"/>
      <c r="O196"/>
      <c r="P196" s="563"/>
      <c r="Q196" s="564"/>
      <c r="R196" s="23"/>
      <c r="S196"/>
      <c r="T196"/>
      <c r="U196"/>
      <c r="V196" s="374"/>
      <c r="W196" s="374"/>
      <c r="X196" s="489"/>
      <c r="Y196" s="491"/>
      <c r="Z196" s="374"/>
      <c r="AA196" s="563"/>
      <c r="AB196" s="565"/>
      <c r="AC196" s="57"/>
      <c r="AD196" s="57"/>
      <c r="AE196" s="374"/>
      <c r="AF196" s="374"/>
      <c r="AG196" s="374"/>
      <c r="AH196"/>
      <c r="AI196"/>
      <c r="AJ196" s="374"/>
      <c r="AK196" s="374"/>
      <c r="AO196" s="83" t="s">
        <v>2400</v>
      </c>
      <c r="AP196" s="83" t="s">
        <v>2406</v>
      </c>
      <c r="AR196" s="83">
        <v>1</v>
      </c>
      <c r="AS196" s="23">
        <v>1</v>
      </c>
    </row>
    <row r="197" spans="1:51" s="83" customFormat="1" ht="12.75" customHeight="1">
      <c r="A197" s="638"/>
      <c r="B197" s="489"/>
      <c r="C197"/>
      <c r="D197" s="57"/>
      <c r="E197" s="488"/>
      <c r="F197"/>
      <c r="G197" s="57"/>
      <c r="H197" s="57"/>
      <c r="I197" s="57"/>
      <c r="J197" s="481"/>
      <c r="K197"/>
      <c r="L197" s="561"/>
      <c r="M197"/>
      <c r="N197" s="562"/>
      <c r="O197"/>
      <c r="P197" s="563"/>
      <c r="Q197" s="564"/>
      <c r="R197" s="23"/>
      <c r="S197"/>
      <c r="T197"/>
      <c r="U197" s="490"/>
      <c r="V197" s="374"/>
      <c r="W197" s="374"/>
      <c r="X197" s="489"/>
      <c r="Y197" s="491"/>
      <c r="Z197" s="374"/>
      <c r="AA197" s="563"/>
      <c r="AB197" s="565"/>
      <c r="AC197" s="57"/>
      <c r="AD197" s="57"/>
      <c r="AE197" s="374"/>
      <c r="AF197" s="374"/>
      <c r="AG197" s="374"/>
      <c r="AH197"/>
      <c r="AI197"/>
      <c r="AJ197" s="374"/>
      <c r="AK197" s="374"/>
      <c r="AO197" s="83" t="s">
        <v>2400</v>
      </c>
      <c r="AP197" s="83" t="s">
        <v>2407</v>
      </c>
      <c r="AR197" s="83">
        <v>1</v>
      </c>
      <c r="AS197" s="23">
        <v>0.8</v>
      </c>
    </row>
    <row r="198" spans="1:51" s="83" customFormat="1" ht="12.75" customHeight="1">
      <c r="A198" s="638"/>
      <c r="B198" s="489"/>
      <c r="C198"/>
      <c r="D198" s="57"/>
      <c r="E198" s="488"/>
      <c r="F198"/>
      <c r="G198" s="57"/>
      <c r="H198" s="57"/>
      <c r="I198" s="57"/>
      <c r="J198" s="481"/>
      <c r="K198"/>
      <c r="L198" s="561"/>
      <c r="M198"/>
      <c r="N198" s="562"/>
      <c r="O198"/>
      <c r="P198" s="563"/>
      <c r="Q198" s="564"/>
      <c r="R198" s="23"/>
      <c r="S198"/>
      <c r="T198"/>
      <c r="U198" s="490"/>
      <c r="V198" s="374"/>
      <c r="W198" s="374"/>
      <c r="X198" s="489"/>
      <c r="Y198" s="491"/>
      <c r="Z198" s="374"/>
      <c r="AA198" s="563"/>
      <c r="AB198" s="565"/>
      <c r="AC198" s="57"/>
      <c r="AD198" s="57"/>
      <c r="AE198" s="374"/>
      <c r="AF198" s="374"/>
      <c r="AG198" s="374"/>
      <c r="AH198"/>
      <c r="AI198"/>
      <c r="AJ198" s="374"/>
      <c r="AK198" s="374"/>
      <c r="AO198" s="83" t="s">
        <v>2400</v>
      </c>
      <c r="AP198" s="83" t="s">
        <v>2408</v>
      </c>
      <c r="AR198" s="83">
        <v>1.05</v>
      </c>
      <c r="AS198" s="23">
        <v>0.78</v>
      </c>
    </row>
    <row r="199" spans="1:51" s="83" customFormat="1" ht="12.75" customHeight="1">
      <c r="A199" s="638"/>
      <c r="B199" s="489"/>
      <c r="C199"/>
      <c r="D199" s="57"/>
      <c r="E199" s="488"/>
      <c r="F199"/>
      <c r="G199" s="57"/>
      <c r="H199" s="57"/>
      <c r="I199" s="57"/>
      <c r="J199" s="481"/>
      <c r="K199"/>
      <c r="L199" s="561"/>
      <c r="M199"/>
      <c r="N199" s="562"/>
      <c r="O199"/>
      <c r="P199" s="563"/>
      <c r="Q199" s="564"/>
      <c r="R199" s="23"/>
      <c r="S199"/>
      <c r="T199"/>
      <c r="U199" s="490"/>
      <c r="V199" s="374"/>
      <c r="W199" s="374"/>
      <c r="X199" s="489"/>
      <c r="Y199" s="491"/>
      <c r="Z199" s="374"/>
      <c r="AA199" s="563"/>
      <c r="AB199" s="565"/>
      <c r="AC199" s="57"/>
      <c r="AD199" s="57"/>
      <c r="AE199" s="374"/>
      <c r="AF199" s="374"/>
      <c r="AG199" s="374"/>
      <c r="AH199"/>
      <c r="AI199"/>
      <c r="AJ199" s="374"/>
      <c r="AK199" s="374"/>
      <c r="AO199" s="83" t="s">
        <v>2400</v>
      </c>
      <c r="AP199" s="83" t="s">
        <v>2409</v>
      </c>
      <c r="AR199" s="83">
        <v>1.07</v>
      </c>
      <c r="AS199" s="23">
        <v>0.69</v>
      </c>
    </row>
    <row r="200" spans="1:51" s="83" customFormat="1" ht="12.75" customHeight="1">
      <c r="A200" s="638"/>
      <c r="B200" s="489"/>
      <c r="C200"/>
      <c r="D200" s="57"/>
      <c r="E200" s="488"/>
      <c r="F200"/>
      <c r="G200" s="57"/>
      <c r="H200" s="57"/>
      <c r="I200" s="57"/>
      <c r="J200" s="481"/>
      <c r="K200"/>
      <c r="L200" s="561"/>
      <c r="M200"/>
      <c r="N200" s="562"/>
      <c r="O200"/>
      <c r="P200" s="563"/>
      <c r="Q200" s="564"/>
      <c r="R200" s="23"/>
      <c r="S200"/>
      <c r="T200"/>
      <c r="U200" s="490"/>
      <c r="V200" s="374"/>
      <c r="W200" s="374"/>
      <c r="X200" s="489"/>
      <c r="Y200" s="491"/>
      <c r="Z200" s="374"/>
      <c r="AA200" s="563"/>
      <c r="AB200" s="565"/>
      <c r="AC200" s="57"/>
      <c r="AD200" s="57"/>
      <c r="AE200" s="374"/>
      <c r="AF200" s="374"/>
      <c r="AG200" s="374"/>
      <c r="AH200"/>
      <c r="AI200"/>
      <c r="AJ200" s="374"/>
      <c r="AK200" s="374"/>
      <c r="AO200" s="83" t="s">
        <v>2400</v>
      </c>
      <c r="AP200" s="83" t="s">
        <v>2410</v>
      </c>
      <c r="AR200" s="83">
        <v>1</v>
      </c>
      <c r="AS200" s="23">
        <v>0.63</v>
      </c>
    </row>
    <row r="201" spans="1:51" s="83" customFormat="1" ht="12.75" customHeight="1">
      <c r="A201" s="638"/>
      <c r="B201" s="489"/>
      <c r="C201"/>
      <c r="D201" s="57"/>
      <c r="E201" s="488"/>
      <c r="F201"/>
      <c r="G201" s="57"/>
      <c r="H201" s="57"/>
      <c r="I201" s="57"/>
      <c r="J201" s="481"/>
      <c r="K201"/>
      <c r="L201" s="561"/>
      <c r="M201"/>
      <c r="N201" s="562"/>
      <c r="O201"/>
      <c r="P201" s="563"/>
      <c r="Q201" s="564"/>
      <c r="R201" s="23"/>
      <c r="S201"/>
      <c r="T201"/>
      <c r="U201" s="490"/>
      <c r="V201" s="374"/>
      <c r="W201" s="374"/>
      <c r="X201" s="489"/>
      <c r="Y201" s="491"/>
      <c r="Z201" s="374"/>
      <c r="AA201" s="563"/>
      <c r="AB201" s="565"/>
      <c r="AC201" s="57"/>
      <c r="AD201" s="57"/>
      <c r="AE201" s="374"/>
      <c r="AF201" s="374"/>
      <c r="AG201" s="374"/>
      <c r="AH201"/>
      <c r="AI201"/>
      <c r="AJ201" s="374"/>
      <c r="AK201" s="374"/>
      <c r="AO201" s="83" t="s">
        <v>2400</v>
      </c>
      <c r="AP201" s="83" t="s">
        <v>2411</v>
      </c>
      <c r="AR201" s="83">
        <v>0.99</v>
      </c>
      <c r="AS201" s="23">
        <v>0.53</v>
      </c>
    </row>
    <row r="202" spans="1:51" s="83" customFormat="1" ht="12.75" customHeight="1">
      <c r="A202" s="638"/>
      <c r="B202"/>
      <c r="C202"/>
      <c r="D202" s="57"/>
      <c r="E202" s="488"/>
      <c r="F202"/>
      <c r="G202" s="57"/>
      <c r="H202" s="57"/>
      <c r="I202" s="57"/>
      <c r="J202" s="481"/>
      <c r="K202"/>
      <c r="L202" s="561"/>
      <c r="M202"/>
      <c r="N202" s="562"/>
      <c r="O202"/>
      <c r="P202" s="563"/>
      <c r="Q202" s="564"/>
      <c r="R202" s="23"/>
      <c r="S202"/>
      <c r="T202"/>
      <c r="U202" s="490"/>
      <c r="V202" s="374"/>
      <c r="W202" s="374"/>
      <c r="X202" s="489"/>
      <c r="Y202" s="491"/>
      <c r="Z202" s="374"/>
      <c r="AA202" s="563"/>
      <c r="AB202" s="565"/>
      <c r="AC202" s="57"/>
      <c r="AD202" s="57"/>
      <c r="AE202" s="374"/>
      <c r="AF202" s="374"/>
      <c r="AG202" s="374"/>
      <c r="AH202"/>
      <c r="AI202"/>
      <c r="AJ202" s="374"/>
      <c r="AK202" s="374"/>
      <c r="AO202" s="83" t="s">
        <v>2400</v>
      </c>
      <c r="AP202" s="83" t="s">
        <v>2412</v>
      </c>
      <c r="AR202" s="83">
        <v>1.06</v>
      </c>
      <c r="AS202" s="23">
        <v>0.53</v>
      </c>
      <c r="AY202" s="83" t="s">
        <v>1627</v>
      </c>
    </row>
    <row r="203" spans="1:51" s="83" customFormat="1" ht="12.75" customHeight="1">
      <c r="A203" s="350"/>
      <c r="AO203" s="83" t="s">
        <v>2400</v>
      </c>
      <c r="AP203" s="83" t="s">
        <v>2413</v>
      </c>
      <c r="AR203" s="83">
        <v>1.04</v>
      </c>
      <c r="AS203" s="23">
        <v>0.49</v>
      </c>
    </row>
    <row r="204" spans="1:51" s="83" customFormat="1" ht="12.75" customHeight="1">
      <c r="A204" s="350"/>
      <c r="AO204" s="83" t="s">
        <v>2400</v>
      </c>
      <c r="AP204" s="83" t="s">
        <v>2414</v>
      </c>
      <c r="AR204" s="83">
        <v>1.04</v>
      </c>
      <c r="AS204" s="23">
        <v>0.39</v>
      </c>
    </row>
    <row r="205" spans="1:51" s="83" customFormat="1" ht="12.75" customHeight="1">
      <c r="A205" s="523" t="s">
        <v>852</v>
      </c>
      <c r="B205" s="524" t="s">
        <v>853</v>
      </c>
      <c r="C205" s="524" t="s">
        <v>854</v>
      </c>
      <c r="D205" s="524" t="s">
        <v>855</v>
      </c>
      <c r="E205" s="524" t="s">
        <v>856</v>
      </c>
      <c r="F205" s="524" t="s">
        <v>144</v>
      </c>
      <c r="G205" s="524" t="s">
        <v>857</v>
      </c>
      <c r="H205" s="524" t="s">
        <v>858</v>
      </c>
      <c r="I205" s="524" t="s">
        <v>145</v>
      </c>
      <c r="J205" s="524" t="s">
        <v>1454</v>
      </c>
      <c r="K205" s="525" t="s">
        <v>859</v>
      </c>
      <c r="L205" s="524" t="s">
        <v>148</v>
      </c>
      <c r="M205" s="526" t="s">
        <v>860</v>
      </c>
      <c r="N205" s="524" t="s">
        <v>153</v>
      </c>
      <c r="O205" s="524" t="s">
        <v>687</v>
      </c>
      <c r="P205" s="524" t="s">
        <v>147</v>
      </c>
      <c r="Q205" s="524" t="s">
        <v>150</v>
      </c>
      <c r="R205" s="527" t="s">
        <v>861</v>
      </c>
      <c r="S205" s="524" t="s">
        <v>862</v>
      </c>
      <c r="T205" s="524" t="s">
        <v>863</v>
      </c>
      <c r="U205" s="524" t="s">
        <v>142</v>
      </c>
      <c r="V205" s="524" t="s">
        <v>0</v>
      </c>
      <c r="W205" s="524" t="s">
        <v>864</v>
      </c>
      <c r="X205" s="524" t="s">
        <v>489</v>
      </c>
      <c r="Y205" s="524" t="s">
        <v>152</v>
      </c>
      <c r="Z205" s="524" t="s">
        <v>817</v>
      </c>
      <c r="AA205" s="524" t="s">
        <v>151</v>
      </c>
      <c r="AB205" s="524" t="s">
        <v>865</v>
      </c>
      <c r="AC205" s="524" t="s">
        <v>100</v>
      </c>
      <c r="AD205" s="528" t="s">
        <v>169</v>
      </c>
      <c r="AE205" s="528" t="s">
        <v>170</v>
      </c>
      <c r="AF205" s="528" t="s">
        <v>173</v>
      </c>
      <c r="AG205" s="528" t="s">
        <v>220</v>
      </c>
      <c r="AH205" s="528" t="s">
        <v>171</v>
      </c>
      <c r="AI205" s="528" t="s">
        <v>172</v>
      </c>
      <c r="AJ205" s="528" t="s">
        <v>174</v>
      </c>
      <c r="AK205" s="529" t="s">
        <v>188</v>
      </c>
      <c r="AO205" s="374" t="s">
        <v>1581</v>
      </c>
      <c r="AP205" t="s">
        <v>1593</v>
      </c>
      <c r="AQ205">
        <v>0.89</v>
      </c>
      <c r="AR205">
        <v>0.86299999999999999</v>
      </c>
      <c r="AS205" s="23"/>
    </row>
    <row r="206" spans="1:51" s="83" customFormat="1" ht="12.75" customHeight="1">
      <c r="A206" s="350">
        <v>860000</v>
      </c>
      <c r="B206" s="83" t="s">
        <v>1940</v>
      </c>
      <c r="C206" s="83" t="s">
        <v>1710</v>
      </c>
      <c r="D206" s="83" t="s">
        <v>1708</v>
      </c>
      <c r="E206" s="83" t="s">
        <v>1708</v>
      </c>
      <c r="F206" s="83" t="s">
        <v>1710</v>
      </c>
      <c r="G206" s="83" t="s">
        <v>1708</v>
      </c>
      <c r="H206" s="83" t="s">
        <v>1708</v>
      </c>
      <c r="I206" s="83" t="s">
        <v>1917</v>
      </c>
      <c r="J206" s="83" t="s">
        <v>1761</v>
      </c>
      <c r="L206" s="83">
        <v>15</v>
      </c>
      <c r="O206" s="83" t="s">
        <v>1708</v>
      </c>
      <c r="P206" s="83">
        <v>3500</v>
      </c>
      <c r="Q206" s="83">
        <v>7646.55</v>
      </c>
      <c r="R206" s="83">
        <v>0</v>
      </c>
      <c r="S206" s="83">
        <v>0.45772276386082611</v>
      </c>
      <c r="T206" s="83">
        <v>0</v>
      </c>
      <c r="U206" s="83" t="s">
        <v>154</v>
      </c>
      <c r="V206" s="83" t="s">
        <v>947</v>
      </c>
      <c r="W206" s="83" t="s">
        <v>1846</v>
      </c>
      <c r="X206" s="83" t="s">
        <v>1002</v>
      </c>
      <c r="Y206" s="83" t="s">
        <v>1032</v>
      </c>
      <c r="AA206" s="83">
        <v>4353</v>
      </c>
      <c r="AC206" s="83" t="s">
        <v>146</v>
      </c>
      <c r="AD206" s="83" t="s">
        <v>1917</v>
      </c>
      <c r="AE206" s="83" t="s">
        <v>146</v>
      </c>
      <c r="AF206" s="83" t="s">
        <v>146</v>
      </c>
      <c r="AG206" s="83">
        <v>101</v>
      </c>
      <c r="AH206" s="83" t="s">
        <v>1710</v>
      </c>
      <c r="AO206" s="374" t="s">
        <v>1581</v>
      </c>
      <c r="AP206" t="s">
        <v>1624</v>
      </c>
      <c r="AQ206">
        <v>0.80600000000000005</v>
      </c>
      <c r="AR206">
        <v>0.78600000000000003</v>
      </c>
      <c r="AS206" s="23"/>
    </row>
    <row r="207" spans="1:51" s="83" customFormat="1" ht="12.75" customHeight="1">
      <c r="A207" s="350">
        <v>860011</v>
      </c>
      <c r="B207" s="83" t="s">
        <v>1948</v>
      </c>
      <c r="C207" s="83" t="s">
        <v>1721</v>
      </c>
      <c r="D207" s="83" t="s">
        <v>1708</v>
      </c>
      <c r="E207" s="83" t="s">
        <v>1708</v>
      </c>
      <c r="F207" s="83" t="s">
        <v>1721</v>
      </c>
      <c r="G207" s="83" t="s">
        <v>1708</v>
      </c>
      <c r="H207" s="83" t="s">
        <v>1708</v>
      </c>
      <c r="I207" s="83" t="s">
        <v>1927</v>
      </c>
      <c r="J207" s="83" t="s">
        <v>1761</v>
      </c>
      <c r="L207" s="83">
        <v>3</v>
      </c>
      <c r="O207" s="83" t="s">
        <v>1708</v>
      </c>
      <c r="P207" s="83">
        <v>10</v>
      </c>
      <c r="Q207" s="83">
        <v>571.33000000000004</v>
      </c>
      <c r="R207" s="83">
        <v>0</v>
      </c>
      <c r="S207" s="83">
        <v>1.7503019270824215E-2</v>
      </c>
      <c r="T207" s="83">
        <v>0</v>
      </c>
      <c r="U207" s="83" t="s">
        <v>154</v>
      </c>
      <c r="V207" s="83" t="s">
        <v>947</v>
      </c>
      <c r="W207" s="83" t="s">
        <v>1846</v>
      </c>
      <c r="X207" s="83" t="s">
        <v>1002</v>
      </c>
      <c r="Y207" s="83" t="s">
        <v>1032</v>
      </c>
      <c r="AA207" s="83">
        <v>10.19</v>
      </c>
      <c r="AC207" s="83" t="s">
        <v>1921</v>
      </c>
      <c r="AD207" s="83" t="s">
        <v>1927</v>
      </c>
      <c r="AH207" s="83" t="s">
        <v>1721</v>
      </c>
      <c r="AO207" s="374" t="s">
        <v>1581</v>
      </c>
      <c r="AP207" s="83" t="s">
        <v>163</v>
      </c>
      <c r="AQ207" s="83">
        <v>0.89</v>
      </c>
      <c r="AR207" s="83">
        <v>0.86299999999999999</v>
      </c>
      <c r="AS207" s="397"/>
      <c r="AU207" s="83" t="s">
        <v>1582</v>
      </c>
      <c r="AV207" s="83" t="s">
        <v>1594</v>
      </c>
      <c r="AW207" s="83">
        <v>0.90900000000000003</v>
      </c>
      <c r="AX207" s="83">
        <v>0.88700000000000001</v>
      </c>
    </row>
    <row r="208" spans="1:51" s="83" customFormat="1" ht="12.75" customHeight="1">
      <c r="A208" s="350">
        <v>860008</v>
      </c>
      <c r="B208" s="83" t="s">
        <v>1946</v>
      </c>
      <c r="C208" s="83" t="s">
        <v>1718</v>
      </c>
      <c r="D208" s="83" t="s">
        <v>1708</v>
      </c>
      <c r="E208" s="83" t="s">
        <v>1708</v>
      </c>
      <c r="F208" s="83" t="s">
        <v>1718</v>
      </c>
      <c r="G208" s="83" t="s">
        <v>1708</v>
      </c>
      <c r="H208" s="83" t="s">
        <v>1708</v>
      </c>
      <c r="I208" s="83" t="s">
        <v>1926</v>
      </c>
      <c r="J208" s="83" t="s">
        <v>1761</v>
      </c>
      <c r="L208" s="83">
        <v>10</v>
      </c>
      <c r="O208" s="83" t="s">
        <v>1708</v>
      </c>
      <c r="P208" s="83">
        <v>39</v>
      </c>
      <c r="Q208" s="83">
        <v>548.28</v>
      </c>
      <c r="R208" s="83">
        <v>0.17499999999999999</v>
      </c>
      <c r="S208" s="83">
        <v>0.21869567655470193</v>
      </c>
      <c r="T208" s="83">
        <v>222.85714285714286</v>
      </c>
      <c r="U208" s="83" t="s">
        <v>154</v>
      </c>
      <c r="V208" s="83" t="s">
        <v>947</v>
      </c>
      <c r="W208" s="83" t="s">
        <v>1846</v>
      </c>
      <c r="X208" s="83" t="s">
        <v>1002</v>
      </c>
      <c r="Y208" s="83" t="s">
        <v>1032</v>
      </c>
      <c r="AA208" s="83">
        <v>150</v>
      </c>
      <c r="AC208" s="83" t="s">
        <v>1925</v>
      </c>
      <c r="AD208" s="83" t="s">
        <v>1926</v>
      </c>
      <c r="AH208" s="83" t="s">
        <v>1718</v>
      </c>
      <c r="AU208" s="83" t="s">
        <v>1582</v>
      </c>
      <c r="AV208" s="83" t="s">
        <v>1595</v>
      </c>
      <c r="AW208" s="83">
        <v>0.83099999999999996</v>
      </c>
      <c r="AX208" s="83">
        <v>0.877</v>
      </c>
    </row>
    <row r="209" spans="1:50" s="83" customFormat="1" ht="12.75" customHeight="1">
      <c r="A209" s="350">
        <v>860009</v>
      </c>
      <c r="B209" s="83" t="s">
        <v>1945</v>
      </c>
      <c r="C209" s="83" t="s">
        <v>1717</v>
      </c>
      <c r="D209" s="83" t="s">
        <v>1708</v>
      </c>
      <c r="E209" s="83" t="s">
        <v>1708</v>
      </c>
      <c r="F209" s="83" t="s">
        <v>1717</v>
      </c>
      <c r="G209" s="83" t="s">
        <v>1708</v>
      </c>
      <c r="H209" s="83" t="s">
        <v>1708</v>
      </c>
      <c r="I209" s="83" t="s">
        <v>1926</v>
      </c>
      <c r="J209" s="83" t="s">
        <v>1761</v>
      </c>
      <c r="L209" s="83">
        <v>10</v>
      </c>
      <c r="O209" s="83" t="s">
        <v>1708</v>
      </c>
      <c r="P209" s="83">
        <v>65</v>
      </c>
      <c r="Q209" s="83">
        <v>880.37</v>
      </c>
      <c r="R209" s="83">
        <v>0.28100000000000003</v>
      </c>
      <c r="S209" s="83">
        <v>0.22700286372843476</v>
      </c>
      <c r="T209" s="83">
        <v>231.31672597864767</v>
      </c>
      <c r="U209" s="83" t="s">
        <v>154</v>
      </c>
      <c r="V209" s="83" t="s">
        <v>947</v>
      </c>
      <c r="W209" s="83" t="s">
        <v>1846</v>
      </c>
      <c r="X209" s="83" t="s">
        <v>1002</v>
      </c>
      <c r="Y209" s="83" t="s">
        <v>1032</v>
      </c>
      <c r="AA209" s="83">
        <v>150</v>
      </c>
      <c r="AC209" s="83" t="s">
        <v>1925</v>
      </c>
      <c r="AD209" s="83" t="s">
        <v>1926</v>
      </c>
      <c r="AH209" s="83" t="s">
        <v>1717</v>
      </c>
      <c r="AO209" s="310"/>
      <c r="AP209" s="310"/>
      <c r="AU209" s="83" t="s">
        <v>1582</v>
      </c>
      <c r="AV209" s="83" t="s">
        <v>1596</v>
      </c>
      <c r="AW209" s="83">
        <v>0.80600000000000005</v>
      </c>
      <c r="AX209" s="83">
        <v>0.78600000000000003</v>
      </c>
    </row>
    <row r="210" spans="1:50" s="83" customFormat="1" ht="12.75" customHeight="1">
      <c r="A210" s="56">
        <v>860010</v>
      </c>
      <c r="B210" s="83" t="s">
        <v>1947</v>
      </c>
      <c r="C210" s="83" t="s">
        <v>1719</v>
      </c>
      <c r="D210" s="83" t="s">
        <v>1708</v>
      </c>
      <c r="E210" s="83" t="s">
        <v>1708</v>
      </c>
      <c r="F210" s="83" t="s">
        <v>1719</v>
      </c>
      <c r="G210" s="83" t="s">
        <v>1708</v>
      </c>
      <c r="H210" s="83" t="s">
        <v>1708</v>
      </c>
      <c r="I210" s="83" t="s">
        <v>1926</v>
      </c>
      <c r="J210" s="83" t="s">
        <v>1761</v>
      </c>
      <c r="L210" s="83">
        <v>10</v>
      </c>
      <c r="O210" s="83" t="s">
        <v>1708</v>
      </c>
      <c r="P210" s="83">
        <v>110.00000000000001</v>
      </c>
      <c r="Q210" s="83">
        <v>1143.55</v>
      </c>
      <c r="R210" s="83">
        <v>0.36499999999999999</v>
      </c>
      <c r="S210" s="83">
        <v>0.29574662579986022</v>
      </c>
      <c r="T210" s="83">
        <v>301.36986301369865</v>
      </c>
      <c r="U210" s="83" t="s">
        <v>154</v>
      </c>
      <c r="V210" s="83" t="s">
        <v>947</v>
      </c>
      <c r="W210" s="83" t="s">
        <v>1846</v>
      </c>
      <c r="X210" s="83" t="s">
        <v>1002</v>
      </c>
      <c r="Y210" s="83" t="s">
        <v>1032</v>
      </c>
      <c r="AA210" s="83">
        <v>150</v>
      </c>
      <c r="AC210" s="83" t="s">
        <v>1925</v>
      </c>
      <c r="AD210" s="83" t="s">
        <v>1926</v>
      </c>
      <c r="AH210" s="83" t="s">
        <v>1719</v>
      </c>
      <c r="AO210" s="310"/>
      <c r="AP210" s="310"/>
    </row>
    <row r="211" spans="1:50" s="83" customFormat="1" ht="12.75" customHeight="1">
      <c r="A211" s="56">
        <v>860014</v>
      </c>
      <c r="B211" s="83" t="s">
        <v>2386</v>
      </c>
      <c r="C211" s="83" t="s">
        <v>2383</v>
      </c>
      <c r="D211" s="83" t="s">
        <v>1708</v>
      </c>
      <c r="E211" s="83" t="s">
        <v>1708</v>
      </c>
      <c r="F211" s="83" t="s">
        <v>2383</v>
      </c>
      <c r="G211" s="83" t="s">
        <v>1708</v>
      </c>
      <c r="H211" s="83" t="s">
        <v>1708</v>
      </c>
      <c r="I211" s="83" t="s">
        <v>1924</v>
      </c>
      <c r="J211" s="83" t="s">
        <v>1761</v>
      </c>
      <c r="L211" s="83">
        <v>10</v>
      </c>
      <c r="O211" s="83" t="s">
        <v>1708</v>
      </c>
      <c r="P211" s="83">
        <v>900</v>
      </c>
      <c r="Q211" s="83">
        <v>13771.1</v>
      </c>
      <c r="R211" s="83">
        <v>4.3959999999999999</v>
      </c>
      <c r="S211" s="83">
        <v>5.192032589989181E-2</v>
      </c>
      <c r="T211" s="83">
        <v>162.64786169244772</v>
      </c>
      <c r="U211" s="83" t="s">
        <v>154</v>
      </c>
      <c r="V211" s="83" t="s">
        <v>947</v>
      </c>
      <c r="W211" s="83" t="s">
        <v>1846</v>
      </c>
      <c r="X211" s="83" t="s">
        <v>1002</v>
      </c>
      <c r="Y211" s="83" t="s">
        <v>1032</v>
      </c>
      <c r="AA211" s="83">
        <v>4160</v>
      </c>
      <c r="AC211" s="83" t="s">
        <v>1925</v>
      </c>
      <c r="AD211" s="83" t="s">
        <v>1924</v>
      </c>
      <c r="AH211" s="83" t="s">
        <v>2383</v>
      </c>
      <c r="AO211" s="310"/>
      <c r="AP211" s="310"/>
      <c r="AV211" t="s">
        <v>1623</v>
      </c>
      <c r="AW211" s="83">
        <f>AVERAGE(AW207:AW209)</f>
        <v>0.84866666666666679</v>
      </c>
      <c r="AX211" s="83">
        <f>AVERAGE(AX207:AX209)</f>
        <v>0.85</v>
      </c>
    </row>
    <row r="212" spans="1:50" s="83" customFormat="1" ht="12.75" customHeight="1">
      <c r="A212" s="56">
        <v>860013</v>
      </c>
      <c r="B212" s="83" t="s">
        <v>2387</v>
      </c>
      <c r="C212" s="83" t="s">
        <v>2382</v>
      </c>
      <c r="D212" s="83" t="s">
        <v>1708</v>
      </c>
      <c r="E212" s="83" t="s">
        <v>1708</v>
      </c>
      <c r="F212" s="83" t="s">
        <v>2382</v>
      </c>
      <c r="G212" s="83" t="s">
        <v>1708</v>
      </c>
      <c r="H212" s="83" t="s">
        <v>1708</v>
      </c>
      <c r="I212" s="83" t="s">
        <v>1924</v>
      </c>
      <c r="J212" s="83" t="s">
        <v>1761</v>
      </c>
      <c r="L212" s="83">
        <v>10</v>
      </c>
      <c r="O212" s="83" t="s">
        <v>1708</v>
      </c>
      <c r="P212" s="83">
        <v>715</v>
      </c>
      <c r="Q212" s="83">
        <v>11704.89</v>
      </c>
      <c r="R212" s="83">
        <v>3.7360000000000002</v>
      </c>
      <c r="S212" s="83">
        <v>7.6890940453092679E-2</v>
      </c>
      <c r="T212" s="83">
        <v>240.89935760171304</v>
      </c>
      <c r="U212" s="83" t="s">
        <v>154</v>
      </c>
      <c r="V212" s="83" t="s">
        <v>947</v>
      </c>
      <c r="W212" s="83" t="s">
        <v>1846</v>
      </c>
      <c r="X212" s="83" t="s">
        <v>1002</v>
      </c>
      <c r="Y212" s="83" t="s">
        <v>1032</v>
      </c>
      <c r="AA212" s="83">
        <v>4100</v>
      </c>
      <c r="AC212" s="83" t="s">
        <v>1925</v>
      </c>
      <c r="AD212" s="83" t="s">
        <v>1924</v>
      </c>
      <c r="AH212" s="83" t="s">
        <v>2382</v>
      </c>
      <c r="AO212" s="310"/>
      <c r="AP212" s="310"/>
    </row>
    <row r="213" spans="1:50" s="83" customFormat="1" ht="12.75" customHeight="1">
      <c r="A213" s="56">
        <v>860015</v>
      </c>
      <c r="B213" s="83" t="s">
        <v>2388</v>
      </c>
      <c r="C213" s="83" t="s">
        <v>2384</v>
      </c>
      <c r="D213" s="83" t="s">
        <v>1708</v>
      </c>
      <c r="E213" s="83" t="s">
        <v>1708</v>
      </c>
      <c r="F213" s="83" t="s">
        <v>2384</v>
      </c>
      <c r="G213" s="83" t="s">
        <v>1708</v>
      </c>
      <c r="H213" s="83" t="s">
        <v>1708</v>
      </c>
      <c r="I213" s="83" t="s">
        <v>1924</v>
      </c>
      <c r="J213" s="83" t="s">
        <v>1761</v>
      </c>
      <c r="L213" s="83">
        <v>10</v>
      </c>
      <c r="O213" s="83" t="s">
        <v>1708</v>
      </c>
      <c r="P213" s="83">
        <v>1000</v>
      </c>
      <c r="Q213" s="83">
        <v>17212.7</v>
      </c>
      <c r="R213" s="83">
        <v>5.4939999999999998</v>
      </c>
      <c r="S213" s="83">
        <v>5.8096637947561973E-2</v>
      </c>
      <c r="T213" s="83">
        <v>182.01674554058974</v>
      </c>
      <c r="U213" s="83" t="s">
        <v>154</v>
      </c>
      <c r="V213" s="83" t="s">
        <v>947</v>
      </c>
      <c r="W213" s="83" t="s">
        <v>1846</v>
      </c>
      <c r="X213" s="83" t="s">
        <v>1002</v>
      </c>
      <c r="Y213" s="83" t="s">
        <v>1032</v>
      </c>
      <c r="AA213" s="83">
        <v>2090</v>
      </c>
      <c r="AC213" s="83" t="s">
        <v>1925</v>
      </c>
      <c r="AD213" s="83" t="s">
        <v>1924</v>
      </c>
      <c r="AH213" s="83" t="s">
        <v>2384</v>
      </c>
    </row>
    <row r="214" spans="1:50" s="83" customFormat="1" ht="12.75" customHeight="1">
      <c r="A214" s="350">
        <v>860002</v>
      </c>
      <c r="B214" s="83" t="s">
        <v>1942</v>
      </c>
      <c r="C214" s="83" t="s">
        <v>1712</v>
      </c>
      <c r="D214" s="83" t="s">
        <v>1708</v>
      </c>
      <c r="E214" s="83" t="s">
        <v>1708</v>
      </c>
      <c r="F214" s="83" t="s">
        <v>1712</v>
      </c>
      <c r="G214" s="83" t="s">
        <v>1708</v>
      </c>
      <c r="H214" s="83" t="s">
        <v>1708</v>
      </c>
      <c r="I214" s="83" t="s">
        <v>1990</v>
      </c>
      <c r="J214" s="83" t="s">
        <v>1761</v>
      </c>
      <c r="L214" s="83">
        <v>5</v>
      </c>
      <c r="O214" s="83" t="s">
        <v>1708</v>
      </c>
      <c r="P214" s="83">
        <v>1.1000000000000001</v>
      </c>
      <c r="Q214" s="83">
        <v>4.0599999999999996</v>
      </c>
      <c r="R214" s="83">
        <v>2E-3</v>
      </c>
      <c r="S214" s="83">
        <v>0.27093596059113306</v>
      </c>
      <c r="T214" s="83">
        <v>550</v>
      </c>
      <c r="U214" s="83" t="s">
        <v>154</v>
      </c>
      <c r="V214" s="83" t="s">
        <v>947</v>
      </c>
      <c r="W214" s="83" t="s">
        <v>1846</v>
      </c>
      <c r="X214" s="83" t="s">
        <v>1002</v>
      </c>
      <c r="Y214" s="83" t="s">
        <v>1032</v>
      </c>
      <c r="AA214" s="83">
        <v>1.74</v>
      </c>
      <c r="AC214" s="83" t="s">
        <v>1920</v>
      </c>
      <c r="AD214" t="s">
        <v>1919</v>
      </c>
      <c r="AF214" s="83" t="s">
        <v>146</v>
      </c>
      <c r="AH214" s="83" t="s">
        <v>1712</v>
      </c>
    </row>
    <row r="215" spans="1:50" s="83" customFormat="1" ht="12.75" customHeight="1">
      <c r="A215" s="350">
        <v>860004</v>
      </c>
      <c r="B215" s="83" t="s">
        <v>1944</v>
      </c>
      <c r="C215" s="83" t="s">
        <v>1714</v>
      </c>
      <c r="D215" s="83" t="s">
        <v>1708</v>
      </c>
      <c r="E215" s="83" t="s">
        <v>1708</v>
      </c>
      <c r="F215" s="83" t="s">
        <v>1714</v>
      </c>
      <c r="G215" s="83" t="s">
        <v>1708</v>
      </c>
      <c r="H215" s="83" t="s">
        <v>1708</v>
      </c>
      <c r="I215" s="83" t="s">
        <v>1923</v>
      </c>
      <c r="J215" s="83" t="s">
        <v>1761</v>
      </c>
      <c r="L215" s="83">
        <v>15</v>
      </c>
      <c r="O215" s="83" t="s">
        <v>1708</v>
      </c>
      <c r="P215" s="83">
        <v>1550</v>
      </c>
      <c r="Q215" s="83">
        <v>8742.5300000000007</v>
      </c>
      <c r="R215" s="83">
        <v>0.47899999999999998</v>
      </c>
      <c r="S215" s="83">
        <v>0.17729421574761539</v>
      </c>
      <c r="T215" s="83">
        <v>3235.9081419624217</v>
      </c>
      <c r="U215" s="83" t="s">
        <v>154</v>
      </c>
      <c r="V215" s="83" t="s">
        <v>947</v>
      </c>
      <c r="W215" s="83" t="s">
        <v>1846</v>
      </c>
      <c r="X215" s="83" t="s">
        <v>1002</v>
      </c>
      <c r="Y215" s="83" t="s">
        <v>1032</v>
      </c>
      <c r="AA215" s="83">
        <v>3444</v>
      </c>
      <c r="AC215" s="83" t="s">
        <v>146</v>
      </c>
      <c r="AD215" s="83" t="s">
        <v>1923</v>
      </c>
      <c r="AH215" s="83" t="s">
        <v>1714</v>
      </c>
    </row>
    <row r="216" spans="1:50" s="83" customFormat="1" ht="12.75" customHeight="1">
      <c r="A216" s="350">
        <v>860003</v>
      </c>
      <c r="B216" s="83" t="s">
        <v>1943</v>
      </c>
      <c r="C216" s="83" t="s">
        <v>1713</v>
      </c>
      <c r="D216" s="83" t="s">
        <v>1708</v>
      </c>
      <c r="E216" s="83" t="s">
        <v>1708</v>
      </c>
      <c r="F216" s="83" t="s">
        <v>1713</v>
      </c>
      <c r="G216" s="83" t="s">
        <v>1708</v>
      </c>
      <c r="H216" s="83" t="s">
        <v>1708</v>
      </c>
      <c r="I216" s="83" t="s">
        <v>1922</v>
      </c>
      <c r="J216" s="83" t="s">
        <v>1761</v>
      </c>
      <c r="L216" s="83">
        <v>15</v>
      </c>
      <c r="O216" s="83" t="s">
        <v>1708</v>
      </c>
      <c r="P216" s="83">
        <v>350</v>
      </c>
      <c r="Q216" s="83">
        <v>1728.08</v>
      </c>
      <c r="R216" s="83">
        <v>0.20100000000000001</v>
      </c>
      <c r="S216" s="83">
        <v>0.20253691958705616</v>
      </c>
      <c r="T216" s="83">
        <v>1741.2935323383083</v>
      </c>
      <c r="U216" s="83" t="s">
        <v>154</v>
      </c>
      <c r="V216" s="83" t="s">
        <v>947</v>
      </c>
      <c r="W216" s="83" t="s">
        <v>1846</v>
      </c>
      <c r="X216" s="83" t="s">
        <v>1002</v>
      </c>
      <c r="Y216" s="83" t="s">
        <v>1032</v>
      </c>
      <c r="AA216" s="83">
        <v>400</v>
      </c>
      <c r="AC216" s="83" t="s">
        <v>146</v>
      </c>
      <c r="AD216" s="83" t="s">
        <v>1922</v>
      </c>
      <c r="AH216" s="83" t="s">
        <v>1713</v>
      </c>
    </row>
    <row r="217" spans="1:50" s="83" customFormat="1" ht="15" customHeight="1">
      <c r="A217" s="350">
        <v>860001</v>
      </c>
      <c r="B217" s="83" t="s">
        <v>1941</v>
      </c>
      <c r="C217" s="83" t="s">
        <v>1711</v>
      </c>
      <c r="D217" s="83" t="s">
        <v>1708</v>
      </c>
      <c r="E217" s="83" t="s">
        <v>1708</v>
      </c>
      <c r="F217" s="83" t="s">
        <v>1711</v>
      </c>
      <c r="G217" s="83" t="s">
        <v>1708</v>
      </c>
      <c r="H217" s="83" t="s">
        <v>1708</v>
      </c>
      <c r="I217" s="83" t="s">
        <v>1918</v>
      </c>
      <c r="J217" s="83" t="s">
        <v>1761</v>
      </c>
      <c r="L217" s="83">
        <v>15</v>
      </c>
      <c r="O217" s="83" t="s">
        <v>1708</v>
      </c>
      <c r="P217" s="83">
        <v>1600</v>
      </c>
      <c r="Q217" s="83">
        <v>3409.59</v>
      </c>
      <c r="R217" s="83">
        <v>0</v>
      </c>
      <c r="S217" s="83">
        <v>0.46926463299106341</v>
      </c>
      <c r="T217" s="83">
        <v>0</v>
      </c>
      <c r="U217" s="83" t="s">
        <v>154</v>
      </c>
      <c r="V217" s="83" t="s">
        <v>947</v>
      </c>
      <c r="W217" s="83" t="s">
        <v>1846</v>
      </c>
      <c r="X217" s="83" t="s">
        <v>1002</v>
      </c>
      <c r="Y217" s="83" t="s">
        <v>1032</v>
      </c>
      <c r="AA217" s="83">
        <v>5048</v>
      </c>
      <c r="AC217" s="83" t="s">
        <v>146</v>
      </c>
      <c r="AD217" s="83" t="s">
        <v>1918</v>
      </c>
      <c r="AH217" s="83" t="s">
        <v>1711</v>
      </c>
    </row>
    <row r="218" spans="1:50" s="83" customFormat="1" ht="15" customHeight="1">
      <c r="A218" s="350"/>
    </row>
    <row r="219" spans="1:50" s="83" customFormat="1" ht="15" customHeight="1">
      <c r="A219" s="350"/>
    </row>
    <row r="220" spans="1:50" s="83" customFormat="1" ht="15" customHeight="1">
      <c r="A220" s="350"/>
      <c r="AL220" s="310"/>
      <c r="AM220" s="310"/>
    </row>
    <row r="221" spans="1:50" s="83" customFormat="1" ht="15" customHeight="1">
      <c r="A221" s="350"/>
      <c r="AL221" s="310"/>
      <c r="AM221" s="310"/>
    </row>
    <row r="222" spans="1:50" s="83" customFormat="1" ht="15" customHeight="1">
      <c r="A222" s="350"/>
      <c r="AL222" s="310"/>
      <c r="AM222" s="310"/>
    </row>
    <row r="223" spans="1:50" s="83" customFormat="1" ht="15" customHeight="1">
      <c r="A223" t="s">
        <v>852</v>
      </c>
      <c r="B223" t="s">
        <v>853</v>
      </c>
      <c r="C223" t="s">
        <v>854</v>
      </c>
      <c r="D223" t="s">
        <v>1454</v>
      </c>
      <c r="E223" t="s">
        <v>1832</v>
      </c>
      <c r="F223" t="s">
        <v>1833</v>
      </c>
      <c r="G223" t="s">
        <v>1834</v>
      </c>
      <c r="H223" t="s">
        <v>1835</v>
      </c>
      <c r="I223" t="s">
        <v>1836</v>
      </c>
      <c r="J223" t="s">
        <v>1837</v>
      </c>
      <c r="K223" t="s">
        <v>1838</v>
      </c>
      <c r="L223" t="s">
        <v>1839</v>
      </c>
      <c r="M223" t="s">
        <v>1840</v>
      </c>
      <c r="N223" t="s">
        <v>1841</v>
      </c>
      <c r="O223" t="s">
        <v>1842</v>
      </c>
      <c r="P223" t="s">
        <v>169</v>
      </c>
      <c r="Q223" t="s">
        <v>100</v>
      </c>
      <c r="R223" t="s">
        <v>147</v>
      </c>
      <c r="S223" t="s">
        <v>151</v>
      </c>
      <c r="AL223" s="310"/>
      <c r="AM223" s="310"/>
      <c r="AO223" s="310"/>
    </row>
    <row r="224" spans="1:50" s="83" customFormat="1" ht="15" customHeight="1">
      <c r="A224" s="56">
        <v>830846</v>
      </c>
      <c r="B224" t="s">
        <v>1987</v>
      </c>
      <c r="C224" t="s">
        <v>1819</v>
      </c>
      <c r="D224" t="s">
        <v>1761</v>
      </c>
      <c r="E224" t="s">
        <v>1819</v>
      </c>
      <c r="F224">
        <v>0.06</v>
      </c>
      <c r="G224">
        <v>0.68500000000000005</v>
      </c>
      <c r="H224">
        <v>1.1000000000000001</v>
      </c>
      <c r="I224">
        <v>1.6</v>
      </c>
      <c r="J224">
        <v>1</v>
      </c>
      <c r="K224">
        <f>((5.9*7.5+60*3)/(3600*1))</f>
        <v>6.2291666666666669E-2</v>
      </c>
      <c r="L224">
        <f>5.9*7.5/3600*1</f>
        <v>1.2291666666666666E-2</v>
      </c>
      <c r="M224">
        <v>0.85</v>
      </c>
      <c r="N224">
        <v>0</v>
      </c>
      <c r="O224">
        <v>2959</v>
      </c>
      <c r="P224" t="s">
        <v>1826</v>
      </c>
      <c r="Q224" t="s">
        <v>1984</v>
      </c>
      <c r="R224">
        <v>25</v>
      </c>
      <c r="S224">
        <v>150</v>
      </c>
      <c r="AL224" s="310"/>
      <c r="AM224" s="310"/>
      <c r="AO224" s="310"/>
    </row>
    <row r="225" spans="1:48" ht="15" customHeight="1">
      <c r="A225" s="56">
        <v>830847</v>
      </c>
      <c r="B225" t="s">
        <v>1988</v>
      </c>
      <c r="C225" t="s">
        <v>1820</v>
      </c>
      <c r="D225" t="s">
        <v>1761</v>
      </c>
      <c r="E225" t="s">
        <v>1820</v>
      </c>
      <c r="F225">
        <v>0.06</v>
      </c>
      <c r="G225">
        <v>0.68500000000000005</v>
      </c>
      <c r="H225">
        <v>1.1000000000000001</v>
      </c>
      <c r="I225">
        <v>1.6</v>
      </c>
      <c r="J225">
        <v>1</v>
      </c>
      <c r="K225">
        <f>((5.9*7.5+60*3)/(3600*1))</f>
        <v>6.2291666666666669E-2</v>
      </c>
      <c r="L225">
        <f>5.9*7.5/3600*1</f>
        <v>1.2291666666666666E-2</v>
      </c>
      <c r="M225">
        <v>0.85</v>
      </c>
      <c r="N225">
        <v>0</v>
      </c>
      <c r="O225">
        <v>2959</v>
      </c>
      <c r="P225" t="s">
        <v>1826</v>
      </c>
      <c r="Q225" t="s">
        <v>1984</v>
      </c>
      <c r="R225">
        <v>25</v>
      </c>
      <c r="S225">
        <v>150</v>
      </c>
      <c r="T225" s="83"/>
      <c r="U225" s="83"/>
      <c r="V225" s="83"/>
      <c r="W225" s="83"/>
      <c r="X225" s="83"/>
      <c r="Y225" s="83"/>
      <c r="Z225" s="83"/>
      <c r="AA225" s="83"/>
      <c r="AB225" s="83"/>
      <c r="AC225" s="83"/>
      <c r="AD225" s="83"/>
      <c r="AE225" s="83"/>
      <c r="AF225" s="83"/>
      <c r="AG225" s="83"/>
      <c r="AH225" s="83"/>
      <c r="AI225" s="83"/>
      <c r="AJ225" s="83"/>
      <c r="AK225" s="83"/>
      <c r="AN225" s="83"/>
      <c r="AP225" s="83"/>
      <c r="AQ225" s="83"/>
      <c r="AR225" s="83"/>
      <c r="AS225" s="83"/>
      <c r="AT225" s="83"/>
      <c r="AU225" s="83"/>
      <c r="AV225" s="83"/>
    </row>
    <row r="226" spans="1:48" ht="15" customHeight="1">
      <c r="A226" s="56">
        <v>830848</v>
      </c>
      <c r="B226" t="s">
        <v>1989</v>
      </c>
      <c r="C226" t="s">
        <v>1821</v>
      </c>
      <c r="D226" t="s">
        <v>1761</v>
      </c>
      <c r="E226" t="s">
        <v>1821</v>
      </c>
      <c r="F226">
        <v>0.5</v>
      </c>
      <c r="G226">
        <v>0.73</v>
      </c>
      <c r="H226">
        <v>0.8</v>
      </c>
      <c r="I226">
        <v>2.4</v>
      </c>
      <c r="J226">
        <v>1</v>
      </c>
      <c r="K226">
        <f>((5.9*7.5+60*3)/(3600*1))</f>
        <v>6.2291666666666669E-2</v>
      </c>
      <c r="L226">
        <f>5.9*7.5/3600*1</f>
        <v>1.2291666666666666E-2</v>
      </c>
      <c r="M226">
        <v>0.85</v>
      </c>
      <c r="N226">
        <v>0</v>
      </c>
      <c r="O226">
        <v>2959</v>
      </c>
      <c r="P226" t="s">
        <v>1826</v>
      </c>
      <c r="Q226" t="s">
        <v>1984</v>
      </c>
      <c r="R226">
        <v>40</v>
      </c>
      <c r="S226">
        <v>150</v>
      </c>
      <c r="T226" s="83"/>
      <c r="U226" s="83"/>
      <c r="V226" s="83"/>
      <c r="W226" s="83"/>
      <c r="X226" s="83"/>
      <c r="Y226" s="83"/>
      <c r="Z226" s="83"/>
      <c r="AA226" s="83"/>
      <c r="AB226" s="83"/>
      <c r="AC226" s="83"/>
      <c r="AD226" s="83"/>
      <c r="AE226" s="83"/>
      <c r="AF226" s="83"/>
      <c r="AG226" s="83"/>
      <c r="AH226" s="83"/>
      <c r="AI226" s="83"/>
      <c r="AJ226" s="83"/>
      <c r="AK226" s="83"/>
      <c r="AN226" s="83"/>
      <c r="AP226" s="83"/>
      <c r="AQ226" s="83"/>
      <c r="AR226" s="83"/>
      <c r="AS226" s="83"/>
      <c r="AT226" s="83"/>
      <c r="AU226" s="83"/>
      <c r="AV226" s="83"/>
    </row>
    <row r="227" spans="1:48" ht="15" customHeight="1">
      <c r="A227" s="350"/>
      <c r="B227" s="83"/>
      <c r="C227" s="83"/>
      <c r="D227" s="83"/>
      <c r="E227" s="83"/>
      <c r="F227" s="83"/>
      <c r="G227" s="83"/>
      <c r="H227" s="83"/>
      <c r="I227" s="83"/>
      <c r="J227" s="83"/>
      <c r="K227" s="83"/>
      <c r="L227" s="83"/>
      <c r="M227" s="83"/>
      <c r="N227" s="83"/>
      <c r="O227" s="83"/>
      <c r="P227" s="83"/>
      <c r="Q227" s="83"/>
      <c r="R227" s="83"/>
      <c r="S227" s="83"/>
      <c r="T227" s="83"/>
      <c r="U227" s="83"/>
      <c r="V227"/>
      <c r="W227" s="83"/>
      <c r="X227" s="83"/>
      <c r="Y227" s="83"/>
      <c r="Z227" s="83"/>
      <c r="AA227" s="83"/>
      <c r="AB227" s="83"/>
      <c r="AC227" s="83"/>
      <c r="AD227" s="83"/>
      <c r="AE227" s="83"/>
      <c r="AF227" s="83"/>
      <c r="AG227" s="83"/>
      <c r="AH227" s="83"/>
      <c r="AI227" s="83"/>
      <c r="AJ227" s="83"/>
      <c r="AK227" s="83"/>
      <c r="AN227" s="83"/>
      <c r="AO227" s="83"/>
      <c r="AP227" s="83"/>
      <c r="AQ227" s="83"/>
      <c r="AR227" s="83"/>
    </row>
    <row r="228" spans="1:48" ht="15" customHeight="1">
      <c r="A228" s="350"/>
      <c r="B228" s="83"/>
      <c r="C228" s="83"/>
      <c r="D228" s="83"/>
      <c r="E228" s="83"/>
      <c r="F228" s="83"/>
      <c r="G228" s="83"/>
      <c r="H228" s="83"/>
      <c r="I228" s="83"/>
      <c r="J228" s="83"/>
      <c r="K228" s="83"/>
      <c r="L228" s="83"/>
      <c r="M228" s="83"/>
      <c r="N228" s="83"/>
      <c r="O228" s="83"/>
      <c r="P228" s="83"/>
      <c r="Q228" s="83"/>
      <c r="R228" s="83"/>
      <c r="S228" s="83"/>
      <c r="T228" s="83"/>
      <c r="U228" s="83"/>
      <c r="V228"/>
      <c r="W228" s="83"/>
      <c r="X228" s="83"/>
      <c r="Y228" s="83"/>
      <c r="Z228" s="83"/>
      <c r="AA228" s="83"/>
      <c r="AB228" s="83"/>
      <c r="AC228" s="83"/>
      <c r="AD228" s="83"/>
      <c r="AE228" s="83"/>
      <c r="AF228" s="83"/>
      <c r="AG228" s="83"/>
      <c r="AH228" s="83"/>
      <c r="AI228" s="83"/>
      <c r="AJ228" s="83"/>
      <c r="AK228" s="83"/>
      <c r="AL228" s="83"/>
      <c r="AM228" s="83"/>
      <c r="AN228" s="83"/>
    </row>
    <row r="229" spans="1:48" ht="15" customHeight="1">
      <c r="A229" s="523" t="s">
        <v>852</v>
      </c>
      <c r="B229" s="524" t="s">
        <v>853</v>
      </c>
      <c r="C229" s="524" t="s">
        <v>854</v>
      </c>
      <c r="D229" s="524" t="s">
        <v>855</v>
      </c>
      <c r="E229" s="524" t="s">
        <v>856</v>
      </c>
      <c r="F229" s="524" t="s">
        <v>144</v>
      </c>
      <c r="G229" s="524" t="s">
        <v>857</v>
      </c>
      <c r="H229" s="524" t="s">
        <v>858</v>
      </c>
      <c r="I229" s="524" t="s">
        <v>145</v>
      </c>
      <c r="J229" s="524" t="s">
        <v>1454</v>
      </c>
      <c r="K229" s="525" t="s">
        <v>859</v>
      </c>
      <c r="L229" s="524" t="s">
        <v>148</v>
      </c>
      <c r="M229" s="526" t="s">
        <v>860</v>
      </c>
      <c r="N229" s="524" t="s">
        <v>153</v>
      </c>
      <c r="O229" s="524" t="s">
        <v>687</v>
      </c>
      <c r="P229" s="524" t="s">
        <v>147</v>
      </c>
      <c r="Q229" s="524" t="s">
        <v>1207</v>
      </c>
      <c r="R229" s="527" t="s">
        <v>165</v>
      </c>
      <c r="S229" s="524" t="s">
        <v>1208</v>
      </c>
      <c r="T229" s="524" t="s">
        <v>1209</v>
      </c>
      <c r="U229" s="524" t="s">
        <v>142</v>
      </c>
      <c r="V229" s="524" t="s">
        <v>0</v>
      </c>
      <c r="W229" s="524" t="s">
        <v>864</v>
      </c>
      <c r="X229" s="524" t="s">
        <v>489</v>
      </c>
      <c r="Y229" s="524" t="s">
        <v>152</v>
      </c>
      <c r="Z229" s="524" t="s">
        <v>817</v>
      </c>
      <c r="AA229" s="524" t="s">
        <v>151</v>
      </c>
      <c r="AB229" s="524" t="s">
        <v>865</v>
      </c>
      <c r="AC229" s="524" t="s">
        <v>100</v>
      </c>
      <c r="AD229" s="528" t="s">
        <v>169</v>
      </c>
      <c r="AE229" s="528" t="s">
        <v>170</v>
      </c>
      <c r="AF229" s="528" t="s">
        <v>173</v>
      </c>
      <c r="AG229" s="528" t="s">
        <v>220</v>
      </c>
      <c r="AH229" s="528" t="s">
        <v>171</v>
      </c>
      <c r="AI229" s="528" t="s">
        <v>172</v>
      </c>
      <c r="AJ229" s="528" t="s">
        <v>174</v>
      </c>
      <c r="AK229" s="529" t="s">
        <v>188</v>
      </c>
      <c r="AL229" s="83"/>
      <c r="AM229" s="83"/>
      <c r="AN229" s="83"/>
    </row>
    <row r="230" spans="1:48" ht="15" customHeight="1">
      <c r="A230" s="530">
        <v>960000</v>
      </c>
      <c r="B230" s="531" t="s">
        <v>1949</v>
      </c>
      <c r="C230" s="531" t="s">
        <v>1715</v>
      </c>
      <c r="D230" s="531" t="s">
        <v>1708</v>
      </c>
      <c r="E230" s="531" t="s">
        <v>1708</v>
      </c>
      <c r="F230" s="531" t="s">
        <v>1715</v>
      </c>
      <c r="G230" s="531" t="s">
        <v>1708</v>
      </c>
      <c r="H230" s="531" t="s">
        <v>1708</v>
      </c>
      <c r="I230" s="531" t="s">
        <v>1917</v>
      </c>
      <c r="J230" s="531" t="s">
        <v>2171</v>
      </c>
      <c r="K230" s="531"/>
      <c r="L230" s="531">
        <v>15</v>
      </c>
      <c r="M230" s="531"/>
      <c r="N230" s="531"/>
      <c r="O230" s="531" t="s">
        <v>1708</v>
      </c>
      <c r="P230" s="531">
        <v>121</v>
      </c>
      <c r="Q230" s="531">
        <v>397.98</v>
      </c>
      <c r="R230" s="531">
        <v>0</v>
      </c>
      <c r="S230" s="531"/>
      <c r="T230" s="531"/>
      <c r="U230" s="531" t="s">
        <v>166</v>
      </c>
      <c r="V230" s="531" t="s">
        <v>947</v>
      </c>
      <c r="W230" s="531" t="s">
        <v>1846</v>
      </c>
      <c r="X230" s="531" t="s">
        <v>1002</v>
      </c>
      <c r="Y230" s="531" t="s">
        <v>1032</v>
      </c>
      <c r="Z230" s="531"/>
      <c r="AA230" s="531">
        <v>4353</v>
      </c>
      <c r="AB230" s="531"/>
      <c r="AC230" s="531" t="s">
        <v>146</v>
      </c>
      <c r="AD230" s="531" t="s">
        <v>1917</v>
      </c>
      <c r="AE230" s="531"/>
      <c r="AF230" s="531" t="s">
        <v>146</v>
      </c>
      <c r="AG230" s="531"/>
      <c r="AH230" s="531" t="s">
        <v>1715</v>
      </c>
      <c r="AI230" s="531"/>
      <c r="AJ230" s="531"/>
      <c r="AK230" s="532"/>
      <c r="AL230" s="83"/>
      <c r="AM230" s="83"/>
      <c r="AN230" s="83"/>
    </row>
    <row r="231" spans="1:48" ht="15" customHeight="1">
      <c r="A231" s="350">
        <v>960001</v>
      </c>
      <c r="B231" s="533" t="s">
        <v>1950</v>
      </c>
      <c r="C231" s="533" t="s">
        <v>1716</v>
      </c>
      <c r="D231" s="533" t="s">
        <v>1708</v>
      </c>
      <c r="E231" s="533" t="s">
        <v>1708</v>
      </c>
      <c r="F231" s="533" t="s">
        <v>1716</v>
      </c>
      <c r="G231" s="533" t="s">
        <v>1708</v>
      </c>
      <c r="H231" s="533" t="s">
        <v>1708</v>
      </c>
      <c r="I231" s="533" t="s">
        <v>1930</v>
      </c>
      <c r="J231" s="533" t="s">
        <v>2171</v>
      </c>
      <c r="K231" s="533"/>
      <c r="L231" s="533">
        <v>5</v>
      </c>
      <c r="M231" s="533"/>
      <c r="N231" s="533"/>
      <c r="O231" s="533" t="s">
        <v>1708</v>
      </c>
      <c r="P231" s="533">
        <v>0.55000000000000004</v>
      </c>
      <c r="Q231" s="533">
        <v>0.33</v>
      </c>
      <c r="R231" s="533">
        <v>0</v>
      </c>
      <c r="S231" s="533"/>
      <c r="T231" s="533"/>
      <c r="U231" s="533" t="s">
        <v>166</v>
      </c>
      <c r="V231" s="533" t="s">
        <v>947</v>
      </c>
      <c r="W231" s="533" t="s">
        <v>1846</v>
      </c>
      <c r="X231" s="533" t="s">
        <v>1002</v>
      </c>
      <c r="Y231" s="533" t="s">
        <v>1032</v>
      </c>
      <c r="Z231" s="533"/>
      <c r="AA231" s="533">
        <v>1.5</v>
      </c>
      <c r="AB231" s="533"/>
      <c r="AC231" s="533" t="s">
        <v>1825</v>
      </c>
      <c r="AD231" s="533" t="s">
        <v>1930</v>
      </c>
      <c r="AE231" s="533"/>
      <c r="AF231" s="533"/>
      <c r="AG231" s="533"/>
      <c r="AH231" s="533" t="s">
        <v>1716</v>
      </c>
      <c r="AI231" s="533"/>
      <c r="AJ231" s="533"/>
      <c r="AK231" s="534"/>
      <c r="AL231" s="83"/>
      <c r="AM231" s="83"/>
    </row>
    <row r="232" spans="1:48" ht="15" customHeight="1">
      <c r="A232" s="530">
        <v>960002</v>
      </c>
      <c r="B232" s="535" t="s">
        <v>1951</v>
      </c>
      <c r="C232" s="536" t="s">
        <v>1720</v>
      </c>
      <c r="D232" s="536" t="s">
        <v>1708</v>
      </c>
      <c r="E232" s="536" t="s">
        <v>1708</v>
      </c>
      <c r="F232" s="536" t="s">
        <v>1720</v>
      </c>
      <c r="G232" s="536" t="s">
        <v>1708</v>
      </c>
      <c r="H232" s="536" t="s">
        <v>1708</v>
      </c>
      <c r="I232" s="536" t="s">
        <v>1931</v>
      </c>
      <c r="J232" s="536" t="s">
        <v>2171</v>
      </c>
      <c r="K232" s="536"/>
      <c r="L232" s="531">
        <v>5</v>
      </c>
      <c r="M232" s="536"/>
      <c r="N232" s="536"/>
      <c r="O232" s="536" t="s">
        <v>1708</v>
      </c>
      <c r="P232" s="531">
        <v>0.02</v>
      </c>
      <c r="Q232" s="531">
        <v>0.21</v>
      </c>
      <c r="R232" s="536">
        <v>0</v>
      </c>
      <c r="S232" s="536"/>
      <c r="T232" s="536"/>
      <c r="U232" s="536" t="s">
        <v>166</v>
      </c>
      <c r="V232" s="536" t="s">
        <v>947</v>
      </c>
      <c r="W232" s="536" t="s">
        <v>1846</v>
      </c>
      <c r="X232" s="536" t="s">
        <v>1002</v>
      </c>
      <c r="Y232" s="536" t="s">
        <v>1032</v>
      </c>
      <c r="Z232" s="536"/>
      <c r="AA232" s="531">
        <v>0.02</v>
      </c>
      <c r="AB232" s="536"/>
      <c r="AC232" s="536" t="s">
        <v>1825</v>
      </c>
      <c r="AD232" s="536" t="s">
        <v>1931</v>
      </c>
      <c r="AE232" s="536"/>
      <c r="AF232" s="536"/>
      <c r="AG232" s="536"/>
      <c r="AH232" s="536" t="s">
        <v>1720</v>
      </c>
      <c r="AI232" s="536"/>
      <c r="AJ232" s="536"/>
      <c r="AK232" s="537"/>
    </row>
    <row r="233" spans="1:48" ht="15" customHeight="1"/>
    <row r="234" spans="1:48" ht="15" customHeight="1">
      <c r="AL234" s="83"/>
    </row>
    <row r="235" spans="1:48" ht="15" customHeight="1">
      <c r="A235" s="618" t="s">
        <v>852</v>
      </c>
      <c r="B235" s="619" t="s">
        <v>853</v>
      </c>
      <c r="C235" s="619" t="s">
        <v>854</v>
      </c>
      <c r="D235" s="619" t="s">
        <v>855</v>
      </c>
      <c r="E235" s="619" t="s">
        <v>856</v>
      </c>
      <c r="F235" s="619" t="s">
        <v>144</v>
      </c>
      <c r="G235" s="619" t="s">
        <v>857</v>
      </c>
      <c r="H235" s="619" t="s">
        <v>858</v>
      </c>
      <c r="I235" s="619" t="s">
        <v>145</v>
      </c>
      <c r="J235" s="620" t="s">
        <v>1454</v>
      </c>
      <c r="K235" s="621" t="s">
        <v>859</v>
      </c>
      <c r="L235" s="622" t="s">
        <v>148</v>
      </c>
      <c r="M235" s="623" t="s">
        <v>860</v>
      </c>
      <c r="N235" s="619" t="s">
        <v>153</v>
      </c>
      <c r="O235" s="619" t="s">
        <v>687</v>
      </c>
      <c r="P235" s="619" t="s">
        <v>147</v>
      </c>
      <c r="Q235" s="619" t="s">
        <v>1207</v>
      </c>
      <c r="R235" s="624" t="s">
        <v>165</v>
      </c>
      <c r="S235" s="619" t="s">
        <v>1208</v>
      </c>
      <c r="T235" s="619" t="s">
        <v>1209</v>
      </c>
      <c r="U235" s="619" t="s">
        <v>142</v>
      </c>
      <c r="V235" s="619" t="s">
        <v>0</v>
      </c>
      <c r="W235" s="619" t="s">
        <v>864</v>
      </c>
      <c r="X235" s="619" t="s">
        <v>489</v>
      </c>
      <c r="Y235" s="619" t="s">
        <v>152</v>
      </c>
      <c r="Z235" s="619" t="s">
        <v>817</v>
      </c>
      <c r="AA235" s="619" t="s">
        <v>151</v>
      </c>
      <c r="AB235" s="619" t="s">
        <v>865</v>
      </c>
      <c r="AC235" s="619" t="s">
        <v>100</v>
      </c>
      <c r="AD235" s="625" t="s">
        <v>169</v>
      </c>
      <c r="AE235" s="625" t="s">
        <v>170</v>
      </c>
      <c r="AF235" s="625" t="s">
        <v>173</v>
      </c>
      <c r="AG235" s="625" t="s">
        <v>220</v>
      </c>
      <c r="AH235" s="625" t="s">
        <v>171</v>
      </c>
      <c r="AI235" s="625" t="s">
        <v>172</v>
      </c>
      <c r="AJ235" s="625" t="s">
        <v>174</v>
      </c>
      <c r="AK235" s="625" t="s">
        <v>188</v>
      </c>
      <c r="AL235" s="83"/>
    </row>
    <row r="236" spans="1:48" ht="15" customHeight="1">
      <c r="A236" s="614">
        <v>851035</v>
      </c>
      <c r="B236" s="600" t="s">
        <v>2352</v>
      </c>
      <c r="C236" s="601" t="s">
        <v>2225</v>
      </c>
      <c r="D236" s="600" t="s">
        <v>1019</v>
      </c>
      <c r="E236" s="600" t="s">
        <v>1162</v>
      </c>
      <c r="F236" s="601" t="s">
        <v>2225</v>
      </c>
      <c r="G236" s="600" t="s">
        <v>1019</v>
      </c>
      <c r="H236" s="602" t="s">
        <v>1162</v>
      </c>
      <c r="I236" s="601" t="s">
        <v>1064</v>
      </c>
      <c r="J236" s="603" t="s">
        <v>2171</v>
      </c>
      <c r="K236" s="600" t="s">
        <v>2192</v>
      </c>
      <c r="L236" s="604">
        <v>20</v>
      </c>
      <c r="M236" s="600"/>
      <c r="N236" s="600"/>
      <c r="O236" s="600"/>
      <c r="P236" s="605">
        <v>750</v>
      </c>
      <c r="Q236" s="606">
        <v>1064</v>
      </c>
      <c r="R236" s="600"/>
      <c r="S236" s="600"/>
      <c r="T236" s="600"/>
      <c r="U236" s="602" t="s">
        <v>166</v>
      </c>
      <c r="V236" s="600" t="s">
        <v>947</v>
      </c>
      <c r="W236" s="600" t="s">
        <v>1846</v>
      </c>
      <c r="X236" s="600" t="s">
        <v>1002</v>
      </c>
      <c r="Y236" s="600" t="s">
        <v>1032</v>
      </c>
      <c r="Z236" s="600"/>
      <c r="AA236" s="604">
        <v>970</v>
      </c>
      <c r="AB236" s="604">
        <v>1</v>
      </c>
      <c r="AC236" s="604" t="s">
        <v>963</v>
      </c>
      <c r="AD236" s="601" t="s">
        <v>1064</v>
      </c>
      <c r="AE236" s="600"/>
      <c r="AF236" s="600"/>
      <c r="AG236" s="600"/>
      <c r="AH236" s="601" t="s">
        <v>2225</v>
      </c>
      <c r="AI236" s="600"/>
      <c r="AJ236" s="600"/>
      <c r="AK236" s="600"/>
      <c r="AL236" s="83"/>
    </row>
    <row r="237" spans="1:48" ht="15" customHeight="1">
      <c r="A237" s="615">
        <v>851033</v>
      </c>
      <c r="B237" s="607" t="s">
        <v>2353</v>
      </c>
      <c r="C237" s="608" t="s">
        <v>2226</v>
      </c>
      <c r="D237" s="607" t="s">
        <v>1019</v>
      </c>
      <c r="E237" s="607" t="s">
        <v>1162</v>
      </c>
      <c r="F237" s="608" t="s">
        <v>2226</v>
      </c>
      <c r="G237" s="607" t="s">
        <v>1019</v>
      </c>
      <c r="H237" s="609" t="s">
        <v>1162</v>
      </c>
      <c r="I237" s="608" t="s">
        <v>1064</v>
      </c>
      <c r="J237" s="610" t="s">
        <v>2171</v>
      </c>
      <c r="K237" s="607" t="s">
        <v>2192</v>
      </c>
      <c r="L237" s="611">
        <v>15</v>
      </c>
      <c r="M237" s="607"/>
      <c r="N237" s="607"/>
      <c r="O237" s="607"/>
      <c r="P237" s="612">
        <v>750</v>
      </c>
      <c r="Q237" s="613">
        <v>462</v>
      </c>
      <c r="R237" s="607"/>
      <c r="S237" s="607"/>
      <c r="T237" s="607"/>
      <c r="U237" s="609" t="s">
        <v>166</v>
      </c>
      <c r="V237" s="607" t="s">
        <v>947</v>
      </c>
      <c r="W237" s="607" t="s">
        <v>1846</v>
      </c>
      <c r="X237" s="607" t="s">
        <v>1002</v>
      </c>
      <c r="Y237" s="607" t="s">
        <v>1032</v>
      </c>
      <c r="Z237" s="607"/>
      <c r="AA237" s="611">
        <v>995</v>
      </c>
      <c r="AB237" s="611">
        <v>1</v>
      </c>
      <c r="AC237" s="611" t="s">
        <v>963</v>
      </c>
      <c r="AD237" s="608" t="s">
        <v>1064</v>
      </c>
      <c r="AE237" s="607"/>
      <c r="AF237" s="607"/>
      <c r="AG237" s="607"/>
      <c r="AH237" s="608" t="s">
        <v>2226</v>
      </c>
      <c r="AI237" s="607"/>
      <c r="AJ237" s="607"/>
      <c r="AK237" s="607"/>
      <c r="AL237" s="83"/>
    </row>
    <row r="238" spans="1:48" ht="15" customHeight="1">
      <c r="A238" s="614">
        <v>851034</v>
      </c>
      <c r="B238" s="600" t="s">
        <v>2354</v>
      </c>
      <c r="C238" s="601" t="s">
        <v>2227</v>
      </c>
      <c r="D238" s="600" t="s">
        <v>1019</v>
      </c>
      <c r="E238" s="600" t="s">
        <v>1162</v>
      </c>
      <c r="F238" s="601" t="s">
        <v>2227</v>
      </c>
      <c r="G238" s="600" t="s">
        <v>1019</v>
      </c>
      <c r="H238" s="602" t="s">
        <v>1162</v>
      </c>
      <c r="I238" s="601" t="s">
        <v>1064</v>
      </c>
      <c r="J238" s="603" t="s">
        <v>2171</v>
      </c>
      <c r="K238" s="600" t="s">
        <v>2192</v>
      </c>
      <c r="L238" s="604">
        <v>20</v>
      </c>
      <c r="M238" s="600"/>
      <c r="N238" s="600"/>
      <c r="O238" s="600"/>
      <c r="P238" s="605">
        <v>250</v>
      </c>
      <c r="Q238" s="606">
        <v>280</v>
      </c>
      <c r="R238" s="600"/>
      <c r="S238" s="600"/>
      <c r="T238" s="600"/>
      <c r="U238" s="602" t="s">
        <v>166</v>
      </c>
      <c r="V238" s="600" t="s">
        <v>947</v>
      </c>
      <c r="W238" s="600" t="s">
        <v>1846</v>
      </c>
      <c r="X238" s="600" t="s">
        <v>1002</v>
      </c>
      <c r="Y238" s="600" t="s">
        <v>1032</v>
      </c>
      <c r="Z238" s="600"/>
      <c r="AA238" s="604">
        <v>2050</v>
      </c>
      <c r="AB238" s="604">
        <v>1</v>
      </c>
      <c r="AC238" s="604" t="s">
        <v>963</v>
      </c>
      <c r="AD238" s="601" t="s">
        <v>1064</v>
      </c>
      <c r="AE238" s="600"/>
      <c r="AF238" s="600"/>
      <c r="AG238" s="600"/>
      <c r="AH238" s="601" t="s">
        <v>2227</v>
      </c>
      <c r="AI238" s="600"/>
      <c r="AJ238" s="600"/>
      <c r="AK238" s="600"/>
    </row>
    <row r="239" spans="1:48" ht="15" customHeight="1">
      <c r="A239" s="615">
        <v>851032</v>
      </c>
      <c r="B239" s="607" t="s">
        <v>2355</v>
      </c>
      <c r="C239" s="608" t="s">
        <v>2228</v>
      </c>
      <c r="D239" s="607" t="s">
        <v>1019</v>
      </c>
      <c r="E239" s="607" t="s">
        <v>1162</v>
      </c>
      <c r="F239" s="608" t="s">
        <v>2228</v>
      </c>
      <c r="G239" s="607" t="s">
        <v>1019</v>
      </c>
      <c r="H239" s="609" t="s">
        <v>1162</v>
      </c>
      <c r="I239" s="608" t="s">
        <v>1064</v>
      </c>
      <c r="J239" s="610" t="s">
        <v>2171</v>
      </c>
      <c r="K239" s="607" t="s">
        <v>2192</v>
      </c>
      <c r="L239" s="611">
        <v>20</v>
      </c>
      <c r="M239" s="607"/>
      <c r="N239" s="607"/>
      <c r="O239" s="607"/>
      <c r="P239" s="612">
        <v>780</v>
      </c>
      <c r="Q239" s="613">
        <v>787</v>
      </c>
      <c r="R239" s="607"/>
      <c r="S239" s="607"/>
      <c r="T239" s="607"/>
      <c r="U239" s="609" t="s">
        <v>166</v>
      </c>
      <c r="V239" s="607" t="s">
        <v>947</v>
      </c>
      <c r="W239" s="607" t="s">
        <v>1846</v>
      </c>
      <c r="X239" s="607" t="s">
        <v>1002</v>
      </c>
      <c r="Y239" s="607" t="s">
        <v>1032</v>
      </c>
      <c r="Z239" s="607"/>
      <c r="AA239" s="611">
        <v>970</v>
      </c>
      <c r="AB239" s="611">
        <v>1</v>
      </c>
      <c r="AC239" s="611" t="s">
        <v>963</v>
      </c>
      <c r="AD239" s="608" t="s">
        <v>1064</v>
      </c>
      <c r="AE239" s="607"/>
      <c r="AF239" s="607"/>
      <c r="AG239" s="607"/>
      <c r="AH239" s="608" t="s">
        <v>2228</v>
      </c>
      <c r="AI239" s="607"/>
      <c r="AJ239" s="607"/>
      <c r="AK239" s="607"/>
    </row>
    <row r="240" spans="1:48" ht="15" customHeight="1">
      <c r="A240" s="614">
        <v>851031</v>
      </c>
      <c r="B240" s="600" t="s">
        <v>2356</v>
      </c>
      <c r="C240" s="601" t="s">
        <v>2223</v>
      </c>
      <c r="D240" s="600" t="s">
        <v>1019</v>
      </c>
      <c r="E240" s="600" t="s">
        <v>1162</v>
      </c>
      <c r="F240" s="601" t="s">
        <v>2223</v>
      </c>
      <c r="G240" s="600" t="s">
        <v>1019</v>
      </c>
      <c r="H240" s="602" t="s">
        <v>1162</v>
      </c>
      <c r="I240" s="601" t="s">
        <v>1064</v>
      </c>
      <c r="J240" s="603" t="s">
        <v>2171</v>
      </c>
      <c r="K240" s="600" t="s">
        <v>2192</v>
      </c>
      <c r="L240" s="604">
        <v>15</v>
      </c>
      <c r="M240" s="600"/>
      <c r="N240" s="600"/>
      <c r="O240" s="600"/>
      <c r="P240" s="605">
        <v>525</v>
      </c>
      <c r="Q240" s="606">
        <v>676</v>
      </c>
      <c r="R240" s="600"/>
      <c r="S240" s="600"/>
      <c r="T240" s="600"/>
      <c r="U240" s="602" t="s">
        <v>166</v>
      </c>
      <c r="V240" s="600" t="s">
        <v>947</v>
      </c>
      <c r="W240" s="600" t="s">
        <v>1846</v>
      </c>
      <c r="X240" s="600" t="s">
        <v>1002</v>
      </c>
      <c r="Y240" s="600" t="s">
        <v>1032</v>
      </c>
      <c r="Z240" s="600"/>
      <c r="AA240" s="604">
        <v>662</v>
      </c>
      <c r="AB240" s="604">
        <v>1</v>
      </c>
      <c r="AC240" s="604" t="s">
        <v>963</v>
      </c>
      <c r="AD240" s="601" t="s">
        <v>1064</v>
      </c>
      <c r="AE240" s="600"/>
      <c r="AF240" s="600"/>
      <c r="AG240" s="600"/>
      <c r="AH240" s="601" t="s">
        <v>2223</v>
      </c>
      <c r="AI240" s="600"/>
      <c r="AJ240" s="600"/>
      <c r="AK240" s="600"/>
    </row>
    <row r="241" spans="1:37" ht="15" customHeight="1">
      <c r="A241" s="615">
        <v>851030</v>
      </c>
      <c r="B241" s="607" t="s">
        <v>2357</v>
      </c>
      <c r="C241" s="608" t="s">
        <v>2229</v>
      </c>
      <c r="D241" s="607" t="s">
        <v>1019</v>
      </c>
      <c r="E241" s="607" t="s">
        <v>1162</v>
      </c>
      <c r="F241" s="608" t="s">
        <v>2229</v>
      </c>
      <c r="G241" s="607" t="s">
        <v>1019</v>
      </c>
      <c r="H241" s="609" t="s">
        <v>1162</v>
      </c>
      <c r="I241" s="608" t="s">
        <v>1064</v>
      </c>
      <c r="J241" s="610" t="s">
        <v>2171</v>
      </c>
      <c r="K241" s="607" t="s">
        <v>2192</v>
      </c>
      <c r="L241" s="611">
        <v>10</v>
      </c>
      <c r="M241" s="607"/>
      <c r="N241" s="607"/>
      <c r="O241" s="607"/>
      <c r="P241" s="612">
        <v>50</v>
      </c>
      <c r="Q241" s="613">
        <v>106</v>
      </c>
      <c r="R241" s="607"/>
      <c r="S241" s="607"/>
      <c r="T241" s="607"/>
      <c r="U241" s="609" t="s">
        <v>166</v>
      </c>
      <c r="V241" s="607" t="s">
        <v>947</v>
      </c>
      <c r="W241" s="607" t="s">
        <v>1846</v>
      </c>
      <c r="X241" s="607" t="s">
        <v>1002</v>
      </c>
      <c r="Y241" s="607" t="s">
        <v>1032</v>
      </c>
      <c r="Z241" s="607"/>
      <c r="AA241" s="611">
        <v>234</v>
      </c>
      <c r="AB241" s="611">
        <v>1</v>
      </c>
      <c r="AC241" s="611" t="s">
        <v>963</v>
      </c>
      <c r="AD241" s="608" t="s">
        <v>1064</v>
      </c>
      <c r="AE241" s="607"/>
      <c r="AF241" s="607"/>
      <c r="AG241" s="607"/>
      <c r="AH241" s="608" t="s">
        <v>2229</v>
      </c>
      <c r="AI241" s="607"/>
      <c r="AJ241" s="607"/>
      <c r="AK241" s="607"/>
    </row>
    <row r="242" spans="1:37" ht="15" customHeight="1">
      <c r="A242" s="616">
        <v>851019</v>
      </c>
      <c r="B242" s="600" t="s">
        <v>2358</v>
      </c>
      <c r="C242" s="601" t="s">
        <v>2230</v>
      </c>
      <c r="D242" s="600" t="s">
        <v>1019</v>
      </c>
      <c r="E242" s="600" t="s">
        <v>962</v>
      </c>
      <c r="F242" s="601" t="s">
        <v>2230</v>
      </c>
      <c r="G242" s="600" t="s">
        <v>1019</v>
      </c>
      <c r="H242" s="602" t="s">
        <v>962</v>
      </c>
      <c r="I242" s="601" t="s">
        <v>1064</v>
      </c>
      <c r="J242" s="603" t="s">
        <v>2171</v>
      </c>
      <c r="K242" s="600" t="s">
        <v>2192</v>
      </c>
      <c r="L242" s="604">
        <v>12</v>
      </c>
      <c r="M242" s="600"/>
      <c r="N242" s="600"/>
      <c r="O242" s="600"/>
      <c r="P242" s="605">
        <v>250</v>
      </c>
      <c r="Q242" s="606">
        <v>9644.42</v>
      </c>
      <c r="R242" s="600"/>
      <c r="S242" s="600"/>
      <c r="T242" s="600"/>
      <c r="U242" s="602" t="s">
        <v>166</v>
      </c>
      <c r="V242" s="600" t="s">
        <v>947</v>
      </c>
      <c r="W242" s="600" t="s">
        <v>1846</v>
      </c>
      <c r="X242" s="600" t="s">
        <v>1002</v>
      </c>
      <c r="Y242" s="600" t="s">
        <v>1032</v>
      </c>
      <c r="Z242" s="600"/>
      <c r="AA242" s="604">
        <v>1000</v>
      </c>
      <c r="AB242" s="604">
        <v>1</v>
      </c>
      <c r="AC242" s="604" t="s">
        <v>962</v>
      </c>
      <c r="AD242" s="601" t="s">
        <v>1064</v>
      </c>
      <c r="AE242" s="600"/>
      <c r="AF242" s="600"/>
      <c r="AG242" s="600"/>
      <c r="AH242" s="601" t="s">
        <v>2230</v>
      </c>
      <c r="AI242" s="600"/>
      <c r="AJ242" s="600"/>
      <c r="AK242" s="600"/>
    </row>
    <row r="243" spans="1:37" ht="15" customHeight="1">
      <c r="A243" s="617">
        <v>851021</v>
      </c>
      <c r="B243" s="607" t="s">
        <v>2359</v>
      </c>
      <c r="C243" s="608" t="s">
        <v>2231</v>
      </c>
      <c r="D243" s="607" t="s">
        <v>1019</v>
      </c>
      <c r="E243" s="607" t="s">
        <v>1020</v>
      </c>
      <c r="F243" s="608" t="s">
        <v>2231</v>
      </c>
      <c r="G243" s="607" t="s">
        <v>1019</v>
      </c>
      <c r="H243" s="609" t="s">
        <v>1020</v>
      </c>
      <c r="I243" s="608" t="s">
        <v>1064</v>
      </c>
      <c r="J243" s="610" t="s">
        <v>2171</v>
      </c>
      <c r="K243" s="607" t="s">
        <v>2192</v>
      </c>
      <c r="L243" s="611">
        <v>12</v>
      </c>
      <c r="M243" s="607"/>
      <c r="N243" s="607"/>
      <c r="O243" s="607"/>
      <c r="P243" s="612">
        <v>50</v>
      </c>
      <c r="Q243" s="613">
        <v>148.88999999999999</v>
      </c>
      <c r="R243" s="607"/>
      <c r="S243" s="607"/>
      <c r="T243" s="607"/>
      <c r="U243" s="609" t="s">
        <v>166</v>
      </c>
      <c r="V243" s="607" t="s">
        <v>947</v>
      </c>
      <c r="W243" s="607" t="s">
        <v>1846</v>
      </c>
      <c r="X243" s="607" t="s">
        <v>1002</v>
      </c>
      <c r="Y243" s="607" t="s">
        <v>1032</v>
      </c>
      <c r="Z243" s="607"/>
      <c r="AA243" s="611">
        <v>60</v>
      </c>
      <c r="AB243" s="611">
        <v>1</v>
      </c>
      <c r="AC243" s="611" t="s">
        <v>1020</v>
      </c>
      <c r="AD243" s="608" t="s">
        <v>1064</v>
      </c>
      <c r="AE243" s="607"/>
      <c r="AF243" s="607"/>
      <c r="AG243" s="607"/>
      <c r="AH243" s="608" t="s">
        <v>2231</v>
      </c>
      <c r="AI243" s="607"/>
      <c r="AJ243" s="607"/>
      <c r="AK243" s="607"/>
    </row>
    <row r="244" spans="1:37" ht="15" customHeight="1">
      <c r="A244" s="614">
        <v>851038</v>
      </c>
      <c r="B244" s="600" t="s">
        <v>2360</v>
      </c>
      <c r="C244" s="601" t="s">
        <v>2232</v>
      </c>
      <c r="D244" s="600" t="s">
        <v>1019</v>
      </c>
      <c r="E244" s="600" t="s">
        <v>1067</v>
      </c>
      <c r="F244" s="601" t="s">
        <v>2232</v>
      </c>
      <c r="G244" s="600" t="s">
        <v>1019</v>
      </c>
      <c r="H244" s="602" t="s">
        <v>1067</v>
      </c>
      <c r="I244" s="601" t="s">
        <v>1064</v>
      </c>
      <c r="J244" s="603" t="s">
        <v>2171</v>
      </c>
      <c r="K244" s="600" t="s">
        <v>2192</v>
      </c>
      <c r="L244" s="604">
        <v>12</v>
      </c>
      <c r="M244" s="600"/>
      <c r="N244" s="600"/>
      <c r="O244" s="600"/>
      <c r="P244" s="605">
        <v>200</v>
      </c>
      <c r="Q244" s="606">
        <v>300.17</v>
      </c>
      <c r="R244" s="600"/>
      <c r="S244" s="600"/>
      <c r="T244" s="600"/>
      <c r="U244" s="602" t="s">
        <v>166</v>
      </c>
      <c r="V244" s="600" t="s">
        <v>947</v>
      </c>
      <c r="W244" s="600" t="s">
        <v>1846</v>
      </c>
      <c r="X244" s="600" t="s">
        <v>1002</v>
      </c>
      <c r="Y244" s="600" t="s">
        <v>1032</v>
      </c>
      <c r="Z244" s="600"/>
      <c r="AA244" s="604">
        <v>2374</v>
      </c>
      <c r="AB244" s="604">
        <v>1</v>
      </c>
      <c r="AC244" s="604" t="s">
        <v>1067</v>
      </c>
      <c r="AD244" s="601" t="s">
        <v>1064</v>
      </c>
      <c r="AE244" s="600"/>
      <c r="AF244" s="600"/>
      <c r="AG244" s="600"/>
      <c r="AH244" s="601" t="s">
        <v>2232</v>
      </c>
      <c r="AI244" s="600"/>
      <c r="AJ244" s="600"/>
      <c r="AK244" s="600"/>
    </row>
    <row r="245" spans="1:37" ht="15" customHeight="1">
      <c r="A245" s="615">
        <v>851036</v>
      </c>
      <c r="B245" s="607" t="s">
        <v>2361</v>
      </c>
      <c r="C245" s="608" t="s">
        <v>2233</v>
      </c>
      <c r="D245" s="607" t="s">
        <v>1019</v>
      </c>
      <c r="E245" s="607" t="s">
        <v>1070</v>
      </c>
      <c r="F245" s="608" t="s">
        <v>2233</v>
      </c>
      <c r="G245" s="607" t="s">
        <v>1019</v>
      </c>
      <c r="H245" s="609" t="s">
        <v>1070</v>
      </c>
      <c r="I245" s="608" t="s">
        <v>1064</v>
      </c>
      <c r="J245" s="610" t="s">
        <v>2171</v>
      </c>
      <c r="K245" s="607" t="s">
        <v>2192</v>
      </c>
      <c r="L245" s="611">
        <v>12</v>
      </c>
      <c r="M245" s="607"/>
      <c r="N245" s="607"/>
      <c r="O245" s="607"/>
      <c r="P245" s="612">
        <v>750</v>
      </c>
      <c r="Q245" s="613">
        <v>1239.68</v>
      </c>
      <c r="R245" s="607"/>
      <c r="S245" s="607"/>
      <c r="T245" s="607"/>
      <c r="U245" s="609" t="s">
        <v>166</v>
      </c>
      <c r="V245" s="607" t="s">
        <v>947</v>
      </c>
      <c r="W245" s="607" t="s">
        <v>1846</v>
      </c>
      <c r="X245" s="607" t="s">
        <v>1002</v>
      </c>
      <c r="Y245" s="607" t="s">
        <v>1032</v>
      </c>
      <c r="Z245" s="607"/>
      <c r="AA245" s="611">
        <v>2059</v>
      </c>
      <c r="AB245" s="611">
        <v>1</v>
      </c>
      <c r="AC245" s="611" t="s">
        <v>1070</v>
      </c>
      <c r="AD245" s="608" t="s">
        <v>1064</v>
      </c>
      <c r="AE245" s="607"/>
      <c r="AF245" s="607"/>
      <c r="AG245" s="607"/>
      <c r="AH245" s="608" t="s">
        <v>2233</v>
      </c>
      <c r="AI245" s="607"/>
      <c r="AJ245" s="607"/>
      <c r="AK245" s="607"/>
    </row>
    <row r="246" spans="1:37" ht="15" customHeight="1">
      <c r="A246" s="626">
        <v>851037</v>
      </c>
      <c r="B246" s="627" t="s">
        <v>2362</v>
      </c>
      <c r="C246" s="628" t="s">
        <v>2234</v>
      </c>
      <c r="D246" s="627" t="s">
        <v>1019</v>
      </c>
      <c r="E246" s="627" t="s">
        <v>1070</v>
      </c>
      <c r="F246" s="628" t="s">
        <v>2234</v>
      </c>
      <c r="G246" s="627" t="s">
        <v>1019</v>
      </c>
      <c r="H246" s="629" t="s">
        <v>1070</v>
      </c>
      <c r="I246" s="628" t="s">
        <v>1064</v>
      </c>
      <c r="J246" s="630" t="s">
        <v>2171</v>
      </c>
      <c r="K246" s="627" t="s">
        <v>2192</v>
      </c>
      <c r="L246" s="631">
        <v>12</v>
      </c>
      <c r="M246" s="627"/>
      <c r="N246" s="627"/>
      <c r="O246" s="627"/>
      <c r="P246" s="632">
        <v>800</v>
      </c>
      <c r="Q246" s="633">
        <v>1494.89</v>
      </c>
      <c r="R246" s="627"/>
      <c r="S246" s="627"/>
      <c r="T246" s="627"/>
      <c r="U246" s="629" t="s">
        <v>166</v>
      </c>
      <c r="V246" s="627" t="s">
        <v>947</v>
      </c>
      <c r="W246" s="627" t="s">
        <v>1846</v>
      </c>
      <c r="X246" s="627" t="s">
        <v>1002</v>
      </c>
      <c r="Y246" s="627" t="s">
        <v>1032</v>
      </c>
      <c r="Z246" s="627"/>
      <c r="AA246" s="631">
        <v>2059</v>
      </c>
      <c r="AB246" s="631">
        <v>1</v>
      </c>
      <c r="AC246" s="631" t="s">
        <v>1070</v>
      </c>
      <c r="AD246" s="628" t="s">
        <v>1064</v>
      </c>
      <c r="AE246" s="627"/>
      <c r="AF246" s="627"/>
      <c r="AG246" s="627"/>
      <c r="AH246" s="628" t="s">
        <v>2234</v>
      </c>
      <c r="AI246" s="627"/>
      <c r="AJ246" s="627"/>
      <c r="AK246" s="627"/>
    </row>
  </sheetData>
  <sheetProtection algorithmName="SHA-512" hashValue="471Pte/uHapFJ+SBsmTlbbOF0jJdhE0MuCh5VGHPEHrladVr6Ofq0yhRwryZf0kmnOi7la4ouPkwfravg9JIKA==" saltValue="Y+CMtQmynpw8u9oE8LUOKQ==" spinCount="100000" sheet="1" objects="1" scenarios="1"/>
  <phoneticPr fontId="150" type="noConversion"/>
  <pageMargins left="0.7" right="0.7" top="0.75" bottom="0.75" header="0.3" footer="0.3"/>
  <pageSetup orientation="portrait" r:id="rId1"/>
  <tableParts count="17">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6">
    <tabColor theme="5"/>
  </sheetPr>
  <dimension ref="A1:AE95"/>
  <sheetViews>
    <sheetView zoomScale="70" zoomScaleNormal="70" workbookViewId="0">
      <selection activeCell="P57" sqref="P57"/>
    </sheetView>
  </sheetViews>
  <sheetFormatPr defaultRowHeight="14.25"/>
  <cols>
    <col min="1" max="1" width="10.5703125" style="188" customWidth="1"/>
    <col min="2" max="2" width="23.42578125" style="59" customWidth="1"/>
    <col min="3" max="3" width="40.42578125" style="59" bestFit="1" customWidth="1"/>
    <col min="4" max="4" width="13.85546875" style="59" customWidth="1"/>
    <col min="5" max="5" width="6.85546875" style="59" customWidth="1"/>
    <col min="6" max="6" width="33.5703125" style="59" bestFit="1" customWidth="1"/>
    <col min="7" max="7" width="28.28515625" style="59" bestFit="1" customWidth="1"/>
    <col min="8" max="8" width="28.7109375" style="59" bestFit="1" customWidth="1"/>
    <col min="9" max="9" width="11.140625" style="59" customWidth="1"/>
    <col min="10" max="10" width="6.140625" style="59" customWidth="1"/>
    <col min="11" max="11" width="13.28515625" style="59" customWidth="1"/>
    <col min="12" max="12" width="7" style="59" customWidth="1"/>
    <col min="13" max="13" width="8.5703125" style="59" customWidth="1"/>
    <col min="14" max="14" width="10.42578125" style="188" customWidth="1"/>
    <col min="15" max="15" width="30.7109375" style="59" bestFit="1" customWidth="1"/>
    <col min="16" max="17" width="29.28515625" style="59" customWidth="1"/>
    <col min="18" max="18" width="12.140625" style="59" customWidth="1"/>
    <col min="19" max="19" width="4.5703125" style="59" customWidth="1"/>
    <col min="20" max="20" width="26.85546875" style="59" bestFit="1" customWidth="1"/>
    <col min="21" max="21" width="24" style="59" bestFit="1" customWidth="1"/>
    <col min="22" max="22" width="16" style="59" hidden="1" customWidth="1"/>
    <col min="23" max="23" width="11" style="59" customWidth="1"/>
    <col min="24" max="24" width="6.7109375" style="59" customWidth="1"/>
    <col min="25" max="25" width="10.7109375" style="59" customWidth="1"/>
    <col min="26" max="26" width="8.85546875" style="59" customWidth="1"/>
    <col min="27" max="27" width="15.42578125" style="59" customWidth="1"/>
    <col min="28" max="28" width="14" style="59" customWidth="1"/>
    <col min="29" max="29" width="19.42578125" style="59" customWidth="1"/>
    <col min="30" max="30" width="35.140625" style="59" customWidth="1"/>
    <col min="31" max="31" width="14" style="59" customWidth="1"/>
    <col min="32" max="32" width="18.85546875" style="59" customWidth="1"/>
    <col min="33" max="33" width="22.85546875" style="59" customWidth="1"/>
    <col min="34" max="35" width="15.42578125" style="59" customWidth="1"/>
    <col min="36" max="36" width="7" style="59" customWidth="1"/>
    <col min="37" max="39" width="10.28515625" style="59" customWidth="1"/>
    <col min="40" max="40" width="14.28515625" style="59" customWidth="1"/>
    <col min="41" max="41" width="24" style="59" customWidth="1"/>
    <col min="42" max="42" width="10.85546875" style="59" customWidth="1"/>
    <col min="43" max="43" width="15.42578125" style="59" customWidth="1"/>
    <col min="44" max="44" width="6.5703125" style="59" customWidth="1"/>
    <col min="45" max="48" width="9.140625" style="59" customWidth="1"/>
    <col min="49" max="49" width="9.140625" style="59"/>
    <col min="50" max="50" width="24.28515625" style="59" bestFit="1" customWidth="1"/>
    <col min="51" max="51" width="37.7109375" style="59" bestFit="1" customWidth="1"/>
    <col min="52" max="52" width="24" style="59" bestFit="1" customWidth="1"/>
    <col min="53" max="53" width="12.85546875" style="59" customWidth="1"/>
    <col min="54" max="54" width="10.28515625" style="59" customWidth="1"/>
    <col min="55" max="55" width="9.5703125" style="59" bestFit="1" customWidth="1"/>
    <col min="56" max="56" width="14.5703125" style="59" customWidth="1"/>
    <col min="57" max="58" width="13.140625" style="59" customWidth="1"/>
    <col min="59" max="59" width="10.7109375" style="59" customWidth="1"/>
    <col min="60" max="60" width="11.42578125" style="59" customWidth="1"/>
    <col min="61" max="61" width="14.5703125" style="59" customWidth="1"/>
    <col min="62" max="62" width="12.42578125" style="59" customWidth="1"/>
    <col min="63" max="63" width="16.85546875" style="59" customWidth="1"/>
    <col min="64" max="64" width="25.7109375" style="59" bestFit="1" customWidth="1"/>
    <col min="65" max="16384" width="9.140625" style="59"/>
  </cols>
  <sheetData>
    <row r="1" spans="1:31" ht="75">
      <c r="A1" s="190" t="s">
        <v>141</v>
      </c>
      <c r="B1" s="189" t="s">
        <v>169</v>
      </c>
      <c r="C1" s="189" t="s">
        <v>170</v>
      </c>
      <c r="D1" s="189" t="s">
        <v>186</v>
      </c>
      <c r="E1" s="189" t="s">
        <v>220</v>
      </c>
      <c r="F1" s="191" t="s">
        <v>143</v>
      </c>
      <c r="G1" s="191" t="s">
        <v>584</v>
      </c>
      <c r="H1" s="191" t="s">
        <v>585</v>
      </c>
      <c r="I1" s="189" t="s">
        <v>146</v>
      </c>
      <c r="J1" s="189" t="s">
        <v>590</v>
      </c>
      <c r="K1" s="189" t="s">
        <v>726</v>
      </c>
      <c r="L1" s="189" t="s">
        <v>810</v>
      </c>
      <c r="N1" s="190" t="s">
        <v>141</v>
      </c>
      <c r="O1" s="189" t="s">
        <v>171</v>
      </c>
      <c r="P1" s="189" t="s">
        <v>172</v>
      </c>
      <c r="Q1" s="189" t="s">
        <v>1500</v>
      </c>
      <c r="R1" s="189" t="s">
        <v>187</v>
      </c>
      <c r="S1" s="189" t="s">
        <v>188</v>
      </c>
      <c r="T1" s="189" t="s">
        <v>143</v>
      </c>
      <c r="U1" s="189" t="s">
        <v>584</v>
      </c>
      <c r="V1" s="189" t="s">
        <v>585</v>
      </c>
      <c r="W1" s="189" t="s">
        <v>146</v>
      </c>
      <c r="X1" s="189" t="s">
        <v>590</v>
      </c>
      <c r="Y1" s="189" t="s">
        <v>726</v>
      </c>
      <c r="Z1" s="189" t="s">
        <v>810</v>
      </c>
      <c r="AA1" s="189"/>
      <c r="AC1" s="59" t="s">
        <v>1613</v>
      </c>
      <c r="AD1" s="59" t="s">
        <v>1615</v>
      </c>
    </row>
    <row r="2" spans="1:31">
      <c r="A2" s="390"/>
      <c r="B2" s="134" t="s">
        <v>1399</v>
      </c>
      <c r="C2" s="134"/>
      <c r="D2" s="134" t="s">
        <v>689</v>
      </c>
      <c r="E2" s="134"/>
      <c r="F2" s="134"/>
      <c r="G2" s="134"/>
      <c r="H2" s="134"/>
      <c r="I2" s="134" t="s">
        <v>157</v>
      </c>
      <c r="J2" s="134">
        <v>1</v>
      </c>
      <c r="K2" s="134"/>
      <c r="L2" s="134"/>
      <c r="N2" s="392"/>
      <c r="O2" s="134" t="s">
        <v>1400</v>
      </c>
      <c r="P2" s="134" t="s">
        <v>1400</v>
      </c>
      <c r="Q2" s="134" t="s">
        <v>1400</v>
      </c>
      <c r="R2" s="134" t="s">
        <v>689</v>
      </c>
      <c r="S2" s="393"/>
      <c r="T2" s="393"/>
      <c r="U2" s="393"/>
      <c r="V2" s="393"/>
      <c r="W2" s="393"/>
      <c r="X2" s="393">
        <v>1</v>
      </c>
      <c r="Y2" s="393"/>
      <c r="Z2" s="393"/>
      <c r="AC2" s="59">
        <v>0.2</v>
      </c>
      <c r="AD2" s="59">
        <v>1.31</v>
      </c>
    </row>
    <row r="3" spans="1:31">
      <c r="A3" s="134">
        <v>10</v>
      </c>
      <c r="B3" s="134" t="s">
        <v>591</v>
      </c>
      <c r="C3" s="134"/>
      <c r="D3" s="134" t="str">
        <f>""</f>
        <v/>
      </c>
      <c r="E3" s="134"/>
      <c r="F3" s="134" t="s">
        <v>654</v>
      </c>
      <c r="G3" s="134"/>
      <c r="H3" s="134"/>
      <c r="I3" s="134" t="s">
        <v>157</v>
      </c>
      <c r="J3" s="134">
        <v>2</v>
      </c>
      <c r="K3" s="134"/>
      <c r="L3" s="134"/>
      <c r="N3" s="134">
        <v>2310</v>
      </c>
      <c r="O3" s="134" t="s">
        <v>952</v>
      </c>
      <c r="P3" s="134"/>
      <c r="Q3" s="134" t="s">
        <v>952</v>
      </c>
      <c r="R3" s="134" t="str">
        <f>""</f>
        <v/>
      </c>
      <c r="S3" s="134"/>
      <c r="T3" s="134" t="s">
        <v>156</v>
      </c>
      <c r="U3" s="134"/>
      <c r="V3" s="134"/>
      <c r="W3" s="134" t="s">
        <v>157</v>
      </c>
      <c r="X3" s="134">
        <v>3</v>
      </c>
      <c r="Y3" s="134"/>
      <c r="Z3" s="393">
        <v>0.09</v>
      </c>
      <c r="AC3" s="59">
        <v>0.3</v>
      </c>
      <c r="AD3" s="59">
        <v>1.42</v>
      </c>
    </row>
    <row r="4" spans="1:31">
      <c r="A4" s="134">
        <v>10</v>
      </c>
      <c r="B4" s="134" t="s">
        <v>797</v>
      </c>
      <c r="C4" s="134"/>
      <c r="D4" s="134" t="str">
        <f>""</f>
        <v/>
      </c>
      <c r="E4" s="134"/>
      <c r="F4" s="134"/>
      <c r="G4" s="134"/>
      <c r="H4" s="134"/>
      <c r="I4" s="134" t="s">
        <v>157</v>
      </c>
      <c r="J4" s="134">
        <v>3</v>
      </c>
      <c r="K4" s="134"/>
      <c r="L4" s="134"/>
      <c r="N4" s="134">
        <v>2311</v>
      </c>
      <c r="O4" s="134" t="s">
        <v>951</v>
      </c>
      <c r="P4" s="134" t="s">
        <v>951</v>
      </c>
      <c r="Q4" s="134"/>
      <c r="R4" s="134" t="str">
        <f>""</f>
        <v/>
      </c>
      <c r="S4" s="134"/>
      <c r="T4" s="134" t="s">
        <v>156</v>
      </c>
      <c r="U4" s="134"/>
      <c r="V4" s="134"/>
      <c r="W4" s="134" t="s">
        <v>157</v>
      </c>
      <c r="X4" s="134">
        <v>4</v>
      </c>
      <c r="Y4" s="134"/>
      <c r="Z4" s="393">
        <v>0.09</v>
      </c>
      <c r="AC4" s="59">
        <v>0.4</v>
      </c>
      <c r="AD4" s="59">
        <v>1.28</v>
      </c>
    </row>
    <row r="5" spans="1:31">
      <c r="A5" s="134">
        <v>10</v>
      </c>
      <c r="B5" s="134" t="s">
        <v>592</v>
      </c>
      <c r="C5" s="134"/>
      <c r="D5" s="134" t="str">
        <f>""</f>
        <v/>
      </c>
      <c r="E5" s="134"/>
      <c r="F5" s="134" t="s">
        <v>655</v>
      </c>
      <c r="G5" s="134"/>
      <c r="H5" s="134"/>
      <c r="I5" s="134" t="s">
        <v>157</v>
      </c>
      <c r="J5" s="134">
        <v>4</v>
      </c>
      <c r="K5" s="134"/>
      <c r="L5" s="134"/>
      <c r="N5" s="390"/>
      <c r="O5" s="134"/>
      <c r="P5" s="134"/>
      <c r="Q5" s="134"/>
      <c r="R5" s="134"/>
      <c r="S5" s="134"/>
      <c r="T5" s="134"/>
      <c r="U5" s="134"/>
      <c r="V5" s="134"/>
      <c r="W5" s="134"/>
      <c r="X5" s="393"/>
      <c r="Y5" s="134"/>
      <c r="Z5" s="134"/>
      <c r="AC5" s="59" t="s">
        <v>1284</v>
      </c>
      <c r="AD5" s="59">
        <v>220</v>
      </c>
      <c r="AE5" s="59" t="s">
        <v>1616</v>
      </c>
    </row>
    <row r="6" spans="1:31">
      <c r="A6" s="391"/>
      <c r="B6" s="134" t="s">
        <v>1392</v>
      </c>
      <c r="C6" s="134"/>
      <c r="D6" s="134" t="s">
        <v>689</v>
      </c>
      <c r="E6" s="134"/>
      <c r="F6" s="134"/>
      <c r="G6" s="134"/>
      <c r="H6" s="134"/>
      <c r="I6" s="134" t="s">
        <v>157</v>
      </c>
      <c r="J6" s="134">
        <v>5</v>
      </c>
      <c r="K6" s="134"/>
      <c r="L6" s="134"/>
      <c r="N6" s="134"/>
      <c r="O6" s="134"/>
      <c r="P6" s="134"/>
      <c r="Q6" s="134"/>
      <c r="R6" s="134"/>
      <c r="S6" s="134"/>
      <c r="T6" s="134"/>
      <c r="U6" s="134"/>
      <c r="V6" s="134"/>
      <c r="W6" s="134"/>
      <c r="X6" s="393"/>
      <c r="Y6" s="134"/>
      <c r="Z6" s="393"/>
    </row>
    <row r="7" spans="1:31">
      <c r="A7" s="134">
        <v>10</v>
      </c>
      <c r="B7" s="134" t="s">
        <v>593</v>
      </c>
      <c r="C7" s="134" t="s">
        <v>1409</v>
      </c>
      <c r="D7" s="395">
        <v>28</v>
      </c>
      <c r="E7" s="134"/>
      <c r="F7" s="134" t="s">
        <v>168</v>
      </c>
      <c r="G7" s="134" t="s">
        <v>583</v>
      </c>
      <c r="H7" s="134" t="s">
        <v>586</v>
      </c>
      <c r="I7" s="134" t="s">
        <v>157</v>
      </c>
      <c r="J7" s="134">
        <v>6</v>
      </c>
      <c r="K7" s="134"/>
      <c r="L7" s="134"/>
      <c r="N7" s="134"/>
      <c r="O7" s="134"/>
      <c r="P7" s="134"/>
      <c r="Q7" s="134"/>
      <c r="R7" s="134"/>
      <c r="S7" s="134"/>
      <c r="T7" s="134"/>
      <c r="U7" s="134"/>
      <c r="V7" s="134"/>
      <c r="W7" s="134"/>
      <c r="X7" s="134"/>
      <c r="Y7" s="134"/>
      <c r="Z7" s="393"/>
    </row>
    <row r="8" spans="1:31">
      <c r="A8" s="134">
        <v>10</v>
      </c>
      <c r="B8" s="134" t="s">
        <v>594</v>
      </c>
      <c r="C8" s="134" t="s">
        <v>1410</v>
      </c>
      <c r="D8" s="395">
        <v>56</v>
      </c>
      <c r="E8" s="134"/>
      <c r="F8" s="134" t="s">
        <v>168</v>
      </c>
      <c r="G8" s="134" t="s">
        <v>583</v>
      </c>
      <c r="H8" s="134" t="s">
        <v>656</v>
      </c>
      <c r="I8" s="134" t="s">
        <v>157</v>
      </c>
      <c r="J8" s="134">
        <v>7</v>
      </c>
      <c r="K8" s="134"/>
      <c r="L8" s="134"/>
      <c r="N8" s="134"/>
      <c r="O8" s="134"/>
      <c r="P8" s="134"/>
      <c r="Q8" s="134"/>
      <c r="R8" s="134"/>
      <c r="S8" s="134"/>
      <c r="T8" s="134"/>
      <c r="U8" s="134"/>
      <c r="V8" s="134"/>
      <c r="W8" s="134"/>
      <c r="X8" s="134"/>
      <c r="Y8" s="134"/>
      <c r="Z8" s="393"/>
    </row>
    <row r="9" spans="1:31">
      <c r="A9" s="134">
        <v>10</v>
      </c>
      <c r="B9" s="134" t="s">
        <v>595</v>
      </c>
      <c r="C9" s="134" t="s">
        <v>1411</v>
      </c>
      <c r="D9" s="395">
        <v>37</v>
      </c>
      <c r="E9" s="134"/>
      <c r="F9" s="134" t="s">
        <v>168</v>
      </c>
      <c r="G9" s="134" t="s">
        <v>657</v>
      </c>
      <c r="H9" s="134" t="s">
        <v>586</v>
      </c>
      <c r="I9" s="134" t="s">
        <v>157</v>
      </c>
      <c r="J9" s="134">
        <v>8</v>
      </c>
      <c r="K9" s="134"/>
      <c r="L9" s="134"/>
      <c r="N9" s="134"/>
      <c r="O9" s="134"/>
      <c r="P9" s="134"/>
      <c r="Q9" s="134"/>
      <c r="R9" s="134"/>
      <c r="S9" s="134"/>
      <c r="T9" s="134"/>
      <c r="U9" s="134"/>
      <c r="V9" s="134"/>
      <c r="W9" s="134"/>
      <c r="X9" s="393"/>
      <c r="Y9" s="134"/>
      <c r="Z9" s="393"/>
    </row>
    <row r="10" spans="1:31">
      <c r="A10" s="134">
        <v>10</v>
      </c>
      <c r="B10" s="134" t="s">
        <v>596</v>
      </c>
      <c r="C10" s="134" t="s">
        <v>1412</v>
      </c>
      <c r="D10" s="395">
        <v>74</v>
      </c>
      <c r="E10" s="134"/>
      <c r="F10" s="134" t="s">
        <v>168</v>
      </c>
      <c r="G10" s="134" t="s">
        <v>657</v>
      </c>
      <c r="H10" s="134" t="s">
        <v>656</v>
      </c>
      <c r="I10" s="134" t="s">
        <v>157</v>
      </c>
      <c r="J10" s="134">
        <v>9</v>
      </c>
      <c r="K10" s="134"/>
      <c r="L10" s="134"/>
      <c r="N10" s="390"/>
      <c r="O10" s="134"/>
      <c r="P10" s="134"/>
      <c r="Q10" s="134"/>
      <c r="R10" s="134"/>
      <c r="S10" s="134"/>
      <c r="T10" s="134"/>
      <c r="U10" s="134"/>
      <c r="V10" s="134"/>
      <c r="W10" s="134"/>
      <c r="X10" s="134"/>
      <c r="Y10" s="134"/>
      <c r="Z10" s="134"/>
    </row>
    <row r="11" spans="1:31">
      <c r="A11" s="134">
        <v>10</v>
      </c>
      <c r="B11" s="134" t="s">
        <v>597</v>
      </c>
      <c r="C11" s="134" t="s">
        <v>1413</v>
      </c>
      <c r="D11" s="395">
        <v>40</v>
      </c>
      <c r="E11" s="134"/>
      <c r="F11" s="134" t="s">
        <v>168</v>
      </c>
      <c r="G11" s="134" t="s">
        <v>658</v>
      </c>
      <c r="H11" s="134" t="s">
        <v>586</v>
      </c>
      <c r="I11" s="134" t="s">
        <v>157</v>
      </c>
      <c r="J11" s="134">
        <v>10</v>
      </c>
      <c r="K11" s="134"/>
      <c r="L11" s="134"/>
      <c r="N11" s="134"/>
      <c r="O11" s="134"/>
      <c r="P11" s="134"/>
      <c r="Q11" s="134"/>
      <c r="R11" s="134"/>
      <c r="S11" s="134"/>
      <c r="T11" s="134"/>
      <c r="U11" s="134"/>
      <c r="V11" s="134"/>
      <c r="W11" s="134"/>
      <c r="X11" s="134"/>
      <c r="Y11" s="134"/>
      <c r="Z11" s="393"/>
    </row>
    <row r="12" spans="1:31">
      <c r="A12" s="134">
        <v>10</v>
      </c>
      <c r="B12" s="134" t="s">
        <v>598</v>
      </c>
      <c r="C12" s="134" t="s">
        <v>1414</v>
      </c>
      <c r="D12" s="395">
        <v>68</v>
      </c>
      <c r="E12" s="134"/>
      <c r="F12" s="134" t="s">
        <v>168</v>
      </c>
      <c r="G12" s="134" t="s">
        <v>658</v>
      </c>
      <c r="H12" s="134" t="s">
        <v>656</v>
      </c>
      <c r="I12" s="134" t="s">
        <v>157</v>
      </c>
      <c r="J12" s="134">
        <v>11</v>
      </c>
      <c r="K12" s="134"/>
      <c r="L12" s="134"/>
      <c r="N12" s="134"/>
      <c r="O12" s="134"/>
      <c r="P12" s="134"/>
      <c r="Q12" s="134"/>
      <c r="R12" s="134"/>
      <c r="S12" s="134"/>
      <c r="T12" s="134"/>
      <c r="U12" s="134"/>
      <c r="V12" s="134"/>
      <c r="W12" s="134"/>
      <c r="X12" s="134"/>
      <c r="Y12" s="134"/>
      <c r="Z12" s="393"/>
    </row>
    <row r="13" spans="1:31">
      <c r="A13" s="134">
        <v>10</v>
      </c>
      <c r="B13" s="134" t="s">
        <v>599</v>
      </c>
      <c r="C13" s="134" t="s">
        <v>1415</v>
      </c>
      <c r="D13" s="395">
        <v>110</v>
      </c>
      <c r="E13" s="134"/>
      <c r="F13" s="134" t="s">
        <v>168</v>
      </c>
      <c r="G13" s="134" t="s">
        <v>658</v>
      </c>
      <c r="H13" s="134" t="s">
        <v>659</v>
      </c>
      <c r="I13" s="134" t="s">
        <v>157</v>
      </c>
      <c r="J13" s="134">
        <v>12</v>
      </c>
      <c r="K13" s="134"/>
      <c r="L13" s="134"/>
      <c r="N13" s="390"/>
      <c r="O13" s="134"/>
      <c r="P13" s="134"/>
      <c r="Q13" s="134"/>
      <c r="R13" s="134"/>
      <c r="S13" s="134"/>
      <c r="T13" s="134"/>
      <c r="U13" s="134"/>
      <c r="V13" s="134"/>
      <c r="W13" s="134"/>
      <c r="X13" s="134"/>
      <c r="Y13" s="134"/>
      <c r="Z13" s="134"/>
    </row>
    <row r="14" spans="1:31">
      <c r="A14" s="134">
        <v>10</v>
      </c>
      <c r="B14" s="134" t="s">
        <v>600</v>
      </c>
      <c r="C14" s="134" t="s">
        <v>1416</v>
      </c>
      <c r="D14" s="395">
        <v>139</v>
      </c>
      <c r="E14" s="134"/>
      <c r="F14" s="134" t="s">
        <v>168</v>
      </c>
      <c r="G14" s="134" t="s">
        <v>658</v>
      </c>
      <c r="H14" s="134" t="s">
        <v>660</v>
      </c>
      <c r="I14" s="134" t="s">
        <v>157</v>
      </c>
      <c r="J14" s="134">
        <v>13</v>
      </c>
      <c r="K14" s="134"/>
      <c r="L14" s="134"/>
      <c r="N14" s="134"/>
      <c r="O14" s="134"/>
      <c r="P14" s="134"/>
      <c r="Q14" s="134"/>
      <c r="R14" s="134"/>
      <c r="S14" s="134"/>
      <c r="T14" s="134"/>
      <c r="U14" s="134"/>
      <c r="V14" s="134"/>
      <c r="W14" s="134"/>
      <c r="X14" s="134"/>
      <c r="Y14" s="134"/>
      <c r="Z14" s="393"/>
    </row>
    <row r="15" spans="1:31">
      <c r="A15" s="134">
        <v>10</v>
      </c>
      <c r="B15" s="134" t="s">
        <v>601</v>
      </c>
      <c r="C15" s="134" t="s">
        <v>1417</v>
      </c>
      <c r="D15" s="395">
        <v>91</v>
      </c>
      <c r="E15" s="134"/>
      <c r="F15" s="134" t="s">
        <v>168</v>
      </c>
      <c r="G15" s="134" t="s">
        <v>661</v>
      </c>
      <c r="H15" s="134" t="s">
        <v>586</v>
      </c>
      <c r="I15" s="134" t="s">
        <v>157</v>
      </c>
      <c r="J15" s="134">
        <v>14</v>
      </c>
      <c r="K15" s="134"/>
      <c r="L15" s="134"/>
      <c r="N15" s="134"/>
      <c r="O15" s="134"/>
      <c r="P15" s="134"/>
      <c r="Q15" s="134"/>
      <c r="R15" s="134"/>
      <c r="S15" s="134"/>
      <c r="T15" s="134"/>
      <c r="U15" s="134"/>
      <c r="V15" s="134"/>
      <c r="W15" s="134"/>
      <c r="X15" s="134"/>
      <c r="Y15" s="134"/>
      <c r="Z15" s="393"/>
    </row>
    <row r="16" spans="1:31">
      <c r="A16" s="134">
        <v>10</v>
      </c>
      <c r="B16" s="134" t="s">
        <v>602</v>
      </c>
      <c r="C16" s="134" t="s">
        <v>1418</v>
      </c>
      <c r="D16" s="395">
        <v>158</v>
      </c>
      <c r="E16" s="134"/>
      <c r="F16" s="134" t="s">
        <v>168</v>
      </c>
      <c r="G16" s="134" t="s">
        <v>661</v>
      </c>
      <c r="H16" s="134" t="s">
        <v>656</v>
      </c>
      <c r="I16" s="134" t="s">
        <v>157</v>
      </c>
      <c r="J16" s="134">
        <v>15</v>
      </c>
      <c r="K16" s="134"/>
      <c r="L16" s="134"/>
      <c r="N16" s="134"/>
      <c r="O16" s="134"/>
      <c r="P16" s="134"/>
      <c r="Q16" s="134"/>
      <c r="R16" s="134"/>
      <c r="S16" s="134"/>
      <c r="T16" s="134"/>
      <c r="U16" s="134"/>
      <c r="V16" s="134"/>
      <c r="W16" s="134"/>
      <c r="X16" s="393"/>
      <c r="Y16" s="134"/>
      <c r="Z16" s="393"/>
    </row>
    <row r="17" spans="1:26">
      <c r="A17" s="134">
        <v>10</v>
      </c>
      <c r="B17" s="134" t="s">
        <v>603</v>
      </c>
      <c r="C17" s="134" t="s">
        <v>1430</v>
      </c>
      <c r="D17" s="395">
        <v>237</v>
      </c>
      <c r="E17" s="134"/>
      <c r="F17" s="134" t="s">
        <v>168</v>
      </c>
      <c r="G17" s="134" t="s">
        <v>661</v>
      </c>
      <c r="H17" s="134" t="s">
        <v>659</v>
      </c>
      <c r="I17" s="134" t="s">
        <v>157</v>
      </c>
      <c r="J17" s="134">
        <v>16</v>
      </c>
      <c r="K17" s="134"/>
      <c r="L17" s="134"/>
      <c r="N17" s="134"/>
      <c r="O17" s="134"/>
      <c r="P17" s="134"/>
      <c r="Q17" s="134"/>
      <c r="R17" s="134"/>
      <c r="S17" s="134"/>
      <c r="T17" s="134"/>
      <c r="U17" s="134"/>
      <c r="V17" s="134"/>
      <c r="W17" s="134"/>
      <c r="X17" s="393"/>
      <c r="Y17" s="134"/>
      <c r="Z17" s="393"/>
    </row>
    <row r="18" spans="1:26">
      <c r="A18" s="134">
        <v>10</v>
      </c>
      <c r="B18" s="134" t="s">
        <v>604</v>
      </c>
      <c r="C18" s="134" t="s">
        <v>1419</v>
      </c>
      <c r="D18" s="395">
        <v>316</v>
      </c>
      <c r="E18" s="134"/>
      <c r="F18" s="134" t="s">
        <v>168</v>
      </c>
      <c r="G18" s="134" t="s">
        <v>661</v>
      </c>
      <c r="H18" s="134" t="s">
        <v>660</v>
      </c>
      <c r="I18" s="134" t="s">
        <v>157</v>
      </c>
      <c r="J18" s="134">
        <v>17</v>
      </c>
      <c r="K18" s="134"/>
      <c r="L18" s="134"/>
      <c r="N18" s="134"/>
      <c r="O18" s="134"/>
      <c r="P18" s="134"/>
      <c r="Q18" s="134"/>
      <c r="R18" s="134"/>
      <c r="S18" s="134"/>
      <c r="T18" s="134"/>
      <c r="U18" s="134"/>
      <c r="V18" s="134"/>
      <c r="W18" s="134"/>
      <c r="X18" s="393"/>
      <c r="Y18" s="134"/>
      <c r="Z18" s="393"/>
    </row>
    <row r="19" spans="1:26">
      <c r="A19" s="134">
        <v>10</v>
      </c>
      <c r="B19" s="134" t="s">
        <v>605</v>
      </c>
      <c r="C19" s="134" t="s">
        <v>1420</v>
      </c>
      <c r="D19" s="395">
        <v>104</v>
      </c>
      <c r="E19" s="134"/>
      <c r="F19" s="134" t="s">
        <v>662</v>
      </c>
      <c r="G19" s="134" t="s">
        <v>661</v>
      </c>
      <c r="H19" s="134" t="s">
        <v>586</v>
      </c>
      <c r="I19" s="134" t="s">
        <v>157</v>
      </c>
      <c r="J19" s="134">
        <v>18</v>
      </c>
      <c r="K19" s="134"/>
      <c r="L19" s="134"/>
    </row>
    <row r="20" spans="1:26">
      <c r="A20" s="134">
        <v>10</v>
      </c>
      <c r="B20" s="134" t="s">
        <v>606</v>
      </c>
      <c r="C20" s="134" t="s">
        <v>1421</v>
      </c>
      <c r="D20" s="395">
        <v>207</v>
      </c>
      <c r="E20" s="134"/>
      <c r="F20" s="134" t="s">
        <v>662</v>
      </c>
      <c r="G20" s="134" t="s">
        <v>661</v>
      </c>
      <c r="H20" s="134" t="s">
        <v>656</v>
      </c>
      <c r="I20" s="134" t="s">
        <v>157</v>
      </c>
      <c r="J20" s="134">
        <v>19</v>
      </c>
      <c r="K20" s="134"/>
      <c r="L20" s="134"/>
    </row>
    <row r="21" spans="1:26">
      <c r="A21" s="134">
        <v>10</v>
      </c>
      <c r="B21" s="134" t="s">
        <v>607</v>
      </c>
      <c r="C21" s="134" t="s">
        <v>1422</v>
      </c>
      <c r="D21" s="395">
        <v>311</v>
      </c>
      <c r="E21" s="134"/>
      <c r="F21" s="134" t="s">
        <v>662</v>
      </c>
      <c r="G21" s="134" t="s">
        <v>661</v>
      </c>
      <c r="H21" s="134" t="s">
        <v>659</v>
      </c>
      <c r="I21" s="134" t="s">
        <v>157</v>
      </c>
      <c r="J21" s="134">
        <v>20</v>
      </c>
      <c r="K21" s="134"/>
      <c r="L21" s="134"/>
    </row>
    <row r="22" spans="1:26">
      <c r="A22" s="134">
        <v>10</v>
      </c>
      <c r="B22" s="134" t="s">
        <v>608</v>
      </c>
      <c r="C22" s="134" t="s">
        <v>1423</v>
      </c>
      <c r="D22" s="395">
        <v>414</v>
      </c>
      <c r="E22" s="134"/>
      <c r="F22" s="134" t="s">
        <v>662</v>
      </c>
      <c r="G22" s="134" t="s">
        <v>661</v>
      </c>
      <c r="H22" s="134" t="s">
        <v>660</v>
      </c>
      <c r="I22" s="134" t="s">
        <v>157</v>
      </c>
      <c r="J22" s="134">
        <v>21</v>
      </c>
      <c r="K22" s="134"/>
      <c r="L22" s="134"/>
    </row>
    <row r="23" spans="1:26">
      <c r="A23" s="134">
        <v>10</v>
      </c>
      <c r="B23" s="134" t="s">
        <v>609</v>
      </c>
      <c r="C23" s="134" t="s">
        <v>1424</v>
      </c>
      <c r="D23" s="395">
        <v>205</v>
      </c>
      <c r="E23" s="134"/>
      <c r="F23" s="134" t="s">
        <v>663</v>
      </c>
      <c r="G23" s="134" t="s">
        <v>661</v>
      </c>
      <c r="H23" s="134" t="s">
        <v>586</v>
      </c>
      <c r="I23" s="134" t="s">
        <v>157</v>
      </c>
      <c r="J23" s="134">
        <v>22</v>
      </c>
      <c r="K23" s="134"/>
      <c r="L23" s="134"/>
    </row>
    <row r="24" spans="1:26">
      <c r="A24" s="134">
        <v>10</v>
      </c>
      <c r="B24" s="134" t="s">
        <v>610</v>
      </c>
      <c r="C24" s="134" t="s">
        <v>1425</v>
      </c>
      <c r="D24" s="395">
        <v>380</v>
      </c>
      <c r="E24" s="134"/>
      <c r="F24" s="134" t="s">
        <v>663</v>
      </c>
      <c r="G24" s="134" t="s">
        <v>661</v>
      </c>
      <c r="H24" s="134" t="s">
        <v>656</v>
      </c>
      <c r="I24" s="134" t="s">
        <v>157</v>
      </c>
      <c r="J24" s="134">
        <v>23</v>
      </c>
      <c r="K24" s="134"/>
      <c r="L24" s="134"/>
    </row>
    <row r="25" spans="1:26">
      <c r="A25" s="134">
        <v>10</v>
      </c>
      <c r="B25" s="134" t="s">
        <v>611</v>
      </c>
      <c r="C25" s="134" t="s">
        <v>1426</v>
      </c>
      <c r="D25" s="395">
        <v>585</v>
      </c>
      <c r="E25" s="134"/>
      <c r="F25" s="134" t="s">
        <v>663</v>
      </c>
      <c r="G25" s="134" t="s">
        <v>661</v>
      </c>
      <c r="H25" s="134" t="s">
        <v>659</v>
      </c>
      <c r="I25" s="134" t="s">
        <v>157</v>
      </c>
      <c r="J25" s="134">
        <v>24</v>
      </c>
      <c r="K25" s="134"/>
      <c r="L25" s="134"/>
    </row>
    <row r="26" spans="1:26">
      <c r="A26" s="134">
        <v>10</v>
      </c>
      <c r="B26" s="134" t="s">
        <v>587</v>
      </c>
      <c r="C26" s="134" t="s">
        <v>1427</v>
      </c>
      <c r="D26" s="395">
        <v>760</v>
      </c>
      <c r="E26" s="134"/>
      <c r="F26" s="134" t="s">
        <v>663</v>
      </c>
      <c r="G26" s="134" t="s">
        <v>661</v>
      </c>
      <c r="H26" s="134" t="s">
        <v>660</v>
      </c>
      <c r="I26" s="134" t="s">
        <v>157</v>
      </c>
      <c r="J26" s="134">
        <v>25</v>
      </c>
      <c r="K26" s="134"/>
      <c r="L26" s="134"/>
    </row>
    <row r="27" spans="1:26">
      <c r="A27" s="134">
        <v>10</v>
      </c>
      <c r="B27" s="134" t="s">
        <v>180</v>
      </c>
      <c r="C27" s="134" t="s">
        <v>1428</v>
      </c>
      <c r="D27" s="395">
        <v>43</v>
      </c>
      <c r="E27" s="134"/>
      <c r="F27" s="134" t="s">
        <v>168</v>
      </c>
      <c r="G27" s="134" t="s">
        <v>664</v>
      </c>
      <c r="H27" s="134" t="s">
        <v>586</v>
      </c>
      <c r="I27" s="134" t="s">
        <v>157</v>
      </c>
      <c r="J27" s="134">
        <v>26</v>
      </c>
      <c r="K27" s="134"/>
      <c r="L27" s="134"/>
    </row>
    <row r="28" spans="1:26">
      <c r="A28" s="134">
        <v>10</v>
      </c>
      <c r="B28" s="134" t="s">
        <v>181</v>
      </c>
      <c r="C28" s="134" t="s">
        <v>1429</v>
      </c>
      <c r="D28" s="395">
        <v>72</v>
      </c>
      <c r="E28" s="134"/>
      <c r="F28" s="134" t="s">
        <v>168</v>
      </c>
      <c r="G28" s="134" t="s">
        <v>664</v>
      </c>
      <c r="H28" s="134" t="s">
        <v>656</v>
      </c>
      <c r="I28" s="134" t="s">
        <v>157</v>
      </c>
      <c r="J28" s="134">
        <v>27</v>
      </c>
      <c r="K28" s="134"/>
      <c r="L28" s="134"/>
    </row>
    <row r="29" spans="1:26">
      <c r="A29" s="390"/>
      <c r="B29" s="134" t="s">
        <v>1393</v>
      </c>
      <c r="C29" s="134"/>
      <c r="D29" s="134" t="s">
        <v>689</v>
      </c>
      <c r="E29" s="134"/>
      <c r="F29" s="134"/>
      <c r="G29" s="134"/>
      <c r="H29" s="134"/>
      <c r="I29" s="134"/>
      <c r="J29" s="134">
        <v>28</v>
      </c>
      <c r="K29" s="134"/>
      <c r="L29" s="134"/>
    </row>
    <row r="30" spans="1:26">
      <c r="A30" s="134">
        <v>10</v>
      </c>
      <c r="B30" s="134" t="s">
        <v>612</v>
      </c>
      <c r="C30" s="134" t="s">
        <v>690</v>
      </c>
      <c r="D30" s="395">
        <v>16</v>
      </c>
      <c r="E30" s="134"/>
      <c r="F30" s="134" t="s">
        <v>159</v>
      </c>
      <c r="G30" s="134" t="s">
        <v>583</v>
      </c>
      <c r="H30" s="134" t="s">
        <v>586</v>
      </c>
      <c r="I30" s="134" t="s">
        <v>157</v>
      </c>
      <c r="J30" s="134">
        <v>29</v>
      </c>
      <c r="K30" s="134"/>
      <c r="L30" s="134"/>
    </row>
    <row r="31" spans="1:26">
      <c r="A31" s="134">
        <v>10</v>
      </c>
      <c r="B31" s="134" t="s">
        <v>613</v>
      </c>
      <c r="C31" s="134" t="s">
        <v>691</v>
      </c>
      <c r="D31" s="395">
        <v>32</v>
      </c>
      <c r="E31" s="134"/>
      <c r="F31" s="134" t="s">
        <v>159</v>
      </c>
      <c r="G31" s="134" t="s">
        <v>583</v>
      </c>
      <c r="H31" s="134" t="s">
        <v>656</v>
      </c>
      <c r="I31" s="134" t="s">
        <v>157</v>
      </c>
      <c r="J31" s="134">
        <v>30</v>
      </c>
      <c r="K31" s="134"/>
      <c r="L31" s="134"/>
    </row>
    <row r="32" spans="1:26">
      <c r="A32" s="134">
        <v>10</v>
      </c>
      <c r="B32" s="134" t="s">
        <v>614</v>
      </c>
      <c r="C32" s="134" t="s">
        <v>692</v>
      </c>
      <c r="D32" s="395">
        <v>23</v>
      </c>
      <c r="E32" s="134"/>
      <c r="F32" s="134" t="s">
        <v>159</v>
      </c>
      <c r="G32" s="134" t="s">
        <v>657</v>
      </c>
      <c r="H32" s="134" t="s">
        <v>586</v>
      </c>
      <c r="I32" s="134" t="s">
        <v>157</v>
      </c>
      <c r="J32" s="134">
        <v>31</v>
      </c>
      <c r="K32" s="134"/>
      <c r="L32" s="134"/>
    </row>
    <row r="33" spans="1:12">
      <c r="A33" s="134">
        <v>10</v>
      </c>
      <c r="B33" s="134" t="s">
        <v>615</v>
      </c>
      <c r="C33" s="134" t="s">
        <v>693</v>
      </c>
      <c r="D33" s="395">
        <v>46</v>
      </c>
      <c r="E33" s="134"/>
      <c r="F33" s="134" t="s">
        <v>159</v>
      </c>
      <c r="G33" s="134" t="s">
        <v>657</v>
      </c>
      <c r="H33" s="134" t="s">
        <v>656</v>
      </c>
      <c r="I33" s="134" t="s">
        <v>157</v>
      </c>
      <c r="J33" s="134">
        <v>32</v>
      </c>
      <c r="K33" s="134"/>
      <c r="L33" s="134"/>
    </row>
    <row r="34" spans="1:12">
      <c r="A34" s="134">
        <v>10</v>
      </c>
      <c r="B34" s="134" t="s">
        <v>616</v>
      </c>
      <c r="C34" s="134" t="s">
        <v>182</v>
      </c>
      <c r="D34" s="395">
        <v>32</v>
      </c>
      <c r="E34" s="134"/>
      <c r="F34" s="134" t="s">
        <v>159</v>
      </c>
      <c r="G34" s="134" t="s">
        <v>658</v>
      </c>
      <c r="H34" s="134" t="s">
        <v>586</v>
      </c>
      <c r="I34" s="134" t="s">
        <v>157</v>
      </c>
      <c r="J34" s="134">
        <v>33</v>
      </c>
      <c r="K34" s="134"/>
      <c r="L34" s="134"/>
    </row>
    <row r="35" spans="1:12">
      <c r="A35" s="134">
        <v>10</v>
      </c>
      <c r="B35" s="134" t="s">
        <v>617</v>
      </c>
      <c r="C35" s="134" t="s">
        <v>183</v>
      </c>
      <c r="D35" s="395">
        <v>59</v>
      </c>
      <c r="E35" s="134"/>
      <c r="F35" s="134" t="s">
        <v>159</v>
      </c>
      <c r="G35" s="134" t="s">
        <v>658</v>
      </c>
      <c r="H35" s="134" t="s">
        <v>656</v>
      </c>
      <c r="I35" s="134" t="s">
        <v>157</v>
      </c>
      <c r="J35" s="134">
        <v>34</v>
      </c>
      <c r="K35" s="134"/>
      <c r="L35" s="134"/>
    </row>
    <row r="36" spans="1:12">
      <c r="A36" s="134">
        <v>10</v>
      </c>
      <c r="B36" s="134" t="s">
        <v>618</v>
      </c>
      <c r="C36" s="134" t="s">
        <v>184</v>
      </c>
      <c r="D36" s="395">
        <v>88</v>
      </c>
      <c r="E36" s="134"/>
      <c r="F36" s="134" t="s">
        <v>159</v>
      </c>
      <c r="G36" s="134" t="s">
        <v>658</v>
      </c>
      <c r="H36" s="134" t="s">
        <v>659</v>
      </c>
      <c r="I36" s="134" t="s">
        <v>157</v>
      </c>
      <c r="J36" s="134">
        <v>35</v>
      </c>
      <c r="K36" s="134"/>
      <c r="L36" s="134"/>
    </row>
    <row r="37" spans="1:12">
      <c r="A37" s="134">
        <v>10</v>
      </c>
      <c r="B37" s="134" t="s">
        <v>619</v>
      </c>
      <c r="C37" s="134" t="s">
        <v>185</v>
      </c>
      <c r="D37" s="395">
        <v>114</v>
      </c>
      <c r="E37" s="134"/>
      <c r="F37" s="134" t="s">
        <v>159</v>
      </c>
      <c r="G37" s="134" t="s">
        <v>658</v>
      </c>
      <c r="H37" s="134" t="s">
        <v>660</v>
      </c>
      <c r="I37" s="134" t="s">
        <v>157</v>
      </c>
      <c r="J37" s="134">
        <v>36</v>
      </c>
      <c r="K37" s="134"/>
      <c r="L37" s="134"/>
    </row>
    <row r="38" spans="1:12">
      <c r="A38" s="134">
        <v>10</v>
      </c>
      <c r="B38" s="134" t="s">
        <v>1524</v>
      </c>
      <c r="C38" s="134" t="s">
        <v>1526</v>
      </c>
      <c r="D38" s="395">
        <v>175</v>
      </c>
      <c r="E38" s="134"/>
      <c r="F38" s="134" t="s">
        <v>159</v>
      </c>
      <c r="G38" s="134" t="s">
        <v>658</v>
      </c>
      <c r="H38" s="134" t="s">
        <v>1528</v>
      </c>
      <c r="I38" s="134" t="s">
        <v>157</v>
      </c>
      <c r="J38" s="134">
        <v>37</v>
      </c>
      <c r="K38" s="134"/>
      <c r="L38" s="134"/>
    </row>
    <row r="39" spans="1:12">
      <c r="A39" s="134">
        <v>10</v>
      </c>
      <c r="B39" s="134" t="s">
        <v>1525</v>
      </c>
      <c r="C39" s="134" t="s">
        <v>1527</v>
      </c>
      <c r="D39" s="395">
        <v>224</v>
      </c>
      <c r="E39" s="134"/>
      <c r="F39" s="134" t="s">
        <v>159</v>
      </c>
      <c r="G39" s="134" t="s">
        <v>658</v>
      </c>
      <c r="H39" s="134" t="s">
        <v>1529</v>
      </c>
      <c r="I39" s="134" t="s">
        <v>157</v>
      </c>
      <c r="J39" s="134">
        <v>38</v>
      </c>
      <c r="K39" s="134"/>
      <c r="L39" s="134"/>
    </row>
    <row r="40" spans="1:12">
      <c r="A40" s="134">
        <v>10</v>
      </c>
      <c r="B40" s="134" t="s">
        <v>1532</v>
      </c>
      <c r="C40" s="134" t="s">
        <v>1530</v>
      </c>
      <c r="D40" s="455">
        <v>338</v>
      </c>
      <c r="E40" s="454"/>
      <c r="F40" s="134" t="s">
        <v>159</v>
      </c>
      <c r="G40" s="134" t="s">
        <v>658</v>
      </c>
      <c r="H40" s="134" t="s">
        <v>1531</v>
      </c>
      <c r="I40" s="134" t="s">
        <v>157</v>
      </c>
      <c r="J40" s="134">
        <v>39</v>
      </c>
      <c r="K40" s="454"/>
      <c r="L40" s="454"/>
    </row>
    <row r="41" spans="1:12">
      <c r="A41" s="134">
        <v>10</v>
      </c>
      <c r="B41" s="134" t="s">
        <v>620</v>
      </c>
      <c r="C41" s="134" t="s">
        <v>694</v>
      </c>
      <c r="D41" s="395">
        <v>62</v>
      </c>
      <c r="E41" s="134"/>
      <c r="F41" s="134" t="s">
        <v>159</v>
      </c>
      <c r="G41" s="134" t="s">
        <v>661</v>
      </c>
      <c r="H41" s="134" t="s">
        <v>586</v>
      </c>
      <c r="I41" s="134" t="s">
        <v>157</v>
      </c>
      <c r="J41" s="134">
        <v>40</v>
      </c>
      <c r="K41" s="134"/>
      <c r="L41" s="134"/>
    </row>
    <row r="42" spans="1:12">
      <c r="A42" s="134">
        <v>10</v>
      </c>
      <c r="B42" s="134" t="s">
        <v>621</v>
      </c>
      <c r="C42" s="134" t="s">
        <v>695</v>
      </c>
      <c r="D42" s="395">
        <v>124</v>
      </c>
      <c r="E42" s="134"/>
      <c r="F42" s="134" t="s">
        <v>159</v>
      </c>
      <c r="G42" s="134" t="s">
        <v>661</v>
      </c>
      <c r="H42" s="134" t="s">
        <v>656</v>
      </c>
      <c r="I42" s="134" t="s">
        <v>157</v>
      </c>
      <c r="J42" s="134">
        <v>41</v>
      </c>
      <c r="K42" s="134"/>
      <c r="L42" s="134"/>
    </row>
    <row r="43" spans="1:12">
      <c r="A43" s="134">
        <v>10</v>
      </c>
      <c r="B43" s="134" t="s">
        <v>622</v>
      </c>
      <c r="C43" s="134" t="s">
        <v>696</v>
      </c>
      <c r="D43" s="395">
        <v>186</v>
      </c>
      <c r="E43" s="134"/>
      <c r="F43" s="134" t="s">
        <v>159</v>
      </c>
      <c r="G43" s="134" t="s">
        <v>661</v>
      </c>
      <c r="H43" s="134" t="s">
        <v>659</v>
      </c>
      <c r="I43" s="134" t="s">
        <v>157</v>
      </c>
      <c r="J43" s="134">
        <v>42</v>
      </c>
      <c r="K43" s="134"/>
      <c r="L43" s="134"/>
    </row>
    <row r="44" spans="1:12">
      <c r="A44" s="134">
        <v>10</v>
      </c>
      <c r="B44" s="134" t="s">
        <v>623</v>
      </c>
      <c r="C44" s="134" t="s">
        <v>697</v>
      </c>
      <c r="D44" s="395">
        <v>248</v>
      </c>
      <c r="E44" s="134"/>
      <c r="F44" s="134" t="s">
        <v>159</v>
      </c>
      <c r="G44" s="134" t="s">
        <v>661</v>
      </c>
      <c r="H44" s="134" t="s">
        <v>660</v>
      </c>
      <c r="I44" s="134" t="s">
        <v>157</v>
      </c>
      <c r="J44" s="134">
        <v>43</v>
      </c>
      <c r="K44" s="134"/>
      <c r="L44" s="134"/>
    </row>
    <row r="45" spans="1:12">
      <c r="A45" s="134">
        <v>10</v>
      </c>
      <c r="B45" s="134" t="s">
        <v>624</v>
      </c>
      <c r="C45" s="134" t="s">
        <v>698</v>
      </c>
      <c r="D45" s="395">
        <v>85</v>
      </c>
      <c r="E45" s="134"/>
      <c r="F45" s="134" t="s">
        <v>665</v>
      </c>
      <c r="G45" s="134" t="s">
        <v>661</v>
      </c>
      <c r="H45" s="134" t="s">
        <v>586</v>
      </c>
      <c r="I45" s="134" t="s">
        <v>157</v>
      </c>
      <c r="J45" s="134">
        <v>44</v>
      </c>
      <c r="K45" s="134"/>
      <c r="L45" s="134"/>
    </row>
    <row r="46" spans="1:12">
      <c r="A46" s="134">
        <v>10</v>
      </c>
      <c r="B46" s="134" t="s">
        <v>625</v>
      </c>
      <c r="C46" s="134" t="s">
        <v>699</v>
      </c>
      <c r="D46" s="395">
        <v>160</v>
      </c>
      <c r="E46" s="134"/>
      <c r="F46" s="134" t="s">
        <v>665</v>
      </c>
      <c r="G46" s="134" t="s">
        <v>661</v>
      </c>
      <c r="H46" s="134" t="s">
        <v>656</v>
      </c>
      <c r="I46" s="134" t="s">
        <v>157</v>
      </c>
      <c r="J46" s="134">
        <v>45</v>
      </c>
      <c r="K46" s="134"/>
      <c r="L46" s="134"/>
    </row>
    <row r="47" spans="1:12">
      <c r="A47" s="134">
        <v>10</v>
      </c>
      <c r="B47" s="134" t="s">
        <v>626</v>
      </c>
      <c r="C47" s="134" t="s">
        <v>700</v>
      </c>
      <c r="D47" s="134">
        <v>285</v>
      </c>
      <c r="E47" s="134"/>
      <c r="F47" s="134" t="s">
        <v>665</v>
      </c>
      <c r="G47" s="134" t="s">
        <v>661</v>
      </c>
      <c r="H47" s="134" t="s">
        <v>659</v>
      </c>
      <c r="I47" s="134" t="s">
        <v>157</v>
      </c>
      <c r="J47" s="134">
        <v>46</v>
      </c>
      <c r="K47" s="134"/>
      <c r="L47" s="134"/>
    </row>
    <row r="48" spans="1:12">
      <c r="A48" s="134">
        <v>10</v>
      </c>
      <c r="B48" s="134" t="s">
        <v>627</v>
      </c>
      <c r="C48" s="134" t="s">
        <v>701</v>
      </c>
      <c r="D48" s="395">
        <v>320</v>
      </c>
      <c r="E48" s="134"/>
      <c r="F48" s="134" t="s">
        <v>665</v>
      </c>
      <c r="G48" s="134" t="s">
        <v>661</v>
      </c>
      <c r="H48" s="134" t="s">
        <v>660</v>
      </c>
      <c r="I48" s="134" t="s">
        <v>157</v>
      </c>
      <c r="J48" s="134">
        <v>47</v>
      </c>
      <c r="K48" s="134"/>
      <c r="L48" s="134"/>
    </row>
    <row r="49" spans="1:12">
      <c r="A49" s="134">
        <v>10</v>
      </c>
      <c r="B49" s="134" t="s">
        <v>628</v>
      </c>
      <c r="C49" s="134" t="s">
        <v>702</v>
      </c>
      <c r="D49" s="395">
        <v>28</v>
      </c>
      <c r="E49" s="134"/>
      <c r="F49" s="134" t="s">
        <v>159</v>
      </c>
      <c r="G49" s="134" t="s">
        <v>664</v>
      </c>
      <c r="H49" s="134" t="s">
        <v>586</v>
      </c>
      <c r="I49" s="134" t="s">
        <v>157</v>
      </c>
      <c r="J49" s="134">
        <v>48</v>
      </c>
      <c r="K49" s="134"/>
      <c r="L49" s="134"/>
    </row>
    <row r="50" spans="1:12" ht="12.75" customHeight="1">
      <c r="A50" s="134">
        <v>10</v>
      </c>
      <c r="B50" s="134" t="s">
        <v>629</v>
      </c>
      <c r="C50" s="134" t="s">
        <v>703</v>
      </c>
      <c r="D50" s="395">
        <v>56</v>
      </c>
      <c r="E50" s="134"/>
      <c r="F50" s="134" t="s">
        <v>159</v>
      </c>
      <c r="G50" s="134" t="s">
        <v>664</v>
      </c>
      <c r="H50" s="134" t="s">
        <v>656</v>
      </c>
      <c r="I50" s="134" t="s">
        <v>157</v>
      </c>
      <c r="J50" s="134">
        <v>49</v>
      </c>
      <c r="K50" s="134"/>
      <c r="L50" s="134"/>
    </row>
    <row r="51" spans="1:12">
      <c r="A51" s="390"/>
      <c r="B51" s="134" t="s">
        <v>1394</v>
      </c>
      <c r="C51" s="134"/>
      <c r="D51" s="134" t="s">
        <v>689</v>
      </c>
      <c r="E51" s="134"/>
      <c r="F51" s="134"/>
      <c r="G51" s="134"/>
      <c r="H51" s="134"/>
      <c r="I51" s="134"/>
      <c r="J51" s="134">
        <v>50</v>
      </c>
      <c r="K51" s="134"/>
      <c r="L51" s="134"/>
    </row>
    <row r="52" spans="1:12">
      <c r="A52" s="134">
        <v>10</v>
      </c>
      <c r="B52" s="134" t="s">
        <v>798</v>
      </c>
      <c r="C52" s="134"/>
      <c r="D52" s="395">
        <v>32</v>
      </c>
      <c r="E52" s="134"/>
      <c r="F52" s="134" t="s">
        <v>158</v>
      </c>
      <c r="G52" s="134" t="s">
        <v>658</v>
      </c>
      <c r="H52" s="134" t="s">
        <v>586</v>
      </c>
      <c r="I52" s="134" t="s">
        <v>157</v>
      </c>
      <c r="J52" s="134">
        <v>51</v>
      </c>
      <c r="K52" s="134"/>
      <c r="L52" s="134"/>
    </row>
    <row r="53" spans="1:12">
      <c r="A53" s="134">
        <v>10</v>
      </c>
      <c r="B53" s="134" t="s">
        <v>799</v>
      </c>
      <c r="C53" s="134"/>
      <c r="D53" s="395">
        <v>64</v>
      </c>
      <c r="E53" s="134"/>
      <c r="F53" s="134" t="s">
        <v>158</v>
      </c>
      <c r="G53" s="134" t="s">
        <v>658</v>
      </c>
      <c r="H53" s="134" t="s">
        <v>656</v>
      </c>
      <c r="I53" s="134" t="s">
        <v>157</v>
      </c>
      <c r="J53" s="134">
        <v>52</v>
      </c>
      <c r="K53" s="134"/>
      <c r="L53" s="134"/>
    </row>
    <row r="54" spans="1:12">
      <c r="A54" s="134">
        <v>10</v>
      </c>
      <c r="B54" s="134" t="s">
        <v>800</v>
      </c>
      <c r="C54" s="134"/>
      <c r="D54" s="395">
        <v>128</v>
      </c>
      <c r="E54" s="134"/>
      <c r="F54" s="134" t="s">
        <v>158</v>
      </c>
      <c r="G54" s="134" t="s">
        <v>658</v>
      </c>
      <c r="H54" s="134" t="s">
        <v>660</v>
      </c>
      <c r="I54" s="134" t="s">
        <v>157</v>
      </c>
      <c r="J54" s="134">
        <v>53</v>
      </c>
      <c r="K54" s="134"/>
      <c r="L54" s="134"/>
    </row>
    <row r="55" spans="1:12">
      <c r="A55" s="134">
        <v>10</v>
      </c>
      <c r="B55" s="134" t="s">
        <v>801</v>
      </c>
      <c r="C55" s="134"/>
      <c r="D55" s="395">
        <v>192</v>
      </c>
      <c r="E55" s="134"/>
      <c r="F55" s="134" t="s">
        <v>158</v>
      </c>
      <c r="G55" s="134" t="s">
        <v>658</v>
      </c>
      <c r="H55" s="134" t="s">
        <v>666</v>
      </c>
      <c r="I55" s="134" t="s">
        <v>157</v>
      </c>
      <c r="J55" s="134">
        <v>54</v>
      </c>
      <c r="K55" s="134"/>
      <c r="L55" s="134"/>
    </row>
    <row r="56" spans="1:12">
      <c r="A56" s="134">
        <v>10</v>
      </c>
      <c r="B56" s="134" t="s">
        <v>727</v>
      </c>
      <c r="C56" s="134" t="s">
        <v>189</v>
      </c>
      <c r="D56" s="395">
        <v>62</v>
      </c>
      <c r="E56" s="134"/>
      <c r="F56" s="134" t="s">
        <v>733</v>
      </c>
      <c r="G56" s="134" t="s">
        <v>658</v>
      </c>
      <c r="H56" s="134" t="s">
        <v>586</v>
      </c>
      <c r="I56" s="134" t="s">
        <v>157</v>
      </c>
      <c r="J56" s="134">
        <v>55</v>
      </c>
      <c r="K56" s="134"/>
      <c r="L56" s="134"/>
    </row>
    <row r="57" spans="1:12">
      <c r="A57" s="134">
        <v>10</v>
      </c>
      <c r="B57" s="134" t="s">
        <v>728</v>
      </c>
      <c r="C57" s="134" t="s">
        <v>190</v>
      </c>
      <c r="D57" s="395">
        <v>117</v>
      </c>
      <c r="E57" s="134"/>
      <c r="F57" s="134" t="s">
        <v>733</v>
      </c>
      <c r="G57" s="134" t="s">
        <v>658</v>
      </c>
      <c r="H57" s="134" t="s">
        <v>656</v>
      </c>
      <c r="I57" s="134" t="s">
        <v>157</v>
      </c>
      <c r="J57" s="134">
        <v>56</v>
      </c>
      <c r="K57" s="134"/>
      <c r="L57" s="134"/>
    </row>
    <row r="58" spans="1:12">
      <c r="A58" s="134">
        <v>10</v>
      </c>
      <c r="B58" s="134" t="s">
        <v>729</v>
      </c>
      <c r="C58" s="134" t="s">
        <v>191</v>
      </c>
      <c r="D58" s="395">
        <v>240</v>
      </c>
      <c r="E58" s="134"/>
      <c r="F58" s="134" t="s">
        <v>733</v>
      </c>
      <c r="G58" s="134" t="s">
        <v>658</v>
      </c>
      <c r="H58" s="134" t="s">
        <v>660</v>
      </c>
      <c r="I58" s="134" t="s">
        <v>157</v>
      </c>
      <c r="J58" s="134">
        <v>57</v>
      </c>
      <c r="K58" s="134"/>
      <c r="L58" s="134"/>
    </row>
    <row r="59" spans="1:12">
      <c r="A59" s="134">
        <v>10</v>
      </c>
      <c r="B59" s="134" t="s">
        <v>730</v>
      </c>
      <c r="C59" s="134" t="s">
        <v>192</v>
      </c>
      <c r="D59" s="395">
        <v>360</v>
      </c>
      <c r="E59" s="134"/>
      <c r="F59" s="134" t="s">
        <v>733</v>
      </c>
      <c r="G59" s="134" t="s">
        <v>658</v>
      </c>
      <c r="H59" s="134" t="s">
        <v>666</v>
      </c>
      <c r="I59" s="134" t="s">
        <v>157</v>
      </c>
      <c r="J59" s="134">
        <v>58</v>
      </c>
      <c r="K59" s="134"/>
      <c r="L59" s="134"/>
    </row>
    <row r="60" spans="1:12">
      <c r="A60" s="134">
        <v>10</v>
      </c>
      <c r="B60" s="134" t="s">
        <v>731</v>
      </c>
      <c r="C60" s="134" t="s">
        <v>193</v>
      </c>
      <c r="D60" s="395">
        <v>468</v>
      </c>
      <c r="E60" s="134"/>
      <c r="F60" s="134" t="s">
        <v>733</v>
      </c>
      <c r="G60" s="134" t="s">
        <v>658</v>
      </c>
      <c r="H60" s="134" t="s">
        <v>667</v>
      </c>
      <c r="I60" s="134" t="s">
        <v>157</v>
      </c>
      <c r="J60" s="134">
        <v>59</v>
      </c>
      <c r="K60" s="134"/>
      <c r="L60" s="134"/>
    </row>
    <row r="61" spans="1:12">
      <c r="A61" s="134">
        <v>10</v>
      </c>
      <c r="B61" s="134" t="s">
        <v>732</v>
      </c>
      <c r="C61" s="134" t="s">
        <v>194</v>
      </c>
      <c r="D61" s="134">
        <v>577</v>
      </c>
      <c r="E61" s="134"/>
      <c r="F61" s="134" t="s">
        <v>733</v>
      </c>
      <c r="G61" s="134" t="s">
        <v>658</v>
      </c>
      <c r="H61" s="134" t="s">
        <v>668</v>
      </c>
      <c r="I61" s="134" t="s">
        <v>157</v>
      </c>
      <c r="J61" s="134">
        <v>60</v>
      </c>
      <c r="K61" s="134"/>
      <c r="L61" s="134"/>
    </row>
    <row r="62" spans="1:12">
      <c r="A62" s="390"/>
      <c r="B62" s="134" t="s">
        <v>1396</v>
      </c>
      <c r="C62" s="134"/>
      <c r="D62" s="134" t="s">
        <v>689</v>
      </c>
      <c r="E62" s="134"/>
      <c r="F62" s="134"/>
      <c r="G62" s="134"/>
      <c r="H62" s="134"/>
      <c r="I62" s="134"/>
      <c r="J62" s="134">
        <v>61</v>
      </c>
      <c r="K62" s="134"/>
      <c r="L62" s="134"/>
    </row>
    <row r="63" spans="1:12">
      <c r="A63" s="134">
        <v>10</v>
      </c>
      <c r="B63" s="134" t="s">
        <v>630</v>
      </c>
      <c r="C63" s="134" t="s">
        <v>720</v>
      </c>
      <c r="D63" s="395">
        <v>94</v>
      </c>
      <c r="E63" s="134"/>
      <c r="F63" s="134" t="s">
        <v>669</v>
      </c>
      <c r="G63" s="134" t="s">
        <v>670</v>
      </c>
      <c r="H63" s="134"/>
      <c r="I63" s="134" t="s">
        <v>157</v>
      </c>
      <c r="J63" s="134">
        <v>62</v>
      </c>
      <c r="K63" s="134"/>
      <c r="L63" s="134"/>
    </row>
    <row r="64" spans="1:12">
      <c r="A64" s="134">
        <v>10</v>
      </c>
      <c r="B64" s="134" t="s">
        <v>631</v>
      </c>
      <c r="C64" s="134" t="s">
        <v>721</v>
      </c>
      <c r="D64" s="395">
        <v>127</v>
      </c>
      <c r="E64" s="134"/>
      <c r="F64" s="134" t="s">
        <v>669</v>
      </c>
      <c r="G64" s="134" t="s">
        <v>671</v>
      </c>
      <c r="H64" s="134"/>
      <c r="I64" s="134" t="s">
        <v>157</v>
      </c>
      <c r="J64" s="134">
        <v>63</v>
      </c>
      <c r="K64" s="134"/>
      <c r="L64" s="134"/>
    </row>
    <row r="65" spans="1:12">
      <c r="A65" s="134">
        <v>10</v>
      </c>
      <c r="B65" s="134" t="s">
        <v>632</v>
      </c>
      <c r="C65" s="134" t="s">
        <v>722</v>
      </c>
      <c r="D65" s="395">
        <v>210</v>
      </c>
      <c r="E65" s="134"/>
      <c r="F65" s="134" t="s">
        <v>669</v>
      </c>
      <c r="G65" s="134" t="s">
        <v>672</v>
      </c>
      <c r="H65" s="134"/>
      <c r="I65" s="134" t="s">
        <v>157</v>
      </c>
      <c r="J65" s="134">
        <v>64</v>
      </c>
      <c r="K65" s="134"/>
      <c r="L65" s="134"/>
    </row>
    <row r="66" spans="1:12">
      <c r="A66" s="134">
        <v>10</v>
      </c>
      <c r="B66" s="134" t="s">
        <v>633</v>
      </c>
      <c r="C66" s="134" t="s">
        <v>723</v>
      </c>
      <c r="D66" s="395">
        <v>295</v>
      </c>
      <c r="E66" s="134"/>
      <c r="F66" s="134" t="s">
        <v>669</v>
      </c>
      <c r="G66" s="134" t="s">
        <v>673</v>
      </c>
      <c r="H66" s="134"/>
      <c r="I66" s="134" t="s">
        <v>157</v>
      </c>
      <c r="J66" s="134">
        <v>65</v>
      </c>
      <c r="K66" s="134"/>
      <c r="L66" s="134"/>
    </row>
    <row r="67" spans="1:12">
      <c r="A67" s="134">
        <v>10</v>
      </c>
      <c r="B67" s="134" t="s">
        <v>634</v>
      </c>
      <c r="C67" s="134" t="s">
        <v>724</v>
      </c>
      <c r="D67" s="395">
        <v>458</v>
      </c>
      <c r="E67" s="134"/>
      <c r="F67" s="134" t="s">
        <v>669</v>
      </c>
      <c r="G67" s="134" t="s">
        <v>674</v>
      </c>
      <c r="H67" s="134"/>
      <c r="I67" s="134" t="s">
        <v>157</v>
      </c>
      <c r="J67" s="134">
        <v>66</v>
      </c>
      <c r="K67" s="134"/>
      <c r="L67" s="134"/>
    </row>
    <row r="68" spans="1:12">
      <c r="A68" s="134">
        <v>10</v>
      </c>
      <c r="B68" s="134" t="s">
        <v>635</v>
      </c>
      <c r="C68" s="134" t="s">
        <v>725</v>
      </c>
      <c r="D68" s="395">
        <v>1080</v>
      </c>
      <c r="E68" s="134"/>
      <c r="F68" s="134" t="s">
        <v>669</v>
      </c>
      <c r="G68" s="134" t="s">
        <v>675</v>
      </c>
      <c r="H68" s="134"/>
      <c r="I68" s="134" t="s">
        <v>157</v>
      </c>
      <c r="J68" s="134">
        <v>67</v>
      </c>
      <c r="K68" s="134"/>
      <c r="L68" s="134"/>
    </row>
    <row r="69" spans="1:12">
      <c r="A69" s="134">
        <v>10</v>
      </c>
      <c r="B69" s="134" t="s">
        <v>589</v>
      </c>
      <c r="C69" s="134"/>
      <c r="D69" s="395">
        <v>232</v>
      </c>
      <c r="E69" s="134"/>
      <c r="F69" s="134" t="s">
        <v>676</v>
      </c>
      <c r="G69" s="134" t="s">
        <v>677</v>
      </c>
      <c r="H69" s="134"/>
      <c r="I69" s="134" t="s">
        <v>157</v>
      </c>
      <c r="J69" s="134">
        <v>68</v>
      </c>
      <c r="K69" s="134"/>
      <c r="L69" s="134"/>
    </row>
    <row r="70" spans="1:12">
      <c r="A70" s="134">
        <v>10</v>
      </c>
      <c r="B70" s="134" t="s">
        <v>636</v>
      </c>
      <c r="C70" s="134"/>
      <c r="D70" s="134">
        <v>350</v>
      </c>
      <c r="E70" s="134"/>
      <c r="F70" s="134" t="s">
        <v>676</v>
      </c>
      <c r="G70" s="134" t="s">
        <v>678</v>
      </c>
      <c r="H70" s="134"/>
      <c r="I70" s="134" t="s">
        <v>157</v>
      </c>
      <c r="J70" s="134">
        <v>69</v>
      </c>
      <c r="K70" s="134"/>
      <c r="L70" s="134"/>
    </row>
    <row r="71" spans="1:12">
      <c r="A71" s="134">
        <v>10</v>
      </c>
      <c r="B71" s="134" t="s">
        <v>637</v>
      </c>
      <c r="C71" s="134"/>
      <c r="D71" s="395">
        <v>456</v>
      </c>
      <c r="E71" s="134"/>
      <c r="F71" s="134" t="s">
        <v>676</v>
      </c>
      <c r="G71" s="134" t="s">
        <v>674</v>
      </c>
      <c r="H71" s="134"/>
      <c r="I71" s="134" t="s">
        <v>157</v>
      </c>
      <c r="J71" s="134">
        <v>70</v>
      </c>
      <c r="K71" s="134"/>
      <c r="L71" s="134"/>
    </row>
    <row r="72" spans="1:12">
      <c r="A72" s="390"/>
      <c r="B72" s="134" t="s">
        <v>1397</v>
      </c>
      <c r="C72" s="134"/>
      <c r="D72" s="134" t="s">
        <v>689</v>
      </c>
      <c r="E72" s="134"/>
      <c r="F72" s="134"/>
      <c r="G72" s="134"/>
      <c r="H72" s="134"/>
      <c r="I72" s="134"/>
      <c r="J72" s="134">
        <v>71</v>
      </c>
      <c r="K72" s="134"/>
      <c r="L72" s="134"/>
    </row>
    <row r="73" spans="1:12">
      <c r="A73" s="134">
        <v>10</v>
      </c>
      <c r="B73" s="134" t="s">
        <v>638</v>
      </c>
      <c r="C73" s="134" t="s">
        <v>711</v>
      </c>
      <c r="D73" s="134">
        <v>46</v>
      </c>
      <c r="E73" s="134"/>
      <c r="F73" s="134" t="s">
        <v>679</v>
      </c>
      <c r="G73" s="134" t="s">
        <v>680</v>
      </c>
      <c r="H73" s="134"/>
      <c r="I73" s="134" t="s">
        <v>157</v>
      </c>
      <c r="J73" s="134">
        <v>72</v>
      </c>
      <c r="K73" s="134"/>
      <c r="L73" s="134"/>
    </row>
    <row r="74" spans="1:12">
      <c r="A74" s="134">
        <v>10</v>
      </c>
      <c r="B74" s="134" t="s">
        <v>639</v>
      </c>
      <c r="C74" s="134" t="s">
        <v>712</v>
      </c>
      <c r="D74" s="395">
        <v>66</v>
      </c>
      <c r="E74" s="134"/>
      <c r="F74" s="134" t="s">
        <v>679</v>
      </c>
      <c r="G74" s="134" t="s">
        <v>681</v>
      </c>
      <c r="H74" s="134"/>
      <c r="I74" s="134" t="s">
        <v>157</v>
      </c>
      <c r="J74" s="134">
        <v>73</v>
      </c>
      <c r="K74" s="134"/>
      <c r="L74" s="134"/>
    </row>
    <row r="75" spans="1:12">
      <c r="A75" s="134">
        <v>10</v>
      </c>
      <c r="B75" s="134" t="s">
        <v>640</v>
      </c>
      <c r="C75" s="134" t="s">
        <v>713</v>
      </c>
      <c r="D75" s="395">
        <v>95</v>
      </c>
      <c r="E75" s="134"/>
      <c r="F75" s="134" t="s">
        <v>679</v>
      </c>
      <c r="G75" s="134" t="s">
        <v>682</v>
      </c>
      <c r="H75" s="134"/>
      <c r="I75" s="134" t="s">
        <v>157</v>
      </c>
      <c r="J75" s="134">
        <v>74</v>
      </c>
      <c r="K75" s="134"/>
      <c r="L75" s="134"/>
    </row>
    <row r="76" spans="1:12">
      <c r="A76" s="134">
        <v>10</v>
      </c>
      <c r="B76" s="134" t="s">
        <v>641</v>
      </c>
      <c r="C76" s="134" t="s">
        <v>714</v>
      </c>
      <c r="D76" s="395">
        <v>138</v>
      </c>
      <c r="E76" s="134"/>
      <c r="F76" s="134" t="s">
        <v>679</v>
      </c>
      <c r="G76" s="134" t="s">
        <v>671</v>
      </c>
      <c r="H76" s="134"/>
      <c r="I76" s="134" t="s">
        <v>157</v>
      </c>
      <c r="J76" s="134">
        <v>75</v>
      </c>
      <c r="K76" s="134"/>
      <c r="L76" s="134"/>
    </row>
    <row r="77" spans="1:12">
      <c r="A77" s="134">
        <v>10</v>
      </c>
      <c r="B77" s="134" t="s">
        <v>642</v>
      </c>
      <c r="C77" s="134" t="s">
        <v>715</v>
      </c>
      <c r="D77" s="395">
        <v>188</v>
      </c>
      <c r="E77" s="134"/>
      <c r="F77" s="134" t="s">
        <v>679</v>
      </c>
      <c r="G77" s="134" t="s">
        <v>683</v>
      </c>
      <c r="H77" s="134"/>
      <c r="I77" s="134" t="s">
        <v>157</v>
      </c>
      <c r="J77" s="134">
        <v>76</v>
      </c>
      <c r="K77" s="134"/>
      <c r="L77" s="134"/>
    </row>
    <row r="78" spans="1:12">
      <c r="A78" s="134">
        <v>10</v>
      </c>
      <c r="B78" s="134" t="s">
        <v>643</v>
      </c>
      <c r="C78" s="134" t="s">
        <v>716</v>
      </c>
      <c r="D78" s="395">
        <v>250</v>
      </c>
      <c r="E78" s="134"/>
      <c r="F78" s="134" t="s">
        <v>679</v>
      </c>
      <c r="G78" s="134" t="s">
        <v>677</v>
      </c>
      <c r="H78" s="134"/>
      <c r="I78" s="134" t="s">
        <v>157</v>
      </c>
      <c r="J78" s="134">
        <v>77</v>
      </c>
      <c r="K78" s="134"/>
      <c r="L78" s="134"/>
    </row>
    <row r="79" spans="1:12">
      <c r="A79" s="134">
        <v>10</v>
      </c>
      <c r="B79" s="134" t="s">
        <v>644</v>
      </c>
      <c r="C79" s="134" t="s">
        <v>717</v>
      </c>
      <c r="D79" s="395">
        <v>295</v>
      </c>
      <c r="E79" s="134"/>
      <c r="F79" s="134" t="s">
        <v>679</v>
      </c>
      <c r="G79" s="134" t="s">
        <v>673</v>
      </c>
      <c r="H79" s="134"/>
      <c r="I79" s="134" t="s">
        <v>157</v>
      </c>
      <c r="J79" s="134">
        <v>78</v>
      </c>
      <c r="K79" s="134"/>
      <c r="L79" s="134"/>
    </row>
    <row r="80" spans="1:12">
      <c r="A80" s="134">
        <v>10</v>
      </c>
      <c r="B80" s="134" t="s">
        <v>645</v>
      </c>
      <c r="C80" s="134" t="s">
        <v>718</v>
      </c>
      <c r="D80" s="395">
        <v>465</v>
      </c>
      <c r="E80" s="134"/>
      <c r="F80" s="134" t="s">
        <v>679</v>
      </c>
      <c r="G80" s="134" t="s">
        <v>674</v>
      </c>
      <c r="H80" s="134"/>
      <c r="I80" s="134" t="s">
        <v>157</v>
      </c>
      <c r="J80" s="134">
        <v>79</v>
      </c>
      <c r="K80" s="134"/>
      <c r="L80" s="134"/>
    </row>
    <row r="81" spans="1:12">
      <c r="A81" s="134">
        <v>10</v>
      </c>
      <c r="B81" s="134" t="s">
        <v>646</v>
      </c>
      <c r="C81" s="134" t="s">
        <v>719</v>
      </c>
      <c r="D81" s="395">
        <v>1100</v>
      </c>
      <c r="E81" s="134"/>
      <c r="F81" s="134" t="s">
        <v>679</v>
      </c>
      <c r="G81" s="134" t="s">
        <v>675</v>
      </c>
      <c r="H81" s="134"/>
      <c r="I81" s="134" t="s">
        <v>157</v>
      </c>
      <c r="J81" s="134">
        <v>80</v>
      </c>
      <c r="K81" s="134"/>
      <c r="L81" s="134"/>
    </row>
    <row r="82" spans="1:12">
      <c r="A82" s="390"/>
      <c r="B82" s="134" t="s">
        <v>1395</v>
      </c>
      <c r="C82" s="134"/>
      <c r="D82" s="134" t="s">
        <v>689</v>
      </c>
      <c r="E82" s="134"/>
      <c r="F82" s="134"/>
      <c r="G82" s="134"/>
      <c r="H82" s="134"/>
      <c r="I82" s="134" t="s">
        <v>157</v>
      </c>
      <c r="J82" s="134">
        <v>81</v>
      </c>
      <c r="K82" s="134"/>
      <c r="L82" s="134"/>
    </row>
    <row r="83" spans="1:12">
      <c r="A83" s="134">
        <v>10</v>
      </c>
      <c r="B83" s="134" t="s">
        <v>647</v>
      </c>
      <c r="C83" s="134" t="s">
        <v>704</v>
      </c>
      <c r="D83" s="134">
        <v>50</v>
      </c>
      <c r="E83" s="134"/>
      <c r="F83" s="134" t="s">
        <v>684</v>
      </c>
      <c r="G83" s="134" t="s">
        <v>685</v>
      </c>
      <c r="H83" s="134"/>
      <c r="I83" s="134" t="s">
        <v>157</v>
      </c>
      <c r="J83" s="134">
        <v>82</v>
      </c>
      <c r="K83" s="134"/>
      <c r="L83" s="134"/>
    </row>
    <row r="84" spans="1:12">
      <c r="A84" s="134">
        <v>10</v>
      </c>
      <c r="B84" s="134" t="s">
        <v>648</v>
      </c>
      <c r="C84" s="134" t="s">
        <v>705</v>
      </c>
      <c r="D84" s="395">
        <v>74</v>
      </c>
      <c r="E84" s="134"/>
      <c r="F84" s="134" t="s">
        <v>684</v>
      </c>
      <c r="G84" s="134" t="s">
        <v>681</v>
      </c>
      <c r="H84" s="134"/>
      <c r="I84" s="134" t="s">
        <v>157</v>
      </c>
      <c r="J84" s="134">
        <v>83</v>
      </c>
      <c r="K84" s="134"/>
      <c r="L84" s="134"/>
    </row>
    <row r="85" spans="1:12">
      <c r="A85" s="134">
        <v>10</v>
      </c>
      <c r="B85" s="134" t="s">
        <v>649</v>
      </c>
      <c r="C85" s="134" t="s">
        <v>706</v>
      </c>
      <c r="D85" s="395">
        <v>93</v>
      </c>
      <c r="E85" s="134"/>
      <c r="F85" s="134" t="s">
        <v>684</v>
      </c>
      <c r="G85" s="134" t="s">
        <v>686</v>
      </c>
      <c r="H85" s="134"/>
      <c r="I85" s="134" t="s">
        <v>157</v>
      </c>
      <c r="J85" s="134">
        <v>84</v>
      </c>
      <c r="K85" s="134"/>
      <c r="L85" s="134"/>
    </row>
    <row r="86" spans="1:12">
      <c r="A86" s="134">
        <v>10</v>
      </c>
      <c r="B86" s="134" t="s">
        <v>650</v>
      </c>
      <c r="C86" s="134" t="s">
        <v>707</v>
      </c>
      <c r="D86" s="395">
        <v>125</v>
      </c>
      <c r="E86" s="134"/>
      <c r="F86" s="134" t="s">
        <v>684</v>
      </c>
      <c r="G86" s="134" t="s">
        <v>671</v>
      </c>
      <c r="H86" s="134"/>
      <c r="I86" s="134" t="s">
        <v>157</v>
      </c>
      <c r="J86" s="134">
        <v>85</v>
      </c>
      <c r="K86" s="134"/>
      <c r="L86" s="134"/>
    </row>
    <row r="87" spans="1:12">
      <c r="A87" s="134">
        <v>10</v>
      </c>
      <c r="B87" s="134" t="s">
        <v>651</v>
      </c>
      <c r="C87" s="134" t="s">
        <v>708</v>
      </c>
      <c r="D87" s="395">
        <v>205</v>
      </c>
      <c r="E87" s="134"/>
      <c r="F87" s="134" t="s">
        <v>684</v>
      </c>
      <c r="G87" s="134" t="s">
        <v>672</v>
      </c>
      <c r="H87" s="134"/>
      <c r="I87" s="134" t="s">
        <v>157</v>
      </c>
      <c r="J87" s="134">
        <v>86</v>
      </c>
      <c r="K87" s="134"/>
      <c r="L87" s="134"/>
    </row>
    <row r="88" spans="1:12">
      <c r="A88" s="134">
        <v>10</v>
      </c>
      <c r="B88" s="134" t="s">
        <v>652</v>
      </c>
      <c r="C88" s="134" t="s">
        <v>709</v>
      </c>
      <c r="D88" s="395">
        <v>290</v>
      </c>
      <c r="E88" s="134"/>
      <c r="F88" s="134" t="s">
        <v>684</v>
      </c>
      <c r="G88" s="134" t="s">
        <v>673</v>
      </c>
      <c r="H88" s="134"/>
      <c r="I88" s="134" t="s">
        <v>157</v>
      </c>
      <c r="J88" s="134">
        <v>87</v>
      </c>
      <c r="K88" s="134"/>
      <c r="L88" s="134"/>
    </row>
    <row r="89" spans="1:12">
      <c r="A89" s="134">
        <v>10</v>
      </c>
      <c r="B89" s="134" t="s">
        <v>653</v>
      </c>
      <c r="C89" s="134" t="s">
        <v>710</v>
      </c>
      <c r="D89" s="395">
        <v>455</v>
      </c>
      <c r="E89" s="134"/>
      <c r="F89" s="134" t="s">
        <v>684</v>
      </c>
      <c r="G89" s="134" t="s">
        <v>674</v>
      </c>
      <c r="H89" s="134"/>
      <c r="I89" s="134" t="s">
        <v>157</v>
      </c>
      <c r="J89" s="134">
        <v>88</v>
      </c>
      <c r="K89" s="134"/>
      <c r="L89" s="134"/>
    </row>
    <row r="90" spans="1:12">
      <c r="A90" s="390"/>
      <c r="B90" s="134" t="s">
        <v>1398</v>
      </c>
      <c r="C90" s="134"/>
      <c r="D90" s="134" t="s">
        <v>689</v>
      </c>
      <c r="E90" s="134"/>
      <c r="F90" s="134"/>
      <c r="G90" s="134"/>
      <c r="H90" s="134"/>
      <c r="I90" s="134"/>
      <c r="J90" s="134">
        <v>89</v>
      </c>
      <c r="K90" s="134"/>
      <c r="L90" s="134"/>
    </row>
    <row r="91" spans="1:12">
      <c r="A91" s="134">
        <v>10</v>
      </c>
      <c r="B91" s="134" t="s">
        <v>802</v>
      </c>
      <c r="C91" s="134"/>
      <c r="D91" s="134" t="str">
        <f>""</f>
        <v/>
      </c>
      <c r="E91" s="134"/>
      <c r="F91" s="134" t="s">
        <v>805</v>
      </c>
      <c r="G91" s="134"/>
      <c r="H91" s="134"/>
      <c r="I91" s="134" t="s">
        <v>157</v>
      </c>
      <c r="J91" s="134">
        <v>90</v>
      </c>
      <c r="K91" s="134"/>
      <c r="L91" s="134"/>
    </row>
    <row r="92" spans="1:12">
      <c r="A92" s="134">
        <v>10</v>
      </c>
      <c r="B92" s="134" t="s">
        <v>803</v>
      </c>
      <c r="C92" s="134"/>
      <c r="D92" s="134" t="str">
        <f>""</f>
        <v/>
      </c>
      <c r="E92" s="134"/>
      <c r="F92" s="134" t="s">
        <v>806</v>
      </c>
      <c r="G92" s="134"/>
      <c r="H92" s="134"/>
      <c r="I92" s="134" t="s">
        <v>157</v>
      </c>
      <c r="J92" s="134">
        <v>91</v>
      </c>
      <c r="K92" s="134"/>
      <c r="L92" s="134"/>
    </row>
    <row r="93" spans="1:12">
      <c r="A93" s="134">
        <v>10</v>
      </c>
      <c r="B93" s="134" t="s">
        <v>804</v>
      </c>
      <c r="C93" s="134"/>
      <c r="D93" s="134" t="str">
        <f>""</f>
        <v/>
      </c>
      <c r="E93" s="134"/>
      <c r="F93" s="134" t="s">
        <v>807</v>
      </c>
      <c r="G93" s="134"/>
      <c r="H93" s="134"/>
      <c r="I93" s="134" t="s">
        <v>157</v>
      </c>
      <c r="J93" s="134">
        <v>92</v>
      </c>
      <c r="K93" s="134"/>
      <c r="L93" s="134"/>
    </row>
    <row r="94" spans="1:12">
      <c r="A94" s="134">
        <v>10</v>
      </c>
      <c r="B94" s="134" t="s">
        <v>1496</v>
      </c>
      <c r="C94" s="134"/>
      <c r="D94" s="134" t="str">
        <f>""</f>
        <v/>
      </c>
      <c r="E94" s="134"/>
      <c r="F94" s="134" t="s">
        <v>818</v>
      </c>
      <c r="G94" s="134" t="s">
        <v>1498</v>
      </c>
      <c r="H94" s="134"/>
      <c r="I94" s="134" t="s">
        <v>157</v>
      </c>
      <c r="J94" s="134">
        <v>93</v>
      </c>
      <c r="K94" s="134"/>
      <c r="L94" s="134"/>
    </row>
    <row r="95" spans="1:12">
      <c r="A95" s="134">
        <v>10</v>
      </c>
      <c r="B95" s="134" t="s">
        <v>1497</v>
      </c>
      <c r="C95" s="134"/>
      <c r="D95" s="134" t="str">
        <f>""</f>
        <v/>
      </c>
      <c r="E95" s="134"/>
      <c r="F95" s="134" t="s">
        <v>818</v>
      </c>
      <c r="G95" s="134" t="s">
        <v>1499</v>
      </c>
      <c r="H95" s="134"/>
      <c r="I95" s="134" t="s">
        <v>157</v>
      </c>
      <c r="J95" s="134">
        <v>94</v>
      </c>
      <c r="K95" s="447"/>
      <c r="L95" s="447"/>
    </row>
  </sheetData>
  <sheetProtection algorithmName="SHA-512" hashValue="dquLfVBKq9kIv9EfkGhI+oMr+NNGS1mmVjcQ2gk7xB7L+rqKxSXcHj8S3ftMg4uE4caRxWnfq4CxNQJ+UvBv0w==" saltValue="WlZBdp1oKKrWbjMQvhi0Vg==" spinCount="100000" sheet="1" objects="1" scenarios="1"/>
  <pageMargins left="0.7" right="0.7" top="0.75" bottom="0.75" header="0.3" footer="0.3"/>
  <pageSetup orientation="portrait" r:id="rId1"/>
  <tableParts count="3">
    <tablePart r:id="rId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rgb="FFC00000"/>
  </sheetPr>
  <dimension ref="A1:S48"/>
  <sheetViews>
    <sheetView zoomScale="85" zoomScaleNormal="85" workbookViewId="0">
      <selection activeCell="C34" sqref="C34"/>
    </sheetView>
  </sheetViews>
  <sheetFormatPr defaultRowHeight="15"/>
  <cols>
    <col min="1" max="1" width="18" bestFit="1" customWidth="1"/>
    <col min="2" max="2" width="11.28515625" bestFit="1" customWidth="1"/>
    <col min="3" max="3" width="7.85546875" bestFit="1" customWidth="1"/>
    <col min="5" max="5" width="15" bestFit="1" customWidth="1"/>
    <col min="6" max="6" width="24.28515625" bestFit="1" customWidth="1"/>
    <col min="7" max="7" width="34.85546875" bestFit="1" customWidth="1"/>
    <col min="8" max="8" width="19" bestFit="1" customWidth="1"/>
    <col min="10" max="10" width="7" bestFit="1" customWidth="1"/>
    <col min="12" max="12" width="18" bestFit="1" customWidth="1"/>
    <col min="13" max="13" width="27.140625" bestFit="1" customWidth="1"/>
  </cols>
  <sheetData>
    <row r="1" spans="1:19">
      <c r="A1" s="84" t="s">
        <v>0</v>
      </c>
      <c r="B1" s="84"/>
      <c r="C1" s="84"/>
      <c r="D1" s="25"/>
      <c r="E1" s="25" t="s">
        <v>0</v>
      </c>
      <c r="F1" s="25" t="s">
        <v>228</v>
      </c>
      <c r="G1" s="25" t="s">
        <v>229</v>
      </c>
      <c r="H1" s="25" t="s">
        <v>141</v>
      </c>
      <c r="I1" s="25" t="s">
        <v>146</v>
      </c>
      <c r="J1" s="25" t="s">
        <v>149</v>
      </c>
      <c r="K1" s="25" t="s">
        <v>1225</v>
      </c>
      <c r="L1" s="25"/>
      <c r="M1" s="25" t="s">
        <v>0</v>
      </c>
      <c r="N1" s="25" t="s">
        <v>228</v>
      </c>
      <c r="O1" s="25" t="s">
        <v>229</v>
      </c>
      <c r="P1" s="25" t="s">
        <v>141</v>
      </c>
      <c r="Q1" s="25" t="s">
        <v>146</v>
      </c>
      <c r="R1" s="25" t="s">
        <v>149</v>
      </c>
      <c r="S1" s="83"/>
    </row>
    <row r="2" spans="1:19">
      <c r="A2" s="175" t="s">
        <v>231</v>
      </c>
      <c r="B2" s="175"/>
      <c r="C2" s="175"/>
      <c r="D2" s="25"/>
      <c r="E2" s="175" t="s">
        <v>231</v>
      </c>
      <c r="F2" s="175" t="s">
        <v>164</v>
      </c>
      <c r="G2" s="175" t="s">
        <v>164</v>
      </c>
      <c r="H2" s="175">
        <v>110002</v>
      </c>
      <c r="I2" s="175" t="s">
        <v>958</v>
      </c>
      <c r="J2" s="175">
        <v>15</v>
      </c>
      <c r="K2" s="221">
        <v>0.38</v>
      </c>
      <c r="L2" s="25"/>
      <c r="M2" s="175" t="s">
        <v>231</v>
      </c>
      <c r="N2" s="175" t="s">
        <v>1187</v>
      </c>
      <c r="O2" s="175"/>
      <c r="P2" s="175">
        <v>120003</v>
      </c>
      <c r="Q2" s="175" t="s">
        <v>1116</v>
      </c>
      <c r="R2" s="175">
        <v>15</v>
      </c>
      <c r="S2" s="83"/>
    </row>
    <row r="3" spans="1:19">
      <c r="A3" s="175" t="s">
        <v>195</v>
      </c>
      <c r="B3" s="175"/>
      <c r="C3" s="175"/>
      <c r="D3" s="25"/>
      <c r="E3" s="175" t="s">
        <v>231</v>
      </c>
      <c r="F3" s="175" t="s">
        <v>1187</v>
      </c>
      <c r="G3" s="175" t="s">
        <v>1187</v>
      </c>
      <c r="H3" s="175">
        <v>110003</v>
      </c>
      <c r="I3" s="175" t="s">
        <v>1116</v>
      </c>
      <c r="J3" s="175">
        <v>15</v>
      </c>
      <c r="K3" s="221">
        <v>0.74</v>
      </c>
      <c r="L3" s="25"/>
      <c r="M3" s="175" t="s">
        <v>231</v>
      </c>
      <c r="N3" s="175" t="s">
        <v>230</v>
      </c>
      <c r="O3" s="175"/>
      <c r="P3" s="175">
        <v>120006</v>
      </c>
      <c r="Q3" s="175" t="s">
        <v>1075</v>
      </c>
      <c r="R3" s="175">
        <v>15</v>
      </c>
      <c r="S3" s="83"/>
    </row>
    <row r="4" spans="1:19">
      <c r="A4" s="175" t="s">
        <v>222</v>
      </c>
      <c r="B4" s="175"/>
      <c r="C4" s="175"/>
      <c r="D4" s="25"/>
      <c r="E4" s="175" t="s">
        <v>231</v>
      </c>
      <c r="F4" s="175" t="s">
        <v>160</v>
      </c>
      <c r="G4" s="175" t="s">
        <v>160</v>
      </c>
      <c r="H4" s="175">
        <v>110004</v>
      </c>
      <c r="I4" s="175" t="s">
        <v>1494</v>
      </c>
      <c r="J4" s="175">
        <v>15</v>
      </c>
      <c r="K4" s="221">
        <v>0.74</v>
      </c>
      <c r="L4" s="25"/>
      <c r="M4" s="175" t="s">
        <v>231</v>
      </c>
      <c r="N4" s="175" t="s">
        <v>1184</v>
      </c>
      <c r="O4" s="175"/>
      <c r="P4" s="175">
        <v>120016</v>
      </c>
      <c r="Q4" s="175" t="s">
        <v>1086</v>
      </c>
      <c r="R4" s="175">
        <v>20</v>
      </c>
      <c r="S4" s="83"/>
    </row>
    <row r="5" spans="1:19">
      <c r="A5" s="175"/>
      <c r="B5" s="175"/>
      <c r="C5" s="175"/>
      <c r="D5" s="25"/>
      <c r="E5" s="175" t="s">
        <v>231</v>
      </c>
      <c r="F5" s="175" t="s">
        <v>1167</v>
      </c>
      <c r="G5" s="175" t="s">
        <v>1167</v>
      </c>
      <c r="H5" s="175">
        <v>110005</v>
      </c>
      <c r="I5" s="175" t="s">
        <v>958</v>
      </c>
      <c r="J5" s="175">
        <v>15</v>
      </c>
      <c r="K5" s="221">
        <v>0.78</v>
      </c>
      <c r="L5" s="25"/>
      <c r="M5" s="175" t="s">
        <v>231</v>
      </c>
      <c r="N5" s="175" t="s">
        <v>1185</v>
      </c>
      <c r="O5" s="175"/>
      <c r="P5" s="175">
        <v>120017</v>
      </c>
      <c r="Q5" s="175" t="s">
        <v>1086</v>
      </c>
      <c r="R5" s="175">
        <v>15</v>
      </c>
      <c r="S5" s="83"/>
    </row>
    <row r="6" spans="1:19">
      <c r="A6" s="25"/>
      <c r="B6" s="25"/>
      <c r="C6" s="25"/>
      <c r="D6" s="25"/>
      <c r="E6" s="175" t="s">
        <v>231</v>
      </c>
      <c r="F6" s="175" t="s">
        <v>230</v>
      </c>
      <c r="G6" s="175" t="s">
        <v>230</v>
      </c>
      <c r="H6" s="175">
        <v>110006</v>
      </c>
      <c r="I6" s="175" t="s">
        <v>892</v>
      </c>
      <c r="J6" s="175">
        <v>15</v>
      </c>
      <c r="K6" s="221">
        <v>0.75</v>
      </c>
      <c r="L6" s="25"/>
      <c r="M6" s="175" t="s">
        <v>231</v>
      </c>
      <c r="N6" s="175" t="s">
        <v>1282</v>
      </c>
      <c r="O6" s="175"/>
      <c r="P6" s="175">
        <v>120021</v>
      </c>
      <c r="Q6" s="175" t="s">
        <v>1021</v>
      </c>
      <c r="R6" s="175">
        <v>10</v>
      </c>
      <c r="S6" s="83"/>
    </row>
    <row r="7" spans="1:19">
      <c r="A7" s="25"/>
      <c r="B7" s="25"/>
      <c r="C7" s="25"/>
      <c r="D7" s="25"/>
      <c r="E7" s="175" t="s">
        <v>231</v>
      </c>
      <c r="F7" s="175" t="s">
        <v>162</v>
      </c>
      <c r="G7" s="175" t="s">
        <v>162</v>
      </c>
      <c r="H7" s="175">
        <v>110007</v>
      </c>
      <c r="I7" s="175" t="s">
        <v>892</v>
      </c>
      <c r="J7" s="175">
        <v>15</v>
      </c>
      <c r="K7" s="221">
        <v>0.92</v>
      </c>
      <c r="L7" s="25"/>
      <c r="M7" s="175" t="s">
        <v>231</v>
      </c>
      <c r="N7" s="175" t="s">
        <v>232</v>
      </c>
      <c r="O7" s="175"/>
      <c r="P7" s="175">
        <v>120018</v>
      </c>
      <c r="Q7" s="175" t="s">
        <v>1085</v>
      </c>
      <c r="R7" s="175">
        <v>15</v>
      </c>
      <c r="S7" s="83"/>
    </row>
    <row r="8" spans="1:19">
      <c r="A8" s="25"/>
      <c r="B8" s="25"/>
      <c r="C8" s="25"/>
      <c r="D8" s="25"/>
      <c r="E8" s="175" t="s">
        <v>231</v>
      </c>
      <c r="F8" s="175" t="s">
        <v>1188</v>
      </c>
      <c r="G8" s="175" t="s">
        <v>1188</v>
      </c>
      <c r="H8" s="175">
        <v>110008</v>
      </c>
      <c r="I8" s="175" t="s">
        <v>958</v>
      </c>
      <c r="J8" s="175">
        <v>15</v>
      </c>
      <c r="K8" s="221">
        <v>0.78</v>
      </c>
      <c r="L8" s="25"/>
      <c r="M8" s="175" t="s">
        <v>231</v>
      </c>
      <c r="N8" s="175" t="s">
        <v>1186</v>
      </c>
      <c r="O8" s="175"/>
      <c r="P8" s="175">
        <v>120019</v>
      </c>
      <c r="Q8" s="175" t="s">
        <v>1116</v>
      </c>
      <c r="R8" s="175">
        <v>15</v>
      </c>
      <c r="S8" s="83"/>
    </row>
    <row r="9" spans="1:19">
      <c r="A9" s="83" t="s">
        <v>221</v>
      </c>
      <c r="B9" s="83" t="s">
        <v>154</v>
      </c>
      <c r="C9" s="83" t="s">
        <v>166</v>
      </c>
      <c r="D9" s="25"/>
      <c r="E9" s="175" t="s">
        <v>231</v>
      </c>
      <c r="F9" s="175" t="s">
        <v>1226</v>
      </c>
      <c r="G9" s="175" t="s">
        <v>1226</v>
      </c>
      <c r="H9" s="175">
        <v>110001</v>
      </c>
      <c r="I9" s="175" t="s">
        <v>892</v>
      </c>
      <c r="J9" s="175">
        <v>15</v>
      </c>
      <c r="K9" s="221">
        <v>0.65</v>
      </c>
      <c r="L9" s="25"/>
      <c r="M9" s="175" t="s">
        <v>231</v>
      </c>
      <c r="N9" s="175" t="s">
        <v>1019</v>
      </c>
      <c r="O9" s="175"/>
      <c r="P9" s="175">
        <v>120020</v>
      </c>
      <c r="Q9" s="175" t="s">
        <v>1495</v>
      </c>
      <c r="R9" s="175">
        <v>15</v>
      </c>
      <c r="S9" s="83"/>
    </row>
    <row r="10" spans="1:19">
      <c r="A10" s="178" t="s">
        <v>223</v>
      </c>
      <c r="B10" s="178">
        <v>0.1</v>
      </c>
      <c r="C10" s="178" t="s">
        <v>165</v>
      </c>
      <c r="D10" s="25"/>
      <c r="E10" s="175" t="s">
        <v>195</v>
      </c>
      <c r="F10" s="175" t="s">
        <v>1168</v>
      </c>
      <c r="G10" s="175" t="s">
        <v>1168</v>
      </c>
      <c r="H10" s="175">
        <v>710011</v>
      </c>
      <c r="I10" s="175" t="s">
        <v>892</v>
      </c>
      <c r="J10" s="175">
        <v>15</v>
      </c>
      <c r="K10" s="221">
        <v>0.65</v>
      </c>
      <c r="L10" s="25"/>
      <c r="M10" s="175" t="s">
        <v>231</v>
      </c>
      <c r="N10" s="175" t="s">
        <v>163</v>
      </c>
      <c r="O10" s="175"/>
      <c r="P10" s="175">
        <v>120001</v>
      </c>
      <c r="Q10" s="175" t="s">
        <v>892</v>
      </c>
      <c r="R10" s="175">
        <v>15</v>
      </c>
      <c r="S10" s="83"/>
    </row>
    <row r="11" spans="1:19">
      <c r="A11" s="178" t="s">
        <v>224</v>
      </c>
      <c r="B11" s="178">
        <v>0.12</v>
      </c>
      <c r="C11" s="178">
        <v>1</v>
      </c>
      <c r="D11" s="25"/>
      <c r="E11" s="175" t="s">
        <v>195</v>
      </c>
      <c r="F11" s="175" t="s">
        <v>1190</v>
      </c>
      <c r="G11" s="175" t="s">
        <v>1190</v>
      </c>
      <c r="H11" s="175">
        <v>710002</v>
      </c>
      <c r="I11" s="175" t="s">
        <v>958</v>
      </c>
      <c r="J11" s="175">
        <v>15</v>
      </c>
      <c r="K11" s="221">
        <v>0.8</v>
      </c>
      <c r="L11" s="25"/>
      <c r="M11" s="175" t="s">
        <v>195</v>
      </c>
      <c r="N11" s="175" t="s">
        <v>1168</v>
      </c>
      <c r="O11" s="175"/>
      <c r="P11" s="175">
        <v>720010</v>
      </c>
      <c r="Q11" s="175" t="s">
        <v>892</v>
      </c>
      <c r="R11" s="175">
        <v>15</v>
      </c>
      <c r="S11" s="83"/>
    </row>
    <row r="12" spans="1:19">
      <c r="A12" s="178" t="s">
        <v>225</v>
      </c>
      <c r="B12" s="178">
        <v>0.1</v>
      </c>
      <c r="C12" s="178" t="s">
        <v>165</v>
      </c>
      <c r="D12" s="25"/>
      <c r="E12" s="175" t="s">
        <v>195</v>
      </c>
      <c r="F12" s="175" t="s">
        <v>1194</v>
      </c>
      <c r="G12" s="175" t="s">
        <v>1194</v>
      </c>
      <c r="H12" s="175">
        <v>710003</v>
      </c>
      <c r="I12" s="175" t="s">
        <v>1116</v>
      </c>
      <c r="J12" s="175">
        <v>15</v>
      </c>
      <c r="K12" s="221">
        <v>0.74</v>
      </c>
      <c r="L12" s="25"/>
      <c r="M12" s="175" t="s">
        <v>195</v>
      </c>
      <c r="N12" s="175" t="s">
        <v>1194</v>
      </c>
      <c r="O12" s="175"/>
      <c r="P12" s="175">
        <v>720003</v>
      </c>
      <c r="Q12" s="175" t="s">
        <v>1116</v>
      </c>
      <c r="R12" s="175">
        <v>15</v>
      </c>
      <c r="S12" s="83"/>
    </row>
    <row r="13" spans="1:19">
      <c r="A13" s="178" t="s">
        <v>227</v>
      </c>
      <c r="B13" s="178">
        <v>0.12</v>
      </c>
      <c r="C13" s="178">
        <v>1</v>
      </c>
      <c r="D13" s="25"/>
      <c r="E13" s="175" t="s">
        <v>195</v>
      </c>
      <c r="F13" s="175" t="s">
        <v>1169</v>
      </c>
      <c r="G13" s="175" t="s">
        <v>1169</v>
      </c>
      <c r="H13" s="175">
        <v>710004</v>
      </c>
      <c r="I13" s="175" t="s">
        <v>892</v>
      </c>
      <c r="J13" s="175">
        <v>15</v>
      </c>
      <c r="K13" s="221">
        <v>0.74</v>
      </c>
      <c r="L13" s="25"/>
      <c r="M13" s="175" t="s">
        <v>195</v>
      </c>
      <c r="N13" s="175" t="s">
        <v>1173</v>
      </c>
      <c r="O13" s="175"/>
      <c r="P13" s="175">
        <v>720006</v>
      </c>
      <c r="Q13" s="175" t="s">
        <v>892</v>
      </c>
      <c r="R13" s="175">
        <v>15</v>
      </c>
      <c r="S13" s="83"/>
    </row>
    <row r="14" spans="1:19" ht="13.5" customHeight="1">
      <c r="A14" s="178" t="s">
        <v>226</v>
      </c>
      <c r="B14" s="178">
        <v>0.12</v>
      </c>
      <c r="C14" s="178">
        <v>1</v>
      </c>
      <c r="D14" s="25"/>
      <c r="E14" s="175" t="s">
        <v>195</v>
      </c>
      <c r="F14" s="175" t="s">
        <v>1171</v>
      </c>
      <c r="G14" s="175" t="s">
        <v>1171</v>
      </c>
      <c r="H14" s="175">
        <v>710005</v>
      </c>
      <c r="I14" s="175" t="s">
        <v>958</v>
      </c>
      <c r="J14" s="175">
        <v>15</v>
      </c>
      <c r="K14" s="221">
        <v>0.78</v>
      </c>
      <c r="L14" s="25"/>
      <c r="M14" s="175" t="s">
        <v>195</v>
      </c>
      <c r="N14" s="175" t="s">
        <v>1369</v>
      </c>
      <c r="O14" s="175"/>
      <c r="P14" s="175">
        <v>720016</v>
      </c>
      <c r="Q14" s="175" t="s">
        <v>1086</v>
      </c>
      <c r="R14" s="175">
        <v>20</v>
      </c>
      <c r="S14" s="83"/>
    </row>
    <row r="15" spans="1:19">
      <c r="A15" s="178" t="s">
        <v>2113</v>
      </c>
      <c r="B15" s="568">
        <v>0.01</v>
      </c>
      <c r="C15" s="178" t="s">
        <v>165</v>
      </c>
      <c r="D15" s="25"/>
      <c r="E15" s="175" t="s">
        <v>195</v>
      </c>
      <c r="F15" s="175" t="s">
        <v>1173</v>
      </c>
      <c r="G15" s="175" t="s">
        <v>1173</v>
      </c>
      <c r="H15" s="175">
        <v>710006</v>
      </c>
      <c r="I15" s="175" t="s">
        <v>892</v>
      </c>
      <c r="J15" s="175">
        <v>15</v>
      </c>
      <c r="K15" s="221">
        <v>0.75</v>
      </c>
      <c r="L15" s="25"/>
      <c r="M15" s="175" t="s">
        <v>195</v>
      </c>
      <c r="N15" s="175" t="s">
        <v>1370</v>
      </c>
      <c r="O15" s="175"/>
      <c r="P15" s="175">
        <v>720017</v>
      </c>
      <c r="Q15" s="175" t="s">
        <v>1086</v>
      </c>
      <c r="R15" s="175">
        <v>15</v>
      </c>
      <c r="S15" s="83"/>
    </row>
    <row r="16" spans="1:19">
      <c r="A16" s="25"/>
      <c r="B16" s="25"/>
      <c r="C16" s="25"/>
      <c r="D16" s="25"/>
      <c r="E16" s="175" t="s">
        <v>195</v>
      </c>
      <c r="F16" s="175" t="s">
        <v>1170</v>
      </c>
      <c r="G16" s="175" t="s">
        <v>1170</v>
      </c>
      <c r="H16" s="175">
        <v>710007</v>
      </c>
      <c r="I16" s="175" t="s">
        <v>892</v>
      </c>
      <c r="J16" s="175">
        <v>15</v>
      </c>
      <c r="K16" s="221">
        <v>0.92</v>
      </c>
      <c r="L16" s="25"/>
      <c r="M16" s="175" t="s">
        <v>195</v>
      </c>
      <c r="N16" s="175" t="s">
        <v>1371</v>
      </c>
      <c r="O16" s="175"/>
      <c r="P16" s="175">
        <v>720018</v>
      </c>
      <c r="Q16" s="175" t="s">
        <v>1086</v>
      </c>
      <c r="R16" s="175">
        <v>15</v>
      </c>
      <c r="S16" s="83"/>
    </row>
    <row r="17" spans="1:19">
      <c r="A17" s="25"/>
      <c r="B17" s="25"/>
      <c r="C17" s="25"/>
      <c r="D17" s="25"/>
      <c r="E17" s="175" t="s">
        <v>195</v>
      </c>
      <c r="F17" s="175" t="s">
        <v>1191</v>
      </c>
      <c r="G17" s="175" t="s">
        <v>1191</v>
      </c>
      <c r="H17" s="175">
        <v>710008</v>
      </c>
      <c r="I17" s="175" t="s">
        <v>958</v>
      </c>
      <c r="J17" s="175">
        <v>15</v>
      </c>
      <c r="K17" s="221">
        <v>0.78</v>
      </c>
      <c r="L17" s="25"/>
      <c r="M17" s="175" t="s">
        <v>195</v>
      </c>
      <c r="N17" s="175" t="s">
        <v>1193</v>
      </c>
      <c r="O17" s="175"/>
      <c r="P17" s="175">
        <v>720001</v>
      </c>
      <c r="Q17" s="175" t="s">
        <v>892</v>
      </c>
      <c r="R17" s="175">
        <v>15</v>
      </c>
      <c r="S17" s="83"/>
    </row>
    <row r="18" spans="1:19">
      <c r="A18" s="25"/>
      <c r="B18" s="25"/>
      <c r="C18" s="25"/>
      <c r="D18" s="25"/>
      <c r="E18" s="175" t="s">
        <v>195</v>
      </c>
      <c r="F18" s="175" t="s">
        <v>1172</v>
      </c>
      <c r="G18" s="175" t="s">
        <v>1172</v>
      </c>
      <c r="H18" s="175">
        <v>710010</v>
      </c>
      <c r="I18" s="175" t="s">
        <v>892</v>
      </c>
      <c r="J18" s="175">
        <v>15</v>
      </c>
      <c r="K18" s="221">
        <v>0.74</v>
      </c>
      <c r="L18" s="25"/>
      <c r="M18" s="175" t="s">
        <v>222</v>
      </c>
      <c r="N18" s="175" t="s">
        <v>1355</v>
      </c>
      <c r="O18" s="175"/>
      <c r="P18" s="175">
        <v>320003</v>
      </c>
      <c r="Q18" s="175" t="s">
        <v>892</v>
      </c>
      <c r="R18" s="175">
        <v>8</v>
      </c>
      <c r="S18" s="83"/>
    </row>
    <row r="19" spans="1:19">
      <c r="A19" s="25"/>
      <c r="B19" s="25"/>
      <c r="C19" s="25"/>
      <c r="D19" s="25"/>
      <c r="E19" s="175" t="s">
        <v>195</v>
      </c>
      <c r="F19" s="175" t="s">
        <v>1193</v>
      </c>
      <c r="G19" s="175" t="s">
        <v>1193</v>
      </c>
      <c r="H19" s="175">
        <v>710001</v>
      </c>
      <c r="I19" s="175" t="s">
        <v>892</v>
      </c>
      <c r="J19" s="175">
        <v>15</v>
      </c>
      <c r="K19" s="221">
        <v>0.65</v>
      </c>
      <c r="L19" s="25"/>
      <c r="M19" s="175" t="s">
        <v>222</v>
      </c>
      <c r="N19" s="175" t="s">
        <v>1372</v>
      </c>
      <c r="O19" s="175"/>
      <c r="P19" s="175">
        <v>320016</v>
      </c>
      <c r="Q19" s="175" t="s">
        <v>892</v>
      </c>
      <c r="R19" s="175">
        <v>8</v>
      </c>
      <c r="S19" s="83"/>
    </row>
    <row r="20" spans="1:19">
      <c r="A20" s="25"/>
      <c r="B20" s="25"/>
      <c r="C20" s="25"/>
      <c r="D20" s="85"/>
      <c r="E20" s="176" t="s">
        <v>222</v>
      </c>
      <c r="F20" s="177" t="s">
        <v>1174</v>
      </c>
      <c r="G20" s="177" t="s">
        <v>1175</v>
      </c>
      <c r="H20" s="175">
        <v>310013</v>
      </c>
      <c r="I20" s="175" t="s">
        <v>892</v>
      </c>
      <c r="J20" s="175">
        <v>8</v>
      </c>
      <c r="K20" s="221">
        <v>0.15</v>
      </c>
      <c r="L20" s="25"/>
      <c r="M20" s="175" t="s">
        <v>222</v>
      </c>
      <c r="N20" s="175" t="s">
        <v>1373</v>
      </c>
      <c r="O20" s="175"/>
      <c r="P20" s="175">
        <v>320017</v>
      </c>
      <c r="Q20" s="175" t="s">
        <v>892</v>
      </c>
      <c r="R20" s="175">
        <v>8</v>
      </c>
      <c r="S20" s="83"/>
    </row>
    <row r="21" spans="1:19">
      <c r="A21" s="25"/>
      <c r="B21" s="25"/>
      <c r="C21" s="25"/>
      <c r="D21" s="25"/>
      <c r="E21" s="175" t="s">
        <v>222</v>
      </c>
      <c r="F21" s="175" t="s">
        <v>1353</v>
      </c>
      <c r="G21" s="175" t="s">
        <v>1176</v>
      </c>
      <c r="H21" s="175">
        <v>310015</v>
      </c>
      <c r="I21" s="175" t="s">
        <v>892</v>
      </c>
      <c r="J21" s="175">
        <v>8</v>
      </c>
      <c r="K21" s="221">
        <v>0.8</v>
      </c>
      <c r="L21" s="25"/>
      <c r="M21" s="175" t="s">
        <v>222</v>
      </c>
      <c r="N21" s="175" t="s">
        <v>1361</v>
      </c>
      <c r="O21" s="175"/>
      <c r="P21" s="175">
        <v>320001</v>
      </c>
      <c r="Q21" s="175" t="s">
        <v>892</v>
      </c>
      <c r="R21" s="175">
        <v>8</v>
      </c>
      <c r="S21" s="83"/>
    </row>
    <row r="22" spans="1:19">
      <c r="A22" s="25"/>
      <c r="B22" s="25"/>
      <c r="C22" s="25"/>
      <c r="D22" s="25"/>
      <c r="E22" s="175" t="s">
        <v>222</v>
      </c>
      <c r="F22" s="175" t="s">
        <v>1354</v>
      </c>
      <c r="G22" s="175" t="s">
        <v>1180</v>
      </c>
      <c r="H22" s="175">
        <v>310002</v>
      </c>
      <c r="I22" s="175" t="s">
        <v>892</v>
      </c>
      <c r="J22" s="175">
        <v>8</v>
      </c>
      <c r="K22" s="221">
        <v>0.8</v>
      </c>
      <c r="L22" s="25"/>
      <c r="M22" s="25"/>
      <c r="N22" s="25"/>
      <c r="O22" s="25"/>
      <c r="P22" s="25"/>
      <c r="Q22" s="25"/>
      <c r="R22" s="83"/>
    </row>
    <row r="23" spans="1:19">
      <c r="A23" s="25"/>
      <c r="B23" s="25"/>
      <c r="C23" s="25"/>
      <c r="D23" s="25"/>
      <c r="E23" s="175" t="s">
        <v>222</v>
      </c>
      <c r="F23" s="175" t="s">
        <v>1355</v>
      </c>
      <c r="G23" s="175" t="s">
        <v>1181</v>
      </c>
      <c r="H23" s="179">
        <v>310003</v>
      </c>
      <c r="I23" s="175" t="s">
        <v>892</v>
      </c>
      <c r="J23" s="175">
        <v>8</v>
      </c>
      <c r="K23" s="221">
        <v>0.74</v>
      </c>
      <c r="L23" s="25"/>
      <c r="M23" s="25"/>
      <c r="N23" s="25"/>
      <c r="O23" s="25"/>
      <c r="P23" s="25"/>
      <c r="Q23" s="25"/>
      <c r="R23" s="83"/>
    </row>
    <row r="24" spans="1:19">
      <c r="A24" s="25"/>
      <c r="B24" s="25"/>
      <c r="C24" s="25"/>
      <c r="D24" s="25"/>
      <c r="E24" s="176" t="s">
        <v>222</v>
      </c>
      <c r="F24" s="177" t="s">
        <v>1356</v>
      </c>
      <c r="G24" s="177" t="s">
        <v>1177</v>
      </c>
      <c r="H24" s="175">
        <v>310004</v>
      </c>
      <c r="I24" s="175" t="s">
        <v>892</v>
      </c>
      <c r="J24" s="175">
        <v>8</v>
      </c>
      <c r="K24" s="221">
        <v>0.74</v>
      </c>
      <c r="L24" s="25"/>
      <c r="M24" s="25"/>
      <c r="N24" s="25"/>
      <c r="O24" s="25"/>
      <c r="P24" s="25"/>
      <c r="Q24" s="25"/>
      <c r="R24" s="83"/>
    </row>
    <row r="25" spans="1:19">
      <c r="A25" s="25"/>
      <c r="B25" s="25"/>
      <c r="C25" s="25"/>
      <c r="D25" s="25"/>
      <c r="E25" s="175" t="s">
        <v>222</v>
      </c>
      <c r="F25" s="175" t="s">
        <v>1357</v>
      </c>
      <c r="G25" s="175" t="s">
        <v>1179</v>
      </c>
      <c r="H25" s="179">
        <v>310005</v>
      </c>
      <c r="I25" s="175" t="s">
        <v>892</v>
      </c>
      <c r="J25" s="175">
        <v>8</v>
      </c>
      <c r="K25" s="221">
        <v>0.78</v>
      </c>
      <c r="L25" s="25"/>
      <c r="M25" s="25"/>
      <c r="N25" s="25"/>
      <c r="O25" s="25"/>
      <c r="P25" s="25"/>
      <c r="Q25" s="25"/>
      <c r="R25" s="83"/>
    </row>
    <row r="26" spans="1:19">
      <c r="A26" s="25"/>
      <c r="B26" s="25"/>
      <c r="C26" s="25"/>
      <c r="D26" s="25"/>
      <c r="E26" s="175" t="s">
        <v>222</v>
      </c>
      <c r="F26" s="175" t="s">
        <v>1358</v>
      </c>
      <c r="G26" s="175" t="s">
        <v>1182</v>
      </c>
      <c r="H26" s="175">
        <v>310006</v>
      </c>
      <c r="I26" s="175" t="s">
        <v>892</v>
      </c>
      <c r="J26" s="175">
        <v>8</v>
      </c>
      <c r="K26" s="221">
        <v>0.75</v>
      </c>
      <c r="L26" s="25"/>
      <c r="M26" s="25"/>
      <c r="N26" s="25"/>
      <c r="O26" s="25"/>
      <c r="P26" s="25"/>
      <c r="Q26" s="25"/>
      <c r="R26" s="83"/>
    </row>
    <row r="27" spans="1:19">
      <c r="A27" s="25"/>
      <c r="B27" s="25"/>
      <c r="C27" s="25"/>
      <c r="D27" s="25"/>
      <c r="E27" s="175" t="s">
        <v>222</v>
      </c>
      <c r="F27" s="175" t="s">
        <v>1359</v>
      </c>
      <c r="G27" s="175" t="s">
        <v>1178</v>
      </c>
      <c r="H27" s="179">
        <v>310007</v>
      </c>
      <c r="I27" s="175" t="s">
        <v>892</v>
      </c>
      <c r="J27" s="175">
        <v>8</v>
      </c>
      <c r="K27" s="221">
        <v>0.92</v>
      </c>
      <c r="L27" s="25"/>
      <c r="M27" s="25"/>
      <c r="N27" s="25"/>
      <c r="O27" s="25"/>
      <c r="P27" s="25"/>
      <c r="Q27" s="25"/>
      <c r="R27" s="83"/>
    </row>
    <row r="28" spans="1:19">
      <c r="A28" s="25"/>
      <c r="B28" s="25"/>
      <c r="C28" s="25"/>
      <c r="D28" s="25"/>
      <c r="E28" s="175" t="s">
        <v>222</v>
      </c>
      <c r="F28" s="175" t="s">
        <v>1360</v>
      </c>
      <c r="G28" s="175" t="s">
        <v>1192</v>
      </c>
      <c r="H28" s="175">
        <v>310008</v>
      </c>
      <c r="I28" s="175" t="s">
        <v>892</v>
      </c>
      <c r="J28" s="175">
        <v>8</v>
      </c>
      <c r="K28" s="221">
        <v>0.78</v>
      </c>
      <c r="L28" s="25"/>
      <c r="M28" s="25"/>
      <c r="N28" s="25"/>
      <c r="O28" s="25"/>
      <c r="P28" s="25"/>
      <c r="Q28" s="25"/>
      <c r="R28" s="83"/>
    </row>
    <row r="29" spans="1:19">
      <c r="A29" s="25"/>
      <c r="B29" s="25"/>
      <c r="C29" s="25"/>
      <c r="D29" s="25"/>
      <c r="E29" s="175" t="s">
        <v>222</v>
      </c>
      <c r="F29" s="175" t="s">
        <v>1361</v>
      </c>
      <c r="G29" s="175" t="s">
        <v>1183</v>
      </c>
      <c r="H29" s="179">
        <v>310001</v>
      </c>
      <c r="I29" s="175" t="s">
        <v>892</v>
      </c>
      <c r="J29" s="175">
        <v>8</v>
      </c>
      <c r="K29" s="221">
        <v>0.65</v>
      </c>
      <c r="L29" s="25"/>
      <c r="M29" s="25"/>
      <c r="N29" s="25"/>
      <c r="O29" s="25"/>
      <c r="P29" s="25"/>
      <c r="Q29" s="25"/>
      <c r="R29" s="83"/>
    </row>
    <row r="30" spans="1:19">
      <c r="A30" s="25"/>
      <c r="B30" s="25"/>
      <c r="C30" s="25"/>
      <c r="D30" s="25"/>
      <c r="E30" s="175" t="s">
        <v>222</v>
      </c>
      <c r="F30" s="175" t="s">
        <v>2114</v>
      </c>
      <c r="G30" s="175" t="s">
        <v>2115</v>
      </c>
      <c r="H30" s="175">
        <v>310016</v>
      </c>
      <c r="I30" s="175" t="s">
        <v>892</v>
      </c>
      <c r="J30" s="175">
        <v>3</v>
      </c>
      <c r="K30" s="221">
        <v>0</v>
      </c>
      <c r="L30" s="25"/>
      <c r="M30" s="25"/>
      <c r="N30" s="25"/>
      <c r="O30" s="25"/>
      <c r="P30" s="25"/>
      <c r="Q30" s="25"/>
      <c r="R30" s="83"/>
    </row>
    <row r="31" spans="1:19">
      <c r="A31" s="25"/>
      <c r="B31" s="25"/>
      <c r="C31" s="25"/>
      <c r="D31" s="25"/>
      <c r="E31" s="25"/>
      <c r="F31" s="25"/>
      <c r="G31" s="25"/>
      <c r="H31" s="25"/>
      <c r="I31" s="25"/>
      <c r="J31" s="25"/>
      <c r="K31" s="25"/>
      <c r="L31" s="25"/>
      <c r="M31" s="25"/>
      <c r="N31" s="25"/>
      <c r="O31" s="25"/>
      <c r="P31" s="25"/>
      <c r="Q31" s="25"/>
      <c r="R31" s="83"/>
    </row>
    <row r="32" spans="1:19">
      <c r="A32" s="25"/>
      <c r="B32" s="25"/>
      <c r="C32" s="25"/>
      <c r="D32" s="25"/>
      <c r="E32" s="25"/>
      <c r="F32" s="25"/>
      <c r="G32" s="25"/>
      <c r="H32" s="25"/>
      <c r="I32" s="25"/>
      <c r="J32" s="25"/>
      <c r="K32" s="25"/>
      <c r="L32" s="25"/>
      <c r="M32" s="25"/>
      <c r="N32" s="25"/>
      <c r="O32" s="25"/>
      <c r="P32" s="25"/>
      <c r="Q32" s="25"/>
      <c r="R32" s="83"/>
    </row>
    <row r="33" spans="1:17">
      <c r="A33" s="25"/>
      <c r="B33" s="25"/>
      <c r="C33" s="25"/>
      <c r="D33" s="25"/>
      <c r="E33" s="25"/>
      <c r="F33" s="25"/>
      <c r="G33" s="25"/>
      <c r="H33" s="25"/>
      <c r="I33" s="25"/>
      <c r="J33" s="25"/>
      <c r="K33" s="25"/>
      <c r="L33" s="25"/>
      <c r="M33" s="25"/>
      <c r="N33" s="25"/>
      <c r="O33" s="25"/>
      <c r="P33" s="25"/>
      <c r="Q33" s="83"/>
    </row>
    <row r="34" spans="1:17">
      <c r="A34" s="25"/>
      <c r="B34" s="25"/>
      <c r="C34" s="25"/>
      <c r="D34" s="25"/>
      <c r="E34" s="25"/>
      <c r="F34" s="25"/>
      <c r="G34" s="25"/>
      <c r="H34" s="25"/>
      <c r="I34" s="25"/>
      <c r="J34" s="25"/>
      <c r="K34" s="25"/>
      <c r="L34" s="25"/>
      <c r="M34" s="25"/>
      <c r="N34" s="25"/>
      <c r="O34" s="25"/>
      <c r="P34" s="25"/>
      <c r="Q34" s="83"/>
    </row>
    <row r="35" spans="1:17">
      <c r="A35" s="25"/>
      <c r="B35" s="25"/>
      <c r="C35" s="25"/>
      <c r="D35" s="25"/>
      <c r="E35" s="25"/>
      <c r="F35" s="25"/>
      <c r="G35" s="25"/>
      <c r="H35" s="25"/>
      <c r="I35" s="25"/>
      <c r="J35" s="25"/>
      <c r="K35" s="25"/>
      <c r="L35" s="25"/>
      <c r="M35" s="25"/>
      <c r="N35" s="25"/>
      <c r="O35" s="25"/>
      <c r="P35" s="25"/>
      <c r="Q35" s="83"/>
    </row>
    <row r="36" spans="1:17">
      <c r="A36" s="25"/>
      <c r="B36" s="25"/>
      <c r="C36" s="25"/>
      <c r="D36" s="25"/>
      <c r="E36" s="25"/>
      <c r="F36" s="25"/>
      <c r="G36" s="25"/>
      <c r="H36" s="25"/>
      <c r="I36" s="25"/>
      <c r="J36" s="25"/>
      <c r="K36" s="25"/>
      <c r="L36" s="25"/>
      <c r="M36" s="25"/>
      <c r="N36" s="25"/>
      <c r="O36" s="25"/>
      <c r="P36" s="25"/>
      <c r="Q36" s="83"/>
    </row>
    <row r="37" spans="1:17">
      <c r="D37" s="25"/>
      <c r="E37" s="25"/>
      <c r="F37" s="25"/>
      <c r="G37" s="25"/>
      <c r="H37" s="25"/>
      <c r="I37" s="25"/>
      <c r="J37" s="25"/>
      <c r="K37" s="25"/>
      <c r="L37" s="25"/>
      <c r="M37" s="25"/>
      <c r="N37" s="25"/>
      <c r="O37" s="25"/>
      <c r="P37" s="25"/>
      <c r="Q37" s="83"/>
    </row>
    <row r="38" spans="1:17">
      <c r="D38" s="25"/>
      <c r="E38" s="25"/>
      <c r="F38" s="25"/>
      <c r="G38" s="25"/>
      <c r="H38" s="25"/>
      <c r="I38" s="25"/>
      <c r="J38" s="25"/>
      <c r="K38" s="25"/>
      <c r="L38" s="25"/>
      <c r="M38" s="25"/>
      <c r="N38" s="25"/>
      <c r="O38" s="25"/>
      <c r="P38" s="25"/>
      <c r="Q38" s="83"/>
    </row>
    <row r="39" spans="1:17">
      <c r="D39" s="25"/>
      <c r="E39" s="25"/>
      <c r="F39" s="25"/>
      <c r="G39" s="25"/>
      <c r="H39" s="25"/>
      <c r="I39" s="25"/>
      <c r="J39" s="25"/>
      <c r="K39" s="25"/>
      <c r="L39" s="25"/>
      <c r="M39" s="25"/>
      <c r="N39" s="25"/>
      <c r="O39" s="25"/>
      <c r="P39" s="25"/>
      <c r="Q39" s="83"/>
    </row>
    <row r="40" spans="1:17">
      <c r="D40" s="25"/>
      <c r="E40" s="25"/>
      <c r="F40" s="25"/>
      <c r="G40" s="25"/>
      <c r="H40" s="25"/>
      <c r="I40" s="25"/>
      <c r="J40" s="25"/>
      <c r="K40" s="25"/>
      <c r="L40" s="25"/>
      <c r="M40" s="25"/>
      <c r="N40" s="25"/>
      <c r="O40" s="25"/>
      <c r="P40" s="25"/>
      <c r="Q40" s="83"/>
    </row>
    <row r="41" spans="1:17">
      <c r="D41" s="25"/>
      <c r="K41" s="25"/>
      <c r="Q41" s="83"/>
    </row>
    <row r="42" spans="1:17">
      <c r="D42" s="25"/>
      <c r="K42" s="25"/>
      <c r="Q42" s="83"/>
    </row>
    <row r="43" spans="1:17">
      <c r="D43" s="25"/>
      <c r="K43" s="25"/>
      <c r="Q43" s="83"/>
    </row>
    <row r="44" spans="1:17">
      <c r="D44" s="25"/>
      <c r="K44" s="25"/>
      <c r="Q44" s="83"/>
    </row>
    <row r="45" spans="1:17">
      <c r="D45" s="25"/>
      <c r="K45" s="25"/>
      <c r="Q45" s="83"/>
    </row>
    <row r="46" spans="1:17">
      <c r="D46" s="25"/>
      <c r="K46" s="25"/>
      <c r="Q46" s="83"/>
    </row>
    <row r="47" spans="1:17">
      <c r="D47" s="25"/>
      <c r="Q47" s="83"/>
    </row>
    <row r="48" spans="1:17">
      <c r="D48" s="25"/>
      <c r="Q48" s="83"/>
    </row>
  </sheetData>
  <sheetProtection algorithmName="SHA-512" hashValue="bCyRVXX15NN1W2yVh0hBdCESxBR2xuhkqIcZqnAcbTO/MGL9UpTlfZHVMXnGlhbnDRuWVzvthTpjYTvttlNcbg==" saltValue="VYx72hsTC1ZsADt1Qr4SjA==" spinCount="100000" sheet="1" objects="1" scenarios="1"/>
  <pageMargins left="0.7" right="0.7" top="0.75" bottom="0.75" header="0.3" footer="0.3"/>
  <pageSetup orientation="portrait" r:id="rId1"/>
  <tableParts count="4">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pageSetUpPr fitToPage="1"/>
  </sheetPr>
  <dimension ref="A1:AS202"/>
  <sheetViews>
    <sheetView showGridLines="0" showRowColHeaders="0" tabSelected="1" zoomScale="85" zoomScaleNormal="85" workbookViewId="0">
      <selection activeCell="C6" sqref="C6"/>
    </sheetView>
  </sheetViews>
  <sheetFormatPr defaultColWidth="0" defaultRowHeight="15" customHeight="1" zeroHeight="1"/>
  <cols>
    <col min="1" max="43" width="4.7109375" customWidth="1"/>
    <col min="44" max="44" width="4.85546875" customWidth="1"/>
    <col min="45" max="45" width="4.7109375" customWidth="1"/>
    <col min="46" max="78" width="9.140625" hidden="1" customWidth="1"/>
    <col min="79" max="16384" width="9.140625" hidden="1"/>
  </cols>
  <sheetData>
    <row r="1" spans="3:44" ht="15.95" customHeight="1">
      <c r="AH1" s="670" t="s">
        <v>471</v>
      </c>
      <c r="AI1" s="671"/>
      <c r="AJ1" s="671"/>
      <c r="AK1" s="672"/>
      <c r="AL1" s="664" t="s">
        <v>736</v>
      </c>
      <c r="AM1" s="665"/>
      <c r="AN1" s="665"/>
      <c r="AO1" s="665"/>
      <c r="AP1" s="666"/>
      <c r="AQ1" s="658" t="s">
        <v>474</v>
      </c>
      <c r="AR1" s="659"/>
    </row>
    <row r="2" spans="3:44" ht="15.95" customHeight="1">
      <c r="AH2" s="673" t="str">
        <f ca="1">INCENSTATUS</f>
        <v>---</v>
      </c>
      <c r="AI2" s="674"/>
      <c r="AJ2" s="674"/>
      <c r="AK2" s="674"/>
      <c r="AL2" s="667" t="str">
        <f ca="1">PROJSTATUS</f>
        <v>Enter Measures</v>
      </c>
      <c r="AM2" s="667"/>
      <c r="AN2" s="667"/>
      <c r="AO2" s="667"/>
      <c r="AP2" s="667"/>
      <c r="AQ2" s="660">
        <f ca="1">PROGRESSSTATUS</f>
        <v>2.8985507246376812E-2</v>
      </c>
      <c r="AR2" s="661"/>
    </row>
    <row r="3" spans="3:44" ht="15.95" customHeight="1">
      <c r="AH3" s="675"/>
      <c r="AI3" s="676"/>
      <c r="AJ3" s="676"/>
      <c r="AK3" s="676"/>
      <c r="AL3" s="668"/>
      <c r="AM3" s="668"/>
      <c r="AN3" s="668"/>
      <c r="AO3" s="668"/>
      <c r="AP3" s="668"/>
      <c r="AQ3" s="662"/>
      <c r="AR3" s="663"/>
    </row>
    <row r="4" spans="3:44" ht="15.95" customHeight="1">
      <c r="AR4" s="171"/>
    </row>
    <row r="5" spans="3:44" ht="15.95" customHeight="1"/>
    <row r="6" spans="3:44" ht="15.95" customHeight="1"/>
    <row r="7" spans="3:44" ht="15.95" customHeight="1"/>
    <row r="8" spans="3:44" ht="15.95" customHeight="1"/>
    <row r="9" spans="3:44" ht="15.95" customHeight="1"/>
    <row r="10" spans="3:44" ht="15.95" customHeight="1">
      <c r="C10" s="261"/>
      <c r="D10" s="677" t="str">
        <f ca="1">CONCATENATE(IF(I82=TODAY(),"APPLICATION EXPIRES TODAY!",""),IF(AND(I82&lt;=ABS(TODAY()+14),I82&gt;TODAY(),I82-TODAY()&lt;&gt;1),"APPLICATION EXPIRES IN "&amp;I82-TODAY()&amp;" DAYS!",IF(AND(I82&lt;=ABS(TODAY()+14),I82&gt;=TODAY(),I82-TODAY()=1),"APPLICATION EXPIRES IN "&amp;I82-TODAY()&amp;" DAY","")),IF(I82&lt;TODAY()," ",""),IF(I82&lt;TODAY(),"APPLICATION IS EXPIRED. DOWNLOAD CURRENT APPLICATION FROM",""),IF(I82&lt;TODAY()," ",""),IF(I82&lt;TODAY(),"NIPSCO.COM/SAVE-ENERGY/BUSINESS",""),IF(I82&lt;TODAY()," ",""),IF(I82&lt;TODAY(),"OR CONTACT A PROGRAM REPRESENTATIVE FOR ASSISTANCE.",""))</f>
        <v/>
      </c>
      <c r="E10" s="677"/>
      <c r="F10" s="677"/>
      <c r="G10" s="677"/>
      <c r="H10" s="677"/>
      <c r="I10" s="677"/>
      <c r="J10" s="677"/>
      <c r="K10" s="677"/>
      <c r="L10" s="677"/>
      <c r="M10" s="677"/>
      <c r="N10" s="677"/>
      <c r="O10" s="677"/>
      <c r="P10" s="677"/>
      <c r="Q10" s="677"/>
      <c r="R10" s="677"/>
      <c r="S10" s="677"/>
      <c r="T10" s="677"/>
      <c r="U10" s="677"/>
      <c r="V10" s="677"/>
      <c r="W10" s="677"/>
      <c r="X10" s="677"/>
      <c r="Y10" s="677"/>
      <c r="Z10" s="677"/>
      <c r="AA10" s="677"/>
      <c r="AB10" s="677"/>
      <c r="AC10" s="677"/>
      <c r="AD10" s="677"/>
      <c r="AE10" s="677"/>
      <c r="AF10" s="677"/>
      <c r="AG10" s="677"/>
      <c r="AH10" s="677"/>
      <c r="AI10" s="262"/>
      <c r="AJ10" s="262"/>
      <c r="AK10" s="262"/>
      <c r="AL10" s="262"/>
      <c r="AM10" s="262"/>
      <c r="AN10" s="262"/>
      <c r="AO10" s="262"/>
      <c r="AP10" s="262"/>
      <c r="AQ10" s="262"/>
    </row>
    <row r="11" spans="3:44" ht="15.95" customHeight="1">
      <c r="C11" s="262"/>
      <c r="D11" s="677"/>
      <c r="E11" s="677"/>
      <c r="F11" s="677"/>
      <c r="G11" s="677"/>
      <c r="H11" s="677"/>
      <c r="I11" s="677"/>
      <c r="J11" s="677"/>
      <c r="K11" s="677"/>
      <c r="L11" s="677"/>
      <c r="M11" s="677"/>
      <c r="N11" s="677"/>
      <c r="O11" s="677"/>
      <c r="P11" s="677"/>
      <c r="Q11" s="677"/>
      <c r="R11" s="677"/>
      <c r="S11" s="677"/>
      <c r="T11" s="677"/>
      <c r="U11" s="677"/>
      <c r="V11" s="677"/>
      <c r="W11" s="677"/>
      <c r="X11" s="677"/>
      <c r="Y11" s="677"/>
      <c r="Z11" s="677"/>
      <c r="AA11" s="677"/>
      <c r="AB11" s="677"/>
      <c r="AC11" s="677"/>
      <c r="AD11" s="677"/>
      <c r="AE11" s="677"/>
      <c r="AF11" s="677"/>
      <c r="AG11" s="677"/>
      <c r="AH11" s="677"/>
      <c r="AI11" s="262"/>
      <c r="AJ11" s="262"/>
      <c r="AK11" s="262"/>
      <c r="AL11" s="262"/>
      <c r="AM11" s="262"/>
      <c r="AN11" s="262"/>
      <c r="AO11" s="262"/>
      <c r="AP11" s="262"/>
      <c r="AQ11" s="262"/>
    </row>
    <row r="12" spans="3:44" ht="15.95" customHeight="1">
      <c r="C12" s="165"/>
      <c r="D12" s="669" t="str">
        <f ca="1">CONCATENATE(IF(V82&gt;TODAY(),"APPLICATIONS FOR BONUS PROJECTS WILL BE ACCEPTED THROUGH DECEMBER 6, 2022. ",""),IF(V82=TODAY()," BONUS EXPIRES TODAY!",""),IF(AND(V82&lt;=ABS(TODAY()+14),V82&gt;TODAY(),V82-TODAY()&lt;&gt;1),"BONUS EXPIRES IN "&amp;V82-TODAY()&amp;" DAYS!",IF(AND(V82&lt;=ABS(TODAY()+14),V82&gt;=TODAY(),V82-TODAY()=1),"BONUS EXPIRES IN "&amp;V82-TODAY()&amp;" DAY","")),IF(V82&lt;TODAY()," ",""),IF(V82&lt;TODAY(),"BONUS IS EXPIRED",""))</f>
        <v xml:space="preserve">APPLICATIONS FOR BONUS PROJECTS WILL BE ACCEPTED THROUGH DECEMBER 6, 2022. </v>
      </c>
      <c r="E12" s="669"/>
      <c r="F12" s="669"/>
      <c r="G12" s="669"/>
      <c r="H12" s="669"/>
      <c r="I12" s="669"/>
      <c r="J12" s="669"/>
      <c r="K12" s="669"/>
      <c r="L12" s="669"/>
      <c r="M12" s="669"/>
      <c r="N12" s="669"/>
      <c r="O12" s="669"/>
      <c r="P12" s="669"/>
      <c r="Q12" s="669"/>
      <c r="R12" s="669"/>
      <c r="S12" s="669"/>
      <c r="T12" s="669"/>
      <c r="U12" s="669"/>
      <c r="V12" s="669"/>
      <c r="W12" s="669"/>
      <c r="X12" s="669"/>
      <c r="Y12" s="669"/>
      <c r="Z12" s="669"/>
      <c r="AA12" s="669"/>
      <c r="AB12" s="669"/>
      <c r="AC12" s="669"/>
      <c r="AD12" s="669"/>
      <c r="AE12" s="669"/>
      <c r="AF12" s="669"/>
      <c r="AG12" s="669"/>
      <c r="AH12" s="669"/>
      <c r="AM12" s="164"/>
      <c r="AN12" s="163"/>
      <c r="AO12" s="163"/>
      <c r="AP12" s="163"/>
      <c r="AQ12" s="163"/>
      <c r="AR12" s="163"/>
    </row>
    <row r="13" spans="3:44" ht="15.95" customHeight="1"/>
    <row r="14" spans="3:44" ht="15.95" customHeight="1"/>
    <row r="15" spans="3:44" ht="15.95" customHeight="1"/>
    <row r="16" spans="3:44" ht="15.95" customHeight="1"/>
    <row r="17" spans="44:44" ht="15.95" customHeight="1"/>
    <row r="18" spans="44:44" ht="15.95" customHeight="1"/>
    <row r="19" spans="44:44" ht="15.95" customHeight="1"/>
    <row r="20" spans="44:44" ht="15.95" customHeight="1"/>
    <row r="21" spans="44:44" ht="15.95" customHeight="1"/>
    <row r="22" spans="44:44" ht="15.95" customHeight="1"/>
    <row r="23" spans="44:44" ht="15.95" customHeight="1"/>
    <row r="24" spans="44:44" ht="15.95" customHeight="1"/>
    <row r="25" spans="44:44" ht="15.95" customHeight="1"/>
    <row r="26" spans="44:44" ht="15.95" customHeight="1"/>
    <row r="27" spans="44:44" ht="15.95" customHeight="1">
      <c r="AR27" s="163"/>
    </row>
    <row r="28" spans="44:44" ht="15.95" customHeight="1">
      <c r="AR28" s="163"/>
    </row>
    <row r="29" spans="44:44" ht="15.95" customHeight="1"/>
    <row r="30" spans="44:44" ht="15.95" customHeight="1"/>
    <row r="31" spans="44:44" ht="15.95" customHeight="1"/>
    <row r="32" spans="44:44" ht="15.95" customHeight="1"/>
    <row r="33" spans="4:43" ht="15.95" customHeight="1">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row>
    <row r="34" spans="4:43" ht="15.95" customHeight="1"/>
    <row r="35" spans="4:43" ht="15.95" customHeight="1"/>
    <row r="36" spans="4:43" ht="15.95" customHeight="1"/>
    <row r="37" spans="4:43" ht="15.95" customHeight="1"/>
    <row r="38" spans="4:43" ht="15.95" customHeight="1"/>
    <row r="39" spans="4:43" ht="15.95" customHeight="1"/>
    <row r="40" spans="4:43" ht="15.95" customHeight="1"/>
    <row r="41" spans="4:43" ht="15.95" customHeight="1"/>
    <row r="42" spans="4:43" ht="15.95" hidden="1" customHeight="1"/>
    <row r="43" spans="4:43" ht="15.95" hidden="1" customHeight="1"/>
    <row r="44" spans="4:43" ht="15.95" hidden="1" customHeight="1"/>
    <row r="45" spans="4:43" ht="15.95" hidden="1" customHeight="1"/>
    <row r="46" spans="4:43" ht="15.95" hidden="1" customHeight="1"/>
    <row r="47" spans="4:43" ht="15.95" hidden="1" customHeight="1"/>
    <row r="48" spans="4:43" ht="15.95" hidden="1" customHeight="1"/>
    <row r="49" spans="3:31" ht="15.95" hidden="1" customHeight="1"/>
    <row r="50" spans="3:31" ht="15.95" hidden="1" customHeight="1"/>
    <row r="51" spans="3:31" ht="15.95" hidden="1" customHeight="1"/>
    <row r="52" spans="3:31" ht="15.95" hidden="1" customHeight="1"/>
    <row r="53" spans="3:31" ht="15.95" hidden="1" customHeight="1"/>
    <row r="54" spans="3:31" ht="15.95" hidden="1" customHeight="1"/>
    <row r="55" spans="3:31" ht="15.95" hidden="1" customHeight="1"/>
    <row r="56" spans="3:31" ht="15.95" hidden="1" customHeight="1"/>
    <row r="57" spans="3:31" ht="15.95" hidden="1" customHeight="1"/>
    <row r="58" spans="3:31" ht="15.95" hidden="1" customHeight="1"/>
    <row r="59" spans="3:31" ht="15.95" hidden="1" customHeight="1"/>
    <row r="60" spans="3:31" ht="15.95" hidden="1" customHeight="1"/>
    <row r="61" spans="3:31" ht="15.95" hidden="1" customHeight="1"/>
    <row r="62" spans="3:31" ht="15.95" hidden="1" customHeight="1">
      <c r="X62" s="59"/>
      <c r="Y62" s="59"/>
      <c r="Z62" s="59"/>
      <c r="AA62" s="59"/>
      <c r="AB62" s="59"/>
      <c r="AC62" s="59"/>
      <c r="AD62" s="59"/>
      <c r="AE62" s="59"/>
    </row>
    <row r="63" spans="3:31" ht="15.95" hidden="1" customHeight="1">
      <c r="C63" s="53"/>
      <c r="D63" s="53"/>
      <c r="E63" s="53"/>
      <c r="F63" s="53"/>
      <c r="G63" s="53"/>
      <c r="H63" s="53"/>
      <c r="I63" s="54"/>
      <c r="J63" s="54"/>
      <c r="K63" s="54"/>
      <c r="L63" s="54"/>
      <c r="M63" s="54"/>
      <c r="N63" s="54"/>
      <c r="O63" s="55"/>
      <c r="P63" s="55"/>
      <c r="Q63" s="55"/>
      <c r="R63" s="55"/>
      <c r="S63" s="55"/>
    </row>
    <row r="64" spans="3:31" ht="15.95" hidden="1" customHeight="1">
      <c r="C64" s="53"/>
      <c r="D64" s="53"/>
      <c r="E64" s="53"/>
      <c r="F64" s="53"/>
      <c r="G64" s="53"/>
      <c r="H64" s="53"/>
      <c r="I64" s="54"/>
      <c r="J64" s="54"/>
      <c r="K64" s="54"/>
      <c r="L64" s="54"/>
      <c r="M64" s="54"/>
      <c r="N64" s="54"/>
      <c r="O64" s="55"/>
      <c r="P64" s="55"/>
      <c r="Q64" s="55"/>
      <c r="R64" s="55"/>
      <c r="S64" s="55"/>
    </row>
    <row r="65" spans="3:19" ht="15.95" hidden="1" customHeight="1">
      <c r="C65" s="53"/>
      <c r="D65" s="53"/>
      <c r="E65" s="53"/>
      <c r="F65" s="53"/>
      <c r="G65" s="53"/>
      <c r="H65" s="53"/>
      <c r="I65" s="54"/>
      <c r="J65" s="54"/>
      <c r="K65" s="54"/>
      <c r="L65" s="54"/>
      <c r="M65" s="54"/>
      <c r="N65" s="54"/>
      <c r="O65" s="55"/>
      <c r="P65" s="55"/>
      <c r="Q65" s="55"/>
      <c r="R65" s="55"/>
      <c r="S65" s="55"/>
    </row>
    <row r="66" spans="3:19" ht="15.95" hidden="1" customHeight="1">
      <c r="C66" s="53"/>
      <c r="D66" s="53"/>
      <c r="E66" s="53"/>
      <c r="F66" s="53"/>
      <c r="G66" s="53"/>
      <c r="H66" s="53"/>
      <c r="I66" s="54"/>
      <c r="J66" s="54"/>
      <c r="K66" s="54"/>
      <c r="L66" s="54"/>
      <c r="M66" s="54"/>
      <c r="N66" s="54"/>
      <c r="O66" s="55"/>
      <c r="P66" s="55"/>
      <c r="Q66" s="55"/>
      <c r="R66" s="55"/>
      <c r="S66" s="55"/>
    </row>
    <row r="67" spans="3:19" ht="15.95" hidden="1" customHeight="1">
      <c r="C67" s="53"/>
      <c r="D67" s="53"/>
      <c r="E67" s="53"/>
      <c r="F67" s="53"/>
      <c r="G67" s="53"/>
      <c r="H67" s="53"/>
      <c r="I67" s="54"/>
      <c r="J67" s="54"/>
      <c r="K67" s="54"/>
      <c r="L67" s="54"/>
      <c r="M67" s="54"/>
      <c r="N67" s="54"/>
      <c r="O67" s="55"/>
      <c r="P67" s="55"/>
      <c r="Q67" s="55"/>
      <c r="R67" s="55"/>
      <c r="S67" s="55"/>
    </row>
    <row r="68" spans="3:19" ht="15.95" hidden="1" customHeight="1">
      <c r="C68" s="53"/>
      <c r="D68" s="53"/>
      <c r="E68" s="53"/>
      <c r="F68" s="53"/>
      <c r="G68" s="53"/>
      <c r="H68" s="53"/>
      <c r="I68" s="54"/>
      <c r="J68" s="54"/>
      <c r="K68" s="54"/>
      <c r="L68" s="54"/>
      <c r="M68" s="54"/>
      <c r="N68" s="54"/>
      <c r="O68" s="55"/>
      <c r="P68" s="55"/>
      <c r="Q68" s="55"/>
      <c r="R68" s="55"/>
      <c r="S68" s="55"/>
    </row>
    <row r="69" spans="3:19" ht="15.95" hidden="1" customHeight="1">
      <c r="C69" s="53"/>
      <c r="D69" s="53"/>
      <c r="E69" s="53"/>
      <c r="F69" s="53"/>
      <c r="G69" s="53"/>
      <c r="H69" s="53"/>
      <c r="I69" s="54"/>
      <c r="J69" s="54"/>
      <c r="K69" s="54"/>
      <c r="L69" s="54"/>
      <c r="M69" s="54"/>
      <c r="N69" s="54"/>
      <c r="O69" s="55"/>
      <c r="P69" s="55"/>
      <c r="Q69" s="55"/>
      <c r="R69" s="55"/>
      <c r="S69" s="55"/>
    </row>
    <row r="70" spans="3:19" ht="15.95" hidden="1" customHeight="1">
      <c r="C70" s="53"/>
      <c r="D70" s="53"/>
      <c r="E70" s="53"/>
      <c r="F70" s="53"/>
      <c r="G70" s="53"/>
      <c r="H70" s="53"/>
      <c r="I70" s="54"/>
      <c r="J70" s="54"/>
      <c r="K70" s="54"/>
      <c r="L70" s="54"/>
      <c r="M70" s="54"/>
      <c r="N70" s="54"/>
      <c r="O70" s="55"/>
      <c r="P70" s="55"/>
      <c r="Q70" s="55"/>
      <c r="R70" s="55"/>
      <c r="S70" s="55"/>
    </row>
    <row r="71" spans="3:19" ht="15.95" hidden="1" customHeight="1">
      <c r="C71" s="53"/>
      <c r="D71" s="53"/>
      <c r="E71" s="53"/>
      <c r="F71" s="53"/>
      <c r="G71" s="53"/>
      <c r="H71" s="53"/>
      <c r="I71" s="54"/>
      <c r="J71" s="54"/>
      <c r="K71" s="54"/>
      <c r="L71" s="54"/>
      <c r="M71" s="54"/>
      <c r="N71" s="54"/>
      <c r="O71" s="55"/>
      <c r="P71" s="55"/>
      <c r="Q71" s="55"/>
      <c r="R71" s="55"/>
      <c r="S71" s="55"/>
    </row>
    <row r="72" spans="3:19" ht="15.95" hidden="1" customHeight="1">
      <c r="C72" s="53"/>
      <c r="D72" s="53"/>
      <c r="E72" s="53"/>
      <c r="F72" s="53"/>
      <c r="G72" s="53"/>
      <c r="H72" s="53"/>
      <c r="I72" s="54"/>
      <c r="J72" s="54"/>
      <c r="K72" s="54"/>
      <c r="L72" s="54"/>
      <c r="M72" s="54"/>
      <c r="N72" s="54"/>
      <c r="O72" s="55"/>
      <c r="P72" s="55"/>
      <c r="Q72" s="55"/>
      <c r="R72" s="55"/>
      <c r="S72" s="55"/>
    </row>
    <row r="73" spans="3:19" ht="15.95" hidden="1" customHeight="1">
      <c r="C73" s="53"/>
      <c r="D73" s="53"/>
      <c r="E73" s="53"/>
      <c r="F73" s="53"/>
      <c r="G73" s="53"/>
      <c r="H73" s="53"/>
      <c r="I73" s="54"/>
      <c r="J73" s="54"/>
      <c r="K73" s="54"/>
      <c r="L73" s="54"/>
      <c r="M73" s="54"/>
      <c r="N73" s="54"/>
      <c r="O73" s="55"/>
      <c r="P73" s="55"/>
      <c r="Q73" s="55"/>
      <c r="R73" s="55"/>
      <c r="S73" s="55"/>
    </row>
    <row r="74" spans="3:19" ht="15.95" hidden="1" customHeight="1">
      <c r="C74" s="53"/>
      <c r="D74" s="53"/>
      <c r="E74" s="53"/>
      <c r="F74" s="53"/>
      <c r="G74" s="53"/>
      <c r="H74" s="53"/>
      <c r="I74" s="54"/>
      <c r="J74" s="54"/>
      <c r="K74" s="54"/>
      <c r="L74" s="54"/>
      <c r="M74" s="54"/>
      <c r="N74" s="54"/>
      <c r="O74" s="55"/>
      <c r="P74" s="55"/>
      <c r="Q74" s="55"/>
      <c r="R74" s="55"/>
      <c r="S74" s="55"/>
    </row>
    <row r="75" spans="3:19" ht="15.95" hidden="1" customHeight="1">
      <c r="C75" s="53"/>
      <c r="D75" s="53"/>
      <c r="E75" s="53"/>
      <c r="F75" s="53"/>
      <c r="G75" s="53"/>
      <c r="H75" s="53"/>
      <c r="I75" s="54"/>
      <c r="J75" s="54"/>
      <c r="K75" s="54"/>
      <c r="L75" s="54"/>
      <c r="M75" s="54"/>
      <c r="N75" s="54"/>
      <c r="O75" s="55"/>
      <c r="P75" s="55"/>
      <c r="Q75" s="55"/>
      <c r="R75" s="55"/>
      <c r="S75" s="55"/>
    </row>
    <row r="76" spans="3:19" ht="15.95" hidden="1" customHeight="1">
      <c r="C76" s="53"/>
      <c r="D76" s="53"/>
      <c r="E76" s="53"/>
      <c r="F76" s="53"/>
      <c r="G76" s="53"/>
      <c r="H76" s="53"/>
      <c r="I76" s="54"/>
      <c r="J76" s="54"/>
      <c r="K76" s="54"/>
      <c r="L76" s="54"/>
      <c r="M76" s="54"/>
      <c r="N76" s="54"/>
      <c r="O76" s="55"/>
      <c r="P76" s="55"/>
      <c r="Q76" s="55"/>
      <c r="R76" s="55"/>
      <c r="S76" s="55"/>
    </row>
    <row r="77" spans="3:19" ht="15.95" hidden="1" customHeight="1">
      <c r="C77" s="53"/>
      <c r="D77" s="53"/>
      <c r="E77" s="53"/>
      <c r="F77" s="53"/>
      <c r="G77" s="53"/>
      <c r="H77" s="53"/>
      <c r="I77" s="54"/>
      <c r="J77" s="54"/>
      <c r="K77" s="54"/>
      <c r="L77" s="54"/>
      <c r="M77" s="54"/>
      <c r="N77" s="54"/>
      <c r="O77" s="55"/>
      <c r="P77" s="55"/>
      <c r="Q77" s="55"/>
      <c r="R77" s="55"/>
      <c r="S77" s="55"/>
    </row>
    <row r="78" spans="3:19" ht="15.95" hidden="1" customHeight="1">
      <c r="C78" s="53"/>
      <c r="D78" s="53"/>
      <c r="E78" s="53"/>
      <c r="F78" s="53"/>
      <c r="G78" s="53"/>
      <c r="H78" s="53"/>
      <c r="I78" s="54"/>
      <c r="J78" s="54"/>
      <c r="K78" s="54"/>
      <c r="L78" s="54"/>
      <c r="M78" s="54"/>
      <c r="N78" s="54"/>
      <c r="O78" s="55"/>
      <c r="P78" s="55"/>
      <c r="Q78" s="55"/>
      <c r="R78" s="55"/>
      <c r="S78" s="55"/>
    </row>
    <row r="79" spans="3:19" ht="15.95" hidden="1" customHeight="1">
      <c r="C79" s="53"/>
      <c r="D79" s="53"/>
      <c r="E79" s="53"/>
      <c r="F79" s="53"/>
      <c r="G79" s="53"/>
      <c r="H79" s="53"/>
      <c r="I79" s="54"/>
      <c r="J79" s="54"/>
      <c r="K79" s="54"/>
      <c r="L79" s="54"/>
      <c r="M79" s="54"/>
      <c r="N79" s="54"/>
      <c r="O79" s="55"/>
      <c r="P79" s="55"/>
      <c r="Q79" s="55"/>
      <c r="R79" s="55"/>
      <c r="S79" s="55"/>
    </row>
    <row r="80" spans="3:19" ht="15.95" hidden="1" customHeight="1">
      <c r="C80" s="53"/>
      <c r="D80" s="53"/>
      <c r="E80" s="53"/>
      <c r="F80" s="53"/>
      <c r="G80" s="53"/>
      <c r="H80" s="53"/>
      <c r="I80" s="54"/>
      <c r="J80" s="54"/>
      <c r="K80" s="54"/>
      <c r="L80" s="54"/>
      <c r="M80" s="54"/>
      <c r="N80" s="54"/>
      <c r="O80" s="55"/>
      <c r="P80" s="55"/>
      <c r="Q80" s="55"/>
      <c r="R80" s="55"/>
      <c r="S80" s="55"/>
    </row>
    <row r="81" spans="3:44" ht="15.95" customHeight="1"/>
    <row r="82" spans="3:44" ht="15.95" customHeight="1">
      <c r="C82" s="655" t="s">
        <v>76</v>
      </c>
      <c r="D82" s="655"/>
      <c r="E82" s="655"/>
      <c r="F82" s="655"/>
      <c r="G82" s="655"/>
      <c r="H82" s="655"/>
      <c r="I82" s="654">
        <v>45657</v>
      </c>
      <c r="J82" s="654"/>
      <c r="K82" s="654"/>
      <c r="L82" s="654"/>
      <c r="M82" s="654"/>
      <c r="N82" s="654"/>
      <c r="O82" s="654"/>
      <c r="P82" s="654"/>
      <c r="Q82" s="657" t="s">
        <v>2128</v>
      </c>
      <c r="R82" s="657"/>
      <c r="S82" s="657"/>
      <c r="T82" s="657"/>
      <c r="U82" s="657"/>
      <c r="V82" s="653">
        <v>45657</v>
      </c>
      <c r="W82" s="653"/>
      <c r="X82" s="653"/>
      <c r="Y82" s="653"/>
      <c r="Z82" s="653"/>
      <c r="AA82" s="653"/>
      <c r="AB82" s="653"/>
      <c r="AD82" s="59"/>
      <c r="AE82" s="655" t="s">
        <v>2050</v>
      </c>
      <c r="AF82" s="655"/>
      <c r="AG82" s="655"/>
      <c r="AH82" s="655"/>
      <c r="AI82" s="655"/>
      <c r="AJ82" s="654">
        <v>45566</v>
      </c>
      <c r="AK82" s="654"/>
      <c r="AL82" s="654"/>
      <c r="AM82" s="654"/>
      <c r="AN82" s="654"/>
      <c r="AO82" s="654"/>
      <c r="AP82" s="654"/>
      <c r="AQ82" s="574"/>
      <c r="AR82" s="574"/>
    </row>
    <row r="83" spans="3:44" ht="15.95" hidden="1" customHeight="1">
      <c r="C83" s="53"/>
      <c r="D83" s="53"/>
      <c r="E83" s="53"/>
      <c r="F83" s="53"/>
      <c r="G83" s="53"/>
      <c r="H83" s="53"/>
      <c r="I83" s="54"/>
      <c r="J83" s="54"/>
      <c r="K83" s="54"/>
      <c r="L83" s="54"/>
      <c r="M83" s="54"/>
      <c r="N83" s="54"/>
      <c r="O83" s="55"/>
      <c r="P83" s="55"/>
      <c r="Q83" s="55"/>
      <c r="R83" s="55"/>
      <c r="S83" s="55"/>
    </row>
    <row r="84" spans="3:44" ht="15.95" hidden="1" customHeight="1">
      <c r="C84" s="53"/>
      <c r="D84" s="53"/>
      <c r="E84" s="53"/>
      <c r="F84" s="53"/>
      <c r="G84" s="53"/>
      <c r="H84" s="53"/>
      <c r="I84" s="54"/>
      <c r="J84" s="54"/>
      <c r="K84" s="54"/>
      <c r="L84" s="54"/>
      <c r="M84" s="54"/>
      <c r="N84" s="54"/>
      <c r="O84" s="55"/>
      <c r="P84" s="55"/>
      <c r="Q84" s="55"/>
      <c r="R84" s="55"/>
      <c r="S84" s="55"/>
    </row>
    <row r="85" spans="3:44" ht="15.95" hidden="1" customHeight="1">
      <c r="C85" s="53"/>
      <c r="D85" s="53"/>
      <c r="E85" s="53"/>
      <c r="F85" s="53"/>
      <c r="G85" s="53"/>
      <c r="H85" s="53"/>
      <c r="I85" s="54"/>
      <c r="J85" s="54"/>
      <c r="K85" s="54"/>
      <c r="L85" s="54"/>
      <c r="M85" s="54"/>
      <c r="N85" s="54"/>
      <c r="O85" s="55"/>
      <c r="P85" s="55"/>
      <c r="Q85" s="55"/>
      <c r="R85" s="55"/>
      <c r="S85" s="55"/>
    </row>
    <row r="86" spans="3:44" ht="15.95" hidden="1" customHeight="1">
      <c r="C86" s="53"/>
      <c r="D86" s="53"/>
      <c r="E86" s="53"/>
      <c r="F86" s="53"/>
      <c r="G86" s="53"/>
      <c r="H86" s="53"/>
      <c r="I86" s="54"/>
      <c r="J86" s="54"/>
      <c r="K86" s="54"/>
      <c r="L86" s="54"/>
      <c r="M86" s="54"/>
      <c r="N86" s="54"/>
      <c r="O86" s="55"/>
      <c r="P86" s="55"/>
      <c r="Q86" s="55"/>
      <c r="R86" s="55"/>
      <c r="S86" s="55"/>
    </row>
    <row r="87" spans="3:44" ht="15.95" hidden="1" customHeight="1">
      <c r="C87" s="53"/>
      <c r="D87" s="53"/>
      <c r="E87" s="53"/>
      <c r="F87" s="53"/>
      <c r="G87" s="53"/>
      <c r="H87" s="53"/>
      <c r="I87" s="54"/>
      <c r="J87" s="54"/>
      <c r="K87" s="54"/>
      <c r="L87" s="54"/>
      <c r="M87" s="54"/>
      <c r="N87" s="54"/>
      <c r="O87" s="55"/>
      <c r="P87" s="55"/>
      <c r="Q87" s="55"/>
      <c r="R87" s="55"/>
      <c r="S87" s="55"/>
    </row>
    <row r="88" spans="3:44" ht="15.95" hidden="1" customHeight="1">
      <c r="C88" s="53"/>
      <c r="D88" s="53"/>
      <c r="E88" s="53"/>
      <c r="F88" s="53"/>
      <c r="G88" s="53"/>
      <c r="H88" s="53"/>
      <c r="I88" s="54"/>
      <c r="J88" s="54"/>
      <c r="K88" s="54"/>
      <c r="L88" s="54"/>
      <c r="M88" s="54"/>
      <c r="N88" s="54"/>
      <c r="O88" s="55"/>
      <c r="P88" s="55"/>
      <c r="Q88" s="55"/>
      <c r="R88" s="55"/>
      <c r="S88" s="55"/>
    </row>
    <row r="89" spans="3:44" ht="15.95" hidden="1" customHeight="1">
      <c r="C89" s="53"/>
      <c r="D89" s="53"/>
      <c r="E89" s="53"/>
      <c r="F89" s="53"/>
      <c r="G89" s="53"/>
      <c r="H89" s="53"/>
      <c r="I89" s="54"/>
      <c r="J89" s="54"/>
      <c r="K89" s="54"/>
      <c r="L89" s="54"/>
      <c r="M89" s="54"/>
      <c r="N89" s="54"/>
      <c r="O89" s="55"/>
      <c r="P89" s="55"/>
      <c r="Q89" s="55"/>
      <c r="R89" s="55"/>
      <c r="S89" s="55"/>
    </row>
    <row r="90" spans="3:44" ht="15.95" hidden="1" customHeight="1">
      <c r="C90" s="53"/>
      <c r="D90" s="53"/>
      <c r="E90" s="53"/>
      <c r="F90" s="53"/>
      <c r="G90" s="53"/>
      <c r="H90" s="53"/>
      <c r="I90" s="54"/>
      <c r="J90" s="54"/>
      <c r="K90" s="54"/>
      <c r="L90" s="54"/>
      <c r="M90" s="54"/>
      <c r="N90" s="54"/>
      <c r="O90" s="55"/>
      <c r="P90" s="55"/>
      <c r="Q90" s="55"/>
      <c r="R90" s="55"/>
      <c r="S90" s="55"/>
    </row>
    <row r="91" spans="3:44" ht="15.95" hidden="1" customHeight="1">
      <c r="C91" s="53"/>
      <c r="D91" s="53"/>
      <c r="E91" s="53"/>
      <c r="F91" s="53"/>
      <c r="G91" s="53"/>
      <c r="H91" s="53"/>
      <c r="I91" s="54"/>
      <c r="J91" s="54"/>
      <c r="K91" s="54"/>
      <c r="L91" s="54"/>
      <c r="M91" s="54"/>
      <c r="N91" s="54"/>
      <c r="O91" s="55"/>
      <c r="P91" s="55"/>
      <c r="Q91" s="55"/>
      <c r="R91" s="55"/>
      <c r="S91" s="55"/>
    </row>
    <row r="92" spans="3:44" ht="15.95" hidden="1" customHeight="1">
      <c r="C92" s="53"/>
      <c r="D92" s="53"/>
      <c r="E92" s="53"/>
      <c r="F92" s="53"/>
      <c r="G92" s="53"/>
      <c r="H92" s="53"/>
      <c r="I92" s="54"/>
      <c r="J92" s="54"/>
      <c r="K92" s="54"/>
      <c r="L92" s="54"/>
      <c r="M92" s="54"/>
      <c r="N92" s="54"/>
      <c r="O92" s="55"/>
      <c r="P92" s="55"/>
      <c r="Q92" s="55"/>
      <c r="R92" s="55"/>
      <c r="S92" s="55"/>
    </row>
    <row r="93" spans="3:44" ht="15.95" hidden="1" customHeight="1">
      <c r="C93" s="53"/>
      <c r="D93" s="53"/>
      <c r="E93" s="53"/>
      <c r="F93" s="53"/>
      <c r="G93" s="53"/>
      <c r="H93" s="53"/>
      <c r="I93" s="54"/>
      <c r="J93" s="54"/>
      <c r="K93" s="54"/>
      <c r="L93" s="54"/>
      <c r="M93" s="54"/>
      <c r="N93" s="54"/>
      <c r="O93" s="55"/>
      <c r="P93" s="55"/>
      <c r="Q93" s="55"/>
      <c r="R93" s="55"/>
      <c r="S93" s="55"/>
    </row>
    <row r="94" spans="3:44" ht="15.95" hidden="1" customHeight="1">
      <c r="C94" s="53"/>
      <c r="D94" s="53"/>
      <c r="E94" s="53"/>
      <c r="F94" s="53"/>
      <c r="G94" s="53"/>
      <c r="H94" s="53"/>
      <c r="I94" s="468"/>
      <c r="J94" s="54"/>
      <c r="K94" s="54"/>
      <c r="L94" s="54"/>
      <c r="M94" s="54"/>
      <c r="N94" s="54"/>
      <c r="O94" s="55"/>
      <c r="P94" s="55"/>
      <c r="Q94" s="55"/>
      <c r="R94" s="55"/>
      <c r="S94" s="55"/>
    </row>
    <row r="95" spans="3:44" ht="15.95" hidden="1" customHeight="1">
      <c r="C95" s="53"/>
      <c r="D95" s="53"/>
      <c r="E95" s="53"/>
      <c r="F95" s="53"/>
      <c r="G95" s="53"/>
      <c r="H95" s="53"/>
      <c r="I95" s="54"/>
      <c r="J95" s="54"/>
      <c r="K95" s="54"/>
      <c r="L95" s="54"/>
      <c r="M95" s="54"/>
      <c r="N95" s="54"/>
      <c r="O95" s="55"/>
      <c r="P95" s="55"/>
      <c r="Q95" s="55"/>
      <c r="R95" s="55"/>
      <c r="S95" s="55"/>
    </row>
    <row r="96" spans="3:44" ht="15.95" hidden="1" customHeight="1">
      <c r="C96" s="53"/>
      <c r="D96" s="53"/>
      <c r="E96" s="53"/>
      <c r="F96" s="53"/>
      <c r="G96" s="53"/>
      <c r="H96" s="53"/>
      <c r="I96" s="54"/>
      <c r="J96" s="54"/>
      <c r="K96" s="54"/>
      <c r="L96" s="54"/>
      <c r="M96" s="54"/>
      <c r="N96" s="54"/>
      <c r="O96" s="55"/>
      <c r="P96" s="55"/>
      <c r="Q96" s="55"/>
      <c r="R96" s="55"/>
      <c r="S96" s="55"/>
    </row>
    <row r="97" spans="3:19" ht="15.95" hidden="1" customHeight="1">
      <c r="C97" s="53"/>
      <c r="D97" s="53"/>
      <c r="E97" s="53"/>
      <c r="F97" s="53"/>
      <c r="G97" s="53"/>
      <c r="H97" s="53"/>
      <c r="I97" s="54"/>
      <c r="J97" s="54"/>
      <c r="K97" s="54"/>
      <c r="L97" s="54"/>
      <c r="M97" s="54"/>
      <c r="N97" s="54"/>
      <c r="O97" s="55"/>
      <c r="P97" s="55"/>
      <c r="Q97" s="55"/>
      <c r="R97" s="55"/>
      <c r="S97" s="55"/>
    </row>
    <row r="98" spans="3:19" ht="15.95" hidden="1" customHeight="1">
      <c r="C98" s="53"/>
      <c r="D98" s="53"/>
      <c r="E98" s="53"/>
      <c r="F98" s="53"/>
      <c r="G98" s="53"/>
      <c r="H98" s="53"/>
      <c r="I98" s="54"/>
      <c r="J98" s="54"/>
      <c r="K98" s="54"/>
      <c r="L98" s="54"/>
      <c r="M98" s="54"/>
      <c r="N98" s="54"/>
      <c r="O98" s="55"/>
      <c r="P98" s="55"/>
      <c r="Q98" s="55"/>
      <c r="R98" s="55"/>
      <c r="S98" s="55"/>
    </row>
    <row r="99" spans="3:19" ht="15.95" hidden="1" customHeight="1">
      <c r="C99" s="53"/>
      <c r="D99" s="53"/>
      <c r="E99" s="53"/>
      <c r="F99" s="53"/>
      <c r="G99" s="53"/>
      <c r="H99" s="53"/>
      <c r="I99" s="54"/>
      <c r="J99" s="54"/>
      <c r="K99" s="54"/>
      <c r="L99" s="54"/>
      <c r="M99" s="54"/>
      <c r="N99" s="54"/>
      <c r="O99" s="55"/>
      <c r="P99" s="55"/>
      <c r="Q99" s="55"/>
      <c r="R99" s="55"/>
      <c r="S99" s="55"/>
    </row>
    <row r="100" spans="3:19" ht="15.95" hidden="1" customHeight="1">
      <c r="C100" s="53"/>
      <c r="D100" s="53"/>
      <c r="E100" s="53"/>
      <c r="F100" s="53"/>
      <c r="G100" s="53"/>
      <c r="H100" s="53"/>
      <c r="I100" s="54"/>
      <c r="J100" s="54"/>
      <c r="K100" s="54"/>
      <c r="L100" s="54"/>
      <c r="M100" s="54"/>
      <c r="N100" s="54"/>
      <c r="O100" s="55"/>
      <c r="P100" s="55"/>
      <c r="Q100" s="55"/>
      <c r="R100" s="55"/>
      <c r="S100" s="55"/>
    </row>
    <row r="101" spans="3:19" ht="15.95" hidden="1" customHeight="1">
      <c r="C101" s="53"/>
      <c r="D101" s="53"/>
      <c r="E101" s="53"/>
      <c r="F101" s="53"/>
      <c r="G101" s="53"/>
      <c r="H101" s="53"/>
      <c r="I101" s="54"/>
      <c r="J101" s="54"/>
      <c r="K101" s="54"/>
      <c r="L101" s="54"/>
      <c r="M101" s="54"/>
      <c r="N101" s="54"/>
      <c r="O101" s="55"/>
      <c r="P101" s="55"/>
      <c r="Q101" s="55"/>
      <c r="R101" s="55"/>
      <c r="S101" s="55"/>
    </row>
    <row r="102" spans="3:19" ht="15.95" hidden="1" customHeight="1">
      <c r="C102" s="53"/>
      <c r="D102" s="53"/>
      <c r="E102" s="53"/>
      <c r="F102" s="53"/>
      <c r="G102" s="53"/>
      <c r="H102" s="53"/>
      <c r="I102" s="54"/>
      <c r="J102" s="54"/>
      <c r="K102" s="54"/>
      <c r="L102" s="54"/>
      <c r="M102" s="54"/>
      <c r="N102" s="54"/>
      <c r="O102" s="55"/>
      <c r="P102" s="55"/>
      <c r="Q102" s="55"/>
      <c r="R102" s="55"/>
      <c r="S102" s="55"/>
    </row>
    <row r="103" spans="3:19" ht="15.95" hidden="1" customHeight="1">
      <c r="C103" s="53"/>
      <c r="D103" s="53"/>
      <c r="E103" s="53"/>
      <c r="F103" s="53"/>
      <c r="G103" s="53"/>
      <c r="H103" s="53"/>
      <c r="I103" s="54"/>
      <c r="J103" s="54"/>
      <c r="K103" s="54"/>
      <c r="L103" s="54"/>
      <c r="M103" s="54"/>
      <c r="N103" s="54"/>
      <c r="O103" s="55"/>
      <c r="P103" s="55"/>
      <c r="Q103" s="55"/>
      <c r="R103" s="55"/>
      <c r="S103" s="55"/>
    </row>
    <row r="104" spans="3:19" ht="15.95" hidden="1" customHeight="1">
      <c r="C104" s="53"/>
      <c r="D104" s="53"/>
      <c r="E104" s="53"/>
      <c r="F104" s="53"/>
      <c r="G104" s="53"/>
      <c r="H104" s="53"/>
      <c r="I104" s="54"/>
      <c r="J104" s="54"/>
      <c r="K104" s="54"/>
      <c r="L104" s="54"/>
      <c r="M104" s="54"/>
      <c r="N104" s="54"/>
      <c r="O104" s="55"/>
      <c r="P104" s="55"/>
      <c r="Q104" s="55"/>
      <c r="R104" s="55"/>
      <c r="S104" s="55"/>
    </row>
    <row r="105" spans="3:19" ht="15.95" hidden="1" customHeight="1">
      <c r="C105" s="53"/>
      <c r="D105" s="53"/>
      <c r="E105" s="53"/>
      <c r="F105" s="53"/>
      <c r="G105" s="53"/>
      <c r="H105" s="53"/>
      <c r="I105" s="54"/>
      <c r="J105" s="54"/>
      <c r="K105" s="54"/>
      <c r="L105" s="54"/>
      <c r="M105" s="54"/>
      <c r="N105" s="54"/>
      <c r="O105" s="55"/>
      <c r="P105" s="55"/>
      <c r="Q105" s="55"/>
      <c r="R105" s="55"/>
      <c r="S105" s="55"/>
    </row>
    <row r="106" spans="3:19" ht="15.95" hidden="1" customHeight="1">
      <c r="C106" s="53"/>
      <c r="D106" s="53"/>
      <c r="E106" s="53"/>
      <c r="F106" s="53"/>
      <c r="G106" s="53"/>
      <c r="H106" s="53"/>
      <c r="I106" s="54"/>
      <c r="J106" s="54"/>
      <c r="K106" s="54"/>
      <c r="L106" s="54"/>
      <c r="M106" s="54"/>
      <c r="N106" s="54"/>
      <c r="O106" s="55"/>
      <c r="P106" s="55"/>
      <c r="Q106" s="55"/>
      <c r="R106" s="55"/>
      <c r="S106" s="55"/>
    </row>
    <row r="107" spans="3:19" ht="15.95" hidden="1" customHeight="1">
      <c r="C107" s="53"/>
      <c r="D107" s="53"/>
      <c r="E107" s="53"/>
      <c r="F107" s="53"/>
      <c r="G107" s="53"/>
      <c r="H107" s="53"/>
      <c r="I107" s="54"/>
      <c r="J107" s="54"/>
      <c r="K107" s="54"/>
      <c r="L107" s="54"/>
      <c r="M107" s="54"/>
      <c r="N107" s="54"/>
      <c r="O107" s="55"/>
      <c r="P107" s="55"/>
      <c r="Q107" s="55"/>
      <c r="R107" s="55"/>
      <c r="S107" s="55"/>
    </row>
    <row r="108" spans="3:19" ht="15.95" hidden="1" customHeight="1">
      <c r="C108" s="53"/>
      <c r="D108" s="53"/>
      <c r="E108" s="53"/>
      <c r="F108" s="53"/>
      <c r="G108" s="53"/>
      <c r="H108" s="53"/>
      <c r="I108" s="54"/>
      <c r="J108" s="54"/>
      <c r="K108" s="54"/>
      <c r="L108" s="54"/>
      <c r="M108" s="54"/>
      <c r="N108" s="54"/>
      <c r="O108" s="55"/>
      <c r="P108" s="55"/>
      <c r="Q108" s="55"/>
      <c r="R108" s="55"/>
      <c r="S108" s="55"/>
    </row>
    <row r="109" spans="3:19" ht="15.95" hidden="1" customHeight="1">
      <c r="C109" s="53"/>
      <c r="D109" s="53"/>
      <c r="E109" s="53"/>
      <c r="F109" s="53"/>
      <c r="G109" s="53"/>
      <c r="H109" s="53"/>
      <c r="I109" s="54"/>
      <c r="J109" s="54"/>
      <c r="K109" s="54"/>
      <c r="L109" s="54"/>
      <c r="M109" s="54"/>
      <c r="N109" s="54"/>
      <c r="O109" s="55"/>
      <c r="P109" s="55"/>
      <c r="Q109" s="55"/>
      <c r="R109" s="55"/>
      <c r="S109" s="55"/>
    </row>
    <row r="110" spans="3:19" ht="15.95" hidden="1" customHeight="1">
      <c r="C110" s="53"/>
      <c r="D110" s="53"/>
      <c r="E110" s="53"/>
      <c r="F110" s="53"/>
      <c r="G110" s="53"/>
      <c r="H110" s="53"/>
      <c r="I110" s="54"/>
      <c r="J110" s="54"/>
      <c r="K110" s="54"/>
      <c r="L110" s="54"/>
      <c r="M110" s="54"/>
      <c r="N110" s="54"/>
      <c r="O110" s="55"/>
      <c r="P110" s="55"/>
      <c r="Q110" s="55"/>
      <c r="R110" s="55"/>
      <c r="S110" s="55"/>
    </row>
    <row r="111" spans="3:19" ht="15.95" hidden="1" customHeight="1">
      <c r="C111" s="53"/>
      <c r="D111" s="53"/>
      <c r="E111" s="53"/>
      <c r="F111" s="53"/>
      <c r="G111" s="53"/>
      <c r="H111" s="53"/>
      <c r="I111" s="54"/>
      <c r="J111" s="54"/>
      <c r="K111" s="54"/>
      <c r="L111" s="54"/>
      <c r="M111" s="54"/>
      <c r="N111" s="54"/>
      <c r="O111" s="55"/>
      <c r="P111" s="55"/>
      <c r="Q111" s="55"/>
      <c r="R111" s="55"/>
      <c r="S111" s="55"/>
    </row>
    <row r="112" spans="3:19" ht="15.95" hidden="1" customHeight="1">
      <c r="C112" s="53"/>
      <c r="D112" s="53"/>
      <c r="E112" s="53"/>
      <c r="F112" s="53"/>
      <c r="G112" s="53"/>
      <c r="H112" s="53"/>
      <c r="I112" s="54"/>
      <c r="J112" s="54"/>
      <c r="K112" s="54"/>
      <c r="L112" s="54"/>
      <c r="M112" s="54"/>
      <c r="N112" s="54"/>
      <c r="O112" s="55"/>
      <c r="P112" s="55"/>
      <c r="Q112" s="55"/>
      <c r="R112" s="55"/>
      <c r="S112" s="55"/>
    </row>
    <row r="113" spans="3:19" ht="15.95" hidden="1" customHeight="1">
      <c r="C113" s="53"/>
      <c r="D113" s="53"/>
      <c r="E113" s="53"/>
      <c r="F113" s="53"/>
      <c r="G113" s="53"/>
      <c r="H113" s="53"/>
      <c r="I113" s="54"/>
      <c r="J113" s="54"/>
      <c r="K113" s="54"/>
      <c r="L113" s="54"/>
      <c r="M113" s="54"/>
      <c r="N113" s="54"/>
      <c r="O113" s="55"/>
      <c r="P113" s="55"/>
      <c r="Q113" s="55"/>
      <c r="R113" s="55"/>
      <c r="S113" s="55"/>
    </row>
    <row r="114" spans="3:19" ht="15.95" hidden="1" customHeight="1">
      <c r="C114" s="53"/>
      <c r="D114" s="53"/>
      <c r="E114" s="53"/>
      <c r="F114" s="53"/>
      <c r="G114" s="53"/>
      <c r="H114" s="53"/>
      <c r="I114" s="54"/>
      <c r="J114" s="54"/>
      <c r="K114" s="54"/>
      <c r="L114" s="54"/>
      <c r="M114" s="54"/>
      <c r="N114" s="54"/>
      <c r="O114" s="55"/>
      <c r="P114" s="55"/>
      <c r="Q114" s="55"/>
      <c r="R114" s="55"/>
      <c r="S114" s="55"/>
    </row>
    <row r="115" spans="3:19" ht="15.95" hidden="1" customHeight="1">
      <c r="C115" s="53"/>
      <c r="D115" s="53"/>
      <c r="E115" s="53"/>
      <c r="F115" s="53"/>
      <c r="G115" s="53"/>
      <c r="H115" s="53"/>
      <c r="I115" s="54"/>
      <c r="J115" s="54"/>
      <c r="K115" s="54"/>
      <c r="L115" s="54"/>
      <c r="M115" s="54"/>
      <c r="N115" s="54"/>
      <c r="O115" s="55"/>
      <c r="P115" s="55"/>
      <c r="Q115" s="55"/>
      <c r="R115" s="55"/>
      <c r="S115" s="55"/>
    </row>
    <row r="116" spans="3:19" ht="15.95" hidden="1" customHeight="1">
      <c r="C116" s="53"/>
      <c r="D116" s="53"/>
      <c r="E116" s="53"/>
      <c r="F116" s="53"/>
      <c r="G116" s="53"/>
      <c r="H116" s="53"/>
      <c r="I116" s="54"/>
      <c r="J116" s="54"/>
      <c r="K116" s="54"/>
      <c r="L116" s="54"/>
      <c r="M116" s="54"/>
      <c r="N116" s="54"/>
      <c r="O116" s="55"/>
      <c r="P116" s="55"/>
      <c r="Q116" s="55"/>
      <c r="R116" s="55"/>
      <c r="S116" s="55"/>
    </row>
    <row r="117" spans="3:19" ht="15.95" hidden="1" customHeight="1">
      <c r="C117" s="53"/>
      <c r="D117" s="53"/>
      <c r="E117" s="53"/>
      <c r="F117" s="53"/>
      <c r="G117" s="53"/>
      <c r="H117" s="53"/>
      <c r="I117" s="54"/>
      <c r="J117" s="54"/>
      <c r="K117" s="54"/>
      <c r="L117" s="54"/>
      <c r="M117" s="54"/>
      <c r="N117" s="54"/>
      <c r="O117" s="55"/>
      <c r="P117" s="55"/>
      <c r="Q117" s="55"/>
      <c r="R117" s="55"/>
      <c r="S117" s="55"/>
    </row>
    <row r="118" spans="3:19" ht="15.95" hidden="1" customHeight="1">
      <c r="C118" s="53"/>
      <c r="D118" s="53"/>
      <c r="E118" s="53"/>
      <c r="F118" s="53"/>
      <c r="G118" s="53"/>
      <c r="H118" s="53"/>
      <c r="I118" s="54"/>
      <c r="J118" s="54"/>
      <c r="K118" s="54"/>
      <c r="L118" s="54"/>
      <c r="M118" s="54"/>
      <c r="N118" s="54"/>
      <c r="O118" s="55"/>
      <c r="P118" s="55"/>
      <c r="Q118" s="55"/>
      <c r="R118" s="55"/>
      <c r="S118" s="55"/>
    </row>
    <row r="119" spans="3:19" ht="15.95" hidden="1" customHeight="1">
      <c r="C119" s="53"/>
      <c r="D119" s="53"/>
      <c r="E119" s="53"/>
      <c r="F119" s="53"/>
      <c r="G119" s="53"/>
      <c r="H119" s="53"/>
      <c r="I119" s="54"/>
      <c r="J119" s="54"/>
      <c r="K119" s="54"/>
      <c r="L119" s="54"/>
      <c r="M119" s="54"/>
      <c r="N119" s="54"/>
      <c r="O119" s="55"/>
      <c r="P119" s="55"/>
      <c r="Q119" s="55"/>
      <c r="R119" s="55"/>
      <c r="S119" s="55"/>
    </row>
    <row r="120" spans="3:19" ht="15.95" hidden="1" customHeight="1">
      <c r="C120" s="53"/>
      <c r="D120" s="53"/>
      <c r="E120" s="53"/>
      <c r="F120" s="53"/>
      <c r="G120" s="53"/>
      <c r="H120" s="53"/>
      <c r="I120" s="54"/>
      <c r="J120" s="54"/>
      <c r="K120" s="54"/>
      <c r="L120" s="54"/>
      <c r="M120" s="54"/>
      <c r="N120" s="54"/>
      <c r="O120" s="55"/>
      <c r="P120" s="55"/>
      <c r="Q120" s="55"/>
      <c r="R120" s="55"/>
      <c r="S120" s="55"/>
    </row>
    <row r="121" spans="3:19" ht="15.95" hidden="1" customHeight="1">
      <c r="C121" s="53"/>
      <c r="D121" s="53"/>
      <c r="E121" s="53"/>
      <c r="F121" s="53"/>
      <c r="G121" s="53"/>
      <c r="H121" s="53"/>
      <c r="I121" s="54"/>
      <c r="J121" s="54"/>
      <c r="K121" s="54"/>
      <c r="L121" s="54"/>
      <c r="M121" s="54"/>
      <c r="N121" s="54"/>
      <c r="O121" s="55"/>
      <c r="P121" s="55"/>
      <c r="Q121" s="55"/>
      <c r="R121" s="55"/>
      <c r="S121" s="55"/>
    </row>
    <row r="122" spans="3:19" ht="15.95" hidden="1" customHeight="1">
      <c r="C122" s="53"/>
      <c r="D122" s="53"/>
      <c r="E122" s="53"/>
      <c r="F122" s="53"/>
      <c r="G122" s="53"/>
      <c r="H122" s="53"/>
      <c r="I122" s="54"/>
      <c r="J122" s="54"/>
      <c r="K122" s="54"/>
      <c r="L122" s="54"/>
      <c r="M122" s="54"/>
      <c r="N122" s="54"/>
      <c r="O122" s="55"/>
      <c r="P122" s="55"/>
      <c r="Q122" s="55"/>
      <c r="R122" s="55"/>
      <c r="S122" s="55"/>
    </row>
    <row r="123" spans="3:19" ht="15.95" hidden="1" customHeight="1">
      <c r="C123" s="53"/>
      <c r="D123" s="53"/>
      <c r="E123" s="53"/>
      <c r="F123" s="53"/>
      <c r="G123" s="53"/>
      <c r="H123" s="53"/>
      <c r="I123" s="54"/>
      <c r="J123" s="54"/>
      <c r="K123" s="54"/>
      <c r="L123" s="54"/>
      <c r="M123" s="54"/>
      <c r="N123" s="54"/>
      <c r="O123" s="55"/>
      <c r="P123" s="55"/>
      <c r="Q123" s="55"/>
      <c r="R123" s="55"/>
      <c r="S123" s="55"/>
    </row>
    <row r="124" spans="3:19" ht="15.95" hidden="1" customHeight="1">
      <c r="C124" s="53"/>
      <c r="D124" s="53"/>
      <c r="E124" s="53"/>
      <c r="F124" s="53"/>
      <c r="G124" s="53"/>
      <c r="H124" s="53"/>
      <c r="I124" s="54"/>
      <c r="J124" s="54"/>
      <c r="K124" s="54"/>
      <c r="L124" s="54"/>
      <c r="M124" s="54"/>
      <c r="N124" s="54"/>
      <c r="O124" s="55"/>
      <c r="P124" s="55"/>
      <c r="Q124" s="55"/>
      <c r="R124" s="55"/>
      <c r="S124" s="55"/>
    </row>
    <row r="125" spans="3:19" ht="15.95" hidden="1" customHeight="1">
      <c r="C125" s="53"/>
      <c r="D125" s="53"/>
      <c r="E125" s="53"/>
      <c r="F125" s="53"/>
      <c r="G125" s="53"/>
      <c r="H125" s="53"/>
      <c r="I125" s="54"/>
      <c r="J125" s="54"/>
      <c r="K125" s="54"/>
      <c r="L125" s="54"/>
      <c r="M125" s="54"/>
      <c r="N125" s="54"/>
      <c r="O125" s="55"/>
      <c r="P125" s="55"/>
      <c r="Q125" s="55"/>
      <c r="R125" s="55"/>
      <c r="S125" s="55"/>
    </row>
    <row r="126" spans="3:19" ht="15.95" hidden="1" customHeight="1">
      <c r="C126" s="53"/>
      <c r="D126" s="53"/>
      <c r="E126" s="53"/>
      <c r="F126" s="53"/>
      <c r="G126" s="53"/>
      <c r="H126" s="53"/>
      <c r="I126" s="54"/>
      <c r="J126" s="54"/>
      <c r="K126" s="54"/>
      <c r="L126" s="54"/>
      <c r="M126" s="54"/>
      <c r="N126" s="54"/>
      <c r="O126" s="55"/>
      <c r="P126" s="55"/>
      <c r="Q126" s="55"/>
      <c r="R126" s="55"/>
      <c r="S126" s="55"/>
    </row>
    <row r="127" spans="3:19" ht="15.95" hidden="1" customHeight="1">
      <c r="C127" s="53"/>
      <c r="D127" s="53"/>
      <c r="E127" s="53"/>
      <c r="F127" s="53"/>
      <c r="G127" s="53"/>
      <c r="H127" s="53"/>
      <c r="I127" s="54"/>
      <c r="J127" s="54"/>
      <c r="K127" s="54"/>
      <c r="L127" s="54"/>
      <c r="M127" s="54"/>
      <c r="N127" s="54"/>
      <c r="O127" s="55"/>
      <c r="P127" s="55"/>
      <c r="Q127" s="55"/>
      <c r="R127" s="55"/>
      <c r="S127" s="55"/>
    </row>
    <row r="128" spans="3:19" ht="15.95" hidden="1" customHeight="1">
      <c r="C128" s="53"/>
      <c r="D128" s="53"/>
      <c r="E128" s="53"/>
      <c r="F128" s="53"/>
      <c r="G128" s="53"/>
      <c r="H128" s="53"/>
      <c r="I128" s="54"/>
      <c r="J128" s="54"/>
      <c r="K128" s="54"/>
      <c r="L128" s="54"/>
      <c r="M128" s="54"/>
      <c r="N128" s="54"/>
      <c r="O128" s="55"/>
      <c r="P128" s="55"/>
      <c r="Q128" s="55"/>
      <c r="R128" s="55"/>
      <c r="S128" s="55"/>
    </row>
    <row r="129" spans="3:19" ht="15.95" hidden="1" customHeight="1">
      <c r="C129" s="53"/>
      <c r="D129" s="53"/>
      <c r="E129" s="53"/>
      <c r="F129" s="53"/>
      <c r="G129" s="53"/>
      <c r="H129" s="53"/>
      <c r="I129" s="54"/>
      <c r="J129" s="54"/>
      <c r="K129" s="54"/>
      <c r="L129" s="54"/>
      <c r="M129" s="54"/>
      <c r="N129" s="54"/>
      <c r="O129" s="55"/>
      <c r="P129" s="55"/>
      <c r="Q129" s="55"/>
      <c r="R129" s="55"/>
      <c r="S129" s="55"/>
    </row>
    <row r="130" spans="3:19" ht="15.95" hidden="1" customHeight="1">
      <c r="C130" s="53"/>
      <c r="D130" s="53"/>
      <c r="E130" s="53"/>
      <c r="F130" s="53"/>
      <c r="G130" s="53"/>
      <c r="H130" s="53"/>
      <c r="I130" s="54"/>
      <c r="J130" s="54"/>
      <c r="K130" s="54"/>
      <c r="L130" s="54"/>
      <c r="M130" s="54"/>
      <c r="N130" s="54"/>
      <c r="O130" s="55"/>
      <c r="P130" s="55"/>
      <c r="Q130" s="55"/>
      <c r="R130" s="55"/>
      <c r="S130" s="55"/>
    </row>
    <row r="131" spans="3:19" ht="15.95" hidden="1" customHeight="1">
      <c r="C131" s="53"/>
      <c r="D131" s="53"/>
      <c r="E131" s="53"/>
      <c r="F131" s="53"/>
      <c r="G131" s="53"/>
      <c r="H131" s="53"/>
      <c r="I131" s="54"/>
      <c r="J131" s="54"/>
      <c r="K131" s="54"/>
      <c r="L131" s="54"/>
      <c r="M131" s="54"/>
      <c r="N131" s="54"/>
      <c r="O131" s="55"/>
      <c r="P131" s="55"/>
      <c r="Q131" s="55"/>
      <c r="R131" s="55"/>
      <c r="S131" s="55"/>
    </row>
    <row r="132" spans="3:19" ht="15.95" hidden="1" customHeight="1">
      <c r="C132" s="53"/>
      <c r="D132" s="53"/>
      <c r="E132" s="53"/>
      <c r="F132" s="53"/>
      <c r="G132" s="53"/>
      <c r="H132" s="53"/>
      <c r="I132" s="54"/>
      <c r="J132" s="54"/>
      <c r="K132" s="54"/>
      <c r="L132" s="54"/>
      <c r="M132" s="54"/>
      <c r="N132" s="54"/>
      <c r="O132" s="55"/>
      <c r="P132" s="55"/>
      <c r="Q132" s="55"/>
      <c r="R132" s="55"/>
      <c r="S132" s="55"/>
    </row>
    <row r="133" spans="3:19" ht="15.95" hidden="1" customHeight="1">
      <c r="C133" s="53"/>
      <c r="D133" s="53"/>
      <c r="E133" s="53"/>
      <c r="F133" s="53"/>
      <c r="G133" s="53"/>
      <c r="H133" s="53"/>
      <c r="I133" s="54"/>
      <c r="J133" s="54"/>
      <c r="K133" s="54"/>
      <c r="L133" s="54"/>
      <c r="M133" s="54"/>
      <c r="N133" s="54"/>
      <c r="O133" s="55"/>
      <c r="P133" s="55"/>
      <c r="Q133" s="55"/>
      <c r="R133" s="55"/>
      <c r="S133" s="55"/>
    </row>
    <row r="134" spans="3:19" ht="15.95" hidden="1" customHeight="1">
      <c r="C134" s="53"/>
      <c r="D134" s="53"/>
      <c r="E134" s="53"/>
      <c r="F134" s="53"/>
      <c r="G134" s="53"/>
      <c r="H134" s="53"/>
      <c r="I134" s="54"/>
      <c r="J134" s="54"/>
      <c r="K134" s="54"/>
      <c r="L134" s="54"/>
      <c r="M134" s="54"/>
      <c r="N134" s="54"/>
      <c r="O134" s="55"/>
      <c r="P134" s="55"/>
      <c r="Q134" s="55"/>
      <c r="R134" s="55"/>
      <c r="S134" s="55"/>
    </row>
    <row r="135" spans="3:19" ht="15.95" hidden="1" customHeight="1">
      <c r="C135" s="53"/>
      <c r="D135" s="53"/>
      <c r="E135" s="53"/>
      <c r="F135" s="53"/>
      <c r="G135" s="53"/>
      <c r="H135" s="53"/>
      <c r="I135" s="54"/>
      <c r="J135" s="54"/>
      <c r="K135" s="54"/>
      <c r="L135" s="54"/>
      <c r="M135" s="54"/>
      <c r="N135" s="54"/>
      <c r="O135" s="55"/>
      <c r="P135" s="55"/>
      <c r="Q135" s="55"/>
      <c r="R135" s="55"/>
      <c r="S135" s="55"/>
    </row>
    <row r="136" spans="3:19" ht="15.95" hidden="1" customHeight="1">
      <c r="C136" s="53"/>
      <c r="D136" s="53"/>
      <c r="E136" s="53"/>
      <c r="F136" s="53"/>
      <c r="G136" s="53"/>
      <c r="H136" s="53"/>
      <c r="I136" s="54"/>
      <c r="J136" s="54"/>
      <c r="K136" s="54"/>
      <c r="L136" s="54"/>
      <c r="M136" s="54"/>
      <c r="N136" s="54"/>
      <c r="O136" s="55"/>
      <c r="P136" s="55"/>
      <c r="Q136" s="55"/>
      <c r="R136" s="55"/>
      <c r="S136" s="55"/>
    </row>
    <row r="137" spans="3:19" ht="15.95" hidden="1" customHeight="1">
      <c r="C137" s="53"/>
      <c r="D137" s="53"/>
      <c r="E137" s="53"/>
      <c r="F137" s="53"/>
      <c r="G137" s="53"/>
      <c r="H137" s="53"/>
      <c r="I137" s="54"/>
      <c r="J137" s="54"/>
      <c r="K137" s="54"/>
      <c r="L137" s="54"/>
      <c r="M137" s="54"/>
      <c r="N137" s="54"/>
      <c r="O137" s="55"/>
      <c r="P137" s="55"/>
      <c r="Q137" s="55"/>
      <c r="R137" s="55"/>
      <c r="S137" s="55"/>
    </row>
    <row r="138" spans="3:19" ht="15.95" hidden="1" customHeight="1">
      <c r="C138" s="53"/>
      <c r="D138" s="53"/>
      <c r="E138" s="53"/>
      <c r="F138" s="53"/>
      <c r="G138" s="53"/>
      <c r="H138" s="53"/>
      <c r="I138" s="54"/>
      <c r="J138" s="54"/>
      <c r="K138" s="54"/>
      <c r="L138" s="54"/>
      <c r="M138" s="54"/>
      <c r="N138" s="54"/>
      <c r="O138" s="55"/>
      <c r="P138" s="55"/>
      <c r="Q138" s="55"/>
      <c r="R138" s="55"/>
      <c r="S138" s="55"/>
    </row>
    <row r="139" spans="3:19" ht="15.95" hidden="1" customHeight="1">
      <c r="C139" s="53"/>
      <c r="D139" s="53"/>
      <c r="E139" s="53"/>
      <c r="F139" s="53"/>
      <c r="G139" s="53"/>
      <c r="H139" s="53"/>
      <c r="I139" s="54"/>
      <c r="J139" s="54"/>
      <c r="K139" s="54"/>
      <c r="L139" s="54"/>
      <c r="M139" s="54"/>
      <c r="N139" s="54"/>
      <c r="O139" s="55"/>
      <c r="P139" s="55"/>
      <c r="Q139" s="55"/>
      <c r="R139" s="55"/>
      <c r="S139" s="55"/>
    </row>
    <row r="140" spans="3:19" ht="15.95" hidden="1" customHeight="1">
      <c r="C140" s="53"/>
      <c r="D140" s="53"/>
      <c r="E140" s="53"/>
      <c r="F140" s="53"/>
      <c r="G140" s="53"/>
      <c r="H140" s="53"/>
      <c r="I140" s="54"/>
      <c r="J140" s="54"/>
      <c r="K140" s="54"/>
      <c r="L140" s="54"/>
      <c r="M140" s="54"/>
      <c r="N140" s="54"/>
      <c r="O140" s="55"/>
      <c r="P140" s="55"/>
      <c r="Q140" s="55"/>
      <c r="R140" s="55"/>
      <c r="S140" s="55"/>
    </row>
    <row r="141" spans="3:19" ht="15.95" hidden="1" customHeight="1">
      <c r="C141" s="53"/>
      <c r="D141" s="53"/>
      <c r="E141" s="53"/>
      <c r="F141" s="53"/>
      <c r="G141" s="53"/>
      <c r="H141" s="53"/>
      <c r="I141" s="54"/>
      <c r="J141" s="54"/>
      <c r="K141" s="54"/>
      <c r="L141" s="54"/>
      <c r="M141" s="54"/>
      <c r="N141" s="54"/>
      <c r="O141" s="55"/>
      <c r="P141" s="55"/>
      <c r="Q141" s="55"/>
      <c r="R141" s="55"/>
      <c r="S141" s="55"/>
    </row>
    <row r="142" spans="3:19" ht="15.95" hidden="1" customHeight="1">
      <c r="C142" s="53"/>
      <c r="D142" s="53"/>
      <c r="E142" s="53"/>
      <c r="F142" s="53"/>
      <c r="G142" s="53"/>
      <c r="H142" s="53"/>
      <c r="I142" s="54"/>
      <c r="J142" s="54"/>
      <c r="K142" s="54"/>
      <c r="L142" s="54"/>
      <c r="M142" s="54"/>
      <c r="N142" s="54"/>
      <c r="O142" s="55"/>
      <c r="P142" s="55"/>
      <c r="Q142" s="55"/>
      <c r="R142" s="55"/>
      <c r="S142" s="55"/>
    </row>
    <row r="143" spans="3:19" ht="15.95" hidden="1" customHeight="1">
      <c r="C143" s="53"/>
      <c r="D143" s="53"/>
      <c r="E143" s="53"/>
      <c r="F143" s="53"/>
      <c r="G143" s="53"/>
      <c r="H143" s="53"/>
      <c r="I143" s="54"/>
      <c r="J143" s="54"/>
      <c r="K143" s="54"/>
      <c r="L143" s="54"/>
      <c r="M143" s="54"/>
      <c r="N143" s="54"/>
      <c r="O143" s="55"/>
      <c r="P143" s="55"/>
      <c r="Q143" s="55"/>
      <c r="R143" s="55"/>
      <c r="S143" s="55"/>
    </row>
    <row r="144" spans="3:19" ht="15.95" hidden="1" customHeight="1">
      <c r="C144" s="53"/>
      <c r="D144" s="53"/>
      <c r="E144" s="53"/>
      <c r="F144" s="53"/>
      <c r="G144" s="53"/>
      <c r="H144" s="53"/>
      <c r="I144" s="54"/>
      <c r="J144" s="54"/>
      <c r="K144" s="54"/>
      <c r="L144" s="54"/>
      <c r="M144" s="54"/>
      <c r="N144" s="54"/>
      <c r="O144" s="55"/>
      <c r="P144" s="55"/>
      <c r="Q144" s="55"/>
      <c r="R144" s="55"/>
      <c r="S144" s="55"/>
    </row>
    <row r="145" spans="3:19" ht="15.95" hidden="1" customHeight="1">
      <c r="C145" s="53"/>
      <c r="D145" s="53"/>
      <c r="E145" s="53"/>
      <c r="F145" s="53"/>
      <c r="G145" s="53"/>
      <c r="H145" s="53"/>
      <c r="I145" s="54"/>
      <c r="J145" s="54"/>
      <c r="K145" s="54"/>
      <c r="L145" s="54"/>
      <c r="M145" s="54"/>
      <c r="N145" s="54"/>
      <c r="O145" s="55"/>
      <c r="P145" s="55"/>
      <c r="Q145" s="55"/>
      <c r="R145" s="55"/>
      <c r="S145" s="55"/>
    </row>
    <row r="146" spans="3:19" ht="15.95" hidden="1" customHeight="1">
      <c r="C146" s="53"/>
      <c r="D146" s="53"/>
      <c r="E146" s="53"/>
      <c r="F146" s="53"/>
      <c r="G146" s="53"/>
      <c r="H146" s="53"/>
      <c r="I146" s="54"/>
      <c r="J146" s="54"/>
      <c r="K146" s="54"/>
      <c r="L146" s="54"/>
      <c r="M146" s="54"/>
      <c r="N146" s="54"/>
      <c r="O146" s="55"/>
      <c r="P146" s="55"/>
      <c r="Q146" s="55"/>
      <c r="R146" s="55"/>
      <c r="S146" s="55"/>
    </row>
    <row r="147" spans="3:19" ht="15.95" hidden="1" customHeight="1">
      <c r="C147" s="53"/>
      <c r="D147" s="53"/>
      <c r="E147" s="53"/>
      <c r="F147" s="53"/>
      <c r="G147" s="53"/>
      <c r="H147" s="53"/>
      <c r="I147" s="54"/>
      <c r="J147" s="54"/>
      <c r="K147" s="54"/>
      <c r="L147" s="54"/>
      <c r="M147" s="54"/>
      <c r="N147" s="54"/>
      <c r="O147" s="55"/>
      <c r="P147" s="55"/>
      <c r="Q147" s="55"/>
      <c r="R147" s="55"/>
      <c r="S147" s="55"/>
    </row>
    <row r="148" spans="3:19" ht="15.95" hidden="1" customHeight="1">
      <c r="C148" s="53"/>
      <c r="D148" s="53"/>
      <c r="E148" s="53"/>
      <c r="F148" s="53"/>
      <c r="G148" s="53"/>
      <c r="H148" s="53"/>
      <c r="I148" s="54"/>
      <c r="J148" s="54"/>
      <c r="K148" s="54"/>
      <c r="L148" s="54"/>
      <c r="M148" s="54"/>
      <c r="N148" s="54"/>
      <c r="O148" s="55"/>
      <c r="P148" s="55"/>
      <c r="Q148" s="55"/>
      <c r="R148" s="55"/>
      <c r="S148" s="55"/>
    </row>
    <row r="149" spans="3:19" ht="15.95" hidden="1" customHeight="1">
      <c r="C149" s="53"/>
      <c r="D149" s="53"/>
      <c r="E149" s="53"/>
      <c r="F149" s="53"/>
      <c r="G149" s="53"/>
      <c r="H149" s="53"/>
      <c r="I149" s="54"/>
      <c r="J149" s="54"/>
      <c r="K149" s="54"/>
      <c r="L149" s="54"/>
      <c r="M149" s="54"/>
      <c r="N149" s="54"/>
      <c r="O149" s="55"/>
      <c r="P149" s="55"/>
      <c r="Q149" s="55"/>
      <c r="R149" s="55"/>
      <c r="S149" s="55"/>
    </row>
    <row r="150" spans="3:19" ht="15.95" hidden="1" customHeight="1">
      <c r="C150" s="53"/>
      <c r="D150" s="53"/>
      <c r="E150" s="53"/>
      <c r="F150" s="53"/>
      <c r="G150" s="53"/>
      <c r="H150" s="53"/>
      <c r="I150" s="54"/>
      <c r="J150" s="54"/>
      <c r="K150" s="54"/>
      <c r="L150" s="54"/>
      <c r="M150" s="54"/>
      <c r="N150" s="54"/>
      <c r="O150" s="55"/>
      <c r="P150" s="55"/>
      <c r="Q150" s="55"/>
      <c r="R150" s="55"/>
      <c r="S150" s="55"/>
    </row>
    <row r="151" spans="3:19" ht="15.95" hidden="1" customHeight="1">
      <c r="C151" s="53"/>
      <c r="D151" s="53"/>
      <c r="E151" s="53"/>
      <c r="F151" s="53"/>
      <c r="G151" s="53"/>
      <c r="H151" s="53"/>
      <c r="I151" s="54"/>
      <c r="J151" s="54"/>
      <c r="K151" s="54"/>
      <c r="L151" s="54"/>
      <c r="M151" s="54"/>
      <c r="N151" s="54"/>
      <c r="O151" s="55"/>
      <c r="P151" s="55"/>
      <c r="Q151" s="55"/>
      <c r="R151" s="55"/>
      <c r="S151" s="55"/>
    </row>
    <row r="152" spans="3:19" ht="15.95" hidden="1" customHeight="1">
      <c r="C152" s="53"/>
      <c r="D152" s="53"/>
      <c r="E152" s="53"/>
      <c r="F152" s="53"/>
      <c r="G152" s="53"/>
      <c r="H152" s="53"/>
      <c r="I152" s="54"/>
      <c r="J152" s="54"/>
      <c r="K152" s="54"/>
      <c r="L152" s="54"/>
      <c r="M152" s="54"/>
      <c r="N152" s="54"/>
      <c r="O152" s="55"/>
      <c r="P152" s="55"/>
      <c r="Q152" s="55"/>
      <c r="R152" s="55"/>
      <c r="S152" s="55"/>
    </row>
    <row r="153" spans="3:19" ht="15.95" hidden="1" customHeight="1">
      <c r="C153" s="53"/>
      <c r="D153" s="53"/>
      <c r="E153" s="53"/>
      <c r="F153" s="53"/>
      <c r="G153" s="53"/>
      <c r="H153" s="53"/>
      <c r="I153" s="54"/>
      <c r="J153" s="54"/>
      <c r="K153" s="54"/>
      <c r="L153" s="54"/>
      <c r="M153" s="54"/>
      <c r="N153" s="54"/>
      <c r="O153" s="55"/>
      <c r="P153" s="55"/>
      <c r="Q153" s="55"/>
      <c r="R153" s="55"/>
      <c r="S153" s="55"/>
    </row>
    <row r="154" spans="3:19" ht="15.95" hidden="1" customHeight="1">
      <c r="C154" s="53"/>
      <c r="D154" s="53"/>
      <c r="E154" s="53"/>
      <c r="F154" s="53"/>
      <c r="G154" s="53"/>
      <c r="H154" s="53"/>
      <c r="I154" s="54"/>
      <c r="J154" s="54"/>
      <c r="K154" s="54"/>
      <c r="L154" s="54"/>
      <c r="M154" s="54"/>
      <c r="N154" s="54"/>
      <c r="O154" s="55"/>
      <c r="P154" s="55"/>
      <c r="Q154" s="55"/>
      <c r="R154" s="55"/>
      <c r="S154" s="55"/>
    </row>
    <row r="155" spans="3:19" ht="15.95" hidden="1" customHeight="1">
      <c r="C155" s="53"/>
      <c r="D155" s="53"/>
      <c r="E155" s="53"/>
      <c r="F155" s="53"/>
      <c r="G155" s="53"/>
      <c r="H155" s="53"/>
      <c r="I155" s="54"/>
      <c r="J155" s="54"/>
      <c r="K155" s="54"/>
      <c r="L155" s="54"/>
      <c r="M155" s="54"/>
      <c r="N155" s="54"/>
      <c r="O155" s="55"/>
      <c r="P155" s="55"/>
      <c r="Q155" s="55"/>
      <c r="R155" s="55"/>
      <c r="S155" s="55"/>
    </row>
    <row r="156" spans="3:19" ht="15.95" hidden="1" customHeight="1">
      <c r="C156" s="53"/>
      <c r="D156" s="53"/>
      <c r="E156" s="53"/>
      <c r="F156" s="53"/>
      <c r="G156" s="53"/>
      <c r="H156" s="53"/>
      <c r="I156" s="54"/>
      <c r="J156" s="54"/>
      <c r="K156" s="54"/>
      <c r="L156" s="54"/>
      <c r="M156" s="54"/>
      <c r="N156" s="54"/>
      <c r="O156" s="55"/>
      <c r="P156" s="55"/>
      <c r="Q156" s="55"/>
      <c r="R156" s="55"/>
      <c r="S156" s="55"/>
    </row>
    <row r="157" spans="3:19" ht="15.95" hidden="1" customHeight="1">
      <c r="C157" s="53"/>
      <c r="D157" s="53"/>
      <c r="E157" s="53"/>
      <c r="F157" s="53"/>
      <c r="G157" s="53"/>
      <c r="H157" s="53"/>
      <c r="I157" s="54"/>
      <c r="J157" s="54"/>
      <c r="K157" s="54"/>
      <c r="L157" s="54"/>
      <c r="M157" s="54"/>
      <c r="N157" s="54"/>
      <c r="O157" s="55"/>
      <c r="P157" s="55"/>
      <c r="Q157" s="55"/>
      <c r="R157" s="55"/>
      <c r="S157" s="55"/>
    </row>
    <row r="158" spans="3:19" ht="15.95" hidden="1" customHeight="1">
      <c r="C158" s="53"/>
      <c r="D158" s="53"/>
      <c r="E158" s="53"/>
      <c r="F158" s="53"/>
      <c r="G158" s="53"/>
      <c r="H158" s="53"/>
      <c r="I158" s="54"/>
      <c r="J158" s="54"/>
      <c r="K158" s="54"/>
      <c r="L158" s="54"/>
      <c r="M158" s="54"/>
      <c r="N158" s="54"/>
      <c r="O158" s="55"/>
      <c r="P158" s="55"/>
      <c r="Q158" s="55"/>
      <c r="R158" s="55"/>
      <c r="S158" s="55"/>
    </row>
    <row r="159" spans="3:19" ht="15.95" hidden="1" customHeight="1">
      <c r="C159" s="53"/>
      <c r="D159" s="53"/>
      <c r="E159" s="53"/>
      <c r="F159" s="53"/>
      <c r="G159" s="53"/>
      <c r="H159" s="53"/>
      <c r="I159" s="54"/>
      <c r="J159" s="54"/>
      <c r="K159" s="54"/>
      <c r="L159" s="54"/>
      <c r="M159" s="54"/>
      <c r="N159" s="54"/>
      <c r="O159" s="55"/>
      <c r="P159" s="55"/>
      <c r="Q159" s="55"/>
      <c r="R159" s="55"/>
      <c r="S159" s="55"/>
    </row>
    <row r="160" spans="3:19" ht="15.95" hidden="1" customHeight="1">
      <c r="C160" s="53"/>
      <c r="D160" s="53"/>
      <c r="E160" s="53"/>
      <c r="F160" s="53"/>
      <c r="G160" s="53"/>
      <c r="H160" s="53"/>
      <c r="I160" s="54"/>
      <c r="J160" s="54"/>
      <c r="K160" s="54"/>
      <c r="L160" s="54"/>
      <c r="M160" s="54"/>
      <c r="N160" s="54"/>
      <c r="O160" s="55"/>
      <c r="P160" s="55"/>
      <c r="Q160" s="55"/>
      <c r="R160" s="55"/>
      <c r="S160" s="55"/>
    </row>
    <row r="161" spans="3:19" ht="15.95" hidden="1" customHeight="1">
      <c r="C161" s="53"/>
      <c r="D161" s="53"/>
      <c r="E161" s="53"/>
      <c r="F161" s="53"/>
      <c r="G161" s="53"/>
      <c r="H161" s="53"/>
      <c r="I161" s="54"/>
      <c r="J161" s="54"/>
      <c r="K161" s="54"/>
      <c r="L161" s="54"/>
      <c r="M161" s="54"/>
      <c r="N161" s="54"/>
      <c r="O161" s="55"/>
      <c r="P161" s="55"/>
      <c r="Q161" s="55"/>
      <c r="R161" s="55"/>
      <c r="S161" s="55"/>
    </row>
    <row r="162" spans="3:19" ht="15.95" hidden="1" customHeight="1">
      <c r="C162" s="53"/>
      <c r="D162" s="53"/>
      <c r="E162" s="53"/>
      <c r="F162" s="53"/>
      <c r="G162" s="53"/>
      <c r="H162" s="53"/>
      <c r="I162" s="54"/>
      <c r="J162" s="54"/>
      <c r="K162" s="54"/>
      <c r="L162" s="54"/>
      <c r="M162" s="54"/>
      <c r="N162" s="54"/>
      <c r="O162" s="55"/>
      <c r="P162" s="55"/>
      <c r="Q162" s="55"/>
      <c r="R162" s="55"/>
      <c r="S162" s="55"/>
    </row>
    <row r="163" spans="3:19" ht="15.95" hidden="1" customHeight="1">
      <c r="C163" s="53"/>
      <c r="D163" s="53"/>
      <c r="E163" s="53"/>
      <c r="F163" s="53"/>
      <c r="G163" s="53"/>
      <c r="H163" s="53"/>
      <c r="I163" s="54"/>
      <c r="J163" s="54"/>
      <c r="K163" s="54"/>
      <c r="L163" s="54"/>
      <c r="M163" s="54"/>
      <c r="N163" s="54"/>
      <c r="O163" s="55"/>
      <c r="P163" s="55"/>
      <c r="Q163" s="55"/>
      <c r="R163" s="55"/>
      <c r="S163" s="55"/>
    </row>
    <row r="164" spans="3:19" ht="15.95" hidden="1" customHeight="1">
      <c r="C164" s="53"/>
      <c r="D164" s="53"/>
      <c r="E164" s="53"/>
      <c r="F164" s="53"/>
      <c r="G164" s="53"/>
      <c r="H164" s="53"/>
      <c r="I164" s="54"/>
      <c r="J164" s="54"/>
      <c r="K164" s="54"/>
      <c r="L164" s="54"/>
      <c r="M164" s="54"/>
      <c r="N164" s="54"/>
      <c r="O164" s="55"/>
      <c r="P164" s="55"/>
      <c r="Q164" s="55"/>
      <c r="R164" s="55"/>
      <c r="S164" s="55"/>
    </row>
    <row r="165" spans="3:19" ht="15.95" hidden="1" customHeight="1">
      <c r="C165" s="53"/>
      <c r="D165" s="53"/>
      <c r="E165" s="53"/>
      <c r="F165" s="53"/>
      <c r="G165" s="53"/>
      <c r="H165" s="53"/>
      <c r="I165" s="54"/>
      <c r="J165" s="54"/>
      <c r="K165" s="54"/>
      <c r="L165" s="54"/>
      <c r="M165" s="54"/>
      <c r="N165" s="54"/>
      <c r="O165" s="55"/>
      <c r="P165" s="55"/>
      <c r="Q165" s="55"/>
      <c r="R165" s="55"/>
      <c r="S165" s="55"/>
    </row>
    <row r="166" spans="3:19" ht="15.95" hidden="1" customHeight="1">
      <c r="C166" s="53"/>
      <c r="D166" s="53"/>
      <c r="E166" s="53"/>
      <c r="F166" s="53"/>
      <c r="G166" s="53"/>
      <c r="H166" s="53"/>
      <c r="I166" s="54"/>
      <c r="J166" s="54"/>
      <c r="K166" s="54"/>
      <c r="L166" s="54"/>
      <c r="M166" s="54"/>
      <c r="N166" s="54"/>
      <c r="O166" s="55"/>
      <c r="P166" s="55"/>
      <c r="Q166" s="55"/>
      <c r="R166" s="55"/>
      <c r="S166" s="55"/>
    </row>
    <row r="167" spans="3:19" ht="15.95" hidden="1" customHeight="1">
      <c r="C167" s="53"/>
      <c r="D167" s="53"/>
      <c r="E167" s="53"/>
      <c r="F167" s="53"/>
      <c r="G167" s="53"/>
      <c r="H167" s="53"/>
      <c r="I167" s="54"/>
      <c r="J167" s="54"/>
      <c r="K167" s="54"/>
      <c r="L167" s="54"/>
      <c r="M167" s="54"/>
      <c r="N167" s="54"/>
      <c r="O167" s="55"/>
      <c r="P167" s="55"/>
      <c r="Q167" s="55"/>
      <c r="R167" s="55"/>
      <c r="S167" s="55"/>
    </row>
    <row r="168" spans="3:19" ht="15.95" hidden="1" customHeight="1">
      <c r="C168" s="53"/>
      <c r="D168" s="53"/>
      <c r="E168" s="53"/>
      <c r="F168" s="53"/>
      <c r="G168" s="53"/>
      <c r="H168" s="53"/>
      <c r="I168" s="54"/>
      <c r="J168" s="54"/>
      <c r="K168" s="54"/>
      <c r="L168" s="54"/>
      <c r="M168" s="54"/>
      <c r="N168" s="54"/>
      <c r="O168" s="55"/>
      <c r="P168" s="55"/>
      <c r="Q168" s="55"/>
      <c r="R168" s="55"/>
      <c r="S168" s="55"/>
    </row>
    <row r="169" spans="3:19" ht="15.95" hidden="1" customHeight="1">
      <c r="C169" s="53"/>
      <c r="D169" s="53"/>
      <c r="E169" s="53"/>
      <c r="F169" s="53"/>
      <c r="G169" s="53"/>
      <c r="H169" s="53"/>
      <c r="I169" s="54"/>
      <c r="J169" s="54"/>
      <c r="K169" s="54"/>
      <c r="L169" s="54"/>
      <c r="M169" s="54"/>
      <c r="N169" s="54"/>
      <c r="O169" s="55"/>
      <c r="P169" s="55"/>
      <c r="Q169" s="55"/>
      <c r="R169" s="55"/>
      <c r="S169" s="55"/>
    </row>
    <row r="170" spans="3:19" ht="15.95" hidden="1" customHeight="1">
      <c r="C170" s="53"/>
      <c r="D170" s="53"/>
      <c r="E170" s="53"/>
      <c r="F170" s="53"/>
      <c r="G170" s="53"/>
      <c r="H170" s="53"/>
      <c r="I170" s="54"/>
      <c r="J170" s="54"/>
      <c r="K170" s="54"/>
      <c r="L170" s="54"/>
      <c r="M170" s="54"/>
      <c r="N170" s="54"/>
      <c r="O170" s="55"/>
      <c r="P170" s="55"/>
      <c r="Q170" s="55"/>
      <c r="R170" s="55"/>
      <c r="S170" s="55"/>
    </row>
    <row r="171" spans="3:19" ht="15.95" hidden="1" customHeight="1">
      <c r="C171" s="53"/>
      <c r="D171" s="53"/>
      <c r="E171" s="53"/>
      <c r="F171" s="53"/>
      <c r="G171" s="53"/>
      <c r="H171" s="53"/>
      <c r="I171" s="54"/>
      <c r="J171" s="54"/>
      <c r="K171" s="54"/>
      <c r="L171" s="54"/>
      <c r="M171" s="54"/>
      <c r="N171" s="54"/>
      <c r="O171" s="55"/>
      <c r="P171" s="55"/>
      <c r="Q171" s="55"/>
      <c r="R171" s="55"/>
      <c r="S171" s="55"/>
    </row>
    <row r="172" spans="3:19" ht="15.95" hidden="1" customHeight="1">
      <c r="C172" s="53"/>
      <c r="D172" s="53"/>
      <c r="E172" s="53"/>
      <c r="F172" s="53"/>
      <c r="G172" s="53"/>
      <c r="H172" s="53"/>
      <c r="I172" s="54"/>
      <c r="J172" s="54"/>
      <c r="K172" s="54"/>
      <c r="L172" s="54"/>
      <c r="M172" s="54"/>
      <c r="N172" s="54"/>
      <c r="O172" s="55"/>
      <c r="P172" s="55"/>
      <c r="Q172" s="55"/>
      <c r="R172" s="55"/>
      <c r="S172" s="55"/>
    </row>
    <row r="173" spans="3:19" ht="15.95" hidden="1" customHeight="1">
      <c r="C173" s="53"/>
      <c r="D173" s="53"/>
      <c r="E173" s="53"/>
      <c r="F173" s="53"/>
      <c r="G173" s="53"/>
      <c r="H173" s="53"/>
      <c r="I173" s="54"/>
      <c r="J173" s="54"/>
      <c r="K173" s="54"/>
      <c r="L173" s="54"/>
      <c r="M173" s="54"/>
      <c r="N173" s="54"/>
      <c r="O173" s="55"/>
      <c r="P173" s="55"/>
      <c r="Q173" s="55"/>
      <c r="R173" s="55"/>
      <c r="S173" s="55"/>
    </row>
    <row r="174" spans="3:19" ht="15.95" hidden="1" customHeight="1">
      <c r="C174" s="53"/>
      <c r="D174" s="53"/>
      <c r="E174" s="53"/>
      <c r="F174" s="53"/>
      <c r="G174" s="53"/>
      <c r="H174" s="53"/>
      <c r="I174" s="54"/>
      <c r="J174" s="54"/>
      <c r="K174" s="54"/>
      <c r="L174" s="54"/>
      <c r="M174" s="54"/>
      <c r="N174" s="54"/>
      <c r="O174" s="55"/>
      <c r="P174" s="55"/>
      <c r="Q174" s="55"/>
      <c r="R174" s="55"/>
      <c r="S174" s="55"/>
    </row>
    <row r="175" spans="3:19" ht="15.95" hidden="1" customHeight="1">
      <c r="C175" s="53"/>
      <c r="D175" s="53"/>
      <c r="E175" s="53"/>
      <c r="F175" s="53"/>
      <c r="G175" s="53"/>
      <c r="H175" s="53"/>
      <c r="I175" s="54"/>
      <c r="J175" s="54"/>
      <c r="K175" s="54"/>
      <c r="L175" s="54"/>
      <c r="M175" s="54"/>
      <c r="N175" s="54"/>
      <c r="O175" s="55"/>
      <c r="P175" s="55"/>
      <c r="Q175" s="55"/>
      <c r="R175" s="55"/>
      <c r="S175" s="55"/>
    </row>
    <row r="176" spans="3:19" ht="15.95" hidden="1" customHeight="1">
      <c r="C176" s="53"/>
      <c r="D176" s="53"/>
      <c r="E176" s="53"/>
      <c r="F176" s="53"/>
      <c r="G176" s="53"/>
      <c r="H176" s="53"/>
      <c r="I176" s="54"/>
      <c r="J176" s="54"/>
      <c r="K176" s="54"/>
      <c r="L176" s="54"/>
      <c r="M176" s="54"/>
      <c r="N176" s="54"/>
      <c r="O176" s="55"/>
      <c r="P176" s="55"/>
      <c r="Q176" s="55"/>
      <c r="R176" s="55"/>
      <c r="S176" s="55"/>
    </row>
    <row r="177" spans="3:19" ht="15.95" hidden="1" customHeight="1">
      <c r="C177" s="53"/>
      <c r="D177" s="53"/>
      <c r="E177" s="53"/>
      <c r="F177" s="53"/>
      <c r="G177" s="53"/>
      <c r="H177" s="53"/>
      <c r="I177" s="54"/>
      <c r="J177" s="54"/>
      <c r="K177" s="54"/>
      <c r="L177" s="54"/>
      <c r="M177" s="54"/>
      <c r="N177" s="54"/>
      <c r="O177" s="55"/>
      <c r="P177" s="55"/>
      <c r="Q177" s="55"/>
      <c r="R177" s="55"/>
      <c r="S177" s="55"/>
    </row>
    <row r="178" spans="3:19" ht="15.95" hidden="1" customHeight="1">
      <c r="C178" s="53"/>
      <c r="D178" s="53"/>
      <c r="E178" s="53"/>
      <c r="F178" s="53"/>
      <c r="G178" s="53"/>
      <c r="H178" s="53"/>
      <c r="I178" s="54"/>
      <c r="J178" s="54"/>
      <c r="K178" s="54"/>
      <c r="L178" s="54"/>
      <c r="M178" s="54"/>
      <c r="N178" s="54"/>
      <c r="O178" s="55"/>
      <c r="P178" s="55"/>
      <c r="Q178" s="55"/>
      <c r="R178" s="55"/>
      <c r="S178" s="55"/>
    </row>
    <row r="179" spans="3:19" ht="15.95" hidden="1" customHeight="1">
      <c r="C179" s="53"/>
      <c r="D179" s="53"/>
      <c r="E179" s="53"/>
      <c r="F179" s="53"/>
      <c r="G179" s="53"/>
      <c r="H179" s="53"/>
      <c r="I179" s="54"/>
      <c r="J179" s="54"/>
      <c r="K179" s="54"/>
      <c r="L179" s="54"/>
      <c r="M179" s="54"/>
      <c r="N179" s="54"/>
      <c r="O179" s="55"/>
      <c r="P179" s="55"/>
      <c r="Q179" s="55"/>
      <c r="R179" s="55"/>
      <c r="S179" s="55"/>
    </row>
    <row r="180" spans="3:19" ht="15.95" hidden="1" customHeight="1">
      <c r="C180" s="53"/>
      <c r="D180" s="53"/>
      <c r="E180" s="53"/>
      <c r="F180" s="53"/>
      <c r="G180" s="53"/>
      <c r="H180" s="53"/>
      <c r="I180" s="54"/>
      <c r="J180" s="54"/>
      <c r="K180" s="54"/>
      <c r="L180" s="54"/>
      <c r="M180" s="54"/>
      <c r="N180" s="54"/>
      <c r="O180" s="55"/>
      <c r="P180" s="55"/>
      <c r="Q180" s="55"/>
      <c r="R180" s="55"/>
      <c r="S180" s="55"/>
    </row>
    <row r="181" spans="3:19" ht="15.95" hidden="1" customHeight="1">
      <c r="C181" s="53"/>
      <c r="D181" s="53"/>
      <c r="E181" s="53"/>
      <c r="F181" s="53"/>
      <c r="G181" s="53"/>
      <c r="H181" s="53"/>
      <c r="I181" s="54"/>
      <c r="J181" s="54"/>
      <c r="K181" s="54"/>
      <c r="L181" s="54"/>
      <c r="M181" s="54"/>
      <c r="N181" s="54"/>
      <c r="O181" s="55"/>
      <c r="P181" s="55"/>
      <c r="Q181" s="55"/>
      <c r="R181" s="55"/>
      <c r="S181" s="55"/>
    </row>
    <row r="182" spans="3:19" ht="15.95" hidden="1" customHeight="1">
      <c r="C182" s="53"/>
      <c r="D182" s="53"/>
      <c r="E182" s="53"/>
      <c r="F182" s="53"/>
      <c r="G182" s="53"/>
      <c r="H182" s="53"/>
      <c r="I182" s="54"/>
      <c r="J182" s="54"/>
      <c r="K182" s="54"/>
      <c r="L182" s="54"/>
      <c r="M182" s="54"/>
      <c r="N182" s="54"/>
      <c r="O182" s="55"/>
      <c r="P182" s="55"/>
      <c r="Q182" s="55"/>
      <c r="R182" s="55"/>
      <c r="S182" s="55"/>
    </row>
    <row r="183" spans="3:19" ht="15.95" hidden="1" customHeight="1">
      <c r="C183" s="53"/>
      <c r="D183" s="53"/>
      <c r="E183" s="53"/>
      <c r="F183" s="53"/>
      <c r="G183" s="53"/>
      <c r="H183" s="53"/>
      <c r="I183" s="54"/>
      <c r="J183" s="54"/>
      <c r="K183" s="54"/>
      <c r="L183" s="54"/>
      <c r="M183" s="54"/>
      <c r="N183" s="54"/>
      <c r="O183" s="55"/>
      <c r="P183" s="55"/>
      <c r="Q183" s="55"/>
      <c r="R183" s="55"/>
      <c r="S183" s="55"/>
    </row>
    <row r="184" spans="3:19" ht="15.95" hidden="1" customHeight="1">
      <c r="C184" s="53"/>
      <c r="D184" s="53"/>
      <c r="E184" s="53"/>
      <c r="F184" s="53"/>
      <c r="G184" s="53"/>
      <c r="H184" s="53"/>
      <c r="I184" s="54"/>
      <c r="J184" s="54"/>
      <c r="K184" s="54"/>
      <c r="L184" s="54"/>
      <c r="M184" s="54"/>
      <c r="N184" s="54"/>
      <c r="O184" s="55"/>
      <c r="P184" s="55"/>
      <c r="Q184" s="55"/>
      <c r="R184" s="55"/>
      <c r="S184" s="55"/>
    </row>
    <row r="185" spans="3:19" ht="15.95" hidden="1" customHeight="1">
      <c r="C185" s="53"/>
      <c r="D185" s="53"/>
      <c r="E185" s="53"/>
      <c r="F185" s="53"/>
      <c r="G185" s="53"/>
      <c r="H185" s="53"/>
      <c r="I185" s="54"/>
      <c r="J185" s="54"/>
      <c r="K185" s="54"/>
      <c r="L185" s="54"/>
      <c r="M185" s="54"/>
      <c r="N185" s="54"/>
      <c r="O185" s="55"/>
      <c r="P185" s="55"/>
      <c r="Q185" s="55"/>
      <c r="R185" s="55"/>
      <c r="S185" s="55"/>
    </row>
    <row r="186" spans="3:19" ht="15.95" hidden="1" customHeight="1">
      <c r="C186" s="53"/>
      <c r="D186" s="53"/>
      <c r="E186" s="53"/>
      <c r="F186" s="53"/>
      <c r="G186" s="53"/>
      <c r="H186" s="53"/>
      <c r="I186" s="54"/>
      <c r="J186" s="54"/>
      <c r="K186" s="54"/>
      <c r="L186" s="54"/>
      <c r="M186" s="54"/>
      <c r="N186" s="54"/>
      <c r="O186" s="55"/>
      <c r="P186" s="55"/>
      <c r="Q186" s="55"/>
      <c r="R186" s="55"/>
      <c r="S186" s="55"/>
    </row>
    <row r="187" spans="3:19" ht="15.95" hidden="1" customHeight="1">
      <c r="C187" s="53"/>
      <c r="D187" s="53"/>
      <c r="E187" s="53"/>
      <c r="F187" s="53"/>
      <c r="G187" s="53"/>
      <c r="H187" s="53"/>
      <c r="I187" s="54"/>
      <c r="J187" s="54"/>
      <c r="K187" s="54"/>
      <c r="L187" s="54"/>
      <c r="M187" s="54"/>
      <c r="N187" s="54"/>
      <c r="O187" s="55"/>
      <c r="P187" s="55"/>
      <c r="Q187" s="55"/>
      <c r="R187" s="55"/>
      <c r="S187" s="55"/>
    </row>
    <row r="188" spans="3:19" ht="15.95" hidden="1" customHeight="1">
      <c r="C188" s="53"/>
      <c r="D188" s="53"/>
      <c r="E188" s="53"/>
      <c r="F188" s="53"/>
      <c r="G188" s="53"/>
      <c r="H188" s="53"/>
      <c r="I188" s="54"/>
      <c r="J188" s="54"/>
      <c r="K188" s="54"/>
      <c r="L188" s="54"/>
      <c r="M188" s="54"/>
      <c r="N188" s="54"/>
      <c r="O188" s="55"/>
      <c r="P188" s="55"/>
      <c r="Q188" s="55"/>
      <c r="R188" s="55"/>
      <c r="S188" s="55"/>
    </row>
    <row r="189" spans="3:19" ht="15.95" hidden="1" customHeight="1">
      <c r="C189" s="53"/>
      <c r="D189" s="53"/>
      <c r="E189" s="53"/>
      <c r="F189" s="53"/>
      <c r="G189" s="53"/>
      <c r="H189" s="53"/>
      <c r="I189" s="54"/>
      <c r="J189" s="54"/>
      <c r="K189" s="54"/>
      <c r="L189" s="54"/>
      <c r="M189" s="54"/>
      <c r="N189" s="54"/>
      <c r="O189" s="55"/>
      <c r="P189" s="55"/>
      <c r="Q189" s="55"/>
      <c r="R189" s="55"/>
      <c r="S189" s="55"/>
    </row>
    <row r="190" spans="3:19" ht="15.95" hidden="1" customHeight="1">
      <c r="C190" s="53"/>
      <c r="D190" s="53"/>
      <c r="E190" s="53"/>
      <c r="F190" s="53"/>
      <c r="G190" s="53"/>
      <c r="H190" s="53"/>
      <c r="I190" s="54"/>
      <c r="J190" s="54"/>
      <c r="K190" s="54"/>
      <c r="L190" s="54"/>
      <c r="M190" s="54"/>
      <c r="N190" s="54"/>
      <c r="O190" s="55"/>
      <c r="P190" s="55"/>
      <c r="Q190" s="55"/>
      <c r="R190" s="55"/>
      <c r="S190" s="55"/>
    </row>
    <row r="191" spans="3:19" ht="15.95" hidden="1" customHeight="1">
      <c r="C191" s="53"/>
      <c r="D191" s="53"/>
      <c r="E191" s="53"/>
      <c r="F191" s="53"/>
      <c r="G191" s="53"/>
      <c r="H191" s="53"/>
      <c r="I191" s="54"/>
      <c r="J191" s="54"/>
      <c r="K191" s="54"/>
      <c r="L191" s="54"/>
      <c r="M191" s="54"/>
      <c r="N191" s="54"/>
      <c r="O191" s="55"/>
      <c r="P191" s="55"/>
      <c r="Q191" s="55"/>
      <c r="R191" s="55"/>
      <c r="S191" s="55"/>
    </row>
    <row r="192" spans="3:19" ht="15.95" hidden="1" customHeight="1">
      <c r="C192" s="53"/>
      <c r="D192" s="53"/>
      <c r="E192" s="53"/>
      <c r="F192" s="53"/>
      <c r="G192" s="53"/>
      <c r="H192" s="53"/>
      <c r="I192" s="54"/>
      <c r="J192" s="54"/>
      <c r="K192" s="54"/>
      <c r="L192" s="54"/>
      <c r="M192" s="54"/>
      <c r="N192" s="54"/>
      <c r="O192" s="55"/>
      <c r="P192" s="55"/>
      <c r="Q192" s="55"/>
      <c r="R192" s="55"/>
      <c r="S192" s="55"/>
    </row>
    <row r="193" spans="2:44" ht="15.95" hidden="1" customHeight="1">
      <c r="C193" s="53"/>
      <c r="D193" s="53"/>
      <c r="E193" s="53"/>
      <c r="F193" s="53"/>
      <c r="G193" s="53"/>
      <c r="H193" s="53"/>
      <c r="I193" s="54"/>
      <c r="J193" s="54"/>
      <c r="K193" s="54"/>
      <c r="L193" s="54"/>
      <c r="M193" s="54"/>
      <c r="N193" s="54"/>
      <c r="O193" s="55"/>
      <c r="P193" s="55"/>
      <c r="Q193" s="55"/>
      <c r="R193" s="55"/>
      <c r="S193" s="55"/>
    </row>
    <row r="194" spans="2:44" ht="15.95" hidden="1" customHeight="1">
      <c r="C194" s="53"/>
      <c r="D194" s="53"/>
      <c r="E194" s="53"/>
      <c r="F194" s="53"/>
      <c r="G194" s="53"/>
      <c r="H194" s="53"/>
      <c r="I194" s="54"/>
      <c r="J194" s="54"/>
      <c r="K194" s="54"/>
      <c r="L194" s="54"/>
      <c r="M194" s="54"/>
      <c r="N194" s="54"/>
      <c r="O194" s="55"/>
      <c r="P194" s="55"/>
      <c r="Q194" s="55"/>
      <c r="R194" s="55"/>
      <c r="S194" s="55"/>
    </row>
    <row r="195" spans="2:44" ht="15.95" hidden="1" customHeight="1">
      <c r="C195" s="53"/>
      <c r="D195" s="53"/>
      <c r="E195" s="53"/>
      <c r="F195" s="53"/>
      <c r="G195" s="53"/>
      <c r="H195" s="53"/>
      <c r="I195" s="54"/>
      <c r="J195" s="54"/>
      <c r="K195" s="54"/>
      <c r="L195" s="54"/>
      <c r="M195" s="54"/>
      <c r="N195" s="54"/>
      <c r="O195" s="55"/>
      <c r="P195" s="55"/>
      <c r="Q195" s="55"/>
      <c r="R195" s="55"/>
      <c r="S195" s="55"/>
    </row>
    <row r="196" spans="2:44" ht="15.95" hidden="1" customHeight="1">
      <c r="C196" s="53"/>
      <c r="D196" s="53"/>
      <c r="E196" s="53"/>
      <c r="F196" s="53"/>
      <c r="G196" s="53"/>
      <c r="H196" s="53"/>
      <c r="I196" s="54"/>
      <c r="J196" s="54"/>
      <c r="K196" s="54"/>
      <c r="L196" s="54"/>
      <c r="M196" s="54"/>
      <c r="N196" s="54"/>
      <c r="O196" s="55"/>
      <c r="P196" s="55"/>
      <c r="Q196" s="55"/>
      <c r="R196" s="55"/>
      <c r="S196" s="55"/>
    </row>
    <row r="197" spans="2:44" ht="15.95" hidden="1" customHeight="1">
      <c r="C197" s="53"/>
      <c r="D197" s="53"/>
      <c r="E197" s="53"/>
      <c r="F197" s="53"/>
      <c r="G197" s="53"/>
      <c r="H197" s="53"/>
      <c r="I197" s="54"/>
      <c r="J197" s="54"/>
      <c r="K197" s="54"/>
      <c r="L197" s="54"/>
      <c r="M197" s="54"/>
      <c r="N197" s="54"/>
      <c r="O197" s="55"/>
      <c r="P197" s="55"/>
      <c r="Q197" s="55"/>
      <c r="R197" s="55"/>
      <c r="S197" s="55"/>
    </row>
    <row r="198" spans="2:44" ht="15.95" hidden="1" customHeight="1">
      <c r="C198" s="53"/>
      <c r="D198" s="53"/>
      <c r="E198" s="53"/>
      <c r="F198" s="53"/>
      <c r="G198" s="53"/>
      <c r="H198" s="53"/>
      <c r="I198" s="54"/>
      <c r="J198" s="54"/>
      <c r="K198" s="54"/>
      <c r="L198" s="54"/>
      <c r="M198" s="54"/>
      <c r="N198" s="54"/>
      <c r="O198" s="55"/>
      <c r="P198" s="55"/>
      <c r="Q198" s="55"/>
      <c r="R198" s="55"/>
      <c r="S198" s="55"/>
    </row>
    <row r="199" spans="2:44" ht="15.95" hidden="1" customHeight="1">
      <c r="C199" s="53"/>
      <c r="D199" s="53"/>
      <c r="E199" s="53"/>
      <c r="F199" s="53"/>
      <c r="G199" s="53"/>
      <c r="H199" s="53"/>
      <c r="I199" s="54"/>
      <c r="J199" s="54"/>
      <c r="K199" s="54"/>
      <c r="L199" s="54"/>
      <c r="M199" s="54"/>
      <c r="N199" s="54"/>
      <c r="O199" s="55"/>
      <c r="P199" s="55"/>
      <c r="Q199" s="55"/>
      <c r="R199" s="55"/>
      <c r="S199" s="55"/>
    </row>
    <row r="200" spans="2:44" ht="15.95" customHeight="1">
      <c r="B200" s="272" t="s">
        <v>1058</v>
      </c>
      <c r="C200" s="272"/>
      <c r="D200" s="272"/>
      <c r="E200" s="272"/>
      <c r="F200" s="272"/>
      <c r="G200" s="272"/>
      <c r="H200" s="272"/>
      <c r="I200" s="272"/>
      <c r="J200" s="272"/>
      <c r="K200" s="272"/>
      <c r="L200" s="272"/>
      <c r="M200" s="656" t="s">
        <v>1553</v>
      </c>
      <c r="N200" s="656"/>
      <c r="O200" s="656"/>
      <c r="P200" s="656"/>
      <c r="Q200" s="656"/>
      <c r="R200" s="656"/>
      <c r="S200" s="656"/>
      <c r="T200" s="656"/>
      <c r="U200" s="656"/>
      <c r="V200" s="656"/>
      <c r="W200" s="656"/>
      <c r="X200" s="656"/>
      <c r="Y200" s="656"/>
      <c r="Z200" s="656"/>
      <c r="AA200" s="656"/>
      <c r="AB200" s="656"/>
      <c r="AC200" s="656"/>
      <c r="AD200" s="656"/>
      <c r="AE200" s="656"/>
      <c r="AF200" s="656"/>
      <c r="AG200" s="656"/>
      <c r="AH200" s="272"/>
      <c r="AI200" s="272"/>
      <c r="AJ200" s="272"/>
      <c r="AK200" s="272"/>
      <c r="AL200" s="272"/>
      <c r="AM200" s="272"/>
      <c r="AN200" s="272"/>
      <c r="AO200" s="272"/>
      <c r="AP200" s="272"/>
      <c r="AQ200" s="272"/>
      <c r="AR200" s="273" t="str">
        <f>IF(PROJID=0,"",CONCATENATE("Project ",PROJID))</f>
        <v/>
      </c>
    </row>
    <row r="201" spans="2:44" ht="15.95" customHeight="1">
      <c r="B201" s="272" t="s">
        <v>1637</v>
      </c>
      <c r="C201" s="272"/>
      <c r="D201" s="272"/>
      <c r="E201" s="272"/>
      <c r="F201" s="272"/>
      <c r="G201" s="272"/>
      <c r="H201" s="272"/>
      <c r="I201" s="272"/>
      <c r="J201" s="272"/>
      <c r="K201" s="272"/>
      <c r="L201" s="272"/>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272"/>
      <c r="AI201" s="272"/>
      <c r="AJ201" s="272"/>
      <c r="AK201" s="272"/>
      <c r="AL201" s="272"/>
      <c r="AM201" s="272"/>
      <c r="AN201" s="272"/>
      <c r="AO201" s="272"/>
      <c r="AP201" s="272"/>
      <c r="AQ201" s="272"/>
      <c r="AR201" s="273" t="str">
        <f>""</f>
        <v/>
      </c>
    </row>
    <row r="202" spans="2:44" ht="15.95" customHeight="1">
      <c r="B202" s="281" t="s">
        <v>1551</v>
      </c>
      <c r="C202" s="272"/>
      <c r="D202" s="272"/>
      <c r="E202" s="272"/>
      <c r="F202" s="272"/>
      <c r="G202" s="272"/>
      <c r="H202" s="272"/>
      <c r="I202" s="272"/>
      <c r="J202" s="272"/>
      <c r="K202" s="272"/>
      <c r="L202" s="272"/>
      <c r="M202" s="274"/>
      <c r="N202" s="272"/>
      <c r="O202" s="272"/>
      <c r="P202" s="274"/>
      <c r="Q202" s="274"/>
      <c r="R202" s="274"/>
      <c r="S202" s="274"/>
      <c r="T202" s="274"/>
      <c r="U202" s="274"/>
      <c r="V202" s="274"/>
      <c r="W202" s="275" t="s">
        <v>2446</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
        <v>1554</v>
      </c>
    </row>
  </sheetData>
  <sheetProtection algorithmName="SHA-512" hashValue="LZP74nCiWfFRe6OVEhoaJLvPVc1pAHh5ggBx+AWDF2mGL83WB3N95H26+E7HyanMfiGgyqVA/kC5zJk5bUzMPg==" saltValue="+4yuAmk2F5BSLhhhiIQBZg==" spinCount="100000" sheet="1" objects="1" scenarios="1" selectLockedCells="1"/>
  <mergeCells count="15">
    <mergeCell ref="AQ1:AR1"/>
    <mergeCell ref="AQ2:AR3"/>
    <mergeCell ref="AL1:AP1"/>
    <mergeCell ref="AL2:AP3"/>
    <mergeCell ref="D12:AH12"/>
    <mergeCell ref="AH1:AK1"/>
    <mergeCell ref="AH2:AK3"/>
    <mergeCell ref="D10:AH11"/>
    <mergeCell ref="V82:AB82"/>
    <mergeCell ref="AJ82:AP82"/>
    <mergeCell ref="AE82:AI82"/>
    <mergeCell ref="M200:AG201"/>
    <mergeCell ref="C82:H82"/>
    <mergeCell ref="I82:P82"/>
    <mergeCell ref="Q82:U82"/>
  </mergeCells>
  <conditionalFormatting sqref="AH2 AL2">
    <cfRule type="expression" dxfId="304" priority="1">
      <formula>PROJSTATUS=PROJSTATELI</formula>
    </cfRule>
    <cfRule type="expression" dxfId="303" priority="2">
      <formula>PROJSTATUS=PROJSTATREVIEW</formula>
    </cfRule>
    <cfRule type="expression" dxfId="302" priority="6">
      <formula>PROJSTATUS=PROJSTATPREAPPROVE</formula>
    </cfRule>
    <cfRule type="expression" dxfId="301" priority="7">
      <formula>PROJSTATUS=PROJSTATSTANDARD</formula>
    </cfRule>
    <cfRule type="expression" dxfId="300" priority="8">
      <formula>PROJSTATUS=PROJSTATEXP</formula>
    </cfRule>
  </conditionalFormatting>
  <conditionalFormatting sqref="AQ2:AR3">
    <cfRule type="cellIs" dxfId="299" priority="3" operator="equal">
      <formula>1</formula>
    </cfRule>
    <cfRule type="cellIs" dxfId="298" priority="4" operator="between">
      <formula>0.51</formula>
      <formula>0.99</formula>
    </cfRule>
    <cfRule type="cellIs" dxfId="297" priority="5" operator="lessThanOrEqual">
      <formula>0.5</formula>
    </cfRule>
  </conditionalFormatting>
  <hyperlinks>
    <hyperlink ref="B202" r:id="rId1" xr:uid="{00000000-0004-0000-0900-000000000000}"/>
  </hyperlinks>
  <pageMargins left="0.25" right="0.25" top="0.25" bottom="0.25" header="0.25" footer="0.25"/>
  <pageSetup scale="62" fitToHeight="0"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IPLabel_TPPI xmlns="e48758e4-e8ca-4695-a9aa-4b3571cb74a7" xsi:nil="true"/>
    <TaxCatchAll xmlns="e48758e4-e8ca-4695-a9aa-4b3571cb74a7"/>
    <TaxKeywordTaxHTField xmlns="e48758e4-e8ca-4695-a9aa-4b3571cb74a7">
      <Terms xmlns="http://schemas.microsoft.com/office/infopath/2007/PartnerControls">
        <TermInfo xmlns="http://schemas.microsoft.com/office/infopath/2007/PartnerControls">
          <TermName xmlns="http://schemas.microsoft.com/office/infopath/2007/PartnerControls">Unrestricted</TermName>
          <TermId xmlns="http://schemas.microsoft.com/office/infopath/2007/PartnerControls">11111111-1111-1111-1111-111111111111</TermId>
        </TermInfo>
      </Terms>
    </TaxKeywordTaxHTField>
    <SIPLabel_ECICountry xmlns="e48758e4-e8ca-4695-a9aa-4b3571cb74a7"/>
    <SIPLabel_Specialty xmlns="e48758e4-e8ca-4695-a9aa-4b3571cb74a7"/>
    <SIPLabel xmlns="e48758e4-e8ca-4695-a9aa-4b3571cb74a7">
      <Value>Unrestricted</Value>
    </SIPLabel>
    <SIPLabel_OCI xmlns="e48758e4-e8ca-4695-a9aa-4b3571cb74a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5DC8466EDFADF4F93B9E058C5A5E505" ma:contentTypeVersion="11" ma:contentTypeDescription="Create a new document." ma:contentTypeScope="" ma:versionID="239d808a31785b7f5439b4cffabee72a">
  <xsd:schema xmlns:xsd="http://www.w3.org/2001/XMLSchema" xmlns:xs="http://www.w3.org/2001/XMLSchema" xmlns:p="http://schemas.microsoft.com/office/2006/metadata/properties" xmlns:ns2="e48758e4-e8ca-4695-a9aa-4b3571cb74a7" targetNamespace="http://schemas.microsoft.com/office/2006/metadata/properties" ma:root="true" ma:fieldsID="74de273ec19ff657b1aa332c149c9ce1" ns2:_="">
    <xsd:import namespace="e48758e4-e8ca-4695-a9aa-4b3571cb74a7"/>
    <xsd:element name="properties">
      <xsd:complexType>
        <xsd:sequence>
          <xsd:element name="documentManagement">
            <xsd:complexType>
              <xsd:all>
                <xsd:element ref="ns2:TaxKeywordTaxHTField" minOccurs="0"/>
                <xsd:element ref="ns2:TaxCatchAll" minOccurs="0"/>
                <xsd:element ref="ns2:SIPLabel" minOccurs="0"/>
                <xsd:element ref="ns2:SIPLabel_ECICountry" minOccurs="0"/>
                <xsd:element ref="ns2:SIPLabel_OCI" minOccurs="0"/>
                <xsd:element ref="ns2:SIPLabel_TPPI" minOccurs="0"/>
                <xsd:element ref="ns2:SIPLabel_Special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8758e4-e8ca-4695-a9aa-4b3571cb74a7" elementFormDefault="qualified">
    <xsd:import namespace="http://schemas.microsoft.com/office/2006/documentManagement/types"/>
    <xsd:import namespace="http://schemas.microsoft.com/office/infopath/2007/PartnerControls"/>
    <xsd:element name="TaxKeywordTaxHTField" ma:index="9" nillable="true" ma:taxonomy="true" ma:internalName="TaxKeywordTaxHTField" ma:taxonomyFieldName="Enterprise_x0020_Keywords" ma:displayName="Enterprise Keywords" ma:fieldId="{23f27201-bee3-471e-b2e7-b64fd8b7ca38}" ma:taxonomyMulti="true" ma:sspId="5f68076a-9896-4f70-850d-4130ed0339a6" ma:termSetId="00000000-0000-0000-0000-000000000000" ma:anchorId="00000000-0000-0000-0000-000000000000" ma:open="true" ma:isKeyword="true">
      <xsd:complexType>
        <xsd:sequence>
          <xsd:element ref="pc:Terms" minOccurs="0" maxOccurs="1"/>
        </xsd:sequence>
      </xsd:complexType>
    </xsd:element>
    <xsd:element name="TaxCatchAll" ma:index="10" nillable="true" ma:displayName="Taxonomy Catch All Column" ma:description="" ma:hidden="true" ma:list="{0ea944af-f76c-4757-abf2-5a952d19f08a}" ma:internalName="TaxCatchAll" ma:showField="CatchAllData" ma:web="e48758e4-e8ca-4695-a9aa-4b3571cb74a7">
      <xsd:complexType>
        <xsd:complexContent>
          <xsd:extension base="dms:MultiChoiceLookup">
            <xsd:sequence>
              <xsd:element name="Value" type="dms:Lookup" maxOccurs="unbounded" minOccurs="0" nillable="true"/>
            </xsd:sequence>
          </xsd:extension>
        </xsd:complexContent>
      </xsd:complexType>
    </xsd:element>
    <xsd:element name="SIPLabel" ma:index="11" nillable="true" ma:displayName="Sensitive Information Protection (SIP) Label" ma:internalName="SIPLabel" ma:requiredMultiChoice="true">
      <xsd:complexType>
        <xsd:complexContent>
          <xsd:extension base="dms:MultiChoice">
            <xsd:sequence>
              <xsd:element name="Value" maxOccurs="unbounded" minOccurs="0" nillable="true">
                <xsd:simpleType>
                  <xsd:restriction base="dms:Choice">
                    <xsd:enumeration value="Unrestricted"/>
                    <xsd:enumeration value="Lockheed Martin Proprietary Information (LMPI)"/>
                    <xsd:enumeration value="Export Controlled Information (ECI)"/>
                    <xsd:enumeration value="Attorney-Client Privileged Information and/or Attorney Work Product"/>
                    <xsd:enumeration value="Protected Information"/>
                    <xsd:enumeration value="Personal Information"/>
                    <xsd:enumeration value="Third Party Proprietary Information"/>
                    <xsd:enumeration value="Organizational Conflict of Interest (OCI)"/>
                    <xsd:enumeration value="Specialty Label"/>
                  </xsd:restriction>
                </xsd:simpleType>
              </xsd:element>
            </xsd:sequence>
          </xsd:extension>
        </xsd:complexContent>
      </xsd:complexType>
    </xsd:element>
    <xsd:element name="SIPLabel_ECICountry" ma:index="12" nillable="true" ma:displayName="Export Control Country of Jurisdiction" ma:internalName="SIPLabel_ECICountry">
      <xsd:complexType>
        <xsd:complexContent>
          <xsd:extension base="dms:MultiChoice">
            <xsd:sequence>
              <xsd:element name="Value" maxOccurs="unbounded" minOccurs="0" nillable="true">
                <xsd:simpleType>
                  <xsd:restriction base="dms:Choice">
                    <xsd:enumeration value="United States (US)"/>
                    <xsd:enumeration value="Canada (CA)"/>
                    <xsd:enumeration value="United Kingdom (GB)"/>
                    <xsd:enumeration value="Australia (AU)"/>
                    <xsd:enumeration value="Albania (AL)"/>
                    <xsd:enumeration value="Argentina (AR)"/>
                    <xsd:enumeration value="Bahrain (BH)"/>
                    <xsd:enumeration value="Belgium (BE)"/>
                    <xsd:enumeration value="Brazil (BR)"/>
                    <xsd:enumeration value="China (CN)"/>
                    <xsd:enumeration value="Colombia (CO)"/>
                    <xsd:enumeration value="Croatia (HR)"/>
                    <xsd:enumeration value="Denmark (DK)"/>
                    <xsd:enumeration value="Egypt (EG)"/>
                    <xsd:enumeration value="Finland (FI)"/>
                    <xsd:enumeration value="France (FR)"/>
                    <xsd:enumeration value="Germany (DE)"/>
                    <xsd:enumeration value="Greece (GR)"/>
                    <xsd:enumeration value="Guam (GU)"/>
                    <xsd:enumeration value="Hong Kong (HK)"/>
                    <xsd:enumeration value="India (IN)"/>
                    <xsd:enumeration value="Israel (IL)"/>
                    <xsd:enumeration value="Italy (IT)"/>
                    <xsd:enumeration value="Japan (JP)"/>
                    <xsd:enumeration value="Korea, Republic of (KR)"/>
                    <xsd:enumeration value="Kuwait (KW)"/>
                    <xsd:enumeration value="Malaysia (MY)"/>
                    <xsd:enumeration value="Mauritius (MU)"/>
                    <xsd:enumeration value="Mexico (MX)"/>
                    <xsd:enumeration value="Netherlands (NL)"/>
                    <xsd:enumeration value="New Zealand (NZ)"/>
                    <xsd:enumeration value="Norway (NO)"/>
                    <xsd:enumeration value="Philippines (PH)"/>
                    <xsd:enumeration value="Poland (PL)"/>
                    <xsd:enumeration value="Portugal (PT)"/>
                    <xsd:enumeration value="Puerto Rico (PR)"/>
                    <xsd:enumeration value="Romania (RO)"/>
                    <xsd:enumeration value="Saudi Arabia (SA)"/>
                    <xsd:enumeration value="Singapore (SG)"/>
                    <xsd:enumeration value="South Africa (ZA)"/>
                    <xsd:enumeration value="Spain (ES)"/>
                    <xsd:enumeration value="Sweden (SE)"/>
                    <xsd:enumeration value="Switzerland (CH)"/>
                    <xsd:enumeration value="Taiwan, Province of China (TW)"/>
                    <xsd:enumeration value="Thailand (TH)"/>
                    <xsd:enumeration value="Turkey (TR)"/>
                    <xsd:enumeration value="United Arab Emirates (AE)"/>
                    <xsd:enumeration value="Venezuela (VE)"/>
                    <xsd:enumeration value="Viet Nam (VN)"/>
                  </xsd:restriction>
                </xsd:simpleType>
              </xsd:element>
            </xsd:sequence>
          </xsd:extension>
        </xsd:complexContent>
      </xsd:complexType>
    </xsd:element>
    <xsd:element name="SIPLabel_OCI" ma:index="13" nillable="true" ma:displayName="Organizational Conflict of Interest" ma:internalName="SIPLabel_OCI">
      <xsd:simpleType>
        <xsd:restriction base="dms:Text"/>
      </xsd:simpleType>
    </xsd:element>
    <xsd:element name="SIPLabel_TPPI" ma:index="14" nillable="true" ma:displayName="Third Party" ma:internalName="SIPLabel_TPPI">
      <xsd:simpleType>
        <xsd:restriction base="dms:Text"/>
      </xsd:simpleType>
    </xsd:element>
    <xsd:element name="SIPLabel_Specialty" ma:index="15" nillable="true" ma:displayName="Specialty Label" ma:internalName="SIPLabel_Specialty">
      <xsd:complexType>
        <xsd:complexContent>
          <xsd:extension base="dms:MultiChoice">
            <xsd:sequence>
              <xsd:element name="Value" maxOccurs="unbounded" minOccurs="0" nillable="true">
                <xsd:simpleType>
                  <xsd:restriction base="dms:Choice">
                    <xsd:enumeration value="For Official Use Only"/>
                    <xsd:enumeration value="NATO Restricted"/>
                    <xsd:enumeration value="UK OFFICIAL"/>
                    <xsd:enumeration value="UK OFFICIAL-SENSITIVE"/>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BD2E76-EC1E-4939-8B59-E001DBDC8C9C}">
  <ds:schemaRefs>
    <ds:schemaRef ds:uri="http://schemas.microsoft.com/sharepoint/v3/contenttype/forms"/>
  </ds:schemaRefs>
</ds:datastoreItem>
</file>

<file path=customXml/itemProps2.xml><?xml version="1.0" encoding="utf-8"?>
<ds:datastoreItem xmlns:ds="http://schemas.openxmlformats.org/officeDocument/2006/customXml" ds:itemID="{1F1A09C2-D8B7-4ED9-BCBF-361E860FD8EE}">
  <ds:schemaRefs>
    <ds:schemaRef ds:uri="http://purl.org/dc/elements/1.1/"/>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e48758e4-e8ca-4695-a9aa-4b3571cb74a7"/>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B3B14C56-FA47-419C-AFF5-40E6E33CFA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8758e4-e8ca-4695-a9aa-4b3571cb74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322</vt:i4>
      </vt:variant>
    </vt:vector>
  </HeadingPairs>
  <TitlesOfParts>
    <vt:vector size="359" baseType="lpstr">
      <vt:lpstr>CHANGELOG</vt:lpstr>
      <vt:lpstr>CBDATA</vt:lpstr>
      <vt:lpstr>TEMPLATE</vt:lpstr>
      <vt:lpstr>EXPORT</vt:lpstr>
      <vt:lpstr>DATA TABLES</vt:lpstr>
      <vt:lpstr>PRESCRIPTIVE</vt:lpstr>
      <vt:lpstr>CUSTOMLIGHT</vt:lpstr>
      <vt:lpstr>CUSTOMNONLIGHT</vt:lpstr>
      <vt:lpstr>M01-S01</vt:lpstr>
      <vt:lpstr>M01-S02</vt:lpstr>
      <vt:lpstr>M01-S03</vt:lpstr>
      <vt:lpstr>M01-S04</vt:lpstr>
      <vt:lpstr>M01-S05</vt:lpstr>
      <vt:lpstr>M02-S01</vt:lpstr>
      <vt:lpstr>M02-S02</vt:lpstr>
      <vt:lpstr>M02-S03</vt:lpstr>
      <vt:lpstr>M02-S04</vt:lpstr>
      <vt:lpstr>M03-S01</vt:lpstr>
      <vt:lpstr>M03-S02</vt:lpstr>
      <vt:lpstr>M03-S03</vt:lpstr>
      <vt:lpstr>M03-S04</vt:lpstr>
      <vt:lpstr>M03-S05</vt:lpstr>
      <vt:lpstr>M03-S08</vt:lpstr>
      <vt:lpstr>M03-S09</vt:lpstr>
      <vt:lpstr>M03-S06</vt:lpstr>
      <vt:lpstr>M03-S07</vt:lpstr>
      <vt:lpstr>M04-S01</vt:lpstr>
      <vt:lpstr>M04-S02</vt:lpstr>
      <vt:lpstr>M04-S09</vt:lpstr>
      <vt:lpstr>M04-S03</vt:lpstr>
      <vt:lpstr>M04-S04</vt:lpstr>
      <vt:lpstr>M05-S01</vt:lpstr>
      <vt:lpstr>M05-S02</vt:lpstr>
      <vt:lpstr>M05-S04</vt:lpstr>
      <vt:lpstr>M05-S05</vt:lpstr>
      <vt:lpstr>M05-S06</vt:lpstr>
      <vt:lpstr>M05-S07</vt:lpstr>
      <vt:lpstr>APPTITLE</vt:lpstr>
      <vt:lpstr>BUILDING</vt:lpstr>
      <vt:lpstr>CAMeasureSelect</vt:lpstr>
      <vt:lpstr>CAShift</vt:lpstr>
      <vt:lpstr>CBALL</vt:lpstr>
      <vt:lpstr>CBCUSE</vt:lpstr>
      <vt:lpstr>CBCUSG</vt:lpstr>
      <vt:lpstr>CBPRESE</vt:lpstr>
      <vt:lpstr>CBPRESG</vt:lpstr>
      <vt:lpstr>CMELIGHTACTUALW</vt:lpstr>
      <vt:lpstr>CMELIGHTBASE1</vt:lpstr>
      <vt:lpstr>CMELIGHTBASEW</vt:lpstr>
      <vt:lpstr>CMELIGHTEFF1</vt:lpstr>
      <vt:lpstr>CMELIGHTEFF2</vt:lpstr>
      <vt:lpstr>CMELIGHTEFF3</vt:lpstr>
      <vt:lpstr>CMELIGHTEFFBASEW</vt:lpstr>
      <vt:lpstr>COSTTOTAL</vt:lpstr>
      <vt:lpstr>COSTTOTALCUSE</vt:lpstr>
      <vt:lpstr>COSTTOTALCUSG</vt:lpstr>
      <vt:lpstr>COSTTOTALPRESE</vt:lpstr>
      <vt:lpstr>COSTTOTALPRESG</vt:lpstr>
      <vt:lpstr>CUSTINFOLIST</vt:lpstr>
      <vt:lpstr>CUSTLIGHTUNIT</vt:lpstr>
      <vt:lpstr>CUSTNONLIGHTEUNIT</vt:lpstr>
      <vt:lpstr>CUSTNONLIGHTGUNIT</vt:lpstr>
      <vt:lpstr>DIVERSITYBUSTYPE</vt:lpstr>
      <vt:lpstr>DIVERSITYORG</vt:lpstr>
      <vt:lpstr>DTBuildingType</vt:lpstr>
      <vt:lpstr>DTSpaceType</vt:lpstr>
      <vt:lpstr>EDR</vt:lpstr>
      <vt:lpstr>ELOSS</vt:lpstr>
      <vt:lpstr>ELOSSKW</vt:lpstr>
      <vt:lpstr>ENDUSECAT</vt:lpstr>
      <vt:lpstr>ENGCALC</vt:lpstr>
      <vt:lpstr>ENGDATE</vt:lpstr>
      <vt:lpstr>ENGINEERZNAME</vt:lpstr>
      <vt:lpstr>ENGSIGN</vt:lpstr>
      <vt:lpstr>EXPIRATION</vt:lpstr>
      <vt:lpstr>FACILITYOPHOURS</vt:lpstr>
      <vt:lpstr>FOOT1</vt:lpstr>
      <vt:lpstr>FOOT2</vt:lpstr>
      <vt:lpstr>FOOT3</vt:lpstr>
      <vt:lpstr>FOOT4</vt:lpstr>
      <vt:lpstr>FOOT5</vt:lpstr>
      <vt:lpstr>FOOT6</vt:lpstr>
      <vt:lpstr>FOOTDISCLAIM</vt:lpstr>
      <vt:lpstr>GDR</vt:lpstr>
      <vt:lpstr>GLOSS</vt:lpstr>
      <vt:lpstr>HEAD4</vt:lpstr>
      <vt:lpstr>HP</vt:lpstr>
      <vt:lpstr>IMPLSPECNAME</vt:lpstr>
      <vt:lpstr>INCENSTATUS</vt:lpstr>
      <vt:lpstr>INCENTOTAL</vt:lpstr>
      <vt:lpstr>INCENTOTALCUSE</vt:lpstr>
      <vt:lpstr>INCENTOTALCUSG</vt:lpstr>
      <vt:lpstr>INCENTOTALPRESE</vt:lpstr>
      <vt:lpstr>INCENTOTALPRESG</vt:lpstr>
      <vt:lpstr>INSTALL</vt:lpstr>
      <vt:lpstr>KWHSTATUS</vt:lpstr>
      <vt:lpstr>KWHTOTAL</vt:lpstr>
      <vt:lpstr>KWHTOTALCUSE</vt:lpstr>
      <vt:lpstr>KWHTOTALPRESE</vt:lpstr>
      <vt:lpstr>KWTOTAL</vt:lpstr>
      <vt:lpstr>KWTOTALCUSE</vt:lpstr>
      <vt:lpstr>KWTOTALPRESE</vt:lpstr>
      <vt:lpstr>LPDOPHR</vt:lpstr>
      <vt:lpstr>LPDSPACE</vt:lpstr>
      <vt:lpstr>M02S02F01</vt:lpstr>
      <vt:lpstr>M02S02F02</vt:lpstr>
      <vt:lpstr>M02S02F03</vt:lpstr>
      <vt:lpstr>M02S02F04</vt:lpstr>
      <vt:lpstr>M02S02F05</vt:lpstr>
      <vt:lpstr>M02S02F06</vt:lpstr>
      <vt:lpstr>M02S02F07</vt:lpstr>
      <vt:lpstr>M02S02F08</vt:lpstr>
      <vt:lpstr>M02S02F09</vt:lpstr>
      <vt:lpstr>M02S02F10</vt:lpstr>
      <vt:lpstr>M02S02F11</vt:lpstr>
      <vt:lpstr>M02S02F11.1</vt:lpstr>
      <vt:lpstr>M02S02F12</vt:lpstr>
      <vt:lpstr>M02S02F13</vt:lpstr>
      <vt:lpstr>M02S02F14</vt:lpstr>
      <vt:lpstr>M02S02F15</vt:lpstr>
      <vt:lpstr>M02S02F16</vt:lpstr>
      <vt:lpstr>M02S02F17</vt:lpstr>
      <vt:lpstr>M02S02F18</vt:lpstr>
      <vt:lpstr>M02S02F19</vt:lpstr>
      <vt:lpstr>M02S02F20</vt:lpstr>
      <vt:lpstr>M02S02F21</vt:lpstr>
      <vt:lpstr>M02S02F22</vt:lpstr>
      <vt:lpstr>M02S02F23</vt:lpstr>
      <vt:lpstr>M02S02F24</vt:lpstr>
      <vt:lpstr>M02S02F25</vt:lpstr>
      <vt:lpstr>M02S02F26</vt:lpstr>
      <vt:lpstr>M02S02F27</vt:lpstr>
      <vt:lpstr>M02S02F28</vt:lpstr>
      <vt:lpstr>M02S02F29</vt:lpstr>
      <vt:lpstr>M02S02F30</vt:lpstr>
      <vt:lpstr>M02S02F31</vt:lpstr>
      <vt:lpstr>M02S02F32</vt:lpstr>
      <vt:lpstr>M02S02F33</vt:lpstr>
      <vt:lpstr>M02S02F34</vt:lpstr>
      <vt:lpstr>M02S02F35</vt:lpstr>
      <vt:lpstr>M02S02F36</vt:lpstr>
      <vt:lpstr>M02S02F37</vt:lpstr>
      <vt:lpstr>M02S02F38</vt:lpstr>
      <vt:lpstr>M02S02F39</vt:lpstr>
      <vt:lpstr>M02S02F40</vt:lpstr>
      <vt:lpstr>M02S02F45</vt:lpstr>
      <vt:lpstr>M02S02F46</vt:lpstr>
      <vt:lpstr>M02S02F47</vt:lpstr>
      <vt:lpstr>M02S02F48</vt:lpstr>
      <vt:lpstr>M02S02F49</vt:lpstr>
      <vt:lpstr>M02S02F50</vt:lpstr>
      <vt:lpstr>M02S02F51</vt:lpstr>
      <vt:lpstr>M02S02F52</vt:lpstr>
      <vt:lpstr>M02S03F01</vt:lpstr>
      <vt:lpstr>M02S03F02</vt:lpstr>
      <vt:lpstr>M02S03F03</vt:lpstr>
      <vt:lpstr>M02S03F04</vt:lpstr>
      <vt:lpstr>M02S03F05</vt:lpstr>
      <vt:lpstr>M02S03F06</vt:lpstr>
      <vt:lpstr>M02S03F07</vt:lpstr>
      <vt:lpstr>M02S03F08</vt:lpstr>
      <vt:lpstr>M02S03F09</vt:lpstr>
      <vt:lpstr>M02S03F10</vt:lpstr>
      <vt:lpstr>M02S03F11</vt:lpstr>
      <vt:lpstr>M02S03F12</vt:lpstr>
      <vt:lpstr>M02S03F13</vt:lpstr>
      <vt:lpstr>M02S03F14</vt:lpstr>
      <vt:lpstr>M02S03F15</vt:lpstr>
      <vt:lpstr>M02S03F16</vt:lpstr>
      <vt:lpstr>M02S03F17</vt:lpstr>
      <vt:lpstr>M02S04F01</vt:lpstr>
      <vt:lpstr>M02S04F02</vt:lpstr>
      <vt:lpstr>M02S04F03</vt:lpstr>
      <vt:lpstr>M02S04F04</vt:lpstr>
      <vt:lpstr>M02S04F05</vt:lpstr>
      <vt:lpstr>M02S04F06</vt:lpstr>
      <vt:lpstr>M02S04F06.1</vt:lpstr>
      <vt:lpstr>M02S04F07</vt:lpstr>
      <vt:lpstr>M02S04F08</vt:lpstr>
      <vt:lpstr>M02S04F09</vt:lpstr>
      <vt:lpstr>M02S04F10</vt:lpstr>
      <vt:lpstr>M02S04F11</vt:lpstr>
      <vt:lpstr>M02S04F12</vt:lpstr>
      <vt:lpstr>M02S04F12.1</vt:lpstr>
      <vt:lpstr>M04S09F01</vt:lpstr>
      <vt:lpstr>M04S09F02</vt:lpstr>
      <vt:lpstr>M04S09F03</vt:lpstr>
      <vt:lpstr>M04S09F04</vt:lpstr>
      <vt:lpstr>M04S09F05</vt:lpstr>
      <vt:lpstr>M04S09F06</vt:lpstr>
      <vt:lpstr>M04S09F07</vt:lpstr>
      <vt:lpstr>M04S09F08</vt:lpstr>
      <vt:lpstr>M04S09F09</vt:lpstr>
      <vt:lpstr>M04S09F10</vt:lpstr>
      <vt:lpstr>M04S09F11</vt:lpstr>
      <vt:lpstr>M04S09F12</vt:lpstr>
      <vt:lpstr>M05S02F01</vt:lpstr>
      <vt:lpstr>M05S02F02</vt:lpstr>
      <vt:lpstr>M05S02F03</vt:lpstr>
      <vt:lpstr>M05S02F04</vt:lpstr>
      <vt:lpstr>M05S02F06</vt:lpstr>
      <vt:lpstr>M05S02F07</vt:lpstr>
      <vt:lpstr>M05S03F01</vt:lpstr>
      <vt:lpstr>M05S05F01</vt:lpstr>
      <vt:lpstr>M05S05F02</vt:lpstr>
      <vt:lpstr>M05S07F02</vt:lpstr>
      <vt:lpstr>M05S07F03</vt:lpstr>
      <vt:lpstr>M05S07F04</vt:lpstr>
      <vt:lpstr>M05S07F05</vt:lpstr>
      <vt:lpstr>M05S07F06</vt:lpstr>
      <vt:lpstr>M05S07F08</vt:lpstr>
      <vt:lpstr>M05S07F09</vt:lpstr>
      <vt:lpstr>M05S07F10</vt:lpstr>
      <vt:lpstr>M05S07F11</vt:lpstr>
      <vt:lpstr>M05S07F12</vt:lpstr>
      <vt:lpstr>M1S1</vt:lpstr>
      <vt:lpstr>M1S2</vt:lpstr>
      <vt:lpstr>M1S3</vt:lpstr>
      <vt:lpstr>M1S4</vt:lpstr>
      <vt:lpstr>M1S5</vt:lpstr>
      <vt:lpstr>M1S6</vt:lpstr>
      <vt:lpstr>M1S7</vt:lpstr>
      <vt:lpstr>M1S8</vt:lpstr>
      <vt:lpstr>M2S1</vt:lpstr>
      <vt:lpstr>M2S2</vt:lpstr>
      <vt:lpstr>M2S3</vt:lpstr>
      <vt:lpstr>M2S4</vt:lpstr>
      <vt:lpstr>M2S5</vt:lpstr>
      <vt:lpstr>M2S6</vt:lpstr>
      <vt:lpstr>M2S7</vt:lpstr>
      <vt:lpstr>M2S8</vt:lpstr>
      <vt:lpstr>M3S1</vt:lpstr>
      <vt:lpstr>M3S2</vt:lpstr>
      <vt:lpstr>M3S3</vt:lpstr>
      <vt:lpstr>M3S4</vt:lpstr>
      <vt:lpstr>M3S5</vt:lpstr>
      <vt:lpstr>M3S6</vt:lpstr>
      <vt:lpstr>M3S7</vt:lpstr>
      <vt:lpstr>M3S8</vt:lpstr>
      <vt:lpstr>M3S9</vt:lpstr>
      <vt:lpstr>M4S1</vt:lpstr>
      <vt:lpstr>M4S2</vt:lpstr>
      <vt:lpstr>M4S3</vt:lpstr>
      <vt:lpstr>M4S4</vt:lpstr>
      <vt:lpstr>M4S5</vt:lpstr>
      <vt:lpstr>M4S6</vt:lpstr>
      <vt:lpstr>M4S7</vt:lpstr>
      <vt:lpstr>M4S8</vt:lpstr>
      <vt:lpstr>M5S1</vt:lpstr>
      <vt:lpstr>M5S2</vt:lpstr>
      <vt:lpstr>M5S3</vt:lpstr>
      <vt:lpstr>M5S4</vt:lpstr>
      <vt:lpstr>M5S5</vt:lpstr>
      <vt:lpstr>M5S6</vt:lpstr>
      <vt:lpstr>M5S7</vt:lpstr>
      <vt:lpstr>M5S8</vt:lpstr>
      <vt:lpstr>M6S1</vt:lpstr>
      <vt:lpstr>M6S2</vt:lpstr>
      <vt:lpstr>M6S3</vt:lpstr>
      <vt:lpstr>M6S4</vt:lpstr>
      <vt:lpstr>M6S5</vt:lpstr>
      <vt:lpstr>M6S6</vt:lpstr>
      <vt:lpstr>M6S7</vt:lpstr>
      <vt:lpstr>M6S8</vt:lpstr>
      <vt:lpstr>M7S1</vt:lpstr>
      <vt:lpstr>M7S2</vt:lpstr>
      <vt:lpstr>M7S3</vt:lpstr>
      <vt:lpstr>M7S4</vt:lpstr>
      <vt:lpstr>M7S5</vt:lpstr>
      <vt:lpstr>M7S6</vt:lpstr>
      <vt:lpstr>M7S7</vt:lpstr>
      <vt:lpstr>M7S8</vt:lpstr>
      <vt:lpstr>MAIN1</vt:lpstr>
      <vt:lpstr>MAIN2</vt:lpstr>
      <vt:lpstr>MAIN3</vt:lpstr>
      <vt:lpstr>MAIN4</vt:lpstr>
      <vt:lpstr>MAIN5</vt:lpstr>
      <vt:lpstr>MAIN6</vt:lpstr>
      <vt:lpstr>MAIN7</vt:lpstr>
      <vt:lpstr>MEASUREBLDG</vt:lpstr>
      <vt:lpstr>MEASURECB</vt:lpstr>
      <vt:lpstr>MEASUREELI</vt:lpstr>
      <vt:lpstr>MEASUREPAY</vt:lpstr>
      <vt:lpstr>MEASURERATE</vt:lpstr>
      <vt:lpstr>MEASURESAVE</vt:lpstr>
      <vt:lpstr>MEASURESUBMIT</vt:lpstr>
      <vt:lpstr>NONPRESCPROGRAM</vt:lpstr>
      <vt:lpstr>PAYALL</vt:lpstr>
      <vt:lpstr>PAYCUSE</vt:lpstr>
      <vt:lpstr>PAYCUSG</vt:lpstr>
      <vt:lpstr>PayeeChckBox</vt:lpstr>
      <vt:lpstr>PAYOPS</vt:lpstr>
      <vt:lpstr>PAYPRESE</vt:lpstr>
      <vt:lpstr>PAYPRESG</vt:lpstr>
      <vt:lpstr>PAYTO</vt:lpstr>
      <vt:lpstr>PEAKTD</vt:lpstr>
      <vt:lpstr>PMEAGGEFF1</vt:lpstr>
      <vt:lpstr>PMECAEFF2</vt:lpstr>
      <vt:lpstr>PMECAEFFW1</vt:lpstr>
      <vt:lpstr>PMECAEFFW2</vt:lpstr>
      <vt:lpstr>PMEHVACEFF1</vt:lpstr>
      <vt:lpstr>PMEHVACEFFW1</vt:lpstr>
      <vt:lpstr>PMEHVACEFFW2</vt:lpstr>
      <vt:lpstr>PMEKITCHENEFF1</vt:lpstr>
      <vt:lpstr>PMELIGHTBASE1</vt:lpstr>
      <vt:lpstr>PMELIGHTBASEAUTO</vt:lpstr>
      <vt:lpstr>PMELIGHTBASEW1</vt:lpstr>
      <vt:lpstr>PMELIGHTBASEW2</vt:lpstr>
      <vt:lpstr>PMELIGHTCONEFF1</vt:lpstr>
      <vt:lpstr>PMELIGHTCONEFFW1</vt:lpstr>
      <vt:lpstr>PMELIGHTCONEFFW2</vt:lpstr>
      <vt:lpstr>PMELIGHTEFFLIST</vt:lpstr>
      <vt:lpstr>PMELIGHTEFFW1</vt:lpstr>
      <vt:lpstr>PMELIGHTEFFW2</vt:lpstr>
      <vt:lpstr>PMELIGHTOPHR1</vt:lpstr>
      <vt:lpstr>PMELIGHTOPHR2</vt:lpstr>
      <vt:lpstr>PMEMOTOREFF1</vt:lpstr>
      <vt:lpstr>PMEMOTORLIM</vt:lpstr>
      <vt:lpstr>PMEMOTORLIM2</vt:lpstr>
      <vt:lpstr>PMEREFRIEFF1</vt:lpstr>
      <vt:lpstr>PMGAGGEFF1</vt:lpstr>
      <vt:lpstr>PMGHVACEFF1</vt:lpstr>
      <vt:lpstr>PMGHVACEFFW1</vt:lpstr>
      <vt:lpstr>PMGHVACEFFW2</vt:lpstr>
      <vt:lpstr>PMGKITCHENEFF1</vt:lpstr>
      <vt:lpstr>PMGWATEREFF1</vt:lpstr>
      <vt:lpstr>PNAME</vt:lpstr>
      <vt:lpstr>'M01-S04'!Print_Area</vt:lpstr>
      <vt:lpstr>'M04-S09'!Print_Area</vt:lpstr>
      <vt:lpstr>'M05-S01'!Print_Area</vt:lpstr>
      <vt:lpstr>'M05-S04'!Print_Area</vt:lpstr>
      <vt:lpstr>'M05-S05'!Print_Area</vt:lpstr>
      <vt:lpstr>'M05-S06'!Print_Area</vt:lpstr>
      <vt:lpstr>'M05-S07'!Print_Area</vt:lpstr>
      <vt:lpstr>PROGRAM</vt:lpstr>
      <vt:lpstr>PROGRESSSTATUS</vt:lpstr>
      <vt:lpstr>PROJID</vt:lpstr>
      <vt:lpstr>PROJSTATCAP</vt:lpstr>
      <vt:lpstr>PROJSTATELI</vt:lpstr>
      <vt:lpstr>PROJSTATEXP</vt:lpstr>
      <vt:lpstr>PROJSTATINSPECT</vt:lpstr>
      <vt:lpstr>PROJSTATMEASURE</vt:lpstr>
      <vt:lpstr>PROJSTATPREAPPROVE</vt:lpstr>
      <vt:lpstr>PROJSTATREVIEW</vt:lpstr>
      <vt:lpstr>PROJSTATSTANDARD</vt:lpstr>
      <vt:lpstr>PROJSTATUNDER</vt:lpstr>
      <vt:lpstr>PROJSTATUS</vt:lpstr>
      <vt:lpstr>RATECAT</vt:lpstr>
      <vt:lpstr>SHEAT</vt:lpstr>
      <vt:lpstr>STATESABBREV</vt:lpstr>
      <vt:lpstr>STDHVACEFFMIN</vt:lpstr>
      <vt:lpstr>STDHVACEFFMIN2</vt:lpstr>
      <vt:lpstr>TAX</vt:lpstr>
      <vt:lpstr>THERMSTATUS</vt:lpstr>
      <vt:lpstr>THERMTOTAL</vt:lpstr>
      <vt:lpstr>THERMTOTALCUSG</vt:lpstr>
      <vt:lpstr>THERMTOTALPRESG</vt:lpstr>
      <vt:lpstr>VERSION</vt:lpstr>
      <vt:lpstr>WHEAT</vt:lpstr>
    </vt:vector>
  </TitlesOfParts>
  <Company>Lockheed Martin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Gao</dc:creator>
  <cp:keywords>Unrestricted</cp:keywords>
  <cp:lastModifiedBy>Flatt, Michael</cp:lastModifiedBy>
  <cp:lastPrinted>2018-12-20T18:12:46Z</cp:lastPrinted>
  <dcterms:created xsi:type="dcterms:W3CDTF">2015-10-07T20:52:11Z</dcterms:created>
  <dcterms:modified xsi:type="dcterms:W3CDTF">2024-10-04T02:38:25Z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0x01010005DC8466EDFADF4F93B9E058C5A5E505</vt:lpwstr>
  </property>
  <property fmtid="{D5CDD505-2E9C-101B-9397-08002B2CF9AE}" pid="3" name="sip_cache_lock_id">
    <vt:lpwstr>134636552633340000000</vt:lpwstr>
  </property>
  <property fmtid="{D5CDD505-2E9C-101B-9397-08002B2CF9AE}" pid="4" name="Enterprise_x0020_Keywords">
    <vt:lpwstr/>
  </property>
  <property fmtid="{D5CDD505-2E9C-101B-9397-08002B2CF9AE}" pid="5" name="Enterprise Keywords">
    <vt:lpwstr/>
  </property>
  <property fmtid="{D5CDD505-2E9C-101B-9397-08002B2CF9AE}" pid="6" name="lmss_lock_sip_cache">
    <vt:lpwstr>;#Unrestricted;#~#~#~#~#</vt:lpwstr>
  </property>
  <property fmtid="{D5CDD505-2E9C-101B-9397-08002B2CF9AE}" pid="7" name="office_lock_sip_cache">
    <vt:lpwstr>;#Unrestricted;#~#~#~#~#</vt:lpwstr>
  </property>
  <property fmtid="{D5CDD505-2E9C-101B-9397-08002B2CF9AE}" pid="8" name="checkedProgramsCount">
    <vt:i4>0</vt:i4>
  </property>
  <property fmtid="{D5CDD505-2E9C-101B-9397-08002B2CF9AE}" pid="9" name="LM SIP Document Sensitivity">
    <vt:lpwstr/>
  </property>
  <property fmtid="{D5CDD505-2E9C-101B-9397-08002B2CF9AE}" pid="10" name="Document Author">
    <vt:lpwstr>US\e346472</vt:lpwstr>
  </property>
  <property fmtid="{D5CDD505-2E9C-101B-9397-08002B2CF9AE}" pid="11" name="Document Sensitivity">
    <vt:lpwstr>1</vt:lpwstr>
  </property>
  <property fmtid="{D5CDD505-2E9C-101B-9397-08002B2CF9AE}" pid="12" name="ThirdParty">
    <vt:lpwstr/>
  </property>
  <property fmtid="{D5CDD505-2E9C-101B-9397-08002B2CF9AE}" pid="13" name="OCI Restriction">
    <vt:bool>false</vt:bool>
  </property>
  <property fmtid="{D5CDD505-2E9C-101B-9397-08002B2CF9AE}" pid="14" name="OCI Additional Info">
    <vt:lpwstr/>
  </property>
  <property fmtid="{D5CDD505-2E9C-101B-9397-08002B2CF9AE}" pid="15" name="Allow Header Overwrite">
    <vt:bool>false</vt:bool>
  </property>
  <property fmtid="{D5CDD505-2E9C-101B-9397-08002B2CF9AE}" pid="16" name="Allow Footer Overwrite">
    <vt:bool>false</vt:bool>
  </property>
  <property fmtid="{D5CDD505-2E9C-101B-9397-08002B2CF9AE}" pid="17" name="Multiple Selected">
    <vt:lpwstr>-1</vt:lpwstr>
  </property>
  <property fmtid="{D5CDD505-2E9C-101B-9397-08002B2CF9AE}" pid="18" name="SIPLongWording">
    <vt:lpwstr>_x000d_
_x000d_
</vt:lpwstr>
  </property>
  <property fmtid="{D5CDD505-2E9C-101B-9397-08002B2CF9AE}" pid="19" name="ExpCountry">
    <vt:lpwstr/>
  </property>
</Properties>
</file>